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Workarea\Elecciones\2018\Oaxaca 2018\Previas\Portadas\Mem_Para Enviar\OAX\Mem_Oax\excel\"/>
    </mc:Choice>
  </mc:AlternateContent>
  <bookViews>
    <workbookView xWindow="0" yWindow="0" windowWidth="23040" windowHeight="8328"/>
  </bookViews>
  <sheets>
    <sheet name="OAX_DIP_LOC_2018" sheetId="1" r:id="rId1"/>
  </sheets>
  <definedNames>
    <definedName name="_xlnm._FilterDatabase" localSheetId="0" hidden="1">OAX_DIP_LOC_2018!$A$4:$BI$5484</definedName>
  </definedNames>
  <calcPr calcId="162913"/>
</workbook>
</file>

<file path=xl/calcChain.xml><?xml version="1.0" encoding="utf-8"?>
<calcChain xmlns="http://schemas.openxmlformats.org/spreadsheetml/2006/main">
  <c r="A5" i="1" l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</calcChain>
</file>

<file path=xl/sharedStrings.xml><?xml version="1.0" encoding="utf-8"?>
<sst xmlns="http://schemas.openxmlformats.org/spreadsheetml/2006/main" count="53491" uniqueCount="11082">
  <si>
    <t>TIPO DE ELECCION</t>
  </si>
  <si>
    <t>FECHA Y HORA DEL CORTE DE INFORMACION</t>
  </si>
  <si>
    <t>ACTAS_ESPERADAS</t>
  </si>
  <si>
    <t>ACTAS_REGISTRADAS</t>
  </si>
  <si>
    <t>ACTAS_FUERA_CATALOGO</t>
  </si>
  <si>
    <t>ACTAS_CAPTURADAS</t>
  </si>
  <si>
    <t>PORCENTAJE_ACTAS_CAPTURADAS</t>
  </si>
  <si>
    <t>ACTAS_CONTABILIZADAS</t>
  </si>
  <si>
    <t>PORCENTAJE_ACTAS_CONTABILIZADAS</t>
  </si>
  <si>
    <t>PORCENTAJE_ACTAS_INCONSISTENCIAS</t>
  </si>
  <si>
    <t>ACTAS_NO_CONTABILIZADAS</t>
  </si>
  <si>
    <t>LISTA_NOMINAL_ACTAS_CONTABILIZADAS</t>
  </si>
  <si>
    <t>TOTAL_VOTOS_C_CS</t>
  </si>
  <si>
    <t>TOTAL_VOTOS_S_CS</t>
  </si>
  <si>
    <t>PORCENTAJE_PARTICIPACION_CIUDADANA</t>
  </si>
  <si>
    <t>DIPUTACIONES LOCALES (INCLUYE RESULTADOS DE MAYORÍA RELATIVA Y REPRESENTACION PROPORCIONAL).</t>
  </si>
  <si>
    <t>02/07/2018 20:01 (UTC -5)</t>
  </si>
  <si>
    <t>CLAVE_CASILLA</t>
  </si>
  <si>
    <t>CLAVE_ACTA</t>
  </si>
  <si>
    <t>ID_ESTADO</t>
  </si>
  <si>
    <t>ESTADO</t>
  </si>
  <si>
    <t>ID_DISTRITO_LOCAL</t>
  </si>
  <si>
    <t>DISTRITO_LOCAL</t>
  </si>
  <si>
    <t>SECCION</t>
  </si>
  <si>
    <t>ID_CASILLA</t>
  </si>
  <si>
    <t>TIPO_CASILLA</t>
  </si>
  <si>
    <t>EXT_CONTIGUA</t>
  </si>
  <si>
    <t>UBICACION_CASILLA</t>
  </si>
  <si>
    <t>TIPO_ACTA</t>
  </si>
  <si>
    <t>TOTAL_BOLETAS_SOBRANTES</t>
  </si>
  <si>
    <t>TOTAL_PERSONAS_VOTARON</t>
  </si>
  <si>
    <t>TOTAL_REP_PARTIDO_CI_VOTARON</t>
  </si>
  <si>
    <t>TOTAL_VOTOS_SACADOS</t>
  </si>
  <si>
    <t>PAN</t>
  </si>
  <si>
    <t>PRI</t>
  </si>
  <si>
    <t>PRD</t>
  </si>
  <si>
    <t>PVEM</t>
  </si>
  <si>
    <t>PT</t>
  </si>
  <si>
    <t>PMC</t>
  </si>
  <si>
    <t>PUP</t>
  </si>
  <si>
    <t>PNA</t>
  </si>
  <si>
    <t>MORENA</t>
  </si>
  <si>
    <t>PES</t>
  </si>
  <si>
    <t>PSD</t>
  </si>
  <si>
    <t>PMR</t>
  </si>
  <si>
    <t>CO_PAN_PRD_PMC</t>
  </si>
  <si>
    <t>CO_PAN_PRD</t>
  </si>
  <si>
    <t>CO_PAN_PMC</t>
  </si>
  <si>
    <t>CO_PRD_PMC</t>
  </si>
  <si>
    <t>CO_PRI_PVEM_PNA</t>
  </si>
  <si>
    <t>CO_PRI_PVEM</t>
  </si>
  <si>
    <t>CO_PRI_PNA</t>
  </si>
  <si>
    <t>CO_PVEM_PNA</t>
  </si>
  <si>
    <t>CO_PT_MORENA_PES</t>
  </si>
  <si>
    <t>CO_PT_MORENA</t>
  </si>
  <si>
    <t>CO_PT_PES</t>
  </si>
  <si>
    <t>CO_MORENA_PES</t>
  </si>
  <si>
    <t>CC_PRI_PVEM_PNA</t>
  </si>
  <si>
    <t>CC_PRI_PVEM</t>
  </si>
  <si>
    <t>CC_PRI_PNA</t>
  </si>
  <si>
    <t>CC_PVEM_PNA</t>
  </si>
  <si>
    <t>CI_1</t>
  </si>
  <si>
    <t>NOREG</t>
  </si>
  <si>
    <t>NULOS</t>
  </si>
  <si>
    <t>TOTAL_VOTOS_ASENTADO</t>
  </si>
  <si>
    <t>TOTAL_VOTOS_CALCULADO</t>
  </si>
  <si>
    <t>LISTA_NOMINAL</t>
  </si>
  <si>
    <t>REPRESENTANTES_PP_CI</t>
  </si>
  <si>
    <t>OBSERVACIONES</t>
  </si>
  <si>
    <t>CONTABILIZADA</t>
  </si>
  <si>
    <t>MECANISMOS_TRASLADO</t>
  </si>
  <si>
    <t>SHA</t>
  </si>
  <si>
    <t>FECHA_HORA_ACOPIO</t>
  </si>
  <si>
    <t>FECHA_HORA_CAPTURA</t>
  </si>
  <si>
    <t>FECHA_HORA_VERIFICACION</t>
  </si>
  <si>
    <t>ORIGEN</t>
  </si>
  <si>
    <t>DIGITALIZACION</t>
  </si>
  <si>
    <t>TIPO_DOCUMENTO</t>
  </si>
  <si>
    <t>200002B01002</t>
  </si>
  <si>
    <t>OAXACA</t>
  </si>
  <si>
    <t>ACATLAN DE PEREZ FIGUEROA</t>
  </si>
  <si>
    <t>B</t>
  </si>
  <si>
    <t>115359a5db4a8d8f6c518806722b4f9b94c368fc112397bd1c91c861b3e62fed</t>
  </si>
  <si>
    <t>CATD</t>
  </si>
  <si>
    <t>ESCANER</t>
  </si>
  <si>
    <t>ACTA PREP</t>
  </si>
  <si>
    <t>200003B01002</t>
  </si>
  <si>
    <t>3ad940af0479df9b291d695bdd2bf9b7d88cdce13befc9b56e018404e312c755</t>
  </si>
  <si>
    <t>200003C01002</t>
  </si>
  <si>
    <t>C</t>
  </si>
  <si>
    <t>5224acef97d927bcd88253a37696eaae5bb32b4fa6adce624700e14690817cd3</t>
  </si>
  <si>
    <t>200003C02002</t>
  </si>
  <si>
    <t>e82caeb64e2b518dc6acf7695321477cef9791a325dbeed7f7a7054374b0b1ed</t>
  </si>
  <si>
    <t>200004B01002</t>
  </si>
  <si>
    <t>76aa75b1a34d9af8f37ccbb1b076dba390273593427b383e2ef5df6abc208e42</t>
  </si>
  <si>
    <t>200004C01002</t>
  </si>
  <si>
    <t>e100cf1cf3243b9ae14de9402a27d2793c25600ea3e8914d5d46763168b36a12</t>
  </si>
  <si>
    <t>200004C02002</t>
  </si>
  <si>
    <t>acd5f075e57c4e636687e2b3c03ceda04e94c90a996aeea53ab89fe456e3fdc9</t>
  </si>
  <si>
    <t>200005B01002</t>
  </si>
  <si>
    <t>sin dato</t>
  </si>
  <si>
    <t>ALGUN CAMPO ILEGIBLE O SIN DATO</t>
  </si>
  <si>
    <t>d8583e90338e27f7ffce779da17fc988ade1de6affe366681e4f1625385429bd</t>
  </si>
  <si>
    <t>200005S01003</t>
  </si>
  <si>
    <t>S</t>
  </si>
  <si>
    <t>4a45692c89f8851de4cd5f2faf48894f4808dd2a2096ce2f66e3ec7e166cdcf0</t>
  </si>
  <si>
    <t>200006B01002</t>
  </si>
  <si>
    <t>174b74f34eaa390e18e4e77bd7953a8b9102d60c4803873a54c2a40561f7fe4a</t>
  </si>
  <si>
    <t>200006C01002</t>
  </si>
  <si>
    <t>bd1d5c785f87963e6f111a11922f4e57585d5d36d98ead3972736aa61959620e</t>
  </si>
  <si>
    <t>200006C02002</t>
  </si>
  <si>
    <t>18a38e1e05b0cf30414414ec057cfd9327b8620817de1d0ce6019ee5ad064c5d</t>
  </si>
  <si>
    <t>200007B01002</t>
  </si>
  <si>
    <t>d79cec0dc03c8e4ba6dad5e02977911a00349264c162fde584d24dba91d3b20e</t>
  </si>
  <si>
    <t>200007C01002</t>
  </si>
  <si>
    <t>5e1910a297f77c57a3ba5496963f03bb91db0c6b8060bbd0aa1b304ad2a12dc9</t>
  </si>
  <si>
    <t>200008B01002</t>
  </si>
  <si>
    <t>c52df43583ae56412f72b89c0ef74337ad7003fcfb37070ba944d95e96592636</t>
  </si>
  <si>
    <t>200009B01002</t>
  </si>
  <si>
    <t>c16151f277911dc52db5dc11dd33bc47a1269a25165dcda48f7219bac581ca71</t>
  </si>
  <si>
    <t>200010B01002</t>
  </si>
  <si>
    <t>87985766c196cc869abb143433f9e5f10cfa36aa964ee5b45432f515aa137a8b</t>
  </si>
  <si>
    <t>200010C01002</t>
  </si>
  <si>
    <t>cc1319952a4d2851c4db1b1da05b8210d49ff77a95e637103ab688d50da3affd</t>
  </si>
  <si>
    <t>200011B01002</t>
  </si>
  <si>
    <t>4cb5c95908740f8c88576ce5718a692ee87c32a94a061f875714b8a1a1d9b8bd</t>
  </si>
  <si>
    <t>200011C01002</t>
  </si>
  <si>
    <t>9a8a4e5f925ae56f7565597fdf170f657bbbf366c76ce5fdcb4a2ab41c28a547</t>
  </si>
  <si>
    <t>200011C02002</t>
  </si>
  <si>
    <t>94c9e6d5bee9e28ad43aafc6f05eaeefe3879df98a262b528bffea9bc47e347c</t>
  </si>
  <si>
    <t>200012B01002</t>
  </si>
  <si>
    <t>da40b273eff4e2dd2409b302e34c2cfe5a645fb2f3dcef32de2eb5b64bbbf23f</t>
  </si>
  <si>
    <t>200012C01002</t>
  </si>
  <si>
    <t>b56cda986c8ecdee704d6fa2aeecf1bb4e6831b462eb4d716405debfe6abd9bf</t>
  </si>
  <si>
    <t>200012C02002</t>
  </si>
  <si>
    <t>bc7cc3ca4397cb486326fb9028f5391e6d35f65de295374e82b1a21232342b6b</t>
  </si>
  <si>
    <t>200013B01002</t>
  </si>
  <si>
    <t>1cde721c4ef0a4a69efaa0c2e9b8320c33e09addd059cc99f368a499b7fc6d79</t>
  </si>
  <si>
    <t>200014B01002</t>
  </si>
  <si>
    <t>e30eebf8b692f6f11dc1d95e7b361bc27b51b285e1bd61f15bb0f9f84b75f5a6</t>
  </si>
  <si>
    <t>200014C01002</t>
  </si>
  <si>
    <t>f7b04eeda4bf299e91dec6b897143e4abad1bf50c385b4cd991e90ba8e836e29</t>
  </si>
  <si>
    <t>200015B01002</t>
  </si>
  <si>
    <t>912e2459be589b5d655834fd100fcf4f3ece6774882baed8976723bbcc4b148c</t>
  </si>
  <si>
    <t>200015E01002</t>
  </si>
  <si>
    <t>E</t>
  </si>
  <si>
    <t>e6a206a4da536fec34a092b313106639dd88208fc37ef67d1e3043c2858555cb</t>
  </si>
  <si>
    <t>200016B01002</t>
  </si>
  <si>
    <t>738038c6aa0d760de76a87d0b3cc6509888e35baa0a11987c12da425a23cb2de</t>
  </si>
  <si>
    <t>200017B01002</t>
  </si>
  <si>
    <t>4cf2c30c4e4bc6aeef9a8b758a37c00b78daa207a65a26d5618c202a4a1130a6</t>
  </si>
  <si>
    <t>200017C01002</t>
  </si>
  <si>
    <t>3b8173e62dc447c34ecad77f9a4f0684c49ab1f77ba65c0248652af0d44c5065</t>
  </si>
  <si>
    <t>200018B01002</t>
  </si>
  <si>
    <t>5f436ef082ef967d9306b622a356cc745c70c471dd4b0782132ccda6c1f04db7</t>
  </si>
  <si>
    <t>200019B01002</t>
  </si>
  <si>
    <t>SIN ACTA POR PAQUETE ENTREGADO SIN SOBRE</t>
  </si>
  <si>
    <t>481086f4179bcd44cafd4fbab6a2f0a43a62fd81a2ed2ff318f31a56ab76ddef</t>
  </si>
  <si>
    <t>200020B01002</t>
  </si>
  <si>
    <t>ef3860d045dcf75c373a7b2fe41c5a586ec57805a9db28c56d407bb137f05f83</t>
  </si>
  <si>
    <t>200021B01002</t>
  </si>
  <si>
    <t>56a0d74c649e7a57b12eaefe02f1eed53c0de1b1e1ec3be3770afd3065c752cb</t>
  </si>
  <si>
    <t>200021E01002</t>
  </si>
  <si>
    <t>9e85de661c5d02ad8369aadd675960738ebd45367596fb9f5744efc58e3c9f77</t>
  </si>
  <si>
    <t>200022B01002</t>
  </si>
  <si>
    <t>7a6143296673a4d633f5df0fef6f957c2b925ef2da24254988f20ac77353d636</t>
  </si>
  <si>
    <t>200023B01002</t>
  </si>
  <si>
    <t>48e50aa98436c2e134cbf0d73b7d77db8256ef220fb3747be03aaf5b1f77bccf</t>
  </si>
  <si>
    <t>200024B01002</t>
  </si>
  <si>
    <t>53b5f80796c52f9a24195265b26ffedfd1a358d122d384420d053e571dd426f1</t>
  </si>
  <si>
    <t>200024C01002</t>
  </si>
  <si>
    <t>2053a6cc4d66bb470e5ef3b2a0ac152c20cf9719c03d910aae87abad5038dceb</t>
  </si>
  <si>
    <t>200024E01002</t>
  </si>
  <si>
    <t>39277f04ab0e784c580e5fa839ddd7ea1dc622aeccb8a03f7a93a8005b87fa7b</t>
  </si>
  <si>
    <t>200025B01002</t>
  </si>
  <si>
    <t>e62aa161a4418953a886013c20a977cac50da4fa997ab02c1e5d628ac13ce030</t>
  </si>
  <si>
    <t>200025C01002</t>
  </si>
  <si>
    <t>b23988477b288a94e1395cca6ce117be5baaf9f01231d1e8f006188e7bcfef6b</t>
  </si>
  <si>
    <t>200026B01002</t>
  </si>
  <si>
    <t>1c78efafef0712d5a8648f4c361a79d8ba58ec0bf74ad3bf84a6061ce65276d2</t>
  </si>
  <si>
    <t>200026C01002</t>
  </si>
  <si>
    <t>f9b94f0b401f43c0aef969211ad83073df272814aade9fcf6e970696c736009b</t>
  </si>
  <si>
    <t>200027B01002</t>
  </si>
  <si>
    <t>3d0697c7f9423d329f870fe4216ce05e387393d4382237a202557ceefe67bac6</t>
  </si>
  <si>
    <t>200028B01002</t>
  </si>
  <si>
    <t>e3593b6364c97312877238a77e7a334b57b776281f1cc5a227f66cf612b4f030</t>
  </si>
  <si>
    <t>200028C01002</t>
  </si>
  <si>
    <t>56f4a7530ed1f00f1118a35bdacac442b4db2d727701d11c25c4c65a3c27235c</t>
  </si>
  <si>
    <t>200029B01002</t>
  </si>
  <si>
    <t>d5fa13aa7dd7f21c3d8be214d32b82d805f68623060f48d7570974cadfbd2865</t>
  </si>
  <si>
    <t>200029C01002</t>
  </si>
  <si>
    <t>0fa96ad3c1f911888bdb022d1e55a082c43a28c880ef4437786947872292454a</t>
  </si>
  <si>
    <t>200029E01002</t>
  </si>
  <si>
    <t>e7a673192a1a0d7ea9ad50c254d0908796eb15bd1346249862098578820ba733</t>
  </si>
  <si>
    <t>200030B01002</t>
  </si>
  <si>
    <t>20f0a429b9944327545e7b0930a41d8c2cfc934f809bfa5b7c300959062bd1a1</t>
  </si>
  <si>
    <t>200030C01002</t>
  </si>
  <si>
    <t>4abc238bdd190646d673d99f0ea96f4f520749e5b7c269df5d087cb6f5dbf311</t>
  </si>
  <si>
    <t>200031B01002</t>
  </si>
  <si>
    <t>fc382c187799d219a2d28bd5c71e9fee8996433817f4e8b4dea1630414bfa040</t>
  </si>
  <si>
    <t>200031C01002</t>
  </si>
  <si>
    <t>532fcbe1f6f6261167af6ad7ff4caaaa72d68de8ca382dd711fd08ecc9fd8280</t>
  </si>
  <si>
    <t>200031C02002</t>
  </si>
  <si>
    <t>4bcb7f320e7bce9d29b9607204f366ec93effa163df328d05893efe835329450</t>
  </si>
  <si>
    <t>200032B01002</t>
  </si>
  <si>
    <t>c19d28210989d27584db45b9c914c30b6ad9eb2b2d3e4e296a859403f29b6725</t>
  </si>
  <si>
    <t>200033B01002</t>
  </si>
  <si>
    <t>b76b65bb2d8923805509996dd3770a85185fa24de7aa01d445f1fa1af9f4bd1e</t>
  </si>
  <si>
    <t>200033C01002</t>
  </si>
  <si>
    <t>bb07d28f7fedbd7de059000451f69e287a64d6b2a0cba42b4c6c59555e7f2503</t>
  </si>
  <si>
    <t>200033E01002</t>
  </si>
  <si>
    <t>a1b9bd34671b5f3a19b51a1bea04b398e4094d06c52c59b698a9ca74bfeccaf2</t>
  </si>
  <si>
    <t>200034B01002</t>
  </si>
  <si>
    <t>80d530a69c36293f8d4583e2b36f363f1eff3b24560f1c44b6d23b6da740f198</t>
  </si>
  <si>
    <t>200034E01002</t>
  </si>
  <si>
    <t>4219e3035c2e10084b214d58f334bf44787cbca2f80f40f5901a44cdda02d310</t>
  </si>
  <si>
    <t>200134B01002</t>
  </si>
  <si>
    <t>1c0f215ee0ffe69bbda596a147f40afa4b62fc6a5c24b20478e6be8708297ed1</t>
  </si>
  <si>
    <t>200134C01002</t>
  </si>
  <si>
    <t>2fafe7215981bf6a673ed1ae8cc2cf9b8927222c014c426f6a67fd0d4b83bf57</t>
  </si>
  <si>
    <t>200135B01002</t>
  </si>
  <si>
    <t>8833deb7acb70ecd2fe116bc6547c516cf4d3b46082ac7f7823dcce6aa1b49a0</t>
  </si>
  <si>
    <t>200135C01002</t>
  </si>
  <si>
    <t>79e39caafbf4dbf47fd0cb775de7d1a6a7be061b0e8901cc000d1c54eeebe6ee</t>
  </si>
  <si>
    <t>200135C02002</t>
  </si>
  <si>
    <t>425896f8a8d6ad6926f3c0bac7fcdb6fce5fd1db8ddb42267e229916136c359d</t>
  </si>
  <si>
    <t>200136B01002</t>
  </si>
  <si>
    <t>7b8a239ba3b5fb38e4a6480ddfa1a554b109c1542e532ff2a5093bd83a140709</t>
  </si>
  <si>
    <t>200136C01002</t>
  </si>
  <si>
    <t>614f158bb69fc54680a9f7d3e3c94f21f08c7822af0f3345e2b641521478f6d9</t>
  </si>
  <si>
    <t>200136C02002</t>
  </si>
  <si>
    <t>795f2f29422fb80949e6722a946a4f30d9140e8d749ab14ca54afee4fb421581</t>
  </si>
  <si>
    <t>200137B01002</t>
  </si>
  <si>
    <t>898445fe268288041be81df8021b447f320e0ffde90092508739d60c1e0b152e</t>
  </si>
  <si>
    <t>200138B01002</t>
  </si>
  <si>
    <t>4dee6d6657a5dbf94153ce52baab9b5ccf249fd92819bb02b9d84ccde49c2deb</t>
  </si>
  <si>
    <t>200139B01002</t>
  </si>
  <si>
    <t>89aac513cf873f27f091695e5eda943f456da549618efeb807ba937822c9f062</t>
  </si>
  <si>
    <t>200139C01002</t>
  </si>
  <si>
    <t>85756cdf443df398fc486edc3898bffdca440cec8401f81b19747f37dde7ad68</t>
  </si>
  <si>
    <t>200140B01002</t>
  </si>
  <si>
    <t>fbf70f4cd1ed7b831c499d5364f57cde57e3b166a176ef85a8365da5c40301f6</t>
  </si>
  <si>
    <t>200141B01002</t>
  </si>
  <si>
    <t>79b4bed6625fbed6f7354f81bef2b9ae01107a9d1e6584b6e42b2f76344c8cdf</t>
  </si>
  <si>
    <t>200142B01002</t>
  </si>
  <si>
    <t>836e5838996d94b22ab01699e8dcfd9dca4d8fdc4f03e1762bfa0fb100f3399c</t>
  </si>
  <si>
    <t>200143B01002</t>
  </si>
  <si>
    <t>6d13d1f3d5d9d97e91fbd352392c1ae44292a9113dcbba04f2b375ac3c1feb95</t>
  </si>
  <si>
    <t>200143C01002</t>
  </si>
  <si>
    <t>b3ca8f59eea1e1ccedbcca2e162b00038f4f5b7a5731c9adcf519ad10fa9c91b</t>
  </si>
  <si>
    <t>200952B01002</t>
  </si>
  <si>
    <t>482239dd59a96a9b3326136fab4f7266fb8f54ef54eb890f915cef6a8baa6b90</t>
  </si>
  <si>
    <t>200952C01002</t>
  </si>
  <si>
    <t>eda86558af1e2ef35d7ad6d77ad01ed3f787845d301836d2cab81546cecee2f8</t>
  </si>
  <si>
    <t>200952E01002</t>
  </si>
  <si>
    <t>5971663f8a5ac00df41760c62ebc42f1ebc5fd70bd15f5285718159f9dcebd58</t>
  </si>
  <si>
    <t>200952E01012</t>
  </si>
  <si>
    <t>947122b0ac2f2d155ca052f3ac70bd5cbd49caccfaaf2a8d3db01c065f523140</t>
  </si>
  <si>
    <t>200953B01002</t>
  </si>
  <si>
    <t>e3c565a39ceae273db40c3fbc66c727c96bb18650e6853b64c02e84af36053e7</t>
  </si>
  <si>
    <t>200954B01002</t>
  </si>
  <si>
    <t>340142a9f183317d3a7a3f3f28e1f722101dd85e4b33c7e63bc5389fe84064aa</t>
  </si>
  <si>
    <t>200962B01002</t>
  </si>
  <si>
    <t>26d59d1b3846b493f0ddcba84903b5396485bdfc31cbf3989e96f7ec0dc9ea42</t>
  </si>
  <si>
    <t>200962C01002</t>
  </si>
  <si>
    <t>a1f62a6861c1cd592d5ba0640128092bc7ea22e7df447cc0778c04c2b3029164</t>
  </si>
  <si>
    <t>200962C02002</t>
  </si>
  <si>
    <t>07c44ccf9d646c3a83e2e086a931af4c813269838c154760b8cc5912bf34298a</t>
  </si>
  <si>
    <t>200963B01002</t>
  </si>
  <si>
    <t>49fcfc7dfef0bae774a744aa9e78e637ca0f6a61af173512665010491da5c261</t>
  </si>
  <si>
    <t>200964B01002</t>
  </si>
  <si>
    <t>aadcf140a52829d4a437b9bbe3222ad031c790a43cc93288ddc9e1b8659de97b</t>
  </si>
  <si>
    <t>200965B01002</t>
  </si>
  <si>
    <t>971513595028193d7dbf19aa182e8bae269102283db94f05adc652387810c335</t>
  </si>
  <si>
    <t>200966B01002</t>
  </si>
  <si>
    <t>7a8b8aadf0bcb17620e771a8306cb1ba2be975c4dfcf45751aa4e6680ec7bfd3</t>
  </si>
  <si>
    <t>200966E01002</t>
  </si>
  <si>
    <t>740688442d4ceae578fb73a7764448ffa60e6d4b0045f4489ef6262e44d70129</t>
  </si>
  <si>
    <t>200967B01002</t>
  </si>
  <si>
    <t>172de45a459589952c8858407f2034e2e373e2fa1223628e70b8b027914399dd</t>
  </si>
  <si>
    <t>200968B01002</t>
  </si>
  <si>
    <t>a154298a1a985f6bb103f4bbbcddda862df332e46b022ef70a0c13144376d74b</t>
  </si>
  <si>
    <t>200969B01002</t>
  </si>
  <si>
    <t>658377a4bfa01fa8ec98f5b9110637b8e7be5fd9fbf3ec8a64ba0711b316d827</t>
  </si>
  <si>
    <t>200970B01002</t>
  </si>
  <si>
    <t>a3c7b63e0b8b2d121233481ab57130dfcd235ef836b79169f11a1e07713f5cea</t>
  </si>
  <si>
    <t>200970E01002</t>
  </si>
  <si>
    <t>d26060f7672128457ea2f5bfead4c47979c25d2478180529f14300087d7f6796</t>
  </si>
  <si>
    <t>200971B01002</t>
  </si>
  <si>
    <t>fbffdc6081e0542bd2c63bc049c967cea44be5915e875f0777c4aae6d5464ff0</t>
  </si>
  <si>
    <t>200972B01002</t>
  </si>
  <si>
    <t>1b24bcbb72b3c085ac149cf7ab50f778c6f971358f856d85c966dbbecc49f540</t>
  </si>
  <si>
    <t>200972C01002</t>
  </si>
  <si>
    <t>d86021ccb7ab072a082290c710300d9a713b5e6f15b1b537e2dbd8f3e324493b</t>
  </si>
  <si>
    <t>200972E01002</t>
  </si>
  <si>
    <t>d3e4a90b3a55596be329a70d3fcdcc6afa2812a28b7c0509e762c948ae3c1980</t>
  </si>
  <si>
    <t>200973B01002</t>
  </si>
  <si>
    <t>5eafa28ecc4cdf671fe9946b45182b409cb1241e2ffd71377feb426b0b2ba929</t>
  </si>
  <si>
    <t>200974B01002</t>
  </si>
  <si>
    <t>65bb2517065d49a7bfba1b57531234e957cd8fe1bbaf7c90efe78063c0903a5b</t>
  </si>
  <si>
    <t>200974E01002</t>
  </si>
  <si>
    <t>a41744363adeb9b219afa5ccc3f4aa6d4035cf5b8ee85e3cb5cf75f008ad51e5</t>
  </si>
  <si>
    <t>200975B01002</t>
  </si>
  <si>
    <t>df5677b2d53dc0e081be45248d010892d24fb6606c59359edcf8b09832e96431</t>
  </si>
  <si>
    <t>200975E01002</t>
  </si>
  <si>
    <t>a93a6796e7db1ca9fbc4f01cf53b0d536e69b4791b38430a6329943dfe568deb</t>
  </si>
  <si>
    <t>200976B01002</t>
  </si>
  <si>
    <t>69b6b041998db14be1bb0935db50388ffc2173c0d09ee8a82bcf4a56ff0030f6</t>
  </si>
  <si>
    <t>200976C01002</t>
  </si>
  <si>
    <t>abe13cf29458713e2b435036a2233074739d37f4be94ce1d1251eaeb6fcc739f</t>
  </si>
  <si>
    <t>200977B01002</t>
  </si>
  <si>
    <t>badcd33ca6b02bdbe1f271cd24ba971b183e7667f7f5cca7bb3767ede8b0ab40</t>
  </si>
  <si>
    <t>200977E01002</t>
  </si>
  <si>
    <t>c5e9845a8d0f208675ed52dc77e2bd7cd441b2a1fe0b35c647cb09c4246f1761</t>
  </si>
  <si>
    <t>201057B01002</t>
  </si>
  <si>
    <t>ilegible</t>
  </si>
  <si>
    <t>c4ffc580b80f2c0a1ac6573b5d00e0862bcdbce3add34d5ff21f89c84fea7a6f</t>
  </si>
  <si>
    <t>201057E01002</t>
  </si>
  <si>
    <t>14301d954601134a7504fa6b33051b865ce3e7d23cd913ff0ad74f63d30553eb</t>
  </si>
  <si>
    <t>201372B01002</t>
  </si>
  <si>
    <t>b5f8708061ff9422d55e9f006486ce090aafa90923db62a51f1c145e3e8b4031</t>
  </si>
  <si>
    <t>201372C01002</t>
  </si>
  <si>
    <t>fa1d7105b0dcdad76dc3808e58ef4004a5a76cb4315270b6a9713a1f14e09061</t>
  </si>
  <si>
    <t>201372C02002</t>
  </si>
  <si>
    <t>81017a2bbf32a711b5af99ca9eb678eab17fa7282758e92123493e6b1260ee33</t>
  </si>
  <si>
    <t>201373B01002</t>
  </si>
  <si>
    <t>fece3daa04049f146e85d1c86283f0aadc7bdce212fc5d82d82c9f693ea75bd9</t>
  </si>
  <si>
    <t>201373C01002</t>
  </si>
  <si>
    <t>22a4ead6a8e1433ed7f3656d01e2f4a2c74b510a065f7a14edc7c5331f8691bd</t>
  </si>
  <si>
    <t>201374B01002</t>
  </si>
  <si>
    <t>fe084175ba603ea1a0112243817cb07541c6a775d154a803653a42d216de7a74</t>
  </si>
  <si>
    <t>201374C01002</t>
  </si>
  <si>
    <t>8f751aa37938172d2755e278ca67e2bc3d283e8cb6753969c6f91f5c37c81a0b</t>
  </si>
  <si>
    <t>201375B01002</t>
  </si>
  <si>
    <t>d9765e457b10224881792ff2862be8b25e12079ed24aab524abbda1d2d1596fe</t>
  </si>
  <si>
    <t>201375C01002</t>
  </si>
  <si>
    <t>460b622fdacd0acea05de910f53789fdd6dfd751f5745afe76ecfd83a0b4d64e</t>
  </si>
  <si>
    <t>201375S01003</t>
  </si>
  <si>
    <t>4ec9d57d853b7e56340dfcb3e1435b98ae16c067d8b6526f5268c636aab38719</t>
  </si>
  <si>
    <t>201376B01002</t>
  </si>
  <si>
    <t>ef0b3df358b7fad887643ac8081975445b867c7a6989509c1579808829c324e1</t>
  </si>
  <si>
    <t>201376C01002</t>
  </si>
  <si>
    <t>39b76dd88857bbad3efdbca377c235aca3ce7b838e43f8b59a038b66b0710cd6</t>
  </si>
  <si>
    <t>201377B01002</t>
  </si>
  <si>
    <t>ee592b51c888fb8ccb229c11dd5c923caaf0da8a9f894e5fdf849046dd2eb621</t>
  </si>
  <si>
    <t>201377C01002</t>
  </si>
  <si>
    <t>5a87a20a7d976d371999239349e5c04e9a3ff3c435f1983b297675b61bb8e57b</t>
  </si>
  <si>
    <t>201377E01002</t>
  </si>
  <si>
    <t>2a75cc1359c67cf56636f15e0784ade3559a453050bdd0db7965174ad23801fe</t>
  </si>
  <si>
    <t>201378B01002</t>
  </si>
  <si>
    <t>f1e13b50c0a7fe301db73c25f5d49f818155cc931e9413b3a6a72aa94d793112</t>
  </si>
  <si>
    <t>201378E01002</t>
  </si>
  <si>
    <t>0d4558d8f9bc53276d7141713fb6889061ade7817cbe7770ea671737d951c690</t>
  </si>
  <si>
    <t>201379B01002</t>
  </si>
  <si>
    <t>b4fc79b91c185108b7de19919b17bc11609554fa126fc15f47ecae28c9380554</t>
  </si>
  <si>
    <t>201379E01002</t>
  </si>
  <si>
    <t>035cee2ddc7159d6932ba1857cccf65a20de5730c384d98e1ed24f52b3d4ea5b</t>
  </si>
  <si>
    <t>201379E02002</t>
  </si>
  <si>
    <t>0380aa2d03e55214496ab528db75971c445bda6e9302fb746d4a0c540f3480f1</t>
  </si>
  <si>
    <t>201380B01002</t>
  </si>
  <si>
    <t>6d2f24191d2d53995ae067e7f0569f366446b748fecbeb5ef7b22fd1c1e45407</t>
  </si>
  <si>
    <t>201380C01002</t>
  </si>
  <si>
    <t>cb8913e1ad3c6878cabc59d665f05b163bb2c156993f679edeca773438e173ef</t>
  </si>
  <si>
    <t>201381B01002</t>
  </si>
  <si>
    <t>a8941f6bc9de6846850ad1c6c1e245d058ae6fe3d3c740abb0a1c69cb8bba4ab</t>
  </si>
  <si>
    <t>201381E01002</t>
  </si>
  <si>
    <t>7c2637e5d55393500ae85d62000e5fc19ad5e7cd6ddcc5b4fea1c864db04b442</t>
  </si>
  <si>
    <t>201382B01002</t>
  </si>
  <si>
    <t>982f90a92157a23881300b78ea6d016300ff961cc23e186c982df2ae081f4c99</t>
  </si>
  <si>
    <t>201382C01002</t>
  </si>
  <si>
    <t>772670968dcc30b4e722558e2f89eea98b694ea65f13027f6a5bca0294c46831</t>
  </si>
  <si>
    <t>201383B01002</t>
  </si>
  <si>
    <t>9f29a6525face0895098cb42bc5e92c4ad7a087c8d37f5c92e25537ab75abde2</t>
  </si>
  <si>
    <t>CASILLA</t>
  </si>
  <si>
    <t>MOVIL</t>
  </si>
  <si>
    <t>201383C01002</t>
  </si>
  <si>
    <t>4bd9e37f69ce3cb401075afd92f9943b520fedd23a312c15a417db16157628c9</t>
  </si>
  <si>
    <t>201383C02002</t>
  </si>
  <si>
    <t>82a13fe6f09f6148c7d95cd4e724f2e3d8692123d85add9973ef0a742a53b0fb</t>
  </si>
  <si>
    <t>201384B01002</t>
  </si>
  <si>
    <t>321f2fe02692ca4c20a4181051e11ca01c32e25178d66cc6dbdacfa24cc750ea</t>
  </si>
  <si>
    <t>201384E01002</t>
  </si>
  <si>
    <t>e1af8f089bc7dbb071c32ea15654ba5266adf66ba0888b44cdb90c56c90b253c</t>
  </si>
  <si>
    <t>201385B01002</t>
  </si>
  <si>
    <t>9eef244ff269cd750605e8c640b9d705bb8079f23df69c5ed1b3207b6514e031</t>
  </si>
  <si>
    <t>201385E01002</t>
  </si>
  <si>
    <t>fd56df23001fd7ea18e651802ded7aea2d9894a422d031363a2c261af2f4d125</t>
  </si>
  <si>
    <t>201385E02002</t>
  </si>
  <si>
    <t>ff0e016c55f0deb9461a59c238c9d7e5eb6268114d7f9508a0f6cbd6c821d32c</t>
  </si>
  <si>
    <t>201386B01002</t>
  </si>
  <si>
    <t>7dc4d5b2a641828a230ee5ea98135e2228f32bf637b1ce239f67068802aaf7ca</t>
  </si>
  <si>
    <t>201386C01002</t>
  </si>
  <si>
    <t>235252e7b0fafb5e8c7a4f1d0a11a8cd94320dbf435f71c9c8170ac1aabecc6c</t>
  </si>
  <si>
    <t>201387B01002</t>
  </si>
  <si>
    <t>dfe223fd0f82d17b78eb5bcbfe21ff4a51d590a8aa12a7df14e887e3ce79d0ea</t>
  </si>
  <si>
    <t>201387C01002</t>
  </si>
  <si>
    <t>c6e42a93c5e6f573305c281a2053c78f18d14a1aa4e1571e2bab7e0fe099de59</t>
  </si>
  <si>
    <t>201388B01002</t>
  </si>
  <si>
    <t>447c5ccc0dd8871bcefbd1881f16cd85ad1bfd217601e718edae627e94c3abc8</t>
  </si>
  <si>
    <t>201388C01002</t>
  </si>
  <si>
    <t>0c15dd091f1ae3c8a51073d0c08b3d17bde1337eb201f4daf888fa96251aaa3d</t>
  </si>
  <si>
    <t>201388E01002</t>
  </si>
  <si>
    <t>4bcce9cf5d1e5b41b3dd546c33fe12e82b063f81d1f0c7c1f043b152990edd08</t>
  </si>
  <si>
    <t>201389B01002</t>
  </si>
  <si>
    <t>d8d3e285ee72a925b2e2acc92bfc799e7edb75366171b9650bd648dce30ca837</t>
  </si>
  <si>
    <t>201389C01002</t>
  </si>
  <si>
    <t>a880366bede53eb847c68ba6eab44e9a56986faa36a566ce8da1b986e03bc5ec</t>
  </si>
  <si>
    <t>201390B01002</t>
  </si>
  <si>
    <t>8e6ddbb99ca90a9a1de8970b1e673655b0708bc8bcd2072fccc75d581e5aa9eb</t>
  </si>
  <si>
    <t>201390E01002</t>
  </si>
  <si>
    <t>ca5742b0b30f63ac3795dee96d4e700866fab636e4cdefa86402638db6fef3eb</t>
  </si>
  <si>
    <t>201391B01002</t>
  </si>
  <si>
    <t>6ea582b0c643af0881aff792646d8c32ed1a68735c09c5cc98aaab6e796e19d0</t>
  </si>
  <si>
    <t>201391C01002</t>
  </si>
  <si>
    <t>669a7f81b8731bc2bfeda3b7c07664e003d0aef4276b54d7bc1f434309d2fe67</t>
  </si>
  <si>
    <t>201391E01002</t>
  </si>
  <si>
    <t>b8292391fa2171a1d80da9b51066dbfcb9de06c8554e5415a132a36a4db7bdc3</t>
  </si>
  <si>
    <t>201392B01002</t>
  </si>
  <si>
    <t>6e2ce08b10640b22c946765d61cc92dfe2b849076465959b9c83ba9b57627de0</t>
  </si>
  <si>
    <t>201392C01002</t>
  </si>
  <si>
    <t>4969e90ef781af89c3147b58b1df0c5177eef27d1abbdb9c5a8573735609194a</t>
  </si>
  <si>
    <t>201392C02002</t>
  </si>
  <si>
    <t>53bbae853343354a39abbca04a788e3bbfc4e313dc96f77e0bfdeb19c2648972</t>
  </si>
  <si>
    <t>201393B01002</t>
  </si>
  <si>
    <t>188b28bcc4a8add14f3b81fd405f890954fc151ed9212630a37bb7f407c8a37e</t>
  </si>
  <si>
    <t>201393C01002</t>
  </si>
  <si>
    <t>258be06fe9557fbc71b9a9b07bc2b008d450d6b641bda4f1f35cd1b983e889cd</t>
  </si>
  <si>
    <t>201394B01002</t>
  </si>
  <si>
    <t>6d3e26c4072d8173fba8f03e584c3f4a56159f185c126187b6455e9fcf27de01</t>
  </si>
  <si>
    <t>201395B01002</t>
  </si>
  <si>
    <t>072ec5bf08bee4cd4f157d7eb9c7ba00a03f1a98f71efc4a1a857d6f4b755471</t>
  </si>
  <si>
    <t>201395E01002</t>
  </si>
  <si>
    <t>732a5f81c6a9e38ff83215afeb6b61cd38c870b2f07af232f670c060002545dc</t>
  </si>
  <si>
    <t>201473B01002</t>
  </si>
  <si>
    <t>2203423eb2061a2edcb47166946ee68358da1ccf49af590b862d86c1f2388424</t>
  </si>
  <si>
    <t>201473C01002</t>
  </si>
  <si>
    <t>383be4cf0e7903709e4837607df349205bf02165c8e4a62eb3624354cc773ae6</t>
  </si>
  <si>
    <t>201474B01002</t>
  </si>
  <si>
    <t>aeb7851d456002f193af2da4da5293fec3318aa986bb3981bd4409625317c25c</t>
  </si>
  <si>
    <t>201474C01002</t>
  </si>
  <si>
    <t>7cf53907d78bac4f3c9551fec623559fc4c49e80b6e1df8ca015bab4e5bb8a1c</t>
  </si>
  <si>
    <t>201474C02002</t>
  </si>
  <si>
    <t>1a73ee05a90427353dcadb9518381878dec8b9056984081a4c39efa2eda2a172</t>
  </si>
  <si>
    <t>201475B01002</t>
  </si>
  <si>
    <t>0df57c235843f6485f6bd1a8fd010ef8e5043c98fb1c4a0437dcc380237ca32a</t>
  </si>
  <si>
    <t>201476B01002</t>
  </si>
  <si>
    <t>b1c073d4d2f503ebaf5a91c573a50ca241ebb6cbd172a703b12e7e85ed4d1326</t>
  </si>
  <si>
    <t>201476C01002</t>
  </si>
  <si>
    <t>20fbed8d8dd92d6a4733fc2b48082700b384d94888a10dbb2d2095ae41d06dfa</t>
  </si>
  <si>
    <t>201477B01002</t>
  </si>
  <si>
    <t>b5c6fde26eebc4fdc9602e6e27d184a88559bfcb4dd5566dff591b62a64f3527</t>
  </si>
  <si>
    <t>201478B01002</t>
  </si>
  <si>
    <t>61cb75c817928776841886f5cc23b3451d16fe836bf2e29944fa6dd5ceb03738</t>
  </si>
  <si>
    <t>201478C01002</t>
  </si>
  <si>
    <t>55a9c47de6d26369975cf20385a9b9bcc43f61074d4324e97301ab27ec504d75</t>
  </si>
  <si>
    <t>201479B01002</t>
  </si>
  <si>
    <t>a9b45152cbb11f73855338b1f7d1616c74a5448c6eee86ce4b69b1ea76f87041</t>
  </si>
  <si>
    <t>201480B01002</t>
  </si>
  <si>
    <t>98a213134bfdb1b8642b8ec5d9ab062c3aa95a685801ba92f19cfcb1748246ba</t>
  </si>
  <si>
    <t>201481B01002</t>
  </si>
  <si>
    <t>4b2e5d4dcdeca6c5e837f7bdcc0a08a8814462be15febc2147e80f4caf2f3b76</t>
  </si>
  <si>
    <t>201793B01002</t>
  </si>
  <si>
    <t>468e2c88d45463ca166631f913a2b91cbaabd30c8c5fbd76e199f665c0946085</t>
  </si>
  <si>
    <t>201793C01002</t>
  </si>
  <si>
    <t>00efe04e63d767b366bc4f19bbba23dcd3aac56fa56c0976880d04353f2c7625</t>
  </si>
  <si>
    <t>201793C02002</t>
  </si>
  <si>
    <t>bd59e64f1d7dfe6c01e1a64e9f1aac0f63ca01d36ca70c0aaf55c00199b8b514</t>
  </si>
  <si>
    <t>201794B01002</t>
  </si>
  <si>
    <t>73145d84cd66886508033fd043de1536fd2c9820f8509e13366e6d43ba1582df</t>
  </si>
  <si>
    <t>201794E01002</t>
  </si>
  <si>
    <t>e336aa4a61aacd04f8e021d6898bc930b8059a6077bcbf665c05a7a93ec667c1</t>
  </si>
  <si>
    <t>201794E02002</t>
  </si>
  <si>
    <t>0fe425c6e900d8e29c1b84ae398c1b7151cd2fe7e828b60e7f2c6c3d7cd14e4a</t>
  </si>
  <si>
    <t>201795B01002</t>
  </si>
  <si>
    <t>5931a921be11fc980fc5ae1bb3573bfff7e7ca6f71673ba65e8b1c93db208c6b</t>
  </si>
  <si>
    <t>201795E01002</t>
  </si>
  <si>
    <t>30a1f98c90b82597dc3afc3ee742b986ab0d7fc1a4f529273061e918e97d8b94</t>
  </si>
  <si>
    <t>201795E01012</t>
  </si>
  <si>
    <t>0084e1f762fb6160007d1b49a4edd2809d68cbce81a2c0db4069e57e5ac024f5</t>
  </si>
  <si>
    <t>201795E02002</t>
  </si>
  <si>
    <t>045b46710b0b67f7d0b343b6d3892acd211726fd9db648e31dc4bc67daa8015e</t>
  </si>
  <si>
    <t>201796B01002</t>
  </si>
  <si>
    <t>c7d11390f2c28349a565ec7d148472244e80ad0abd89ec80d5310f15a2f00590</t>
  </si>
  <si>
    <t>201796C01002</t>
  </si>
  <si>
    <t>19ed4dc1fc6406e2a2076a3635e7372bd9588f1223a7a3c95e4cf7c8ebfbfa28</t>
  </si>
  <si>
    <t>201796E01002</t>
  </si>
  <si>
    <t>0227e86f96f70539e7950fc68b68b3448b89a69e2e2c5c778f53cab197fe02f7</t>
  </si>
  <si>
    <t>201797B01002</t>
  </si>
  <si>
    <t>3adfec881e1057c7fffbe412b191587c2b0d7373873b82d02a32c044d02e464b</t>
  </si>
  <si>
    <t>201797E01002</t>
  </si>
  <si>
    <t>0475f991cc413285965ef4ab3aadae6b4205ce366da086c9cfdfa0a2918f91f2</t>
  </si>
  <si>
    <t>201798B01002</t>
  </si>
  <si>
    <t>db5a7d4f01aa47d18e5b92d221b6e1b84d5d4dee4e900faa6a5fde672ad72e20</t>
  </si>
  <si>
    <t>201798C01002</t>
  </si>
  <si>
    <t>e5ed24ab04f8c9b2ffe37ce9c6717778a9f2cf21266d08a86afe1ba2d0d2907e</t>
  </si>
  <si>
    <t>201799B01002</t>
  </si>
  <si>
    <t>a908d7375286791f2f4f973dea3649f2a758d9e3978603b0cb2a9cbb88a78326</t>
  </si>
  <si>
    <t>201800B01002</t>
  </si>
  <si>
    <t>db41637cc3e1b1deb694e38a81f0c30e654f8703d58b07661f617997494dc7ee</t>
  </si>
  <si>
    <t>201800C01002</t>
  </si>
  <si>
    <t>40dcdf2940883f0e88078b0b0119427c470e7526c6be71a64d79e9090decd188</t>
  </si>
  <si>
    <t>201801B01002</t>
  </si>
  <si>
    <t>016d9a9ef20e2107d402936b2607e2b2940b558685f8c33a2e9f41b120df13a8</t>
  </si>
  <si>
    <t>201802B01002</t>
  </si>
  <si>
    <t>734ebb279e26dd2563a4e183e4e0bafa36e9e504e0bd0e4c07636dd073697123</t>
  </si>
  <si>
    <t>201802C01002</t>
  </si>
  <si>
    <t>87077d6d8e7745152f343b60d08e411dd6507a2d92c8ea1be331c899c89f5f4a</t>
  </si>
  <si>
    <t>201803B01002</t>
  </si>
  <si>
    <t>0e19bfedffcf734bc769dc5f6dbbc57b0d2f2769bedf87098b2c59a59c733c29</t>
  </si>
  <si>
    <t>201803E01002</t>
  </si>
  <si>
    <t>0c4bf72d7d205fe8530ff69a1cb81b9716463f1c7bde8cf8ba0504bf537e14a0</t>
  </si>
  <si>
    <t>201804B01002</t>
  </si>
  <si>
    <t>de9440e835788837b16f6b979c75ba9d3dc0bd9ca99dcbf38aa20ea34a604df9</t>
  </si>
  <si>
    <t>201805B01002</t>
  </si>
  <si>
    <t>c4fcdac193684fdbed725f9e33585f9cee851a5c0749f9ff1b9619435d976cd1</t>
  </si>
  <si>
    <t>201805E01002</t>
  </si>
  <si>
    <t>dfcee041b7d42d343947c7e6cd55c8b504d8ff525c31c84d1315517d40cb6d0a</t>
  </si>
  <si>
    <t>201806B01002</t>
  </si>
  <si>
    <t>26c50ca9d1ed4377e169fa6dd02276d8a5127999c38b3320f344c2743bab2d2d</t>
  </si>
  <si>
    <t>201807B01002</t>
  </si>
  <si>
    <t>16692cc379bacfa03efc45ea0d47f3ef181eda9c6f8c47a52be75c9ada1164e1</t>
  </si>
  <si>
    <t>201808B01002</t>
  </si>
  <si>
    <t>41de551662875f74f09dba04d6301cf5404067039ef8857af30c7d3fa81f3304</t>
  </si>
  <si>
    <t>201809B01002</t>
  </si>
  <si>
    <t>cbc775c685bfcf7721442396e674ead5c32b4a64469470a86728c33c4c3dc495</t>
  </si>
  <si>
    <t>201809E01002</t>
  </si>
  <si>
    <t>c98b6d72b139287630c3b3589bba2f0b5a39568627f0253408c3bddeb6b24210</t>
  </si>
  <si>
    <t>201010B01002</t>
  </si>
  <si>
    <t>SAN JUAN BAUTISTA TUXTEPEC</t>
  </si>
  <si>
    <t>1e46ec719dc196fcb20d69905922dab1ae812d3a158924e729165d6582b988d7</t>
  </si>
  <si>
    <t>201010C01002</t>
  </si>
  <si>
    <t>8ac6cdece1508cc66c84882fccfee84ad4f6eecb356a6a037d7def0f28eb564e</t>
  </si>
  <si>
    <t>201010C02002</t>
  </si>
  <si>
    <t>23d3482b62e8e8f05fa4936141d13cafc7c1450a361518eba3a02855fb764bf8</t>
  </si>
  <si>
    <t>201010E01002</t>
  </si>
  <si>
    <t>db1e13b5089ba9a669a74aa022b1d2b2230a3ab17a5bfa5049518513dd2f49da</t>
  </si>
  <si>
    <t>201010E01012</t>
  </si>
  <si>
    <t>8b422880c56973e58078d20dd2f74b2772b8a4e51d560b6cdb9b1fb6f0cb1527</t>
  </si>
  <si>
    <t>201010E01022</t>
  </si>
  <si>
    <t>2fca1be14041dfb52b3be80dd831ce5f4a0c82c3c733340798b4489c3317f7ee</t>
  </si>
  <si>
    <t>201010E01032</t>
  </si>
  <si>
    <t>7dc09d0ccc36af1354fbbaab425f63322661a9cb1892ca55cf12865139179652</t>
  </si>
  <si>
    <t>201010E01042</t>
  </si>
  <si>
    <t>96ae48bf4dc60bf77c0bdb872554515ddd8ce7df7ddd39ad4992575a9ab4c423</t>
  </si>
  <si>
    <t>201011B01002</t>
  </si>
  <si>
    <t>4297f92a7d66263edea44c412811051692ad7bd58a23a5c1659045eb489a95a4</t>
  </si>
  <si>
    <t>201011C01002</t>
  </si>
  <si>
    <t>cfa39e2d2f961209e055fb4040d120100dca66cbddbb829b9a99f0fbb2cee364</t>
  </si>
  <si>
    <t>CC</t>
  </si>
  <si>
    <t>201012B01002</t>
  </si>
  <si>
    <t>584bcdc0dedd8c3a0d046be2f1b8cf05b29829c06cf2f53d53e41aea546ccf6f</t>
  </si>
  <si>
    <t>201012C01002</t>
  </si>
  <si>
    <t>16b8b98d0aac803214fadad8d8da0c7e77424b9d601a81ee0497589d4e879220</t>
  </si>
  <si>
    <t>201013B01002</t>
  </si>
  <si>
    <t>898e912637f2d81f0597c100e6f8e9003130ddc3164787c6d346a7be8835dd35</t>
  </si>
  <si>
    <t>201013C01002</t>
  </si>
  <si>
    <t>02dd26e14ffe2fb61750405097fc97708ca6f2cf1c9345d01776944499fb3af1</t>
  </si>
  <si>
    <t>201014B01002</t>
  </si>
  <si>
    <t>7584f6ea3cfd533d355814e8220e1459233f84b24ca8966bb67ab49d36ce7e25</t>
  </si>
  <si>
    <t>201014C01002</t>
  </si>
  <si>
    <t>7117c504f992405667c32b135627ad29a82aab9dac1904f25fc8b0c18abb6fc7</t>
  </si>
  <si>
    <t>201015B01002</t>
  </si>
  <si>
    <t>a34b60a89938fa468b74bd16c555717d339dd688c51e2d1165792124cf769014</t>
  </si>
  <si>
    <t>201015C01002</t>
  </si>
  <si>
    <t>62b845b68badb6f5d5e94178b098ad7d7c7556f514be524afc061be086c1c817</t>
  </si>
  <si>
    <t>201016B01002</t>
  </si>
  <si>
    <t>2041c3e68ce8b3faef20cad01f5bda4b6a1f00dab4a602cb343d87cb5cafd256</t>
  </si>
  <si>
    <t>201016C01002</t>
  </si>
  <si>
    <t>ed063bf76daba6b3c87ec7e2b28ee70ea3f390636bcaeca13ee6268018dbb83e</t>
  </si>
  <si>
    <t>201017B01002</t>
  </si>
  <si>
    <t>4c0e54e41300f357ef472b944d68bcde79170dcef0faa54a1635b13de94ba9fb</t>
  </si>
  <si>
    <t>201017C01002</t>
  </si>
  <si>
    <t>d69e163384d0b6fa0d97423541995d70a85acc1dbed45e0c1b7ef45d8b6e508a</t>
  </si>
  <si>
    <t>201018B01002</t>
  </si>
  <si>
    <t>7c5490daa769f96399ddaf4777eb9a29b33146d90701980bd7073a2c600d5f48</t>
  </si>
  <si>
    <t>201018C01002</t>
  </si>
  <si>
    <t>7ca6413677202c91f8065fe05a0fa2fc1b1d9ebc0e0dae1642cf6e9e8007df0e</t>
  </si>
  <si>
    <t>201018C02002</t>
  </si>
  <si>
    <t>c9f2961435103bfd9664dd8c27d67690af5c0656c80c968732a29245b36f2aa5</t>
  </si>
  <si>
    <t>201018C03002</t>
  </si>
  <si>
    <t>68c0f4c2f238ff2952a297d20fdd656a440c721d520bb96c51f2612f2ff330a4</t>
  </si>
  <si>
    <t>201018C04002</t>
  </si>
  <si>
    <t>cc0e5ab0fd4abcac332df8cb041837beda5029b88fed0f3ab786e375e54805a7</t>
  </si>
  <si>
    <t>201018E01002</t>
  </si>
  <si>
    <t>64cebf43f8c11d4ea6006b5d4b36659492bf9c898fb69db8e7296af0dc49bba6</t>
  </si>
  <si>
    <t>201019B01002</t>
  </si>
  <si>
    <t>b1ebeffa012e5456dc473a69420c85265de8cb0c78c69171bddcfd126383a351</t>
  </si>
  <si>
    <t>201019C01002</t>
  </si>
  <si>
    <t>ac5b814b0eff8dcd46ab25564586c39d05e962be1e91e73eab5e9135317c35b4</t>
  </si>
  <si>
    <t>201019C02002</t>
  </si>
  <si>
    <t>771ac27ac0f2e61ba9517ddf7df8f96afd0f064b12483058248af9723b1fc8d7</t>
  </si>
  <si>
    <t>201020B01002</t>
  </si>
  <si>
    <t>2e9e89d52fa2eb602cc06e0cff3928fda02b67772988f3d8d3ac3177b8a1cead</t>
  </si>
  <si>
    <t>201020C01002</t>
  </si>
  <si>
    <t>63c910648a6093a8169e1efc0b4d733143d7f4a33d4789a0f156000c5f21d4d5</t>
  </si>
  <si>
    <t>201020C02002</t>
  </si>
  <si>
    <t>9960c9fd0099a484c0fcd33aee1743d2d6f6f1047d6ce1e9b2de8ce2b899a697</t>
  </si>
  <si>
    <t>201021B01002</t>
  </si>
  <si>
    <t>c454b5e4a8929ac87c4bceba3fa46572c85ccaa1673314504cebcbf8a17dc0c3</t>
  </si>
  <si>
    <t>201021C01002</t>
  </si>
  <si>
    <t>17800233f65fb1635dde9f73c16cc714fa5e67c3f80c43a694bab1375b6c4181</t>
  </si>
  <si>
    <t>201022B01002</t>
  </si>
  <si>
    <t>e0cadf11c1d8d1a381f0bd54802727003d8298eae81d8632a55bb2bb9148c83d</t>
  </si>
  <si>
    <t>201022C01002</t>
  </si>
  <si>
    <t>2cbcdbfc568808d15fa07bd7188df5731c9b8c95b59a689b8228109397abc407</t>
  </si>
  <si>
    <t>201022C02002</t>
  </si>
  <si>
    <t>bc6455d1b0d6164d593b3cbb0414e35a69a662bc38786c4aa800c68e700107b5</t>
  </si>
  <si>
    <t>201023B01002</t>
  </si>
  <si>
    <t>0bf51323f089f617f6fb41104a89fe72f4ab10b908ee400b9d621ec957035c4b</t>
  </si>
  <si>
    <t>201023C01002</t>
  </si>
  <si>
    <t>49e9b8baecd80185d440ec9359f247259e25aab2efeaf63735c04d5bebacc09b</t>
  </si>
  <si>
    <t>201024B01002</t>
  </si>
  <si>
    <t>26f2878fe6fae0bd6418d1efb9f347cf77ce74a7e5c599e5ab81b604522789ee</t>
  </si>
  <si>
    <t>201024C01002</t>
  </si>
  <si>
    <t>7292677660175b801d9315347d43f88341214a903f68eb821aede88fc0225071</t>
  </si>
  <si>
    <t>201025B01002</t>
  </si>
  <si>
    <t>a331dfd36b33da72a2b3caeadda3f18a5e31390f1dcee5d9b0393a8016227374</t>
  </si>
  <si>
    <t>201025C01002</t>
  </si>
  <si>
    <t>984448380400c76865efa283f6c3b6b839914c927957f845e52473cf910aad44</t>
  </si>
  <si>
    <t>201026B01002</t>
  </si>
  <si>
    <t>7b9e2caf38491510b7b3d61af88953275661fef275456123cd16e4ea64217498</t>
  </si>
  <si>
    <t>201026C01002</t>
  </si>
  <si>
    <t>54d4d176f81b3310218a36c3c99a32ed723cff6a5a6ac183e94c1396913d7bda</t>
  </si>
  <si>
    <t>201027B01002</t>
  </si>
  <si>
    <t>1f424238ba6903c04adc39099804be1b002e7a9e4fc5ab7602326ae2fc71577e</t>
  </si>
  <si>
    <t>201027C01002</t>
  </si>
  <si>
    <t>0015984188af731b09a3afe3dab8c9bad60b1351e02421ee23ac59515374d6d7</t>
  </si>
  <si>
    <t>201028B01002</t>
  </si>
  <si>
    <t>6f7bb15da0affb0967ceb57d60f82441ebf2827c411ba9d5227685389df53868</t>
  </si>
  <si>
    <t>201028C01002</t>
  </si>
  <si>
    <t>8da82b376654a7bcc2ae5897920c1a83cbf005c3fd15be011ff90307ed8eae03</t>
  </si>
  <si>
    <t>201029B01002</t>
  </si>
  <si>
    <t>08ad071f309b7ad0c116ea6de2333018d07077b708ce9f67e36ac649939ba90d</t>
  </si>
  <si>
    <t>201029C01002</t>
  </si>
  <si>
    <t>2d4736fdbecd1a8c35700818e97bab894f003316222ac27590f2bf37d9adb706</t>
  </si>
  <si>
    <t>201030B01002</t>
  </si>
  <si>
    <t>900ef9695c65917ac4396f10700467fa2d5b2455ec1d0b41ff13afff20f7f555</t>
  </si>
  <si>
    <t>201030C01002</t>
  </si>
  <si>
    <t>fafbb6163f311a93a8641ae5e44e21727d9613d905c88e720c90362da71b4db6</t>
  </si>
  <si>
    <t>201030S01003</t>
  </si>
  <si>
    <t>4c49ef6b67d3373e6eff0bd3969589a4bfd211ff5c29009edaa696466f7b07a5</t>
  </si>
  <si>
    <t>201030S02003</t>
  </si>
  <si>
    <t>e062ce32adb73e3fb4897d8d8f8db52b4f66571eab0ac05ac23a6f09d2fafce1</t>
  </si>
  <si>
    <t>201031B01002</t>
  </si>
  <si>
    <t>6ef1205e238540a8f68a6db4370665621365f190a1c1b40ffbefb95e895ce01b</t>
  </si>
  <si>
    <t>201031C01002</t>
  </si>
  <si>
    <t>489189cde9ec15df79a8f77b6e02cc9daac6883e78207cff6ccd8cd393b49077</t>
  </si>
  <si>
    <t>201032B01002</t>
  </si>
  <si>
    <t>dea4c9a7dd16f410406e87c81fbef25b5372580b24699d58b2ba3fc5c86ab559</t>
  </si>
  <si>
    <t>201032C01002</t>
  </si>
  <si>
    <t>03df39c8b45b3135bdc4306c28f2ab8233ce1bc73cd4b284d9147ae1bbbf3b0e</t>
  </si>
  <si>
    <t>201033B01002</t>
  </si>
  <si>
    <t>c93a2d8ef2c7c483c3bc5ece86c7417f05e2196a5b70b80a3e34a7d41ab1a8ab</t>
  </si>
  <si>
    <t>201033C01002</t>
  </si>
  <si>
    <t>1b9255c4d15e9e1d3ec31db3511dff8be340c2cb7248faba31321c21079ff7f1</t>
  </si>
  <si>
    <t>201034B01002</t>
  </si>
  <si>
    <t>a30f3215661bd906628d4bd5a06aa23cd8bf42efe89ef4a1b5dbb19de12acc74</t>
  </si>
  <si>
    <t>201034C01002</t>
  </si>
  <si>
    <t>5bce272cf2110982728e55dd69ae69ec6c8b18b3fa025b081d2a4993525a8894</t>
  </si>
  <si>
    <t>201034C02002</t>
  </si>
  <si>
    <t>b0f5ad15694b91f6f8cdc7f8132dd7e669ab5615006f7431a4338f759bc14f19</t>
  </si>
  <si>
    <t>201034E01002</t>
  </si>
  <si>
    <t>8bbb307528e3ec582428cabc573a0ed0dbb7b0417b6e487ca6f854c6a63bfa46</t>
  </si>
  <si>
    <t>201034E01012</t>
  </si>
  <si>
    <t>1ff02cae680c18fd16d74237e4723d98497e725dc0def97acec9e508c299c4f4</t>
  </si>
  <si>
    <t>201034E01022</t>
  </si>
  <si>
    <t>1c41e9ae70c79d8cdc5e687f2a6e273ebefd8b94802fb704e273a4c529029b05</t>
  </si>
  <si>
    <t>201034E01032</t>
  </si>
  <si>
    <t>cda4f4952ea11fa6b36d13d79863de3747e083def74e173c542f1000c4d28f36</t>
  </si>
  <si>
    <t>201035B01002</t>
  </si>
  <si>
    <t>329b716ae5f2ea2c06031df37cf78389d07bfa137be5a5853349a16c7362d8e5</t>
  </si>
  <si>
    <t>201035C01002</t>
  </si>
  <si>
    <t>8b31abba4e51e68be63ac8c32b34513c3ead0fe3b2caff2619e57412122d49ef</t>
  </si>
  <si>
    <t>201035C02002</t>
  </si>
  <si>
    <t>465b661d99a076de4392601f38837776f99bdbc2f7f1bf604be5350d7175a950</t>
  </si>
  <si>
    <t>201036B01002</t>
  </si>
  <si>
    <t>863995940ab3d2df17f2248177fe5f97d5410df349eed5061f984f028569cd2c</t>
  </si>
  <si>
    <t>201036C01002</t>
  </si>
  <si>
    <t>4e01f9d8d5845df8cbbb1b0d15fbf1df3604f2af4d081d2094ad044af7116b09</t>
  </si>
  <si>
    <t>201036C02002</t>
  </si>
  <si>
    <t>7abb8f5819c5eac192a8cc4bfa8c03b09e7cc0f2d681bc98ec60f10deb0980f5</t>
  </si>
  <si>
    <t>201037B01002</t>
  </si>
  <si>
    <t>98fcc544e36660a9096076fb2855f3839cdd77d7b1e293e550b9c2a54f6d1eb3</t>
  </si>
  <si>
    <t>201037C01002</t>
  </si>
  <si>
    <t>b1c3be8f56da50eb48744b7f3fefbd7884eaa02a567bf695e0183740488f7150</t>
  </si>
  <si>
    <t>201038B01002</t>
  </si>
  <si>
    <t>3243e0524b6095257811d7868672e9b5d7056b81202c5a7e7cea683a8775b64f</t>
  </si>
  <si>
    <t>201038C01002</t>
  </si>
  <si>
    <t>ae28726cfdff30d3354255e377eafe09ad95c6b6730b8061640c01a382cac07f</t>
  </si>
  <si>
    <t>201038C02002</t>
  </si>
  <si>
    <t>16223f9858be3b67957a5f2d76f00d25e40d8ccc58e368eb9bd1ea2936d91a70</t>
  </si>
  <si>
    <t>201039B01002</t>
  </si>
  <si>
    <t>7effbb888b7327adea0a1cf62ce4c6e41b26f8054e80d4eb8b02309ccc776765</t>
  </si>
  <si>
    <t>201039C01002</t>
  </si>
  <si>
    <t>544de7295848dd672d52c139dded1be5632bdd072bb355dc26752b221931225e</t>
  </si>
  <si>
    <t>201039C02002</t>
  </si>
  <si>
    <t>a854f725e93e984483644ec3b7499ca27dd1d74321b9652ecb118eff13685648</t>
  </si>
  <si>
    <t>201040B01002</t>
  </si>
  <si>
    <t>05c3f6d1ec9645121d44c98f2b326ecb35f1ebce443af1061f30fe28b62095e7</t>
  </si>
  <si>
    <t>201041B01002</t>
  </si>
  <si>
    <t>a73666ff58d514f862eb532a32801b2cc46ae701253729748877fdf22643443c</t>
  </si>
  <si>
    <t>201042B01002</t>
  </si>
  <si>
    <t>ce53944c48cb6bb0a033e1dddabedaa20e78c4570e0bc70d29c3c2fa3461fcaf</t>
  </si>
  <si>
    <t>201042C01002</t>
  </si>
  <si>
    <t>6d6a73facea198bc5e488182f646b159f3907d15b03fd483f2f665f75c6a1847</t>
  </si>
  <si>
    <t>201042C02002</t>
  </si>
  <si>
    <t>23edf3e5fc6508c5129c1ef00d9b12ef2eb09b0f8818abcdc467e31cc1ee4171</t>
  </si>
  <si>
    <t>201042C03002</t>
  </si>
  <si>
    <t>6378c7d9083d17df0042e2fdcf65c0a3e36247779f8f35977a7696a4edbf9760</t>
  </si>
  <si>
    <t>201042C04002</t>
  </si>
  <si>
    <t>19b1f2e12b438f1b8a8cc5ec962770692442ffcd0cff0d312c3a8feda798e20d</t>
  </si>
  <si>
    <t>201042C05002</t>
  </si>
  <si>
    <t>499a14392b72b26c73e39fc97f27fc26026c92ba4dfe36960f518230ee050873</t>
  </si>
  <si>
    <t>201042C06002</t>
  </si>
  <si>
    <t>e20cbd371f683b7ea2391e12c645e5c9c4ba8ab7896577dd18b6d5b240db5b1e</t>
  </si>
  <si>
    <t>201042E01002</t>
  </si>
  <si>
    <t>968bd5cd15ff4727ca3fc374ccd72cfe7f2d5b232de0eaaad0c86fcdc29cf1ab</t>
  </si>
  <si>
    <t>201042E01012</t>
  </si>
  <si>
    <t>dc03b7381df2696c582ef61c86753d4c4e9019debf8dc632ca168e35439a1a11</t>
  </si>
  <si>
    <t>201042E01022</t>
  </si>
  <si>
    <t>4ecfb6098622aa3527827e9c78d81727cdc7ac16171553becb5ff9b6c2228c87</t>
  </si>
  <si>
    <t>201043B01002</t>
  </si>
  <si>
    <t>6388665fbbfc97125ea920fd6d7c5b0893585d419063d6d33f465a7f7ecab936</t>
  </si>
  <si>
    <t>201043C01002</t>
  </si>
  <si>
    <t>7726345f913bf28161c3ac13d93338a45c045a62c4376a116f47c235b7ac2b69</t>
  </si>
  <si>
    <t>201043C02002</t>
  </si>
  <si>
    <t>f3d75a5be192c60c87aa4c7d2faadffb51ba42e5ee7bff8ab03f0c927d3868c8</t>
  </si>
  <si>
    <t>201044B01002</t>
  </si>
  <si>
    <t>205fde4efd40762ffba7f2db47004f7605cfb08992a2a19424b46b7f70112540</t>
  </si>
  <si>
    <t>201044C01002</t>
  </si>
  <si>
    <t>3c19cc5419f63fc9c96580346e78f190f207dfe4e942ddd76f5a0e849c7181b5</t>
  </si>
  <si>
    <t>201045B01002</t>
  </si>
  <si>
    <t>e592bfc79bff0dfe9bef210499852c066f6de94f82070c18f6becd0dd79c27c9</t>
  </si>
  <si>
    <t>201045C01002</t>
  </si>
  <si>
    <t>a130b1a84243534b2ab7b58768c75bf860ff3fdfe665a1422e76fc0ba807cadd</t>
  </si>
  <si>
    <t>201046B01002</t>
  </si>
  <si>
    <t>ce41e419469c151e61901b95d7b7c3a134f6c4251deeaa4dafcc7bbf1d51ad73</t>
  </si>
  <si>
    <t>201046C01002</t>
  </si>
  <si>
    <t>b14c46602bb56bd73fec1b4c52b6195d72b373ea5ece6970e3ce8ab6e724c484</t>
  </si>
  <si>
    <t>201047B01002</t>
  </si>
  <si>
    <t>c8f0d16c6415b7b7e94d07df8fd2a48c23d1242dca513dbd2de774e0e3e82bed</t>
  </si>
  <si>
    <t>201048B01002</t>
  </si>
  <si>
    <t>dc5e82339c7bdd27b660e02e589ab61e1baabb4900dba94ba9e86557cd5112c2</t>
  </si>
  <si>
    <t>201048C01002</t>
  </si>
  <si>
    <t>837f1553db7f9ffb386384e971f9d40f1d03498d9813317cfa7c46822c11cde7</t>
  </si>
  <si>
    <t>201048E01002</t>
  </si>
  <si>
    <t>efed6208b7c4fa064a7711a918383636ab4f7d8a70e8b9bc654317c2f168c725</t>
  </si>
  <si>
    <t>201048E02002</t>
  </si>
  <si>
    <t>117e92e514f0aad7ec5ee5b5d43b8be0e5aad152beff8071ef44785002ab84b7</t>
  </si>
  <si>
    <t>201048E03002</t>
  </si>
  <si>
    <t>94994ed7d460f4fcb7fce6798cc75871c01767f634043e3b7da836307558ba8e</t>
  </si>
  <si>
    <t>201049B01002</t>
  </si>
  <si>
    <t>9a0d9c2f135c83e4313712bbd165028d6224784851a16c893e46e039c9fa79d8</t>
  </si>
  <si>
    <t>201051B01002</t>
  </si>
  <si>
    <t>8a79e75952ce2fc9ad2bb262030474217060363bdda838c6e6f6c1a102021e4e</t>
  </si>
  <si>
    <t>201051C01002</t>
  </si>
  <si>
    <t>0856cc64c22d6f8105b15defef2ca731dcba384a6b9e981bb2dc67b6e382e4b8</t>
  </si>
  <si>
    <t>201051E01002</t>
  </si>
  <si>
    <t>fcb1d44da1d5227c5a0b6b9107786f8722ea9247cc1e34398f349e088c598a35</t>
  </si>
  <si>
    <t>201051E02002</t>
  </si>
  <si>
    <t>1b374ee289f3fde69e99bfc85d191c9171bf4ba8f9f3c316acb82add7a99dc48</t>
  </si>
  <si>
    <t>201052B01002</t>
  </si>
  <si>
    <t>fe2088341d80e9c09b6f364dfeb4db678aa180a0b4d514bb59fce8922f8a9d6f</t>
  </si>
  <si>
    <t>201052C01002</t>
  </si>
  <si>
    <t>2358fc87620e8472129080e948492887a39817d90fc6bddfc4b47678a2509fcf</t>
  </si>
  <si>
    <t>201052C02002</t>
  </si>
  <si>
    <t>a65a2521d3dc4f23e7414d3936686ab79579191c6f1b990d0b33f32031eb7c1c</t>
  </si>
  <si>
    <t>201052C03002</t>
  </si>
  <si>
    <t>0b792ee9bf39f38e90e90903e2a0788af2a4ca75647c3072152da4c782beb8ea</t>
  </si>
  <si>
    <t>201053B01002</t>
  </si>
  <si>
    <t>ec56f4feb6692f8167ed979a8f586a70de389223b4c274482f46189bf4751a88</t>
  </si>
  <si>
    <t>201053C01002</t>
  </si>
  <si>
    <t>7c152918c499669fda711f99d5c423e7b51839659a056a6f4d62d6c62314bc7b</t>
  </si>
  <si>
    <t>201053C02002</t>
  </si>
  <si>
    <t>6ef24d8a902477c765fe9db5116f8f1bcc407e861bd9e592f564252e0ac961e4</t>
  </si>
  <si>
    <t>201053C03002</t>
  </si>
  <si>
    <t>c57171f5b06251cd84f47f6b22ee2a0523762c35739885e531431d4ef2dd3fbf</t>
  </si>
  <si>
    <t>201053E01002</t>
  </si>
  <si>
    <t>5025d11dd3eae58aee36d6b92e280c953f0b745a56138e70d14bda235824a737</t>
  </si>
  <si>
    <t>201053E01012</t>
  </si>
  <si>
    <t>46e170261665c43f8787aff8a0419f098b20c9dbab16895f087e2cd574f0bc59</t>
  </si>
  <si>
    <t>201054B01002</t>
  </si>
  <si>
    <t>58ceada97a1b73a4f6344f1ac8784d3dd86530414c45220b9b10e86f0593db3b</t>
  </si>
  <si>
    <t>201054C01002</t>
  </si>
  <si>
    <t>5ee28c26164363091eacf8cbedf213504239124cb6a0d55a76509ebf357f2780</t>
  </si>
  <si>
    <t>201054C02002</t>
  </si>
  <si>
    <t>a7a1547e2f249aadde581c30aedcf16fc3d78c6b949b5d328a139bce39030edd</t>
  </si>
  <si>
    <t>201054C03002</t>
  </si>
  <si>
    <t>b5c3a427cdcc8b169bb8dc4b0af35e9fcca2c65f51e2dece47a5e3d26dc4d24b</t>
  </si>
  <si>
    <t>201054E01002</t>
  </si>
  <si>
    <t>e7c27450f47eed043f3783d67e2f2e40488871f2293cdd417d066923ecce30a5</t>
  </si>
  <si>
    <t>201054E01012</t>
  </si>
  <si>
    <t>5cd0d92608fbb43eabe382623580354f8f7a7f48ffab387495b6a1f91a97ef74</t>
  </si>
  <si>
    <t>201055B01002</t>
  </si>
  <si>
    <t>TODOS ILEGIBLES O SIN DATO</t>
  </si>
  <si>
    <t>aaa33c8c5ffb9fc56cdd8c46d09f098b1bca47a0b1fe9092aed7668e98d3689a</t>
  </si>
  <si>
    <t>201055C01002</t>
  </si>
  <si>
    <t>a567dcdeda2f2f6d319499223e1cc213db1616ee57e50046a455ecf1d5ed86fb</t>
  </si>
  <si>
    <t>201055C02002</t>
  </si>
  <si>
    <t>8b22197f05bb3bf5426db0eeea6259e213ee7ffceb150a673c547c4ab0789dc5</t>
  </si>
  <si>
    <t>201056B01002</t>
  </si>
  <si>
    <t>80004f43905d4ed36b98c13a1d16c9ea1a9e9ac1ad476b0b8e6042c60e30d93f</t>
  </si>
  <si>
    <t>201056C01002</t>
  </si>
  <si>
    <t>b5fe0cda80cc9cd9ad600bd98ee40715cf32a0d78b43b70c282b2dcd4137044f</t>
  </si>
  <si>
    <t>201056C02002</t>
  </si>
  <si>
    <t>460a2d3376074500cc5fcd4f6373c0ce217a49c56da65296e63bdec5a39ef935</t>
  </si>
  <si>
    <t>201058B01002</t>
  </si>
  <si>
    <t>f16c7c3020304a302f66fab2f8570e1476d504558f0207792324107eefaa5a1a</t>
  </si>
  <si>
    <t>201058E01002</t>
  </si>
  <si>
    <t>472516088a19743ab1b8177902c17a73388ddcbc251a2641fed66535cc1f7dc9</t>
  </si>
  <si>
    <t>201059B01002</t>
  </si>
  <si>
    <t>1b23c4e4273d2d24b8b6efaa9cd071e213a0c175a77845083ef2f175246c7c9d</t>
  </si>
  <si>
    <t>201060B01002</t>
  </si>
  <si>
    <t>4ff9dfabfcfd35c8caab51f3939337289945f7248d224bfe9050611785412469</t>
  </si>
  <si>
    <t>201060C01002</t>
  </si>
  <si>
    <t>8ba1f194d2818cd81fe216c6195e22e7d3502db3b4e305109ef532768ddfc2b7</t>
  </si>
  <si>
    <t>201060C02002</t>
  </si>
  <si>
    <t>8b909bf5a398073787c14eb597b09651274b9e34de32ba6875c35e696deb2263</t>
  </si>
  <si>
    <t>201061B01002</t>
  </si>
  <si>
    <t>7eaae3181484f0d357618a2544c089ff1fa57fd5d6967dd3e3ab2ed62e09189c</t>
  </si>
  <si>
    <t>201061E01002</t>
  </si>
  <si>
    <t>8b5468ef772ad0039a5b5bfeff170d686146fb7bb2845a0a50147a7c6750e1b8</t>
  </si>
  <si>
    <t>201062B01002</t>
  </si>
  <si>
    <t>065caf630c5b3dab0b5011cd240c4d08e5468a8ea5d1bc85d971cc281bc0efe0</t>
  </si>
  <si>
    <t>201062C01002</t>
  </si>
  <si>
    <t>c7f6f1ede3a666a98cc6492d01072062df3cd02696ba82aa779d6204cb937a0a</t>
  </si>
  <si>
    <t>201063B01002</t>
  </si>
  <si>
    <t>3f354787901ab6a4ed1cc79752b6e08f8dd5f63190d4211e689ca0edc707a06d</t>
  </si>
  <si>
    <t>201064B01002</t>
  </si>
  <si>
    <t>5f715e96a5d418fc7ee07d27a91fce6a4b7b6f72c5e6e5ae123a4e03eccf9fc5</t>
  </si>
  <si>
    <t>201064E01002</t>
  </si>
  <si>
    <t>1fafb36ac5785ec6df1d1b3d164e50596cf779b5bc83db85e49ebdf1e748157b</t>
  </si>
  <si>
    <t>201064E01012</t>
  </si>
  <si>
    <t>d2d8f553285374b2c8cad194f208d0c47997eb2699f01a714900bf6ca800553c</t>
  </si>
  <si>
    <t>201064E02002</t>
  </si>
  <si>
    <t>65f1d7cfcbb24d6e87683e048bd271c7d8969228081aab2749fba4d5dcc662f7</t>
  </si>
  <si>
    <t>201065B01002</t>
  </si>
  <si>
    <t>541ac7eead833a408b12546b65bdd794f6db0802d3514da882ba17de86b8bfaf</t>
  </si>
  <si>
    <t>201065C01002</t>
  </si>
  <si>
    <t>94c934fccdf1a247e3341b70d128dbda24e24a370d4b1a9dfb3ad92786937187</t>
  </si>
  <si>
    <t>201065E01002</t>
  </si>
  <si>
    <t>19cb3a7f09d3c044437eef8eb0f988f3e90b20ed47843331ea447ceebe044a8c</t>
  </si>
  <si>
    <t>201065E02002</t>
  </si>
  <si>
    <t>581e67967e677ba877357a10c03e6e4dbb39a174fe6c82bc710d3689997e1bec</t>
  </si>
  <si>
    <t>201066B01002</t>
  </si>
  <si>
    <t>075c0eb5ac0dcead01d9ac8bf82175afadeba44670e36420a215e4255f552c24</t>
  </si>
  <si>
    <t>201066E01002</t>
  </si>
  <si>
    <t>cdbb0232eb07549517bbe2e3587c2e2737fc1529edd8ab7c2dd187f97a2e4aa8</t>
  </si>
  <si>
    <t>201067B01002</t>
  </si>
  <si>
    <t>76f8c16ae2050e27428f3c4a2f6f445841c76efc69ae3487539d8a189cb5f23e</t>
  </si>
  <si>
    <t>201067C01002</t>
  </si>
  <si>
    <t>988e9901553fae8bc127bd876bc791a46d43cee15f32e940e6badcd06a2e7e0c</t>
  </si>
  <si>
    <t>201068B01002</t>
  </si>
  <si>
    <t>963e892d9efce82505599995ab5af5f0b8948ec96a0934ddc7721b04189459aa</t>
  </si>
  <si>
    <t>201068C01002</t>
  </si>
  <si>
    <t>7adc5b5cf5ff33bb6020ac93d4b3f9fbed9dc4f8873ab2d8447da33e2ceee78a</t>
  </si>
  <si>
    <t>201069B01002</t>
  </si>
  <si>
    <t>053c2e8c69925c79074bde665607b8fc5ac935b7fd7ca05c065533fef8e29c76</t>
  </si>
  <si>
    <t>201069C01002</t>
  </si>
  <si>
    <t>8e3921e06086a82559f3318b6b1c8c9d65d93f6234c1f56d15d6fb29a6988c57</t>
  </si>
  <si>
    <t>201069C02002</t>
  </si>
  <si>
    <t>1f571486358ae65b319eeb50e04beaa7748cfb3063072e1f9fea39b1c3dde2d4</t>
  </si>
  <si>
    <t>201069C03002</t>
  </si>
  <si>
    <t>4a4c075c64a7641d94525fe80b2edbf6c144634fc6dee57bf3fa5db1ae607d5b</t>
  </si>
  <si>
    <t>201069C04002</t>
  </si>
  <si>
    <t>b921dae4492297e39f03ec14dd5892502f3f38225912d9d293e1fcb5982bce80</t>
  </si>
  <si>
    <t>201070B01002</t>
  </si>
  <si>
    <t>6bb79d5e5bd618f6cae582b87d1c6bf52beb8b809f64e7634d691ec899de2592</t>
  </si>
  <si>
    <t>201070E01002</t>
  </si>
  <si>
    <t>4ae20f77e0adb26d9dedcc90bf4c1055cacf66bee69841232dc5fd3c2ae46e37</t>
  </si>
  <si>
    <t>201071B01002</t>
  </si>
  <si>
    <t>e8bcdae9bb218ca396366e44e8a66d83f269ec9fea3fb2db7aef1c76d5ba1961</t>
  </si>
  <si>
    <t>201072B01002</t>
  </si>
  <si>
    <t>ca00341758f62fcc3d4a478bfbdcc0e2a2d2a96d8a94963161d73ae52b20263f</t>
  </si>
  <si>
    <t>201072C01002</t>
  </si>
  <si>
    <t>453e559767239d7e47baedbaef9423ae6fdf3a39d20f1640865b8dc9cd1aa4bc</t>
  </si>
  <si>
    <t>201072C02002</t>
  </si>
  <si>
    <t>8c6181d61ef0497649d934a92b6339220077ace88ec907ae52422deb20a3dd51</t>
  </si>
  <si>
    <t>201073B01002</t>
  </si>
  <si>
    <t>64fb91f1bca80ded53198fe397ee8260ac48e01ae81b938fd949f1174cc3c795</t>
  </si>
  <si>
    <t>201073E01002</t>
  </si>
  <si>
    <t>952daa9485b8903f2669d98fe84113aa44c1305e11d00bc861c31411551b5808</t>
  </si>
  <si>
    <t>201074B01002</t>
  </si>
  <si>
    <t>4cb2ff93b3f2ec48173c6e3777a0957e9b1687f3629605bb8078fa1773ca09bb</t>
  </si>
  <si>
    <t>201074C01002</t>
  </si>
  <si>
    <t>f1d84ecf1bfbaf6c99f95875045e80b6fd1710f3312b857e87681df8b8cc0b60</t>
  </si>
  <si>
    <t>201075B01002</t>
  </si>
  <si>
    <t>6508ad76dddef88e8358a6b6c73b9ba806ce43eaa7eb1361a736ce8a78997797</t>
  </si>
  <si>
    <t>201075C01002</t>
  </si>
  <si>
    <t>88570f88073d7cbcfcf76d1d4be3ffc47e839bcda4e4b4782f92693fa6beb7ef</t>
  </si>
  <si>
    <t>201076B01002</t>
  </si>
  <si>
    <t>804e803a5b345a47370f66e8e3ffe706ee8a28be68a234fa1f63ed72341ee37e</t>
  </si>
  <si>
    <t>201076E01002</t>
  </si>
  <si>
    <t>beab3b09b5ef8a882e06c7b4c2980506a371a5cb38c9a475ab0cf544d5793167</t>
  </si>
  <si>
    <t>201077B01002</t>
  </si>
  <si>
    <t>62189a94198265886b1013521404842569c24b400b0e05d8127f4986da440059</t>
  </si>
  <si>
    <t>201078B01002</t>
  </si>
  <si>
    <t>815de23cd6e0de1388fd51e814cef60e6dc8a17b4c4b306844bf63b8d168f418</t>
  </si>
  <si>
    <t>201078E01002</t>
  </si>
  <si>
    <t>6addc628b3c7c456d6513e3c17c799b17e172fe4e342d01a91ded161fb56950b</t>
  </si>
  <si>
    <t>201079B01002</t>
  </si>
  <si>
    <t>0c9e77c83596c359c8339831beed9cd86fee173d75b2e7b7988836a358af7c61</t>
  </si>
  <si>
    <t>201079C01002</t>
  </si>
  <si>
    <t>824b7876c32dfad2603a0e9f928a0b36d1d4de43b626c21ff4e926f6fc62d544</t>
  </si>
  <si>
    <t>201079C02002</t>
  </si>
  <si>
    <t>e75cf1909109d1777710ac9c04a4760ff03a99c7b900c5b633b1da7873cbde2b</t>
  </si>
  <si>
    <t>201083B01002</t>
  </si>
  <si>
    <t>5091f33071158719035bc6a32b7e90ee3b79a95828e06257e82cd0394f0b8328</t>
  </si>
  <si>
    <t>201083C01002</t>
  </si>
  <si>
    <t>45b3a3e7c7dbeedcbffe8482fc98fee23863c30ff21a1b81cca3f604d3e54dbc</t>
  </si>
  <si>
    <t>201260B01002</t>
  </si>
  <si>
    <t>098f14bcc261bf9884ee297bc4bc40498bc2215edaf78871384ec4dbd0b20e71</t>
  </si>
  <si>
    <t>201260C01002</t>
  </si>
  <si>
    <t>c888da2f28bc677225f96bd760be602398fb87fafe6917b59f209b1a4a556f9c</t>
  </si>
  <si>
    <t>200074B01002</t>
  </si>
  <si>
    <t>LOMA BONITA</t>
  </si>
  <si>
    <t>4f070e479f710cbd5793f2193b6ac0ea7b24d4bd367737f95d4ea36bb2d026c9</t>
  </si>
  <si>
    <t>200074C01002</t>
  </si>
  <si>
    <t>c13ec583b2856faf58db9d92de5cbea6ba5f43d4146cafad33d4f8d576b7b132</t>
  </si>
  <si>
    <t>200074C02002</t>
  </si>
  <si>
    <t>a4578178f142a7ebe879031df744effe5b67b02f1e6a0cdfed5a387e90c04cf7</t>
  </si>
  <si>
    <t>200075B01002</t>
  </si>
  <si>
    <t>b4aebf767abcab8047f2250d5345e62e0ec51205df21a47ed89b8918c72cd903</t>
  </si>
  <si>
    <t>200075C01002</t>
  </si>
  <si>
    <t>452717f619bb9357762c1e9529c319e2373ba087da39ce62e7068ed81f65c857</t>
  </si>
  <si>
    <t>200075E01002</t>
  </si>
  <si>
    <t>fd2098e3aae8c65d61ed4e2c4369d72270141b9287bb7b112671452e55226b4b</t>
  </si>
  <si>
    <t>200075E02002</t>
  </si>
  <si>
    <t>fa2111d1c1be286884cd58c9cc3cbe94bf150856c1faec29bd6daeface4bcd7c</t>
  </si>
  <si>
    <t>200075E03002</t>
  </si>
  <si>
    <t>1da6a8c2d918594b57b616d2de0a495b85f091c1df06b35c65825669248ae0bb</t>
  </si>
  <si>
    <t>200076B01002</t>
  </si>
  <si>
    <t>SIN ACTA POR PAQUETE NO ENTREGADO</t>
  </si>
  <si>
    <t>5d0130b8010d55cdc62c7f6cc1d46d55377b3426234cda2fbda0e601af59e388</t>
  </si>
  <si>
    <t>200076C01002</t>
  </si>
  <si>
    <t>29546188e72a297c819e6f5808561c0e6817954b797247ff5a87d2719585ca70</t>
  </si>
  <si>
    <t>200333B01002</t>
  </si>
  <si>
    <t>9c17116ac86c12167c4e78623ba1dfe7bf4f075a67c0434c59c5eb19883b6edc</t>
  </si>
  <si>
    <t>200333C01002</t>
  </si>
  <si>
    <t>c10bc80fb946fd4816163cc04f89ab95f75739fa2962490028f01b624d3f0c6c</t>
  </si>
  <si>
    <t>200334B01002</t>
  </si>
  <si>
    <t>e88742b8ce66f2a5c5346cf89fe26f8bd1411c96aa062833ad43cccab54025c0</t>
  </si>
  <si>
    <t>200334C01002</t>
  </si>
  <si>
    <t>d2583ea7226d954ea7f4f8dacda1da53bb83684b90c83534d74c57fdc74f9694</t>
  </si>
  <si>
    <t>200335B01002</t>
  </si>
  <si>
    <t>a2b2182fc165a43010acb085dca0239cc94b0a72f8d698646949cd4c7e33a682</t>
  </si>
  <si>
    <t>200335C01002</t>
  </si>
  <si>
    <t>8152add658f1760a13e36549981f0fd0a9706be8b6a80f3de0e32691a6b2d483</t>
  </si>
  <si>
    <t>200336B01002</t>
  </si>
  <si>
    <t>61747f0b417c142470dbff7d0a884375a66ebe49bf9e3974c4c84d5f52dc750f</t>
  </si>
  <si>
    <t>200336C01002</t>
  </si>
  <si>
    <t>c5e7a8ab78b5b367ba0878320d24f0c1b887b03906f969b5256864d28675ce9d</t>
  </si>
  <si>
    <t>200337B01002</t>
  </si>
  <si>
    <t>6bd36a1a3629138c8b8ccc76a38645ddf194fd926f39ee45992b361ee18abd87</t>
  </si>
  <si>
    <t>200337C01002</t>
  </si>
  <si>
    <t>25de11160cab8ada2d6e76a928c511478a7ee505fa7fbe994e8de2da8d8b0abd</t>
  </si>
  <si>
    <t>200338B01002</t>
  </si>
  <si>
    <t>416ca099558a8100c62749c825d11e1306cb4f00da3b577325d803bf09f571c0</t>
  </si>
  <si>
    <t>200338C01002</t>
  </si>
  <si>
    <t>5a9689ca69f4621e01fa55b10df0b11136065ad46b069cd2bd63cdea26fd01b2</t>
  </si>
  <si>
    <t>200339B01002</t>
  </si>
  <si>
    <t>ce487f6060e9fea339bb10c6e115ff89fd77a1a68a0f4266fd7bbfb2434e4c3e</t>
  </si>
  <si>
    <t>200339C01002</t>
  </si>
  <si>
    <t>a34cd1da25bf61fe6143f2d286fe0d46f3153893a47143a4d582f0d538af40ed</t>
  </si>
  <si>
    <t>200340B01002</t>
  </si>
  <si>
    <t>141173421d202f38177d45e0b21669316be5df0f4770a37c41b8b5be99aed642</t>
  </si>
  <si>
    <t>200340C01002</t>
  </si>
  <si>
    <t>9ab6dd16caf70a98ac4be58fef83cc2247b9865d481b0622f71b18b6d9af2e36</t>
  </si>
  <si>
    <t>200341B01002</t>
  </si>
  <si>
    <t>e00a32ee950a34f5285215f58b44e3805c26f29629ae651f27fe15e30712d21a</t>
  </si>
  <si>
    <t>200341C01002</t>
  </si>
  <si>
    <t>a4e6998ce4d6b79397e3c552887828ed0b6c14ba0b4f29cfd9275ce523ca48e9</t>
  </si>
  <si>
    <t>200341C02002</t>
  </si>
  <si>
    <t>4a5ee7b5fcc68a0e2c93d4645ac2302704d20ad9c4c5e74e881c5f69faf1d171</t>
  </si>
  <si>
    <t>200342B01002</t>
  </si>
  <si>
    <t>d5d5177bb90dea772708fccff66ffbecca5bea79043f427a1a688b9ce44bbbf1</t>
  </si>
  <si>
    <t>200342C01002</t>
  </si>
  <si>
    <t>1b1f061c7d0b06c329ef54be3ec8d77de0786258bc98aff486bf9769e7d6f0b6</t>
  </si>
  <si>
    <t>200343B01002</t>
  </si>
  <si>
    <t>233bdb3dec7a547beed7cb6d9378f1146355cded8f2c3df6cc6aa1274baa554d</t>
  </si>
  <si>
    <t>200343C01002</t>
  </si>
  <si>
    <t>46c045e9d6bd194c06a26431306ef373ac5e0ee6810494681cf226c5a56385f9</t>
  </si>
  <si>
    <t>200344B01002</t>
  </si>
  <si>
    <t>17bb363a2b4a4f1afa51e538992cc4c0e1280e1d3ba309c31bf7a1c83ab99590</t>
  </si>
  <si>
    <t>200344S01003</t>
  </si>
  <si>
    <t>43b16e48ae5092546a98b6aa6f488838751e7206904ab67889c6324e3680a92f</t>
  </si>
  <si>
    <t>200345B01002</t>
  </si>
  <si>
    <t>78e2fc888700f17cbe7a785aa7bbae768dcb9ed695592e627db64ce29f76b994</t>
  </si>
  <si>
    <t>200345C01002</t>
  </si>
  <si>
    <t>d5147f99fa097ffc3aaeae6f1616bded2f409025b7d28d1fe988ca4dfca9e3ec</t>
  </si>
  <si>
    <t>200346B01002</t>
  </si>
  <si>
    <t>309d906e56d9be2bf126a18064e963eb6b47f753da30d4fefc1bae93fe50ed22</t>
  </si>
  <si>
    <t>200347B01002</t>
  </si>
  <si>
    <t>0a7fcdbec2607f650b69559b90e125e3f6cf8a2e7ef75ceb468d271ad16333cd</t>
  </si>
  <si>
    <t>200347C01002</t>
  </si>
  <si>
    <t>7b7b8a91394a4843cf18595fe5735e8b3d1af5e0047df561448898caab6e056e</t>
  </si>
  <si>
    <t>200348B01002</t>
  </si>
  <si>
    <t>4c1ef5bd5e6e01ec11b2881d5a836ebe88db6925beb6ee7b4efd476d23bbdf6d</t>
  </si>
  <si>
    <t>200348C01002</t>
  </si>
  <si>
    <t>3d43cfeabe32ee9ff0860f00af5407c72092e199d0402b2566ca252a7cf59ba7</t>
  </si>
  <si>
    <t>200349B01002</t>
  </si>
  <si>
    <t>a875a20fbbb12d1c305ce170c3caa3a7812f7b1ca2299331d80fdb12b788f3f4</t>
  </si>
  <si>
    <t>200350B01002</t>
  </si>
  <si>
    <t>bfba0ccec4a95749344fc5728135f353988cdbb4f1a4b57be3faadcd606da6aa</t>
  </si>
  <si>
    <t>200350C01002</t>
  </si>
  <si>
    <t>96a15631d0c1b55474e67c143644b9c6fe5b0daa58519537d2220bf95fae19ed</t>
  </si>
  <si>
    <t>200351B01002</t>
  </si>
  <si>
    <t>40e8bf3af4192b01f6c21e7f33b537fe72d489bc5ae4e3c22a801d9868774b35</t>
  </si>
  <si>
    <t>200351C01002</t>
  </si>
  <si>
    <t>da2208397f6542a520c3ea2242bfd78d7f10cd1e85a1c9edd22b468c9493a846</t>
  </si>
  <si>
    <t>200352B01002</t>
  </si>
  <si>
    <t>cb1b89064e594ebdeda9d9c5e7bcc69ac0ec88f4a4e1c257dfc0b46b78e81930</t>
  </si>
  <si>
    <t>200352C01002</t>
  </si>
  <si>
    <t>09f876955a8f552a3339eede3e2a50e9ab9ef080e8782601847b923f015370df</t>
  </si>
  <si>
    <t>200353B01002</t>
  </si>
  <si>
    <t>29ae59d8128f3dc98654a545a4848e19ad65cd31acbce805ec4cc4bc561643fd</t>
  </si>
  <si>
    <t>200354B01002</t>
  </si>
  <si>
    <t>e7dfdaee6ea75b31e86a47db20b34d052a3c4d477a32fa5df7674818c2d04cde</t>
  </si>
  <si>
    <t>200354C01002</t>
  </si>
  <si>
    <t>7f8b05fdf3e6c1543261d74db93e2f23d502d674ee82223e26931c3c528c6768</t>
  </si>
  <si>
    <t>200355B01002</t>
  </si>
  <si>
    <t>19ec0ea9f84edeb7c333cfccc2011e146d09da27518d1b59aa8cd54011e59fb7</t>
  </si>
  <si>
    <t>200355C01002</t>
  </si>
  <si>
    <t>cb0212a12528a6a7d5f2f2709fd599e547f51aa375da30ca19a9defc89debde9</t>
  </si>
  <si>
    <t>200356B01002</t>
  </si>
  <si>
    <t>a7e8abe78956bbf825b2b08f82b3c6a3eca73da88f254b1c3d37b05a5186fa06</t>
  </si>
  <si>
    <t>200356C01002</t>
  </si>
  <si>
    <t>2a6505527a16850360294342b207ac807cf5eaa292ca202c2c319efb4a9963b1</t>
  </si>
  <si>
    <t>200357B01002</t>
  </si>
  <si>
    <t>42f4a90d059633c0b05ac2e5a50f24dc3a8f5d68a078f2939443146d26f22e2d</t>
  </si>
  <si>
    <t>200357E01002</t>
  </si>
  <si>
    <t>b38d737ad2a4c5e4c53d6530b21fabc585a67a6ca891bd9b772bb4e8e8bf1c82</t>
  </si>
  <si>
    <t>200358B01002</t>
  </si>
  <si>
    <t>d50ed4995c140d971c6827874affbc2c00be0e0f4cf21236e8e91b44a05de6b2</t>
  </si>
  <si>
    <t>200359B01002</t>
  </si>
  <si>
    <t>93bb00b18aab4d716d100e7f3d770a000ce038b6477af527d6653adde2d0964e</t>
  </si>
  <si>
    <t>200359C01002</t>
  </si>
  <si>
    <t>ef010058fc8197368bfbfe28ad6ddfcede49f0684bdadc2fe3d9463be270f108</t>
  </si>
  <si>
    <t>200360B01002</t>
  </si>
  <si>
    <t>a61e70ca26ba17fb7c72cacbea05fae66ffc9bd974cfb397005065ff379b7824</t>
  </si>
  <si>
    <t>200360C01002</t>
  </si>
  <si>
    <t>ec0640bc503cb335d40c8b8a68a116caf6c99c690bb8b6dfc2138864a91febce</t>
  </si>
  <si>
    <t>200361B01002</t>
  </si>
  <si>
    <t>1d44954116b5d6d42164dd84bd63b971ac0d4e28de3c15b2ef58e5a12a8482d7</t>
  </si>
  <si>
    <t>200361E01002</t>
  </si>
  <si>
    <t>9590b809a246b3a89f79df1a1797c6b0ae3cef4d8d6de1df9d655e56b18598a0</t>
  </si>
  <si>
    <t>200362B01002</t>
  </si>
  <si>
    <t>dda4c23ae1e9d25481ccd92270d64b2a312b4b043e445596ceaf58c650539e80</t>
  </si>
  <si>
    <t>200362E01002</t>
  </si>
  <si>
    <t>c7ba446d7cb8bcdb8d19f38c3c89ef3f0c2209444ba79c10fb9b7595a6f4803d</t>
  </si>
  <si>
    <t>200363B01002</t>
  </si>
  <si>
    <t>3be07be1f29b40b93ca14ad831612a35084e0f721d7f35e2d1d0a0ed213c1e87</t>
  </si>
  <si>
    <t>200364B01002</t>
  </si>
  <si>
    <t>8b3a55ca8a332d661f3a656c070ed4063dbc4d4da6f8aadc802c74e73d622005</t>
  </si>
  <si>
    <t>200851B01002</t>
  </si>
  <si>
    <t>9b8aad9cc5dab22c21835bee308c544788995d4cdf6fb9c7b8772628de2e2a87</t>
  </si>
  <si>
    <t>200851C01002</t>
  </si>
  <si>
    <t>753779e89e0af4b523651a869f65e67e0bcd1e1b7d3e8b22320bc01b29c53490</t>
  </si>
  <si>
    <t>200851C02002</t>
  </si>
  <si>
    <t>7c1839d08801fa7dc19ea0d0ff579cb2e7b4ab2b64a42d662ba544703d5b5d1e</t>
  </si>
  <si>
    <t>200852B01002</t>
  </si>
  <si>
    <t>df08e77b068476a2536d19d5da4af434c58a8b68dccfedbdf755ab0090b156fe</t>
  </si>
  <si>
    <t>200852C01002</t>
  </si>
  <si>
    <t>efe0a60b811f46caae1bef2719c8c890907d56fed00a760facc0c5a814ee44b3</t>
  </si>
  <si>
    <t>200853B01002</t>
  </si>
  <si>
    <t>7bbcab0beb144ca64711ca8bc70efcea554b4aeeab4cf35abddff38ed2599aed</t>
  </si>
  <si>
    <t>200853C01002</t>
  </si>
  <si>
    <t>9093d10c37dcb8d1e3a1b2f3182d1c37e55435cc158c2e662b91b4547936986a</t>
  </si>
  <si>
    <t>200853E01002</t>
  </si>
  <si>
    <t>271ff42392e53e627e002dc0064dcdbdf28d3d7196a39515bec138555ecf7407</t>
  </si>
  <si>
    <t>200854B01002</t>
  </si>
  <si>
    <t>9f60a5ea50db7cb00dba7f471dc041285933247a6a8d50e54b508a517a4c4c8a</t>
  </si>
  <si>
    <t>200854C01002</t>
  </si>
  <si>
    <t>0f4c47d5cd90a8dfdfe5c5ff593600b89c1e936ee6f72ca908b959940cf231bd</t>
  </si>
  <si>
    <t>200854C02002</t>
  </si>
  <si>
    <t>b3f60fab59a2635ba6ffe2e9f256bae029702345a8deddc9450b6d8417cde714</t>
  </si>
  <si>
    <t>200854E01002</t>
  </si>
  <si>
    <t>b492e3f7da16b153ec1c268486f30048ade3b8ff155fedfaf2df7229a37edece</t>
  </si>
  <si>
    <t>200855B01002</t>
  </si>
  <si>
    <t>1a9d013349c6f8a5708a9e9f3e5b5956145134d7646606d5c648aca047616c91</t>
  </si>
  <si>
    <t>200855C01002</t>
  </si>
  <si>
    <t>5e05962e22d2eaa0249dcf701fdb624147a6e8421a9119d1aebea3fc16d6d131</t>
  </si>
  <si>
    <t>200856B01002</t>
  </si>
  <si>
    <t>b63e8bd025b4e4ebf4220b4219a6ef1b27a4b78f626d029e32546e0ceb967ebc</t>
  </si>
  <si>
    <t>200856C01002</t>
  </si>
  <si>
    <t>62cd215937a18e2f05555286eb278a7772436ccb18fc5881c9c60651f89f8fe6</t>
  </si>
  <si>
    <t>200856E01002</t>
  </si>
  <si>
    <t>f10b5364f8ac9adcd713ed1848c002ac1f51d154f9555e6db501e1a6da499557</t>
  </si>
  <si>
    <t>200856E02002</t>
  </si>
  <si>
    <t>cd20c8672f77aa79e53c33ba757beaf8ba4fad85a0d4d5ad8426c158cb7cbaa6</t>
  </si>
  <si>
    <t>200857B01002</t>
  </si>
  <si>
    <t>15b77d1b32a25a037105081317907992fa368abd925276b8f668be4e5e414558</t>
  </si>
  <si>
    <t>200857C01002</t>
  </si>
  <si>
    <t>566c86d3026fc42b2d4b224fbc5753e6edab7e30d5ecdf1c0974ed2994590928</t>
  </si>
  <si>
    <t>200857E01002</t>
  </si>
  <si>
    <t>d715efb80fac3a7d6e99a7dadef806203f5eee377c6218ac2e5074ec4818ecde</t>
  </si>
  <si>
    <t>200857E02002</t>
  </si>
  <si>
    <t>49f31c2d37e6a37064d734833f0fe41585625de6cef3610461dff8629467a6ef</t>
  </si>
  <si>
    <t>200857E03002</t>
  </si>
  <si>
    <t>efa85e4ac3974679975c4f55439d941af8f6e97137ed2e7f0efcb18b69e078a4</t>
  </si>
  <si>
    <t>200858B01002</t>
  </si>
  <si>
    <t>4a015cb9d3fb6afb9ee9ca8de9d3362fb4b054303800f821b292a830a9e8f30f</t>
  </si>
  <si>
    <t>200858C01002</t>
  </si>
  <si>
    <t>72a22748d832a7377271ff27ac034ddbd16982b8593bdb1e42bc0537fa88c689</t>
  </si>
  <si>
    <t>200858E01002</t>
  </si>
  <si>
    <t>39e053c0c685d1040ea7ad8111157013b87b70a15116d1b2955c32355f841a07</t>
  </si>
  <si>
    <t>200858E01012</t>
  </si>
  <si>
    <t>fa022526b7da4885a60f28fcc9802830f946f8429ab2802e7d20a46638d7d2be</t>
  </si>
  <si>
    <t>200858E02002</t>
  </si>
  <si>
    <t>e38d92b7d6b81e561b5b4a02771d27103e081d4105c2e528ba31d90383201e43</t>
  </si>
  <si>
    <t>200859B01002</t>
  </si>
  <si>
    <t>3f37b76f31ef112fe0136cbc9e291e8d4415f67038dbfe89c08601a178241097</t>
  </si>
  <si>
    <t>200859C01002</t>
  </si>
  <si>
    <t>c9ab32a3f1241ffc758dd36edbb97db9c1267ffa7fe3595af8704d6db115e9a9</t>
  </si>
  <si>
    <t>200860B01002</t>
  </si>
  <si>
    <t>44db01ea0f9835d59d3aa9324861b19a608a04850c1354f5c31e5cfea28427aa</t>
  </si>
  <si>
    <t>200861B01002</t>
  </si>
  <si>
    <t>b213515fabacd46774a55d129ed949029cb93e5b9553cd4c4045ff27354fb060</t>
  </si>
  <si>
    <t>200861C01002</t>
  </si>
  <si>
    <t>987e82afa8d75bde1f37efa63f9cbe6f779f87775ded2f5b84a789bed428a144</t>
  </si>
  <si>
    <t>200861E01002</t>
  </si>
  <si>
    <t>7368739d5e240f673791efa3339b5b18824f0125b8c0a274d767a4fdaaba7179</t>
  </si>
  <si>
    <t>200861E02002</t>
  </si>
  <si>
    <t>403cf496004938346fa0c43ea6f1b17da903b7c063b8bb8103c682266352e88f</t>
  </si>
  <si>
    <t>200866B01002</t>
  </si>
  <si>
    <t>acde773253aa1865446d3789899b203e8aa588e27380b578714408dafd51b280</t>
  </si>
  <si>
    <t>200866C01002</t>
  </si>
  <si>
    <t>aae1fc9d55f8d4ad5edc8a2d0ce2c828fc1e7d9f343b022f486430f4fee3c6fc</t>
  </si>
  <si>
    <t>200866C02002</t>
  </si>
  <si>
    <t>6eef350ee8f807863b73724b653c3cbba71c48d9dfc8da600433bb1e663cd881</t>
  </si>
  <si>
    <t>200867B01002</t>
  </si>
  <si>
    <t>410ade52a6a1f4e35411eafe7b77c4dd644470e1deedd7a63f28f7bdbb99894c</t>
  </si>
  <si>
    <t>200867C01002</t>
  </si>
  <si>
    <t>5541cd9f586f3aae6c74b9eab7d259dba19173ec01aeed9536ae329caac6f018</t>
  </si>
  <si>
    <t>200867C02002</t>
  </si>
  <si>
    <t>ad735ba3c56c72a2b37c4859cd3779e7bf5302ed9550ead3d820e66f20921ed3</t>
  </si>
  <si>
    <t>200867C03002</t>
  </si>
  <si>
    <t>f3abea1ddd505f9bafaa12f601c947e55d14412fce23c01980f85c7b700ca220</t>
  </si>
  <si>
    <t>200868B01002</t>
  </si>
  <si>
    <t>cd11b1ab697b437d7f8b49becaaa7abba8ebadc139c88e20a645896a15f00df4</t>
  </si>
  <si>
    <t>200868C01002</t>
  </si>
  <si>
    <t>f080dd169ef71343cfcbb0cfcae1c02ecddd64b707c1f0848b5cbfd010c2d690</t>
  </si>
  <si>
    <t>200868E01002</t>
  </si>
  <si>
    <t>1e5f1618530912f325e63bc88b2c9bc25c42ead4b3b768fa552eb84672632229</t>
  </si>
  <si>
    <t>200868E02002</t>
  </si>
  <si>
    <t>333d38723b7b2f458c4c760fb14f5fb1894bd7a78641fea0a93297165b91353b</t>
  </si>
  <si>
    <t>200869B01002</t>
  </si>
  <si>
    <t>375d3189cfb5150899152c1fb828b479401249a4164afe2b3c0cf411429cd495</t>
  </si>
  <si>
    <t>200869C01002</t>
  </si>
  <si>
    <t>60d6024c14b8779f27c26bbdd1773d5533044dd6e6c2894cf02dce74f1837487</t>
  </si>
  <si>
    <t>200870B01002</t>
  </si>
  <si>
    <t>66a513b44163d9c33a4e798ab60d4e573e2a7100e7def1ef4fd79d8a053aee5d</t>
  </si>
  <si>
    <t>200943B01002</t>
  </si>
  <si>
    <t>10b220ba4011bccbce3ab082d48cc9f5f98acd25489e895fda42d569c22c5230</t>
  </si>
  <si>
    <t>200943C01002</t>
  </si>
  <si>
    <t>7fcbd95404498039686839b869f3f1b3c21a503cb5c4f102872c154f3974f867</t>
  </si>
  <si>
    <t>200943E01002</t>
  </si>
  <si>
    <t>e11f3fc923fd5b96c4e96a22c1fabdf5c17a4f7fcc39f430e079f1fa9d32f4ca</t>
  </si>
  <si>
    <t>200944B01002</t>
  </si>
  <si>
    <t>e58d0440879a0fd32a84df20131a5965cbffab1b6a79ff8ba671c92c282c05c9</t>
  </si>
  <si>
    <t>200944C01002</t>
  </si>
  <si>
    <t>75543a66a51b692673fa5cb9adc2e39fce38c91a5140749b14436eb6d3ce747c</t>
  </si>
  <si>
    <t>200944E01002</t>
  </si>
  <si>
    <t>019a3070a2e01827c9706da91cd5716aa54241455c1085bfddcc3cdc88e5d5dd</t>
  </si>
  <si>
    <t>200945B01002</t>
  </si>
  <si>
    <t>17cc0b4d629fb4da078ba61e4474558a7c3dcfbd9ec4d82e958966bbbb8f624b</t>
  </si>
  <si>
    <t>200946B01002</t>
  </si>
  <si>
    <t>121a9e835be354d894b4c6e98c06da610d346cb6791683a019069594afa31e74</t>
  </si>
  <si>
    <t>200946C01002</t>
  </si>
  <si>
    <t>94979ee08c0075fed7987131f7366b228ca411dc88355dde968871df2f139278</t>
  </si>
  <si>
    <t>200946E01002</t>
  </si>
  <si>
    <t>e8f5ac050bf2710730703ad66aebea30f5a662162bd17517743f32816a651afa</t>
  </si>
  <si>
    <t>200947B01002</t>
  </si>
  <si>
    <t>551446225da13996025091a9691852051ea476a1d1f55f16ac5db33ea7b6346a</t>
  </si>
  <si>
    <t>200947C01002</t>
  </si>
  <si>
    <t>b7550a4966c7a29b3f973a15efbb82e59c8a597d597c1a2258126db0488238ab</t>
  </si>
  <si>
    <t>200948B01002</t>
  </si>
  <si>
    <t>912f97fa4126f49fc071a1db5472528a9350626803d66a63dd35aea2ac32a93e</t>
  </si>
  <si>
    <t>200948C01002</t>
  </si>
  <si>
    <t>d4d5973e83364a23388466a2d3f7178826019bf0d54828280332eb432c1ca0ca</t>
  </si>
  <si>
    <t>201009B01002</t>
  </si>
  <si>
    <t>de734fa1d567e976648cf960c25168039cb310c207ca0fa28a050f0b2517f9fb</t>
  </si>
  <si>
    <t>201009C01002</t>
  </si>
  <si>
    <t>901cd6bacf07929de42f9adce778019535952fbfae805b7f1453a13495dba7bb</t>
  </si>
  <si>
    <t>201009E01002</t>
  </si>
  <si>
    <t>97d495efe0dd0e0abfc1692badb6ad602f3fac08de3d6a6a913b52b6b515a912</t>
  </si>
  <si>
    <t>201009E02002</t>
  </si>
  <si>
    <t>910c5db1b448e4433ae5eb1d7100a1ffe9a013c82409b5ff97c3d399b897e9f0</t>
  </si>
  <si>
    <t>201050B01002</t>
  </si>
  <si>
    <t>68506f776f782fed245fee5e21280d0b2ae37c083f8d86616766d3bc849dd48b</t>
  </si>
  <si>
    <t>201050C01002</t>
  </si>
  <si>
    <t>b8e68f1e8a429a616a8ee65f79c933a639b9442ccdc9c17b698c4ef082a3b4a8</t>
  </si>
  <si>
    <t>201080B01002</t>
  </si>
  <si>
    <t>e0862a378df149401911e38e3ca358a50f15bdcc436cf65afd8a2c0ef1a41a08</t>
  </si>
  <si>
    <t>201080C01002</t>
  </si>
  <si>
    <t>ebbc153e0d3b89eeb68e27aa57a03017ef276f9ddba9c40fa8804f4c5c94a394</t>
  </si>
  <si>
    <t>201081B01002</t>
  </si>
  <si>
    <t>ebe157bc67143a7598ec6dba027adf483323fd34112da3a6896404570e21a237</t>
  </si>
  <si>
    <t>201081C01002</t>
  </si>
  <si>
    <t>df4a865504c68ae001dbe369f360c8d6192392b19d09cec9318d01a07109d55a</t>
  </si>
  <si>
    <t>201081E01002</t>
  </si>
  <si>
    <t>8c1aec15799e0e4e38cfe30b2df364982a4cd466cc4281e31ed4a3053506b9fb</t>
  </si>
  <si>
    <t>201081E02002</t>
  </si>
  <si>
    <t>e91c8d1254aeef6679ea3dea0a0837e10c45160904e6b91e37b4e55826dd73b0</t>
  </si>
  <si>
    <t>201082B01002</t>
  </si>
  <si>
    <t>6c9b5b4247b14ac8662b124e3b828cf0517dd61f54c6fda7b44439c5c7ed745e</t>
  </si>
  <si>
    <t>201254B01002</t>
  </si>
  <si>
    <t>eb583275153c1f32f0fcb95b651e2131890582419db01dda770f5c81d15503bd</t>
  </si>
  <si>
    <t>201254C01002</t>
  </si>
  <si>
    <t>8fecd3a96899ec1cc264f43d9490ca82fa5dc8936aa04233edb5437365e2779e</t>
  </si>
  <si>
    <t>201255B01002</t>
  </si>
  <si>
    <t>a2478a9615a724c023e3baf112751d4bba9cdb6891a26c28dedf1839d530c21b</t>
  </si>
  <si>
    <t>201255C01002</t>
  </si>
  <si>
    <t>21ad81ce7791875fdd1e018f61182520692dd9e62b955531d61214c77b36a166</t>
  </si>
  <si>
    <t>201256B01002</t>
  </si>
  <si>
    <t>de179730ab7ca0c8a918c42f581014d0fc5206aa23248bfda55f7254fc710426</t>
  </si>
  <si>
    <t>201256C01002</t>
  </si>
  <si>
    <t>37fe21179adf10f348b939a6f905fa4fa775d898d98d30e3d092c5192baab178</t>
  </si>
  <si>
    <t>201257B01002</t>
  </si>
  <si>
    <t>4cc4f6b9a0c5da6ddfdb0eaf8b573bf4373cd58b0320ab21147af0bc4d2d4c1d</t>
  </si>
  <si>
    <t>201257C01002</t>
  </si>
  <si>
    <t>a57952726adafa72a152fdbc8aa716d24cfad4e62455a969f953a7bbda03ce3e</t>
  </si>
  <si>
    <t>201258B01002</t>
  </si>
  <si>
    <t>6c800897d5d7dca40e3a5c37eeecf113b3d77903512d47201d238ce0f2aea32a</t>
  </si>
  <si>
    <t>201258E01002</t>
  </si>
  <si>
    <t>65b65f6fc51bbf8cb5b7b6424e527a3abd771859fbd494cf12a9c83e874d2f86</t>
  </si>
  <si>
    <t>201258E02002</t>
  </si>
  <si>
    <t>c54ccb09ada6af305a07961d7f4c85c8de5dee50f3b2999c95abab7b18c929e5</t>
  </si>
  <si>
    <t>201259B01002</t>
  </si>
  <si>
    <t>03d51bf3a302a13b2c936aed0581bd77866d87be5c4f066f50165c0ed8f69a00</t>
  </si>
  <si>
    <t>201259E01002</t>
  </si>
  <si>
    <t>da194988a8a23c991ac0b6cbd9a215a1016f12766c1112e5e383429a2b8f8020</t>
  </si>
  <si>
    <t>201259E02002</t>
  </si>
  <si>
    <t>79e3d180afefb4a9d891d1e3bf011a090e7a25931d2a061d9483dfd3ff2eedfa</t>
  </si>
  <si>
    <t>201259E03002</t>
  </si>
  <si>
    <t>26583eb6cb04ecdfa2623b13972ce3c51d18f0e8c7d52e233bef36ed31410dc7</t>
  </si>
  <si>
    <t>201261B01002</t>
  </si>
  <si>
    <t>5ac3f9e927705e4930a0ad23f830e87355b671fd9016e3bda0252c045677e132</t>
  </si>
  <si>
    <t>201261C01002</t>
  </si>
  <si>
    <t>52c265f1f7d894d92aa9a5bc22d93ac2cf911956d580f1af55b394ccb163f4cd</t>
  </si>
  <si>
    <t>201262B01002</t>
  </si>
  <si>
    <t>4468cdafa48157a9de1752bd5732d9eaa9b94526824713e5877364884c1404e9</t>
  </si>
  <si>
    <t>201262C01002</t>
  </si>
  <si>
    <t>217b0245a5f36e0c653a3ba3fdf5098c3896d1e266f9884545341ee78a9cb07d</t>
  </si>
  <si>
    <t>201263B01002</t>
  </si>
  <si>
    <t>51a17e0c5e6683aadcf8bf0aaa3d72c70b40639c608cbf66d41936656c545afa</t>
  </si>
  <si>
    <t>201263E01002</t>
  </si>
  <si>
    <t>db82ef9e55e7bc0a2bda6ab953c5a870ba5841161d9988a4160b744ba53a1929</t>
  </si>
  <si>
    <t>201263E02002</t>
  </si>
  <si>
    <t>0ba881f9e9e1f9db8733b55b6619e0d7d8968a086cb59b81363d6517cc143c86</t>
  </si>
  <si>
    <t>201264B01002</t>
  </si>
  <si>
    <t>a22a2b399b975b05840c8f0e0ac0407228a45fdd19e469a91f70da59cc0b056c</t>
  </si>
  <si>
    <t>201264C01002</t>
  </si>
  <si>
    <t>4b8dd8e869392bc828741e478627662066bf653bffe3fb2e7d9ab4d628faf9ff</t>
  </si>
  <si>
    <t>201265B01002</t>
  </si>
  <si>
    <t>7b44b93501f3b9d9464624f5be5d32540b8efd123abdab6c9e8ef8625c1b1826</t>
  </si>
  <si>
    <t>201265E01002</t>
  </si>
  <si>
    <t>abf9eff730311a91712b1731efc561d8a0aa263d5b97bf45ad8f894f081e22d5</t>
  </si>
  <si>
    <t>201860B01002</t>
  </si>
  <si>
    <t>8bc908ee3920043ced7d0bb791ede1b300fcaed20b3426532509af502195c314</t>
  </si>
  <si>
    <t>201860C01002</t>
  </si>
  <si>
    <t>8acf5bbf0555a641444b829613d72ffc74abae3ed5d7ef23ad144713be76c830</t>
  </si>
  <si>
    <t>201860C02002</t>
  </si>
  <si>
    <t>b0aad77f4d71338bdd2b37e714b59b59a4fd6aa9cf54db84a264786905e66d02</t>
  </si>
  <si>
    <t>201860E01002</t>
  </si>
  <si>
    <t>853f04a282de04a733d79e5ab355846cb0831114d2e28153da0cc2692b9aef40</t>
  </si>
  <si>
    <t>201861B01002</t>
  </si>
  <si>
    <t>73e3e16f9a3880ca32cde129d14cfc7f643d54a99eaa54019761159131c2fd5e</t>
  </si>
  <si>
    <t>201861E01002</t>
  </si>
  <si>
    <t>367d9a071bfa2f6d1a1f6c48966547502ae8a74d82dd3e6eda3785db75c8d481</t>
  </si>
  <si>
    <t>201862B01002</t>
  </si>
  <si>
    <t>8a2734ca66e7488f3214f27f59597189fc64fc5beae99273b52fcc40ae590527</t>
  </si>
  <si>
    <t>201862C01002</t>
  </si>
  <si>
    <t>bcae05deb9f3f325f0dcfc3bca58a602c9cb9f85584e8b507b60bbf5bf878335</t>
  </si>
  <si>
    <t>201863B01002</t>
  </si>
  <si>
    <t>27700722a3dee9d8948bf403dd88b64493d3031dc366a09442a9790205b4163c</t>
  </si>
  <si>
    <t>201864B01002</t>
  </si>
  <si>
    <t>2a9b63ffeebc0cfb346f3328561a43a8be6f93d5d6de59aa92eed5728c6c212f</t>
  </si>
  <si>
    <t>201864C01002</t>
  </si>
  <si>
    <t>f4761468765559ac8784dbad8db9e77da4039172a9be484c3ab624d1d4b4f4f6</t>
  </si>
  <si>
    <t>201865B01002</t>
  </si>
  <si>
    <t>4bbd01b2de6622473624e51ccac9afc5b26b365fd7897c6ee75381439104b11d</t>
  </si>
  <si>
    <t>201865C01002</t>
  </si>
  <si>
    <t>3fc6ab233c326cfd4aeb50218d24e3f44682178d416891d48f7e708dfe1214f7</t>
  </si>
  <si>
    <t>202025B01002</t>
  </si>
  <si>
    <t>660be2ea8a44663c3b7333b7e1ee237aab99f04b89778e173572e88e1e001066</t>
  </si>
  <si>
    <t>202025C01002</t>
  </si>
  <si>
    <t>e3b3dcd7f702b0ca493b7228771665735d107237fa1148ed990925590851359b</t>
  </si>
  <si>
    <t>202025E01002</t>
  </si>
  <si>
    <t>aea949bb462c0a43a301eff2ca96a651056441dbe8b2f9d9e1c6356877de1b76</t>
  </si>
  <si>
    <t>202026B01002</t>
  </si>
  <si>
    <t>ca5276903b5322066876b309c068d4e0d6005053941c262eea7d2e8bc9c47b9c</t>
  </si>
  <si>
    <t>202026E01002</t>
  </si>
  <si>
    <t>ab20e4c7255c01f20184a172a3f58d41d857907468b00650f3d2b509f3952457</t>
  </si>
  <si>
    <t>202027B01002</t>
  </si>
  <si>
    <t>7b09eb5a3b87bbd390d380362df1f649428cfa983aa69cd95a5cc02f240d4503</t>
  </si>
  <si>
    <t>202028B01002</t>
  </si>
  <si>
    <t>6ea9d4a4f138d5021d133d954686a92376208706705a812dff57a30c0af65f05</t>
  </si>
  <si>
    <t>202029B01002</t>
  </si>
  <si>
    <t>ffd48a91aac85caf846cefd3462bb25d30af59d640db8ade59e7eb6d255b9cbb</t>
  </si>
  <si>
    <t>202029C01002</t>
  </si>
  <si>
    <t>30ab605b233bef18c77fae79350fb314f0b5c2ee18053730c683d0f96654ae7a</t>
  </si>
  <si>
    <t>202030B01002</t>
  </si>
  <si>
    <t>3cdbcf3281e7673b2918bb1d5d113566ba049f0c7c1b995cfd0857f30fd76359</t>
  </si>
  <si>
    <t>202030E01002</t>
  </si>
  <si>
    <t>5a601870a72c213b7ede404a341d42e3dd9ca9735f82f74202a2cfbf35e20164</t>
  </si>
  <si>
    <t>202030E02002</t>
  </si>
  <si>
    <t>567d433a4cc29773b997be467e4e35e2c2cc8adff93ba0e038320be74a053030</t>
  </si>
  <si>
    <t>202031B01002</t>
  </si>
  <si>
    <t>abf926a9a4f59dd8957c0f6717d265b6f2db95ec7a46151b9d953e72a58a814f</t>
  </si>
  <si>
    <t>202031C01002</t>
  </si>
  <si>
    <t>e70b5a8b7457922e7c9512310fe8c38021e4ee0ef2974606cbbb636724d1d39a</t>
  </si>
  <si>
    <t>202032B01002</t>
  </si>
  <si>
    <t>847e1c7f9052ccf4df230ea09de650d866b8d0019f573ece230a8c0e7e3c01cf</t>
  </si>
  <si>
    <t>202032E01002</t>
  </si>
  <si>
    <t>7ce015ac570b24d336a6775d8c339bd3ee50b9e08aaa116baca053c3b06e97a3</t>
  </si>
  <si>
    <t>200127B01002</t>
  </si>
  <si>
    <t>TEOTITLAN DE FLORES MAGON</t>
  </si>
  <si>
    <t>b26084116c47b64f2b7557a5c0bf7e8d52dbe3d3b47b13b9ad9c4da15fa462a0</t>
  </si>
  <si>
    <t>200127E01002</t>
  </si>
  <si>
    <t>0d74e79edc791a220cb3c9d3e1efd50f0cfc5f8d9eed902cea13da159a7cab61</t>
  </si>
  <si>
    <t>200128B01002</t>
  </si>
  <si>
    <t>aad4f352665fd1a6600a70955880e57b47bf02f4c2de6fff8c2f48f7a2ab4e0d</t>
  </si>
  <si>
    <t>200129B01002</t>
  </si>
  <si>
    <t>abe351520f182f519d3a90aa096efd90bde7273f1977f13d1cd7c956d1153e03</t>
  </si>
  <si>
    <t>200130B01002</t>
  </si>
  <si>
    <t>39821f26bf1e6ccdef8d5cfeddc92ce5a0f6d4c3763b3a438f67dd7fae418555</t>
  </si>
  <si>
    <t>200153B01002</t>
  </si>
  <si>
    <t>5cdb8e7d2b8034d67fcc518cca5e15a89b3269676c6406d2e83d9edb1f084e53</t>
  </si>
  <si>
    <t>200153C01002</t>
  </si>
  <si>
    <t>f0c56ca5dba9f98093c69c673b13cc2a8553b4c68ac6717526b32f62c42d5d9d</t>
  </si>
  <si>
    <t>RPP</t>
  </si>
  <si>
    <t>200154B01002</t>
  </si>
  <si>
    <t>9baf53186825af827f0733f72ac06a69e8d9dc2dbf3d06bb80d83d9f9b2302a4</t>
  </si>
  <si>
    <t>200155B01002</t>
  </si>
  <si>
    <t>6656e338643343b9181e4d7cf93452e7d74f75eb8888f5bd56f522b432570311</t>
  </si>
  <si>
    <t>200155C01002</t>
  </si>
  <si>
    <t>7fa8fd518b4e90fb3a14f04394b8996da5b26610c8ca73d22845e9d83a07903a</t>
  </si>
  <si>
    <t>200156B01002</t>
  </si>
  <si>
    <t>661e4765a2b2b1b3883aee52419ce8586463ff3882c24ec37731ade674a84233</t>
  </si>
  <si>
    <t>200176B01002</t>
  </si>
  <si>
    <t>69723ea9513ddd02c45c38f38e5343b278fd59e40b97264ab27030fe478a0a2f</t>
  </si>
  <si>
    <t>200176C01002</t>
  </si>
  <si>
    <t>bb09a39bcaadc0e73652cb6d9d6edfb012dd2d728659ebd2236c0c4813239270</t>
  </si>
  <si>
    <t>200177B01002</t>
  </si>
  <si>
    <t>873535c9ce0c01de23edd3501253e1ed470ed6c2f455a35f208b3da873affddc</t>
  </si>
  <si>
    <t>200178B01002</t>
  </si>
  <si>
    <t>ac7e4386ff804e009e68dd7df395a5839d47bee58e45acffdfa3428cb324587b</t>
  </si>
  <si>
    <t>200179B01002</t>
  </si>
  <si>
    <t>b46782b4ae1784029d95f0de9a1325ac06b01a1f0cf5c46eeca093caccf26a5b</t>
  </si>
  <si>
    <t>200179C01002</t>
  </si>
  <si>
    <t>cc7ce2c8435fe19d4c32867b2d8f8a18a7e0b42dd10c27e90fd85fd214ff5b06</t>
  </si>
  <si>
    <t>200179E01002</t>
  </si>
  <si>
    <t>2cbc6cb0c47740788da09a9758df5ecc23d91728730a4270371f7da548b25740</t>
  </si>
  <si>
    <t>200232B01002</t>
  </si>
  <si>
    <t>d64ecc6e52aa7e54f4d0dc26cf008515d8df26ff7dcf46e135ac03ecef2d35d7</t>
  </si>
  <si>
    <t>200232C01002</t>
  </si>
  <si>
    <t>de04cc57b22124ff65e7b24f1b8d9af446cce8e9f96ab61f949cac948df1ab16</t>
  </si>
  <si>
    <t>200232C02002</t>
  </si>
  <si>
    <t>ff814b8cb837513c38139123b356df58315f3bb82bf0d30313c8cd3773b5a543</t>
  </si>
  <si>
    <t>200233B01002</t>
  </si>
  <si>
    <t>1a2dcc56950abd0862b1d6d2bef46e2fa9ad64598098b9c1fc3d1d30ca2ccb9d</t>
  </si>
  <si>
    <t>200234B01002</t>
  </si>
  <si>
    <t>7fc06daf0f7e4f7a4906f8b6d841d038017a68a420486ea2495604a106e7a545</t>
  </si>
  <si>
    <t>200234C01002</t>
  </si>
  <si>
    <t>82c261ee47e5176459ed9e3d4503936bf7eb654ba07af0fc35b4cff71d166622</t>
  </si>
  <si>
    <t>200235B01002</t>
  </si>
  <si>
    <t>cf7e6e5cfc225d13958adaad29e1ea6e83ea47d8132fb49bfe7df69cb5caa11c</t>
  </si>
  <si>
    <t>200235C01002</t>
  </si>
  <si>
    <t>f77b739e59cb83a47f8716d7b8f3696c8010962918d41106005864693910b227</t>
  </si>
  <si>
    <t>200236B01002</t>
  </si>
  <si>
    <t>0d56600e0f18b5ed4884676b45ae466b7e71aaa331432cc322824e977acd5ab8</t>
  </si>
  <si>
    <t>200236C01002</t>
  </si>
  <si>
    <t>44884dd5846bd5bc9957bf9aa406b7e235e8b7d7d306782eb0da218613c353d8</t>
  </si>
  <si>
    <t>200236C02002</t>
  </si>
  <si>
    <t>f246e47ec28f27cb95663f4084455f9a8a94d6de104a0b3219a2abac38a2ff6c</t>
  </si>
  <si>
    <t>200237B01002</t>
  </si>
  <si>
    <t>3a0a7fe8060ddf5b3dae60f180abfb8630416582b4915d46932975ec600ca176</t>
  </si>
  <si>
    <t>200237C01002</t>
  </si>
  <si>
    <t>626e2ba41783c1cd8242e3ae94850b4cc429d622f69bc68e27327b4d6252ed2f</t>
  </si>
  <si>
    <t>200237C02002</t>
  </si>
  <si>
    <t>666108b18635cf9848180f22870be05d4b439bf24270fd1a454d8bbebe6519ae</t>
  </si>
  <si>
    <t>200238B01002</t>
  </si>
  <si>
    <t>93ab737c7d8a1279098cf92879bf9776c6049a8397b1d22e49072a5f2b550e9a</t>
  </si>
  <si>
    <t>200238C01002</t>
  </si>
  <si>
    <t>b7956608d41535742ccc7c4efed8248bd7b90e43fd493be036eb9a85542f3fec</t>
  </si>
  <si>
    <t>200239B01002</t>
  </si>
  <si>
    <t>d8c85213e984feb00a47e3de9314306ee90a6dfbd832eb21781574d22810d841</t>
  </si>
  <si>
    <t>200239C01002</t>
  </si>
  <si>
    <t>ff6649b65a25b51f2b8f0e348311b6b5412ba323fa74b3c2ed919d6000ece9a2</t>
  </si>
  <si>
    <t>200239C02002</t>
  </si>
  <si>
    <t>39af854b3336f5521812a7fea4c0e611842a0df9d3b56610006296f62b3f0286</t>
  </si>
  <si>
    <t>200240B01002</t>
  </si>
  <si>
    <t>896c174e6718d91d701d3e40ffa71023c43535787a4302c62ec2408532f466c3</t>
  </si>
  <si>
    <t>200240C01002</t>
  </si>
  <si>
    <t>9bbe2c705886e9bf7d4de503b383ae6f814f888f1bec8ba67c75ebe28c272f99</t>
  </si>
  <si>
    <t>200240S01003</t>
  </si>
  <si>
    <t>aec9c90e633bf5ba273b4b04020dcb25446d175f0360f9307419a2da5a23ecf5</t>
  </si>
  <si>
    <t>200241B01002</t>
  </si>
  <si>
    <t>3cd5b6e48c467045e7f340e5063a2341b609f16a250fd7f3b1a4c0f6255f81c9</t>
  </si>
  <si>
    <t>200241C01002</t>
  </si>
  <si>
    <t>617ec9af89c5de1e4b330792ece9b32c76e811715bec0e6b0b2ea9d181b6bfd9</t>
  </si>
  <si>
    <t>200242B01002</t>
  </si>
  <si>
    <t>23e25abaa085da1e01135bb25e69af9a3caef675977ffc309e4aad45239ce8be</t>
  </si>
  <si>
    <t>200243B01002</t>
  </si>
  <si>
    <t>db7cfc89dcb121dbae0aded397258376328ba5a2718205f55286647454ab7333</t>
  </si>
  <si>
    <t>200243C01002</t>
  </si>
  <si>
    <t>6220d0c5302a3c3e470db2de0ecd3b7bd4b53644ecab390dcb36c65aa78d1928</t>
  </si>
  <si>
    <t>200244B01002</t>
  </si>
  <si>
    <t>fede749bfef78c0f5cbeb9121069704e49bd7eb4a2bb63bd181c051010d4db37</t>
  </si>
  <si>
    <t>200244E01002</t>
  </si>
  <si>
    <t>4c73666f6e4a480c1b5fc7c0df000e5233fba46635cf2e436b382da17124442c</t>
  </si>
  <si>
    <t>200245B01002</t>
  </si>
  <si>
    <t>d7d953396a7dc7f58ca91871ad6b20377d274e14dc459a41f9ca65cb87f1d709</t>
  </si>
  <si>
    <t>200246B01002</t>
  </si>
  <si>
    <t>cc5dade04e659336b829a189b30e192d8d54eeef52956d8c246e1dbea3a82266</t>
  </si>
  <si>
    <t>200246E01002</t>
  </si>
  <si>
    <t>8303346e69b67419b8906227c6f733d9986f5fa505257f4cea8fc753d1686092</t>
  </si>
  <si>
    <t>200247B01002</t>
  </si>
  <si>
    <t>8a9fa67db1da8c85732f9b5db3153cdb86fa1f988d952a64f9be344786dc553a</t>
  </si>
  <si>
    <t>200247E01002</t>
  </si>
  <si>
    <t>768a754c25f40608e8537f47808d3fa233af5cdb0c1d4ec26bc29ae05d462759</t>
  </si>
  <si>
    <t>200247E02002</t>
  </si>
  <si>
    <t>66905956fed93ea6114e25c4d2190b73d62d18293c63f87b99a98f09c3b432e3</t>
  </si>
  <si>
    <t>200248B01002</t>
  </si>
  <si>
    <t>bb4f6a921d85191df030ac55c421de2e14ca1d3e140e32372995f25cf532609f</t>
  </si>
  <si>
    <t>200248C01002</t>
  </si>
  <si>
    <t>1936c5d405116c776a7e8779feb8812a908bfbf44174f7817dc58dc07a2edd99</t>
  </si>
  <si>
    <t>200249B01002</t>
  </si>
  <si>
    <t>7e26eaab2f9de872219676fcfd00b0a66f26c6b943463d8c2ff6021c667b3aaa</t>
  </si>
  <si>
    <t>200249C01002</t>
  </si>
  <si>
    <t>8912bac5056626b366f5c6360cce2394b9cb1613cfe028535e77fe19ee4a18d2</t>
  </si>
  <si>
    <t>200250B01002</t>
  </si>
  <si>
    <t>8137117f06ee63775b9c851f5605b12898103d0f71ed4cc945a0c56a8f7f6855</t>
  </si>
  <si>
    <t>200250E01002</t>
  </si>
  <si>
    <t>e4576703cab8b06584b694f6e51ea2cccb2b15905a953df2694e285d2156e301</t>
  </si>
  <si>
    <t>200250E01012</t>
  </si>
  <si>
    <t>7bd61f7597c9af5bec50552f8e44e169d43a5bc6c4185b676203851720d0d1d5</t>
  </si>
  <si>
    <t>200251B01002</t>
  </si>
  <si>
    <t>61876fabb9e2e5f508e5cd5c7cec21cfe89cda930c83714863ff71e1e8137817</t>
  </si>
  <si>
    <t>200251C01002</t>
  </si>
  <si>
    <t>c409917eb76d9a7b84cddb9a2a31256c514b85ebcc831ba2353e786d647ace78</t>
  </si>
  <si>
    <t>200252B01002</t>
  </si>
  <si>
    <t>92a385ab0ea1842f5bb2b0e7650477934bd0953a1bb1fe7466ca1c3589ca054d</t>
  </si>
  <si>
    <t>200252C01002</t>
  </si>
  <si>
    <t>8b38811be2698675d4e1fe1ceaacd6c7c52e10640463fc05f2077d6ae3fda26f</t>
  </si>
  <si>
    <t>200253B01002</t>
  </si>
  <si>
    <t>52da336f71393930978de2b4d27595acd219dfbf55df07ec343f2ec255068e0c</t>
  </si>
  <si>
    <t>200253C01002</t>
  </si>
  <si>
    <t>26a5e38d0f796add114791e17f55af4a88d773990a565e1e0712634e756c449d</t>
  </si>
  <si>
    <t>200254B01002</t>
  </si>
  <si>
    <t>bff8f89c44d46e201c10a782a118d89c2c3cc174d618b526b0b240c2eeccae2f</t>
  </si>
  <si>
    <t>200422B01002</t>
  </si>
  <si>
    <t>ce66251695fcafcdab06d0157645c8eaa67b20050fb0b8c19055e5c0f89405fa</t>
  </si>
  <si>
    <t>200422C01002</t>
  </si>
  <si>
    <t>637ff504112e6f96b0541da8e2eef7987f0522708670ac6e3d56067ef27bcf45</t>
  </si>
  <si>
    <t>200422C02002</t>
  </si>
  <si>
    <t>3cd3415d49eaaf1e6e005900baa5be5fbbd36dd1e2f86f54eedbc15fbfc4e6c0</t>
  </si>
  <si>
    <t>200422E01002</t>
  </si>
  <si>
    <t>27f1e329ef897f9d3dab9b13d443f1ba2562ccd4b54e032cb332f949026d2076</t>
  </si>
  <si>
    <t>200423B01002</t>
  </si>
  <si>
    <t>91751c47a851b1c94445b0480fb48e933f069d67e46d1ee65089a89492b7d4af</t>
  </si>
  <si>
    <t>200424B01002</t>
  </si>
  <si>
    <t>b593af0cd67ca014893e9d0d9920ef71630af5ae6917d8f736a8f6b8d7b539a9</t>
  </si>
  <si>
    <t>200424E01002</t>
  </si>
  <si>
    <t>32c2dd4793f450a51df0b2185e6352c0b5b5f4490defdd410dfe01d5c46657f3</t>
  </si>
  <si>
    <t>200425B01002</t>
  </si>
  <si>
    <t>40760fcb26117489d2817231ca42acce7c9f10d88edb0a06b01a694a6bc647bb</t>
  </si>
  <si>
    <t>200425C01002</t>
  </si>
  <si>
    <t>e66092a1da407bd55948191f141428045895c31cfcfe208c0a88d437a2ad7511</t>
  </si>
  <si>
    <t>200426B01002</t>
  </si>
  <si>
    <t>2b5f4f0e36346260a94be175912ff154b68c92a76f11f028e4d9fd7fadb7730c</t>
  </si>
  <si>
    <t>200426C01002</t>
  </si>
  <si>
    <t>6852f0d0421b0483ca6b4a740e98253f666f3a53605085eb58fc6b600672dc47</t>
  </si>
  <si>
    <t>200426E01002</t>
  </si>
  <si>
    <t>6fdb412baf9800ee0dcdef399139c58ccf9d83d6086222b6df43718c55d07709</t>
  </si>
  <si>
    <t>200427B01002</t>
  </si>
  <si>
    <t>1668aeec8c9a1bf197110609be7c4047b5ceaad54221b653b88f72b9d183a92e</t>
  </si>
  <si>
    <t>200427E01002</t>
  </si>
  <si>
    <t>a90952ba7ddb26bcf5e6092d4aaa97ccd039a5ec6b4bad82f731129adfdea59d</t>
  </si>
  <si>
    <t>200428B01002</t>
  </si>
  <si>
    <t>811c40f2933e4889e0c895522b5a984e9ea3133ddeae072ba2f5ce890d61365c</t>
  </si>
  <si>
    <t>200428C01002</t>
  </si>
  <si>
    <t>67e018da3f69fb809646449277c44b9b2ad0917201169883456fc3fde1ee3ad2</t>
  </si>
  <si>
    <t>200429B01002</t>
  </si>
  <si>
    <t>fc824ecd7dd6e96f398a32c0aa8cbde807e816eeb4f24ddaedc9ebebcc4b5fcb</t>
  </si>
  <si>
    <t>200429E01002</t>
  </si>
  <si>
    <t>456cd8f3ef3c52e93813dc98bf81bbccc360b144f573d57622375553e4416121</t>
  </si>
  <si>
    <t>200430B01002</t>
  </si>
  <si>
    <t>a8b09cc3b3e1ec6e37218db197ef433f2c21962fccb1b8fa1956eb0b63cc19f6</t>
  </si>
  <si>
    <t>200430E01002</t>
  </si>
  <si>
    <t>718497d4655972dde4b7ab715ed4895c327954a1be1f3376f3dea61d19a55e7b</t>
  </si>
  <si>
    <t>200431B01002</t>
  </si>
  <si>
    <t>c9f8b137359211ee8fe57a296d25283c06092ddd6985ebc77527b349d2f622b6</t>
  </si>
  <si>
    <t>200759B01002</t>
  </si>
  <si>
    <t>2b7c56e7d5842da46cb9b3ae8a20f4a45951ff66e7b067c875eef4b7b6ab92f5</t>
  </si>
  <si>
    <t>200759C01002</t>
  </si>
  <si>
    <t>d54dfee0338e72bd28322c34e5ab67f4cee72ed0c9296dd633703977fd9bf62b</t>
  </si>
  <si>
    <t>200759C02002</t>
  </si>
  <si>
    <t>0aece2d695018638ccd65536d4f0f82b83a13c276d702a0ff69f50ad83528828</t>
  </si>
  <si>
    <t>200759E01002</t>
  </si>
  <si>
    <t>217fe79873cb1e6d68f9ec31fcc22a7eb1bd64bb05b5510eda0dee16b102d1ef</t>
  </si>
  <si>
    <t>200760B01002</t>
  </si>
  <si>
    <t>e6bfae0fda3631d845ee7da1f759fcde25feefea048d6f0633a6fc1132f20b0a</t>
  </si>
  <si>
    <t>200760C01002</t>
  </si>
  <si>
    <t>e8771600e551ba800282e0e02f6ec2a867b0f3624e88fbabf89275dffb150625</t>
  </si>
  <si>
    <t>200788B01002</t>
  </si>
  <si>
    <t>8c3f717fec871a8e665528d7da19f9e7f16a30f88f2ea149021a2244395c91ad</t>
  </si>
  <si>
    <t>200788E01002</t>
  </si>
  <si>
    <t>7c5ec1362bc53da18b6c45c4ceda249b6fbfea5098d99d73d4b82b4b3e6dcab3</t>
  </si>
  <si>
    <t>200804B01002</t>
  </si>
  <si>
    <t>cdabd47644964c7a69901fadf30abab7c18a7b2bfb3254f7cdbc8b8dda4adaad</t>
  </si>
  <si>
    <t>200804C01002</t>
  </si>
  <si>
    <t>b5e487b4410dd0507a1c04f96c429b7b4e80fddf66a98e57484aedb465c22e59</t>
  </si>
  <si>
    <t>200805B01002</t>
  </si>
  <si>
    <t>b30acac5437f5305a69fddaf853015a534b895a67bd70bb314bee2164f406fe0</t>
  </si>
  <si>
    <t>200805C01002</t>
  </si>
  <si>
    <t>07ecc88a834af5236ce88a833528d443d2c14ba725d6085df91c59cbe5a3bc9b</t>
  </si>
  <si>
    <t>200806B01002</t>
  </si>
  <si>
    <t>6be09543a7a36ab492ca31a0a10c8cd14ffe09ced94031a9607501e3454cbfd2</t>
  </si>
  <si>
    <t>200875B01002</t>
  </si>
  <si>
    <t>0bfa661966cb5c450147a14d725297e89848fba35f0d5a4143a591633401d414</t>
  </si>
  <si>
    <t>200875E01002</t>
  </si>
  <si>
    <t>b85a3faf09180b079a54727c0f7eee61c6e1ec30138056bdcbe0620bfd3b4ff7</t>
  </si>
  <si>
    <t>200882B01002</t>
  </si>
  <si>
    <t>6d4ab47fc13c6d846279326fe40ca4ef6a1290f2e6ac31b80b953c32be5a0793</t>
  </si>
  <si>
    <t>200932B01002</t>
  </si>
  <si>
    <t>505b3f26e0f1a1621558cbefeac95b7210cdf12c9149814e906ca5201b391dc8</t>
  </si>
  <si>
    <t>200932E01002</t>
  </si>
  <si>
    <t>274e3f8f8113305b6c430abac4ebc1652b822a450d6b02405e85764caea622b3</t>
  </si>
  <si>
    <t>200933B01002</t>
  </si>
  <si>
    <t>62e9f9f81c2966446f7c080b661f882f0f7b2ea4eb29b08c7138f98e227b3cff</t>
  </si>
  <si>
    <t>200986B01002</t>
  </si>
  <si>
    <t>a3f1c4a3e3b0d15b9171191682dfa628a3ec6cdf5ab90c5141247a7c689d2638</t>
  </si>
  <si>
    <t>200986C01002</t>
  </si>
  <si>
    <t>569e0fe03ac38c67c32fb03fd4b28f8a65070f2d03b9749b2d687400492ce1f6</t>
  </si>
  <si>
    <t>200987B01002</t>
  </si>
  <si>
    <t>22d97ab5d5268d8e3068960a0f0d06907579c551212bc9425e1a6687ead76e4d</t>
  </si>
  <si>
    <t>200987C01002</t>
  </si>
  <si>
    <t>4990bf2becf37deead790c1b61da08890a943e204e1222034e318db353ecea77</t>
  </si>
  <si>
    <t>200987C02002</t>
  </si>
  <si>
    <t>2284db1609af5ed7d852a4618edfb61b13589fa0caeaea60cbd334596d1d9cc5</t>
  </si>
  <si>
    <t>200988B01002</t>
  </si>
  <si>
    <t>34f4fe0cf764f2e533c2788accc989fd4c452c97de3c6fa94be005b8af61b709</t>
  </si>
  <si>
    <t>200988C01002</t>
  </si>
  <si>
    <t>785fb1a3f06256b50434de9b0e1c127885552d1dea230dcacf7057676572d403</t>
  </si>
  <si>
    <t>200988S01003</t>
  </si>
  <si>
    <t>94cc4df77ce600ec76857291324433b8ce2072355ff9f47f0faae3b5cdb7e60b</t>
  </si>
  <si>
    <t>200989B01002</t>
  </si>
  <si>
    <t>53b5d4252303d020191d3b1bed69972a083fc672f4769606b684f6ac9d30013a</t>
  </si>
  <si>
    <t>200990B01002</t>
  </si>
  <si>
    <t>f196d84535faa6f4e8fa64ab0e84a0bedb66152d09d1a01ed8e2e5fb259abded</t>
  </si>
  <si>
    <t>200991B01002</t>
  </si>
  <si>
    <t>fbfab867892652e8f22bcb198356f2a91e327f56dc793bf194ea09f831c5a040</t>
  </si>
  <si>
    <t>200992B01002</t>
  </si>
  <si>
    <t>d821a2fb7b7045ce36f881911d1abe51720176eccdc0a74baca31a636d4f82ef</t>
  </si>
  <si>
    <t>200993B01002</t>
  </si>
  <si>
    <t>1fdb0bc29ba111a7255871192d64fcb6d7b043ea3022564723331019eacb8345</t>
  </si>
  <si>
    <t>200993C01002</t>
  </si>
  <si>
    <t>43ab0d6b1543597e3b70ae8f9fd19398174f541fd84521f262a10de83deee222</t>
  </si>
  <si>
    <t>200994B01002</t>
  </si>
  <si>
    <t>3e1dd1f291c5dc4650d505cf5010ee580b4514f75080dc8aafd6cb9c0d5c84df</t>
  </si>
  <si>
    <t>200995B01002</t>
  </si>
  <si>
    <t>5fcc6a2bccfd0eebbf1943b97cf886ed8e8735457721f160ddc3aa76d0746bc2</t>
  </si>
  <si>
    <t>200996B01002</t>
  </si>
  <si>
    <t>3964e5fb67072f071463416f8799504766a16c4ef9265bb635adfe3b515e6ff1</t>
  </si>
  <si>
    <t>200997B01002</t>
  </si>
  <si>
    <t>c4d7ed78a6b41588b250668c372ce797b9aec740bf19b5387ace51d81a2bf8ae</t>
  </si>
  <si>
    <t>200998B01002</t>
  </si>
  <si>
    <t>7f5462a281da9ed1d148bfd8f4b26575294fb20fe8f0e7af6c9af3e16816e305</t>
  </si>
  <si>
    <t>201108B01002</t>
  </si>
  <si>
    <t>0c5545ea34294aaaec9233f478254ef11940c472156c09de5dae14ce5e84d10f</t>
  </si>
  <si>
    <t>201109B01002</t>
  </si>
  <si>
    <t>0fa512a89dc5f338e4a885cd227aad0dae11e96df36c60f6bc77e9cab4d12d41</t>
  </si>
  <si>
    <t>201109C01002</t>
  </si>
  <si>
    <t>f173bdb72f5a7ad0a53f7067f1ed182a393972af762751036fc6c550f87aa2cd</t>
  </si>
  <si>
    <t>201111B01002</t>
  </si>
  <si>
    <t>2e75e751ce0d8e30d228e1f993ba14de2e49f7b3c7c29b693fad3302ee14b0c0</t>
  </si>
  <si>
    <t>201111C01002</t>
  </si>
  <si>
    <t>67aa41595d723ee47f049ca73fbb462eb294463dfd5b6785765c432d87dfd850</t>
  </si>
  <si>
    <t>201129B01002</t>
  </si>
  <si>
    <t>38f1d9001090c6f48d42b52420b21caee761ab5eb7ea4af64cb7ca4805c2579b</t>
  </si>
  <si>
    <t>201129C01002</t>
  </si>
  <si>
    <t>dce40bf4c7eb35520456cc9eb543e9e321d72d57819b969da436a69d2c9950ec</t>
  </si>
  <si>
    <t>201130B01002</t>
  </si>
  <si>
    <t>ecd88bc66c7e88588d6aea209bc6d0c3dadaa931484f8705f8983cb97298bb5f</t>
  </si>
  <si>
    <t>201228B01002</t>
  </si>
  <si>
    <t>d178cbc11c24fd1e3f9a3f58b98695cd403361e5db3239b54bd7d10748658d6c</t>
  </si>
  <si>
    <t>201229B01002</t>
  </si>
  <si>
    <t>3b0e11ede6f477bba10d6d335ef04fee3fc6a6cf395825bf982fee71fcfa41bc</t>
  </si>
  <si>
    <t>201230B01002</t>
  </si>
  <si>
    <t>76b821e593b033910fb848bb4c48afccd7951e2c655d3a52a5779f1c92a622d6</t>
  </si>
  <si>
    <t>201231B01002</t>
  </si>
  <si>
    <t>d30783628f163701a2edee9e140ebdafd3170ea3ec7b1175a56f206cf900acd7</t>
  </si>
  <si>
    <t>201248B01002</t>
  </si>
  <si>
    <t>b55c181189db2a07b016985423929aabddd58592d1180d8ea6bb5eb47df012dc</t>
  </si>
  <si>
    <t>201267B01002</t>
  </si>
  <si>
    <t>ed7b71f13c430f6740312c2c89ccddea4f6591fdc4dbf57f19ea181a66817b46</t>
  </si>
  <si>
    <t>201267C01002</t>
  </si>
  <si>
    <t>7d1df27765ffb059c0fa285678cc534369b5f6a87408794b1f3316140ce48900</t>
  </si>
  <si>
    <t>201268B01002</t>
  </si>
  <si>
    <t>7f1d70316734a10c4cf8c0e54c4db8413f98c5b228aa8d1dd1670bc546a16b78</t>
  </si>
  <si>
    <t>201269B01002</t>
  </si>
  <si>
    <t>b4a75cd263a41f1854ee2bb87ec16d20fea25091bc93e58a07e7fe1bf9db941f</t>
  </si>
  <si>
    <t>201269E01002</t>
  </si>
  <si>
    <t>ddeb3e62638622e47f07f13053b5e6d7fd59114841440b4ab94048ca91d501d8</t>
  </si>
  <si>
    <t>201270B01002</t>
  </si>
  <si>
    <t>2ef969b5d94c655a389ff7e051e69dab492c94bcd51c5b85c91b90db78b513c5</t>
  </si>
  <si>
    <t>201270E01002</t>
  </si>
  <si>
    <t>4d50d8cb506b313e204deb91e28a43825b8f1ca67eea212f1d71d743af840dad</t>
  </si>
  <si>
    <t>201292B01002</t>
  </si>
  <si>
    <t>e7eab93347bc7002724e9445ee98056610b51e1244e6e9f2b5c08bc06ce2d246</t>
  </si>
  <si>
    <t>201292C01002</t>
  </si>
  <si>
    <t>ac765c051b2e26f097d0987153b232809513fd327a505593a2265690b03d44ae</t>
  </si>
  <si>
    <t>201292C02002</t>
  </si>
  <si>
    <t>313ddaf7ab8b2eb2e155449e0020c56555c3dff2f2d402c3fe087d0417d7664b</t>
  </si>
  <si>
    <t>201293B01002</t>
  </si>
  <si>
    <t>58c69cc5a598318b90cb1026865bd09baf01031086531642c1aefb394863f401</t>
  </si>
  <si>
    <t>201293E01002</t>
  </si>
  <si>
    <t>2da7bb26e9ee3de55a1a1c23ea200368d5264470c1ba1373eb1998f7c8a7bad3</t>
  </si>
  <si>
    <t>201316B01002</t>
  </si>
  <si>
    <t>72b53271a371a78a5f40365efc16abec38ce954ab80f119e9209934cffda73af</t>
  </si>
  <si>
    <t>201316C01002</t>
  </si>
  <si>
    <t>ddc0ccb6513bfc92b68ba3bb37af7254dc42837b96cc8284e039e44edddb710d</t>
  </si>
  <si>
    <t>201317B01002</t>
  </si>
  <si>
    <t>d870e4e5bcfe3088a8a3ed4d4eb1580c6a2a1db9b4b7fba72d372aae25358894</t>
  </si>
  <si>
    <t>201317E01002</t>
  </si>
  <si>
    <t>e5cead73847843f1108bee2ba185c0a49f70d02676896abc9d5ed0eb01ff5883</t>
  </si>
  <si>
    <t>201371B01002</t>
  </si>
  <si>
    <t>2e1dbcc899d4ea4b2c568cfd5aa30f3e8be18d859ce5665099f427a19c32609b</t>
  </si>
  <si>
    <t>201484B01002</t>
  </si>
  <si>
    <t>006778de20f5b0d5f4af2ca056b989ce8bf72a43ceb7775aadd226a03d00fefe</t>
  </si>
  <si>
    <t>201492B01002</t>
  </si>
  <si>
    <t>a3f54676806281c093c0124e75295dbeba877bc735fb7d2bdf60696e2792aa58</t>
  </si>
  <si>
    <t>201514B01002</t>
  </si>
  <si>
    <t>fa66191684ff422017a14ea215d808091786ebc84a91116b9d4ddc723a255fc6</t>
  </si>
  <si>
    <t>201541B01002</t>
  </si>
  <si>
    <t>49e10ca55cd37f299df48448c30b0c31dd1b8e4c495d09fe32de265329fe190f</t>
  </si>
  <si>
    <t>201541C01002</t>
  </si>
  <si>
    <t>68f645069094c819f3cc055e613bff088b78254103a1d8370d8491b0df3ba321</t>
  </si>
  <si>
    <t>201541E01002</t>
  </si>
  <si>
    <t>d8cd353009d792aab0a94c2949867720fc3252c30af5eeeb3751f9c42b8caf6d</t>
  </si>
  <si>
    <t>201541E02002</t>
  </si>
  <si>
    <t>40079666abd8c46a55266872abf8576fcb975a75380449ea8ebf55315103217e</t>
  </si>
  <si>
    <t>201542B01002</t>
  </si>
  <si>
    <t>4c1259a60b72e781e49a3b3ac95498c55df3cd49cf9c6e6238c163b511b4c00e</t>
  </si>
  <si>
    <t>201543B01002</t>
  </si>
  <si>
    <t>de56dd37cf893c2d39c95faa4a097a8a6635afac664907de59af023c52c77810</t>
  </si>
  <si>
    <t>201555B01002</t>
  </si>
  <si>
    <t>9ee129ed425738ce0db3526c63b30914d89e33382f4f17c1f1864dcd6400f8f8</t>
  </si>
  <si>
    <t>201555C01002</t>
  </si>
  <si>
    <t>32c87f1e132d1c646ed090e4ec3397bb3835c6a9e101e82c7e7252f53f6714f4</t>
  </si>
  <si>
    <t>201556B01002</t>
  </si>
  <si>
    <t>c89f7af114362caa00afdb174c8ca75f16b499f9aa6aed87678d1192e54cbce7</t>
  </si>
  <si>
    <t>201556C01002</t>
  </si>
  <si>
    <t>dd376d543548065044394e3fee7f9f112c2c97402d05a3ff058e650de588b394</t>
  </si>
  <si>
    <t>201556E01002</t>
  </si>
  <si>
    <t>3832b85962fe0632c2a11dacdbcb52e38052278ee0b4f9b2950698703180c513</t>
  </si>
  <si>
    <t>201557B01002</t>
  </si>
  <si>
    <t>493400da11418286e74a2d0cadbffdc9c992876f260f04f64d591415e0bdc18b</t>
  </si>
  <si>
    <t>201642B01002</t>
  </si>
  <si>
    <t>2e61a660bc78fdabce9fb21a61686811fa152bd9e56bfcaff683d847516d2701</t>
  </si>
  <si>
    <t>201643B01002</t>
  </si>
  <si>
    <t>c3b7705a81fa2275bd2b9a13df64fa6351ddea215f5a76ba6448a618ba759087</t>
  </si>
  <si>
    <t>201685B01002</t>
  </si>
  <si>
    <t>6f0e3b12789bcddbfbe3cf6daafcb64c7c1bda8caed0e2f6e373689b3e4e667d</t>
  </si>
  <si>
    <t>201685C01002</t>
  </si>
  <si>
    <t>0665a9d699aadc8fbaeb6c21c2e61e75fcb546344a8040c8f87081e6cedce07d</t>
  </si>
  <si>
    <t>201782B01002</t>
  </si>
  <si>
    <t>ac696027230648e3d47564c871abe091dbdf8031f036d8bd6cf8b3519c118ae9</t>
  </si>
  <si>
    <t>201782C01002</t>
  </si>
  <si>
    <t>fc12da97785dcbdf1f955b1fbf7890cce2d1cdf93a156bfd3ffacfc0767a903e</t>
  </si>
  <si>
    <t>201783B01002</t>
  </si>
  <si>
    <t>3476d1b0e6aef31db39f0400861f3c87edfa4babc474d1fd8223648697e2d287</t>
  </si>
  <si>
    <t>201783C01002</t>
  </si>
  <si>
    <t>6d9e9fe25c4439f4fa929dbe709cd9d5c5ebb811e5ec337beafe70f248621fac</t>
  </si>
  <si>
    <t>201783E01002</t>
  </si>
  <si>
    <t>5b98044bb900283c7532accabf5511b4eed40773495d5e1b7d5e9e722d7fd8bf</t>
  </si>
  <si>
    <t>201859B01002</t>
  </si>
  <si>
    <t>af4d4621274bd2c459abacca57660acfe5f04c276448b0b87d4afff3058b1b81</t>
  </si>
  <si>
    <t>201887B01002</t>
  </si>
  <si>
    <t>bf48bb3b4cb0e6b31fa6c87b4a5874b9086d4fc9bae31cef5318d34bed7161ac</t>
  </si>
  <si>
    <t>201887C01002</t>
  </si>
  <si>
    <t>69c67d9364a35473c7973e772776ec4e4bb656b2d3cec965ebca1d9f9c254ea5</t>
  </si>
  <si>
    <t>201887E01002</t>
  </si>
  <si>
    <t>5586a77a1a8b73ba44fad82036dbc99daeab29b2b01cb86601d770b333822624</t>
  </si>
  <si>
    <t>201906B01002</t>
  </si>
  <si>
    <t>5d908df92e53dfabcbf441de71fd34e1660caa9b3d19a919fe6cbb237fc2f67c</t>
  </si>
  <si>
    <t>201906C01002</t>
  </si>
  <si>
    <t>df49d77b790595f07e30ef42a3e0ae045f717aef7e2558063eb6b158e5583f64</t>
  </si>
  <si>
    <t>201909B01002</t>
  </si>
  <si>
    <t>19c59f1f7b5a0ea064b293a9631dd1acaf08db9808954b74c07caf038dab9f41</t>
  </si>
  <si>
    <t>201909C01002</t>
  </si>
  <si>
    <t>5c45d772eef60db5ecbca968620a63ccd59e72b2f3e0712c5046491bf59279d9</t>
  </si>
  <si>
    <t>201910B01002</t>
  </si>
  <si>
    <t>8d16e5062f94fb0ef6ee9f37d5956c9c666f4f02ad864dd61d5052c4d81705d1</t>
  </si>
  <si>
    <t>201910C01002</t>
  </si>
  <si>
    <t>37fbdf9154fee59047aafeabc8d69baa21168ae73a68f5e6d91c092fc327f2b0</t>
  </si>
  <si>
    <t>201910E01002</t>
  </si>
  <si>
    <t>a39124e537a1adbcb8a13377964b13bcc34a6826330c12c83a657c8bdac19e22</t>
  </si>
  <si>
    <t>201910E02002</t>
  </si>
  <si>
    <t>c640287c8c6bfe5ae037423b77f136f06f90316297c564f1ec1edb55a7ec6a25</t>
  </si>
  <si>
    <t>201913B01002</t>
  </si>
  <si>
    <t>99729ac7922723cdae203e60a6230194ee6a14ca5dd16b66b7b588946ab6262a</t>
  </si>
  <si>
    <t>201913C01002</t>
  </si>
  <si>
    <t>47e9fdde9842e4a0f31c5f43c4a042468127b54c4a7f69ddaf82996148e91d34</t>
  </si>
  <si>
    <t>201918B01002</t>
  </si>
  <si>
    <t>37de6786f52926cc4f9b36ef5e7b4e53de5db475a911e4e6cb583afe819f3786</t>
  </si>
  <si>
    <t>201918C01002</t>
  </si>
  <si>
    <t>c412a8efa47b6fd09d40c273d3abf8464310b8e8931bb5a0917195f3b0b7da9d</t>
  </si>
  <si>
    <t>201918E01002</t>
  </si>
  <si>
    <t>02ec367e0e52397f0ca5080430b947a2f4720ca20c888f8542ab28a1ee1999f7</t>
  </si>
  <si>
    <t>202131B01002</t>
  </si>
  <si>
    <t>a5734e521872ca22bbfa1c8973bf538acbf011624dbe889704ac0e18a22b25e1</t>
  </si>
  <si>
    <t>202131C01002</t>
  </si>
  <si>
    <t>61834ef266849b8fb7dc28d12ca9adb432d11eac740274a88780a45a59db5722</t>
  </si>
  <si>
    <t>202132B01002</t>
  </si>
  <si>
    <t>d6bbfde6c0aab3fb09f9e11b0d00c24f5b92191b3dde8f1f6df2530bcd8d2605</t>
  </si>
  <si>
    <t>202132C01002</t>
  </si>
  <si>
    <t>fc4678deaf9638e29c6ad15f8e24ff271c636d5db12addccd458b8ec6c89853f</t>
  </si>
  <si>
    <t>202272B01002</t>
  </si>
  <si>
    <t>22a536d7d0fa6a26ebe75304a24dcac142aca92b6f3b0e5ea6a0a45cacc90fb7</t>
  </si>
  <si>
    <t>202272C01002</t>
  </si>
  <si>
    <t>65d53d4573c4f830e9de0c4e447e9d7373fb4795d1af1a45d37b13f45823f045</t>
  </si>
  <si>
    <t>202272E01002</t>
  </si>
  <si>
    <t>04b276f30be341eee4edb106c4623b1a265dbe70b32b3beb1ad5ab16c7743d1e</t>
  </si>
  <si>
    <t>202325B01002</t>
  </si>
  <si>
    <t>d1edd0613b6ec9137d1ae9e5818463df0d2aa08fbdb05d6c93fe196247331e6c</t>
  </si>
  <si>
    <t>202325C01002</t>
  </si>
  <si>
    <t>856ffbc8855f14716f50b3b69a0afc729b1e6bd311881df7e58454e2b95749c8</t>
  </si>
  <si>
    <t>202325S01003</t>
  </si>
  <si>
    <t>912a3ee295cdb7c2710ef9bfbc4102b299636bfebf5095d1580b30d1c1bc1708</t>
  </si>
  <si>
    <t>202326B01002</t>
  </si>
  <si>
    <t>e937fd6c024ff7863518fb84b65efb15eaa65ed783a4b9b06d252deb59493d18</t>
  </si>
  <si>
    <t>202326C01002</t>
  </si>
  <si>
    <t>572cb050a0f89ce1b86f30b305bbf7b85a5c168f7a0ef100a4943898706ca569</t>
  </si>
  <si>
    <t>202326C02002</t>
  </si>
  <si>
    <t>5e4a54f20309b2c618cab56d8744860061994682cad9b21860f310e9c7fcae14</t>
  </si>
  <si>
    <t>202326E01002</t>
  </si>
  <si>
    <t>1c5ea0850c8796d86bbb38839faf58538c8a7b71d7164027130fdd6340feabff</t>
  </si>
  <si>
    <t>202327B01002</t>
  </si>
  <si>
    <t>7941e600472637b4b0f8ddba27b55fb5b2603f004ea9a43429c4c7c91e32ceeb</t>
  </si>
  <si>
    <t>202327C01002</t>
  </si>
  <si>
    <t>81eb023e1003080a98a42cf8c8ca5f3f8269c1c3603e8be55ffbe1aa10c0c09d</t>
  </si>
  <si>
    <t>202328B01002</t>
  </si>
  <si>
    <t>0745e8bee99cef2563fa30059f846449075be9a1cd59d3477863ce34400f81bf</t>
  </si>
  <si>
    <t>202328C01002</t>
  </si>
  <si>
    <t>dc33c9f93534f4859d4bbecee61816e108a0fe8e93ea103103e1f5e755a5f655</t>
  </si>
  <si>
    <t>202328C02002</t>
  </si>
  <si>
    <t>eaf65c1580157bc00f5643953bba7380d359d151836026e7034fa8ed3905385e</t>
  </si>
  <si>
    <t>202329B01002</t>
  </si>
  <si>
    <t>2c57777ade085cc560a675f3ff6c7e7b4139dda9709c8ba36e02adbb4a8f3024</t>
  </si>
  <si>
    <t>202330B01002</t>
  </si>
  <si>
    <t>7a799c5685c518bb69bd878c0c14ae3a14ce7173f35416cdbeaaa62ea0b6f80f</t>
  </si>
  <si>
    <t>202405B01002</t>
  </si>
  <si>
    <t>494afdf2665c9b02390445290803ceccfaa15b1dbb893477eae3714b2f8d5154</t>
  </si>
  <si>
    <t>202406B01002</t>
  </si>
  <si>
    <t>e2cd9bc398eab3440246cfa3d4fc3a8d9f9ab06476bcdba92fbfb6c99d0f3891</t>
  </si>
  <si>
    <t>200057B01002</t>
  </si>
  <si>
    <t>ASUNCION NOCHIXTLAN</t>
  </si>
  <si>
    <t>6215c3da0f11558d0b561e85a03c410857535ded4b4620e8c5f59581392689ea</t>
  </si>
  <si>
    <t>200057C01002</t>
  </si>
  <si>
    <t>4db245a0ae7ba13fd29b581cda52a3da42d5c2e58595e958479ada3ff8803f4e</t>
  </si>
  <si>
    <t>200057C02002</t>
  </si>
  <si>
    <t>5bb5d53d71fc3f3ee36acc1124de58163c0956e9e2d5a1ae809f99105e92857f</t>
  </si>
  <si>
    <t>200057C03002</t>
  </si>
  <si>
    <t>9d9bf0bdeb549bb3eddb69c3e85100ff8b193c7a4191d45562fb04ddc9c168bb</t>
  </si>
  <si>
    <t>200057C04002</t>
  </si>
  <si>
    <t>1ca7980949cc4a0fb6b153d3701cea41e79fca175f6aceb774e0688b63062ab1</t>
  </si>
  <si>
    <t>200058B01002</t>
  </si>
  <si>
    <t>e3bc7f46efa024a6608c8f5d81285cec74fbb28830b4b2c8db8b6711abc34682</t>
  </si>
  <si>
    <t>200058C01002</t>
  </si>
  <si>
    <t>1a9c9c7f4c4cd001d9a3dba8c46a91c4c4926e8a6f753ff63efba20a141df2cb</t>
  </si>
  <si>
    <t>200058C02002</t>
  </si>
  <si>
    <t>c395a847fe3a59ce9cc071d8dc9d8e7c7279df9ca14853245dad12d257b3b3a9</t>
  </si>
  <si>
    <t>200058C03002</t>
  </si>
  <si>
    <t>ad0942e8b85e15e2d6825406280e8147c257f352ddd0a7ee9e6dfcc93d755e05</t>
  </si>
  <si>
    <t>200059B01002</t>
  </si>
  <si>
    <t>2a73862b3f98e2d4922da62d0a349b64b99f6b2352eaf6c8e6f7b44917d5f1f4</t>
  </si>
  <si>
    <t>200059C01002</t>
  </si>
  <si>
    <t>2ea7d4cd6eb585bb89984a703db3ba3131d8b5bb8ea45bb083fbc887725655d6</t>
  </si>
  <si>
    <t>200059C02002</t>
  </si>
  <si>
    <t>5a453379fe3a08dc10b140a1d041fb0d67f811243851313e4535f9d67bb2b652</t>
  </si>
  <si>
    <t>200059S01003</t>
  </si>
  <si>
    <t>69888a33b5532c0c7e18b6209e2fe4eb2a4c959f01935ac9fac5c59aa3f6ffc9</t>
  </si>
  <si>
    <t>200060B01002</t>
  </si>
  <si>
    <t>4bc53849aa86ef20dd28a630ce8bc62f293cad7486966343a6b76487bb421b5a</t>
  </si>
  <si>
    <t>200060C01002</t>
  </si>
  <si>
    <t>ce1067ad08cbae980b0371004cd583728df10efe54d37690f945152212a6d25c</t>
  </si>
  <si>
    <t>200060C02002</t>
  </si>
  <si>
    <t>89ad70840d63947139a7b2238364a5716b63c1a8894971e1d30dfde5fe3e47c1</t>
  </si>
  <si>
    <t>200060C03002</t>
  </si>
  <si>
    <t>e9c626f36866d619ca8e6c5e9c93d5d768db1b5d1de375b304ffaa5074d15615</t>
  </si>
  <si>
    <t>200061B01002</t>
  </si>
  <si>
    <t>cc3b43724dccf4bc45e7dde726ac18a7980dc52e6d1dfff028637be588680aab</t>
  </si>
  <si>
    <t>200061E01002</t>
  </si>
  <si>
    <t>20dd9ea2974c56d74aef7b2964d1421e58434c704c2cc6f4e11e1b0880c22750</t>
  </si>
  <si>
    <t>200061E02002</t>
  </si>
  <si>
    <t>801def95cfc500a4776fc88d16cb8a9a4c0aebe50c8cc278ec01f29988a6cd62</t>
  </si>
  <si>
    <t>200062B01002</t>
  </si>
  <si>
    <t>3444263784c53b66c1d866d456d7c95a1ff32f5d54054f43e41435518c5e830e</t>
  </si>
  <si>
    <t>200062E01002</t>
  </si>
  <si>
    <t>0bb614d936c15855b40cf6f9f9cefce4033026eb386bd5c55c9e6c55b1536803</t>
  </si>
  <si>
    <t>200063B01002</t>
  </si>
  <si>
    <t>0efc270e789f18da8323d0cdba3f5d8a977ce53656fbcab7ebf89298a9cafeb5</t>
  </si>
  <si>
    <t>200064B01002</t>
  </si>
  <si>
    <t>027a515382a4b79d4bacb4a62b6f3cc839986436928827fc935014268a6e3071</t>
  </si>
  <si>
    <t>200125B01002</t>
  </si>
  <si>
    <t>6d1bcb6ce7180ca7822878f8a5d4ebc7429f876d367e74c512f7e69153ee5efb</t>
  </si>
  <si>
    <t>200126B01002</t>
  </si>
  <si>
    <t>5ec3ccb9ac76ed8a201de4824c8693c9dfa1e87b669dc1aba189f133c28a42fb</t>
  </si>
  <si>
    <t>200369B01002</t>
  </si>
  <si>
    <t>ba69dd0832442bd493aecf75b867e90098290b8f12a7f65c88fdc942cb570620</t>
  </si>
  <si>
    <t>200369C01002</t>
  </si>
  <si>
    <t>966655b349f972d7438f61bb3256cb1e3dbb494b0a65607bd0f9095ca6f40a22</t>
  </si>
  <si>
    <t>200370B01002</t>
  </si>
  <si>
    <t>b74a51d84343d3ea96dba6b733205e49dde6eeaf917077b0661d9fe6f17fe28b</t>
  </si>
  <si>
    <t>200371B01002</t>
  </si>
  <si>
    <t>b33ae8f410bc17a754089f4cd6644b42b9a5b172ecae1f3304cf8b2c2cfeed1e</t>
  </si>
  <si>
    <t>200372B01002</t>
  </si>
  <si>
    <t>b5f05ea251a619e67148e846152f5b6b3a575d0a8e5b30446af548f1cd853f56</t>
  </si>
  <si>
    <t>200387B01002</t>
  </si>
  <si>
    <t>a6c21951db193649bb87dc6020bc2bf1dfa5e45509f3c2ed40558be875b66b81</t>
  </si>
  <si>
    <t>200387C01002</t>
  </si>
  <si>
    <t>c189cc102b720bef00100b10756a1a533c3a6c2de9ef11dac98c046737727116</t>
  </si>
  <si>
    <t>200388B01002</t>
  </si>
  <si>
    <t>ebb8b9c81e5741b55d50e85441dfb34bb1df15b512c3a222168156de2228e621</t>
  </si>
  <si>
    <t>200741B01002</t>
  </si>
  <si>
    <t>6763f27bef489629d9098bfaf2d6cdd13b73f465dbb3b0f15152d1c6a5addf9f</t>
  </si>
  <si>
    <t>200741C01002</t>
  </si>
  <si>
    <t>e1edcf407bb6554bc687929ea9d91244201a619dace8507ada8670522f9330ac</t>
  </si>
  <si>
    <t>200741E01002</t>
  </si>
  <si>
    <t>b2530995b724ebbdaa1ac1e6654b87d87a8dcf12aa1a9d79156426b5acbbebd9</t>
  </si>
  <si>
    <t>200742B01002</t>
  </si>
  <si>
    <t>f26fee0b0907ab770d39746d4ccdd39eaaa9b1cbffb0172ba85692edf67fd415</t>
  </si>
  <si>
    <t>200742E01002</t>
  </si>
  <si>
    <t>d2b8bb58fdfef9c076bf5643ed7a17c034e9a25a1eef27a88524b8ac6c7ed739</t>
  </si>
  <si>
    <t>200743B01002</t>
  </si>
  <si>
    <t>830aa8b6ac0ff9558338f2c41041bb8dccb72bc202920188d9f95adecd055813</t>
  </si>
  <si>
    <t>200750B01002</t>
  </si>
  <si>
    <t>d8b5c3ff2851dbb91072984febdf73424a0e36555bf9846a5176b7c2b77b77e6</t>
  </si>
  <si>
    <t>200751B01002</t>
  </si>
  <si>
    <t>20a829865593e04edd660ae31f644d007d9c2718e700499e180f15fa8f147a7a</t>
  </si>
  <si>
    <t>200752B01002</t>
  </si>
  <si>
    <t>33c0ba443cdb396b4933c29d6578b1f641b98292458b2d068b62c6b61c19abdd</t>
  </si>
  <si>
    <t>200752E01002</t>
  </si>
  <si>
    <t>b81b36fdb3bbef37fc9c391c24b53af74c13f0d936d74bbb1a27be527e74032a</t>
  </si>
  <si>
    <t>200756B01002</t>
  </si>
  <si>
    <t>af098f6e0f5e276a09ee306f91e38cc066985a91872cb6d714e08011b10835da</t>
  </si>
  <si>
    <t>200764B01002</t>
  </si>
  <si>
    <t>667ee74462e2f3b0bc569704db79e6734af0ab712198865008992515fbb66815</t>
  </si>
  <si>
    <t>200764C01002</t>
  </si>
  <si>
    <t>aeb27650a443b42abc9516f39ea7e744b6cb390baa22328b1decc841d5f27ae5</t>
  </si>
  <si>
    <t>200764C02002</t>
  </si>
  <si>
    <t>c8164f2df6e2b3db12e23a62455de372ec28dfe010656e0137c20522c6c816b7</t>
  </si>
  <si>
    <t>200765B01002</t>
  </si>
  <si>
    <t>2de99f80347fcc9440b769c3c219b423281c701738c31cb8f58cd0a651e95c81</t>
  </si>
  <si>
    <t>200765C01002</t>
  </si>
  <si>
    <t>c715550dc52e33128317a45ae5bca891544c0f9169a0905a5946a4d3fb31bdd3</t>
  </si>
  <si>
    <t>200776B01002</t>
  </si>
  <si>
    <t>6781e93027c00245ce8cca1826c35f7e3dee7df5f3fbbc4a4e5722bacbc97524</t>
  </si>
  <si>
    <t>200801B01002</t>
  </si>
  <si>
    <t>6f77383e660e448403eb694be5d6e646822f13261530339a45c203d5e184a1be</t>
  </si>
  <si>
    <t>200802B01002</t>
  </si>
  <si>
    <t>2e0fb05a82880e513bba75108b9086aca85ec76f3cec5e738b1caa22131e8661</t>
  </si>
  <si>
    <t>200837B01002</t>
  </si>
  <si>
    <t>aed292a5d94319f879f110a41ac22decbad72ca28703a8aa21446e31b463344c</t>
  </si>
  <si>
    <t>200876B01002</t>
  </si>
  <si>
    <t>EXCEDE LISTA NOMINAL</t>
  </si>
  <si>
    <t>3a0139d45a5ef001b2e86346874d7d6703ec849fae61fd5d236d3b53bb8ea9d1</t>
  </si>
  <si>
    <t>200891B01002</t>
  </si>
  <si>
    <t>4c8d94f77c0def1de7667da795ec0fcaa6af4808a3c5d45b2c1b2e5369abf080</t>
  </si>
  <si>
    <t>200892B01002</t>
  </si>
  <si>
    <t>defc15cb48e237272a9e3e18d197253c54e7fcd1338db2d5390a787dd9102f54</t>
  </si>
  <si>
    <t>200896B01002</t>
  </si>
  <si>
    <t>7f4889164db361233eaff1987b2b31f3c77fac4f840179f3c1ab3e532fcb2f99</t>
  </si>
  <si>
    <t>200900B01002</t>
  </si>
  <si>
    <t>1aab7fc44445107afd2276b95e38dbb2d8f636aaae478e25dc5a844e2366a1a7</t>
  </si>
  <si>
    <t>200900C01002</t>
  </si>
  <si>
    <t>5ee419b80fae992d7affbca127ae4ceec008020b58926ea0da4c5c57fa65fc30</t>
  </si>
  <si>
    <t>200900C02002</t>
  </si>
  <si>
    <t>c3dce8e6a2a82b9f4c5e00ad2dad953c507d880590aab47eab250e2364c79579</t>
  </si>
  <si>
    <t>200901B01002</t>
  </si>
  <si>
    <t>3767a23a58aafb1aa0fb8d8c529d78fe8f4cc1025083bb9f397c3599fbd21b8d</t>
  </si>
  <si>
    <t>200901C01002</t>
  </si>
  <si>
    <t>e7fe8fb450203bc96fe87f7449b68b5a1c471ac6577a6d4525303830ead3788e</t>
  </si>
  <si>
    <t>200901C02002</t>
  </si>
  <si>
    <t>85fc4135f480f1ff6020337a545e7fdb69312be3146116df1882e06de955fe9b</t>
  </si>
  <si>
    <t>200901C03002</t>
  </si>
  <si>
    <t>5f1dc7ce2500c50d79019dc05b6bd5a1402088ba2fb56edee165045fda9213e8</t>
  </si>
  <si>
    <t>200902B01002</t>
  </si>
  <si>
    <t>72ebc98cd42d462138646ac76207de9a265f999cdf50ff9c9585b35e3e1b7670</t>
  </si>
  <si>
    <t>200902C01002</t>
  </si>
  <si>
    <t>a9709a4cb77677623b967fb9fc5a5f6dd97c9b96c7bcc6c551f81d8a21a676e5</t>
  </si>
  <si>
    <t>200902C02002</t>
  </si>
  <si>
    <t>4f0230369a82269cd82764b292f0e5ecb6b751b87b86326b1ebadcd1c6621ca3</t>
  </si>
  <si>
    <t>200903B01002</t>
  </si>
  <si>
    <t>8f7c727b62d60ac29c1dfd14b7c4c2920b822652ce5cf2fdaf1b8f2ff9d46bf6</t>
  </si>
  <si>
    <t>200903C01002</t>
  </si>
  <si>
    <t>eb5e99a15b6fb00cd622ba464cd6aa9cca5b00ceace3fdcf8f82f2bfc9e539cd</t>
  </si>
  <si>
    <t>200903C02002</t>
  </si>
  <si>
    <t>9807a8a2386c697e0f5c44a4211aff7593261bd2a3cb4976a548fc641056ebe0</t>
  </si>
  <si>
    <t>200903C03002</t>
  </si>
  <si>
    <t>d8d20cb5c40b960b9dd8706465a399ec4cf06fc20e273dfccd7b25bf4097d5a2</t>
  </si>
  <si>
    <t>200904B01002</t>
  </si>
  <si>
    <t>8b8329fc1a71697589a1c5255ba9f8e08296fe4c69e52a1eb62f75c3d7e78ae7</t>
  </si>
  <si>
    <t>200905B01002</t>
  </si>
  <si>
    <t>36739c60b5f353123d6e5a623b586ca9d552f040b84c2a870dddeb5834c7b6b5</t>
  </si>
  <si>
    <t>200906B01002</t>
  </si>
  <si>
    <t>e39a71544dab2df27145cfc73944777f5ce434e93e9145e94d9d5f6f9db99cb5</t>
  </si>
  <si>
    <t>200927B01002</t>
  </si>
  <si>
    <t>4cbda6837bcadb3ced99dc38ce7f40727b677f0ddf7ca59d7b3881ced973ca69</t>
  </si>
  <si>
    <t>200928B01002</t>
  </si>
  <si>
    <t>80500b73814a2395a7fb6cfd44f882539d4d2d730231242bb58ea9b0d3893c93</t>
  </si>
  <si>
    <t>200929B01002</t>
  </si>
  <si>
    <t>5fbc4549e9d654ccf9e2ed32f23443ed3cd726bc939ab12905737f560a546110</t>
  </si>
  <si>
    <t>200929E01002</t>
  </si>
  <si>
    <t>91203e9665bdd98234d3e26dd48925d481586ea7eb62a38a439518f7f9c290f4</t>
  </si>
  <si>
    <t>200930B01002</t>
  </si>
  <si>
    <t>c5a82e05f7af39e5636951ca627c02a9ad487203dec6d5846bf56139fea3624d</t>
  </si>
  <si>
    <t>200982B01002</t>
  </si>
  <si>
    <t>01cfef474c0897cc664711c63e1a37a2b18e79d85c108bfd0ca5478eaea97514</t>
  </si>
  <si>
    <t>200983B01002</t>
  </si>
  <si>
    <t>6ae1735a53f632c1409f901bf67ebc791c1c3e75f22c1cfc2ad86d3e22bbc024</t>
  </si>
  <si>
    <t>200984B01002</t>
  </si>
  <si>
    <t>edb4d47f74ad1b02e8d7fa3428ace8e1a1d5c471c14e0807652462b4403e5252</t>
  </si>
  <si>
    <t>200984E01002</t>
  </si>
  <si>
    <t>1115003da4b17d8452825b2d67bf451d955ea1fe8983f13b352f4dc9d530076d</t>
  </si>
  <si>
    <t>200985B01002</t>
  </si>
  <si>
    <t>49146f86f782800ac1edcd7bfcf857e1d99ae662b70ed3979896e34865ef1fc6</t>
  </si>
  <si>
    <t>200985E01002</t>
  </si>
  <si>
    <t>7467094da02047b58552e6fa12d2a3642a09b51014ccbf23ad44432058eff2ff</t>
  </si>
  <si>
    <t>201002B01002</t>
  </si>
  <si>
    <t>408e18f206402b47605c7468f09fdac97e3e8adc66d6ca518b407da7608c3f5d</t>
  </si>
  <si>
    <t>201002C01002</t>
  </si>
  <si>
    <t>b3f200e12342b3a471779c1c77190e7b329a6d4d0da58fe739b03f1a5d6b31bb</t>
  </si>
  <si>
    <t>201134B01002</t>
  </si>
  <si>
    <t>ab17417a1213a36d9817800ae9be7c619476ed49d4f4d5c5b4f1f78f0406da66</t>
  </si>
  <si>
    <t>201135B01002</t>
  </si>
  <si>
    <t>96d608258341ca73f77e66199c889ed7308e3b9b77c20b0766bf68cec6dd652d</t>
  </si>
  <si>
    <t>201219B01002</t>
  </si>
  <si>
    <t>c092f61d80bb2beb881a9165c7a925f3857ea2332bc563e36addb20ccca49e5b</t>
  </si>
  <si>
    <t>201219E01002</t>
  </si>
  <si>
    <t>8aa07ee3874a7e3f912858ed8b172be9ab890be9e6e6667499bd61932f851116</t>
  </si>
  <si>
    <t>201221B01002</t>
  </si>
  <si>
    <t>ec611cc27b846fa7b7003f8ef2f0a4f69d3ec2d28219e04ee204ccbf5ca18be3</t>
  </si>
  <si>
    <t>201221E01002</t>
  </si>
  <si>
    <t>ddae42467636d6bf62c494c21b33f05c0d6a00b91420a7146508b394d869aeae</t>
  </si>
  <si>
    <t>201222B01002</t>
  </si>
  <si>
    <t>36bce45052105d38919e9ab7b68439b16ad02f4b66b9e9324dac49fa71cde2df</t>
  </si>
  <si>
    <t>201223B01002</t>
  </si>
  <si>
    <t>8140bdae5dada8e41db631a08718207950313e9055b82fc55e02767bd0557bd0</t>
  </si>
  <si>
    <t>201223E01002</t>
  </si>
  <si>
    <t>7022bfcd503d04ceca79e60b0813fad617d5f2ffeba8c548790dc40f5460835a</t>
  </si>
  <si>
    <t>201224B01002</t>
  </si>
  <si>
    <t>592b3a6573becf400ac38ed1928825d7d14191803dc831ebab4b254f2e0aa7c0</t>
  </si>
  <si>
    <t>201224E01002</t>
  </si>
  <si>
    <t>176020f11c770c6d9e729dd9af30495d3c650693ee1b470251a391204be66527</t>
  </si>
  <si>
    <t>201232B01002</t>
  </si>
  <si>
    <t>cc365464427672ade5e4db171b2a204203956d2c8473facd634d8f154b60b3fd</t>
  </si>
  <si>
    <t>201232E01002</t>
  </si>
  <si>
    <t>52bf9c41b49e98017a1759c2b323360eb8bebdc81441e961c1bddb7efedd75ce</t>
  </si>
  <si>
    <t>201233B01002</t>
  </si>
  <si>
    <t>c4960c0757701d05d45771c1209ee13a0e3dad90439cec73550b9240250c1e84</t>
  </si>
  <si>
    <t>201237B01002</t>
  </si>
  <si>
    <t>2a11c2a516a600065391f069009947efbf7b637bf11b57c3b5102932507feb4e</t>
  </si>
  <si>
    <t>201302B01002</t>
  </si>
  <si>
    <t>252b7010bde37e42349eb7da2d6882df1de7cc3b384ee5992c8971ed31c16f3d</t>
  </si>
  <si>
    <t>201302C01002</t>
  </si>
  <si>
    <t>fdcfcb2089ee9470592f259c3533977a7d1e63e1cfeda4b4420634d4ec114d70</t>
  </si>
  <si>
    <t>201315B01002</t>
  </si>
  <si>
    <t>ca44ed1a2fea3c4aa2af32796f312c952205f472d52c9a8c82bae020b1b8f712</t>
  </si>
  <si>
    <t>201336B01002</t>
  </si>
  <si>
    <t>6314213493dd60d7142f65c4f7b50a449fec074671b2335f55a5db87db02954e</t>
  </si>
  <si>
    <t>201336E01002</t>
  </si>
  <si>
    <t>9f68d518544e686aa196a3eb0cd8b48ad1b5bfb20c033a7faf10c1f4685d43a0</t>
  </si>
  <si>
    <t>201336E01012</t>
  </si>
  <si>
    <t>b11ec2df1f480894d23079d3e8efe54f0d0f564928a359048884609f70dafbb8</t>
  </si>
  <si>
    <t>201337B01002</t>
  </si>
  <si>
    <t>a249c3ae9ad9bd1e7e789b4c3a5dc89977d5ad87796fbbc089444f731916e94c</t>
  </si>
  <si>
    <t>201337E01002</t>
  </si>
  <si>
    <t>3cfc9ca671e8a63153fb7a7a6c887d637f4c59755b52832f1caa6596dfbedd12</t>
  </si>
  <si>
    <t>201359B01002</t>
  </si>
  <si>
    <t>5bc5331a835d9bebb2ea868a292f3e8895011cd4144f75fbbf67df043afe6b31</t>
  </si>
  <si>
    <t>201359E01002</t>
  </si>
  <si>
    <t>bfed8b8d893b20dccc4542df7d02a0267f772cd30e6082779d9838fd306d67ab</t>
  </si>
  <si>
    <t>201360B01002</t>
  </si>
  <si>
    <t>acd6ccac9cc9db530fee3acfc437c6e65ffba29ce0c80ab76e9e5394759d8447</t>
  </si>
  <si>
    <t>201365B01002</t>
  </si>
  <si>
    <t>9de07b8eceb4be150595fdde1afb078976903dc79c18dc7d792ae7889b661ceb</t>
  </si>
  <si>
    <t>201365E01002</t>
  </si>
  <si>
    <t>2d212e2410d7a05bd130b4ba4d54049927d8b7ddf44bc809c342197685b5e793</t>
  </si>
  <si>
    <t>201366B01002</t>
  </si>
  <si>
    <t>c5c14880b07060c05342911033837a0bf22bc976d3b1f204f5564e6515104da9</t>
  </si>
  <si>
    <t>201366E01002</t>
  </si>
  <si>
    <t>debbc63b91d474c95cf77e7c5cc8a4dd01c0c94ae2dbbf7ab1c8fd0bee9fc333</t>
  </si>
  <si>
    <t>201366E02002</t>
  </si>
  <si>
    <t>47ef016e2b33ce870951fe27ea772950d02076d5ab2006c38a280b9cf516fb0e</t>
  </si>
  <si>
    <t>201367B01002</t>
  </si>
  <si>
    <t>81b5267407c628bcf889738b850d11ebb1093cb31057385656f76339deb586f1</t>
  </si>
  <si>
    <t>201367C01002</t>
  </si>
  <si>
    <t>b6649035f106eca2c844250fb819e5d04ffdf439c36056a5f1850e8e0cec1196</t>
  </si>
  <si>
    <t>201401B01002</t>
  </si>
  <si>
    <t>5c4b27997acd31d926d356ee77cce78ab283e0b36d5009000684783fc0691daf</t>
  </si>
  <si>
    <t>201404B01002</t>
  </si>
  <si>
    <t>86fd9c4457c4f86b08748a47be239f38db43b1f6a001c27f04e333331532e4bb</t>
  </si>
  <si>
    <t>201405B01002</t>
  </si>
  <si>
    <t>3b8fa7d6dc2b939b6eefbb6e6c2b42ff6e553024a7f034fd2439a4ed8b3d6c85</t>
  </si>
  <si>
    <t>201406B01002</t>
  </si>
  <si>
    <t>3058151955a3ea51602bfa4e65e6845791ad398821ccdf7b68f2838944089ed2</t>
  </si>
  <si>
    <t>201415B01002</t>
  </si>
  <si>
    <t>adfb27e01fb5ec10a5d97ac0c43903104d35db62f55559467fa2c5e88f1e2210</t>
  </si>
  <si>
    <t>201426B01002</t>
  </si>
  <si>
    <t>f3d5878528a30d6d713a2731dce128fea2552500da9758a2baf1e29751baad00</t>
  </si>
  <si>
    <t>201426C01002</t>
  </si>
  <si>
    <t>9d383c35d29975062ce1e3f8ababc2167999f6ccc23600c2e9eadc58ae7e1c00</t>
  </si>
  <si>
    <t>201427B01002</t>
  </si>
  <si>
    <t>fde014f57bead60acbdd00542e9882dcb0700fd236d943fe94adfc2bee7d1cc9</t>
  </si>
  <si>
    <t>201427C01002</t>
  </si>
  <si>
    <t>ab4c4c01af385ace9afbf2b485da4afd7866efac7ab1b6dd126f45c9e2e63b6f</t>
  </si>
  <si>
    <t>201427C02002</t>
  </si>
  <si>
    <t>f9808b3f4f75a82591be86933457f57d59341097016940c56aeda2a7470edab5</t>
  </si>
  <si>
    <t>201428B01002</t>
  </si>
  <si>
    <t>1a02f9813eefc7a5d787196fba5ad56594b6f70c6f9646811c7c42d9665c8633</t>
  </si>
  <si>
    <t>201428C01002</t>
  </si>
  <si>
    <t>7d1b413408584d098d9bc4f03b17e40b15667117ab36845290af8add27c445fe</t>
  </si>
  <si>
    <t>201429B01002</t>
  </si>
  <si>
    <t>22758746d946dbf909abb2519bd4c3ae1982b444bbafb09f928e16878f856796</t>
  </si>
  <si>
    <t>201429C01002</t>
  </si>
  <si>
    <t>069df90877f6c36695181fb8a6efd4b8d7e3b2595a3c9f9d79f383d37076b5a7</t>
  </si>
  <si>
    <t>201430B01002</t>
  </si>
  <si>
    <t>f725f85206b0c43d6b46270ee4eb21c04f1d85b500764351ecb735cce8eef097</t>
  </si>
  <si>
    <t>201459B01002</t>
  </si>
  <si>
    <t>a0e255263da227f4f6dc119699891c2df56ebd6d1fbb9f0abf74990318f943a8</t>
  </si>
  <si>
    <t>201460B01002</t>
  </si>
  <si>
    <t>c0b676c945eb034517be7e4375dad4b6be7f307a519b13cc6e9df4264491a842</t>
  </si>
  <si>
    <t>201513B01002</t>
  </si>
  <si>
    <t>5ddbc40dab98dfec3a7b45c889a1efbbe511730143a10f8c34ffb1e7218bb2d5</t>
  </si>
  <si>
    <t>201513E01002</t>
  </si>
  <si>
    <t>d719378c946b633e3b4447fe82bafa5e452662335aaac03703a94f42d0bca853</t>
  </si>
  <si>
    <t>201554B01002</t>
  </si>
  <si>
    <t>13e7aa29d8b96489495ff0bda17c85dc999388cad33a7a4c426b17f3f6780c0e</t>
  </si>
  <si>
    <t>201554E01002</t>
  </si>
  <si>
    <t>6ce5f7889af0831e273c9b15cd4b6613b0a159dc3b17f52411ab9e1410e5c5c3</t>
  </si>
  <si>
    <t>201558B01002</t>
  </si>
  <si>
    <t>8cbabb7c447a453f5290daa691f820fc6bda754c9c63bb79751d2e7c0a715bfc</t>
  </si>
  <si>
    <t>201559B01002</t>
  </si>
  <si>
    <t>96340fd0c85deb84bf2244ede430b5b296e9d060a7f55c463c2fa0b7b24dbced</t>
  </si>
  <si>
    <t>201560B01002</t>
  </si>
  <si>
    <t>81875255dfe6f5ba14eacbfc1465b24f1a52aa352530b619fbcc91658eee05f4</t>
  </si>
  <si>
    <t>201560E01002</t>
  </si>
  <si>
    <t>cf4f5f10f8390ccd7e2dc0001903d858863cbaefc2f5f8f94e3fecb3436973e8</t>
  </si>
  <si>
    <t>201589B01002</t>
  </si>
  <si>
    <t>6593aaff3d056482ff4a5bebd243bfa9673252741ee471797b93d30c66e53965</t>
  </si>
  <si>
    <t>201589C01002</t>
  </si>
  <si>
    <t>7ea804ff7bee696b9c78a108ab06007ab2a04da81a43cba5690a2f06826e470d</t>
  </si>
  <si>
    <t>201589E01002</t>
  </si>
  <si>
    <t>2f20fbb447bf71e709ce860e94aa752722369bce008eb73520f443b75df4b401</t>
  </si>
  <si>
    <t>201590B01002</t>
  </si>
  <si>
    <t>24f2fb5dcf0fd5a2e83d4f2f10ec8eef1899cf2f773fae464807a855d9797144</t>
  </si>
  <si>
    <t>201590C01002</t>
  </si>
  <si>
    <t>35a9b3ced9b967d975776365c527458a4ba073fff0ad054c6918eb31b36c3be9</t>
  </si>
  <si>
    <t>201591B01002</t>
  </si>
  <si>
    <t>857c6949f2e90cc9444256c456b4b38f8b398f7c74557aacac90040d26b44db1</t>
  </si>
  <si>
    <t>201592B01002</t>
  </si>
  <si>
    <t>f08a8239babc583dd016d91e3670c027d61f0b6a91bcbde18bf3d45b40f724a3</t>
  </si>
  <si>
    <t>201593B01002</t>
  </si>
  <si>
    <t>79317023afec72e8009b2d443aaaa123a3dd85345d79a552ec4d3001e3a58a6f</t>
  </si>
  <si>
    <t>201604B01002</t>
  </si>
  <si>
    <t>df3181ed2a8fa9698eb5c4f94fb97f838fb50d0efd8f230b025df496b62fc7bb</t>
  </si>
  <si>
    <t>201640B01002</t>
  </si>
  <si>
    <t>8d8488d8af2bff2476d5d8ffd4933e43f716dc991d395a9438f7b3a3b5d47be3</t>
  </si>
  <si>
    <t>201743B01002</t>
  </si>
  <si>
    <t>913bee1bd62741766c3f107144bcfbc43aa87bf6bc4aa74324de224265398ca2</t>
  </si>
  <si>
    <t>201744B01002</t>
  </si>
  <si>
    <t>61233c219627f4cce25529e34345aff0b3100ea05521498a4670482f18b2a32a</t>
  </si>
  <si>
    <t>201745B01002</t>
  </si>
  <si>
    <t>520a6174afe3d8e21f4ba3642f324c96bb79d5cb498a677dc4435422c2386894</t>
  </si>
  <si>
    <t>201777B01002</t>
  </si>
  <si>
    <t>d31af71148ca6520b7aea79acda5289eba72ff7abe46318fbacfb7641306c210</t>
  </si>
  <si>
    <t>201780B01002</t>
  </si>
  <si>
    <t>f7523d45cd0f2110770debb88fa40efb891a8ad8649a3f8f8eb84b6716c3b63c</t>
  </si>
  <si>
    <t>201781B01002</t>
  </si>
  <si>
    <t>67eb70da2186f49c60ebf9655ceffd45e171412f9cc8d125487587fa51fae6db</t>
  </si>
  <si>
    <t>201789B01002</t>
  </si>
  <si>
    <t>f5548054a3809d0bfe1abcd87118b51bbc51eb8874ddc3132087cd14759176cd</t>
  </si>
  <si>
    <t>201789E01002</t>
  </si>
  <si>
    <t>2748d17e06bac8956e55d07b019d6b31ea0349eeb1e30c65de0971de1c57479b</t>
  </si>
  <si>
    <t>201790B01002</t>
  </si>
  <si>
    <t>f144a1b2f76734524783af3e816f867ab4534dc8f3c6b5f26969899914dd72c7</t>
  </si>
  <si>
    <t>201791B01002</t>
  </si>
  <si>
    <t>9e73205e43c6aeba83941c84df52ce2bee2c578fd71d170e35c9773d2ec6dd5c</t>
  </si>
  <si>
    <t>201791E01002</t>
  </si>
  <si>
    <t>06142328bf6e232b4e30d398ec9227a5c5b23d30c05176c5d0fbc090bae78d72</t>
  </si>
  <si>
    <t>201792B01002</t>
  </si>
  <si>
    <t>b92cdc96e4f8a3f0f2366191fe6b0637dbcb2f6764c6e6ed125af949cf1035e6</t>
  </si>
  <si>
    <t>201878B01002</t>
  </si>
  <si>
    <t>f83c1a4b820f03a9c167ea8d5eefc5ad7311ef5cbfae230c7fdcd4212bd84ed9</t>
  </si>
  <si>
    <t>201879B01002</t>
  </si>
  <si>
    <t>3276f3961cebe829a31c97840e0d59724d0b5de08a7198ee7ac83665f123ba79</t>
  </si>
  <si>
    <t>201898B01002</t>
  </si>
  <si>
    <t>4aaad29f9d55e8327048bf3b679aec4a74ae2ab195349540749c39e4e4e18a69</t>
  </si>
  <si>
    <t>201898C01002</t>
  </si>
  <si>
    <t>b12bf81231579a70b779786fd33047d15507e8d0d52d46921cb670620c6ce401</t>
  </si>
  <si>
    <t>201899B01002</t>
  </si>
  <si>
    <t>aac7e508898264ee076df2a23766607998c2751713ce121d24aa1f73a76b2353</t>
  </si>
  <si>
    <t>201899E01002</t>
  </si>
  <si>
    <t>f0a9712539eae8c72ef0d5762ee20cdbf104c4b098fc24ba4b8233583d2d3390</t>
  </si>
  <si>
    <t>201899E02002</t>
  </si>
  <si>
    <t>78c8b99dcd7da337060441bf4b488e40f58594e7e2d5cc9fa8c75922e48c3af6</t>
  </si>
  <si>
    <t>201900B01002</t>
  </si>
  <si>
    <t>082e92c25ed4316c41bc29078c1e9572b1509b3b0e638773927824a4a6ae8421</t>
  </si>
  <si>
    <t>201900C01002</t>
  </si>
  <si>
    <t>53c12ba23f9f3fe3e20735cacf1e6796c3011f2bdfcc29b780010dde3f32fb11</t>
  </si>
  <si>
    <t>201901B01002</t>
  </si>
  <si>
    <t>efec6c76a50c56a4cdd2616a555863d51547c59ac25d2cd8382363e45436a77c</t>
  </si>
  <si>
    <t>201901C01002</t>
  </si>
  <si>
    <t>02e5901a65580722e6c6a24f54c86b57137871c97c6c15915ccf732352dff663</t>
  </si>
  <si>
    <t>201901E01002</t>
  </si>
  <si>
    <t>b46696702a9e9686667073a42e3444baad6e9550bec51a6ef8471e80f41dceee</t>
  </si>
  <si>
    <t>201902B01002</t>
  </si>
  <si>
    <t>1512206b78cb2c72fe42a4e69835f6478a4a5ce6a69c03212e81a28b3aa38884</t>
  </si>
  <si>
    <t>201902E01002</t>
  </si>
  <si>
    <t>af6619c84814a460bbd9279a2c6a5f0979663a272211a80965b51093f923efa4</t>
  </si>
  <si>
    <t>201902E02002</t>
  </si>
  <si>
    <t>16a646fd2e5e46745b9bcd7316f52a3930022550784a234356a774d7cb2eb91a</t>
  </si>
  <si>
    <t>201960B01002</t>
  </si>
  <si>
    <t>e454722c353279633e918483cba1191aa9974ff264b1138b4dfd4fe79dd31adf</t>
  </si>
  <si>
    <t>201961B01002</t>
  </si>
  <si>
    <t>e4f2a5ea6024f9f40aa22702be396406a7b37e0adde7914114d92ddb24915126</t>
  </si>
  <si>
    <t>201973B01002</t>
  </si>
  <si>
    <t>2f5954d72b2ab7fb4a8b31dc2a02b2c944bf476c83fdfafc5cf692995cd86f46</t>
  </si>
  <si>
    <t>201974B01002</t>
  </si>
  <si>
    <t>84976aafc00344fbc8d08062077aaf62cabcfaa7031ca965b7a8c9ac83c42536</t>
  </si>
  <si>
    <t>201975B01002</t>
  </si>
  <si>
    <t>9d3e6b4b35e173ba191ddaf30425d24662b5806df5282547c523d7dfb0928ac9</t>
  </si>
  <si>
    <t>201999B01002</t>
  </si>
  <si>
    <t>da341edb67b5786b3ece39ed65bba9a4e138f2ceb6020f4472dc87caa85c3b46</t>
  </si>
  <si>
    <t>202000B01002</t>
  </si>
  <si>
    <t>573bd899d1162847dd5312362348dfbc96d9182079cd2eec8e5ba8d9fc46768a</t>
  </si>
  <si>
    <t>202001B01002</t>
  </si>
  <si>
    <t>c0deb3c852e9de896d5f06f0b9fe086a68b1b364e0c422adbf2d0b97c00e2ecd</t>
  </si>
  <si>
    <t>202002B01002</t>
  </si>
  <si>
    <t>d94d5e8783d7e6631b15c68cf9469a61b6df7dd93296477ee511e4a75633864f</t>
  </si>
  <si>
    <t>202003B01002</t>
  </si>
  <si>
    <t>51ad3bf290b5b9d1a37e7f966b85b29f94c7037a656325a208a562b26eb32c2d</t>
  </si>
  <si>
    <t>202072B01002</t>
  </si>
  <si>
    <t>79373afdcf7d290ad70adfd4d57d31a287fde241a1eb657723064798121313a3</t>
  </si>
  <si>
    <t>202073B01002</t>
  </si>
  <si>
    <t>78377b07dafabd37f3ef3c48971895d2a16de5a3d6f3fb7982aa81cc40bf02cf</t>
  </si>
  <si>
    <t>202074B01002</t>
  </si>
  <si>
    <t>52f24e26de28a0a16391389e4d57637708332e082f0f241d23e46fdff1d848c3</t>
  </si>
  <si>
    <t>202075B01002</t>
  </si>
  <si>
    <t>dd9dfc04492c4c25d13c2cbdd42b1099f4d2a46202493b4d6ecdb16d059a15d4</t>
  </si>
  <si>
    <t>202076B01002</t>
  </si>
  <si>
    <t>f9f5baa213725c8d925ad328ee56a6839dd504f88f02fb8313d68515ae3c8d29</t>
  </si>
  <si>
    <t>202112B01002</t>
  </si>
  <si>
    <t>39085117ad2ae43355e50d1c377ea3abc620d09e0060b7942ca5bd6fc42b5a01</t>
  </si>
  <si>
    <t>202112C01002</t>
  </si>
  <si>
    <t>913dffaff6fbdf38ef43411eed89328deb4a6ef001268b4ad847467c60879457</t>
  </si>
  <si>
    <t>202112C02002</t>
  </si>
  <si>
    <t>23d53c42c17ed9a30d5822d129c4674b4a0bbab16658be3080ad4c3789c62392</t>
  </si>
  <si>
    <t>202113B01002</t>
  </si>
  <si>
    <t>47e8a75df3fd5837171be804e47163c42dceb1c6df70a311461d50ff4ea52422</t>
  </si>
  <si>
    <t>202113C01002</t>
  </si>
  <si>
    <t>c9ea0ff6d779e5222a3944245442ca44016212d48a38ae5ac4118371333a36dd</t>
  </si>
  <si>
    <t>202113C02002</t>
  </si>
  <si>
    <t>71afb7cbac706d997a40317f1269e8fcce31874e26087747026e23dbfac7b045</t>
  </si>
  <si>
    <t>202114B01002</t>
  </si>
  <si>
    <t>cdb39bda4342f6b93bc7cec6ce62e7959d44236354791091b6a4e9d9fa703e31</t>
  </si>
  <si>
    <t>202114C01002</t>
  </si>
  <si>
    <t>a5ad5d4d37d333a267f81d334676e19f960c8f58061e4b6ef8e86a65988e11a6</t>
  </si>
  <si>
    <t>202114C02002</t>
  </si>
  <si>
    <t>bdc080be4bb5a49a89a1209cd8e3bb2160b7101fbcbe1859a951baf82a035794</t>
  </si>
  <si>
    <t>202115B01002</t>
  </si>
  <si>
    <t>bab868d3e60298a914a09d13c36501cb5aeb32a7e235e742c084b2efa981fc6f</t>
  </si>
  <si>
    <t>202116B01002</t>
  </si>
  <si>
    <t>e2a62fd7cdfc188789686fe0f0bc00cd6bbdcf0957499c95896a448ea74e71c6</t>
  </si>
  <si>
    <t>202116C01002</t>
  </si>
  <si>
    <t>7bc8e63862819fd130e6d013a02926caa82c13b35ee393aa3e2fcdde81c50087</t>
  </si>
  <si>
    <t>202125B01002</t>
  </si>
  <si>
    <t>ba605f3fa5fd3f8ff7ffee60940aa83cd6dad427d5230c342d8c9d91229a19e0</t>
  </si>
  <si>
    <t>202126B01002</t>
  </si>
  <si>
    <t>0c7d7f72f15d0004a73c2de8208e8c8013f5bae796d28de17301fef019ac1acf</t>
  </si>
  <si>
    <t>202126C01002</t>
  </si>
  <si>
    <t>0df305c7a9ad4a9b16e4a7329caed7d4196fdc6d6150eee62473839327ac795f</t>
  </si>
  <si>
    <t>202127B01002</t>
  </si>
  <si>
    <t>ee26f9d90c44a23257f2a660ae52987aa33acc22666aef45f5300226b2db7cbd</t>
  </si>
  <si>
    <t>202135B01002</t>
  </si>
  <si>
    <t>6911c8cc3a40da9d7c0dbf95e5cc2123d152ab885018c4d7218f0b4421ff956b</t>
  </si>
  <si>
    <t>202135C01002</t>
  </si>
  <si>
    <t>be8d4385ea22533e8be79616667a8ecce4a215fb13f22e1d690c6ba72934f306</t>
  </si>
  <si>
    <t>202136B01002</t>
  </si>
  <si>
    <t>1894293525977eaa0b4e8862d26af0512c632b7081cf208f8b32bd7b503242a0</t>
  </si>
  <si>
    <t>202136E01002</t>
  </si>
  <si>
    <t>94f22d8b835a3ddbf1d46f0567575451065490059b5f285f34e306ac175d2102</t>
  </si>
  <si>
    <t>202137B01002</t>
  </si>
  <si>
    <t>ac5483ddd0eafa2ffdc86cb7ccfcd5c46ff0fcd6d4aecfb9b766b6f9c564cd88</t>
  </si>
  <si>
    <t>202137E01002</t>
  </si>
  <si>
    <t>58c934306d1abaa5bd38240465bcd9d71041dbb24c14519f72157746e81744d6</t>
  </si>
  <si>
    <t>202138B01002</t>
  </si>
  <si>
    <t>38fdfe03a52a00d8a1f442a03f6ce65baaa44b0cce706974216fdd7a09e16f3b</t>
  </si>
  <si>
    <t>202138E01002</t>
  </si>
  <si>
    <t>97cb0cddc43a7106bcf87e7655d54d7f46d74c719dd69a83d83cbffe5e4a6ca7</t>
  </si>
  <si>
    <t>202139B01002</t>
  </si>
  <si>
    <t>56db19b58801aa382719892abde348e31faf155f9a1d4e192aad5b6f8be7bcdf</t>
  </si>
  <si>
    <t>202140B01002</t>
  </si>
  <si>
    <t>ebb3530f7e38a327de0d12161231f293eab316c0ea2fc9298309cd5f8bc4c336</t>
  </si>
  <si>
    <t>202140E01002</t>
  </si>
  <si>
    <t>56659bff83f8ca754caefc8e82e182737912e2004d041cbad80441207bb8e6df</t>
  </si>
  <si>
    <t>202141B01002</t>
  </si>
  <si>
    <t>21187f750e87915332f2caafdb3edbc49422a6a3e649d20989b8b0b9a0827d90</t>
  </si>
  <si>
    <t>202141C01002</t>
  </si>
  <si>
    <t>3a04345c2aa9f4039a2ae499b4504d0268feac6d135592e79a9699ef36638334</t>
  </si>
  <si>
    <t>202142B01002</t>
  </si>
  <si>
    <t>35209a9d5f53dec531cedf3fe2a7f3a71da2579fbbd33f50888dc365ce03a8f9</t>
  </si>
  <si>
    <t>202142C01002</t>
  </si>
  <si>
    <t>21f2a69f9272cc61c6058a9329426f3c334a5798cc2501a88f46330396eee3ee</t>
  </si>
  <si>
    <t>202143B01002</t>
  </si>
  <si>
    <t>98e086fef5d4c05d57d6b8c63b8e9c14f284ea244e344c4d34acf8da9ac6b914</t>
  </si>
  <si>
    <t>202186B01002</t>
  </si>
  <si>
    <t>6cfad956c5f648ca11a73ab1cb65270e3b901f6261cd2ed410ce2fbf7c1c814f</t>
  </si>
  <si>
    <t>202187B01002</t>
  </si>
  <si>
    <t>2cad80698719958b984a8eb1d0b06d1bc44c9971deca2866a839dd2bde76ab58</t>
  </si>
  <si>
    <t>202188B01002</t>
  </si>
  <si>
    <t>76ab5205ed9c9885419712e94643c70d89727249a64e8b7b1d7000a7af270a7f</t>
  </si>
  <si>
    <t>202188C01002</t>
  </si>
  <si>
    <t>89fa29cad015b375495182c6aabc26fec5aba3c56907db88c4cb550e5cfe8023</t>
  </si>
  <si>
    <t>202188E01002</t>
  </si>
  <si>
    <t>f63e1b4d458df6440333c530e6d2bc414f394d5251a06601321afdee35211fe9</t>
  </si>
  <si>
    <t>202234B01002</t>
  </si>
  <si>
    <t>3cf8b784de655b9d881f89f633670d9bc042937bef84766a050a0c6fa913094b</t>
  </si>
  <si>
    <t>202244B01002</t>
  </si>
  <si>
    <t>3635f3c4782df48d75cc71d614e0bef85ed982085a54de8a9102f5251d344e45</t>
  </si>
  <si>
    <t>202246B01002</t>
  </si>
  <si>
    <t>d290d7db5ec36e22e5aa8f0634d9a12025d4fd79ba71de4b144e80e2b8be95b5</t>
  </si>
  <si>
    <t>202246C01002</t>
  </si>
  <si>
    <t>7807ef262d3e9523a963b4e78147527f1aa94035386a7d75823aff6102f7a60f</t>
  </si>
  <si>
    <t>202247B01002</t>
  </si>
  <si>
    <t>c90a98e8ab5fca4f89838952fdfa80f1e64757dbf0a97dec2afda7906be333ef</t>
  </si>
  <si>
    <t>202248B01002</t>
  </si>
  <si>
    <t>8412ccc8614586f752edc01325450fe0798fa7b3dc0476c679cf54561d9ea699</t>
  </si>
  <si>
    <t>202261B01002</t>
  </si>
  <si>
    <t>d711934c00a5b4aee8e989afb0daa987ac478b326d6cd6944d0c01aee5e26d53</t>
  </si>
  <si>
    <t>202261C01002</t>
  </si>
  <si>
    <t>5c5ad157b2b1294263196cf4ce951d7067a67c62e8294b39fdc7f9df11a8d681</t>
  </si>
  <si>
    <t>202261C02002</t>
  </si>
  <si>
    <t>181c5eeba7ea5d3918292eab531642de4a1f2b1436c72fafc2bbf6a1c7c61a2d</t>
  </si>
  <si>
    <t>202305B01002</t>
  </si>
  <si>
    <t>a8f99ce8537931d38ae17e29c353879f704c24e81cb4a3a26dd725b2606f84ea</t>
  </si>
  <si>
    <t>202305C01002</t>
  </si>
  <si>
    <t>0b980fa3d1533c560ea333d0fa7cd279daca86139978d5e8f5f7f08d8c7fd3b6</t>
  </si>
  <si>
    <t>202306B01002</t>
  </si>
  <si>
    <t>881a91209c7d637ae11769347a56b041f6bf3f9b537de810dcaaaa3124c115da</t>
  </si>
  <si>
    <t>202306C01002</t>
  </si>
  <si>
    <t>7c78d8f0fefce21dcd6b09e012b4b8e96a69edc93f59d5a1437b1458f7afc906</t>
  </si>
  <si>
    <t>202306E01002</t>
  </si>
  <si>
    <t>a43324ed1882c0c13768148fb996765c9f3bf75de8a312529e0ae6106d06ab9b</t>
  </si>
  <si>
    <t>202307B01002</t>
  </si>
  <si>
    <t>9002635ffe8eff92022f7f9efe447b34e297f2f239d90a7741a860de7187cb13</t>
  </si>
  <si>
    <t>202307C01002</t>
  </si>
  <si>
    <t>2de025853cc6c6ab9a26d803a18458c7d7b041d3dbadc793839a25c1b9f5506f</t>
  </si>
  <si>
    <t>202308B01002</t>
  </si>
  <si>
    <t>136a51e6383f31ddb828e272ae0ca04fbd8a00637a9d13365fbee4bc0f8a4150</t>
  </si>
  <si>
    <t>202308C01002</t>
  </si>
  <si>
    <t>bae22b7706dc13eed1981c72649712f03c06bf8467526fd973309f94e1223285</t>
  </si>
  <si>
    <t>202309B01002</t>
  </si>
  <si>
    <t>51f4f73961019c1c394b653f4e30d8c989b093fad03d30cf81059de368f76133</t>
  </si>
  <si>
    <t>202309C01002</t>
  </si>
  <si>
    <t>8695cb49d4c6c2c801a6fe09ded19f80631eb9d433e451b7fcba9c758cf5305f</t>
  </si>
  <si>
    <t>202310B01002</t>
  </si>
  <si>
    <t>ccdca7b24a375136d93f4c7b007620c956e2643f22ccbec5c25f57c1d4d2f0a9</t>
  </si>
  <si>
    <t>202321B01002</t>
  </si>
  <si>
    <t>e05196f56ba18bbbab1c3dbfbe851f46bdbc383711344a525f3d07cbf16043b5</t>
  </si>
  <si>
    <t>202322B01002</t>
  </si>
  <si>
    <t>1f231742a79a527b98ad1fe378837df16d69d4bde7f3552525e6ef82f138bdea</t>
  </si>
  <si>
    <t>202322C01002</t>
  </si>
  <si>
    <t>fb0ef3f43484013797a8f9c959e4d7e61d6c2e51543295c88c07c8911bf87fa0</t>
  </si>
  <si>
    <t>202323B01002</t>
  </si>
  <si>
    <t>c68499c42dacf361c11446d86ba5384314452c79aa7cbecfcdc649ba0e8c3b51</t>
  </si>
  <si>
    <t>202335B01002</t>
  </si>
  <si>
    <t>4fbb2a1b43015a6b8fd32bdaca93392884b15d44ae2777c53090ef1a3f70bc3e</t>
  </si>
  <si>
    <t>202335C01002</t>
  </si>
  <si>
    <t>ae010117e2a8ba2680cd50b86a043ae573435e1cf047cf31c7f57d4c09c9c4a8</t>
  </si>
  <si>
    <t>202336B01002</t>
  </si>
  <si>
    <t>dd5c4dcdc254dbdd6b1d91fa59101f32f9b6bdae567635ff5e36147e60a25c8e</t>
  </si>
  <si>
    <t>202337B01002</t>
  </si>
  <si>
    <t>c7c219299037365e253975d43629cb73e6617d70264e9f2e4c0453ef7b2e4828</t>
  </si>
  <si>
    <t>202338B01002</t>
  </si>
  <si>
    <t>d9c3c1cd7c140d454df4334b0549fda28a2e6275dbcf91699a78711d0c645d8a</t>
  </si>
  <si>
    <t>202362B01002</t>
  </si>
  <si>
    <t>2bbf7f408287ee01cfc69f22fbc8b112419fb3b42e1519c7db224ef2f0b31364</t>
  </si>
  <si>
    <t>202393B01002</t>
  </si>
  <si>
    <t>31690831d7be97ada6171294466efb6d25bf7e717bd964b65c0f05fa1db196b9</t>
  </si>
  <si>
    <t>202422B01002</t>
  </si>
  <si>
    <t>882d03755e2b6bce07e7688d1f7f623af5a51ce61704e89a98c404b32848d09a</t>
  </si>
  <si>
    <t>202422C01002</t>
  </si>
  <si>
    <t>99d4091b599a77349b5b8f9422cea8b12529f45edfde07059920580ba0999030</t>
  </si>
  <si>
    <t>200042B01002</t>
  </si>
  <si>
    <t>HEROICA CIUDAD DE HUAJUAPAN DE LEON</t>
  </si>
  <si>
    <t>9fb74aec2773af887bb3ce40fe9308d090699cf5f036ffb71e84f3644aacfc67</t>
  </si>
  <si>
    <t>200042C01002</t>
  </si>
  <si>
    <t>cd13fd14c6753ab181d0cd6896b77d742b7d7dde353eb08583eef8a6671e6b38</t>
  </si>
  <si>
    <t>200087B01002</t>
  </si>
  <si>
    <t>81f7676bc86ee2783f3674dc70b68de1b43d04b3eb2e79ea29560b0221495928</t>
  </si>
  <si>
    <t>200088B01002</t>
  </si>
  <si>
    <t>e8a52a4ef698446deb79a15c27c5c26224de8d63040f1e36502f0326243c3da4</t>
  </si>
  <si>
    <t>200089B01002</t>
  </si>
  <si>
    <t>3e8d2e3fb67103ab59d3c539d77b32421d0f87e7bda83fe3a966b2eba12a5c0f</t>
  </si>
  <si>
    <t>200144B01002</t>
  </si>
  <si>
    <t>a595eb15989b69e588ad72f737e13272283dd94b52e0e2bb1fa78ec60764d615</t>
  </si>
  <si>
    <t>200145B01002</t>
  </si>
  <si>
    <t>0fc156e4e7e742b7fa12f78a0422eb5c0e15ae7ec4771f18ef0c1821d60d27b7</t>
  </si>
  <si>
    <t>200146B01002</t>
  </si>
  <si>
    <t>39a4c74ae3b7e9d8a1c27ae10569c7c1b4176741b18ebd7247107dd63b9e6b73</t>
  </si>
  <si>
    <t>200187B01002</t>
  </si>
  <si>
    <t>2820ae046395b7fe50f2314976b9f314c5de2740432365d6f787b32ed1825fa3</t>
  </si>
  <si>
    <t>200188B01002</t>
  </si>
  <si>
    <t>83b89d3262d6bf7b4c05c4881a217bf5b3b0b6c435e845605576db567724b915</t>
  </si>
  <si>
    <t>200189B01002</t>
  </si>
  <si>
    <t>902eff0613cf129777f548951e70596c1b06dc619501182f3ce4413af1b34ff7</t>
  </si>
  <si>
    <t>200190B01002</t>
  </si>
  <si>
    <t>eec2118ae24cf4651685accad1305962fb6f8038c1dc60ba92aa12000361a6f0</t>
  </si>
  <si>
    <t>200191B01002</t>
  </si>
  <si>
    <t>c2fdf24d3f89c7d76c0dd1a065e646ee22df3cb9e0d3a143af1a19f9747d0006</t>
  </si>
  <si>
    <t>200201B01002</t>
  </si>
  <si>
    <t>7e30d01b1b551c6127a06904ca393d489acf0cb61279b49539173fda94ff8917</t>
  </si>
  <si>
    <t>200201C01002</t>
  </si>
  <si>
    <t>b6c123921cf3fd17daa88916fb1f3644fbcc54779fcf8c41462a885dd8ee5770</t>
  </si>
  <si>
    <t>200201C02002</t>
  </si>
  <si>
    <t>fdb0dcf82065c0f639b6380afadaeec5693d15d7b033f9ada7f50391cff01bf1</t>
  </si>
  <si>
    <t>200201C03002</t>
  </si>
  <si>
    <t>720bbe9c069c4857385cd6f1272e662120f538db08b2860ee758f6b81159b18c</t>
  </si>
  <si>
    <t>200201C04002</t>
  </si>
  <si>
    <t>e40cf2e0c76e6b7427edeed15d9a2288ca719127077b0e5428bde7a61ca8a13f</t>
  </si>
  <si>
    <t>200202B01002</t>
  </si>
  <si>
    <t>1a7164b7ef192127bff82d6a6ef1ebb0e3e2ff4b88e60e03037b463372a717cf</t>
  </si>
  <si>
    <t>200202C01002</t>
  </si>
  <si>
    <t>a39cb7b503494a02005998ee713ac936a99d270eab4f8bc19eeaed5d30cffa75</t>
  </si>
  <si>
    <t>200202C02002</t>
  </si>
  <si>
    <t>cc1ac940b517ebfef6b87477fe8edc560e5075622dbb33ffe61fd52a2a7093bf</t>
  </si>
  <si>
    <t>200202C03002</t>
  </si>
  <si>
    <t>0f9f0ad788c017c741b34ebaa02759b70701828f2cd4446aa08c803a1003e5d3</t>
  </si>
  <si>
    <t>200203B01002</t>
  </si>
  <si>
    <t>51d25ecb7b23bf9aab1921a920a6350a09da366dd933d8da3d530be4a28ffb33</t>
  </si>
  <si>
    <t>200203C01002</t>
  </si>
  <si>
    <t>cf47dc933d63a42ea391bc7533cdae2f26d59a56efbaa7eefd7cba4d0f134228</t>
  </si>
  <si>
    <t>200203C02002</t>
  </si>
  <si>
    <t>874454dac8d7d68be843e07a8a4734365618d181957ae8a6273385d7752ccb15</t>
  </si>
  <si>
    <t>200203C03002</t>
  </si>
  <si>
    <t>8d3f8c25fc37f34165cbef53acdb956f9799c908e7a688e9540f9106be53ab13</t>
  </si>
  <si>
    <t>200204B01002</t>
  </si>
  <si>
    <t>69f863db80266ea32c38057d81c5af0e2ecd788d8068eadb79f85cf09ec895b3</t>
  </si>
  <si>
    <t>200204C01002</t>
  </si>
  <si>
    <t>a29ebca54c3e3e6006622aad1229a1589a40a42edd627d25d814dc4c4de8a50a</t>
  </si>
  <si>
    <t>200204C02002</t>
  </si>
  <si>
    <t>d5ca1dce0a943d8cc16a88c93b0df8a510a90f5fa401b771883aea3b3aa6c10d</t>
  </si>
  <si>
    <t>200204E01002</t>
  </si>
  <si>
    <t>9ee09aea2e78ff12f7d06016e765aeb152715812a836dc199c402bac29365f66</t>
  </si>
  <si>
    <t>200204E01012</t>
  </si>
  <si>
    <t>0a3fc3f1e1410c9f7f4913ab7e51ee72ab3b318ca027d7ce2dedf75b11379ec3</t>
  </si>
  <si>
    <t>200205B01002</t>
  </si>
  <si>
    <t>73de7aedf09ddf881858349d3afad04c02119d154d670a3ed872f1d1f7ef4978</t>
  </si>
  <si>
    <t>200205C01002</t>
  </si>
  <si>
    <t>382adf06b03ffe57f362946d95d6dd6daa981942be748a5ef77759cc19b4f663</t>
  </si>
  <si>
    <t>200205C02002</t>
  </si>
  <si>
    <t>9793e3bec73f307f2f5c9042ca7944ed51961a321c0bb2619bd7cb65b9f4f7a5</t>
  </si>
  <si>
    <t>200206B01002</t>
  </si>
  <si>
    <t>5a9dabac695f562d443b45966c6e99bf16761f901648957d302fdf9830ea9923</t>
  </si>
  <si>
    <t>200206C01002</t>
  </si>
  <si>
    <t>436a2331a2d0166d3018ee827f1f7c104fc7f461b9f713e604ad53ac3cf3e0be</t>
  </si>
  <si>
    <t>200206C02002</t>
  </si>
  <si>
    <t>90e293776161921c702362ad855a52c10ec367f645af57b95256f2646a2032b1</t>
  </si>
  <si>
    <t>200206C03002</t>
  </si>
  <si>
    <t>c959aedb32ba4121109e3e06eb8529a213d6d21f66260ded5c8c5a3517c7bb62</t>
  </si>
  <si>
    <t>200207B01002</t>
  </si>
  <si>
    <t>3b14cab59555811a7e43c91bec1e6bec1d3ad0dc2b928e94097c6150ce8c08b7</t>
  </si>
  <si>
    <t>200207C01002</t>
  </si>
  <si>
    <t>dc842b51a78468983dcf7801e9d684b397e07e0601eafe3752867cf87b27ff18</t>
  </si>
  <si>
    <t>200207C02002</t>
  </si>
  <si>
    <t>56de602a4993ee7ed2ed0c94a0b529a4f0683a9a811596416d51aea7f4fc829d</t>
  </si>
  <si>
    <t>200207C03002</t>
  </si>
  <si>
    <t>076ea7831ed120be420cc50593e2a11cfa942fdbff732633166b7e7a626757c2</t>
  </si>
  <si>
    <t>200208B01002</t>
  </si>
  <si>
    <t>973c53ededb0eb7f0f92367df763f8d13b9cc59b7d75f9a5454c2848b325436d</t>
  </si>
  <si>
    <t>200208C01002</t>
  </si>
  <si>
    <t>3c9606428a647b279fe8ba2403c3ff0dc3e8692b5aeac7236898c2084393fe86</t>
  </si>
  <si>
    <t>200208C02002</t>
  </si>
  <si>
    <t>6d20df02058fae265b10a306529166ac85950950f11560879c3eeef66b351718</t>
  </si>
  <si>
    <t>200208C03002</t>
  </si>
  <si>
    <t>306704656634d13756a61ea78408bf95a62a3f3b0fbc524b75370154f5ffcf6c</t>
  </si>
  <si>
    <t>200209B01002</t>
  </si>
  <si>
    <t>a1887e47a0644fc1f7843f2facb372e48a381a9ce79428d974bba54508e0b7f6</t>
  </si>
  <si>
    <t>200209C01002</t>
  </si>
  <si>
    <t>cd41b73faa96ac75e0d1a4dc6ce1c71d5ebb1fbb6a04e6364489b8e2926b880f</t>
  </si>
  <si>
    <t>200209C02002</t>
  </si>
  <si>
    <t>5f9627d01d991befb697f2610ebb0913fa9b81993bfcf4b723f99024a7bab4a3</t>
  </si>
  <si>
    <t>200210B01002</t>
  </si>
  <si>
    <t>fdc1bd393584fc32a5cf2105663f4fddde2679e32e096500a182ac375482f1c3</t>
  </si>
  <si>
    <t>200210C01002</t>
  </si>
  <si>
    <t>050ae2239c28d52579f8a362312109055983f5c45edc8d890ff78187530de487</t>
  </si>
  <si>
    <t>200211B01002</t>
  </si>
  <si>
    <t>d3ede7dc796e415eb5bdf8a3018061bdef032fa53d728fbc916fa8870205ce6e</t>
  </si>
  <si>
    <t>200212B01002</t>
  </si>
  <si>
    <t>f2266d45594e68fd823c146867aca4dd01e78b53d816463334c86c59420b61bc</t>
  </si>
  <si>
    <t>200212C01002</t>
  </si>
  <si>
    <t>7be1b14970a40ff080b485f63cf93573fccf67e8ab15d8025c017ad2b1c2f620</t>
  </si>
  <si>
    <t>200212S01003</t>
  </si>
  <si>
    <t>a0e50d08bf0b93fe42d757d83d54039719f595d44d181e437fed8a9da3434047</t>
  </si>
  <si>
    <t>200213B01002</t>
  </si>
  <si>
    <t>e06db4ad0c31442087f4cf305449b8643a166f32fae17a8f0da3f5b9d09b54ea</t>
  </si>
  <si>
    <t>200213C01002</t>
  </si>
  <si>
    <t>56ba2dd60e9d1b337c7740f3c990a9d28acbd14f33a2a60ab4f90a3148202e07</t>
  </si>
  <si>
    <t>200214B01002</t>
  </si>
  <si>
    <t>1c4a8b4997a77853f23c0fa3acef26aff387a0b3ada2d6dcfbdc051a0c49d892</t>
  </si>
  <si>
    <t>200214E01002</t>
  </si>
  <si>
    <t>b04c0ca8523ab888895ad89f73dfa0cf999d75aebb5b9f90c71e8d7ef70f6736</t>
  </si>
  <si>
    <t>200214E01012</t>
  </si>
  <si>
    <t>bcbca02dd145d0373e09994c4f431b7e8c10f2b0ece692d0d7266986caedc2c1</t>
  </si>
  <si>
    <t>200214E02002</t>
  </si>
  <si>
    <t>1497b0472269da7669e7fadaba251692345b9fb0a9f07502f3aff0d24ded6a58</t>
  </si>
  <si>
    <t>200215B01002</t>
  </si>
  <si>
    <t>1be115b6622da1d9f26c29f3f4961d1363644b2b6e99346f554aaf9c02fb774c</t>
  </si>
  <si>
    <t>200215C01002</t>
  </si>
  <si>
    <t>2cb7522be239237cb84cf6d049f7654cc74fe2309115dc2281e4750cd1f29f36</t>
  </si>
  <si>
    <t>200216B01002</t>
  </si>
  <si>
    <t>8503af383c814ff4ec7111beff8aa8da3774ea7e62a7183acc7dabe39e5d82c1</t>
  </si>
  <si>
    <t>200216C01002</t>
  </si>
  <si>
    <t>a0c96c172cc3401ec0c5eb9c77bf3fc481152555f164c11e5db78e62b46a3f1f</t>
  </si>
  <si>
    <t>200216E01002</t>
  </si>
  <si>
    <t>41f307ca2c8f5d3a446487c89df9fe9a6304fdee43db6dfcf8b20aa43c686bb4</t>
  </si>
  <si>
    <t>200216E01012</t>
  </si>
  <si>
    <t>d4d2608242899178dda303e97252b017f7c09fc9d4007885e3265420f5994b51</t>
  </si>
  <si>
    <t>200217B01002</t>
  </si>
  <si>
    <t>0bd5a35553fe0db425dfd0d3f8d99a24f233d9df4e7b8537e299c03edfdeb32c</t>
  </si>
  <si>
    <t>200217C01002</t>
  </si>
  <si>
    <t>b452513bc0523f4a67092ceb604787a5d2fab46f2d772d9a56ed1f88651b655a</t>
  </si>
  <si>
    <t>200217C02002</t>
  </si>
  <si>
    <t>3a020ef9f5368904c8e52d64a39a7b0dc4daf44b1fca07b13b09be72068ffc37</t>
  </si>
  <si>
    <t>200217C03002</t>
  </si>
  <si>
    <t>55b2676d915258628ea99142a00d1de851fb23e4346c246b6d4663c7dad61b22</t>
  </si>
  <si>
    <t>200217C04002</t>
  </si>
  <si>
    <t>eb43ae598f43fa4445df18f73e4aba4693cff9b7d05f71e768cacd11447cd5db</t>
  </si>
  <si>
    <t>200218B01002</t>
  </si>
  <si>
    <t>9b0088a17dcab49c9efb773bb5fb2d301c5d8aa5a3f8e00ef00f962d49d6b090</t>
  </si>
  <si>
    <t>200218C01002</t>
  </si>
  <si>
    <t>c1c565e8fad6827459058b6d38f6532cf64617122e7724f74ad237fb01940734</t>
  </si>
  <si>
    <t>200218C02002</t>
  </si>
  <si>
    <t>fe61fd03ccbc9c43bc76c986d0dfc90dab649cbc2aff67e0cb27469a6d0a908f</t>
  </si>
  <si>
    <t>200218C03002</t>
  </si>
  <si>
    <t>39df68ae6ee86b734b0831299a1c46104e03d9a8b91fd1a09d5fe349a2c44b91</t>
  </si>
  <si>
    <t>200218C04002</t>
  </si>
  <si>
    <t>94b6d85228d485bb2a548ce964dd3ffe5727a4be257da8c3ffd9237480a8770f</t>
  </si>
  <si>
    <t>200219B01002</t>
  </si>
  <si>
    <t>4e150a70d33f22df520f6e46a449c2fc2dd20c5629897ca8a987fa9c612487b6</t>
  </si>
  <si>
    <t>200219C01002</t>
  </si>
  <si>
    <t>77b44f0ad04cc608fa3f0f2998bf0c8ac542a4c2db98005cbc47d3d5530d7609</t>
  </si>
  <si>
    <t>200219C02002</t>
  </si>
  <si>
    <t>0c78486e93120dd7a55bc2032ea8c52389a5f636e4516a0a27e9420aac2326a6</t>
  </si>
  <si>
    <t>200220B01002</t>
  </si>
  <si>
    <t>8e5127447584327771a25d9d21bb749b7bf84b5c54bd2cea284f0ac5d80b6359</t>
  </si>
  <si>
    <t>200220C01002</t>
  </si>
  <si>
    <t>a83e37aec19a125344f5c6691e3a62974142c927e5ed8e31bf6741836a76ed70</t>
  </si>
  <si>
    <t>200220C02002</t>
  </si>
  <si>
    <t>af126f2bbead5bfdadad1855b34b3fcb53ab3be92e76cd72795f8b1c53f259ea</t>
  </si>
  <si>
    <t>200220C03002</t>
  </si>
  <si>
    <t>c4222c080e975b32a1ba4a0b0f2a95ddf6b8ae701882e047c0651b3ed8328f29</t>
  </si>
  <si>
    <t>200220E01002</t>
  </si>
  <si>
    <t>189bde479d4afc2d4f747ee1867046b94cdb836fb12ea90e4a8ac6c2eb7e99e8</t>
  </si>
  <si>
    <t>200221B01002</t>
  </si>
  <si>
    <t>f0cfdb4583bd7e6ef47ca6521ce6d5d3fb87fbd40d2c794280f9568eef25eda3</t>
  </si>
  <si>
    <t>200221C01002</t>
  </si>
  <si>
    <t>f2d53a74b81a76c7def8249e23b010f3acd132f3289337429884fbababd65bd5</t>
  </si>
  <si>
    <t>200222B01002</t>
  </si>
  <si>
    <t>fd518fef567b87bacac0881d80d1f35a23a432be64d9dc9a0f783399e2abde20</t>
  </si>
  <si>
    <t>200222C01002</t>
  </si>
  <si>
    <t>28490f5fb395b342456461b65a1ca5e7932fc846c4f3fbb55387be10e487599f</t>
  </si>
  <si>
    <t>200223B01002</t>
  </si>
  <si>
    <t>58872d9b1e5328ae166befd4f3e618a29f127a7bc3126fc2c6a2b8450e937b63</t>
  </si>
  <si>
    <t>200224B01002</t>
  </si>
  <si>
    <t>810f922e4be1194e091cb5ff5c4ffd5b46c820da14daaf257e4f2935c15f80e5</t>
  </si>
  <si>
    <t>200225B01002</t>
  </si>
  <si>
    <t>8b3ffe0fb1a487769395a9b0a571669dd89dc7689622d1c758f7f6efd5a4c5f4</t>
  </si>
  <si>
    <t>200226B01002</t>
  </si>
  <si>
    <t>b150fd7478485cdd0ef7b9baafae3fd19dfd2baf15855ca4015048deaa920b51</t>
  </si>
  <si>
    <t>200227B01002</t>
  </si>
  <si>
    <t>44e0d2fda7848a2194ff956b8cea81e158b295f25eca371f4aea740d736761be</t>
  </si>
  <si>
    <t>200227C01002</t>
  </si>
  <si>
    <t>08762b797c1eb2775fb2e2d34cb042cc2302a6050ce40e4f56039147cbdb0370</t>
  </si>
  <si>
    <t>200228B01002</t>
  </si>
  <si>
    <t>ea719ab6764f4a0ef526bd9dbf7b89547c0ff25788a84cbee11d3c277dd551ce</t>
  </si>
  <si>
    <t>200228C01002</t>
  </si>
  <si>
    <t>0057cf04a5baba44d0016034a298492a76786da88c88982e2ae944b70ca10042</t>
  </si>
  <si>
    <t>200228C02002</t>
  </si>
  <si>
    <t>5f6b524ac6d6470912bc91d442a4d25acae0c18bbeeada9882edf09246699f7c</t>
  </si>
  <si>
    <t>200228E01002</t>
  </si>
  <si>
    <t>aa62f940559ed9cf451de0ea5f167b27f60b8881a0144da1a1bbcf583ce9cf7a</t>
  </si>
  <si>
    <t>200228E01012</t>
  </si>
  <si>
    <t>8bf31ffddf59a21c511a75bcba347cd7634782dcba31e7f098b83f71d8fe27b7</t>
  </si>
  <si>
    <t>200228E01022</t>
  </si>
  <si>
    <t>82f9a26f9c234068bcc57219d3d8bdfc8183b114f18e331da93f6264923a22f2</t>
  </si>
  <si>
    <t>200229B01002</t>
  </si>
  <si>
    <t>85e590f8c639b915f68354166ebcaa3b5cd74220e0738b6edb09cedb8e3206cb</t>
  </si>
  <si>
    <t>200230B01002</t>
  </si>
  <si>
    <t>bf2e1347c67f8da140c3d5c3240aa42c300e564ece2b10cd87273bb18f85ae95</t>
  </si>
  <si>
    <t>200231B01002</t>
  </si>
  <si>
    <t>c6825a858fed0e81a8bfbc33a36ff3585f732f76c60b0be47336fda53782ad0a</t>
  </si>
  <si>
    <t>200231C01002</t>
  </si>
  <si>
    <t>d85daf6459c9a033a2a622b871878e7d0f44797ea841f5794537e1241022ca8e</t>
  </si>
  <si>
    <t>200231C02002</t>
  </si>
  <si>
    <t>a21990635e894169d0355438dd9e6bfe1bd0b954217dea01d05f0a327a21321c</t>
  </si>
  <si>
    <t>200231C03002</t>
  </si>
  <si>
    <t>2b25dffcb406dada872d1f9b91cd75e5e306bba8e78072491645dc50c895b6e9</t>
  </si>
  <si>
    <t>200231S01003</t>
  </si>
  <si>
    <t>4f79c247a3facecd064d89600b9d5daa3d2b11f37458d1a456b6d632238025f9</t>
  </si>
  <si>
    <t>200389B01002</t>
  </si>
  <si>
    <t>f92302044a83f819f1c116a31f5620ccabd165f36ff5882f6e7306c007ef60f8</t>
  </si>
  <si>
    <t>200389C01002</t>
  </si>
  <si>
    <t>480eed8e08e57cd983c1bb389d6c7599076710b841ce0a840fcde52cd676fc33</t>
  </si>
  <si>
    <t>200390B01002</t>
  </si>
  <si>
    <t>a0a64337eee49402771489954138c3e2de434ebd08e994e355ff6b241bc6ea55</t>
  </si>
  <si>
    <t>200391B01002</t>
  </si>
  <si>
    <t>5503ee54000e93ae364553a6047d86f3d83d9b00aae3aae58ba38ac6ec2cbd28</t>
  </si>
  <si>
    <t>200392B01002</t>
  </si>
  <si>
    <t>9ea7c7317741a3af26aef863ee8cbedd2041f91693cc612d44c51c3d6d92289d</t>
  </si>
  <si>
    <t>200393B01002</t>
  </si>
  <si>
    <t>b0b7c52e1869f64fcd9483daee60e181d9f6292ae3dd016dd80e88ffd933d479</t>
  </si>
  <si>
    <t>200394B01002</t>
  </si>
  <si>
    <t>ace23159b7fe47bcc6e53fa356c86090a1908ebea0c64937e4e71fe099917329</t>
  </si>
  <si>
    <t>200395B01002</t>
  </si>
  <si>
    <t>c93fe18076f41ca9d69c10175a08b7aa87864ad7715b39fe0447af788ccf2d16</t>
  </si>
  <si>
    <t>200761B01002</t>
  </si>
  <si>
    <t>8e7b17ea97c5f0dcab06838571ff890304cd396f4dd540294ab8f7166f0df67f</t>
  </si>
  <si>
    <t>200907B01002</t>
  </si>
  <si>
    <t>d2e00ef88664ba0d6336551c32f87abf3f4e8b87acb8066fbffeb3f9cb7f1435</t>
  </si>
  <si>
    <t>200907C01002</t>
  </si>
  <si>
    <t>62c9e56a214409a8995421dba36e908e6b63f553b06327ab36cc1ecdf947148b</t>
  </si>
  <si>
    <t>200907E01002</t>
  </si>
  <si>
    <t>9cde2c921a0c1696a75ac928e5dc80c3beb8c26f55ee83b7324110445312d147</t>
  </si>
  <si>
    <t>200924B01002</t>
  </si>
  <si>
    <t>b755be90c296a1c6a92198c1bbfd247febbeca4d45a870ced7cd702a3ce95ac8</t>
  </si>
  <si>
    <t>200925B01002</t>
  </si>
  <si>
    <t>96646dc0446df8a099e58d6bffa10a0d47a6ce827f4c0cec03f7f8c01b435e90</t>
  </si>
  <si>
    <t>200926B01002</t>
  </si>
  <si>
    <t>2ef4cb0b40a8c2d74a30cb2787d9ef2ce41b62f46874b816a9834b97a89c37e9</t>
  </si>
  <si>
    <t>200938B01002</t>
  </si>
  <si>
    <t>4ccc8d877534bd1535feff4eccdba15d4e65226675dc1acf65e8da337c2412bc</t>
  </si>
  <si>
    <t>200938C01002</t>
  </si>
  <si>
    <t>81a4dd0b86b13d44e5ea5dfa835eefbc6cdb80c2eb773ca401e8aa08671813cd</t>
  </si>
  <si>
    <t>200938C02002</t>
  </si>
  <si>
    <t>60e8a39cfdbaa6327c5223d59cac8214a4612b004fab87e17a08261fd8d863a4</t>
  </si>
  <si>
    <t>200939B01002</t>
  </si>
  <si>
    <t>1518abc890201aaaab55103d7acb47811148a2d949881da6cb130e9e43d905ff</t>
  </si>
  <si>
    <t>200940B01002</t>
  </si>
  <si>
    <t>4c77b3754b970a2be03060df9312a73ede9a8b7e2b74110ed11065788d98f660</t>
  </si>
  <si>
    <t>200941B01002</t>
  </si>
  <si>
    <t>9c822091cef1e0552721abcbcdc005db2a8b8e44d3dcf54f5d58d0fbb03c8b7c</t>
  </si>
  <si>
    <t>200942B01002</t>
  </si>
  <si>
    <t>e16ac926c8889fcb3990b54b93abc26732f81dcc7d20709285b8a47fab37ae3e</t>
  </si>
  <si>
    <t>201005B01002</t>
  </si>
  <si>
    <t>b196c411d2f3232651f1abb37becbb31beec99dda5b917004b962bd269145433</t>
  </si>
  <si>
    <t>201006B01002</t>
  </si>
  <si>
    <t>5d42b57f9dc8c73f98821b7b89ca1625b17571ef78b4cd8e4b6143d639ec57a6</t>
  </si>
  <si>
    <t>201007B01002</t>
  </si>
  <si>
    <t>b6fcd4cabe81eb34cb20050b49571722a50ed5226b478809810aefb4f646c572</t>
  </si>
  <si>
    <t>201008B01002</t>
  </si>
  <si>
    <t>a7112a0f2886507747b159bc2488fa88a580e4e6b67ad8e6fd4af57865597526</t>
  </si>
  <si>
    <t>201110B01002</t>
  </si>
  <si>
    <t>ffc63878d00ce8daf7896d103e80ab4034796b1d3898fb6cb032f8d9299fcefa</t>
  </si>
  <si>
    <t>201162B01002</t>
  </si>
  <si>
    <t>SIN ACTA POR CASILLA NO INSTALADA</t>
  </si>
  <si>
    <t>c381274a4e5f8f56b79e52e544d8fb3b1d2faaca4e7990216c6bea698e487171</t>
  </si>
  <si>
    <t>201163B01002</t>
  </si>
  <si>
    <t>10cb62946499c475909822d77cacd647647a3fd7717d324d91616778a233f27c</t>
  </si>
  <si>
    <t>201251B01002</t>
  </si>
  <si>
    <t>6d8449813311ac9d13ae8b1f29e1aa597c0984c855aae021674d11634ad2a24e</t>
  </si>
  <si>
    <t>201252B01002</t>
  </si>
  <si>
    <t>c0408495249c0aaedc647c9a98d1c0541d88c8fe0616268e9656f5a43644b9ac</t>
  </si>
  <si>
    <t>201278B01002</t>
  </si>
  <si>
    <t>d02fdfee6af899bf1a032f6f648df92c0d814c4945b0b269eee28aef70d8b304</t>
  </si>
  <si>
    <t>201279B01002</t>
  </si>
  <si>
    <t>31e86fb0cf3ab1d36b00801ff23d176da65b1ee2eb2535a88b3838b578f26ba8</t>
  </si>
  <si>
    <t>201280B01002</t>
  </si>
  <si>
    <t>ecdab99979e068b46bc1ca68d02bccd3584f1ce947c28a5b124fc9fd1a7d703b</t>
  </si>
  <si>
    <t>201281B01002</t>
  </si>
  <si>
    <t>6244a40ee1caefb994734108d8cfe76b63bf646576f6acd3f583eafd248ed731</t>
  </si>
  <si>
    <t>201294B01002</t>
  </si>
  <si>
    <t>54485af35f4fcc1819cc4cb77a2f43f65e11911698a468e3bac26d12b4513ce7</t>
  </si>
  <si>
    <t>201294C01002</t>
  </si>
  <si>
    <t>64ca0068f64c256d918df1b18f54562709937712a55ed0ca3aa4eff18fca7cba</t>
  </si>
  <si>
    <t>201295B01002</t>
  </si>
  <si>
    <t>9fd841dda5fe7d43cd279059014d71064943c362050124a0279880e7d5971794</t>
  </si>
  <si>
    <t>201303B01002</t>
  </si>
  <si>
    <t>c1eb5d6e3b261b2e14e341ce029a83ce867e641640c01eddb7b6553fbb7fa766</t>
  </si>
  <si>
    <t>201320B01002</t>
  </si>
  <si>
    <t>b214e3e551b92f247fa7cfb29257306d896f43b0de55cfea3c88f087d1cdfc52</t>
  </si>
  <si>
    <t>201320C01002</t>
  </si>
  <si>
    <t>bb58217b1f1f791737147ec6e882db43f03b9b89078cf42f18f0a221b72d11ed</t>
  </si>
  <si>
    <t>201320C02002</t>
  </si>
  <si>
    <t>4b8a0d9713d3f572a4fdffb2d4548fc32a4675aecc7df409035a6c7e4e827d52</t>
  </si>
  <si>
    <t>201321B01002</t>
  </si>
  <si>
    <t>7af947f188511e224e0b06bbde3c6eff8c24155f9cf2f0c22cd529ff6856b627</t>
  </si>
  <si>
    <t>201324B01002</t>
  </si>
  <si>
    <t>7a15e578a5e4d2e3c357029ba4809a0ed6d7d797eaef75bc93efa2c6b694b1ec</t>
  </si>
  <si>
    <t>201324E01002</t>
  </si>
  <si>
    <t>468d2a284d43da13df97102be815d0b4d23d95f3bf4915ea7c00c9c4e37f7696</t>
  </si>
  <si>
    <t>201325B01002</t>
  </si>
  <si>
    <t>6a26487add5defe81cb78ee3acb18f2310e44b3ad88eafe466daf95e3b0939fa</t>
  </si>
  <si>
    <t>201325C01002</t>
  </si>
  <si>
    <t>64dfb2f40240c4ef8b08fb0cecaff58d00d88ee015e5ef2f23d010203b5a33c7</t>
  </si>
  <si>
    <t>201326B01002</t>
  </si>
  <si>
    <t>d57523bdf2752f3c470977e7e996dcec4437d548921914dde452f253635013d5</t>
  </si>
  <si>
    <t>201326E01002</t>
  </si>
  <si>
    <t>8be56d243b242df0c3de5ca0631e9afa5d106d794fffc4b341cdf7044ee98a2c</t>
  </si>
  <si>
    <t>201327B01002</t>
  </si>
  <si>
    <t>7bba450de691d3e2aad5a7b97c53f00871c24e60fbc737f2904dbd885ec0343b</t>
  </si>
  <si>
    <t>201327E01002</t>
  </si>
  <si>
    <t>6e83e0529929b6336a1660f6739c619144537aadadfcfc734f0e59148d9b8467</t>
  </si>
  <si>
    <t>201328B01002</t>
  </si>
  <si>
    <t>0718c6e72bc69574ec2d9e13f832886f94bbd95abaec228cc1b3176eabbfdfd9</t>
  </si>
  <si>
    <t>201329B01002</t>
  </si>
  <si>
    <t>2ae8eeb6c59b8f476e6d3719f96d23d39056b6cf5db3c906c0392dc981608b4b</t>
  </si>
  <si>
    <t>201330B01002</t>
  </si>
  <si>
    <t>b7d9d6cecbbf3603aaddd6c43282259c9ce7701aedab096809ae681f4f762aa5</t>
  </si>
  <si>
    <t>201331B01002</t>
  </si>
  <si>
    <t>af2b86901a0d529cd7de4c43336737227c1c47cb58001d7ee5aee21e27208011</t>
  </si>
  <si>
    <t>201332B01002</t>
  </si>
  <si>
    <t>20dae93f320cf8823e6ed632ec1ddcd20d986d89d270cb3ea5a4e19c13466e9a</t>
  </si>
  <si>
    <t>201418B01002</t>
  </si>
  <si>
    <t>d51fda245e111d4bd54ef2f9ff584bbc62684043568c406c20388ec7e81d31e6</t>
  </si>
  <si>
    <t>201418C01002</t>
  </si>
  <si>
    <t>1a0d4635f4daf9284e5219d342602f67fd50f8ead891182d34343ce639074bf7</t>
  </si>
  <si>
    <t>201594B01002</t>
  </si>
  <si>
    <t>ad878e48f53f9f90937c6cac69c9c0bdd6ae416ddfed68645b93156b58ed3845</t>
  </si>
  <si>
    <t>201595B01002</t>
  </si>
  <si>
    <t>b6dc2ec3204deeb2cb7da90d972f2bfc44e7dd9ad4a059cffa8e9406f10535b4</t>
  </si>
  <si>
    <t>201596B01002</t>
  </si>
  <si>
    <t>89e75597173ab3d9939c2b52158c35fc38d1ac6e379037231371ffadb5d05e7e</t>
  </si>
  <si>
    <t>201597B01002</t>
  </si>
  <si>
    <t>05031c2018d2a137e1147518523b546434e0d0a05930de746ff7d4a51cd21af5</t>
  </si>
  <si>
    <t>201598B01002</t>
  </si>
  <si>
    <t>65e92d7605951270b6ac41ca854b5d2e859c04878df79d28e5b31f905eba1cea</t>
  </si>
  <si>
    <t>201599B01002</t>
  </si>
  <si>
    <t>0b37b670d7e6f06e48aae0ba649c825550923e6ed2eaf51177c86f612115e255</t>
  </si>
  <si>
    <t>201600B01002</t>
  </si>
  <si>
    <t>a78e439809ac0cd6ee39b1ec179c8232d3fecfd49226a732a009896e912e6272</t>
  </si>
  <si>
    <t>201636B01002</t>
  </si>
  <si>
    <t>4b3f07112791c3876887db92b3fb5aa6e1d275a75d630c41cabde94556c52092</t>
  </si>
  <si>
    <t>201636C01002</t>
  </si>
  <si>
    <t>761e246d15d406f1d19c5dbfc8c1e461239ac877176f91633a262a7f8cfc8ffa</t>
  </si>
  <si>
    <t>201636C02002</t>
  </si>
  <si>
    <t>17400b69fbc0d6079d242c9ed667a5bf7e9cea4058603eaee8fbc50c21b88578</t>
  </si>
  <si>
    <t>201636C03002</t>
  </si>
  <si>
    <t>0ade3e2b9373c7733fce2eed7153c0ad3377e12498b9f88646d4d25efa856c4d</t>
  </si>
  <si>
    <t>201683B01002</t>
  </si>
  <si>
    <t>1599ef798d9a1012b3738f3cc6531543d4997dd5daa6ffbe896ca62b9552cf32</t>
  </si>
  <si>
    <t>201690B01002</t>
  </si>
  <si>
    <t>8575436b8ff5b48b05d30e61f4a7a613c6c2ce7f3488c51c04595e37e10fbe4f</t>
  </si>
  <si>
    <t>201704B01002</t>
  </si>
  <si>
    <t>4bf7613d68f724a197a9cc073e199c98931d2aee32cfb5cee7a15565a4314421</t>
  </si>
  <si>
    <t>201704C01002</t>
  </si>
  <si>
    <t>30250a032718937759c3d78c91cb2465c3ab35be07d8eb92e61c30e8711eece6</t>
  </si>
  <si>
    <t>201705B01002</t>
  </si>
  <si>
    <t>d2f83c41ecb8b711f43c5597c47cad13544d6a71bc2a2fea78be1f4b2a04b489</t>
  </si>
  <si>
    <t>201705C01002</t>
  </si>
  <si>
    <t>09602bb4b685f2af24162ea2285923d39d7ae07e9b93b2b06b0787b916f1e340</t>
  </si>
  <si>
    <t>201706B01002</t>
  </si>
  <si>
    <t>c94efbd91dfbf644eb86ea663c12d4d190fe4bf79ed63604af36dec4f2d4a99c</t>
  </si>
  <si>
    <t>201787B01002</t>
  </si>
  <si>
    <t>7690d97c9bd888b7db7a839d0889e9ec3df112be7eb7bccc32adbdf722949584</t>
  </si>
  <si>
    <t>201788B01002</t>
  </si>
  <si>
    <t>dcfa27fe5d40b899bd289a31c1eb4f93ca2ba462892601434e5c5f1e1969491d</t>
  </si>
  <si>
    <t>201971B01002</t>
  </si>
  <si>
    <t>3dfe7f3c9b3f9b278e52715ea9e0d8b9ed54072b2b2947e8ae96821bee7ca600</t>
  </si>
  <si>
    <t>201971C01002</t>
  </si>
  <si>
    <t>00cc6be2fb301435efac55bd12af63b5743fdb27372e1065c71bd834d0f9e0bd</t>
  </si>
  <si>
    <t>201972B01002</t>
  </si>
  <si>
    <t>099414e23c992725271aef164b1ff2332c495c986621dcfe99095c4f500de922</t>
  </si>
  <si>
    <t>201978B01002</t>
  </si>
  <si>
    <t>25591e56bd1fcf85f785d3f21da99808610cfcf080a055cb6849d8bf8034e0a2</t>
  </si>
  <si>
    <t>201978C01002</t>
  </si>
  <si>
    <t>bb775c3dc0bc394b19339577eb834a362cc9e9f431f3e7f2171bf4275d676cb7</t>
  </si>
  <si>
    <t>201979B01002</t>
  </si>
  <si>
    <t>2f05110a76a4d912094925dd576110bfb92ca3acdee5eeed2c019f877d810bab</t>
  </si>
  <si>
    <t>201980B01002</t>
  </si>
  <si>
    <t>a6c9ed1cc4fa9fdf52a84313521263457b5b4263482e6d5e66713842ebc700c1</t>
  </si>
  <si>
    <t>201981B01002</t>
  </si>
  <si>
    <t>ffeb98344f5e9a29dec33908bd271dfb6656ec93c9bc1ebe17480180f662c95a</t>
  </si>
  <si>
    <t>201982B01002</t>
  </si>
  <si>
    <t>37298ba6df5b05ab7038d4d0a1cf72feac2e7fc8d268f296dd19a01b7d0cd6f2</t>
  </si>
  <si>
    <t>201983B01002</t>
  </si>
  <si>
    <t>e0d77b92f15912ae8103d1cd8fa7b9c23fb3bd60d4f652c80ed25a6dce41015a</t>
  </si>
  <si>
    <t>201984B01002</t>
  </si>
  <si>
    <t>58cf9ae8b617b0e34c57e83096b6990152186c7a395ff4116b2b036f29577ec9</t>
  </si>
  <si>
    <t>201985B01002</t>
  </si>
  <si>
    <t>981a969c639d4f175335d4fbee351ba808d919d6fd1baf4a60f6c71216efdfed</t>
  </si>
  <si>
    <t>201986B01002</t>
  </si>
  <si>
    <t>881f6b8670d7b7e51d7a76eecbb66e2c044d3b40aa063b623daff3aeb8c4230a</t>
  </si>
  <si>
    <t>201993B01002</t>
  </si>
  <si>
    <t>51979cbf7724ec6bb37dd6b0a282fe15e66b3f93dd61da918d42bba54056fcaf</t>
  </si>
  <si>
    <t>201994B01002</t>
  </si>
  <si>
    <t>2a657a6b12bae888e0d1528e595d32ed3abbb299dae737d8d6133cd1a58a423d</t>
  </si>
  <si>
    <t>201995B01002</t>
  </si>
  <si>
    <t>694001328c4230cebf9ad15c75b0a1b6eda3fdc8c0f56639629c52a0e90ac929</t>
  </si>
  <si>
    <t>201995C01002</t>
  </si>
  <si>
    <t>7e0d1be11755c06d9444c184ae8ecd1d3ba124ccc5818f116bb7f5ecddb68960</t>
  </si>
  <si>
    <t>201995C02002</t>
  </si>
  <si>
    <t>7b629832337bcc9ffba927d055072fa4129ea6f055fc61e9a12020f7ffa71a4c</t>
  </si>
  <si>
    <t>201995E01002</t>
  </si>
  <si>
    <t>0dccc018b4ae40d4d6c2954271dabb66188cb838fc36b26af72241d888dd07cc</t>
  </si>
  <si>
    <t>201996B01002</t>
  </si>
  <si>
    <t>da032255c646dd37ee60ce8f5e53d2dc7e7fe8d5a98fc76b8adf504f4fbeb7f6</t>
  </si>
  <si>
    <t>201997B01002</t>
  </si>
  <si>
    <t>837af0ec817ebfc599bb0aa7dba608a49e7be889b6693fa8429bd59f331a5f10</t>
  </si>
  <si>
    <t>201998B01002</t>
  </si>
  <si>
    <t>3153ab81523a3b7c1a4ca7456b90f1ba3b3ceebe8754a006cba13ef3bd1bebf4</t>
  </si>
  <si>
    <t>202070B01002</t>
  </si>
  <si>
    <t>e34019a263eb85e2f291a3adc43755f647897adf5551d3a8394d49e81af8d669</t>
  </si>
  <si>
    <t>202117B01002</t>
  </si>
  <si>
    <t>4daf16510c552fc110872df347b6534f57eff9c7679c0d1e73ee66493877a11b</t>
  </si>
  <si>
    <t>202118B01002</t>
  </si>
  <si>
    <t>af17883a02355727e0dbd162e23a8362d6c800b11e38c39bcf12ac98fc2b8d8b</t>
  </si>
  <si>
    <t>202118C01002</t>
  </si>
  <si>
    <t>f0c0e30d19eb22f9c628958679fae02f2481f4fe5ac73115d0a3798124f2df24</t>
  </si>
  <si>
    <t>202119B01002</t>
  </si>
  <si>
    <t>91d54b469c59e7f527cc685af6b9ddeb5c994c127f7e2bf20cbe8c7a5b44652a</t>
  </si>
  <si>
    <t>202120B01002</t>
  </si>
  <si>
    <t>0b315abb789cdd9a2cd57c20a4e0f7cd2930d6331de9958bf009694a24260669</t>
  </si>
  <si>
    <t>202121B01002</t>
  </si>
  <si>
    <t>0cd767548e2bc73c7bebebaa5b3d03cb98fecc1c1c4a924eb0b2070deb84d4ed</t>
  </si>
  <si>
    <t>202122B01002</t>
  </si>
  <si>
    <t>15582bd4b4ea6e1d4cec9667d8acbf1c7901e934d33c56103e06681f08deb990</t>
  </si>
  <si>
    <t>202165B01002</t>
  </si>
  <si>
    <t>6b013b1ee905a75383031a250731cf3b4587fbc2910478148a3da88736914faf</t>
  </si>
  <si>
    <t>202166B01002</t>
  </si>
  <si>
    <t>92484f7f99f2f14375079e04d23de6555ca48319116ab437d9e9e8d0a4831327</t>
  </si>
  <si>
    <t>202237B01002</t>
  </si>
  <si>
    <t>26e0a7aff8c75e69983f8a9a69670c0aab9687ac699e3e80ee3cd2163237c7b3</t>
  </si>
  <si>
    <t>202238B01002</t>
  </si>
  <si>
    <t>b9ad9083a123eaba46ee09665076d48fcf7672346995d5a6d58c0482c18146fd</t>
  </si>
  <si>
    <t>202239B01002</t>
  </si>
  <si>
    <t>fb528dabc2ce9e55fb29b0191f198f6e9f6445b881bb00fa0cd87577e4f90c12</t>
  </si>
  <si>
    <t>202239C01002</t>
  </si>
  <si>
    <t>7c5864f10a6fbbca04a3e977793a44b3134fecd354444c34f4214ded972cf659</t>
  </si>
  <si>
    <t>202240B01002</t>
  </si>
  <si>
    <t>cbf32cefb10e17a692066d87f5e767bc22e73f605e9ebb445bd02810275d2c6b</t>
  </si>
  <si>
    <t>202241B01002</t>
  </si>
  <si>
    <t>179eb0f633641df7c9c65a5c94cf97f58b7e096aa898697a027807705b5d9e19</t>
  </si>
  <si>
    <t>202242B01002</t>
  </si>
  <si>
    <t>d87e0dae7aee9d9a8206f46a9fcaca7fd77dfcccefea3750eaa4437cf20554a9</t>
  </si>
  <si>
    <t>202242C01002</t>
  </si>
  <si>
    <t>ea38205d91dcf4877efcb5b057a9ea8c350090c20ac1df9011515ef96bcfb341</t>
  </si>
  <si>
    <t>202242C02002</t>
  </si>
  <si>
    <t>f1f6a87f2d3052248857e0429f649cb560a9ffb52b57b26c7e641eca5365d202</t>
  </si>
  <si>
    <t>202243B01002</t>
  </si>
  <si>
    <t>7b6798515f99ffbbde125e33fcdc438bc1341c1342fdf218461a802ba8f4c916</t>
  </si>
  <si>
    <t>202243C01002</t>
  </si>
  <si>
    <t>711be7c1a06a6456b8a677950c2a52dbb812e9aead88811f2a5adab9cc49921e</t>
  </si>
  <si>
    <t>202274B01002</t>
  </si>
  <si>
    <t>18ee049f7978eee8c6823c6f05bb3b3df45f8f4b29a73b8b67f4321f04b2fd07</t>
  </si>
  <si>
    <t>202274C01002</t>
  </si>
  <si>
    <t>76fdca69d6525cd71828b2d22cdfae1d0281ef8fb3abe1f4145e3c1cfe7063d8</t>
  </si>
  <si>
    <t>202275B01002</t>
  </si>
  <si>
    <t>87314b0a92964247a093cb2dbab28587cf8786ea01c4408f0ad504266c5825eb</t>
  </si>
  <si>
    <t>202275C01002</t>
  </si>
  <si>
    <t>57051e5682a3ad0983298b43075a9630c7fb09b6ec42b6c883241e2beff9fa9b</t>
  </si>
  <si>
    <t>202276B01002</t>
  </si>
  <si>
    <t>e1adf73691bb9a0d35cbe9c2109fe31f9d642a2f0160c3349df53161e0668c70</t>
  </si>
  <si>
    <t>202276C01002</t>
  </si>
  <si>
    <t>1c4b8a539e0f504b71b5c80264c2b421c80a5df71995c0f81fb2d9f17b9e38d3</t>
  </si>
  <si>
    <t>202277B01002</t>
  </si>
  <si>
    <t>7cc346227c9c8d7da609ba7084c932e442641800b128633b205736c4399f95d5</t>
  </si>
  <si>
    <t>202278B01002</t>
  </si>
  <si>
    <t>f14e237283c8d1150ac1eebad842a126ca14e3dbdd505b2034c0645b125bcf12</t>
  </si>
  <si>
    <t>202279B01002</t>
  </si>
  <si>
    <t>931829f3d6c089d236f919ebad90de9ee8c09e8e7517949eeb14e3b95774f881</t>
  </si>
  <si>
    <t>202280B01002</t>
  </si>
  <si>
    <t>cb24b17f31702e06f3cfb9ecb77d78aceaa31738c7dfbd6e19d6b429e1df7185</t>
  </si>
  <si>
    <t>202281B01002</t>
  </si>
  <si>
    <t>d35c71b9016495aec919d8dd61ed0a85326ba97d4f1a6e436f995ade5b15256e</t>
  </si>
  <si>
    <t>202282B01002</t>
  </si>
  <si>
    <t>b0f1830bb47e65866aad3d333908f3329d8a93d2791a396a396380bfa61c4dd5</t>
  </si>
  <si>
    <t>202283B01002</t>
  </si>
  <si>
    <t>6501dde5d815ac17b165465b7d0ce406de7424ef0f43a50a7f2f3715925aa7b7</t>
  </si>
  <si>
    <t>202284B01002</t>
  </si>
  <si>
    <t>8e82da9ba0cb2f1506a21baef621bed741adfe1711feb7c518f044bcd6b6c0f0</t>
  </si>
  <si>
    <t>202285B01002</t>
  </si>
  <si>
    <t>945e35577e97b13629c73fbbfd748691f44d4eaad0f86baa24edab320299ba8e</t>
  </si>
  <si>
    <t>202286B01002</t>
  </si>
  <si>
    <t>df1f9994a289e3771a0bc9a199fa229cdf987af0570d8750e5eeb6d09d4d7082</t>
  </si>
  <si>
    <t>202287B01002</t>
  </si>
  <si>
    <t>6d26112c83f73cf5e269dc53c7f0e66fe372cefaf92d21a27e4ffb31feb90d1e</t>
  </si>
  <si>
    <t>202288B01002</t>
  </si>
  <si>
    <t>1dbdf6467977dbf80a807c43ca227ecf6a746920cf801b02dc98b2df3259d3f8</t>
  </si>
  <si>
    <t>202289B01002</t>
  </si>
  <si>
    <t>635caa447be718e08323f582c1488f75cc53e2109bb8b4ae129b16556f89f80f</t>
  </si>
  <si>
    <t>202432B01002</t>
  </si>
  <si>
    <t>7cffe50547c301989df7252d3be1f2d292211565b694482d7fcbacc3979889ad</t>
  </si>
  <si>
    <t>202432C01002</t>
  </si>
  <si>
    <t>47ebfda1c8fbb3029d39efb1e23aad5d50c63bc868aea6265a11b8aaa74a6c79</t>
  </si>
  <si>
    <t>202433B01002</t>
  </si>
  <si>
    <t>12d23963932e2ab4107d07a63764b3119f34d1ad6fecf5c63937dbc727736f0b</t>
  </si>
  <si>
    <t>202434B01002</t>
  </si>
  <si>
    <t>5e6c7db2879f28ce10d22a726827389a62bd93a508d21df54035e95e02a86f3a</t>
  </si>
  <si>
    <t>202435B01002</t>
  </si>
  <si>
    <t>d286599949db2a9dae6eb184291319b083d8c20f97ad7247c21361b69f1e46c0</t>
  </si>
  <si>
    <t>202435C01002</t>
  </si>
  <si>
    <t>45b0bb347b6649c58624b88c2cf5baab276ece0a51d99dd7ba7eff8a5e8e0ee4</t>
  </si>
  <si>
    <t>202451B01002</t>
  </si>
  <si>
    <t>e0fd444545e1e4740dd6c7afd1218ac4e1bb3860a50d850ab2a730548157f451</t>
  </si>
  <si>
    <t>200117B01002</t>
  </si>
  <si>
    <t>PUTLA VILLA DE GUERRERO</t>
  </si>
  <si>
    <t>a9106477f967d40a2eeeabff87f53b3143e1f18a1756150637b996390d98719f</t>
  </si>
  <si>
    <t>200117C01002</t>
  </si>
  <si>
    <t>376f3f8ed4fc9b9dbb7bf510cd378ea0fad69f2e4b359a305756aed535b374af</t>
  </si>
  <si>
    <t>200118B01002</t>
  </si>
  <si>
    <t>47e4349a1b1b6dda0ca55fc401996128f2adf1a6d86344f9d1b6c9104482242e</t>
  </si>
  <si>
    <t>200119B01002</t>
  </si>
  <si>
    <t>85c16067a1094e7ce54d55b67cd3b2b75acfb596dc7f1889c9599280d5cb3680</t>
  </si>
  <si>
    <t>200119C01002</t>
  </si>
  <si>
    <t>3a0b3c3ee88c8b7056e700e7945b3339da0658961f93de06505d4c35c0b23514</t>
  </si>
  <si>
    <t>200119E01002</t>
  </si>
  <si>
    <t>55044178bd8c14d2a1f735718e1894db024d0e5e72befaeafec4a71fe1d857a5</t>
  </si>
  <si>
    <t>200119E02002</t>
  </si>
  <si>
    <t>2119c45332883bebe9147d09f6827f9487fc3ad52e27c05fe21268a62b6cac1c</t>
  </si>
  <si>
    <t>200120B01002</t>
  </si>
  <si>
    <t>86ef0c60799d4be26cbcbe97ad960913a0b263592f3d2c576edc2df9fa900338</t>
  </si>
  <si>
    <t>200120E01002</t>
  </si>
  <si>
    <t>db6d460eb0d3e2d2410fdb415bcaa9242e77de0bfca30cbf185cb8bfc3c300d3</t>
  </si>
  <si>
    <t>200120E02002</t>
  </si>
  <si>
    <t>9d1541b53deb49bdb64f1bef3b2ccd3bd305653f12355d292427154d804042d4</t>
  </si>
  <si>
    <t>200131B01002</t>
  </si>
  <si>
    <t>fe5cece57015d2ce3f1519dcbe05c7f1d36c214c2b115c1d71ed1208b00c10af</t>
  </si>
  <si>
    <t>200131C01002</t>
  </si>
  <si>
    <t>4b8da6069121b41e5533db0f0561adf13ed84045cce4c1357e22d16d416c981f</t>
  </si>
  <si>
    <t>200132B01002</t>
  </si>
  <si>
    <t>7f3a035f14ca70b44d0cc43961df3bde3680416fd27f9da24a447118372ba5d7</t>
  </si>
  <si>
    <t>200133B01002</t>
  </si>
  <si>
    <t>f3c5ef7d1597dc8b8f8f93e0811044b86701607ad8dfd086705b1a80dcf2590b</t>
  </si>
  <si>
    <t>200133E01002</t>
  </si>
  <si>
    <t>012aa9938e8334f6e36cf2818f58125b6584cfef96e7fcd8288376a1839e4bad</t>
  </si>
  <si>
    <t>200198B01002</t>
  </si>
  <si>
    <t>d0a726350e3b4a9ee259becd95039346c1d5bc9467b5adeff3f91f1ac75b7de0</t>
  </si>
  <si>
    <t>200198C01002</t>
  </si>
  <si>
    <t>18eb228ea7fcd75dade55ef966f05962060a78971ec2698e93cc2934db056e6a</t>
  </si>
  <si>
    <t>200198C02002</t>
  </si>
  <si>
    <t>2b73fe2863e956a48e653c6292c33e3ad6262b390f8aa48fc2047e2982e49dfb</t>
  </si>
  <si>
    <t>200199B01002</t>
  </si>
  <si>
    <t>3fbcdfea3d3d5397bdad016d2a56ad31f5312ebf5c25ba0d1892e53e41112d64</t>
  </si>
  <si>
    <t>200200B01002</t>
  </si>
  <si>
    <t>5075d4a29839fe1dff916de0ffe7f266e04c5a02c88d909a11571686e21efc3c</t>
  </si>
  <si>
    <t>200200C01002</t>
  </si>
  <si>
    <t>d165f7fda97d430fd04227dfb46bcc019f192d7f64ce6b7e630e10a77f87d079</t>
  </si>
  <si>
    <t>200643B01002</t>
  </si>
  <si>
    <t>8ba3cf3e8adce14b09c64459a0e10bd1d3e5f7047fd935cbcac44c4611d7845d</t>
  </si>
  <si>
    <t>200643C01002</t>
  </si>
  <si>
    <t>f58d653c3f98cd710679e08adb7495e8bd99c677afb4518105fd15a29ad8b3c7</t>
  </si>
  <si>
    <t>200643C02002</t>
  </si>
  <si>
    <t>8d02a4d19317a2e905fb1591b89a119634d4445edc50cff416717017817acfc0</t>
  </si>
  <si>
    <t>200643E01002</t>
  </si>
  <si>
    <t>376eb19cf2a62a074131fe01e9e8a7e73d1159e40cb7cd55bd9a6e1670c6ae6a</t>
  </si>
  <si>
    <t>200644B01002</t>
  </si>
  <si>
    <t>1f5e35978e8dbbe1132dea7a01d610dc4ce730208eaa36495631f91e77a010f2</t>
  </si>
  <si>
    <t>200644C01002</t>
  </si>
  <si>
    <t>5edfad5a5020810540ed94fb35f09b88793e6ecc00b2799daf55c535ea16e879</t>
  </si>
  <si>
    <t>200644C02002</t>
  </si>
  <si>
    <t>3c66832694f8ec53e3adf78f17e3be3bb27414ba21be6acc0bc4dcf1dde2a6bb</t>
  </si>
  <si>
    <t>200645B01002</t>
  </si>
  <si>
    <t>34444071d58ed9ba5465da13d3719a5d1149054e32d0682bfc2e5a2893b99f51</t>
  </si>
  <si>
    <t>200645C01002</t>
  </si>
  <si>
    <t>0e2058ed5e4260e76469b79e35e10a8b09b14cf8958bed00111044f68bce01c9</t>
  </si>
  <si>
    <t>200645C02002</t>
  </si>
  <si>
    <t>0449ef2388e343cca260105cb28b242aed22d45d33f9e0a12a8aa4685696dae8</t>
  </si>
  <si>
    <t>200645E01002</t>
  </si>
  <si>
    <t>80a5a830cca9d1704ec8245dd7c0decdfc8f2698347631d212892d9bcd89e342</t>
  </si>
  <si>
    <t>200646B01002</t>
  </si>
  <si>
    <t>4da7759c8f1333478e16d4c49235c32a35bfa889f3fde2c16976236a68500842</t>
  </si>
  <si>
    <t>200646C01002</t>
  </si>
  <si>
    <t>2ac315f01542970d937180021b2c52597d8ee5bf892f2d3d358bdfbc6f3a11c4</t>
  </si>
  <si>
    <t>200646C02002</t>
  </si>
  <si>
    <t>90ecdfb62e4b87ee6f2dbb6a40295a947d9be71723445daa85dca69a1ed1d93c</t>
  </si>
  <si>
    <t>200646S01003</t>
  </si>
  <si>
    <t>0ebb352475fc9bc63c6a29d4e1f16ed6d5e6c43b361af4fe67e53422ab8190fb</t>
  </si>
  <si>
    <t>200646S02003</t>
  </si>
  <si>
    <t>771b2d63c6134e73de8d6ab01e36486c6e85154112804c0e784712298aecf112</t>
  </si>
  <si>
    <t>200647B01002</t>
  </si>
  <si>
    <t>f6d24cd05e571d405ce7cca05dfa4ef7fe2f8af0276306e90912182a43e14992</t>
  </si>
  <si>
    <t>200647C01002</t>
  </si>
  <si>
    <t>4cb86788cf48855a66f9b5037207c0a40f4ef2563c6e324b86a2f052bf1f4911</t>
  </si>
  <si>
    <t>200647C02002</t>
  </si>
  <si>
    <t>360eb0b8c19de0f77e20d64762c71bfcd5e729834a4711125834109f146b428a</t>
  </si>
  <si>
    <t>200648B01002</t>
  </si>
  <si>
    <t>5ab27a6116a61d9d7d26c42bd0f1b2293a7a7b5dafd856bb86090aab03192133</t>
  </si>
  <si>
    <t>200648C01002</t>
  </si>
  <si>
    <t>84396045113885d577aa65bf6fff4c4da541abc62b9a9328d7bb2a48be7750d8</t>
  </si>
  <si>
    <t>200648E01002</t>
  </si>
  <si>
    <t>94a5daa64f98ebcd38691b2d8f12b01a22d7615d4fa1906dc3acb4a54765aa78</t>
  </si>
  <si>
    <t>200648E01012</t>
  </si>
  <si>
    <t>95c7b4e9d114592333d4f6ebcbd77a05fa4976cd50ec5e80aa2cb18c4e854921</t>
  </si>
  <si>
    <t>200649B01002</t>
  </si>
  <si>
    <t>c50f1430bd7928f2daba281eaf773a75b6c6b66bf9332e34b9d26aec2f2c6545</t>
  </si>
  <si>
    <t>200649E01002</t>
  </si>
  <si>
    <t>6869551717103e920761391c6ab5c2fb5dbf87cd72d6f4767a726c7b25a31220</t>
  </si>
  <si>
    <t>200650B01002</t>
  </si>
  <si>
    <t>a15cfc0a380cf608b818e62e035fbe9e0e5ec49155677f2c3a853a6dde641833</t>
  </si>
  <si>
    <t>200650C01002</t>
  </si>
  <si>
    <t>380ae729ed0d17c7909e713a718e37084b5f36435f030871b56012884c43aa16</t>
  </si>
  <si>
    <t>200651B01002</t>
  </si>
  <si>
    <t>11e2599d334bc69d2350363bbfe1274449cd95d1b9f790e88cf37b4471d1679d</t>
  </si>
  <si>
    <t>200652B01002</t>
  </si>
  <si>
    <t>378972ebef4738609f04a0eee45542143972baef334c36e69083e7dd4199fc3b</t>
  </si>
  <si>
    <t>200653B01002</t>
  </si>
  <si>
    <t>1b88412240ce613f957ef857f1391a6b7632c1f61dd32d6cbb0fbbfbf4c0528f</t>
  </si>
  <si>
    <t>200654B01002</t>
  </si>
  <si>
    <t>d5792841d3ddc877c271cfc52bc38021b47e58d7ed6925898e062ef83c690efb</t>
  </si>
  <si>
    <t>200654E01002</t>
  </si>
  <si>
    <t>1acff9b6dc3bea9b7976a792ac7e88eb2ec1789ba425fca57a0a428f41a4eb81</t>
  </si>
  <si>
    <t>200655B01002</t>
  </si>
  <si>
    <t>bcff82b41a69111428cd0468c87d4445bba0c91dc9333c217f2071eaa5ba44b6</t>
  </si>
  <si>
    <t>200655C01002</t>
  </si>
  <si>
    <t>b0fba1aeb3a7665fa5cefc008af45a6d3af8dd5730352d2e819a414641d4f1a0</t>
  </si>
  <si>
    <t>200656B01002</t>
  </si>
  <si>
    <t>d44665b8795f05547f705edf61f80ff43259e3c2944bf03f27319774a3910412</t>
  </si>
  <si>
    <t>200656C01002</t>
  </si>
  <si>
    <t>433e06f91a495e0bec3a603b902a22c52b7181976b77e4ca7bb482fce2ae5063</t>
  </si>
  <si>
    <t>200657B01002</t>
  </si>
  <si>
    <t>e4a144b77a9a773133f8dcd88fb8a8b5a0e15fe46186f8438ab7f88dab84685f</t>
  </si>
  <si>
    <t>200657C01002</t>
  </si>
  <si>
    <t>b2e1eab1490e749f94b40a68358021c3f67983b741d133a3ec9e06f0f17a4f9b</t>
  </si>
  <si>
    <t>200658B01002</t>
  </si>
  <si>
    <t>68d823292774929266f43ff151071a81538f8172127b7b6eee5e6ec10699f0f7</t>
  </si>
  <si>
    <t>200659B01002</t>
  </si>
  <si>
    <t>778c5a6af227b1802702173f45b0e579948ca67838bf007401c3e4edb8b0a3e0</t>
  </si>
  <si>
    <t>200659C01002</t>
  </si>
  <si>
    <t>d4804e07f428a5e3c8f76de6287b2033794d7bd43fd579691109889b9f003534</t>
  </si>
  <si>
    <t>200659E01002</t>
  </si>
  <si>
    <t>7041993ecc41479e16e19ad467a611969802bf70cc7364a6bf1bf62d8908b261</t>
  </si>
  <si>
    <t>200660B01002</t>
  </si>
  <si>
    <t>2440c8835f4a966d939adee6e81c5d2cdb8c81a9d76d8c14357799e846400794</t>
  </si>
  <si>
    <t>200660C01002</t>
  </si>
  <si>
    <t>445b194f3290bc0e538d5cdf3aac02137043b4eac7406bfec2cb4d040cd5bcff</t>
  </si>
  <si>
    <t>200663B01002</t>
  </si>
  <si>
    <t>1027bcf2fb6872cb4d5e4d4940bc8de01df2a082dabc7b2461e6a560b970c3ed</t>
  </si>
  <si>
    <t>200663C01002</t>
  </si>
  <si>
    <t>303f209cb32015347c827c8be3bd3bae39f16ac762367553cee1c2e7c319aa0a</t>
  </si>
  <si>
    <t>200664B01002</t>
  </si>
  <si>
    <t>3fe844aeb3c944d6a711980c9af7c2d4bb3e600588eb5c2fcedeec1688184282</t>
  </si>
  <si>
    <t>200665B01002</t>
  </si>
  <si>
    <t>36e89fcdb8a82754a5d6f8738bcc14e6bce8fe5b7c9812d3d52e292e87796447</t>
  </si>
  <si>
    <t>200665E01002</t>
  </si>
  <si>
    <t>3b26544c2887c35f70f08e0ee2a4d69507cfb05c25967363d51246bc03293fec</t>
  </si>
  <si>
    <t>200738B01002</t>
  </si>
  <si>
    <t>e88c96247cede575293395ba383f2a34e8cb9f7a3b5c64a4d65ad48d7e732bbe</t>
  </si>
  <si>
    <t>200738C01002</t>
  </si>
  <si>
    <t>840293a3a99ac4c292d3e790fe79bed48548b017388d81d9993a4836f6aea89c</t>
  </si>
  <si>
    <t>200739B01002</t>
  </si>
  <si>
    <t>9390f68e8deffdd366fce1dfb5fb241cd5e2528e01702caccedaf211a66a12ea</t>
  </si>
  <si>
    <t>200740B01002</t>
  </si>
  <si>
    <t>767fc2075250e839b74fbf3fe5b88a930f08dd3e367a03346c4e8b7a70843752</t>
  </si>
  <si>
    <t>201099B01002</t>
  </si>
  <si>
    <t>7f6a9fc47bae4a0be946a0876a16d8aaeac97af7f8878a2e23dde0e86a7c71b3</t>
  </si>
  <si>
    <t>201099C01002</t>
  </si>
  <si>
    <t>936245df798715895b7044dc238346e2e72d745ca895ba7327a4d0bad0d8871b</t>
  </si>
  <si>
    <t>201100B01002</t>
  </si>
  <si>
    <t>958522c54d2d05ee255498cfa589969035fec8871c12315bbaab1fe458ffa85a</t>
  </si>
  <si>
    <t>201100C01002</t>
  </si>
  <si>
    <t>e46a673cbf01897673f3f6b90d2e3fd7d6bd2c4bb4f3ad6838d9ca8bd2676e72</t>
  </si>
  <si>
    <t>201100C02002</t>
  </si>
  <si>
    <t>90038f95196311a186a56dc2ec9b149df8feda81152b6585705d3e10485e62b3</t>
  </si>
  <si>
    <t>201101B01002</t>
  </si>
  <si>
    <t>cc6bf59d7ddf2a7159d811f9e34e188a5995424dcf12fdb3ef67b72a5058dea4</t>
  </si>
  <si>
    <t>201101C01002</t>
  </si>
  <si>
    <t>730a464dd8a01938fd2a9881d83b9a42457e4af6084f36fec0650da7a036a8a2</t>
  </si>
  <si>
    <t>201102B01002</t>
  </si>
  <si>
    <t>346ef987aa2298d8addc258071b306c685363f2dd5cfc29e8200694f912a036b</t>
  </si>
  <si>
    <t>201102C01002</t>
  </si>
  <si>
    <t>51373470bc7d6badf4ca4c9d74fa02d173ad55d1ef4cf466dd4d47e52826b013</t>
  </si>
  <si>
    <t>201103B01002</t>
  </si>
  <si>
    <t>89be1adced1a92a0574eb8286b5eb01854d51a831f03450626d765cff45d603b</t>
  </si>
  <si>
    <t>201104B01002</t>
  </si>
  <si>
    <t>1bb5a6f5b3a0ae5baaab4297a8eec21b7825c5d18674e3b6cc1371744c177d52</t>
  </si>
  <si>
    <t>201105B01002</t>
  </si>
  <si>
    <t>1d1ea7c8b34ffd1e6deb9688e8b99269bba3bcc042fc0084abc25d7d6fb6b1e5</t>
  </si>
  <si>
    <t>201193B01002</t>
  </si>
  <si>
    <t>c025f263549b6874e3928914e76096c3fd0862c538ab53a4e931a3ec97e1aa88</t>
  </si>
  <si>
    <t>201194B01002</t>
  </si>
  <si>
    <t>9702aa51bb1bdb56425198a41f73ed41481ad6a97a500a1bdc1cc764e099b62c</t>
  </si>
  <si>
    <t>201195B01002</t>
  </si>
  <si>
    <t>db0ce21ba3cbf26095beb5a538a98cfbb185f9c9c6dee099089178d059a858ca</t>
  </si>
  <si>
    <t>201195C01002</t>
  </si>
  <si>
    <t>b30c977edf7903152e446ceb6065ff5d12ce49ed9817920bf5b980fb506707e4</t>
  </si>
  <si>
    <t>201196B01002</t>
  </si>
  <si>
    <t>afb162b89eed53ce89ac0431c3a1c7671d806731c4b92146a4a83c32483c6396</t>
  </si>
  <si>
    <t>201197B01002</t>
  </si>
  <si>
    <t>0223517ae27d4c81df71eab541551818902040a663fa046ef4042a5594ed2ec6</t>
  </si>
  <si>
    <t>201198B01002</t>
  </si>
  <si>
    <t>d7fe1370c8e35c8e0d158e4d3142f4b81a274d09bc238a204eb68b9f5fea756c</t>
  </si>
  <si>
    <t>201199B01002</t>
  </si>
  <si>
    <t>0afc03767c2edbdcac2e183ff36d2269f14211c24dfce82302958181afcdbc93</t>
  </si>
  <si>
    <t>201199C01002</t>
  </si>
  <si>
    <t>0533d1fac0d9ccc33773769dc6a54ffec5869fffa7ea3fb517b7aad48784fc60</t>
  </si>
  <si>
    <t>201199E01002</t>
  </si>
  <si>
    <t>45fd4bc314e46e02c5a2ca46da6e9fc6479ee04a2dc5aa5a5ecfd35f9ec8280e</t>
  </si>
  <si>
    <t>201200B01002</t>
  </si>
  <si>
    <t>f65ccaa60977d4cd9f9317f3a94fc2187936053bddfdd91b2819b1939bb79314</t>
  </si>
  <si>
    <t>201201B01002</t>
  </si>
  <si>
    <t>c8078c3a01b6693a0ccc39dcd89e5c653b5334bdd21e16695db788d3803b55e4</t>
  </si>
  <si>
    <t>201202B01002</t>
  </si>
  <si>
    <t>2bd550d967ece3b1fdd33ae9f0891e3968c789e9f4c7889d0f27ef406bc7adc1</t>
  </si>
  <si>
    <t>201203B01002</t>
  </si>
  <si>
    <t>257d5f57b640078a33bec629860694aa18f5aac9fb87fd1f2f9522403633c3c4</t>
  </si>
  <si>
    <t>201284B01002</t>
  </si>
  <si>
    <t>5181263d44a0f9cc0371101e2db601ae0f9778282e76524c37235a288f02b228</t>
  </si>
  <si>
    <t>201284C01002</t>
  </si>
  <si>
    <t>b81bcdcf8c7a17492465358a2294c70161f3602c16bda00d61280cf7119b1fec</t>
  </si>
  <si>
    <t>201284E01002</t>
  </si>
  <si>
    <t>51f62277fc6756bc8b0018c24d6abdbdc34f02033a64f5c13d41fce5ef66b0a4</t>
  </si>
  <si>
    <t>201284E02002</t>
  </si>
  <si>
    <t>bb60b88f8cffe23283fc9bbff8e96d5e16461644470345cfcbabd4d45d679735</t>
  </si>
  <si>
    <t>201286B01002</t>
  </si>
  <si>
    <t>465feae2bdfe10bf27a7ea441a3020853423c32f074ca2b49f4002ef1446f00e</t>
  </si>
  <si>
    <t>201286C01002</t>
  </si>
  <si>
    <t>2be518247c272a109081364e8fad2a4044110a262fadc1e3bfc7e929def7b223</t>
  </si>
  <si>
    <t>201286C02002</t>
  </si>
  <si>
    <t>43598df7c5d47abb1a13d6e3e43933fcf1a184f65a09929ad2c3b33374a3f383</t>
  </si>
  <si>
    <t>201287B01002</t>
  </si>
  <si>
    <t>0add8ec4524b817f13134a89f580a7fe85b63277f61963f5151d2207d09c55b5</t>
  </si>
  <si>
    <t>201287C01002</t>
  </si>
  <si>
    <t>02f616f859f717ae7ffdbe8b4031228edc0e21d6cf4eca09f1886faa2d0309c4</t>
  </si>
  <si>
    <t>201287C02002</t>
  </si>
  <si>
    <t>4daa29f663431df317925731afdab3dda793e034fc74154c766f1ed1af7bf9dd</t>
  </si>
  <si>
    <t>201288B01002</t>
  </si>
  <si>
    <t>2b76e0ae0249ac41fc34253ed1c8f8f650a4ea2bcdca597c94b6214933ca557c</t>
  </si>
  <si>
    <t>201288C01002</t>
  </si>
  <si>
    <t>5751a07bc2f107c8f98f8a1fe43aeb94b621f40c090c4bbc4e084695daa6fcc0</t>
  </si>
  <si>
    <t>201289B01002</t>
  </si>
  <si>
    <t>4467b734a2aa7c52eacb826c3dc5987f251ebc8fa171f1a1491aeee0fea80108</t>
  </si>
  <si>
    <t>201289E01002</t>
  </si>
  <si>
    <t>3ffe19c496720498989921a6dce60633ce371979e6ced6ac7eaa5e2ae4dbb8af</t>
  </si>
  <si>
    <t>201290B01002</t>
  </si>
  <si>
    <t>933f7cf4b5dbd5dc081a63f39ad87bec039f0cd52ca5970192c48695167fd0c8</t>
  </si>
  <si>
    <t>201290C01002</t>
  </si>
  <si>
    <t>799cf67e90f1b4c382db4404d0b4c10d8d2d9fa75ea0b2272a8ac861ed2886e0</t>
  </si>
  <si>
    <t>201290E01002</t>
  </si>
  <si>
    <t>00714899f75a71ae3677ae3822c7d0e381c27214bc66765ea5e86ce04eb766a3</t>
  </si>
  <si>
    <t>201290E01012</t>
  </si>
  <si>
    <t>6f3d06e54c257316a4a6abd5fce1fb0f70ba50f6b05fdb998183c4258e23939a</t>
  </si>
  <si>
    <t>201290E02002</t>
  </si>
  <si>
    <t>736beab950ee2093da14bb477a36b4de8b6ddafb3b59c661a8941992d876daaf</t>
  </si>
  <si>
    <t>201449B01002</t>
  </si>
  <si>
    <t>431dca36fb34cc7e7cb7fee2c2ca3c196aa33bf8756173338d477b82760ce70f</t>
  </si>
  <si>
    <t>201449C01002</t>
  </si>
  <si>
    <t>7cae3e08378556e34062d66008dd96d86d66fc71ac8fc0478beeba5ffc14dc34</t>
  </si>
  <si>
    <t>201449E01002</t>
  </si>
  <si>
    <t>9fe7072d221c1fdd3c3d796de63bd3c7064cb569209575d425197f0b9df525d4</t>
  </si>
  <si>
    <t>201450B01002</t>
  </si>
  <si>
    <t>9ff64fa0658179b8f7060ea0c1349e4658e113a6c3326655ec81549d07979781</t>
  </si>
  <si>
    <t>201450C01002</t>
  </si>
  <si>
    <t>ec53d5f1711beb56a1b28a02035836905d8e4646858d9bd460b24b4e1ed4e714</t>
  </si>
  <si>
    <t>201451B01002</t>
  </si>
  <si>
    <t>118fbae4472bac76eaa87c8d5d7b9801578809fb70f50e2c99800c99660b1e45</t>
  </si>
  <si>
    <t>201451C01002</t>
  </si>
  <si>
    <t>c8a993e8b9affc76af5db1dae112cfa62e7193ef22935a1ee953f97f32a7c96e</t>
  </si>
  <si>
    <t>201617B01002</t>
  </si>
  <si>
    <t>3eec7bd63ff6bd624c4b7d763918da4d83f480a818f11cac3d278c16a2d4e40a</t>
  </si>
  <si>
    <t>201617C01002</t>
  </si>
  <si>
    <t>df6da351e0429fe5489eb50ad2dce1d0ad10ba35ab12e18b422d986c85217568</t>
  </si>
  <si>
    <t>201618B01002</t>
  </si>
  <si>
    <t>fef8dc5741b98c269b4564f1f5173787a85356e63ce3fdc25722dec82478c1e6</t>
  </si>
  <si>
    <t>201618C01002</t>
  </si>
  <si>
    <t>bc25b602b55129ccba796ab233dfdc76c00f6805ffdadce0b89774167fb851ee</t>
  </si>
  <si>
    <t>201619B01002</t>
  </si>
  <si>
    <t>c57ea1a3ade24c8147f00f94da453fc92c8afe31a51de4303a006835344d91ea</t>
  </si>
  <si>
    <t>201620B01002</t>
  </si>
  <si>
    <t>eff6c3c9cfb310ac158547db0ca741db0f58b92f27cdc2c5cc3be70f4d0d5585</t>
  </si>
  <si>
    <t>201621B01002</t>
  </si>
  <si>
    <t>bec2e12a3e5967495504cf16c69ce5f59a5a6e6afc0fbb5a547c386d8bdd7f95</t>
  </si>
  <si>
    <t>201622B01002</t>
  </si>
  <si>
    <t>3fcb0dd194f435d46db8ae2df25c2eed1260f4e772ed16c83ef6d0dfb2e6f504</t>
  </si>
  <si>
    <t>201623B01002</t>
  </si>
  <si>
    <t>6fac5848e30a3aab41ff75d84ee239c19d66ab99ca75d64606cd6a27d3f3f5c4</t>
  </si>
  <si>
    <t>201624B01002</t>
  </si>
  <si>
    <t>31907de775ed51356e8d14390fe8a44e41609ad976e2909dbd80b7a448489c32</t>
  </si>
  <si>
    <t>201624C01002</t>
  </si>
  <si>
    <t>100014e0ec6f7d2a75538152abf71f82bc7b5a33c812dbe0ed6e86208bc33799</t>
  </si>
  <si>
    <t>201625B01002</t>
  </si>
  <si>
    <t>c3be5bd97fe2814bfaec33650ff66852e5c3365e038433ed5893ddb171a0092e</t>
  </si>
  <si>
    <t>201691B01002</t>
  </si>
  <si>
    <t>60645c113332148b517437f27ad89d1ad2add9093fcafe0d6bdfbb03eb5926da</t>
  </si>
  <si>
    <t>201691C01002</t>
  </si>
  <si>
    <t>717f2a7d7df3cc173a0a58e0f3ee07c0c83ac5cb9ebb426bda9efce8264fa1ba</t>
  </si>
  <si>
    <t>201692B01002</t>
  </si>
  <si>
    <t>242775d9dc6a421edf72c9e14200dd268b0119a22c1a3f347758ae991f91b1d2</t>
  </si>
  <si>
    <t>201693B01002</t>
  </si>
  <si>
    <t>e597b659b3041138d1c36b43126b0be0b6c8633883ed4bb82f2b8761cb8d7e61</t>
  </si>
  <si>
    <t>201693E01002</t>
  </si>
  <si>
    <t>92552abd83a766176cf9b258feb16b568107146e050a47ecbb75b2b4c0d43723</t>
  </si>
  <si>
    <t>201694B01002</t>
  </si>
  <si>
    <t>96a67edc1e0f28d3a0e4dc541c7bb94acf08a0b2d944aa02cc58671c7ab9cada</t>
  </si>
  <si>
    <t>201694C01002</t>
  </si>
  <si>
    <t>5fc41e97a1dd15a04bd5c3b5d4b8fa0168a5729e4e0e9049f5cf135a92a89ef4</t>
  </si>
  <si>
    <t>201695B01002</t>
  </si>
  <si>
    <t>4067fdb9ce78a6a45ecb6cc22c83228adc1e9f899c90adbac7cd777e7db5a929</t>
  </si>
  <si>
    <t>201695E01002</t>
  </si>
  <si>
    <t>35ba63f9abe8f3fcf06f1a28954242b3f24fc26298826017820e17fdf39fc11d</t>
  </si>
  <si>
    <t>201696B01002</t>
  </si>
  <si>
    <t>64038221ab12e576faf3418c588b54758b0958ee8062a9c43285ccaac4a36b1d</t>
  </si>
  <si>
    <t>201696E01002</t>
  </si>
  <si>
    <t>c64abada131074e032a38e28ab1b28af067163a5b04297ee87d3deb628845f3d</t>
  </si>
  <si>
    <t>201697B01002</t>
  </si>
  <si>
    <t>015a70737eb3fb9d4dc908cbd08ffed559d98a4ca09e6c31246e3d8a2cf9f4b0</t>
  </si>
  <si>
    <t>201697C01002</t>
  </si>
  <si>
    <t>653f491e31eb3b38c26f139f27e61b6af956d4f7cb9cd6ee492a14d477f863c7</t>
  </si>
  <si>
    <t>201698B01002</t>
  </si>
  <si>
    <t>a4bfc2ece7a53afe34d69fb48f6179e2a0f71b0be35c36ef7ace86c514f77c9b</t>
  </si>
  <si>
    <t>201698C01002</t>
  </si>
  <si>
    <t>e4ba301fe61bc201208314d1a935de9235bf02d93eef196efaaf13bf2fc79b27</t>
  </si>
  <si>
    <t>201698E01002</t>
  </si>
  <si>
    <t>957c0fa6e4c6df9c2ac3a6b67e0d7e8368a764c7328a99304864170d43a1525d</t>
  </si>
  <si>
    <t>201856B01002</t>
  </si>
  <si>
    <t>3d77690eeab5b8853fca24bc2b572a959677be7f3c4de11fe023521efb0a75bf</t>
  </si>
  <si>
    <t>201856C01002</t>
  </si>
  <si>
    <t>3ad96fb3d8e9b63e857863a18d2016998b14842277cc0adc66f95936de2c4df6</t>
  </si>
  <si>
    <t>201856C02002</t>
  </si>
  <si>
    <t>8ee97dbaa729f10c89551448c1f982e359dd581940078c5c563274590d213d66</t>
  </si>
  <si>
    <t>201857B01002</t>
  </si>
  <si>
    <t>e523c8e2ea71a800e1911238c4a9e0ce6ebac59d3e9e85a07fe7ba607939751b</t>
  </si>
  <si>
    <t>201857C01002</t>
  </si>
  <si>
    <t>10f8c2e1ddd1432d57e898751a9e7eb6d401fa46d7e7b696056ee14600d380c2</t>
  </si>
  <si>
    <t>201857E01002</t>
  </si>
  <si>
    <t>da517bfcc81dfee34f4dfab6046bcc68e0e7c7da63b54e1124986d6595876ea5</t>
  </si>
  <si>
    <t>201858B01002</t>
  </si>
  <si>
    <t>de92bfef2d627e4e78c976e6ddf61aa377162839fd611211d9db5705147e8a76</t>
  </si>
  <si>
    <t>201858C01002</t>
  </si>
  <si>
    <t>87a4967f107f3c060132fbf16b4c036eee24998138cfb21e55f1db75326bac28</t>
  </si>
  <si>
    <t>201940B01002</t>
  </si>
  <si>
    <t>c0e806718565fe8d4ee2a6c86062ba70f4721c9dbe71127ed75d8b27170fadcb</t>
  </si>
  <si>
    <t>201940C01002</t>
  </si>
  <si>
    <t>810b30e1e049f927cf386e92b1738ba50bcddc946cd4d5e23291e415dd48217c</t>
  </si>
  <si>
    <t>201940C02002</t>
  </si>
  <si>
    <t>40ef4d1bcf0792c9f28588f646f950334a33d69005e0f7c2278886a3fa3a4c99</t>
  </si>
  <si>
    <t>201941B01002</t>
  </si>
  <si>
    <t>dc78d459d93ac74a55198060a1200f90ee26cf8a2931e61e06e426bf7ac22d01</t>
  </si>
  <si>
    <t>201941C01002</t>
  </si>
  <si>
    <t>57b629386cd5fd0ca43fad6c930b40c7acf1003e2d25cf398768dbe5ee89b53e</t>
  </si>
  <si>
    <t>201941C02002</t>
  </si>
  <si>
    <t>cdee749e9152982978e99b2733329e34795ba320b4cbf40e5d8f9b255afa7b2d</t>
  </si>
  <si>
    <t>201942B01002</t>
  </si>
  <si>
    <t>a1457f005b248b8dba79fda1a4e0368ca0cb339aa07bd4395e3efe3f62e8bc05</t>
  </si>
  <si>
    <t>201942C01002</t>
  </si>
  <si>
    <t>5f072b98e3799833bb90cb3b3eeeb591c7681c87f4860d1e4619bdc260b51c9f</t>
  </si>
  <si>
    <t>201942C02002</t>
  </si>
  <si>
    <t>2c05675ef448b462e206c4023e62d0d734f30d1684e389480b9ca4a794323d6a</t>
  </si>
  <si>
    <t>201943B01002</t>
  </si>
  <si>
    <t>738945d2323a06297ff0e7d8630a5c0b6fa05a661398cd08fe1dc34f5cd1e1f6</t>
  </si>
  <si>
    <t>201943E01002</t>
  </si>
  <si>
    <t>478a331b3c078641d9cb0960856a1d69a8e41c5894abcdddf9da56995d0b4b52</t>
  </si>
  <si>
    <t>201944B01002</t>
  </si>
  <si>
    <t>0d3dd39c8306be2af74312fa9eb28b209e9e4174c40174309f8143de26d58efa</t>
  </si>
  <si>
    <t>201944C01002</t>
  </si>
  <si>
    <t>8832e7c3842887fc75203dac0b05478ec9696a49994d175516c2566130950e0a</t>
  </si>
  <si>
    <t>201945B01002</t>
  </si>
  <si>
    <t>7b832a3e9c0fe7d86f34ac1b1e5219a26baefee4ee339e80e1e7a872899678cf</t>
  </si>
  <si>
    <t>201946B01002</t>
  </si>
  <si>
    <t>d5eb022c10cd6b836589676253e9b26ca7681571b5fcd8086e37720d87c422f6</t>
  </si>
  <si>
    <t>201946C01002</t>
  </si>
  <si>
    <t>9787b3474e88ffb1c97eaa0583b1b7d9237fa72a3bd95e8e40325b03326e957b</t>
  </si>
  <si>
    <t>201947B01002</t>
  </si>
  <si>
    <t>86c9b97ab4ee8eb402f7560de10f46ed1d01277cd29766c7951a76e5a87e490d</t>
  </si>
  <si>
    <t>201947C01002</t>
  </si>
  <si>
    <t>8080a4889e595f5e81e2dd780fceb14d1612699aa28617072b2004523f693856</t>
  </si>
  <si>
    <t>201948B01002</t>
  </si>
  <si>
    <t>e998cb55839e90e2f6a4b3f737e725d668c462442e10aced81f61dc59b7c90d0</t>
  </si>
  <si>
    <t>201948E01002</t>
  </si>
  <si>
    <t>e63b8081f7f6c9969519833c6ce7fd21779cc773bc4f3730b4621a4c1e5ce1a7</t>
  </si>
  <si>
    <t>201949B01002</t>
  </si>
  <si>
    <t>75160dad394cb0197cc9b8527ea41ab6e8847faf3cf13504e283095081812a1e</t>
  </si>
  <si>
    <t>202033B01002</t>
  </si>
  <si>
    <t>7fc35f12f2dab8bce1c71f3dbc765bf10690d35a0be400874890c1e86556e929</t>
  </si>
  <si>
    <t>202033C01002</t>
  </si>
  <si>
    <t>3ea043a76a1ac82de5fd0792d9bc872bca63d792afbeb67fbaddd3f63f439aba</t>
  </si>
  <si>
    <t>202033C02002</t>
  </si>
  <si>
    <t>53193d4f2f4d801657b66b05d29d388533d513ec9eea56464559df305f8207d9</t>
  </si>
  <si>
    <t>202033S01003</t>
  </si>
  <si>
    <t>540c84a4a680186644e2758d38d7d13fbd4f4f012a45f1a845b693dd457f2146</t>
  </si>
  <si>
    <t>202033S02003</t>
  </si>
  <si>
    <t>ef7d87abe7fa221e2af4a079519cd5f3b4df385b27446a69a63c60f96a242d17</t>
  </si>
  <si>
    <t>202034B01002</t>
  </si>
  <si>
    <t>3330942cec1837155b06accc89400e16c8e23e9a27d6946b4cbd5f2e8683e7cf</t>
  </si>
  <si>
    <t>202034C01002</t>
  </si>
  <si>
    <t>3c2207fad323b212b8a27ebbe412e6960a38740971b7670c1d32953553475a88</t>
  </si>
  <si>
    <t>202034C02002</t>
  </si>
  <si>
    <t>1ebfdde5f888674e3cc6b106120cf618a0b9aefa81fd12af57e65657dd505bcb</t>
  </si>
  <si>
    <t>202034C03002</t>
  </si>
  <si>
    <t>7f2d2ca35521f57df39ad9d8aaa868b596e53b034b016a1512df1f9e81d651c1</t>
  </si>
  <si>
    <t>202035B01002</t>
  </si>
  <si>
    <t>8da96ae302ca9e9cb1c1f0c995aa4ba7f8b296942f3590e073fab32ef7e18e10</t>
  </si>
  <si>
    <t>202035C01002</t>
  </si>
  <si>
    <t>8c4f3fddc0e9b659237c4bc4a63be494fbdd886a7459f3dd447706add40fa61e</t>
  </si>
  <si>
    <t>202035C02002</t>
  </si>
  <si>
    <t>0fa1688a1d323102a2c17345e8c6df4058520e1ab0b91a0381f53fa010097153</t>
  </si>
  <si>
    <t>202036B01002</t>
  </si>
  <si>
    <t>f3f7efaa9c83bd3e339d61d75f83f6a211ff3c6a5f783da3e3f18e3634e694ee</t>
  </si>
  <si>
    <t>202036C01002</t>
  </si>
  <si>
    <t>0b2092fd8d41cbd41a4548ac3920a4f6e1fb635cd24eacc2faf10efc3e58d441</t>
  </si>
  <si>
    <t>202036C02002</t>
  </si>
  <si>
    <t>fcae0d29a9c4c8db8833084eb4d42f6424d30405c716e5c6ad4cb4f01317f6e1</t>
  </si>
  <si>
    <t>202037B01002</t>
  </si>
  <si>
    <t>690ce0416e31921a2f4efd6d984a1b90d534065f09353dae07b976a019cb6ec9</t>
  </si>
  <si>
    <t>202037C01002</t>
  </si>
  <si>
    <t>195a68263064fe02781db883f165cd511dc4118c91c40306e7a38f1a28820ddf</t>
  </si>
  <si>
    <t>202038B01002</t>
  </si>
  <si>
    <t>f0692750415a33d2fc01d82f5e994f70ce165a93924570257006ffd033579937</t>
  </si>
  <si>
    <t>202039B01002</t>
  </si>
  <si>
    <t>f61b455eb92cb768c42829d95026647e5713ea5c6f4f6e7e5cd82d909ca72539</t>
  </si>
  <si>
    <t>202039E01002</t>
  </si>
  <si>
    <t>82c5ebf11da6b842f9a23042fe6e66314dbe5ba4b6b384abfe560cb0e8383b44</t>
  </si>
  <si>
    <t>202039E02002</t>
  </si>
  <si>
    <t>79331ba1b25f4650f79e293165f6d5f5988af29708617a905c5c2dde5c481334</t>
  </si>
  <si>
    <t>202040B01002</t>
  </si>
  <si>
    <t>f1736bddbc78adfaf8f48ce31aefc59b2224e71a21a494894a61788486dcd9b2</t>
  </si>
  <si>
    <t>202041B01002</t>
  </si>
  <si>
    <t>00dd9d0b263c6bb070d7c1ffae91d03bb0fc2048ef17fab75864c8421479f6cf</t>
  </si>
  <si>
    <t>202041C01002</t>
  </si>
  <si>
    <t>ac411b694963679ae1680bc62bf0a926e1abf418cd3dab63c3274512b3b38d94</t>
  </si>
  <si>
    <t>202042B01002</t>
  </si>
  <si>
    <t>e9aa6d76aeaf9ab37f58112e8e1d7f2d69c840c78d924064dfd3d16b8bff7784</t>
  </si>
  <si>
    <t>202042C01002</t>
  </si>
  <si>
    <t>27ed818e2a83f8af93a6817d285da016fc432a1fac368269e497334d11785a05</t>
  </si>
  <si>
    <t>202042E01002</t>
  </si>
  <si>
    <t>7b0e815cb27e7b9e7925d4746da1f3f978ca97930fc61eee209e4cd9b53710c5</t>
  </si>
  <si>
    <t>202042E01012</t>
  </si>
  <si>
    <t>79d64d1a84cbc5a0683ac86f6779fd0eb42d1d16ab2685b308a9bb78cb419f80</t>
  </si>
  <si>
    <t>202043B01002</t>
  </si>
  <si>
    <t>a0e7a48807bc3c4ba434e8d90a59f2de7cc3bb14940bd8efd54f5a29f998c7f0</t>
  </si>
  <si>
    <t>202043E01002</t>
  </si>
  <si>
    <t>6ba695afdbff8b5657c8bf53691cf9fd981fa7afd7fd8ab326f1691ac64effb5</t>
  </si>
  <si>
    <t>202044B01002</t>
  </si>
  <si>
    <t>d99722fe69e601d9dfa7bbca0b1cb6984704a876056646998446011c3f28827b</t>
  </si>
  <si>
    <t>202045B01002</t>
  </si>
  <si>
    <t>ec278424db73e513b5f7e7c3380a2a530770ff8dd165dff24c14e07c0132b3e6</t>
  </si>
  <si>
    <t>202045E01002</t>
  </si>
  <si>
    <t>12d467a24e6f7ce3278fd1ed38f3fa46d913e4787f8b83fecf8af990af936582</t>
  </si>
  <si>
    <t>202046B01002</t>
  </si>
  <si>
    <t>08f1252edd4bcc1183119eefea14555edeb6282c4a153d3d3c9c0010b086f58a</t>
  </si>
  <si>
    <t>202046E01002</t>
  </si>
  <si>
    <t>85dcd05b36a19c9510b1bf058d9d447f17149f7107e2b1dc5dbb48343634ff4a</t>
  </si>
  <si>
    <t>202046E02002</t>
  </si>
  <si>
    <t>3d10b60418a61e80541231e51f7b0129c885902c6e95ea1db2712d0fe06279f4</t>
  </si>
  <si>
    <t>202047B01002</t>
  </si>
  <si>
    <t>e13a7ae5872aa4674288e59eb73bd10afe977ec7362413ed40caa6cd3a1eb69a</t>
  </si>
  <si>
    <t>202047C01002</t>
  </si>
  <si>
    <t>a97793f2fc18523475aece9887499a51af1785783dc22bb94e48a8e583f039f8</t>
  </si>
  <si>
    <t>202047E01002</t>
  </si>
  <si>
    <t>077a2d7e34e3b3e39e26ec9d8e44f4a660a17b59a383abd1f6a2cdce1cf92999</t>
  </si>
  <si>
    <t>202048B01002</t>
  </si>
  <si>
    <t>02a73249fab9eabe9d96ee46092405099de9b2babe9c78412d5dba368fe400e8</t>
  </si>
  <si>
    <t>202048C01002</t>
  </si>
  <si>
    <t>97121e495584bfdd1f111bf2671f6d608020c7bdcb4f4487eced8fda247bce20</t>
  </si>
  <si>
    <t>202048E01002</t>
  </si>
  <si>
    <t>63d70753d306a7ccac541477a1aaa878a4be9ec324728d100d7c6ffc68d8b407</t>
  </si>
  <si>
    <t>202049B01002</t>
  </si>
  <si>
    <t>f5e6dca1000b267d83a270742587c1c3df4704cb1f6d55dc180aa4dfe72ac9af</t>
  </si>
  <si>
    <t>202453B01002</t>
  </si>
  <si>
    <t>2c296bceee854e759c174f19ea8694eeac60c5e4b24ae7a7f8f2e08259714b9e</t>
  </si>
  <si>
    <t>200104B01002</t>
  </si>
  <si>
    <t>HEROICA CIUDAD DE TLAXIACO</t>
  </si>
  <si>
    <t>867dbcaceee448922a9a0351f20396378c25f5ed4783a7c36bd1e69bf2cabba0</t>
  </si>
  <si>
    <t>200104C01002</t>
  </si>
  <si>
    <t>439324563ce33c74e6da2b96de0f4af23686f119ce95e5f6f902e2507d8cd410</t>
  </si>
  <si>
    <t>200105B01002</t>
  </si>
  <si>
    <t>437add7a03474c1a0ef747eeb4adcb4229ec8619f9d9e8493f8526fcedad6737</t>
  </si>
  <si>
    <t>200105C01002</t>
  </si>
  <si>
    <t>8b81a3ef852477ab0af3000d3d500d55b8b08d14190116ea64a6e1b9b57430c9</t>
  </si>
  <si>
    <t>200106B01002</t>
  </si>
  <si>
    <t>1b7b38f453fd521a3fdcf0da307e97a583895e5f4bb476af3ad1fe1b5bc9c667</t>
  </si>
  <si>
    <t>200106C01002</t>
  </si>
  <si>
    <t>9865ce424c8a23be7c2f64f914f6231ad0d2a0b9616f5acb7add2815ccbeef4c</t>
  </si>
  <si>
    <t>200106S01003</t>
  </si>
  <si>
    <t>45fcbd65012427e3768f03a3c06d36c478d84553b3b657ae437b307eac9f9e28</t>
  </si>
  <si>
    <t>200107B01002</t>
  </si>
  <si>
    <t>937bb457b6852c1cd5195f3c955a54e1372a093e8a3971c670232013137cd768</t>
  </si>
  <si>
    <t>200107E01002</t>
  </si>
  <si>
    <t>0eabda80c57e72b255e432515456a6c1dca16192a3ea09234a02ad9f47887975</t>
  </si>
  <si>
    <t>200108B01002</t>
  </si>
  <si>
    <t>364d61e43f45c33523903980a65c3c07154624b6300b27e7c72f0f2a2e8e5e35</t>
  </si>
  <si>
    <t>200109B01002</t>
  </si>
  <si>
    <t>5c79b5c989d8ae6202f94ee4cc706bf47fc034225ba1cdd66fd5f88a1ebde1e1</t>
  </si>
  <si>
    <t>200109E01002</t>
  </si>
  <si>
    <t>6b7f130e50bd006bd2674a9fa7110bddc7547acb2667c3b928d00b149ba9aab8</t>
  </si>
  <si>
    <t>200110B01002</t>
  </si>
  <si>
    <t>c47bb3cd2b41974517c0e4d5eca0ebf3f06056d59bb421bf6c6e5a197f0a33d3</t>
  </si>
  <si>
    <t>200110E01002</t>
  </si>
  <si>
    <t>eb81659ee06e92edffdb1381ab19fdcc0a00823c7f9d67604c47077ed6714a69</t>
  </si>
  <si>
    <t>200255B01002</t>
  </si>
  <si>
    <t>f6c7c71bf6adf8713fea0ed8cfdb3b0fe2cf3943a3807ac9d218c5e10ceb2d48</t>
  </si>
  <si>
    <t>200255C01002</t>
  </si>
  <si>
    <t>503b1ae2abbc402230a675a1edf1cc3f7eec3f125465c5bfbc217f1c4a127186</t>
  </si>
  <si>
    <t>200256B01002</t>
  </si>
  <si>
    <t>db3912a48509669f384e7aea6b49028469745abbea94b85d3dbd7164d7b04985</t>
  </si>
  <si>
    <t>200257B01002</t>
  </si>
  <si>
    <t>092a25d5ed54140ebe8f207587d0906df776e4e14fd3f82a5f54c8942ce1003c</t>
  </si>
  <si>
    <t>200375B01002</t>
  </si>
  <si>
    <t>06b9af0ccc9982f64fab1e576096abb2c697b5a88bf22495d671d13d36319d4a</t>
  </si>
  <si>
    <t>200375E01002</t>
  </si>
  <si>
    <t>39178e1a3e74eb6ecd723cf4d491ace56ad4fd082503c5dead926b165273a0b1</t>
  </si>
  <si>
    <t>200376B01002</t>
  </si>
  <si>
    <t>3d7926ea8575664bab55fe2f2794a9089ee67c5bcd4d4afc4649b6ca74a68441</t>
  </si>
  <si>
    <t>200376C01002</t>
  </si>
  <si>
    <t>5cf8027ca2697e87dc013968d8043e58ab37fd0556c958a02a1d0a6a45ea7655</t>
  </si>
  <si>
    <t>200377B01002</t>
  </si>
  <si>
    <t>11dd914950885ae4758acd45ff5566b4fb2c91506ebbb9c78870f99b7ef2f5f0</t>
  </si>
  <si>
    <t>200377C01002</t>
  </si>
  <si>
    <t>7a2e9f31f5dfb8f54ab6b753be5d8af1ba83f6f5c97b290ae7c8ff41fc3b6b72</t>
  </si>
  <si>
    <t>200712B01002</t>
  </si>
  <si>
    <t>c497db7193c3e308a4196710ba311c8b3d6dfa587e4c4219cecedd969d864d38</t>
  </si>
  <si>
    <t>200712C01002</t>
  </si>
  <si>
    <t>0bf4c22a575f4fd2ce60ef1cbc3f403cb5b2182b6494a9a8377834db13ab01dc</t>
  </si>
  <si>
    <t>200713B01002</t>
  </si>
  <si>
    <t>d60b935bbb2305887b14736581a421fa78a725f884060411220d0fd5d4af478b</t>
  </si>
  <si>
    <t>200734B01002</t>
  </si>
  <si>
    <t>8f57925e0ee2c7455e6e6b7643ea23c2467c4cda4e9fcfe33cf5bb182c1dcdf0</t>
  </si>
  <si>
    <t>200735B01002</t>
  </si>
  <si>
    <t>dccfae359cd3819dd4d6b3bd2685f180e489e5c64db463dff1e330af70dc579f</t>
  </si>
  <si>
    <t>200772B01002</t>
  </si>
  <si>
    <t>e0b57d9a9ae1c47cfff3a4043431645db5e05c331e2a0c41492aef2cc76bddb7</t>
  </si>
  <si>
    <t>200772C01002</t>
  </si>
  <si>
    <t>b2c6b1d299d66c2d39e189c457b6121a26da3f0ab1bd9e99eb355f1528baec09</t>
  </si>
  <si>
    <t>200772E01002</t>
  </si>
  <si>
    <t>15dd80ca41f9beaffc35e52be995e9dc7e1a0dcc643665b8277569ac0ddbe167</t>
  </si>
  <si>
    <t>200773B01002</t>
  </si>
  <si>
    <t>8a08a46348dc5dffcd8911a6212e407078ba3182eb1683945dcc4610852690b9</t>
  </si>
  <si>
    <t>200774B01002</t>
  </si>
  <si>
    <t>d70b9c36197798ae83b6ca74f67b27d74b18887bc8f289bf040ffb441f9e5bf5</t>
  </si>
  <si>
    <t>200774C01002</t>
  </si>
  <si>
    <t>25514b5d0a2522b7a578fed2c470820e0600285cc28e4d65c42439a3dd9eecc3</t>
  </si>
  <si>
    <t>200774E01002</t>
  </si>
  <si>
    <t>e459a6b0cc2d9269880d7ef58b4be1f4e07b1a3c480a6dc8c55773bf49f8f8c1</t>
  </si>
  <si>
    <t>200775B01002</t>
  </si>
  <si>
    <t>d988ec12e00e92dab5c7a6c66c2e815eab1c3c48dff63e4319a4f93b09a3fb7c</t>
  </si>
  <si>
    <t>200775E01002</t>
  </si>
  <si>
    <t>a295342af462c5d85a06006bde5762d7b8729b488086b1531fda89d6d2a3ec2f</t>
  </si>
  <si>
    <t>200789B01002</t>
  </si>
  <si>
    <t>824823eea1bc1a9e4b324fb9a54c0ab0487001e8d74138a23c1a83ac708f6d63</t>
  </si>
  <si>
    <t>200789C01002</t>
  </si>
  <si>
    <t>dcdafaf5dda1a782bd5b6ea883441398c38bba3f6e2160b453f443d762cd6e5a</t>
  </si>
  <si>
    <t>200789E01002</t>
  </si>
  <si>
    <t>835a4a6f91bfc0923f4f55f58411451578c5b8d982b87b3a33c2b46fb81a5f23</t>
  </si>
  <si>
    <t>200789E02002</t>
  </si>
  <si>
    <t>8caa25b312725aa6323787a5bf791d4d4e1e452d57d97e1f03aab167d1e2530f</t>
  </si>
  <si>
    <t>200810B01002</t>
  </si>
  <si>
    <t>6ca1d506c69100dc2c769e6eea6d5846d4360dcf4b01fa34c3de6a6c241f313d</t>
  </si>
  <si>
    <t>200835B01002</t>
  </si>
  <si>
    <t>3c825592b2cd86f83e2f552466f5611f9f3c7d4284bd4b39f48ecaa368b7ca20</t>
  </si>
  <si>
    <t>200835C01002</t>
  </si>
  <si>
    <t>c62d587c7e167157b9dc63677b705e629dd14c618df6bd2245d424bdd6b6e845</t>
  </si>
  <si>
    <t>200847B01002</t>
  </si>
  <si>
    <t>ad2db6b2333c4c9b5185733a9ed327d959c76403813fbfd8c3983bcfcedc0e75</t>
  </si>
  <si>
    <t>200847C01002</t>
  </si>
  <si>
    <t>c852187676bbb61cfe84b3d8c1962bc105fcaff53cc39ba1aac770d39c801814</t>
  </si>
  <si>
    <t>200848B01002</t>
  </si>
  <si>
    <t>c6a05539e1abfa0b319119b2fe3d548c10ef4cf2cb188d249e43c5eebc0b9a82</t>
  </si>
  <si>
    <t>200849B01002</t>
  </si>
  <si>
    <t>f4fb64224509f1bff69c744a47b3bf3f8e2dc3e4b63653697ed51ce9527b80c4</t>
  </si>
  <si>
    <t>200849E01002</t>
  </si>
  <si>
    <t>87872a5cbd1e2a04baae3dac8b8204935f0dc02785122321bd55a0ab6ae9f2a8</t>
  </si>
  <si>
    <t>200849E02002</t>
  </si>
  <si>
    <t>6b8186e3827a612eb8f988499268e51cf41fae0fdae6a78a08087fbebfdca24b</t>
  </si>
  <si>
    <t>200850B01002</t>
  </si>
  <si>
    <t>47d1a5978d9a2d5aba93f98d4f2d396297d29aca5a270a079e20692f5f3d0f49</t>
  </si>
  <si>
    <t>200850E01002</t>
  </si>
  <si>
    <t>08347f9de119a8ba01c4f7c224c240bd8f1a21031ef80eeaac36a2fbbbc82ba1</t>
  </si>
  <si>
    <t>200978B01002</t>
  </si>
  <si>
    <t>e1e241342849bd1d637d3805b4d4be6c401ab9049badd0b7bb906870a93456c9</t>
  </si>
  <si>
    <t>201205B01002</t>
  </si>
  <si>
    <t>fb3eaa31deca950b545ddbffb9138622c9b2657cb20acfa54fe9d269644cfdd7</t>
  </si>
  <si>
    <t>201205C01002</t>
  </si>
  <si>
    <t>6e8dfa6a7a6f0e19e4ba54c56875abbc1e36d3da676ec6e151ad4a421e9649e6</t>
  </si>
  <si>
    <t>201206B01002</t>
  </si>
  <si>
    <t>6b48e284defcb2e049875eb3e3611f78a33e1b4b462f54922ffca4d8b472fdbb</t>
  </si>
  <si>
    <t>201206E01002</t>
  </si>
  <si>
    <t>eccb357fffc2bea3e18746efb3e28c219dec7cc95e3cf347b2a609043770752b</t>
  </si>
  <si>
    <t>201207B01002</t>
  </si>
  <si>
    <t>8a4c9f3787fb288e221e7d162570b66a79a6e6a75b0df1447bea361e91ad0b87</t>
  </si>
  <si>
    <t>201207C01002</t>
  </si>
  <si>
    <t>08d090b518419cf3bd13a74b7092a5a0ef8679b28a4d235986a713fdf1b367a5</t>
  </si>
  <si>
    <t>201208B01002</t>
  </si>
  <si>
    <t>8efe4b8f6f2bdaec1a72243db24dd1cfb0a658513bd1171c5536af438d15da7f</t>
  </si>
  <si>
    <t>201208E01002</t>
  </si>
  <si>
    <t>37e2d38cd78122baffed74c151ee603a9a07367c77067b91339d19f20ff56422</t>
  </si>
  <si>
    <t>201209B01002</t>
  </si>
  <si>
    <t>307cd0d3e2483b1754c4a54bfe8036b25390bc556ad5ab73ab998352aa2384e2</t>
  </si>
  <si>
    <t>201225B01002</t>
  </si>
  <si>
    <t>bfbfe06e1bad3dcbb03823a5fad51035b6eda3fae06fc5a185b73f6c6d320782</t>
  </si>
  <si>
    <t>201283B01002</t>
  </si>
  <si>
    <t>a8c8bfabad0d3b7e3e3088fdf1cea27dd67aa7ec4cc9f3afc136d820cadcbc9c</t>
  </si>
  <si>
    <t>201283E01002</t>
  </si>
  <si>
    <t>609dd1540ef1bfd04a5bc30fef9e0f4dc674e124106cd38005d2189503c42bf3</t>
  </si>
  <si>
    <t>201304B01002</t>
  </si>
  <si>
    <t>cd8f715862b3f2641d931e3534c820da44f35dcc5642d3e11517f2c11bdf199c</t>
  </si>
  <si>
    <t>201304C01002</t>
  </si>
  <si>
    <t>6cad2ec2d7baa15bf57b74f1b62284d921e4067c843d64970f0ab1a9ac26b2b8</t>
  </si>
  <si>
    <t>201305B01002</t>
  </si>
  <si>
    <t>645d18246400446fde7734a1aacc32b88b1eb25c76fd5e12fc2cbedb93f15216</t>
  </si>
  <si>
    <t>201314B01002</t>
  </si>
  <si>
    <t>6cca4be9314f303cca781f143e617ce7ef5ca2af366b9bb0f941bb84542d7c60</t>
  </si>
  <si>
    <t>201314C01002</t>
  </si>
  <si>
    <t>15646842609e43e7650181abc8f90cc3701950d51e734beb006e79f46324e6dd</t>
  </si>
  <si>
    <t>201314C02002</t>
  </si>
  <si>
    <t>347bd6546bd89c6a61c9cd7778db742891cb7a902841f58fc10eb5407b384c26</t>
  </si>
  <si>
    <t>201319B01002</t>
  </si>
  <si>
    <t>b731ae744c299a4a3533b4de9d128d23ad708533672b2a062560e2821dbb2ea1</t>
  </si>
  <si>
    <t>201354B01002</t>
  </si>
  <si>
    <t>8161e1805cdf465047e2931e8f80d9d99786df07c770610dbee5c1d91ff99d5c</t>
  </si>
  <si>
    <t>201355B01002</t>
  </si>
  <si>
    <t>b6809c572f4940f9af523e732228db47fc467e2bf401b8b3f9d127439d245e96</t>
  </si>
  <si>
    <t>201356B01002</t>
  </si>
  <si>
    <t>ee4b5abc26a5e3f38183716f42a6bca4cf65360e5d18250fd71e2fb1e5c9f606</t>
  </si>
  <si>
    <t>201357B01002</t>
  </si>
  <si>
    <t>02c0cfd022bdcf8b29212919e10ca0b55e3ef62c46866fc055b77426ba1971a9</t>
  </si>
  <si>
    <t>201358B01002</t>
  </si>
  <si>
    <t>ed7cfd277e85871846b45122ddc48ef7d24e53077a0c211d76692e560b014ef2</t>
  </si>
  <si>
    <t>201411B01002</t>
  </si>
  <si>
    <t>6f16ba4be94a4e58d6cd22f2585c5586816657b27dd335b0f9ed631f5aeef86d</t>
  </si>
  <si>
    <t>201411C01002</t>
  </si>
  <si>
    <t>ceb68f223a5fba675a2630785dd9a1142c256bb4c1d82b11696c5d89d889263d</t>
  </si>
  <si>
    <t>201412B01002</t>
  </si>
  <si>
    <t>b1886d9cd2307b2638e127950ce62d28dedcf7c16ae2fc0c5131545d187551c7</t>
  </si>
  <si>
    <t>201413B01002</t>
  </si>
  <si>
    <t>a59e8a278f43e156d4bc9c86b1acf49c58ce64c82addaa9e7b97fae3715bca75</t>
  </si>
  <si>
    <t>201414B01002</t>
  </si>
  <si>
    <t>ad79b4d0c718c5fccb9295dbdef8a789fe6109ddfe7a913db830e42a71d7ec5d</t>
  </si>
  <si>
    <t>201438B01002</t>
  </si>
  <si>
    <t>a5fc7fe527275d984fc9c5d58451b43d393fa1969de528a4434f5a54a0816134</t>
  </si>
  <si>
    <t>201438E01002</t>
  </si>
  <si>
    <t>d2b7605362d51b6e4722d1b02615c0317aa708d7fe368ff45d2d4103e1833e80</t>
  </si>
  <si>
    <t>201439B01002</t>
  </si>
  <si>
    <t>14dbf42a75a2cce022234af2bddbf4cf162d71c4bf675fd3173ebda5ddb17143</t>
  </si>
  <si>
    <t>201496B01002</t>
  </si>
  <si>
    <t>d4fe80b31a3046df78d846c319d8cffaf40a8d9ec5f1b91bd0ebcec837134409</t>
  </si>
  <si>
    <t>201497B01002</t>
  </si>
  <si>
    <t>1fb761e4426ebdf572f6758797b9b85826727a92c0f527c030c554bb0c38602a</t>
  </si>
  <si>
    <t>201512B01002</t>
  </si>
  <si>
    <t>d57f5119d25c1db0218fc9a1ae3679b0d349a7958a2c33b15cd54bf82621f7a4</t>
  </si>
  <si>
    <t>201613B01002</t>
  </si>
  <si>
    <t>dacb7e8a84e6b391d93646b4ad215126cbed2024d6760ce097ff0187aa3120a4</t>
  </si>
  <si>
    <t>201613C01002</t>
  </si>
  <si>
    <t>c0a61bc44397259159eb05954c5317a5f509ea4a43fa2dcf406f40dacfc791df</t>
  </si>
  <si>
    <t>201677B01002</t>
  </si>
  <si>
    <t>a7711e6b98ef8badd285b5a53662cadbaae7ee42633447817f145da1ed9dbf87</t>
  </si>
  <si>
    <t>201677E01002</t>
  </si>
  <si>
    <t>d76d98a45606b6b20b69f572720977899d1639a4a2ddfc58f8fa08a3affbdd78</t>
  </si>
  <si>
    <t>201678B01002</t>
  </si>
  <si>
    <t>dab8ed8ca0c5b1c3f3dfd7bfcf16fcceab0f39ed9702fb629733b57e43611cdb</t>
  </si>
  <si>
    <t>201679B01002</t>
  </si>
  <si>
    <t>f13b36e76cc1d3399829a94feda73e40987b46067eceded1267cec03215d2736</t>
  </si>
  <si>
    <t>201680B01002</t>
  </si>
  <si>
    <t>1026e33b4e9d558709a597e8036f031ea1b79f809adce5241599a92e0ef65f33</t>
  </si>
  <si>
    <t>201681B01002</t>
  </si>
  <si>
    <t>965b1eb3ee1eb950e7cb77d5621bbe97930d5f7a0eacd43c358cc54599a46874</t>
  </si>
  <si>
    <t>201682B01002</t>
  </si>
  <si>
    <t>5b970cb29b11096be4020db9429be915cb741c459c60f502f56c91ffa92c3ea5</t>
  </si>
  <si>
    <t>201682E01002</t>
  </si>
  <si>
    <t>42e348e0f156b956c0c8f19c582e1c16c63d9f64af8b5e9559f662c8f5398396</t>
  </si>
  <si>
    <t>201702B01002</t>
  </si>
  <si>
    <t>f703a6295327428221563eb72ac1902cd4b4c1dc4eaa5d9769b0db287b98a45c</t>
  </si>
  <si>
    <t>201702C01002</t>
  </si>
  <si>
    <t>b9143a08bd0bf6e1131f34d443a13d1b441100d26984576a5583d3e8a5de2002</t>
  </si>
  <si>
    <t>201702E01002</t>
  </si>
  <si>
    <t>a8fe8da300a5b92f98c566967669930071eccdca7e61e512ad17036b90ba582a</t>
  </si>
  <si>
    <t>201702E02002</t>
  </si>
  <si>
    <t>07021a08969e87f0e8933500dc50887398fdd7ca16636c47bc905ebddc7bbac1</t>
  </si>
  <si>
    <t>201707B01002</t>
  </si>
  <si>
    <t>471353ce7f02e21ca9c67c7f01f40cdb0d87583f6744c0123b4c545958b23ee4</t>
  </si>
  <si>
    <t>201707E01002</t>
  </si>
  <si>
    <t>09b68d6b8e7cca597f04a6cb4426b62577d019de56feb02dae3679649e891b2e</t>
  </si>
  <si>
    <t>201708B01002</t>
  </si>
  <si>
    <t>198bf9b326ee0e294d91b49110c8aea1f037e1145db3481d02c01ad46f6ebb40</t>
  </si>
  <si>
    <t>201708E01002</t>
  </si>
  <si>
    <t>190c9af573d88faff3c66bb7b1b69fba0dd984872a7a220a1a4e10846c94b82b</t>
  </si>
  <si>
    <t>201771B01002</t>
  </si>
  <si>
    <t>b4f5cd35f2f61a95e88df5e61de7009303f6f63f1c440a8e61c805a3fcd27ce2</t>
  </si>
  <si>
    <t>201772B01002</t>
  </si>
  <si>
    <t>166cb20598d70a23eeda5d818fc4dad8cc44fd39618be90b5a1d518827ba7e18</t>
  </si>
  <si>
    <t>201773B01002</t>
  </si>
  <si>
    <t>966314a9a10202549ec32296ce6f3110d40a48a122c39bea27d3b9738eb2b234</t>
  </si>
  <si>
    <t>201773E01002</t>
  </si>
  <si>
    <t>6258fd6fb472ff9decf6523630b971999ba0ec3019ca001d0926f3a898a13aa0</t>
  </si>
  <si>
    <t>201774B01002</t>
  </si>
  <si>
    <t>a0b2c05d25e303019f863a1f59a1ce3561616f723f0f387113753aa468eaf27d</t>
  </si>
  <si>
    <t>201774C01002</t>
  </si>
  <si>
    <t>aa8b15b0e0b8617024961820983337a2c092729b5b1e328fa1e679e5a8be6fcd</t>
  </si>
  <si>
    <t>201775B01002</t>
  </si>
  <si>
    <t>b1ce84977c677354d5475e2f4357f310bce506a47515e6e2a922bd6596235786</t>
  </si>
  <si>
    <t>201775C01002</t>
  </si>
  <si>
    <t>0b6e69a8d7030d9c3c65873ff9e8bb8efd66c2ee52a6df051ff165f55b5d0eec</t>
  </si>
  <si>
    <t>201828B01002</t>
  </si>
  <si>
    <t>c6cdca89d931513a80505f4fdb5acec8972e9ee6b2764b9ada244afdc616bb46</t>
  </si>
  <si>
    <t>201880B01002</t>
  </si>
  <si>
    <t>e1557beb30664b4c1cb6dafb0ed2cc7a0cfaf1d55df905552071e9a86b5955a2</t>
  </si>
  <si>
    <t>201881B01002</t>
  </si>
  <si>
    <t>40de93f602a88b00bc08fcb4718bcd346eb4474cb4578e3e8ea1ca808a91b78e</t>
  </si>
  <si>
    <t>201881E01002</t>
  </si>
  <si>
    <t>1e6b76da4f9d056a3a47f2aabeeb001c286969fd955b6e8cd2295b0fa5ff5539</t>
  </si>
  <si>
    <t>201905B01002</t>
  </si>
  <si>
    <t>a1ec007aaaee4f8d141685cd563b601791e3006f77e425e7ba648899e43be505</t>
  </si>
  <si>
    <t>201935B01002</t>
  </si>
  <si>
    <t>2902b0c09d02f5e71a3560c8ef7efaabe9cabaf2059d1fc88fbb0ab7eadba796</t>
  </si>
  <si>
    <t>201936B01002</t>
  </si>
  <si>
    <t>ec556d232d81d459031bed523d4420b1031ad9d7cfd4871ca140113e915bc2fd</t>
  </si>
  <si>
    <t>201936E01002</t>
  </si>
  <si>
    <t>b1cbc1475930127aba4b967f48517ce91f6d59ad367dcd2e6ea9f62c31b785eb</t>
  </si>
  <si>
    <t>201936E02002</t>
  </si>
  <si>
    <t>f9b03fcea95f6ae1f36d303a97e9afd8cabeb42e80e3dd0150f555fc05e662a4</t>
  </si>
  <si>
    <t>201937B01002</t>
  </si>
  <si>
    <t>13aa6feddc82f0b8b7c9ab6350b87a28393c5acab3b867276eeb30da37c1fe2d</t>
  </si>
  <si>
    <t>201937E01002</t>
  </si>
  <si>
    <t>071dfcb8574a74e0bcc0202cbd5be05fc65a6cf42ec40218fdcac265946a16d8</t>
  </si>
  <si>
    <t>201938B01002</t>
  </si>
  <si>
    <t>0de525f493dbebe3f274aa2de4ce6d557054e9adbe2337695b805867302e66ad</t>
  </si>
  <si>
    <t>201938C01002</t>
  </si>
  <si>
    <t>0864cf45e82a2fca08833680a14dab6c5113f6cb1a982d5d0d5b816cc52723d9</t>
  </si>
  <si>
    <t>201938E01002</t>
  </si>
  <si>
    <t>400a14dc5e49e43d7c0e95eb4976d5f5e3b5f4e6cb44ba7d6240cf45db7c23aa</t>
  </si>
  <si>
    <t>201939B01002</t>
  </si>
  <si>
    <t>a17dc7e8e1ebe43374f73a1648c082dde107a67590e26458b369fec68a461a6a</t>
  </si>
  <si>
    <t>201939C01002</t>
  </si>
  <si>
    <t>94e750bc55b2c62b044df629df9ccd0dab1a71efafb92a085aa36ee5608c3119</t>
  </si>
  <si>
    <t>202084B01002</t>
  </si>
  <si>
    <t>e0c67b1dc9acdc44c11f1881755413e3086e879d05d0b9217a30119757169ad2</t>
  </si>
  <si>
    <t>202085B01002</t>
  </si>
  <si>
    <t>069358b1a42216ef3191f47c4ef9b0519c33e0df09c93b4348b0f83cb1a195ae</t>
  </si>
  <si>
    <t>202086B01002</t>
  </si>
  <si>
    <t>a4c9325dc445e442b9fbcbb22ff7199039579af20375faf02dbbebfcf7c7fb0f</t>
  </si>
  <si>
    <t>202087B01002</t>
  </si>
  <si>
    <t>f54f4457bc2af84af1e1c123defa16ad338ed722559467ccb579ea622947549f</t>
  </si>
  <si>
    <t>202087C01002</t>
  </si>
  <si>
    <t>1fd6af7268ed2a5c63984d3f0fe49848023cee9f821c67a03691ef9c9f9c880e</t>
  </si>
  <si>
    <t>202156B01002</t>
  </si>
  <si>
    <t>8f05ee83b2fe737a04156fb2a05e17a62ce9476a7ae8cf9f8d936da5aff54a66</t>
  </si>
  <si>
    <t>202156C01002</t>
  </si>
  <si>
    <t>6b4c817fe150b9ae7bddbc524b16233426775e6848c2e44d7c0d5a9216c72be5</t>
  </si>
  <si>
    <t>202157B01002</t>
  </si>
  <si>
    <t>729bd43ffdc8bee387061b1cd4fdce3ec5a79ee650113b76588d68d27c60c865</t>
  </si>
  <si>
    <t>202157C01002</t>
  </si>
  <si>
    <t>e2385384d182b4469fe02605e0be9ed27e8f68eafff8a11505a957b6ae97a6fe</t>
  </si>
  <si>
    <t>202158B01002</t>
  </si>
  <si>
    <t>5ddf243997035ddf6a32eb4dfc2b2180939a902a986945fe6dcbf3344d5455de</t>
  </si>
  <si>
    <t>202158C01002</t>
  </si>
  <si>
    <t>41d88cf8a7219a122429938a0f59e047fbb416c75c22f07b4d2ea454920279d9</t>
  </si>
  <si>
    <t>202159B01002</t>
  </si>
  <si>
    <t>3a72d8534f2da2b205da77377c2fe5f56c968cf57efff99c9a75931e9798fa9d</t>
  </si>
  <si>
    <t>202159E01002</t>
  </si>
  <si>
    <t>164e3d54ddd0254fa02914bec7bde79e4c16bb526d3220deafb85f25f4660205</t>
  </si>
  <si>
    <t>202160B01002</t>
  </si>
  <si>
    <t>13cd43f2bdaa1fd452ccc2faf812956f1230d714011ce22322d9926c1c0bbbe5</t>
  </si>
  <si>
    <t>202160E01002</t>
  </si>
  <si>
    <t>c614cbdfbc4f7a1a6599f3d423f8361eb3229cf3a49752d7c03afffbbf38c036</t>
  </si>
  <si>
    <t>202161B01002</t>
  </si>
  <si>
    <t>40efbd264380a4becbfef0e03d24880b840c492e60a1597dd8200d6c48271e63</t>
  </si>
  <si>
    <t>202162B01002</t>
  </si>
  <si>
    <t>91125735664bd77aced93fe67492cc01dab30e6db2a778d02c11faeaa101c1bd</t>
  </si>
  <si>
    <t>202162E01002</t>
  </si>
  <si>
    <t>196ff0465b03a91fe8e5d367b5b23971ee02ff07f95ecbab19b1b9bc1fc593a1</t>
  </si>
  <si>
    <t>202163B01002</t>
  </si>
  <si>
    <t>743166de96e7d89e89541e67a14262a8d777b1049951dc25a28726bc8be1fe6e</t>
  </si>
  <si>
    <t>202164B01002</t>
  </si>
  <si>
    <t>e68b4f813dbe87f1971a5e889408412386a0ef15b48c8ec5ebff5c692fc4610a</t>
  </si>
  <si>
    <t>202164E01002</t>
  </si>
  <si>
    <t>967c65499e4511c20b08f8ea7b19703e9550d63073312a8a216d6c348c415047</t>
  </si>
  <si>
    <t>202164E02002</t>
  </si>
  <si>
    <t>6fb0fe0fb647cb3e54395fa17a9e7ea29dd6ac2bfb633f0e2436d3fa4cb7d121</t>
  </si>
  <si>
    <t>202185B01002</t>
  </si>
  <si>
    <t>abe43c5b60fd34d7025178c47829ed7e4a85761dce393717c9b6d78fba247196</t>
  </si>
  <si>
    <t>202262B01002</t>
  </si>
  <si>
    <t>66ed19bd8e649482bf75a8633033617ad67f7ca1f237e56f4677ad7e87f89576</t>
  </si>
  <si>
    <t>202262E01002</t>
  </si>
  <si>
    <t>2e9549550fcc210f9739ff131c32706eb9a278f0ae0334f4a1f6e4f35d4b55ee</t>
  </si>
  <si>
    <t>202263B01002</t>
  </si>
  <si>
    <t>ab903065568ca8d879613fd9f3bae0ab1f4933b6da3ed90c0b1f7dce3af91189</t>
  </si>
  <si>
    <t>202263E01002</t>
  </si>
  <si>
    <t>08109d2595a7a0b56f447bc2d7372f383df3d1f984095547188982c96a742d9d</t>
  </si>
  <si>
    <t>202273B01002</t>
  </si>
  <si>
    <t>9f8792a9f78be086a4b015caf403a24c3df98db2e21aac874e9ab7c4e2c80143</t>
  </si>
  <si>
    <t>202273C01002</t>
  </si>
  <si>
    <t>a6005f83d83da65ea9d82d5e5c6ad72dfd5ac63e772b60fb109831c8bf65bb00</t>
  </si>
  <si>
    <t>202339B01002</t>
  </si>
  <si>
    <t>810fda59d85f6a8fe35a97dab5d7c6d6435f09c5baf838352dbb4c6fc158d633</t>
  </si>
  <si>
    <t>202339C01002</t>
  </si>
  <si>
    <t>11af79b12de7d1264e74551d89954eb127847ff4589d47f790269da79b0faba3</t>
  </si>
  <si>
    <t>202340B01002</t>
  </si>
  <si>
    <t>991c9904aaac0783d73647ff150d8fce72267752400573b1f3a1d3dfce5c41e0</t>
  </si>
  <si>
    <t>202341B01002</t>
  </si>
  <si>
    <t>e70e38f3d8c4d87083052d10c92f0e709be5bf7dbb8f9c3de5a624198fd19915</t>
  </si>
  <si>
    <t>202341C01002</t>
  </si>
  <si>
    <t>e45bf1057430c0453bcaddc4ac4c117153ece8fc1759f3859902b0c12de9312d</t>
  </si>
  <si>
    <t>202342B01002</t>
  </si>
  <si>
    <t>baa865d3548bcae3a8226c2cb1a413b8e5c8684c8d9c011d8cb2394ef75da65a</t>
  </si>
  <si>
    <t>202343B01002</t>
  </si>
  <si>
    <t>ffe6722d724808c7dd34c8e0988389ea02a7ce364a46ce0f079056b64a265dbf</t>
  </si>
  <si>
    <t>202343E01002</t>
  </si>
  <si>
    <t>090e90d2c52a3f6cd7b12d8cd46791a125012400b13bde2bde83d2c5c0b1f8cb</t>
  </si>
  <si>
    <t>202344B01002</t>
  </si>
  <si>
    <t>5b2ab07e28d605c83895f0696b635acd6dca667d7aa11524a2c89dd23e89e9d2</t>
  </si>
  <si>
    <t>202345B01002</t>
  </si>
  <si>
    <t>e0bd83f365c42a9a180ed7d1da6564723f1360b51aaec986ec1aa96e599b7f71</t>
  </si>
  <si>
    <t>202345C01002</t>
  </si>
  <si>
    <t>bc2b5fcc43b9db374c44c5cc479f88f42b93fde415b73e4cd8b4dd0ffd29eb80</t>
  </si>
  <si>
    <t>202346B01002</t>
  </si>
  <si>
    <t>df30fd55da31160a5d6ee946db551968716263655c434f91b729f2dacaddc713</t>
  </si>
  <si>
    <t>202346C01002</t>
  </si>
  <si>
    <t>7b9ab7f3d937879f6d55bc45e7e40d5a9c0cdb0c975f14bd763a37db7a594d97</t>
  </si>
  <si>
    <t>202346C02002</t>
  </si>
  <si>
    <t>0cc3b8dfd6a3d7f525d202520cb1900d9d46b86c46a20ade05565ec85a4a1f93</t>
  </si>
  <si>
    <t>202347B01002</t>
  </si>
  <si>
    <t>27f07e835b19f9049d2b0a5bad3ba3270583cec7ac4ec74f9d37bb41401ac609</t>
  </si>
  <si>
    <t>202348B01002</t>
  </si>
  <si>
    <t>6e3d74fcb95bf5076b1f54ebf69e1c1a764896c8624792a574bee10c5d07195f</t>
  </si>
  <si>
    <t>202349B01002</t>
  </si>
  <si>
    <t>e01ebf9c154cd3e12fb61ee7a28f13ec414c92460bc385a1bed5e0b4ad903c60</t>
  </si>
  <si>
    <t>202350B01002</t>
  </si>
  <si>
    <t>a0df7f6b936ff30fee3d9a4fa615d6a11300e85495046754443c36580b96f541</t>
  </si>
  <si>
    <t>202351B01002</t>
  </si>
  <si>
    <t>79dd98767917a0280cbc857adc7ffa6e129a6edf5de02c9bcb3c38b92f983ad6</t>
  </si>
  <si>
    <t>202367B01002</t>
  </si>
  <si>
    <t>74696d375ff1d3b4591dd4cd8f3fda6d4e940f1499a20302b970319c634cc3a0</t>
  </si>
  <si>
    <t>202367C01002</t>
  </si>
  <si>
    <t>246565802524b1035a86b1b3584eb6d9eeaff5c86dcf32702f9ed135e1e7ce8f</t>
  </si>
  <si>
    <t>202367C02002</t>
  </si>
  <si>
    <t>18f74b05f40ebd76ddd2aa64287564b3b730a7ae288ba079336433c610fe9d4d</t>
  </si>
  <si>
    <t>202367C03002</t>
  </si>
  <si>
    <t>c7c089cfb814dfbfef4ed14a94521584eb27d34c1634c07a0f4a5f181ad4fa37</t>
  </si>
  <si>
    <t>202367C04002</t>
  </si>
  <si>
    <t>89a85b71cc8360394e6af2cccd5aad1a19438cdba0508da222b1580474d04d79</t>
  </si>
  <si>
    <t>202367E01002</t>
  </si>
  <si>
    <t>6399eabb8d318eb39a84647e9bc398e3abbf245176a196e75d2222fc937b32ff</t>
  </si>
  <si>
    <t>202368B01002</t>
  </si>
  <si>
    <t>40b48519dfcc96c32c591b156db787e21c0ad9576f58d39c78b1e48e91da3adc</t>
  </si>
  <si>
    <t>202368C01002</t>
  </si>
  <si>
    <t>1026b0228e8b7c90c5bfffd159faa73fa890ef7fc6b072ba8f22c88a539aaa8c</t>
  </si>
  <si>
    <t>202368C02002</t>
  </si>
  <si>
    <t>cf7ad47c9b15ecf8a9b4946e3fbb42bb5d6a6d9e33d5931953930e76e046cca4</t>
  </si>
  <si>
    <t>202368S01003</t>
  </si>
  <si>
    <t>61b2236ecfdbe621b6de3d5ccdb9039d19f99ca978d09ba7f9c2084384893ccb</t>
  </si>
  <si>
    <t>202368S02003</t>
  </si>
  <si>
    <t>53817fc94be7f12f28762ff2dc0ca9c1af953f2c72a2362339914a9039ca8cda</t>
  </si>
  <si>
    <t>202369B01002</t>
  </si>
  <si>
    <t>a474639fc45629624548388ca730ab49ac2c1d8cfbb28300b590073461ea3c23</t>
  </si>
  <si>
    <t>202369C01002</t>
  </si>
  <si>
    <t>f2d1bed3a975a6cdf1ccf3e882d4d4a00bf721348a3b41dd16a5364a23a2b75b</t>
  </si>
  <si>
    <t>202370B01002</t>
  </si>
  <si>
    <t>ed313085b4e53135d724ef6437f41c6952450d96f2fca0e441d9b4b17dd9159a</t>
  </si>
  <si>
    <t>202370C01002</t>
  </si>
  <si>
    <t>0a0f77b8ca2a0395b51c8e288f84dffd32f08e1708735b4d6c13b2b4355c93ae</t>
  </si>
  <si>
    <t>202371B01002</t>
  </si>
  <si>
    <t>a2690d090f0fbf2adf10201534e0b1d9764e67aba1845559059b4233e191d513</t>
  </si>
  <si>
    <t>202371C01002</t>
  </si>
  <si>
    <t>73fc53a8ea2d55f9e368a1907b665ba51e1542c7df60ae4ae82e6290098450ae</t>
  </si>
  <si>
    <t>202371C02002</t>
  </si>
  <si>
    <t>68735dfc2c253fe0e17c972d965b4b837ca409f77be3fd79bfee1f17c396b5d2</t>
  </si>
  <si>
    <t>202372B01002</t>
  </si>
  <si>
    <t>bd7121ad51fe976c9967ab9c967f702d209be601a07bb975d2a33eb5fe29de68</t>
  </si>
  <si>
    <t>202372C01002</t>
  </si>
  <si>
    <t>3b74a113794480d9c9fb883e057063a629120faa3eb64f0b9fb9ab0d208d1429</t>
  </si>
  <si>
    <t>202373B01002</t>
  </si>
  <si>
    <t>c091925da2c3fd9365eec70dbf29743f584fa4472dfbab132800ff40eb07ecf6</t>
  </si>
  <si>
    <t>202373C01002</t>
  </si>
  <si>
    <t>78b1c908cd33822cd1e429c9af4d61d784809181c2f0c39e23f1811af5b4357a</t>
  </si>
  <si>
    <t>202373C02002</t>
  </si>
  <si>
    <t>fab6622f49a2ddf352608364d52cf1bfd744d794188fffcd0170cd33295758a0</t>
  </si>
  <si>
    <t>202373C03002</t>
  </si>
  <si>
    <t>d7ac6f800f60ee87bcf1fe009a367b4df8f55f39acaf22cb583f232a3933ec78</t>
  </si>
  <si>
    <t>202373C04002</t>
  </si>
  <si>
    <t>a87070c27b038a39dd855ffe180bfcd3c072fb91ef88bb4061d27088064ab5b7</t>
  </si>
  <si>
    <t>202373E01002</t>
  </si>
  <si>
    <t>30e497b68fd018e29615d0160d0e6519b285b3c16d4afbb0d2a2f677ee58bed9</t>
  </si>
  <si>
    <t>202374B01002</t>
  </si>
  <si>
    <t>cc70a8aa7c7d54ca1cd90b7c38112382c4ef94df010e85627af76755b7034715</t>
  </si>
  <si>
    <t>202374C01002</t>
  </si>
  <si>
    <t>b51bc52d439116979897fa376dc47c1ef6f6e59d7ef7e6a1d26ffe9379b480b3</t>
  </si>
  <si>
    <t>202374C02002</t>
  </si>
  <si>
    <t>b3449e20a6d629d801efe63ccb8fa201d4ce02b82882f7f91031144e1efe1044</t>
  </si>
  <si>
    <t>202374C03002</t>
  </si>
  <si>
    <t>8e64fdefb31956bc41b45fcf40c48a4682d3587ad79f723d1b6ac7ca544e0f7c</t>
  </si>
  <si>
    <t>202375B01002</t>
  </si>
  <si>
    <t>6d1597bd02638b2e220520906119c2d18d8302fbd6b33b7253f14360e1164237</t>
  </si>
  <si>
    <t>202375C01002</t>
  </si>
  <si>
    <t>b55483e612d922443f069f6a02cdfc91c282040850a3fbc08f667bac722ae2a1</t>
  </si>
  <si>
    <t>202375C02002</t>
  </si>
  <si>
    <t>540ca7f6232876c5a35d82a49623bcc8a7b51fcec11eff9cbfa623c02873cabe</t>
  </si>
  <si>
    <t>202375C03002</t>
  </si>
  <si>
    <t>d1b06fe7a34246a362b134c4f38ac451abf4f9d4ea8fb4b55db40566d7685582</t>
  </si>
  <si>
    <t>202376B01002</t>
  </si>
  <si>
    <t>5bd522d622855d26119880b054dd2c8fdfd215bea126abf4fd5ae4f3d32a0fc6</t>
  </si>
  <si>
    <t>202376C01002</t>
  </si>
  <si>
    <t>febcb540969181ff03cb25cbd124336119cd21c0f2967405cebe74e96d8ddb59</t>
  </si>
  <si>
    <t>202376E01002</t>
  </si>
  <si>
    <t>cb18db6654ccfe369e45491899a7ea727a5b5b13520b8534806ad5d456417697</t>
  </si>
  <si>
    <t>202377B01002</t>
  </si>
  <si>
    <t>878433c7f295dca8cb3d16f3a8ef999c6ccd4d78824dc9bbdd3c896cf42572aa</t>
  </si>
  <si>
    <t>202378B01002</t>
  </si>
  <si>
    <t>93d574244b011966474f4116fe9bf19047987916717bffdaac8af855c270de07</t>
  </si>
  <si>
    <t>202379B01002</t>
  </si>
  <si>
    <t>5a7c9c85736fb12443e4aacc3f991e0d07990c42fbd0b9167151260e59f0afab</t>
  </si>
  <si>
    <t>202379E01002</t>
  </si>
  <si>
    <t>66b8438ccd21d4b850d213a1a52b421775e8117a948ae40fca96b545bbcf7356</t>
  </si>
  <si>
    <t>202380B01002</t>
  </si>
  <si>
    <t>ce15b09ee3c15987dffd085e12ac356fe2d51f6b6d7125cdc99536c525700b63</t>
  </si>
  <si>
    <t>202380E01002</t>
  </si>
  <si>
    <t>de06b2b1cb8e3899d6125fe6bbd7837dcdfc6f2c5e30f3bc6008d39a69bc320c</t>
  </si>
  <si>
    <t>202381B01002</t>
  </si>
  <si>
    <t>ba1765c933f2be094f5c9db449df3cdaf50177a640a1de5ef4af2358df5586b8</t>
  </si>
  <si>
    <t>202381C01002</t>
  </si>
  <si>
    <t>58725c28432041a06478e288f3c93708e69bcebc401fe608e97973c77e2f979a</t>
  </si>
  <si>
    <t>202382B01002</t>
  </si>
  <si>
    <t>fa199919df44663251df16fee9860d7f020a2d2e14477c9191f31493f6baddf8</t>
  </si>
  <si>
    <t>202382C01002</t>
  </si>
  <si>
    <t>25e9f66f73a58f11aee59795b0e37b0e493b1432e141e9b4c0292426da5e0188</t>
  </si>
  <si>
    <t>202382E01002</t>
  </si>
  <si>
    <t>bcb267c0992a426b66db79e133613b6eb8477783f32241abbf30dc7368f1c875</t>
  </si>
  <si>
    <t>202382E02002</t>
  </si>
  <si>
    <t>bfe3262d491e557a63b4f9a94eb32b9898274c9bb31711d42eb56f90146003d7</t>
  </si>
  <si>
    <t>202383B01002</t>
  </si>
  <si>
    <t>572a5e72b25d61c6b4881c1d4492f0ef31e6c6eb3cb8f1ac0531b5d932f0ba61</t>
  </si>
  <si>
    <t>202383C01002</t>
  </si>
  <si>
    <t>29ecf07b67e67ccd15938c46ddf9e015034e945fc15319659b9bfb326dd223aa</t>
  </si>
  <si>
    <t>202384B01002</t>
  </si>
  <si>
    <t>9d4fdb20289d2f156662566eb1efc19467a94f6793fbb02ff47ce856ed97cc93</t>
  </si>
  <si>
    <t>202385B01002</t>
  </si>
  <si>
    <t>ab6f775aaf9dbcb8aa520d442b77e36d812582986803adde7432d1801625af14</t>
  </si>
  <si>
    <t>202452B01002</t>
  </si>
  <si>
    <t>809b2ace790b633cc6d3c5a233055ed755bd0fc80ec7cb342a4e5da3393d3ac6</t>
  </si>
  <si>
    <t>200001B01002</t>
  </si>
  <si>
    <t>IXTLAN DE JUAREZ</t>
  </si>
  <si>
    <t>227a3825afabd806b5b5b50868eecaaff90c970ec6e8f5e61e10375dc6f7b4c1</t>
  </si>
  <si>
    <t>200001C01002</t>
  </si>
  <si>
    <t>f4c0c36d2eab725d298373dff0e28c69100f36d40c0f1a40f2ea1b12c6bb96ad</t>
  </si>
  <si>
    <t>200193B01002</t>
  </si>
  <si>
    <t>9a696e64f98ad20591966b60a8cbca4cbcf2cd5ce34b8e22cf7738d132a7644c</t>
  </si>
  <si>
    <t>200276B01002</t>
  </si>
  <si>
    <t>e1b4101cd70d961a7c57589a650268d687dff464f5796975e8d0d562629705fe</t>
  </si>
  <si>
    <t>200276C01002</t>
  </si>
  <si>
    <t>30bbb47edbe8df31988213cdc5f5c8446b7249d590fc760e0f4781cdc0f3eae5</t>
  </si>
  <si>
    <t>200276S01003</t>
  </si>
  <si>
    <t>027fc288194ff1e3d4c345b8d4e40a6ad193146e25a1af0fbb96cee01371df40</t>
  </si>
  <si>
    <t>200277B01002</t>
  </si>
  <si>
    <t>6d67cd186337cecf2f06112311eedbd071f5ba83d342f7af0aa1d3ca60b3a59e</t>
  </si>
  <si>
    <t>200277C01002</t>
  </si>
  <si>
    <t>cc1cb7791364c90910103c5b575ab9a800c873be50710ed0dc7004bd64bd74ef</t>
  </si>
  <si>
    <t>200278B01002</t>
  </si>
  <si>
    <t>fa1063badcbf786e6abad307fa8354aa764684d424aae9121564c65bb7f90530</t>
  </si>
  <si>
    <t>200278E01002</t>
  </si>
  <si>
    <t>8dbaca30fe837639dd11c5009018297ec83dcf4d78a27068bcab4b723f812c05</t>
  </si>
  <si>
    <t>200279B01002</t>
  </si>
  <si>
    <t>899ea44ab9c1344d1b1e75889d05cee42c6de805f5ac0fe068666ceb04bda17b</t>
  </si>
  <si>
    <t>200279E01002</t>
  </si>
  <si>
    <t>3c266acb38a88724e36d02d7327a9787ddd6cb4cd679554b99427dd4e401635d</t>
  </si>
  <si>
    <t>200280B01002</t>
  </si>
  <si>
    <t>ccf0f47be278189c2480eec84b6712dc2c133a88fe6487dc05e2de848c862126</t>
  </si>
  <si>
    <t>200281B01002</t>
  </si>
  <si>
    <t>3deb56ec6ca067de4132b02dc119b434d8f6fe9c1a58dee4b6746544adedcb99</t>
  </si>
  <si>
    <t>200282B01002</t>
  </si>
  <si>
    <t>40aa6c13d24f826b9f727b3f0179181fe72d32a66e2cdee0df257a946e3fcbe3</t>
  </si>
  <si>
    <t>200282E01002</t>
  </si>
  <si>
    <t>65719727a68b17f7e9ac0dee94a2a3cd2fbd79c7b137d12c3c5577bf8a0d6500</t>
  </si>
  <si>
    <t>200365B01002</t>
  </si>
  <si>
    <t>a1873ab31538152706ad46ce94135496f9a9931788b791a6b505ef23eb5da7a3</t>
  </si>
  <si>
    <t>200365C01002</t>
  </si>
  <si>
    <t>10dcb255846a87ff9172bc58cb81fde6d19dfd451d88c8e66b179ff6e16715d2</t>
  </si>
  <si>
    <t>200366B01002</t>
  </si>
  <si>
    <t>f8016dd562e56602ca8716228adf7de57e052eed2007cec4b30f4ce0eb4af5ef</t>
  </si>
  <si>
    <t>200366C01002</t>
  </si>
  <si>
    <t>a8607ea9121b50624d11dadabf60d171bd26228c009cf2b279022f888340063f</t>
  </si>
  <si>
    <t>200366C02002</t>
  </si>
  <si>
    <t>afbc5131c41c72567b2c03d9c20813f0c79b325aede4447c9c2295098da5d1ff</t>
  </si>
  <si>
    <t>200366C03002</t>
  </si>
  <si>
    <t>5777bb2ba271e975080f8e46c632314a4fe3398a511b1d3f557826b4bcf892eb</t>
  </si>
  <si>
    <t>200367B01002</t>
  </si>
  <si>
    <t>66c6165f26f713de68e547ae6d82450d462da722db6d495e0c24c620727ffa9d</t>
  </si>
  <si>
    <t>200368B01002</t>
  </si>
  <si>
    <t>6a5b1c17aa8de151d2f9f61079b70c82aea38e25aa8e3128e704d2427a8d36fc</t>
  </si>
  <si>
    <t>200458B01002</t>
  </si>
  <si>
    <t>f77a142bbcec29a97c0cb2a2e09772e77340b4e8cea4628a8808f0dba69dff35</t>
  </si>
  <si>
    <t>200469B01002</t>
  </si>
  <si>
    <t>d63d3f0511a1ca4d0f2a25f46363beaa0cce10b715e0dd5e349a15bc35b95c6c</t>
  </si>
  <si>
    <t>200469C01002</t>
  </si>
  <si>
    <t>1ba90f00c78f8f4dea68b2673eab6a3671d8b88b37b17f87b183dcc8808ff85b</t>
  </si>
  <si>
    <t>200469E01002</t>
  </si>
  <si>
    <t>892a176ef3f59549f2cfbdc8856ce1f098d226b51b01e724f15a19c4608ecb6f</t>
  </si>
  <si>
    <t>200666B01002</t>
  </si>
  <si>
    <t>0ce24c1852d34dd625bfdd7235afcc7317205d14d4350b97cf31c51560e3a99e</t>
  </si>
  <si>
    <t>200666C01002</t>
  </si>
  <si>
    <t>9c564c5589a7ded602a0ec6441b89d1b89800e09b640429696c18f83111dba63</t>
  </si>
  <si>
    <t>200666C02002</t>
  </si>
  <si>
    <t>b1c2a8720c665d8a6eb1b605ae07cf9c6ec4fee99a1630011e8e8fe491c1b363</t>
  </si>
  <si>
    <t>200667B01002</t>
  </si>
  <si>
    <t>17ef3725d9ae6114cd71416293bc40521b292aa48d82831d3f990e68f3f65718</t>
  </si>
  <si>
    <t>200667C01002</t>
  </si>
  <si>
    <t>936b970b7cba6b4705112b213f79b0f1f53729d52af3b46f71a53bc359345bd1</t>
  </si>
  <si>
    <t>200757B01002</t>
  </si>
  <si>
    <t>12cdd1dd618f26299ef22ceb9604c44a9d5d1d2412f7783c7c5c990b5ea885be</t>
  </si>
  <si>
    <t>200757E01002</t>
  </si>
  <si>
    <t>d07d33560f6c20758811cc38791560a3c7c64b6c73ec4c3e62e6a8f64f6d8615</t>
  </si>
  <si>
    <t>200758B01002</t>
  </si>
  <si>
    <t>e8a63a852c70037113be9e6a6ec94b16259e7c78757b239c4aac42bcebc29b8e</t>
  </si>
  <si>
    <t>200762B01002</t>
  </si>
  <si>
    <t>fb04407f017ea32d8ea9aaa6bb0dd30731a707223f3194ff77206aa299b6fe53</t>
  </si>
  <si>
    <t>200795B01002</t>
  </si>
  <si>
    <t>60c9ec18158687f874f610599afe3ec1ff01d355648173940386457fdce65979</t>
  </si>
  <si>
    <t>200796B01002</t>
  </si>
  <si>
    <t>e1e69f54a3e19d61580fe6ae0a8b23cecffdffef7d359955f44cdeb69728e404</t>
  </si>
  <si>
    <t>200797B01002</t>
  </si>
  <si>
    <t>7f511259c5b75326571ac360f0f251ff70a331ec636fbaa025625f83ebce2ba7</t>
  </si>
  <si>
    <t>200811B01002</t>
  </si>
  <si>
    <t>795471b120b0e13e83f0d629c6f3cf6bee7a3a51ad7b8f2b0a92a03c0195c104</t>
  </si>
  <si>
    <t>200836B01002</t>
  </si>
  <si>
    <t>33b01c712369466d2a6b03f07fbf72de72e6ae03bac7d7b967fdaaffb440a360</t>
  </si>
  <si>
    <t>200836C01002</t>
  </si>
  <si>
    <t>8a665c0e134e38da3d60720a1ecaf8b2ae7aef070400260af76b27a410f52a47</t>
  </si>
  <si>
    <t>200874B01002</t>
  </si>
  <si>
    <t>f0cb41ba179df0c56baabaf60db56ccdc7a454ae762f4782298da3f453feaf36</t>
  </si>
  <si>
    <t>200893B01002</t>
  </si>
  <si>
    <t>cc6a0ab079c00a08cf4b4960d4ee1cb2c05a5fefa324bc769aa689d5efcf8e47</t>
  </si>
  <si>
    <t>200893C01002</t>
  </si>
  <si>
    <t>68ea5f0cb5387b2fa2762ddef8d2c9a5f6a586c172066998f54054ae39eaa29c</t>
  </si>
  <si>
    <t>200893C02002</t>
  </si>
  <si>
    <t>da2cdef53ac055524c2bd650c1345cf406ef53d273ba62ef89c5f76d8902200c</t>
  </si>
  <si>
    <t>200893C03002</t>
  </si>
  <si>
    <t>3279ddd0e15d7aeaacbde2e85bdeda7ca84f4e3cc46c9ae3fdbcaf82c56fed13</t>
  </si>
  <si>
    <t>200914B01002</t>
  </si>
  <si>
    <t>954cd38a040701f321d236516601dca3974c8195e97b95b242b3a5ba025ad2e0</t>
  </si>
  <si>
    <t>200914C01002</t>
  </si>
  <si>
    <t>21a73c2b3b13f1bc745cd5f8b389b2dd6478548dce94aa799f77d0b8dac434c8</t>
  </si>
  <si>
    <t>200914E01002</t>
  </si>
  <si>
    <t>53995389f4c2cc87e6a2e79845a4f6bf64c791416b6f8013c0a731a498df1d13</t>
  </si>
  <si>
    <t>200914S01003</t>
  </si>
  <si>
    <t>47043e4398698db78916da88b210a0446a618d95f2d3d75a5d6dad1b9f1e6f99</t>
  </si>
  <si>
    <t>200915B01002</t>
  </si>
  <si>
    <t>658c1a544ce79aa217bf31bb1444fc7eee9144510e3b5320212858238f14cf0d</t>
  </si>
  <si>
    <t>200915E01002</t>
  </si>
  <si>
    <t>477f37f0f18597d8cc5e79237b42e53b111160906420a2edbae37be06e637fd8</t>
  </si>
  <si>
    <t>200916B01002</t>
  </si>
  <si>
    <t>fe7d457391eb9e5523fac74a560bb25b83e1ce5411ba6364126dd94518d1b53d</t>
  </si>
  <si>
    <t>200979B01002</t>
  </si>
  <si>
    <t>854b930cbfaec632e4b252550d70a5b7070e07e4526bf758f18868a23a1db10a</t>
  </si>
  <si>
    <t>200980B01002</t>
  </si>
  <si>
    <t>881b6d2b04f40f5a845ed1ac22d95884a57d592264541a5508b4b60bc45d302b</t>
  </si>
  <si>
    <t>200981B01002</t>
  </si>
  <si>
    <t>0a3ad29e3cd8376217894dcc7431fee6ecb74305b6ed39955a879245e931278c</t>
  </si>
  <si>
    <t>200981C01002</t>
  </si>
  <si>
    <t>926a8c8c57e055f04ced381f5057da42b4dde6315630ac58e3dfce324c34e029</t>
  </si>
  <si>
    <t>200999B01002</t>
  </si>
  <si>
    <t>f12d07c523ca9e10b86f013b58bbe7167e16694654042afbf8cbd5317892f9c4</t>
  </si>
  <si>
    <t>200999C01002</t>
  </si>
  <si>
    <t>3ea1370d2d0187d86df8975a8a165fcb318647d7bb078ee75a82a1d17d85e902</t>
  </si>
  <si>
    <t>201000B01002</t>
  </si>
  <si>
    <t>f11642cc854775dbfa202c87f0e2ae9e1dc9a55f3ca2f60ea0aeab20ce80cc3f</t>
  </si>
  <si>
    <t>201000C01002</t>
  </si>
  <si>
    <t>8791c3f450233996583dfba8633132aca1ec2be107be1f08d02928688cb14787</t>
  </si>
  <si>
    <t>201001B01002</t>
  </si>
  <si>
    <t>d407a6a0e4c28b941efb116832e9324765ea183dd562e629dad0ee944db6ba3f</t>
  </si>
  <si>
    <t>201001C01002</t>
  </si>
  <si>
    <t>8fae698f36d6b1c9954e4c803fd1ea0da9fcbe3c60b02a636d422c973208be0f</t>
  </si>
  <si>
    <t>201001C02002</t>
  </si>
  <si>
    <t>803e928934093e6248bac36db2125ea251b970fdffc3c21d8297ac3274bcc46f</t>
  </si>
  <si>
    <t>201001C03002</t>
  </si>
  <si>
    <t>1f7d442364f083bf2d930ea5498302a5175a8dff3ec42d91e1044b96ce76903d</t>
  </si>
  <si>
    <t>201084B01002</t>
  </si>
  <si>
    <t>21b2f0038ed00274b4ed895c08a65602be15893551fdaaad7da9a2ae90b2c814</t>
  </si>
  <si>
    <t>201084C01002</t>
  </si>
  <si>
    <t>9972629dade90a81f2ab2aa3a9a05d83a25b00ba10adba24e50d942696d17d8c</t>
  </si>
  <si>
    <t>201084C02002</t>
  </si>
  <si>
    <t>8995647379d555e90d707e97e41345a18298805e921cd4d791afb46317b86342</t>
  </si>
  <si>
    <t>201085B01002</t>
  </si>
  <si>
    <t>66c8c6721a4c915139c74eb64868196ba14ae8c9db3ee5b273c1cddda03b0681</t>
  </si>
  <si>
    <t>201085C01002</t>
  </si>
  <si>
    <t>7925991842bcf9fcd339833d55a052186f4b1b9117727694c67caf5db6aac83b</t>
  </si>
  <si>
    <t>201086B01002</t>
  </si>
  <si>
    <t>4a1082e657c46a9092cfa82b4c6cb301635916cacae49db49815799fcb41d289</t>
  </si>
  <si>
    <t>201086C01002</t>
  </si>
  <si>
    <t>f432083da15d2f564eeadf8b3dd4960c05b2c2f8bd95756f47a666ea434c6d2f</t>
  </si>
  <si>
    <t>201087B01002</t>
  </si>
  <si>
    <t>04b8aef025af077381dae4e69329637caa6eab18779a600f1e35e08d0cb94c16</t>
  </si>
  <si>
    <t>201087C01002</t>
  </si>
  <si>
    <t>91a82eb7aad569df077f85b8018dcd6429586c01c71b0a2ac0910aba4e5e81a8</t>
  </si>
  <si>
    <t>201087C02002</t>
  </si>
  <si>
    <t>edbfc5df3a146b163a8f7040f64aea70e96213601e6d8c4a907c338458df27f6</t>
  </si>
  <si>
    <t>201088B01002</t>
  </si>
  <si>
    <t>ecd5e3feb8dcf0743789c7c5618fc6870b23bc8e139c114197dbbc41a765e11e</t>
  </si>
  <si>
    <t>201088C01002</t>
  </si>
  <si>
    <t>326d97bb7fb1d908a7f8f0ccb64f3c3f3fa9ee804b36e71407b7012c17dd7abc</t>
  </si>
  <si>
    <t>201088E01002</t>
  </si>
  <si>
    <t>5c5649153f55e561a91efcd0c3a9c783baade36dc334e3593c2a5a12db1b4436</t>
  </si>
  <si>
    <t>201089B01002</t>
  </si>
  <si>
    <t>416f22e497d07835497655445960ac62e7dcbbaebc0f22ea49349cc862c814e0</t>
  </si>
  <si>
    <t>201089C01002</t>
  </si>
  <si>
    <t>d29d016036c86f7a33f84f6e5e2ce24c16c635806f723dbac18f64949d37a721</t>
  </si>
  <si>
    <t>201090B01002</t>
  </si>
  <si>
    <t>39007451e3136649db17cf6a40b01ee9af301356546da8967949da578fb3a164</t>
  </si>
  <si>
    <t>201090C01002</t>
  </si>
  <si>
    <t>1e41febd9577c340433dc6a6f8cdafb4d725e2fd6ad8ea9d0464c8a1c03a4249</t>
  </si>
  <si>
    <t>201090E01002</t>
  </si>
  <si>
    <t>7d60cace417cb2335fd459d6ab881b6a3dc74250c818a3a2e6eabe045216bdd0</t>
  </si>
  <si>
    <t>201091B01002</t>
  </si>
  <si>
    <t>9b7bfbe11629cf33e05bc673eaf286f6a8ced1dd9307bdf290b2852115958e8a</t>
  </si>
  <si>
    <t>201091C01002</t>
  </si>
  <si>
    <t>f853374e37f8cb601db4a93d81c384e3ae1e61b54ad84b3e061cca36afc8c9ca</t>
  </si>
  <si>
    <t>201091E01002</t>
  </si>
  <si>
    <t>e7b559b8d69bc201eb10ed8e62ba1da6227bb210d68813eb055a9b0ef8871001</t>
  </si>
  <si>
    <t>201092B01002</t>
  </si>
  <si>
    <t>fa420d35acc9b711cf11f436047eebc2516641e400b14b46f217970d5842d678</t>
  </si>
  <si>
    <t>201092E01002</t>
  </si>
  <si>
    <t>c103aefe30214e5c9b7e64381b2d8a4874504d136f323f62767fb21bf2be6403</t>
  </si>
  <si>
    <t>201093B01002</t>
  </si>
  <si>
    <t>853211f7e8f4e1d28e68eba2c385c609207b26efdd144c336eee376ab5f5970d</t>
  </si>
  <si>
    <t>201094B01002</t>
  </si>
  <si>
    <t>a31cdda82893aeb769d35e1c574b6cf318917c04a6a1121e993edb1db6513d89</t>
  </si>
  <si>
    <t>201094C01002</t>
  </si>
  <si>
    <t>9929c21bd7b92ca016176efd12ad70dcd603295fba8b523fad5d4a6076ccfc88</t>
  </si>
  <si>
    <t>201095B01002</t>
  </si>
  <si>
    <t>c45bfe40d2b4d3b706b2656ea401e6d9552dabc3dc1ba4df6dbe3391e0aeab72</t>
  </si>
  <si>
    <t>201095E01002</t>
  </si>
  <si>
    <t>141c67e756456b2143335ed5050168404693ac633b96e10d364659dbbb78c92b</t>
  </si>
  <si>
    <t>201095E02002</t>
  </si>
  <si>
    <t>63b030b14f25b3500d261bb1f8a9e313130359be36995ecc19c05b3fa81b4885</t>
  </si>
  <si>
    <t>201096B01002</t>
  </si>
  <si>
    <t>cd143dcfe015f708b90bcfe043049dda0a77e88bcf8365910e107c822a08b3b7</t>
  </si>
  <si>
    <t>201097B01002</t>
  </si>
  <si>
    <t>7f758570003d6e0203ed13366e3636969a09a5798e3c426fcc60577b7211b46c</t>
  </si>
  <si>
    <t>201098B01002</t>
  </si>
  <si>
    <t>86a65a54f77a92a57a3e949f0a65a1fcbaefc2ef3938ee0bf3ea39998d11398f</t>
  </si>
  <si>
    <t>201106B01002</t>
  </si>
  <si>
    <t>a44b00d678920211521fb3bf9c073e5f188e2b9214e93340c094aef3df666fe0</t>
  </si>
  <si>
    <t>201131B01002</t>
  </si>
  <si>
    <t>89bae543c3dd977679d5c3a7d8b87e93cdde283fd690f20ebd888f1bf52a23ec</t>
  </si>
  <si>
    <t>201131C01002</t>
  </si>
  <si>
    <t>6dffe3ab8e4e16e9b1c4b3443b1ad8c55d0d75c030d0d32affce8622ce7963bd</t>
  </si>
  <si>
    <t>201132B01002</t>
  </si>
  <si>
    <t>61808a1a8efdad4cb22d470a1f389009553af456a68cb3badf68dbf5e670fb99</t>
  </si>
  <si>
    <t>201132C01002</t>
  </si>
  <si>
    <t>f1a5832cb67cd7c6be70de05c44a771b1cd31ce06e75d5fe89d5d6195714fcee</t>
  </si>
  <si>
    <t>201136B01002</t>
  </si>
  <si>
    <t>78f8c3600eea383928bc82f3ac8cfdf64e76f0c8b3a4919e1aa8c785e967960b</t>
  </si>
  <si>
    <t>201168B01002</t>
  </si>
  <si>
    <t>434d37bef6cc70f086b9c54d7f27f82a4bb9c80473d9dc4863a9ed5a97a42c5a</t>
  </si>
  <si>
    <t>201169B01002</t>
  </si>
  <si>
    <t>dab1446bfd0f9a905f503d8eec42628022b6bfe5cf61d1f260f5aa4ac07662e2</t>
  </si>
  <si>
    <t>201169E01002</t>
  </si>
  <si>
    <t>80c7cfb10006465c6b75ce3e352efa8239b365db902705d527a41e5bd43ad8ce</t>
  </si>
  <si>
    <t>201213B01002</t>
  </si>
  <si>
    <t>af8856e7f701ce756a138b5ca85d4551313578a8f4a55ab93df8b1873e954398</t>
  </si>
  <si>
    <t>201213C01002</t>
  </si>
  <si>
    <t>8df7ee7b476be41f609b6abcdeadddc09a8f3852a72b223e7965e49a1df9eea5</t>
  </si>
  <si>
    <t>201214B01002</t>
  </si>
  <si>
    <t>e4012286232a2fd1965fb8d6b775424d479e82610a6f380762ff9eabeacf911d</t>
  </si>
  <si>
    <t>201214E01002</t>
  </si>
  <si>
    <t>6c7734b740843fcb1ad1ae7b50d90e8e5d66af625fb14cf0c597b8574437cee7</t>
  </si>
  <si>
    <t>201217B01002</t>
  </si>
  <si>
    <t>49f81d85a06a377fb7b3423985827a63ab10974fb8d3b08bc13bf3f992946cfc</t>
  </si>
  <si>
    <t>201217C01002</t>
  </si>
  <si>
    <t>8b9251a14b74d6f807dc7fb287b9d375f61088f5edacc3fe14f7a592822e6d00</t>
  </si>
  <si>
    <t>201217E01002</t>
  </si>
  <si>
    <t>a1f58d2de5c7cd0d316d26cc641145a1b6420b6c934f82d42d63190375c0e5cf</t>
  </si>
  <si>
    <t>201218B01002</t>
  </si>
  <si>
    <t>02b68a32c3fa28f434870a331dbf8e84ae6a5e453de3ccbf7e808acc9b1b5c9c</t>
  </si>
  <si>
    <t>201220B01002</t>
  </si>
  <si>
    <t>16ada2811ae9d2d6b400700ad129d281baa0a40cef44290e99fcdb4a70b6782f</t>
  </si>
  <si>
    <t>201220C01002</t>
  </si>
  <si>
    <t>87a6260b087fdd09e0216799e8daa6626d767d41b5380eb9ef07622449eb51bf</t>
  </si>
  <si>
    <t>201234B01002</t>
  </si>
  <si>
    <t>8797af8d2acf55170d59df30d9556574e7290ecbe683c14c2485aeca6889fa73</t>
  </si>
  <si>
    <t>201234C01002</t>
  </si>
  <si>
    <t>98c15eb7b85375882ef5617feb353f89a07a1d2eaea04423f0fa5548cc338b69</t>
  </si>
  <si>
    <t>201235B01002</t>
  </si>
  <si>
    <t>085679aaa07bc05ef384d1d9d46fced08853895b067e54ccc0f06fa00f0908ff</t>
  </si>
  <si>
    <t>201236B01002</t>
  </si>
  <si>
    <t>1a657274abb6c0915f3a9b2f0541f7eaff5cb291610cf02d91a0833b731ff651</t>
  </si>
  <si>
    <t>201296B01002</t>
  </si>
  <si>
    <t>18b6195a2a863ca2e0d0a9c1275acfede1b69b651760341bf997fec877173d19</t>
  </si>
  <si>
    <t>201318B01002</t>
  </si>
  <si>
    <t>139cd53b82967c2a23864f332e53a50c4803ac6859def122d38c54c6f3e6992a</t>
  </si>
  <si>
    <t>201318E01002</t>
  </si>
  <si>
    <t>328566ad7e166b7e3d5e6f6f7ee9a737eec7053b3f578f94d1eea697b626f3ee</t>
  </si>
  <si>
    <t>201322B01002</t>
  </si>
  <si>
    <t>7ef69140853f9359c6d01dd86c1af693e0dbdb8be32be7fe76c6e58238b08db8</t>
  </si>
  <si>
    <t>201322C01002</t>
  </si>
  <si>
    <t>3be7b8556882ecfd02704ac5fbc5545751e492da4d68d8303cd431385d36987c</t>
  </si>
  <si>
    <t>201323B01002</t>
  </si>
  <si>
    <t>d90727f45f72168f21e8af9b92245a78e5bc1521c4829b71503d47104703c926</t>
  </si>
  <si>
    <t>201333B01002</t>
  </si>
  <si>
    <t>389a4d53249d8017eff713d6caba452f84261c3608d50022481804af94a743d1</t>
  </si>
  <si>
    <t>201334B01002</t>
  </si>
  <si>
    <t>165894c306e8b211a4d24d51f1d55a2f04832d09b3940c4778c02789d2747306</t>
  </si>
  <si>
    <t>201335B01002</t>
  </si>
  <si>
    <t>e5d7dafff311dba2c14d6fd8c46a58cd952c1486d2ea6a75b4a42600e985858c</t>
  </si>
  <si>
    <t>201352B01002</t>
  </si>
  <si>
    <t>bff4511bf622312edca281d8e6f3dcb83bdd87600b83fc8d2fdff5496e66b577</t>
  </si>
  <si>
    <t>201398B01002</t>
  </si>
  <si>
    <t>f21ce659fd1e6e083fa4fe4f926b3ea73e80ab7c4140309af67bfcb9ab478520</t>
  </si>
  <si>
    <t>201399B01002</t>
  </si>
  <si>
    <t>bde0bd5ed28c23b69cdfb44a0dc82841c0298c13e53ffb238a6719d2e7d07455</t>
  </si>
  <si>
    <t>201400B01002</t>
  </si>
  <si>
    <t>ed93a4e9b53a72974fcbb76677ddd504b20b69e3590faa3a4817014504e2a60a</t>
  </si>
  <si>
    <t>201416B01002</t>
  </si>
  <si>
    <t>2c15d775d1a6599b4130f1f905b1d387b8de73f281a1b56f9ff2b17856a0155b</t>
  </si>
  <si>
    <t>201437B01002</t>
  </si>
  <si>
    <t>1698094c762998c0f5908c9365465ae9f8ae14c84775407f062ee89923c408b5</t>
  </si>
  <si>
    <t>201437E01002</t>
  </si>
  <si>
    <t>bdcf582cd6cd46d46f6dcff6a41549ae1123cf8e6b3e1cc66013e0c05b9555b9</t>
  </si>
  <si>
    <t>201448B01002</t>
  </si>
  <si>
    <t>076cd14e456380a5397814c8c533e93a006f6e9ca01cbd040f44a316920fb420</t>
  </si>
  <si>
    <t>201448C01002</t>
  </si>
  <si>
    <t>3c668cd764966ec545e1eb6ffb07378825d9eb259530f34e8c647610f6734a96</t>
  </si>
  <si>
    <t>201458B01002</t>
  </si>
  <si>
    <t>a0d1d2ad1805aacd3f12f2eb28f1ba45f6781b02ffb91a2333b8b062bb7bb1e6</t>
  </si>
  <si>
    <t>201458C01002</t>
  </si>
  <si>
    <t>74739293f42012420ead7cc4fa087f2417f4bed8a103433023860303692265dd</t>
  </si>
  <si>
    <t>201601B01002</t>
  </si>
  <si>
    <t>b533500080d7c1f65ec24c22aa7a17e256e7dc6c01178610c835b3acf7f26f97</t>
  </si>
  <si>
    <t>201601E01002</t>
  </si>
  <si>
    <t>d89d065135e7e411c7ed7630fd7dc561f244557f9902acbf97dfc35a37353538</t>
  </si>
  <si>
    <t>201602B01002</t>
  </si>
  <si>
    <t>2018ed50c8c54d423cc838a74e7b92d7f0d20e1ab433b6b98020a54eb3b8c6a3</t>
  </si>
  <si>
    <t>201602C01002</t>
  </si>
  <si>
    <t>f62907b0f1c32d31b47239edc68ba8e6f1a9e62cdd7b5158743b795e9f8c2d60</t>
  </si>
  <si>
    <t>201602E01002</t>
  </si>
  <si>
    <t>a7cba756f74b53388897cf5ee3ad74b3650558c8f9c6c35002e107d4a0757db3</t>
  </si>
  <si>
    <t>201602E02002</t>
  </si>
  <si>
    <t>0891d5c08058e8b3e6b081eb022f6b4aef8b6e0d8359b96ee0d58d194ba07ee8</t>
  </si>
  <si>
    <t>201603B01002</t>
  </si>
  <si>
    <t>6ed372aecbb8e9a01a182681410f5d8e9f3c1174ee6ac9b6455c18459daae722</t>
  </si>
  <si>
    <t>201649B01002</t>
  </si>
  <si>
    <t>8682ad61b2c6ebddb21d5ce24960b77d958238e26ca25dbb6b6d51114dce0150</t>
  </si>
  <si>
    <t>201654B01002</t>
  </si>
  <si>
    <t>f706cbec3f205ba0f0f7f35d76f0489ea04bf6fb2ef6ed2e7d97cb8af16a7afd</t>
  </si>
  <si>
    <t>201655B01002</t>
  </si>
  <si>
    <t>bd0f074a3d282ea715700b0241f76316129234331f10e3eab12df41c96a5f488</t>
  </si>
  <si>
    <t>201656B01002</t>
  </si>
  <si>
    <t>361b6b0ca956999a1422cbe3e12def7eab69146a02b7e64fa8e04c79241d4c28</t>
  </si>
  <si>
    <t>201657B01002</t>
  </si>
  <si>
    <t>7bfcb9dc76386c167c93cc1c4d9d1b6616da28cfef83f988d1b136e15440dab3</t>
  </si>
  <si>
    <t>201665B01002</t>
  </si>
  <si>
    <t>b5551ad548e163e7e53c8a5fd78637bf233f9b497851680878a97a642a4f5054</t>
  </si>
  <si>
    <t>201666B01002</t>
  </si>
  <si>
    <t>130d171ec06483e8eb430a011921e27efce6e502ece01ca9c5714e94734642d5</t>
  </si>
  <si>
    <t>201667B01002</t>
  </si>
  <si>
    <t>1ed927890e0da22077d0ab1179bdc406f3790ef048d5b57b36c20ef575d88e70</t>
  </si>
  <si>
    <t>201873B01002</t>
  </si>
  <si>
    <t>da5109f7cfd77178607d451e4bb6f4b5265763b3fe2af706ddad836835ca62ca</t>
  </si>
  <si>
    <t>201907B01002</t>
  </si>
  <si>
    <t>4215254870bb44665ba8a561cc5d28b7ca1875a51ed0648b1f4af384be533308</t>
  </si>
  <si>
    <t>201933B01002</t>
  </si>
  <si>
    <t>9f50b010b434c06aff279ee04f35e6c8bd90a29edffdf849f0ae03a6c5fb780d</t>
  </si>
  <si>
    <t>201934B01002</t>
  </si>
  <si>
    <t>57c1647569ea98ef62523904fb90904fc64a0b835bb5a73f8e9430b53c2d644e</t>
  </si>
  <si>
    <t>201976B01002</t>
  </si>
  <si>
    <t>1dbf020aec0148fa1504fa61a6f236402df149f22de2532fb847109d7960b608</t>
  </si>
  <si>
    <t>201976E01002</t>
  </si>
  <si>
    <t>c876c6199132523be3deafe7fde609d01646d052649db5ab084df48c87e69719</t>
  </si>
  <si>
    <t>201977B01002</t>
  </si>
  <si>
    <t>0efbc52c27a6c71c6af7c073dea615c5d5ba4f34e53c2dfc7b8e87c653e6aeae</t>
  </si>
  <si>
    <t>201977E01002</t>
  </si>
  <si>
    <t>58d7cb82319272b97f784765b776259480c55309dbe2941b4642182b4669014b</t>
  </si>
  <si>
    <t>201977E02002</t>
  </si>
  <si>
    <t>14fe32db5fb57e0c012944585166986e3508a5c220708aab525b1e72d1d9c409</t>
  </si>
  <si>
    <t>201991B01002</t>
  </si>
  <si>
    <t>5f4b7565c26f99ed907bfce274f3e4c4c296e4fde020188f00f3a131c500ab2c</t>
  </si>
  <si>
    <t>201991C01002</t>
  </si>
  <si>
    <t>bcafa8cd11da8c45bfa58531a8ac96f9d91aca0b6a2b471cdcd42a8008bea89f</t>
  </si>
  <si>
    <t>201992B01002</t>
  </si>
  <si>
    <t>bdae1c328b86219940b042b0781dbf0524c7ce28e99ed1f9ef2095e7afb8e54a</t>
  </si>
  <si>
    <t>202056B01002</t>
  </si>
  <si>
    <t>570a0dd2792547d38156f9a306e39b9d0243d88efdb3c45cc972a99cf6320b10</t>
  </si>
  <si>
    <t>202060B01002</t>
  </si>
  <si>
    <t>46c4b86e3fc0528b8ed05d4865a64519198c2d242c88eb3b2d70e9b370c4f136</t>
  </si>
  <si>
    <t>202061B01002</t>
  </si>
  <si>
    <t>0e9154e5aea6f075568b4d77ef439e99cf9802446026b81780a32ca6e27bbcb0</t>
  </si>
  <si>
    <t>202148B01002</t>
  </si>
  <si>
    <t>62f2d05bc6a94f122739cf1a427298be7a5e8642236da7bede375a2125a88a60</t>
  </si>
  <si>
    <t>202148E01002</t>
  </si>
  <si>
    <t>35fdff4d7bc863f0a325835056cbf6d1e3534dccc900be1a61f57d3014570497</t>
  </si>
  <si>
    <t>202149B01002</t>
  </si>
  <si>
    <t>23f889ef838f3b5d22cea465c4937908f7c7de1d81296d020a7ac36dc10ad5c1</t>
  </si>
  <si>
    <t>202149E01002</t>
  </si>
  <si>
    <t>63acb962f1b08ef08af82a8fb768fb724fc56fabc6ccff41276f46f257f8a8a4</t>
  </si>
  <si>
    <t>202171B01002</t>
  </si>
  <si>
    <t>e3911eee8dad5557512f0d8a20ee6d8bd0c9984685a81bcabd023cd9cbe3b474</t>
  </si>
  <si>
    <t>202199B01002</t>
  </si>
  <si>
    <t>4f1a83e645fb399c0012beb2e5cb618c18227f97d941a6ab4a110ebc4a1dc166</t>
  </si>
  <si>
    <t>202199E01002</t>
  </si>
  <si>
    <t>bb305cb9d310e57391cdac8933d2ba23c343dc91e1b569869a855fc2d42deb57</t>
  </si>
  <si>
    <t>202235B01002</t>
  </si>
  <si>
    <t>f4d973e7c9b0f4c1f40baf64f8b0d59798c27de12a3097fc7f45e4ed27c588a5</t>
  </si>
  <si>
    <t>202235C01002</t>
  </si>
  <si>
    <t>3d46d4da3d76fa225622604357039391b3f1d11de9062740e2d51602f77ded4b</t>
  </si>
  <si>
    <t>202236B01002</t>
  </si>
  <si>
    <t>e1ce702ee03f02ee14da72056bbd01468559eec4223c9a761e66e84d92967f6a</t>
  </si>
  <si>
    <t>202236C01002</t>
  </si>
  <si>
    <t>9ae0112985ee0c172ba946cf07caacd37b4584d82d55ee9fa3cd906cd5d9ed19</t>
  </si>
  <si>
    <t>202245B01002</t>
  </si>
  <si>
    <t>b2cef3a3c7f281e875de581e8aee277342b1c3d5f19f82c822ce5b4c63d5ffee</t>
  </si>
  <si>
    <t>202316B01002</t>
  </si>
  <si>
    <t>6fde9c38b56aae64f9b1c1054b8b4366091b3f1377615f9f8b938b4900eb5f57</t>
  </si>
  <si>
    <t>202316E01002</t>
  </si>
  <si>
    <t>788aa680197bf22f6a46a43acf4c08ab8768e3927e1068309ae77c1dfb9760a0</t>
  </si>
  <si>
    <t>202317B01002</t>
  </si>
  <si>
    <t>80136e7507023798d29e95b6b56a75cf1f0726cf6689ff8094e2b7996cc35ccb</t>
  </si>
  <si>
    <t>202324B01002</t>
  </si>
  <si>
    <t>be735542ad5dc5a69b6c9fb89fa97cee621cf51d29a1ec596e50ddb33d63fc91</t>
  </si>
  <si>
    <t>202324C01002</t>
  </si>
  <si>
    <t>653f71a778ad46946b1b27af84070f6453f6799fc5c6118846564308a74b646c</t>
  </si>
  <si>
    <t>202331B01002</t>
  </si>
  <si>
    <t>831aa2d729f57c6493346d236343649dd67c66a519598573f6b124dcf957ce96</t>
  </si>
  <si>
    <t>202331C01002</t>
  </si>
  <si>
    <t>8e714282e5f042b35785a234f4e283ab8f5172a1cda56e758e99358b5f53a884</t>
  </si>
  <si>
    <t>202332B01002</t>
  </si>
  <si>
    <t>e3d5916a0823078e5cac409de07b17f139bf40bd4a06d615f8f82408e9c2117e</t>
  </si>
  <si>
    <t>202332C01002</t>
  </si>
  <si>
    <t>d7543d648999cd6f2510aaeca054302539e02d8f0278f940a5a4f2e0fbd3ed40</t>
  </si>
  <si>
    <t>202333B01002</t>
  </si>
  <si>
    <t>001c28c3543649c754c5fbdb7bb033eafc0cc7d18292edaa5fb5ab5779d90769</t>
  </si>
  <si>
    <t>202333C01002</t>
  </si>
  <si>
    <t>4c3eb7298c49eb0f0d7841d2cdd69353e44c6d3000604d57df7a05bbb713e75a</t>
  </si>
  <si>
    <t>202334B01002</t>
  </si>
  <si>
    <t>fbfc3d2e4e081d51b871c654cbbda5ed324af3a75169a817548457ddb12aed7f</t>
  </si>
  <si>
    <t>202363B01002</t>
  </si>
  <si>
    <t>5a28991a22013bacea20aa9eb9d35e2c3490a68fbb37b608a0c329530e8dba29</t>
  </si>
  <si>
    <t>202363C01002</t>
  </si>
  <si>
    <t>7054580e6177e51e6fb8900f48e95afb0ebbb4f00e190be55def6bc8471ae084</t>
  </si>
  <si>
    <t>202363C02002</t>
  </si>
  <si>
    <t>43cd1065c372ab0040205bda39435f6a85b81abc0cdf224fe7d322de469def6e</t>
  </si>
  <si>
    <t>202364B01002</t>
  </si>
  <si>
    <t>356c1b92ccb03f92faf6c43b4d4ede1c6c6bd83bdec90be75304aecbe245ded8</t>
  </si>
  <si>
    <t>202364C01002</t>
  </si>
  <si>
    <t>79f078b23e4193471a89ccf80181b33fc89d46bc888a73fef618c91484befaef</t>
  </si>
  <si>
    <t>202364C02002</t>
  </si>
  <si>
    <t>d58e21fb50126bf52d436b4db6bce4391f550c0366dcdde78f9cbec0c05ca136</t>
  </si>
  <si>
    <t>202364E01002</t>
  </si>
  <si>
    <t>b6122213f1b96e6af84f4638ab79e6d682db07c8a21cbbf0b3e127cc2fb282d8</t>
  </si>
  <si>
    <t>202365B01002</t>
  </si>
  <si>
    <t>8a16cdb66fb8e12b6f1f8fdff995b3f66d551372719ebf976c6f9c1b520f68a8</t>
  </si>
  <si>
    <t>202365C01002</t>
  </si>
  <si>
    <t>43a4f631b19f719c7c75eb1b82595a8ff53ace9d0b96e30ea4a87015587f378e</t>
  </si>
  <si>
    <t>202365C02002</t>
  </si>
  <si>
    <t>35033082694b2d0d691f123e089f8829396e9c0b750f204ac0e1186d08b65d2a</t>
  </si>
  <si>
    <t>202366B01002</t>
  </si>
  <si>
    <t>95a812cd642e487f2f52e3395b3cf4c1e17ce3da8bfe185c2f6c929e4021c52c</t>
  </si>
  <si>
    <t>202366C01002</t>
  </si>
  <si>
    <t>135630dc8b554a0161fdeac8ff630009c02bbea9d83e62cdd566696b360a8896</t>
  </si>
  <si>
    <t>202366C02002</t>
  </si>
  <si>
    <t>52779adcdc7c33df63d466281ee0ae54db893ff6fa4061fb2797b6ef23a93acf</t>
  </si>
  <si>
    <t>202407B01002</t>
  </si>
  <si>
    <t>6a33f71e36d6d85ec3a4d1e76d490da689a44b35b25ff4cd1df1e1ee45ef8b85</t>
  </si>
  <si>
    <t>202407C01002</t>
  </si>
  <si>
    <t>4dd6183ebca9576363e63edcd2ddc2cefba7fa919c13b8499d71e19891930638</t>
  </si>
  <si>
    <t>202408B01002</t>
  </si>
  <si>
    <t>127dfbc8cb11e74b4bc00a2f37eaf3df667efc3b897ab8d5d6db4d3939639399</t>
  </si>
  <si>
    <t>202408C01002</t>
  </si>
  <si>
    <t>000209261438d2db900f742cc8d7127511342fbe12d37680abce52db68000893</t>
  </si>
  <si>
    <t>202409B01002</t>
  </si>
  <si>
    <t>c201b20d06e22b24e9e76c50755e1ba3cacc54905a31e100d5afb40148a2b54a</t>
  </si>
  <si>
    <t>202409C01002</t>
  </si>
  <si>
    <t>50005d15568350d4acc9e0261c1027f1b6ddedffcbfb1154b2c116efcc4add85</t>
  </si>
  <si>
    <t>202409C02002</t>
  </si>
  <si>
    <t>81947c3239b9e3e4f1a844617f1965238c91d743dc976c06cc1917dcc6ef3f82</t>
  </si>
  <si>
    <t>202409S01003</t>
  </si>
  <si>
    <t>378bab26387b8690354b42bb4bb6314bb302a23dfabc93eabf4841dc90ef10f9</t>
  </si>
  <si>
    <t>202410B01002</t>
  </si>
  <si>
    <t>62143a9b3e7d049ceba32773b8a276a73d1e88d984ef71e719bdd32530ec7d8b</t>
  </si>
  <si>
    <t>202410C01002</t>
  </si>
  <si>
    <t>4f9bb96386851851a3c42f6174cb71c936dfff7ee850b4d701613c40d394c6a7</t>
  </si>
  <si>
    <t>202410C02002</t>
  </si>
  <si>
    <t>a4fa05d953ffa29ad3dab029b3c4b2ba392744fec78102c96923de195a7ee246</t>
  </si>
  <si>
    <t>202410C03002</t>
  </si>
  <si>
    <t>6407dbf4a98ce8a741ea60cefd7a391452ca09bee9f82504121da47a0a90a2d5</t>
  </si>
  <si>
    <t>202411B01002</t>
  </si>
  <si>
    <t>fe593ad04b5bde92dfd7aaf72887590478a0e82e5793a0ed619804507acef7db</t>
  </si>
  <si>
    <t>202411C01002</t>
  </si>
  <si>
    <t>99d062e63ba10ae538429bb9c055ccdf8776099f757e7875e4ab1c7b46be3741</t>
  </si>
  <si>
    <t>202411C02002</t>
  </si>
  <si>
    <t>62ddc73d36c019dc46a933030b3403b0f3db851794b8d0726cf689d53f4433f0</t>
  </si>
  <si>
    <t>202411C03002</t>
  </si>
  <si>
    <t>e98e50e30aaf6001048efc9a75a748efaa51c7602891e6ed552e9afae487a9c9</t>
  </si>
  <si>
    <t>202417B01002</t>
  </si>
  <si>
    <t>87e3e288d4a61766abd18e6766281aa939f00f090c2b03a36d4e837d92a95de7</t>
  </si>
  <si>
    <t>202418B01002</t>
  </si>
  <si>
    <t>85608e5b879be6e3c0e5cb905c3d2850fe2ff6a60ac38701d53b8bd062dffe61</t>
  </si>
  <si>
    <t>202418C01002</t>
  </si>
  <si>
    <t>4c96fd271d596b73f32766fc08dab1b44c898fc532f717ea77c162ade824ea0c</t>
  </si>
  <si>
    <t>200039B01002</t>
  </si>
  <si>
    <t>SAN PEDRO Y SAN PABLO AYUTLA</t>
  </si>
  <si>
    <t>3284c268ed0e1a4326f7d5dcb69d9e0123b6401632d53a4b344aad0ba7d2ef44</t>
  </si>
  <si>
    <t>200040B01002</t>
  </si>
  <si>
    <t>6b207bbff7648e46d352395523551b52c5e7688734573d7ec65cb135de20cdbd</t>
  </si>
  <si>
    <t>200040E01002</t>
  </si>
  <si>
    <t>d7ac4c022c71964252692a4cd803b70c86721e00e0ee27c3b5601ab683c72a81</t>
  </si>
  <si>
    <t>200041B01002</t>
  </si>
  <si>
    <t>5a7415b09c390bc07e2fd71f7da1c4765ae73d64136f86ce6530fc1299848972</t>
  </si>
  <si>
    <t>200454B01002</t>
  </si>
  <si>
    <t>49681efd5fb56df42e07467698b403f13f8bbd1ee289c7e07e3752cd738a8bef</t>
  </si>
  <si>
    <t>200454C01002</t>
  </si>
  <si>
    <t>a394f64a742a9851a903957eba29acb0d249c35a33dcb5553392513838b2b71b</t>
  </si>
  <si>
    <t>200454E01002</t>
  </si>
  <si>
    <t>1713f96fa02df09a9f13fabf0180d068a58e7c010619cdc6e08f5f16758425d4</t>
  </si>
  <si>
    <t>200455B01002</t>
  </si>
  <si>
    <t>11f1907b5f0e769df8cc122705a5b571f64e5e8460c4121a7957860d43af1773</t>
  </si>
  <si>
    <t>201117B01002</t>
  </si>
  <si>
    <t>443e90466b00f9367d32927e83470f1bbc5ebd613598e678cacf982e19615c83</t>
  </si>
  <si>
    <t>201117E01002</t>
  </si>
  <si>
    <t>aff2971ca1ce792404bfd5618941856e74ad2d563fc859b62165eb29fbf61294</t>
  </si>
  <si>
    <t>201118B01002</t>
  </si>
  <si>
    <t>dc92c267892ca564e27e394cffbe07ae7e5c69f2836eb18e2e5defda9010c85b</t>
  </si>
  <si>
    <t>201118C01002</t>
  </si>
  <si>
    <t>ca6fc8df0339d809f6dc62bf7fd3bfb642bd6d8b17b13f7927b69b4f4cfc9413</t>
  </si>
  <si>
    <t>201119B01002</t>
  </si>
  <si>
    <t>2b6768c5aeb9f383ed7a5bdb3a411f8da468c588b84a1230993115f027274120</t>
  </si>
  <si>
    <t>201119C01002</t>
  </si>
  <si>
    <t>9c59b92193acb88a36a7db999466d65f82993c79db3345f9ed75c94bd8f3db67</t>
  </si>
  <si>
    <t>201119C02002</t>
  </si>
  <si>
    <t>24634db8b6768cb440d3e13c131fdb8467d1a2e77d8aac85e00dff1cfe237d60</t>
  </si>
  <si>
    <t>201119C03002</t>
  </si>
  <si>
    <t>ac6362f3c53a17377b6aa10859bc25b154126dd69a17922944f99cf49af367f1</t>
  </si>
  <si>
    <t>201120B01002</t>
  </si>
  <si>
    <t>fb705b686240fc496b91000474edb5857db004b9b6cb41b1188f73ffb77846d2</t>
  </si>
  <si>
    <t>201120C01002</t>
  </si>
  <si>
    <t>9d5e775c2bbf98542463eb5f315f2faa9f0ddf4730fbd14e3fd135ff93cca2a7</t>
  </si>
  <si>
    <t>201120E01002</t>
  </si>
  <si>
    <t>a87a1b6c0033951e435bb16f5bfecadfbea29eb3b2d38ce796a5a1a92cca9d32</t>
  </si>
  <si>
    <t>201121B01002</t>
  </si>
  <si>
    <t>ae3a1761cfae2b1eca8c9a674c27ecab7db17ecaf08ce820f8279131993952da</t>
  </si>
  <si>
    <t>201121E01002</t>
  </si>
  <si>
    <t>9eec11b55837ef0be9b06400b90d54ed6f0431b542124aa7a4e7651d13c0cb25</t>
  </si>
  <si>
    <t>201122B01002</t>
  </si>
  <si>
    <t>e18c13fcc347c9734de01412f4236a5e2899da76104e752c9c96c1870bbe3b85</t>
  </si>
  <si>
    <t>201122E01002</t>
  </si>
  <si>
    <t>15b88678a8ce3b5d9cd3afd445639a3f40b7cb7d71953de5244a9cca02834bf6</t>
  </si>
  <si>
    <t>201122E02002</t>
  </si>
  <si>
    <t>ab52a79d977fde9647622a753b509646948747a8448126af166c142dd773622d</t>
  </si>
  <si>
    <t>201123B01002</t>
  </si>
  <si>
    <t>5a3a9f6e0dcf89888237b0aab6cc8e70fd1c895cd04af902863f09994ea2b484</t>
  </si>
  <si>
    <t>201123C01002</t>
  </si>
  <si>
    <t>6c2f739cff2d2c3e4478502aabf6e37d67be039d2b3e3ee926bf81abbed1809f</t>
  </si>
  <si>
    <t>201123C02002</t>
  </si>
  <si>
    <t>7b722ef1f7c531ec6f19c472608d2fe5236a8de9f8d55fcd429209652612b82c</t>
  </si>
  <si>
    <t>201124B01002</t>
  </si>
  <si>
    <t>5d3439da00e849a547b519a4fe911a335c7f65ac3555ade3bc434b8eef45a4d4</t>
  </si>
  <si>
    <t>201124C01002</t>
  </si>
  <si>
    <t>dc19ae47ec66bf4792c917c5180dd8b548c3c7be9f5cc2aecc7309b4ea8437b5</t>
  </si>
  <si>
    <t>201124C02002</t>
  </si>
  <si>
    <t>3d866b5c971cac23572d49564c294184b955c1f333e7dc78bf0750cae2b6936a</t>
  </si>
  <si>
    <t>201124C03002</t>
  </si>
  <si>
    <t>ad177edacd812924a217ba4a06415a9bd097b8c284560ac1c227e3fa5ff5eb6b</t>
  </si>
  <si>
    <t>201124C04002</t>
  </si>
  <si>
    <t>4b723b86921e822e632a7b67cc398c811548e64ff3996fb61d2c82cfce466593</t>
  </si>
  <si>
    <t>201124C05002</t>
  </si>
  <si>
    <t>c083c714b5e1af432cbe4c61214640b90fc6b7a3707e79a5e287c1eaedbe22c5</t>
  </si>
  <si>
    <t>201124S01003</t>
  </si>
  <si>
    <t>69516e60d7269e8a098a85651898d63dfdc1a118567f85a5d92269d1a3fe3228</t>
  </si>
  <si>
    <t>201125B01002</t>
  </si>
  <si>
    <t>646ff85e8b3c7a3d68c2d9c2e325799c7dafa1e1114604365b94d75318c07a8c</t>
  </si>
  <si>
    <t>201125C01002</t>
  </si>
  <si>
    <t>693a271b4873b83b7964ea7f1e07149bb0aeefe5642d3490ec5c62a5655e1714</t>
  </si>
  <si>
    <t>201125E01002</t>
  </si>
  <si>
    <t>f0ee5bccd3ef2e2f59396d6d86dafe166b631dfb9c30dad02439df4ffb68ef50</t>
  </si>
  <si>
    <t>201126B01002</t>
  </si>
  <si>
    <t>826b524d9878aeb82af6d26816efef2e6842e394f0808f145f6ce59fe7cc9127</t>
  </si>
  <si>
    <t>201126C01002</t>
  </si>
  <si>
    <t>7a9161b43547e8702060e68086a5ae64005fe8f6f7523ab52212f503eb7590fb</t>
  </si>
  <si>
    <t>201127B01002</t>
  </si>
  <si>
    <t>aedfbc97f53fbd11ff8d97aa0c6f05a3bf6bf61b77d41ce736d48bf6b150d290</t>
  </si>
  <si>
    <t>201127E01002</t>
  </si>
  <si>
    <t>c135d8e8b2bbccc1f52b3d4be4516210f90db8bdf3ee652b734897a319265ab4</t>
  </si>
  <si>
    <t>201127E01012</t>
  </si>
  <si>
    <t>35ece1be205a6e59923492d09a6524e5646db4b25332ced86a644992b67d278f</t>
  </si>
  <si>
    <t>201128B01002</t>
  </si>
  <si>
    <t>9d59fd3c7c035156d41d155dcd9805f0634c4d8ce5a4b76b40c375b035c19693</t>
  </si>
  <si>
    <t>201128E01002</t>
  </si>
  <si>
    <t>4d70578f16717b0471e7c2d571b3a0c4fba480523575a74931ed974314a49b39</t>
  </si>
  <si>
    <t>201164B01002</t>
  </si>
  <si>
    <t>0d0ad605954a646b090e634743492ab56785382ed6e95de10427d8c88f0c2d6d</t>
  </si>
  <si>
    <t>201165B01002</t>
  </si>
  <si>
    <t>59f0e1664c3ddfbc6f0641fce9edd4f0fae073908607ec74f7d9b322ac824521</t>
  </si>
  <si>
    <t>201166B01002</t>
  </si>
  <si>
    <t>aced95699b4c8c698b47be112a456833c56e0087bddd89a97ec3c27295e5eed2</t>
  </si>
  <si>
    <t>201167B01002</t>
  </si>
  <si>
    <t>d65d6de15272068c608c703a9d451012de74e42cafc19a12a12e9f3b00e0f932</t>
  </si>
  <si>
    <t>201167E01002</t>
  </si>
  <si>
    <t>b4491d43cb0f9baa54a54e028b092345401d7434edc5bf536c2da5d869fdf298</t>
  </si>
  <si>
    <t>201177B01002</t>
  </si>
  <si>
    <t>0631e00323ea6639b95ba716b200df6e2295be05abf97527d0bd8369ce2adfad</t>
  </si>
  <si>
    <t>201177E01002</t>
  </si>
  <si>
    <t>b6df6bf81bba7411e3d308f644c7f5324330fa801f0a432862afff47e7cb60b4</t>
  </si>
  <si>
    <t>201178B01002</t>
  </si>
  <si>
    <t>2a88d51ac3ab73dcd3ef9a7b4a475577ef5783f59bde01d27774321231f00008</t>
  </si>
  <si>
    <t>201178C01002</t>
  </si>
  <si>
    <t>05c7d3406099582f9ff125000e23744f6189f8219be9b85292a0e61c1aa35660</t>
  </si>
  <si>
    <t>201178E01002</t>
  </si>
  <si>
    <t>9dd1332c4df433b51d92f86e25ff360d4c14bc2cbd65dc0ebed3f9952fcd9c4c</t>
  </si>
  <si>
    <t>201179B01002</t>
  </si>
  <si>
    <t>78c359254160558558db9ef06cdde4f4b7a9a5a84a50693f7590386a4b401d78</t>
  </si>
  <si>
    <t>201179C01002</t>
  </si>
  <si>
    <t>440e57b62745a4760cd15f798e5ae72082b7ef98377d67f8603ccedf56502b11</t>
  </si>
  <si>
    <t>201179C02002</t>
  </si>
  <si>
    <t>d9003f3807172141ffe44868149a506ede32befb4f7ff64b026334bc359aeb9d</t>
  </si>
  <si>
    <t>201180B01002</t>
  </si>
  <si>
    <t>e0a0c134e9f03f2edbe87cd98b358cbb821fb4d73b5cecab737ccdc977859560</t>
  </si>
  <si>
    <t>201180C01002</t>
  </si>
  <si>
    <t>5027bcefbc265fa84fee44ffca533a4f07659ce13307662c933bb61e9d490967</t>
  </si>
  <si>
    <t>201181B01002</t>
  </si>
  <si>
    <t>d2ab319fb9f7b26318b07f8cb3de9e004df304fd0b66de3fcbce6c7224c6bb60</t>
  </si>
  <si>
    <t>201181E01002</t>
  </si>
  <si>
    <t>a54ca727f7d01f3a28045cfb09ddde611f5e1d76110018b703c21ea1b8741a35</t>
  </si>
  <si>
    <t>201182B01002</t>
  </si>
  <si>
    <t>df0926b662c5d003b505397d46ee335ae8fbc99fcbf04828993e8af8bbfb55fb</t>
  </si>
  <si>
    <t>201182C01002</t>
  </si>
  <si>
    <t>29f4ff84264ab5ed2a1381f2b876c6ff46fbe3e38cdc9f9a24828053c008d831</t>
  </si>
  <si>
    <t>201182E01002</t>
  </si>
  <si>
    <t>ea506fa812c9c9ce9f746a72e934d4cda75ad383ed8b2f62e3d89f3d620bfa85</t>
  </si>
  <si>
    <t>201182E02002</t>
  </si>
  <si>
    <t>81d1859a9069a909b77d33fa3b0419586fcd303fcb5aec524b7f28b03b946a82</t>
  </si>
  <si>
    <t>201182E03002</t>
  </si>
  <si>
    <t>d0b1f64d5caf78c4509c0caec5bbceb48f7dd2d0ad9bebb2f1243e50a772e110</t>
  </si>
  <si>
    <t>201183B01002</t>
  </si>
  <si>
    <t>3c3b36a7809c503045b00a1568a93c7cc10da3d845310d7606192af471a676f9</t>
  </si>
  <si>
    <t>201183C01002</t>
  </si>
  <si>
    <t>2466194d9ff3f3c77b8816dcf0cdd96799b7ac5f8acf9136082b7d1be983fc3d</t>
  </si>
  <si>
    <t>201183E01002</t>
  </si>
  <si>
    <t>ee3ecdbfd995b05a5fb351732718dfe552550a9b3b2d39791c9be4c6484c952e</t>
  </si>
  <si>
    <t>201183E02002</t>
  </si>
  <si>
    <t>6d1913187ffc098a4982e20e12fea21e270b664d8d8a349cf46810bdfc18b83c</t>
  </si>
  <si>
    <t>201184B01002</t>
  </si>
  <si>
    <t>50be785eafcdf231d178a0bb6d820cc7fee1e65727c3e49a6a55782d5d1af61e</t>
  </si>
  <si>
    <t>201184C01002</t>
  </si>
  <si>
    <t>74fbe44e060b9d0aa977176ec5af25cc5ccdf1ab595a60647399757f10d5d286</t>
  </si>
  <si>
    <t>201184E01002</t>
  </si>
  <si>
    <t>01ad8e4cd68814c8c77cae4623c8405de67404df07abc5f4d331b858c397d6af</t>
  </si>
  <si>
    <t>201185B01002</t>
  </si>
  <si>
    <t>1f96b851531f0110fec98535c1e39f9c3b4554cf4717c352341ce7aa7fbb2923</t>
  </si>
  <si>
    <t>201185C01002</t>
  </si>
  <si>
    <t>c4227b5568d2f8acbb42fea5e2999303526a8b793797677191faf717134770d5</t>
  </si>
  <si>
    <t>201185E01002</t>
  </si>
  <si>
    <t>ca9430a4c9815cf79a0059d632ca6710467f5f433036e27909afde472e3af1e3</t>
  </si>
  <si>
    <t>201186B01002</t>
  </si>
  <si>
    <t>66cfce2c92819d7e6b992a4dcb69cf5e552b138e1f37dc9bf8cda886a0644ef7</t>
  </si>
  <si>
    <t>201186C01002</t>
  </si>
  <si>
    <t>73b9cbb04bc54d7440ca03af56c64ccdf14c8679e63caa83ba5390ba39d3be31</t>
  </si>
  <si>
    <t>201186E01002</t>
  </si>
  <si>
    <t>59511cc389813439ff74da525339b35465ae0b326b68b4258192ac94b3f968ec</t>
  </si>
  <si>
    <t>201187B01002</t>
  </si>
  <si>
    <t>4d557891b9443db48b653f06bb31ffcb6aa5920196ebd1115a752aa181e56d89</t>
  </si>
  <si>
    <t>201187E01002</t>
  </si>
  <si>
    <t>15936e711a24ebcf19083c9641b8052e9c0c0d86ebaccb14214baa6f423dc53c</t>
  </si>
  <si>
    <t>201187E02002</t>
  </si>
  <si>
    <t>b9594dfd3052e0ef600c02bbcfe35e1329d19ba2e3cdd05e409feb1dc6925561</t>
  </si>
  <si>
    <t>201187E03002</t>
  </si>
  <si>
    <t>ddee94ddd23e44501beda9c404cc6df7931006830999e40e2adead8cd6e760a2</t>
  </si>
  <si>
    <t>201188B01002</t>
  </si>
  <si>
    <t>db2edf6ef4e9d6277d2310c5542a6185ca21d8d35be834014f2d4749ef3f45ac</t>
  </si>
  <si>
    <t>201190B01002</t>
  </si>
  <si>
    <t>4a2b72553cbb36d2684f09b60c275d4113e5ef4594c7d611950a719b238184c4</t>
  </si>
  <si>
    <t>201190E01002</t>
  </si>
  <si>
    <t>7d778ed786a9aadf99732d2ae46424ed8954bd0a3b81781dfa590b87f7c95d56</t>
  </si>
  <si>
    <t>201191B01002</t>
  </si>
  <si>
    <t>8795d7b1d4de8af5294cc2554c482b57a9e81afbdf48ecfc1a09b26987ce6b62</t>
  </si>
  <si>
    <t>201191E01002</t>
  </si>
  <si>
    <t>aecbf2c0cbeb99b1769544fa12cf8638f1cc4eeb5510c623f1d787e04956739a</t>
  </si>
  <si>
    <t>201253B01002</t>
  </si>
  <si>
    <t>77e717610806c5d7a20df0b20208d7ce0b7cf0c7154d69c51b2d1e2c9c9af21d</t>
  </si>
  <si>
    <t>201253C01002</t>
  </si>
  <si>
    <t>b781f9cf55dc431eda0d8488b45302c399183696a961f58508284eb9cc06b15e</t>
  </si>
  <si>
    <t>201253C02002</t>
  </si>
  <si>
    <t>90d82ea1692220a29cfc2a6f7b285d5eab991fb7613ebf31cb28796918d4bb25</t>
  </si>
  <si>
    <t>201368B01002</t>
  </si>
  <si>
    <t>486b4918ac2c33c44fb7f13ea002b40be59fc46f4d0a2ccca6be67b551695992</t>
  </si>
  <si>
    <t>201368C01002</t>
  </si>
  <si>
    <t>52cd638535a2ae8375683052903d1eb5ce57845ca782cd41b4a78fb20fe6a8e4</t>
  </si>
  <si>
    <t>201368C02002</t>
  </si>
  <si>
    <t>8d5e0416dd9805b0b8fc1b3daa05e3d0e1f1ce3478cde6868901d48511efb396</t>
  </si>
  <si>
    <t>201368E01002</t>
  </si>
  <si>
    <t>6ab1a8e721b40b4104167a2e37efcd33630fea08b2e02733373c8366b83ae418</t>
  </si>
  <si>
    <t>201369B01002</t>
  </si>
  <si>
    <t>a9e80207d610d61d79ca07adab375262dc56cac19289b5c064f374abef213b3d</t>
  </si>
  <si>
    <t>201369C01002</t>
  </si>
  <si>
    <t>861f2185cd99fe2bf37e76ed4c521db20d841bc8ce077ace08248f28f8a9722f</t>
  </si>
  <si>
    <t>201369C02002</t>
  </si>
  <si>
    <t>367c715d5aa339917efedefddfd9650c03467af4048cbe40ac68a476d427c193</t>
  </si>
  <si>
    <t>201370B01002</t>
  </si>
  <si>
    <t>bfe59b7defda9aa018e4e78017b0f7525baf65e1171dd8b81212cd42f8814d83</t>
  </si>
  <si>
    <t>201370E01002</t>
  </si>
  <si>
    <t>a4585193ca65aa0502c3764e0b6356917807cc717f12272d89460a7cd51310fe</t>
  </si>
  <si>
    <t>201515B01002</t>
  </si>
  <si>
    <t>59fd7c8337b605927fff0ba6cd9544cd17e69c819ecf46af2060470d28feb546</t>
  </si>
  <si>
    <t>201515C01002</t>
  </si>
  <si>
    <t>f3cc27ea4762f588adb09bb0b0b6b042126c6537ce552767bf5bc6c1da444374</t>
  </si>
  <si>
    <t>201515E01002</t>
  </si>
  <si>
    <t>a007a7b7c7326191591548a08387ae4a213f31128650c242b43fcf489e595687</t>
  </si>
  <si>
    <t>201585B01002</t>
  </si>
  <si>
    <t>5273546c9aa5d4323b7a9d1050986349303f5594c4f6069c2dd99baa6278aaa8</t>
  </si>
  <si>
    <t>201585C01002</t>
  </si>
  <si>
    <t>c670b5f1fc542c19ea3a365ccc32340a5654b1f552a46792fe6f870f05096dbe</t>
  </si>
  <si>
    <t>201586B01002</t>
  </si>
  <si>
    <t>cda7f9513a43b1367ecae4462babfb225893cbc422223d50a02da097f3df8422</t>
  </si>
  <si>
    <t>201586C01002</t>
  </si>
  <si>
    <t>cd3d71868389b2f229b545cd3aaff98f23631764a75e4d9098095ed435a9c0be</t>
  </si>
  <si>
    <t>201586S01003</t>
  </si>
  <si>
    <t>97ddf4afe437811cabe39a25b1e8381d283534fbc9b60910f9df9dc2081b41f4</t>
  </si>
  <si>
    <t>201587B01002</t>
  </si>
  <si>
    <t>c2e91fc956d7ab318a8673ba2c48acd7bd92078a6da1567788b5e267a4ca373d</t>
  </si>
  <si>
    <t>201587E01002</t>
  </si>
  <si>
    <t>25cff39c85f31b6e373f2f0cb0d66d9aa13aad9f87614252db419b2d1114e1fa</t>
  </si>
  <si>
    <t>201588B01002</t>
  </si>
  <si>
    <t>7819a66169850f248608e77d94a8fc37c1a58d80682c732c2a6ed90c775d9c5f</t>
  </si>
  <si>
    <t>201778B01002</t>
  </si>
  <si>
    <t>016a33fd5a7ae6eb5515f9b67b0cb875b600e5d145b5ecece00e8bbea1b86e26</t>
  </si>
  <si>
    <t>201778C01002</t>
  </si>
  <si>
    <t>98a190abb04574cd93f05b64d22f3bfcec3c09d8310bddd273925773a526d0ea</t>
  </si>
  <si>
    <t>201778E01002</t>
  </si>
  <si>
    <t>2227fe13a3d617c4fcaa41ecfd18b27c2d943f83408a241979aa5e880802b787</t>
  </si>
  <si>
    <t>201779B01002</t>
  </si>
  <si>
    <t>fbb3bc6d2065f9a5a7d4e78757acd2deadc5d3a50410a01967d045b4fe86e438</t>
  </si>
  <si>
    <t>201779C01002</t>
  </si>
  <si>
    <t>c79f29274b34013682aa5595c63bb8b771b3ae59728d30cb7434318e80f4b7ff</t>
  </si>
  <si>
    <t>201911B01002</t>
  </si>
  <si>
    <t>18bd441934a02370bc2f194653aa2e2ed3ec3aee39f6ccc19b328322cb62c873</t>
  </si>
  <si>
    <t>201911C01002</t>
  </si>
  <si>
    <t>bd968b3a61c5d14eb3918b39adb85d9ab23b255b0f31f7b7c38f50b4aa3f0ed0</t>
  </si>
  <si>
    <t>201911E01002</t>
  </si>
  <si>
    <t>1ed78d293cda12aca8a0d5e4ee6fb35ed1c32a4807f21416103fb9ac9f3d9baf</t>
  </si>
  <si>
    <t>201912B01002</t>
  </si>
  <si>
    <t>2e943bb9c23b89acacb3f88330c5153fffca387dc20b863b4469686bd321ad95</t>
  </si>
  <si>
    <t>201912C01002</t>
  </si>
  <si>
    <t>4afc4ec59de9285b2c8ca0e09562a6108fece46b59cd30caad813efb09bd37f9</t>
  </si>
  <si>
    <t>201914B01002</t>
  </si>
  <si>
    <t>3f1aa72fa5c2ed788e4cfa8f2e6c949b7a05cca1a0bab52c5aded99833632fda</t>
  </si>
  <si>
    <t>201914C01002</t>
  </si>
  <si>
    <t>6540173ded85a099a508af8c4f51afd4e176b85ffe698523e438f18f639aab89</t>
  </si>
  <si>
    <t>201914C02002</t>
  </si>
  <si>
    <t>bd70c6dc01eeaa8a2f1ccd40b6ffb70b8fd71ba6ac9b1609766ae203fdc15d6f</t>
  </si>
  <si>
    <t>201915B01002</t>
  </si>
  <si>
    <t>9b2aecdfd08acb4c45fe69a212dddc646e03cec4b4cb07bab2bc8b7f9c78f706</t>
  </si>
  <si>
    <t>201915C01002</t>
  </si>
  <si>
    <t>cb9506058564a3de072d89b89171574007853ff17eb9a6ff4be5a060f0c59033</t>
  </si>
  <si>
    <t>201915E01002</t>
  </si>
  <si>
    <t>47ba559ced90894da93f5c6eb93927d7f6123950db8e9375c62bac8f2854f437</t>
  </si>
  <si>
    <t>201916B01002</t>
  </si>
  <si>
    <t>4035ba4b7838b64780640334e4a74d9bef49995cbcf67c4469ca7d0cc61f1a9e</t>
  </si>
  <si>
    <t>201916C01002</t>
  </si>
  <si>
    <t>03abd91b47b9d85a0f66fa892276415e533dfe702c4814d2bb38ed3bdab3e441</t>
  </si>
  <si>
    <t>201917B01002</t>
  </si>
  <si>
    <t>a630674199740ecf4d2d0d67c0725e40865907c0403a42ea5de2f1ff4fc843f5</t>
  </si>
  <si>
    <t>201917C01002</t>
  </si>
  <si>
    <t>3da9e0c24e7d10e8c98890c0a5212769ddc648f357e57fafdb4fd1043f5307cd</t>
  </si>
  <si>
    <t>201969B01002</t>
  </si>
  <si>
    <t>df285edfa0cfbbc00d8216fc2ef22d57a219676f1fa47321ae99638e45e2036a</t>
  </si>
  <si>
    <t>201969C01002</t>
  </si>
  <si>
    <t>3bf075c887af5d403c7d0846507b824473f229e1f2a8c7981f9bf011e688c6bf</t>
  </si>
  <si>
    <t>201970B01002</t>
  </si>
  <si>
    <t>0c38b616f22726edee644f31ed68204af45c2f75a152b26dfa2e3684bddf7f49</t>
  </si>
  <si>
    <t>201970E01002</t>
  </si>
  <si>
    <t>84da8fe6b5c9d19427f22b242d16be7d4629cb49bd56876e034d6b821ee4628c</t>
  </si>
  <si>
    <t>201987B01002</t>
  </si>
  <si>
    <t>6f914043b53455f7defe744ec6592d2ed48e9ffcb025c2a71c43b5fd06b63572</t>
  </si>
  <si>
    <t>201987C01002</t>
  </si>
  <si>
    <t>ee2d7947d167326475b8eb69400d32b9d3a471f4eeb7c99bceacdbd6ef331021</t>
  </si>
  <si>
    <t>201988B01002</t>
  </si>
  <si>
    <t>8019b732c0eea79d07ad7204fafa3646f6d5b9c0263f8aa970ec80ca4b4e7bc8</t>
  </si>
  <si>
    <t>201988C01002</t>
  </si>
  <si>
    <t>5e117fded25dd068318d1b58fc0bd1c09a8ec7f0a9725aba2e713bcc6439eede</t>
  </si>
  <si>
    <t>201989B01002</t>
  </si>
  <si>
    <t>1e81236c12cec5850b66f8a1e1e4bdbc4ba0e49fc4dd74b1335ffbd414af586d</t>
  </si>
  <si>
    <t>201990B01002</t>
  </si>
  <si>
    <t>39f7f36cc71c9ad691d7209e6d17a139abd54c85f3529ab6515db03ad8bb3985</t>
  </si>
  <si>
    <t>201990C01002</t>
  </si>
  <si>
    <t>ec846f1541790a2ad6363d74c3dc30aa67a0837e7751de540c07900a84a6c73f</t>
  </si>
  <si>
    <t>202004B01002</t>
  </si>
  <si>
    <t>63a366319803c711aa06fec2c7514ce19ab6a3570fea2800f5a6fc62f54dd01d</t>
  </si>
  <si>
    <t>202004C01002</t>
  </si>
  <si>
    <t>11a0da2a90a6e6ab6daea62f54496de063a3bbd166486285f94b7204482be96d</t>
  </si>
  <si>
    <t>202151B01002</t>
  </si>
  <si>
    <t>345cb41012b7368105f9ffda79e103289afaa749216391d423470bd1343fed81</t>
  </si>
  <si>
    <t>202152B01002</t>
  </si>
  <si>
    <t>98f72b3477a05e0c310c197e893c914d8431d6a65812b4b772cabf2dd8e5b17e</t>
  </si>
  <si>
    <t>202152E01002</t>
  </si>
  <si>
    <t>3c1735aea32bad7e4c3fb1b7a0ca5a09b7c4f71d7bf312914a4806f99ce8d32e</t>
  </si>
  <si>
    <t>202153B01002</t>
  </si>
  <si>
    <t>49ffee626f8a30a9194f2d3a0fe6dc073e0635cc701e226ae9520d4007dca2f5</t>
  </si>
  <si>
    <t>202153C01002</t>
  </si>
  <si>
    <t>f2f766e5645e4dfbd5f39b0433ecc40f0017fffb5e0437e9f22d06f447984ff2</t>
  </si>
  <si>
    <t>202153E01002</t>
  </si>
  <si>
    <t>89bb5a6ffb5c792cdc110501bc9235c0c7bcfdca40bc7306c428cc8f8a301079</t>
  </si>
  <si>
    <t>202153E01012</t>
  </si>
  <si>
    <t>d2a34f670f30ff1b4637a8ddc9e877064e378cef0762d576dd4f2c55c8c7e84e</t>
  </si>
  <si>
    <t>202154B01002</t>
  </si>
  <si>
    <t>ca5d25451c7f93856b9976bd5d988232b64e90ace05c9824f8d146aff9414b33</t>
  </si>
  <si>
    <t>202154C01002</t>
  </si>
  <si>
    <t>b52eff4afe2adfb73d269edfa36d284ba4f74113688763cb60b8ffb757f0f18e</t>
  </si>
  <si>
    <t>202154E01002</t>
  </si>
  <si>
    <t>857bf4c24b8517483f7647ab4bd9f2634757b2104b1776464f22fcdca97a5cea</t>
  </si>
  <si>
    <t>202155B01002</t>
  </si>
  <si>
    <t>5d2fa12b208e1e0dc8ae8fc8bd5e9ebd576d2bb84e8a5c41f922b80bd1b04b68</t>
  </si>
  <si>
    <t>202155C01002</t>
  </si>
  <si>
    <t>3c889282fde8ab93655d3d8c5b93055fe4c52fc04877e0a00b126180c3707be7</t>
  </si>
  <si>
    <t>202167B01002</t>
  </si>
  <si>
    <t>6ba3697f96af591dd4eff03cb10827ee61fb7cfd0cb24609037dbe82db6ef1b3</t>
  </si>
  <si>
    <t>202167C01002</t>
  </si>
  <si>
    <t>b263da7bc4adfceccedfce3bc0c31e37fa618c945e735fc865e76bbf4e7f7382</t>
  </si>
  <si>
    <t>202168B01002</t>
  </si>
  <si>
    <t>ec0d0ec919c6b05cf54c71cfa2e980f61ff722eb6191b8403e75b29eb06de616</t>
  </si>
  <si>
    <t>202168C01002</t>
  </si>
  <si>
    <t>09a62131add1bf9cceb249f706dfa23f6dde53f198c46470597d35ca0a2196c1</t>
  </si>
  <si>
    <t>202169B01002</t>
  </si>
  <si>
    <t>62a66dc30c807fc77932337d5e29a041c8ef6a8971c4458f5862cad6a922d208</t>
  </si>
  <si>
    <t>202169C01002</t>
  </si>
  <si>
    <t>da295b36cf31adc0343442057e285a1792771b83c0cacde5d78a708016579ec9</t>
  </si>
  <si>
    <t>202170B01002</t>
  </si>
  <si>
    <t>1218c8c8d21f1d71a94fc6dbe4eeb6173376c9e44f0b2a2266550506758c8aaa</t>
  </si>
  <si>
    <t>202170C01002</t>
  </si>
  <si>
    <t>02bf713e0fc25cad3a49c0c85a52de7bd6c0957aa3a95d8ce0c0017898cf6da0</t>
  </si>
  <si>
    <t>202231B01002</t>
  </si>
  <si>
    <t>21045654ef3960f77e4d621b411735a2b78c18b2b9dabeb76c5357b2bcc96da3</t>
  </si>
  <si>
    <t>202231C01002</t>
  </si>
  <si>
    <t>9360a305b19fdc2185db826e35f06cc620214f6a33c2a9905292cc45c3e0d9be</t>
  </si>
  <si>
    <t>202231C02002</t>
  </si>
  <si>
    <t>52356564e31a5852b708ff4e127888f8c0bb2c245c94300ce99d11eb370e7c46</t>
  </si>
  <si>
    <t>202232B01002</t>
  </si>
  <si>
    <t>974a8a1e9b52dece5c85b3b012d36a5bcbb38e98b8f6937725633a97cfb1252d</t>
  </si>
  <si>
    <t>202232C01002</t>
  </si>
  <si>
    <t>61493b257fd9c96841506c930435d6c4b6dc51602fcf5c7317ad52eddd801f0d</t>
  </si>
  <si>
    <t>202233B01002</t>
  </si>
  <si>
    <t>ff28a4bc286e1afbc537fefdc1d87e2f0271f58a0fc67e2c5001843ebefa596c</t>
  </si>
  <si>
    <t>202311B01002</t>
  </si>
  <si>
    <t>29125d3e162bdeb0f51c8321838ed1028cf552226259be37d2be32cdb9c92470</t>
  </si>
  <si>
    <t>202311C01002</t>
  </si>
  <si>
    <t>ca6f8cf39ca81b6a3d5cd01b71bb9700a24325a5db038fdb37db726003eeb987</t>
  </si>
  <si>
    <t>202311C02002</t>
  </si>
  <si>
    <t>8df6ca05be5aa79c80d86a00766d7e1dd4a2dcd18dced02c932cf00b446b0a10</t>
  </si>
  <si>
    <t>202312B01002</t>
  </si>
  <si>
    <t>810281248b91fabf31c78c49338b979b728edfb2cb86cc3cad55ef4576d69fa1</t>
  </si>
  <si>
    <t>202312C01002</t>
  </si>
  <si>
    <t>caf652c0d600420f9bad7f36fa08b02462ee7646fa5fc12dd57b44c0389f1e95</t>
  </si>
  <si>
    <t>202313B01002</t>
  </si>
  <si>
    <t>382eb54fb64c7c12c2b3b3d781da218f481b041004cbcffd9bde7b4b5ddba591</t>
  </si>
  <si>
    <t>202314B01002</t>
  </si>
  <si>
    <t>906e1638a8cc528ae965b3f154304c4241d2668583a9201c15a9611469cbe507</t>
  </si>
  <si>
    <t>202314E01002</t>
  </si>
  <si>
    <t>190df993a64a12afe8ad4621ce125d1d0ff125bf17793b6a82160c6dce3158ed</t>
  </si>
  <si>
    <t>202315B01002</t>
  </si>
  <si>
    <t>463a670f8deb6465ca8fe1442cc99e3a89a2add6806f4f4d73cab271f91104ff</t>
  </si>
  <si>
    <t>202386B01002</t>
  </si>
  <si>
    <t>3673b54a1732e42670ed1695a167071705be3c1b3c3dcfda545bd53f9819ecd6</t>
  </si>
  <si>
    <t>202386C01002</t>
  </si>
  <si>
    <t>23c3b8bde8d082e704232402295118287ae2bb68631ff42e6c71aa4ef5d20a63</t>
  </si>
  <si>
    <t>202387B01002</t>
  </si>
  <si>
    <t>950fb205b1806eb03f3b8afdce1d001c0596a2d05cfbf2fbfbf664f7b0d4b802</t>
  </si>
  <si>
    <t>202388B01002</t>
  </si>
  <si>
    <t>bfc034f22da28a88b87379e1849d55ce607d289d15256c6493c750aeb5f862df</t>
  </si>
  <si>
    <t>202388C01002</t>
  </si>
  <si>
    <t>433c6a5f17410bcb2d55fbdcd60fa90a217a58f3f528145949116bd3a7139be1</t>
  </si>
  <si>
    <t>202389B01002</t>
  </si>
  <si>
    <t>953773e07a95e1d7ade69fb22fd9302c195f3ef0654e86ae8e7384cff6a27a8d</t>
  </si>
  <si>
    <t>202389E01002</t>
  </si>
  <si>
    <t>c5ea507b97a25d56bdf67ce52632ebee2a2d0ef850d66b3570a315fe83978852</t>
  </si>
  <si>
    <t>202390B01002</t>
  </si>
  <si>
    <t>3936f8584a06b37cb9533d81b92eb27fb4d4c716aee97dc96f404e854b6468e5</t>
  </si>
  <si>
    <t>200077B01002</t>
  </si>
  <si>
    <t>MATIAS ROMERO AVENDAÑO</t>
  </si>
  <si>
    <t>c32b2c99d4eaec850b17f07c5bde8b69ab79b70be9048234e5901f4f08efaa16</t>
  </si>
  <si>
    <t>200077C01002</t>
  </si>
  <si>
    <t>5a4e01cfc24f294b8cabe8f197b4b3b73d551b4f6acd8bb195385be437c8fe85</t>
  </si>
  <si>
    <t>200077C02002</t>
  </si>
  <si>
    <t>8bf05ba5e3daf0d69a383b895218ed167bfcaff1fab811efe2d07928f31edddc</t>
  </si>
  <si>
    <t>200078B01002</t>
  </si>
  <si>
    <t>8a14e7aeac9d57f8f9b60064a166ff3b93791dd92b927f27cfce6a9ed0069bdb</t>
  </si>
  <si>
    <t>200078C01002</t>
  </si>
  <si>
    <t>a7b3a953d90759a7c3f90ca73a1d7fb33713706e6f9b3cc251b774d5d50f024f</t>
  </si>
  <si>
    <t>200079B01002</t>
  </si>
  <si>
    <t>fcaa38aefdae6c43b4333e2af4bec2f77532b152408a533b47201dc09bf4f0d7</t>
  </si>
  <si>
    <t>200079C01002</t>
  </si>
  <si>
    <t>95a693aa7517f8f0a716076d46c8feb8ccc8340711a7e6bf0cd5bae1ad451edf</t>
  </si>
  <si>
    <t>200079C02002</t>
  </si>
  <si>
    <t>25cfcfe4702b85f431e9fa812431b1aa86efe8df6cefa4445959932909711d78</t>
  </si>
  <si>
    <t>200080B01002</t>
  </si>
  <si>
    <t>5422943612a35b1746e804b4811f5cf38b9f75b4720e2c4a06964b09dbaaf7f2</t>
  </si>
  <si>
    <t>200080C01002</t>
  </si>
  <si>
    <t>ce3b6787eee2efefab84306fd81aaef9822d12a677a439d9be94a75af578bd57</t>
  </si>
  <si>
    <t>200081B01002</t>
  </si>
  <si>
    <t>df88fb246ce5ac0a3b7d8456c8b86b81698f379b5cfb894a3dfc253884b514a3</t>
  </si>
  <si>
    <t>200082B01002</t>
  </si>
  <si>
    <t>5779e08d9b33bbf947f070c3c1f4fa42ebfac04b5ca75ae07c9a8948ea03975a</t>
  </si>
  <si>
    <t>200082C01002</t>
  </si>
  <si>
    <t>7cc2e421f3c383206b305d6c128643454bf9978bf4224d31a224ceec5b83d1ed</t>
  </si>
  <si>
    <t>200083B01002</t>
  </si>
  <si>
    <t>bc5f272c7796c851eec0e9b2a5db2d6eb5745342e9044ccb311a35612dd57013</t>
  </si>
  <si>
    <t>200083E01002</t>
  </si>
  <si>
    <t>a2cb79a821af1a7634f39119d477d7c82ca514db5360ac3e4cf5515de484fd6b</t>
  </si>
  <si>
    <t>200084B01002</t>
  </si>
  <si>
    <t>cb01f5e8bf1c2e21a80fe0ca43219e1ef03080f579b97ae3bea7db8f6ac537c7</t>
  </si>
  <si>
    <t>200084E01002</t>
  </si>
  <si>
    <t>f168906ea2f3661e3aa7ce8f683b9ca591e0c7854d4d4aae732c8639aa02a235</t>
  </si>
  <si>
    <t>200084E01012</t>
  </si>
  <si>
    <t>e01f4ce0d1f82a40c418c8e6b1c8c06d914689ea3f5173c0b0b5bfc815c4c996</t>
  </si>
  <si>
    <t>200085B01002</t>
  </si>
  <si>
    <t>40f9dd915c125e291e2f15527d9561672e0cba7e2637a118d7f712cdb1d00304</t>
  </si>
  <si>
    <t>200086B01002</t>
  </si>
  <si>
    <t>f4f8ebdb4d4ee6a4e313f0c7f3c0901bc3f07e2afe0877dfe5c32f8cba436f3c</t>
  </si>
  <si>
    <t>200086C01002</t>
  </si>
  <si>
    <t>382a6e2f745e8591f95b6a59af251d4515183e8fd4b990f2324369e93fc046d2</t>
  </si>
  <si>
    <t>200097B01002</t>
  </si>
  <si>
    <t>06e7612aa16a5ef6648e1f508e3a9175f596497c6c14c63ca0073583a9590c9a</t>
  </si>
  <si>
    <t>200097C01002</t>
  </si>
  <si>
    <t>d0fe071acb28475af9f3e709b6074161833ecc0d9da4508147b810a6780b9528</t>
  </si>
  <si>
    <t>200098B01002</t>
  </si>
  <si>
    <t>9a8e762924caf227dafa09f530addaa4121277e9c489a3f5a1287859b16c3bf6</t>
  </si>
  <si>
    <t>200098C01002</t>
  </si>
  <si>
    <t>9a24ab47efae9fb215c8d5c9edfb58b7341c48ed50d4d22361661710ad912299</t>
  </si>
  <si>
    <t>200099B01002</t>
  </si>
  <si>
    <t>455a7a77d1ada846069fe1f8a6cf494b9db6d00fddc2116b33f91920948d52ad</t>
  </si>
  <si>
    <t>200099C01002</t>
  </si>
  <si>
    <t>76d06d1ac700969f6c3a47d8f919bac286de2bf2b6602b180bbf456c94ec423a</t>
  </si>
  <si>
    <t>200100B01002</t>
  </si>
  <si>
    <t>214b6f40e6d72d897b618e5035e2a64686337a4c0c682decd1579ecbf6be82ac</t>
  </si>
  <si>
    <t>200100C01002</t>
  </si>
  <si>
    <t>02db3b022d0c6bdb56f98a00f68a1b264e39eea3669de21ce6788eba1b1d7e28</t>
  </si>
  <si>
    <t>200101B01002</t>
  </si>
  <si>
    <t>673c02f3675ea252469a21862512c27b3bd0bb06bf98181821ed210efa04be37</t>
  </si>
  <si>
    <t>200101C01002</t>
  </si>
  <si>
    <t>f75e68f7822f3afc7f56dd3f25d3114eebaab6fe6a510146cedd020f528adb8f</t>
  </si>
  <si>
    <t>200102B01002</t>
  </si>
  <si>
    <t>1e254dfa76f1f25639e3b5b0ca70863be01e6caeea166d3cba1d2f44be0e6a81</t>
  </si>
  <si>
    <t>200102C01002</t>
  </si>
  <si>
    <t>e8dd83670740cf6fc40381e733ad5aae7bde8d3ed038c9fdfa1d71d493ec06dc</t>
  </si>
  <si>
    <t>200103B01002</t>
  </si>
  <si>
    <t>bef733969486079b493d4288c16c7541eec34eeb8974d8c8b13ccf88155a6e60</t>
  </si>
  <si>
    <t>200103C01002</t>
  </si>
  <si>
    <t>2889eb87e2ede1c2e011a5f1337527210670b5568e35cf09e7521508cffe3aef</t>
  </si>
  <si>
    <t>200397B01002</t>
  </si>
  <si>
    <t>7835f4b7a0ec23627c3f070f5db71bbdda4988aeaa7226f016ef8e3644bba0a6</t>
  </si>
  <si>
    <t>200397C01002</t>
  </si>
  <si>
    <t>5eada2d18c213ec67ee8f7e708d9d17a2c788711b6768614fe0c51b50cd94d9e</t>
  </si>
  <si>
    <t>200397C02002</t>
  </si>
  <si>
    <t>8e63911d3b46c7ae52566a41112128a9bcbe675552b77ae587cc8cec0058cf73</t>
  </si>
  <si>
    <t>200398B01002</t>
  </si>
  <si>
    <t>bf26913f1fee347a04037fa57e4960d064a103f96b6351cf05b9dbe32050bd3e</t>
  </si>
  <si>
    <t>200398C01002</t>
  </si>
  <si>
    <t>9cc1b5dcf2a30dafe75dd9cd844842f18e92aacd24bced0fb075645809ae4895</t>
  </si>
  <si>
    <t>200399B01002</t>
  </si>
  <si>
    <t>86ad0f38d187901ed9fb8331e353eae3f518b1064b72e02bc867304e2bd69ec6</t>
  </si>
  <si>
    <t>200399C01002</t>
  </si>
  <si>
    <t>055631cc7ee36bf411b262155fe1aaa146983b5be1fa26be823c70a41e38c70c</t>
  </si>
  <si>
    <t>200400B01002</t>
  </si>
  <si>
    <t>06bd63825b02c976b2df11b67237207e02448dcb93ca310c8c4820bebab31ee9</t>
  </si>
  <si>
    <t>200400C01002</t>
  </si>
  <si>
    <t>eae3ff2b91eb96f406db601d026fbee3a22f5e7f9d37cf2c591abac9775fac27</t>
  </si>
  <si>
    <t>200400C02002</t>
  </si>
  <si>
    <t>dacd345910969d0d1ee7a1c2dc87ac1f6f26f696eb13c25df7136452ed8aafc4</t>
  </si>
  <si>
    <t>200401B01002</t>
  </si>
  <si>
    <t>467e6eaf6d4d3fcc7268ce120f81dc93cfa1b5871f9ab510a73c3e0acc9bdd7b</t>
  </si>
  <si>
    <t>200401C01002</t>
  </si>
  <si>
    <t>8aedec675ac270056187151fe15ce55d8433a051f5718f08e7202707a5f28d25</t>
  </si>
  <si>
    <t>200402B01002</t>
  </si>
  <si>
    <t>1b3f7dc6d673c0f748371f750d687de000c408fad5014cc21e2c7116abd975d3</t>
  </si>
  <si>
    <t>200402C01002</t>
  </si>
  <si>
    <t>624c9504c0dae2622a19033ffb480c10dcbb53252b72bd48b731b67ded2d3a3a</t>
  </si>
  <si>
    <t>200402S01003</t>
  </si>
  <si>
    <t>e13cb255100476cc6bb78a773017ec4927004f454ae82454902d8f9ca4a7d66b</t>
  </si>
  <si>
    <t>200403B01002</t>
  </si>
  <si>
    <t>1c8c611fbf634dd308654973edd27a6634c1f6b2589d6174de6708d87338d8e7</t>
  </si>
  <si>
    <t>200403C01002</t>
  </si>
  <si>
    <t>748929f186ff1a644ae393f7932d2b24685aaec8f3db7a26edf541432a8967d9</t>
  </si>
  <si>
    <t>200404B01002</t>
  </si>
  <si>
    <t>b7a0216293af2df84babf959a78c66a23a1424823a1538ba1202dd7d5152fa13</t>
  </si>
  <si>
    <t>200404C01002</t>
  </si>
  <si>
    <t>eb97d23678e64c5528c13476e6fd95e01829ec07f2fd2d1816ec87ad672fe783</t>
  </si>
  <si>
    <t>200405B01002</t>
  </si>
  <si>
    <t>ed345b7c6efa56a6252cc511ed481e713558a7c09e14406f6f3d9b207da1faeb</t>
  </si>
  <si>
    <t>200405C01002</t>
  </si>
  <si>
    <t>a83fe7593a8e7213e05dae4b4b18e082cf4780fbf21cd1f25a6929aa4ff34482</t>
  </si>
  <si>
    <t>200406B01002</t>
  </si>
  <si>
    <t>94190dff14def90ae3cdcd14455b9465dd9767a9d033f0685ef934c845fef9ac</t>
  </si>
  <si>
    <t>200406C01002</t>
  </si>
  <si>
    <t>6bdc4ec6b46a455a7a62421f195ce583b4ea2fc7a23c6d9a8114ccc05e457dc9</t>
  </si>
  <si>
    <t>200407B01002</t>
  </si>
  <si>
    <t>42fc762da50c12fbe795f17e082698f44e71aa16543a86bc49806630cb1b4060</t>
  </si>
  <si>
    <t>200407C01002</t>
  </si>
  <si>
    <t>05bff5eb8a8f4ecc68869da4f2511531084cf5319fe5aee3cc493d0e932464af</t>
  </si>
  <si>
    <t>200407C02002</t>
  </si>
  <si>
    <t>ba0b8027add6143d0ad9280ac185b99b14a01e5c091cf429be2a3743590d4307</t>
  </si>
  <si>
    <t>200408B01002</t>
  </si>
  <si>
    <t>3ef7f1c5bf16052303d33067abeb0eb1cc6a648d1d1b404792df7383c580f3dd</t>
  </si>
  <si>
    <t>200408C01002</t>
  </si>
  <si>
    <t>777407a87ccd9784ab8dfeccb13eee369b61bc0602ce17850d9006cca996b7e7</t>
  </si>
  <si>
    <t>200408C02002</t>
  </si>
  <si>
    <t>350447ec3b870bc9bcb981525cf733f7d35e7c75a475acda746a4f0c8f350f8a</t>
  </si>
  <si>
    <t>200409B01002</t>
  </si>
  <si>
    <t>b39a5f950489e7b281f7ce60ce2953fb259bbd3dd2050423254444e0d2c2ed72</t>
  </si>
  <si>
    <t>200409C01002</t>
  </si>
  <si>
    <t>9bcafcead1d5b32390aa93fdba7a9befb4d2c048fe42341af8408304f4a52484</t>
  </si>
  <si>
    <t>200409E01002</t>
  </si>
  <si>
    <t>1fbbe3057445731c2a3ff78bee8e8c651a8de1caae002f26f6204e31115bad0d</t>
  </si>
  <si>
    <t>200410B01002</t>
  </si>
  <si>
    <t>568f67d448f98231cd041ddadfe8c67a4f51758f669c213710f0e4ee0f777ddc</t>
  </si>
  <si>
    <t>200410C01002</t>
  </si>
  <si>
    <t>ad72f5dfe9b5ad5f6e47656b4aa43106f2151b6a28386e0adf26d141201091c9</t>
  </si>
  <si>
    <t>200411B01002</t>
  </si>
  <si>
    <t>599a0c985accda2ad66b13b5690b1cc9d10d94e958db77fdaa300472d23c1093</t>
  </si>
  <si>
    <t>200411C01002</t>
  </si>
  <si>
    <t>b017f1b0fe1b9d8118dd2c57ead43de4d5a412052d814c49d9956b9fd1abf683</t>
  </si>
  <si>
    <t>200412B01002</t>
  </si>
  <si>
    <t>d3ff3f7ed96b68ce6c74c2962b63ba206d115d942714a7a3dd81fd722b29565f</t>
  </si>
  <si>
    <t>200412C01002</t>
  </si>
  <si>
    <t>afb896a5c38a9b42cfda5cff16bbf5139b4d554cf603199c71b5f6eb58e15646</t>
  </si>
  <si>
    <t>200412E01002</t>
  </si>
  <si>
    <t>22c1e2320674761359fb30ccdfada41cdc8a0010229553fb13f9de662e2baa92</t>
  </si>
  <si>
    <t>200413B01002</t>
  </si>
  <si>
    <t>7c17487938e10ec68a5bc84c635689e86a770650c8136d8ebb01e4dd5ae22a9d</t>
  </si>
  <si>
    <t>200414B01002</t>
  </si>
  <si>
    <t>1323be43e4ee878d54babd0acd697aac2e8f2898f4cb2ae5fd95416a9cb68d2e</t>
  </si>
  <si>
    <t>200414C01002</t>
  </si>
  <si>
    <t>57dc9212478caaf7f0628738a0de645bf7b753a6e302acdd1721df8fe87c7d51</t>
  </si>
  <si>
    <t>200414E01002</t>
  </si>
  <si>
    <t>493c6c1231e20b8b6fc53316091ac411684a092cff42d17dffff7d7943ccc4a8</t>
  </si>
  <si>
    <t>200415B01002</t>
  </si>
  <si>
    <t>c34f6844fc0c44e4b8bafa590c0f3a052d1f8ba069c3cf486ba060b63a005d9b</t>
  </si>
  <si>
    <t>200415C01002</t>
  </si>
  <si>
    <t>6a5e634eadecee00c74da595afd1a7928e3fcaf58921aa57fbe7dda43107bdcb</t>
  </si>
  <si>
    <t>200415C02002</t>
  </si>
  <si>
    <t>59348152d9f7478d197f03b0fbc51aa2c9711b8ad0997af92ccd83f9ba0f76f0</t>
  </si>
  <si>
    <t>200416B01002</t>
  </si>
  <si>
    <t>6dac3b5306b89c3e90f7e004a7d9f172776a2d611ea0c34e1c59412500f90917</t>
  </si>
  <si>
    <t>200416E01002</t>
  </si>
  <si>
    <t>e5a83144fcb78fd0e576565bbc54bbe46dbb0908ec74ce23a52a5bc4479f1d55</t>
  </si>
  <si>
    <t>200417B01002</t>
  </si>
  <si>
    <t>c438adbcd126102c0e746995d457231ea62f5c4a39b3d353dd58b91154a6d24a</t>
  </si>
  <si>
    <t>200417E01002</t>
  </si>
  <si>
    <t>777b8c752815f6c88c7d8b4e152b9484b3d46efce23ac16e939f8ed3887be042</t>
  </si>
  <si>
    <t>200418B01002</t>
  </si>
  <si>
    <t>65b057a9828588194c0db1710176d82b528fd0e336dfda76466736287c07bf48</t>
  </si>
  <si>
    <t>200419B01002</t>
  </si>
  <si>
    <t>f2d5323ab0cd98d1df3cc18c76859cb8b30fdba712c33a0393e75d3d0089576a</t>
  </si>
  <si>
    <t>200419E01002</t>
  </si>
  <si>
    <t>ebcf7b8429df3ebe8a501357c1d41c2ba80382360fea5fd5903b079cff3788b4</t>
  </si>
  <si>
    <t>200420B01002</t>
  </si>
  <si>
    <t>6b15cb5421af857ad183f347ae822839d8bab0e12d5be7f76bfc316e22f79e37</t>
  </si>
  <si>
    <t>200420C01002</t>
  </si>
  <si>
    <t>823e8ad2532fbe28cb366d04ef2e2d85c3ff3f2ec98d5610c3b27b7370244cb6</t>
  </si>
  <si>
    <t>200420C02002</t>
  </si>
  <si>
    <t>ed7f55d2b42c8cbaf442cf5a55ff0fbe3ac7cbd2aac3ec4a79b3c0fb9d1a5c73</t>
  </si>
  <si>
    <t>200420E01002</t>
  </si>
  <si>
    <t>6979d9074c193e3f5f1d1aef984547a3fe7c83af7eeee3bf2d32ac96081bce6b</t>
  </si>
  <si>
    <t>200421B01002</t>
  </si>
  <si>
    <t>e5ef1b2cdc2c8488b124ff6342f4ac0c47e5139cf2675e54eebd319b4f6f4729</t>
  </si>
  <si>
    <t>200661B01002</t>
  </si>
  <si>
    <t>d76431c1c8368e3fc7c4230acfb1abce0cd7780a834fb9dac5b1a7e8cea865bf</t>
  </si>
  <si>
    <t>200661C01002</t>
  </si>
  <si>
    <t>ceb38b115480fa4071a5fd3b6aaa0e899c913181fef9e646ec90835dee9ff0e4</t>
  </si>
  <si>
    <t>200662B01002</t>
  </si>
  <si>
    <t>bbfd48cf4ed22bf468b6e53c81eb43606647d88ae0ca8b8dbe3ddd820573866b</t>
  </si>
  <si>
    <t>200662C01002</t>
  </si>
  <si>
    <t>56f127415519839da2115f09654f2ed4a870394d548d183c9e6f99491a2e893b</t>
  </si>
  <si>
    <t>201139B01002</t>
  </si>
  <si>
    <t>61e2cf0537dbe66366b5841a39ea5bbbff0e153ce053efe9cc3efca52fd7cefe</t>
  </si>
  <si>
    <t>201139C01002</t>
  </si>
  <si>
    <t>adae35ab0be91777fdf51462635a21d7b31e56f94136e89a6cf98ce1487da4c5</t>
  </si>
  <si>
    <t>201140B01002</t>
  </si>
  <si>
    <t>6d889f45e3a62437770c2efeeeba2f1b1e20ead005ddcf62e9cc0d679ca2a399</t>
  </si>
  <si>
    <t>201140C01002</t>
  </si>
  <si>
    <t>15991d28b002ac78ca9a5634a213d58161cf975703de4b05fb2876c59cd6d780</t>
  </si>
  <si>
    <t>201141B01002</t>
  </si>
  <si>
    <t>1c0458b1e05064df8a07666029f6eb54e41e8449b2884c0e42b5660d02fc856b</t>
  </si>
  <si>
    <t>201141C01002</t>
  </si>
  <si>
    <t>7c1e7b2c2872039e24fd59d41bddd318464d50663c7f5391d0a37f75f3a50e40</t>
  </si>
  <si>
    <t>201142B01002</t>
  </si>
  <si>
    <t>3deca4c051181762fe894b60ea2a3b4207c06bf9a0aaaa1f7fbfd3daefa86f16</t>
  </si>
  <si>
    <t>201142E01002</t>
  </si>
  <si>
    <t>f89936a8995f14e8fc21a58299f9fc7a9ec74d61c5dd6a5d877eca27b58187ef</t>
  </si>
  <si>
    <t>201142E01012</t>
  </si>
  <si>
    <t>7f9faced338c2160e5f7b0d5f65b777632cf68ef463068c28bd6570728cefa81</t>
  </si>
  <si>
    <t>201143B01002</t>
  </si>
  <si>
    <t>fd4f078915d9765d49bff7e3dda142be00eafcc67f814a58b9e9a02a7ee5738d</t>
  </si>
  <si>
    <t>201143E01002</t>
  </si>
  <si>
    <t>2367070aff2a732186e59ee7766d87b5c7c3515a08a0550cf8a34f6daddd7b8e</t>
  </si>
  <si>
    <t>201143E02002</t>
  </si>
  <si>
    <t>d6ff264d78eedb8c919376d858ab69c0f0ba836a821cdb4ddbcf965df4758fb0</t>
  </si>
  <si>
    <t>201144B01002</t>
  </si>
  <si>
    <t>f5422f58aaed2104de79216ecc9d8b696d2ed1c705aa09bf1a3fb218bc3aa256</t>
  </si>
  <si>
    <t>201144E01002</t>
  </si>
  <si>
    <t>ccaf6c18962fd16e4063416d97db125ba1b54c987a9038fafc341b8cbed37868</t>
  </si>
  <si>
    <t>201144E02002</t>
  </si>
  <si>
    <t>ce97c580aaa13a4b48107ff0e37cbafc014782d630f6d3613198ffaa4ac1a06d</t>
  </si>
  <si>
    <t>201145B01002</t>
  </si>
  <si>
    <t>7fe4c2171814761d3b53915d5914298ad0f84d3a797da4c5e296c133a68ea0ed</t>
  </si>
  <si>
    <t>201145E01002</t>
  </si>
  <si>
    <t>5497b83c0f3fe767ce6b90c1b6bf871bcc23373448e01186b3062115f7e65dd0</t>
  </si>
  <si>
    <t>201146B01002</t>
  </si>
  <si>
    <t>28e7c2d929adf1dc7086d17409e4fd450f84924668abc0f19443fc28104ba113</t>
  </si>
  <si>
    <t>201146E01002</t>
  </si>
  <si>
    <t>e2973469f4af3e05e2a1cfb9b16661892233f977da6a586f64a0fc4b9974dfe0</t>
  </si>
  <si>
    <t>201147B01002</t>
  </si>
  <si>
    <t>a4fd515113da9b58846bc07a81d37370aff66fa912e757382d38c27fbd1a0b7b</t>
  </si>
  <si>
    <t>201147E01002</t>
  </si>
  <si>
    <t>6d37d348afef3519ffb9781ba8b9fcda2a74e88aa01af0bdff4e3934ba19046c</t>
  </si>
  <si>
    <t>201148B01002</t>
  </si>
  <si>
    <t>db385e6dcb33b05914491249a986eb34c4157290c0c599b64f591c10727de402</t>
  </si>
  <si>
    <t>201148E01002</t>
  </si>
  <si>
    <t>cfcd7128aae1812c0a36555bb59fca132082c6152ce0e7f41a185ed2bc69bc17</t>
  </si>
  <si>
    <t>201149B01002</t>
  </si>
  <si>
    <t>645aae6327291c7e1cc12b88dc3dbbbed6c16353bc7c33d8f4bb0e3d3492b150</t>
  </si>
  <si>
    <t>201149C01002</t>
  </si>
  <si>
    <t>0c02c803ab44943ce0b361a841f44747a11507ed2159cda6f85db4d7f16d3a25</t>
  </si>
  <si>
    <t>201150B01002</t>
  </si>
  <si>
    <t>4918e73bf5a3d92071fb80786eee558c2f7d31825ae922cbeb7798fe8a8db1e7</t>
  </si>
  <si>
    <t>201150C01002</t>
  </si>
  <si>
    <t>f9103d49a474b6c4489189b756cbf6b8e9e7b8e02f9b63a2d4227d3ed0962955</t>
  </si>
  <si>
    <t>201151B01002</t>
  </si>
  <si>
    <t>9274a9908536c7cbfc0570bf5330d7c25c700946a7608d720c2d06bc6d8bb0d1</t>
  </si>
  <si>
    <t>201151C01002</t>
  </si>
  <si>
    <t>0f78c64ecbffccb0905b4ac95754fae7fe5628c4cca35d1dd7ea104a9cd80a6e</t>
  </si>
  <si>
    <t>201152B01002</t>
  </si>
  <si>
    <t>379594554946a0011f32dfd034078392ffe7374af40af1f6e52cea99a8fcc7d4</t>
  </si>
  <si>
    <t>201152E01002</t>
  </si>
  <si>
    <t>1a90ce266bcdbbbedcc07939889d286a34253a140754298bc9f1528a19f563f1</t>
  </si>
  <si>
    <t>201153B01002</t>
  </si>
  <si>
    <t>4afa5fe93e582ac44f5feedb981029c9b6dab97051bf257692a12eb6c3314092</t>
  </si>
  <si>
    <t>201154B01002</t>
  </si>
  <si>
    <t>c2ed9bed4c3ba107240747cf81930e8b41c3886e7c4f4b7b5058b39351ae9c62</t>
  </si>
  <si>
    <t>201154C01002</t>
  </si>
  <si>
    <t>421fce0940fa5aa00f5bf0eba7b828c617dd3de5ff6209c5cbc29ef51bfa0ef8</t>
  </si>
  <si>
    <t>201155B01002</t>
  </si>
  <si>
    <t>439911a6c6c5ceef103345664537062b67277f95e3bf9de5d4069c430024ce73</t>
  </si>
  <si>
    <t>201155C01002</t>
  </si>
  <si>
    <t>95d73394eca71027053e86b87092b826ebc633fd96b96a5e9d13058931020d74</t>
  </si>
  <si>
    <t>201156B01002</t>
  </si>
  <si>
    <t>471c33dc2e810e557165019ce691c0ec111c7e3c4e28a859fd3f9022304579a5</t>
  </si>
  <si>
    <t>201156E01002</t>
  </si>
  <si>
    <t>ff620069cad9f2e9488d2c89d2b369acfce002513d29de2bfa497f6179f953d9</t>
  </si>
  <si>
    <t>201157B01002</t>
  </si>
  <si>
    <t>d2f3eb86760e4cbdf0b31297a747ced71accec0204a1f63282bd0045067e618a</t>
  </si>
  <si>
    <t>201157C01002</t>
  </si>
  <si>
    <t>41670d6743764e9770d111c95a63e329b7578c25fc46ecf16ad33261a785dc47</t>
  </si>
  <si>
    <t>201158B01002</t>
  </si>
  <si>
    <t>c52e2ccc13dd32a5427720758eac6b4887fcff649a39f5bb3801632c137d67fa</t>
  </si>
  <si>
    <t>201158C01002</t>
  </si>
  <si>
    <t>592d8d6d77c5ec58c1d53aa2636f8268b7f42b07689a9b078f1306b2a4a9e79c</t>
  </si>
  <si>
    <t>201158E01002</t>
  </si>
  <si>
    <t>311a27276ab3a09ce66a1eee910d1f667dcc79b45e7922300e7f5276ece4f093</t>
  </si>
  <si>
    <t>201159B01002</t>
  </si>
  <si>
    <t>5c1e7d65d3dca66b78fd5af397963b502a65758c14c2d0c958b127ee7ccdf58d</t>
  </si>
  <si>
    <t>201159C01002</t>
  </si>
  <si>
    <t>26240325a23c2085bc9695cd74dd8fe04f8bb46c2debadb994e83b46b591bd63</t>
  </si>
  <si>
    <t>201160B01002</t>
  </si>
  <si>
    <t>ad495e96981876a384857dd8b6154467155560316bf8c4bb406ae12e2f7ea3ad</t>
  </si>
  <si>
    <t>201160C01002</t>
  </si>
  <si>
    <t>2a8ad97981f50cf2dcd1b81b4984c6ef0b9527f5ce29ce27fb54d95de4af959f</t>
  </si>
  <si>
    <t>201161B01002</t>
  </si>
  <si>
    <t>6dfc21facec6b9b1dcb2a7e025ed1f254a9396778c54357227cea41d19066689</t>
  </si>
  <si>
    <t>201161C01002</t>
  </si>
  <si>
    <t>4e4274c5ef89732fdd2f35b370cac10819c321c48266c5754ff3ebd26791638d</t>
  </si>
  <si>
    <t>201189B01002</t>
  </si>
  <si>
    <t>907ee5d9097a84ce54f83997a8ba1eade486195b353f8b6d9fbead56b849d079</t>
  </si>
  <si>
    <t>201189E01002</t>
  </si>
  <si>
    <t>a005cbb7845c4899f20becd3b0d4b294a0a148a126e66f68f30c4df7d7a38458</t>
  </si>
  <si>
    <t>201189E02002</t>
  </si>
  <si>
    <t>2b27c2325a316c4fc33323f947c78f261b617f24224b69bf38a06f5270931dfa</t>
  </si>
  <si>
    <t>201189E03002</t>
  </si>
  <si>
    <t>b91b65f4e0a74f9dfbf366636274c525c78c024f4ac86c7f7280ecea2a6a4d58</t>
  </si>
  <si>
    <t>201189E04002</t>
  </si>
  <si>
    <t>5de20b2511149ed93577cd14703f8060fb9ea43ec7414076a8c192fcd0292883</t>
  </si>
  <si>
    <t>201189E05002</t>
  </si>
  <si>
    <t>3703e18800eb429050cc815e65ed486659bea3f30a07d6b584f2549e656a292c</t>
  </si>
  <si>
    <t>201192B01002</t>
  </si>
  <si>
    <t>cebe10993a3b2e1536f2b87ee7000d4cac281224ab43c8aa56d7b0d60af66462</t>
  </si>
  <si>
    <t>201192E01002</t>
  </si>
  <si>
    <t>41203ffc7eeb0cab786534caa5d4a2c6882b41bda094b875a40a9fdaec261dcc</t>
  </si>
  <si>
    <t>201338B01002</t>
  </si>
  <si>
    <t>0100a50bc36a6442cd2efa052b7b9088c1e5c45220e2b9390bf85841654ed232</t>
  </si>
  <si>
    <t>201338C01002</t>
  </si>
  <si>
    <t>b543a87b3fae2116857855e137b8280e9e164d261c592cb43a621cbeb676348b</t>
  </si>
  <si>
    <t>201339B01002</t>
  </si>
  <si>
    <t>8602e420725b152cbdeea84006002d6067c3054e962701db7606c53a5578afbf</t>
  </si>
  <si>
    <t>201339E01002</t>
  </si>
  <si>
    <t>84a8ad27f2f0676de2479988abf6be9bf211ff8ec224f56bdb1ce231a08518c1</t>
  </si>
  <si>
    <t>201340B01002</t>
  </si>
  <si>
    <t>aa2a0b7002a61110c32384d8f8c77c82110bb7cacbe2ffa95cbc8c8a90f9768e</t>
  </si>
  <si>
    <t>201340E01002</t>
  </si>
  <si>
    <t>54e74de799b82de939748c4cc7448b5df02f743da92dc141b7cd46d82501740e</t>
  </si>
  <si>
    <t>201342B01002</t>
  </si>
  <si>
    <t>0274f0a575905df01ff183e662570cdd54c6e6543b0092c8a76acd37cdbed50d</t>
  </si>
  <si>
    <t>201343B01002</t>
  </si>
  <si>
    <t>56cd2c238f013f8c9eec700e50f4eab0377fda67551b47a036d28d0bad197ff2</t>
  </si>
  <si>
    <t>201343C01002</t>
  </si>
  <si>
    <t>a037993d7a73eee662e719b04c3ae99ca6260903c77abe74f440ffcdab70e90a</t>
  </si>
  <si>
    <t>201344B01002</t>
  </si>
  <si>
    <t>eee601c841d2103d54ea71bc74619354bb18af61404ceb38ff1ed3b4e4eecab1</t>
  </si>
  <si>
    <t>201344E01002</t>
  </si>
  <si>
    <t>45414a0a34b87e9ea4fa97f91384505c95af9ff7a0fdb63d33d996e84acb55a2</t>
  </si>
  <si>
    <t>201544B01002</t>
  </si>
  <si>
    <t>bde44f3c0db7f47a99edd2674d92141a6accdd205b064f5911abdd6dae390fdb</t>
  </si>
  <si>
    <t>201544C01002</t>
  </si>
  <si>
    <t>312a55e9ccea39eea97a00a6c6391715d7b0a87fb9aef9097fb7981e4efe47f6</t>
  </si>
  <si>
    <t>201545B01002</t>
  </si>
  <si>
    <t>3067e4a87f4d79e658d8c41c8f631ac8b7a8a2d45b1850b371bad617166a41b0</t>
  </si>
  <si>
    <t>201545C01002</t>
  </si>
  <si>
    <t>011b059e2d75848a2fb3262f794390fe622b00298487ec58e43f0f9ddab67faf</t>
  </si>
  <si>
    <t>201546B01002</t>
  </si>
  <si>
    <t>8b095bbdb8edc702016ea03c3d3464d2e522b9d6d6f1433d2b3b6d396ef66e6d</t>
  </si>
  <si>
    <t>201546C01002</t>
  </si>
  <si>
    <t>2cb842467b5550db0ccfc014e5a2a4909e326195daf7c9ae576fee2820aad366</t>
  </si>
  <si>
    <t>201547B01002</t>
  </si>
  <si>
    <t>457a44d24f8c9f3979dc0a61f7e6c6b2430d05f6a1329ea7caee01645d557d33</t>
  </si>
  <si>
    <t>201547C01002</t>
  </si>
  <si>
    <t>a76d2eaf70948e20f6172777a0f4eff61d2ed0197ecb675452b6b639fff3e9cb</t>
  </si>
  <si>
    <t>201548B01002</t>
  </si>
  <si>
    <t>58d00b1f460f5b05b774e633ec2155adac65ff02f495f43faf51ec46de187572</t>
  </si>
  <si>
    <t>201548C01002</t>
  </si>
  <si>
    <t>d18dd1ca19477e9010a0b5fd40f437b5c752fa7c7b33421e45276126d659a4f5</t>
  </si>
  <si>
    <t>201549B01002</t>
  </si>
  <si>
    <t>f739a515aaa2d9fc259cebae3d9f4202773802bad4efb0a284d334be31d864c2</t>
  </si>
  <si>
    <t>201549C01002</t>
  </si>
  <si>
    <t>5f197d94bff07cd46cb23c0daaa8a837489c930ad69916f653637eab8d2bcd53</t>
  </si>
  <si>
    <t>201549E01002</t>
  </si>
  <si>
    <t>80c9b4e0b240c17491bed73848978ed9a60b9b2975afd30f253a578b1eb401bc</t>
  </si>
  <si>
    <t>201550B01002</t>
  </si>
  <si>
    <t>56194a3af4352638fc82dc5f4718eddf15ed4a087890caf7ef365041e60622d9</t>
  </si>
  <si>
    <t>201550E01002</t>
  </si>
  <si>
    <t>4fb21627d2615600f5401bf85f4affd5481ce9a421c18cc07bbcf16c24a5b389</t>
  </si>
  <si>
    <t>201550E01012</t>
  </si>
  <si>
    <t>49e951aef4adb2d7d23697f2f60e2d5edfc21f754f31a8f153179c3b3e07cd08</t>
  </si>
  <si>
    <t>201550E02002</t>
  </si>
  <si>
    <t>ae58e537656b308a901e127ff0c29821588f01819feb543dde59b5de21175253</t>
  </si>
  <si>
    <t>201551B01002</t>
  </si>
  <si>
    <t>d8fff25a37d83a5ec2f63b5dcff231611b1a55a5b0afd5a24d81dbbce1539129</t>
  </si>
  <si>
    <t>201552B01002</t>
  </si>
  <si>
    <t>c286672a80e0f65ed9614245b42396ad75d64e37eda715136735a690f41f8fb8</t>
  </si>
  <si>
    <t>201552E01002</t>
  </si>
  <si>
    <t>4c44d4b7063a3bdfacb9e98db8a7d5418b217fd5d3884c126a8576eb8f23d40f</t>
  </si>
  <si>
    <t>201810B01002</t>
  </si>
  <si>
    <t>a924656d8a47194749124263bb5169d010400619e12885774089b945a82142e7</t>
  </si>
  <si>
    <t>201810C01002</t>
  </si>
  <si>
    <t>fdb25ef705537fe280fd9423bd7e79116b5899ed80a7845335b4b86e45fd4d34</t>
  </si>
  <si>
    <t>201810C02002</t>
  </si>
  <si>
    <t>4234f29b028e6e0efe202b86e23c76c71572310e777d81167040447f61245d7a</t>
  </si>
  <si>
    <t>201811B01002</t>
  </si>
  <si>
    <t>e068cf5e85cc35ce00e9a094e38a38b8eab11193795bc94ef8b83be3c7bf8276</t>
  </si>
  <si>
    <t>201811E01002</t>
  </si>
  <si>
    <t>18ef8eb7cf5d24ff17afe642b42f0fdc5f53f8a511a39afb013946bc81313c9e</t>
  </si>
  <si>
    <t>201812B01002</t>
  </si>
  <si>
    <t>edefed782bca9bc348deab460842feaf751aad8542d704d7131ad9682f27cbca</t>
  </si>
  <si>
    <t>201812E01002</t>
  </si>
  <si>
    <t>e5f4959275444617c8f26fb4c47d63424e48b29d6e3a69ef5ea33bdc1912d418</t>
  </si>
  <si>
    <t>201812E02002</t>
  </si>
  <si>
    <t>3f2edf438de0e67b7fa13764c7870e92b02499135ef2215f65abb59f44421610</t>
  </si>
  <si>
    <t>201813B01002</t>
  </si>
  <si>
    <t>298a5b3aca56f0f10f697d6f33769c4716d4bdec114d8468018e0231e54dfd3e</t>
  </si>
  <si>
    <t>201814B01002</t>
  </si>
  <si>
    <t>283505428242ba169a9b68ffa053f955931f57de3e84d8ac4ca00d198c02fb29</t>
  </si>
  <si>
    <t>201815B01002</t>
  </si>
  <si>
    <t>afe7e0c87408bd070774641a14b34e6ff4019eb9ad94de607ef6e940364cc5c1</t>
  </si>
  <si>
    <t>201815E01002</t>
  </si>
  <si>
    <t>0f0ce9a95dc5b8e13fe126022257b420418af0a3b573b38ddb73accab9088f92</t>
  </si>
  <si>
    <t>201815E02002</t>
  </si>
  <si>
    <t>e28a3cfdda694c64e0862576d0e971aeba4933cbb8446df4ce51a4873e4bd5a2</t>
  </si>
  <si>
    <t>201888B01002</t>
  </si>
  <si>
    <t>8aad97a70e2747cff32ab2aeebc262e1dd6401d08ae59982b042b8f4728fa921</t>
  </si>
  <si>
    <t>201889B01002</t>
  </si>
  <si>
    <t>9229b5176d3fca81d18d0c9e4f979a3c44ae8512526348fb88a9361b4d3f2ba0</t>
  </si>
  <si>
    <t>201889C01002</t>
  </si>
  <si>
    <t>a9d97e09310575f2ee3e119a53f24276a9e5f32131a3c9b567eea888e5fd671e</t>
  </si>
  <si>
    <t>201890B01002</t>
  </si>
  <si>
    <t>7e7fdcd68e814fd20b5fa0a4185f8ff1f455bdf93794765cf238882221f61b0a</t>
  </si>
  <si>
    <t>201890C01002</t>
  </si>
  <si>
    <t>cfb54c562c5602487739f4e5394bc8469ec734b26c6de9af6ac1f6c41d1779a9</t>
  </si>
  <si>
    <t>201890C02002</t>
  </si>
  <si>
    <t>bd13ddec6a00eb313163371cffb7ba1205bc6b7fb4bd15b9ff406dff7b6609ff</t>
  </si>
  <si>
    <t>201891B01002</t>
  </si>
  <si>
    <t>9a1b9660633c62eb56d8d5e0ee9969bdf61c370af9cef8f8fd234309ce56fd8f</t>
  </si>
  <si>
    <t>201891C01002</t>
  </si>
  <si>
    <t>6e4276185e45e5adc98a5c589a2f20badefb37b78fff8598f8298cf2f9f23df6</t>
  </si>
  <si>
    <t>201892B01002</t>
  </si>
  <si>
    <t>ad6bb65cf7ec11559602c74ccfc15c6eb8c71453b0c56dedd7d8e9596983deca</t>
  </si>
  <si>
    <t>201892C01002</t>
  </si>
  <si>
    <t>c0dd73d84e8d2e4b613f41f36e7b145c1adebdc35ae98b8a3463b26cc7b7f015</t>
  </si>
  <si>
    <t>201893B01002</t>
  </si>
  <si>
    <t>8aaee455e2fe932dfe6dcd90993d613131bd9786e77717b86c91cbd9183e912b</t>
  </si>
  <si>
    <t>201893C01002</t>
  </si>
  <si>
    <t>3ca6057f9a6cddf11e13c329bcd6461e7cc039e86dde9fa336d22e5e89e2b64c</t>
  </si>
  <si>
    <t>201893C02002</t>
  </si>
  <si>
    <t>f77ee44f90caaa4c5c98217b36544c1961fa502cc8a2d785bf8bc57dd020a9ae</t>
  </si>
  <si>
    <t>201894B01002</t>
  </si>
  <si>
    <t>e6a83845a6a9371eddd374c2df8fe201e5cde79a2fcb45ff5261ef39bf481081</t>
  </si>
  <si>
    <t>201894C01002</t>
  </si>
  <si>
    <t>18d96b280d0352647dfdaa621c8a136c3a82edf693199c1ea58fcb4a50e2fe3c</t>
  </si>
  <si>
    <t>201894E01002</t>
  </si>
  <si>
    <t>b6f13702fb1f784aa2b42f3fafe92a98543c921c38e69b35ee19e8963616e9fa</t>
  </si>
  <si>
    <t>201895B01002</t>
  </si>
  <si>
    <t>c5355733104f447172656c3e37cb036e491700d4c0d04d0ae9efe5c422205447</t>
  </si>
  <si>
    <t>201895C01002</t>
  </si>
  <si>
    <t>a0ef254d12dc3b70d4fdc9d355dc58b4b85fc1181752de4cfebf3e5d912a90d8</t>
  </si>
  <si>
    <t>201895E01002</t>
  </si>
  <si>
    <t>9660de5d616862dcbd576163e9ef366925c9184246d4dd192c5b5062334590e6</t>
  </si>
  <si>
    <t>201896B01002</t>
  </si>
  <si>
    <t>aadbad58991f64edd651156f93de7d746e72473db244b927bfad86fed5d37dc3</t>
  </si>
  <si>
    <t>201897B01002</t>
  </si>
  <si>
    <t>38b206979657d8f062759a6903d7df5109163eb16d3211b05c740c72a416b0a5</t>
  </si>
  <si>
    <t>202077B01002</t>
  </si>
  <si>
    <t>24b0e43f89c77c9e4ef49f9e2cb15561380e3d55b189f9a681d88b54154d5ad4</t>
  </si>
  <si>
    <t>202078B01002</t>
  </si>
  <si>
    <t>904302a9b29c439c4635a664eb772407c7533eb8657330bbe1053c1f50afcbed</t>
  </si>
  <si>
    <t>202079B01002</t>
  </si>
  <si>
    <t>2e5ea5434c19ea641a8ae07bf204b9ce49be7ba1f4c253f38ffe5aab381336d6</t>
  </si>
  <si>
    <t>202079C01002</t>
  </si>
  <si>
    <t>9b1535d80c0912607366f120cc4ae79a565871433859cb7765fb81d5629b9c3f</t>
  </si>
  <si>
    <t>202080B01002</t>
  </si>
  <si>
    <t>72f0b1d559db22f375baa5e02783621ebe52cfef5dc3fd07df6f7874d489b9c8</t>
  </si>
  <si>
    <t>202080E01002</t>
  </si>
  <si>
    <t>890a07d0fb0cdb3479515e6a74978055ed4c07e8d5ea7df8b17145d5d38c0e36</t>
  </si>
  <si>
    <t>202081B01002</t>
  </si>
  <si>
    <t>89a7fced5080a3d0b387a54767bbeb0e2da84c076430b842ee2e32bd223cf43f</t>
  </si>
  <si>
    <t>202082B01002</t>
  </si>
  <si>
    <t>f76db04bdd21b5f88e82c82a2b7a22c8a7e782ec6efbfb88f2dbdd0c22d2fd5f</t>
  </si>
  <si>
    <t>202083B01002</t>
  </si>
  <si>
    <t>a011cd94b08cc07ccd249890d6b6ef9f0a2a2d130d8ca195ae1d2a995184b01f</t>
  </si>
  <si>
    <t>202180B01002</t>
  </si>
  <si>
    <t>3daf3e5aa5a7cce4b3ffdd25d60c3bef48f80272ec23094f12320b54458ccf90</t>
  </si>
  <si>
    <t>202180C01002</t>
  </si>
  <si>
    <t>65f723151672ec279ec0169b490dd125ee91716c4b59757f303288b07e776f3e</t>
  </si>
  <si>
    <t>202181B01002</t>
  </si>
  <si>
    <t>780ba71b8862ae5d2a8c394b617c8ff7232240e11ad3416deca89bb9deb22eba</t>
  </si>
  <si>
    <t>202181C01002</t>
  </si>
  <si>
    <t>35da2dda9eb18e8957aced2b11f4ef3fefeae478fb8bd2818a88920344d32474</t>
  </si>
  <si>
    <t>202181C02002</t>
  </si>
  <si>
    <t>6e3d7188fefbb3839f9346e1e9ff9d106e2ad1b33feb947052b0bc404291b6ff</t>
  </si>
  <si>
    <t>202182B01002</t>
  </si>
  <si>
    <t>0dbb1d02c2ea894d16964ebb9c129536e63b03b0d20b0458cad9656f5dc09b65</t>
  </si>
  <si>
    <t>202182C01002</t>
  </si>
  <si>
    <t>53c87620830ee982c7484b01d9f02c4ebc15a23e888b5654549b8dfd8dd979de</t>
  </si>
  <si>
    <t>202182C02002</t>
  </si>
  <si>
    <t>161fd1dae8f5aac2d0a4848b8510daa04bf8b90db7f65f81ec04d03e0f8d9245</t>
  </si>
  <si>
    <t>202183B01002</t>
  </si>
  <si>
    <t>6aac8c59618df0149afd6d39b22b646b190138ddb57e5f07e6b53647e0c8174d</t>
  </si>
  <si>
    <t>202184B01002</t>
  </si>
  <si>
    <t>2b35e2f70a82091ca439b2cbeb1269fd11273d3b9743656f3a210c598a18cc1b</t>
  </si>
  <si>
    <t>202184C01002</t>
  </si>
  <si>
    <t>2e381f03c961d1c8694078bb2604b77deb4446f53f7240cef5303a902827463e</t>
  </si>
  <si>
    <t>202184E01002</t>
  </si>
  <si>
    <t>269cf97ec09d25208446a359153db3aa84d3601a4360dd3e5dba7669d7123ed3</t>
  </si>
  <si>
    <t>202249B01002</t>
  </si>
  <si>
    <t>de6f46e42f58c451174fa728d723a077b87af80f48df35572d190664c0377903</t>
  </si>
  <si>
    <t>202249C01002</t>
  </si>
  <si>
    <t>7fc656967dbdb05fa91ebca468720c14b68ce6d67ef7089cba64d1d3fa6d909b</t>
  </si>
  <si>
    <t>202250B01002</t>
  </si>
  <si>
    <t>d6fee4d04f60afee0c2a99595a1892267fcafb3ff96fb13a50b02196f74491d2</t>
  </si>
  <si>
    <t>202250C01002</t>
  </si>
  <si>
    <t>4c9ae80788c8ce333297a74b641e481157faea6a1d3ca5567c8b397465894587</t>
  </si>
  <si>
    <t>202251B01002</t>
  </si>
  <si>
    <t>6f8c4d0bffc2c06047b1c627464d32aa66b5e52efd35036d6d8e2a666248dbab</t>
  </si>
  <si>
    <t>202251C01002</t>
  </si>
  <si>
    <t>e99a5dea1a921dae970fde70cd7c2514369c48aa51714cffc717c47cad74c48c</t>
  </si>
  <si>
    <t>202252B01002</t>
  </si>
  <si>
    <t>bbd3e532fe6c44c9029fc42f468c7654e0ade336491591b962e278d9efcfaf1f</t>
  </si>
  <si>
    <t>202252C01002</t>
  </si>
  <si>
    <t>42033079b8b621199869bd57751c7d086eb0599d606206cd0ba26c77dbfb52c2</t>
  </si>
  <si>
    <t>202253B01002</t>
  </si>
  <si>
    <t>bf22cde41136c2874d498348a4de03b6ab737b89cde8abaecb2494f02f74b046</t>
  </si>
  <si>
    <t>202253C01002</t>
  </si>
  <si>
    <t>10f836c8dfbfacb8c5c631622999f2febb55ebcc8e21fb53ac0a86c98aec8ffb</t>
  </si>
  <si>
    <t>202253E01002</t>
  </si>
  <si>
    <t>a46f892658eda3898bfa1d23b8c1d52a71ff85e68704382db4febec5ed76f318</t>
  </si>
  <si>
    <t>202254B01002</t>
  </si>
  <si>
    <t>e442dfa9db0b645af44868da5b36bd56235a646af6ac4a90be1cc09defe2a8ac</t>
  </si>
  <si>
    <t>202255B01002</t>
  </si>
  <si>
    <t>af00d0451485ec50faf9937c1e161f62a706697ca8d64671e90d360c39958247</t>
  </si>
  <si>
    <t>202255C01002</t>
  </si>
  <si>
    <t>72a5d14f2061359fdfdf53517bd398bc40070842634908aabd37326794d5cc52</t>
  </si>
  <si>
    <t>202256B01002</t>
  </si>
  <si>
    <t>0dc92bdd3d4f0658234805059fe5e4ee56543de94d29c8120e4023fb4b86c9ed</t>
  </si>
  <si>
    <t>202257B01002</t>
  </si>
  <si>
    <t>7681d8abcf0d62263a1184b8995926b68e110642b87c2827b0d6110bbf9f7caf</t>
  </si>
  <si>
    <t>202257C01002</t>
  </si>
  <si>
    <t>7bfc61c72c5ee5148a149e19eae6b55dde6a23286d5bc87e5b18e3f56b6a5c06</t>
  </si>
  <si>
    <t>202257E01002</t>
  </si>
  <si>
    <t>52d803abfc0ab924a59f45009c3a4c10e6482b1c9355163db09e45958fd06e42</t>
  </si>
  <si>
    <t>200192B01002</t>
  </si>
  <si>
    <t>SANTA LUCIA DEL CAMINO</t>
  </si>
  <si>
    <t>9392f2719b73c4d17f990bf4fe8a1535d49fee6fc094fe7c554ed60d0e5800fd</t>
  </si>
  <si>
    <t>200192C01002</t>
  </si>
  <si>
    <t>d5cac310178b1c30c028eca7a1a726344e9abc0cfabee56ba4dca3dba137de4d</t>
  </si>
  <si>
    <t>200192C02002</t>
  </si>
  <si>
    <t>06f535603fa36dec467ff2dca209848a74f3674ab84adbf22049a1bd82157395</t>
  </si>
  <si>
    <t>200459B01002</t>
  </si>
  <si>
    <t>dfc9d4fe142f75746c20541b78865656548ea1530736781307f7015e9e1c255d</t>
  </si>
  <si>
    <t>200459C01002</t>
  </si>
  <si>
    <t>90edf2673aa7f6230a03dbb07fff0f7280719036c7d049ceddc6cd864f4d7bfa</t>
  </si>
  <si>
    <t>200459C02002</t>
  </si>
  <si>
    <t>4f13e7a3e40e7549ecee447abc31e6da15e6b6a668c1700b57d1d7ac3411154e</t>
  </si>
  <si>
    <t>200460B01002</t>
  </si>
  <si>
    <t>323fb4e09ee9d46878d76189b920bb66d8cdef7792324e142789d201457e93f8</t>
  </si>
  <si>
    <t>200460C01002</t>
  </si>
  <si>
    <t>4f6f04eb90ff20b4e4ce9d55d5dc7848397b785dbc7ae07ea9d3de0ef9ae6113</t>
  </si>
  <si>
    <t>200460C02002</t>
  </si>
  <si>
    <t>bf33e1b2690f1d536b59f86192389e2fe21e1e8c6f424ca204ed51521f55dbd1</t>
  </si>
  <si>
    <t>200719B01002</t>
  </si>
  <si>
    <t>6775329d88e33baad40f24b3fcbfc82fdaff451bce500a5929e235b898e594cf</t>
  </si>
  <si>
    <t>200719C01002</t>
  </si>
  <si>
    <t>50fb675d9b02e9c0f4427bfbd0502cf3eb7bff08c9e6be2d47ed37efdf6e0aba</t>
  </si>
  <si>
    <t>200719C02002</t>
  </si>
  <si>
    <t>317c8428ce9b120187b2e7ac49d34ebc9991872d64dea4f1de1daa7b832ba38c</t>
  </si>
  <si>
    <t>200720B01002</t>
  </si>
  <si>
    <t>0a261c818362b303c6f7a7c402d77fda77889aa899b44f6b5e7933a9932662d3</t>
  </si>
  <si>
    <t>200720C01002</t>
  </si>
  <si>
    <t>03c7b4c2479fbc7111cd92657194a72c2690dce24a51b280f70ccedd091e18ab</t>
  </si>
  <si>
    <t>200720C02002</t>
  </si>
  <si>
    <t>f6457a4e23076cdce47cafecae718545ecea75fae257fee7816d936de1b27176</t>
  </si>
  <si>
    <t>200736B01002</t>
  </si>
  <si>
    <t>be22edb669b6778aa22deb8287075299ff15935748b384287142e5094f054a6e</t>
  </si>
  <si>
    <t>200736C01002</t>
  </si>
  <si>
    <t>e78946039b068629a6512a90f52fb4a60ebf56528cc4c299da80731bff34882e</t>
  </si>
  <si>
    <t>200736C02002</t>
  </si>
  <si>
    <t>4f9c798fc51cb24983f8fd0b13da1276dc5df79038c6a770c2a12996e2370793</t>
  </si>
  <si>
    <t>200737B01002</t>
  </si>
  <si>
    <t>3c13134bf47a03e57c71a18f344fc4497e12d047618bd0044c7e8a02a7be9792</t>
  </si>
  <si>
    <t>200737C01002</t>
  </si>
  <si>
    <t>4ef105a18092d534ee448f135e162d5cb60d0d588772415df4af8e5d54e1e808</t>
  </si>
  <si>
    <t>200747B01002</t>
  </si>
  <si>
    <t>b287bfb7e863bcafc0b99cfe486afddc1473d2b2f4321fe37e4864ea9469a464</t>
  </si>
  <si>
    <t>200747C01002</t>
  </si>
  <si>
    <t>035fffd2edde623ec7f8580b9086f994354265a3601a2d870d342b76e6483698</t>
  </si>
  <si>
    <t>200747C02002</t>
  </si>
  <si>
    <t>0acf0f9e2d56cc298fa4c9de37ad672bfd3dac1bb6e389c2644b844ca879025c</t>
  </si>
  <si>
    <t>200748B01002</t>
  </si>
  <si>
    <t>c99f2c3e0b68b9c54d5d2e92971653b9753e18ed571a4b6eabb5cb2541753c34</t>
  </si>
  <si>
    <t>200748C01002</t>
  </si>
  <si>
    <t>d02a2d6d4b25dda487b7947a9fa32974a1229547a20e63d679f7d35a2278ff51</t>
  </si>
  <si>
    <t>200748C02002</t>
  </si>
  <si>
    <t>a9b11bc4d9f31cf5c89cf788f77ccb2d50aa6eb4b2552b5ecdbf75ea08cca1ad</t>
  </si>
  <si>
    <t>200749B01002</t>
  </si>
  <si>
    <t>d4647262bd7611e090ca12f7a14dc8541bdef2c7934c58f847b9afffd737547c</t>
  </si>
  <si>
    <t>200749C01002</t>
  </si>
  <si>
    <t>c419ec2206739f0e5534a31249b9b3830ef79fadcf566be26fc587d00e2306e1</t>
  </si>
  <si>
    <t>200749E01002</t>
  </si>
  <si>
    <t>3d6a7eb4eec8393d7f2ee74dcecb4326d63102f244ccf32af24a1dbc02d3a344</t>
  </si>
  <si>
    <t>200862B01002</t>
  </si>
  <si>
    <t>37294aa09c48faf3e051ae44db10fdf39755f7dd9b0ed36dde1a735d60f7da7c</t>
  </si>
  <si>
    <t>200862C01002</t>
  </si>
  <si>
    <t>2871886358162f1f055ef0218496ed14d2f31ffc32d6e579ff4bfc107b713a01</t>
  </si>
  <si>
    <t>200863B01002</t>
  </si>
  <si>
    <t>7047d0f7b1d41332bbd212757060b2d31ff9ec29a91cce9c83aac980ddffb722</t>
  </si>
  <si>
    <t>200863C01002</t>
  </si>
  <si>
    <t>c4d0d676e40afa81ae9dee68ffb952eb16e452a5ff16103116fa235a3a29e8fe</t>
  </si>
  <si>
    <t>200864B01002</t>
  </si>
  <si>
    <t>a0a9fe7cb3c2e5704ee336c8b24649373cc4203d3e9c38c7b6b057adf6058ba4</t>
  </si>
  <si>
    <t>200864C01002</t>
  </si>
  <si>
    <t>30c96716d29d4a23c3e9e768759cf08ab845e45e26e7ecbb1440393be15e2f41</t>
  </si>
  <si>
    <t>200865B01002</t>
  </si>
  <si>
    <t>8142d9814b067ac11acdf254bb3daa23ff37eac7cd28c1b8ceb95c44ab365f5e</t>
  </si>
  <si>
    <t>200865C01002</t>
  </si>
  <si>
    <t>26df37882ca4639154058fb69679c3a1f7e765b51fb26e44c8b0ff0583c80e6e</t>
  </si>
  <si>
    <t>201243B01002</t>
  </si>
  <si>
    <t>a67e841fae558e6358684c906e311c91c46fa9424255ce3c348bdde8888af14d</t>
  </si>
  <si>
    <t>201243C01002</t>
  </si>
  <si>
    <t>f669674e712b1481ce73e41e9789df5d487d32ba08c5746072704c0f5abac92c</t>
  </si>
  <si>
    <t>201243C02002</t>
  </si>
  <si>
    <t>46d750f0e217226f0dc1b1c680fd5b502cb78027ef3be1afdffb912fb0132f9d</t>
  </si>
  <si>
    <t>201243C03002</t>
  </si>
  <si>
    <t>e3551016232b87b60eb891d43767c2dc04853971ed2c3eb688d3e62b961e7f5d</t>
  </si>
  <si>
    <t>201243C04002</t>
  </si>
  <si>
    <t>5ad6f6747a7cc7234c8d9e3fafe0df926ad09a48488ec5c10d593032ce0ae9f2</t>
  </si>
  <si>
    <t>201244B01002</t>
  </si>
  <si>
    <t>8bf9259eb9146b912c1c4698585eb0a2cbed4b66fd76b35ecc6eab5daa86147f</t>
  </si>
  <si>
    <t>201244C01002</t>
  </si>
  <si>
    <t>5e9ccf037a19f9f04a7442517de3c7b68497abdb444c92ee3cb5d9a863cac592</t>
  </si>
  <si>
    <t>201244C02002</t>
  </si>
  <si>
    <t>4ad7d5a0715b1f3769bddcfeaad608cc297bbfbfd3df73e369fa36146ef0bf0f</t>
  </si>
  <si>
    <t>201245B01002</t>
  </si>
  <si>
    <t>da549a096e08b2c4ebc4f909c2ea83cca2cbe3cab0428d54762329221212b3b4</t>
  </si>
  <si>
    <t>201245C01002</t>
  </si>
  <si>
    <t>859afc1625a15df8741e17f67f12f96ddbee0f52ee3acd108d0005214c6d0432</t>
  </si>
  <si>
    <t>201245C02002</t>
  </si>
  <si>
    <t>4ea06b36daf0ab15e1ead2f5c1626ae729a8621fee7ad44c766c361d869eefb7</t>
  </si>
  <si>
    <t>201246B01002</t>
  </si>
  <si>
    <t>ea6f542110b538fe82d4b28c57c767a479b8eae7df5f42e03b1e47088f0a870f</t>
  </si>
  <si>
    <t>201246C01002</t>
  </si>
  <si>
    <t>c1304bc50b41dff25b2afd612e66252b48aaca161b53de3503fe65b7cf35842c</t>
  </si>
  <si>
    <t>201246C02002</t>
  </si>
  <si>
    <t>3daff660841fd124d3f72aca47448fff96ebc6bba7a76b50bf8c758615b53d81</t>
  </si>
  <si>
    <t>201246C03002</t>
  </si>
  <si>
    <t>e9307184033f0c359d63e51e4f36b5dee95e20f07e05da0ff0f34469173e05a7</t>
  </si>
  <si>
    <t>201246C04002</t>
  </si>
  <si>
    <t>c173003d00949fd185119bb1b9ae02c6f5678cf109872c978abfe2f4b5b7539b</t>
  </si>
  <si>
    <t>201247B01002</t>
  </si>
  <si>
    <t>1267d4546e7bd67bf5afdb4ab5fd13beac110cb42cd65960ce08dae1e1f6a6ef</t>
  </si>
  <si>
    <t>201247C01002</t>
  </si>
  <si>
    <t>a5a476d253c220caf82a25215e8ab0954b2a9771b43bde8e7928f5078e508098</t>
  </si>
  <si>
    <t>201423B01002</t>
  </si>
  <si>
    <t>e03aca04c7a6f53497a93cfeb2c894d7ad5bfe2fa6bb23e79cc65042fad359a4</t>
  </si>
  <si>
    <t>201423C01002</t>
  </si>
  <si>
    <t>2169c921b5109df2a0be7c24783890c8d9afba5872b46ba28af242f6699d2c38</t>
  </si>
  <si>
    <t>201423C02002</t>
  </si>
  <si>
    <t>51d25ad23d9115ea84b1d3d615b85da0d4da4b2d698026d77d023ca1f97c0b74</t>
  </si>
  <si>
    <t>201424B01002</t>
  </si>
  <si>
    <t>2adea3df9115069451fe083efb452710249263196782ed17b309b25cb8ec8a8f</t>
  </si>
  <si>
    <t>201424C01002</t>
  </si>
  <si>
    <t>84ecf787a6e39100d94475e7d1ea239ee6680c9335a91de104e2af315f3347b3</t>
  </si>
  <si>
    <t>201424E01002</t>
  </si>
  <si>
    <t>cc4fc86382a74d2a3e3344fc2d839f671100767fd4f4efc51a3df8023ecf28de</t>
  </si>
  <si>
    <t>201424E01012</t>
  </si>
  <si>
    <t>412d0e3d4586e1aed4d74c5832cc6d7eec70317a418a558de82735bfd68badb7</t>
  </si>
  <si>
    <t>201424E02002</t>
  </si>
  <si>
    <t>9c5606990e6832b32a18e68380828e1e75a1f57a9fd893bc5dd022437d8e9a91</t>
  </si>
  <si>
    <t>201424E02012</t>
  </si>
  <si>
    <t>31f3dc67b6336e1fabfc6926550e15c663a38a0b40f2f9e4a87550e1f4bc3197</t>
  </si>
  <si>
    <t>201424E02022</t>
  </si>
  <si>
    <t>afec7ff306268a4459aaa9bab004673f641af1467bf6f2dce26355151fbfb9f0</t>
  </si>
  <si>
    <t>201424E02032</t>
  </si>
  <si>
    <t>a0d4a21f20ba2bbf48abde089a3e05c564bc8c494951bde3573eee32a8dc86fd</t>
  </si>
  <si>
    <t>201425B01002</t>
  </si>
  <si>
    <t>bb061c0925e5bcb9331b5094f99d611e78c0bef693230d476ba4accb2f1c1133</t>
  </si>
  <si>
    <t>201425C01002</t>
  </si>
  <si>
    <t>6231e7e369ace83f2a5d083799fcb606cb8209c51a2a7050b6f9a2ecc9678dd5</t>
  </si>
  <si>
    <t>201425C02002</t>
  </si>
  <si>
    <t>da0273c5e0886d5c2bd894e3330775a49503c545dcb8e0108ff5fc375cc5a7ea</t>
  </si>
  <si>
    <t>201425C03002</t>
  </si>
  <si>
    <t>21f492f974a14618e441ed3d163cab12632442f1a5e9ac8da8352c6170f0986b</t>
  </si>
  <si>
    <t>201482B01002</t>
  </si>
  <si>
    <t>0e090ad1e2b13addf1d021f6fd03a78bfb9f2f7a1e686b3a3a213ef4baed2288</t>
  </si>
  <si>
    <t>201482C01002</t>
  </si>
  <si>
    <t>3f30b81d89f3a64e1fcb4f6451f19f28588b4f51d4c9960d39f1172e95aa0b27</t>
  </si>
  <si>
    <t>201482C02002</t>
  </si>
  <si>
    <t>8e67ff1c6743786ac5a1d4598fd36eeb04d86c216bf18f3c74443bdf4598e20b</t>
  </si>
  <si>
    <t>201483B01002</t>
  </si>
  <si>
    <t>37c3c45ad939da0ff4339a505959fc074d80a05ced95d9d6d442c52b558df849</t>
  </si>
  <si>
    <t>201483C01002</t>
  </si>
  <si>
    <t>cef0e06c57325c9fd62dbb170d1c2d1802cfe022800192ce0481e8ec59564df2</t>
  </si>
  <si>
    <t>201483E01002</t>
  </si>
  <si>
    <t>d319464bdba06fe299c40448ed7ed7df3722d480312ed813774c0459c92fe433</t>
  </si>
  <si>
    <t>201483E01012</t>
  </si>
  <si>
    <t>edc00eb205708af5460cb858959d20f1e17642ddfe6172aeda79edfaef02041c</t>
  </si>
  <si>
    <t>201483E01022</t>
  </si>
  <si>
    <t>69655f64338d8169d5dfe383686af8595065b7a05c84611a126ce46508d89adf</t>
  </si>
  <si>
    <t>201483E02002</t>
  </si>
  <si>
    <t>73457fc5dc227e0c89d3f33305dd950f6efe0d6fb204717923a13988de9c53e9</t>
  </si>
  <si>
    <t>201483E02012</t>
  </si>
  <si>
    <t>e9273d2a93df506beb015a872dccc236cbd2bcc75b28241850802c60746b9d38</t>
  </si>
  <si>
    <t>201627B01002</t>
  </si>
  <si>
    <t>ce0db459d551edfb341d4f8cfaa08d640cc2fa0ccd180b1b38287e4b4aacc6b7</t>
  </si>
  <si>
    <t>201627C01002</t>
  </si>
  <si>
    <t>6d70e5a9969013bdfd2b29612d5dc083c5f7a722f952e1f79e2cc405bcbfbbf6</t>
  </si>
  <si>
    <t>201627C02002</t>
  </si>
  <si>
    <t>f0865aa8015193eeec904918687fe8ef61ed2fb8b5be2eedcf56b3eb818e2985</t>
  </si>
  <si>
    <t>201627C03002</t>
  </si>
  <si>
    <t>b9582adc050add92b55dc90d2f714e6aa0953fc89735d5037b6dd8e39bcfebeb</t>
  </si>
  <si>
    <t>201627C04002</t>
  </si>
  <si>
    <t>620e6f69cc9c4e70c2fedd0525c58a262b372e6d77a33e3370f3f7ec2e03a90b</t>
  </si>
  <si>
    <t>201627C05002</t>
  </si>
  <si>
    <t>d7d329fdae98ee0c7039660de23871c1c4f19091d7b265e4f60be00a12e0238f</t>
  </si>
  <si>
    <t>201628B01002</t>
  </si>
  <si>
    <t>0b83fb701e30044314ae94c8a4e6f1d0ca4183aa3b7ceb3855ea5676a9572934</t>
  </si>
  <si>
    <t>201628C01002</t>
  </si>
  <si>
    <t>d86a95ae76b902a050c55a90f14d8cad699e67ad5a66b1c874f5c2e596a2e719</t>
  </si>
  <si>
    <t>201629B01002</t>
  </si>
  <si>
    <t>10f47b2063fe462ad3b83ac15b5d01ed8178c6de3ad2435b63ec64f519fdce13</t>
  </si>
  <si>
    <t>201629C01002</t>
  </si>
  <si>
    <t>07a526f1dca011fcc866ad6109f1596d2204d1c75ed8accb0548c70dbc35a3fd</t>
  </si>
  <si>
    <t>201630B01002</t>
  </si>
  <si>
    <t>07634f30f26bb70c8509dd4330fd25f97625a029d7f71a1603f94a8f30c5b2b7</t>
  </si>
  <si>
    <t>201630C01002</t>
  </si>
  <si>
    <t>2b5090aecc3f6c2eb233efc32c2acfa0761adbc7f88b63394fbfbe49e1398e61</t>
  </si>
  <si>
    <t>201631B01002</t>
  </si>
  <si>
    <t>682b5f89f5fb2ddd2180e84aa3cd09ade9c571d74ebd018562760e5fee90a4c9</t>
  </si>
  <si>
    <t>201631C01002</t>
  </si>
  <si>
    <t>4001a87e640298b1b0db81baadbdd6eef52c105c6ec3fb480e5da816f6b4d574</t>
  </si>
  <si>
    <t>201632B01002</t>
  </si>
  <si>
    <t>3d33674b5136be273d74f27494716bff737f51cad42dc3b7d3b2aa46518164d7</t>
  </si>
  <si>
    <t>201632C01002</t>
  </si>
  <si>
    <t>fb50753637d3c35e76faafe1df0a551aab27849480eeb68474bee5202edc0b2b</t>
  </si>
  <si>
    <t>201633B01002</t>
  </si>
  <si>
    <t>37c1d4ac0cf5b8e3b496b37a49eb150f7d68f5de4f6963ef0263fc19d3d3850e</t>
  </si>
  <si>
    <t>201633C01002</t>
  </si>
  <si>
    <t>95c489b9b1e028dafcda8b83d7db9da95d33bb00464e41a3b42aa67055c2435d</t>
  </si>
  <si>
    <t>201633C02002</t>
  </si>
  <si>
    <t>2f695d0a90121fc98e7ebe26b3b5a3fe7ea5fd6c76245ae0ae2f876b3bf4454d</t>
  </si>
  <si>
    <t>201633C03002</t>
  </si>
  <si>
    <t>4533c88edba826d218fb9448107488fa18fcd5738ca3c30249337f4b02b0ce96</t>
  </si>
  <si>
    <t>201686B01002</t>
  </si>
  <si>
    <t>52bffde813407f535681397b3039fc8dd12f4173717f5ff1cf178c00f0cc9975</t>
  </si>
  <si>
    <t>201686C01002</t>
  </si>
  <si>
    <t>b3d27fd25bb26253b5aac8182c2c98c46b1ea5b374bf451a90caf7e817200595</t>
  </si>
  <si>
    <t>201686C02002</t>
  </si>
  <si>
    <t>52f1f0c15313239acd5d0a7aa84ea4a983e071cf5434b020d1ccdb3a7007d7db</t>
  </si>
  <si>
    <t>201686C03002</t>
  </si>
  <si>
    <t>2331e66b7a19fd32b045eee253350ea6842902dedd834da81b21a55678cb85e5</t>
  </si>
  <si>
    <t>201686C04002</t>
  </si>
  <si>
    <t>c2a5a0148f46d8c670ba589f1053797d84f4fed1ef45829bdf8c74841a64687d</t>
  </si>
  <si>
    <t>201686C05002</t>
  </si>
  <si>
    <t>c98c3e7500f10eb9aea310607f5db0eb7ebce0f0827d47afe4126acd04cd8808</t>
  </si>
  <si>
    <t>201687B01002</t>
  </si>
  <si>
    <t>8a8a9fff8a436075cf45167e940829a880bb1e8aaccc93c097878cd0126ef25e</t>
  </si>
  <si>
    <t>201687C01002</t>
  </si>
  <si>
    <t>ddb2c6caf1eb350734a9faa66da47746a03c567a337a9287c279ae61eee8fea3</t>
  </si>
  <si>
    <t>201688B01002</t>
  </si>
  <si>
    <t>84c9bfa97249fcf6057a24ef570fcf03fecd68675fccdf9f19643e5c9e5d6fd9</t>
  </si>
  <si>
    <t>201688C01002</t>
  </si>
  <si>
    <t>3e50cd4966e97e732951b2008003a6502af32710c4df26a29acfea0641fbd98b</t>
  </si>
  <si>
    <t>201688C02002</t>
  </si>
  <si>
    <t>eb1ac0786bb0eb7283d908bff77fffce814b54716e339d1232eaf4cbd9d72f50</t>
  </si>
  <si>
    <t>201688C03002</t>
  </si>
  <si>
    <t>51f1da1262a961098e14cccb526d882fe33141e2ec1ed0b535b6a28fcfd72587</t>
  </si>
  <si>
    <t>201689B01002</t>
  </si>
  <si>
    <t>ba98c7cc9be885b0dbb04fcaa1b9c186e216b5c1c8c02c26c7b07b4a03c6b181</t>
  </si>
  <si>
    <t>201689C01002</t>
  </si>
  <si>
    <t>744db60c687a4d9e3408eaeaa22a23ba770ba80b18cc0029edb738df3144f307</t>
  </si>
  <si>
    <t>201746B01002</t>
  </si>
  <si>
    <t>d419f9a02a4db4a319e7570c99e5686326e8b453cb39473e5e6e22e79d544dd0</t>
  </si>
  <si>
    <t>201746C01002</t>
  </si>
  <si>
    <t>87831a175e837a99ba8d73b84909e1f27515d029f111aa74a65239b1b5cdca12</t>
  </si>
  <si>
    <t>201747B01002</t>
  </si>
  <si>
    <t>c0c44d63884e765f7c67befcf404be6818b5c6ed8a409d3030afd62cd0950ef5</t>
  </si>
  <si>
    <t>201748B01002</t>
  </si>
  <si>
    <t>b12ed4d0dcf109d4936f52cfbde6b91b8890a66f144fcf4dca886ba955a66101</t>
  </si>
  <si>
    <t>201748C01002</t>
  </si>
  <si>
    <t>d561a2f97831412e35f52a2c538bd4944e7711d3269168c44bda548093b73620</t>
  </si>
  <si>
    <t>201749B01002</t>
  </si>
  <si>
    <t>34181af65c75f5b54d664da40edc40585e3ca30b263523bca2ad3a3911264601</t>
  </si>
  <si>
    <t>201750B01002</t>
  </si>
  <si>
    <t>e7c52c8facf613352328c404becc365764880c8183d7c02b587c2014a2f856d8</t>
  </si>
  <si>
    <t>201750C01002</t>
  </si>
  <si>
    <t>e3a2a7f8f49f810803af7724b01fcd5ff04bb0fbff8608fe2f2e39b7b6d3e3aa</t>
  </si>
  <si>
    <t>201750S01003</t>
  </si>
  <si>
    <t>0cbaa8c6834a2a060be34b192d5b7f622c209325fbb813883125fe99ac4ec5d0</t>
  </si>
  <si>
    <t>201751B01002</t>
  </si>
  <si>
    <t>85aba88ddc292f8cfaa669665ec14dd41fad547e48d5302f6017bb1eefe968f0</t>
  </si>
  <si>
    <t>201751C01002</t>
  </si>
  <si>
    <t>3ea8a332ac4b3cd152dc39e287be7c0f75e7002f51d0e41f95c12f7e67faee56</t>
  </si>
  <si>
    <t>201751C02002</t>
  </si>
  <si>
    <t>02c0c21524b8bdd4b60014e2f8db1470ac60d3b51c7d18b5c9d2664ca3b108f4</t>
  </si>
  <si>
    <t>201751C03002</t>
  </si>
  <si>
    <t>1e7ede41d49b6bebb7c824fed7aff5abbc204ef5efc99fb96fab242e2f4a62fe</t>
  </si>
  <si>
    <t>201752B01002</t>
  </si>
  <si>
    <t>e5940d3f90ef2e5936acb5a187da7ad68d9a711bbf1dbd5eca22422c6be99643</t>
  </si>
  <si>
    <t>201752C01002</t>
  </si>
  <si>
    <t>09f09b47d0d3ae9b214ce0144d6a54c02301769b7ee2863855d8842779796287</t>
  </si>
  <si>
    <t>201753B01002</t>
  </si>
  <si>
    <t>1b7927542ef5660fe63a4e42fbe4c02d3fa919c3264ac9922cbfb8f7ee864ac2</t>
  </si>
  <si>
    <t>201753C01002</t>
  </si>
  <si>
    <t>0d40a8a58e5d39a92d854113c9dc45b63798a0eeeb890c5b05c595fea8b90c2e</t>
  </si>
  <si>
    <t>201754B01002</t>
  </si>
  <si>
    <t>9c02a58312f7469c4b3e201b2b1211e9dcb96c90fb639df47b209a209a2de811</t>
  </si>
  <si>
    <t>201754C01002</t>
  </si>
  <si>
    <t>86323755d6197a6daf52107ea51387a74b58b129f2b791b9f9f389948544840e</t>
  </si>
  <si>
    <t>201755B01002</t>
  </si>
  <si>
    <t>4a70c830a7f8bce8cc5bd0fc8143d304f10de513128ab110c6c34f5929d2b915</t>
  </si>
  <si>
    <t>201755C01002</t>
  </si>
  <si>
    <t>9e4b6827967bd8b70ed32bc9540aa98f91a9cbef205922d5cba1e5df67afb858</t>
  </si>
  <si>
    <t>201755C02002</t>
  </si>
  <si>
    <t>ae16f123af8282abf93df7b76076ade151aa78ec1dfff4fdbc1dfccb85c1cfd0</t>
  </si>
  <si>
    <t>201756B01002</t>
  </si>
  <si>
    <t>1a9d2472d016e8440fd4f4f78fe9d46db3a9f5892a20cb87c9732faed8fb9a08</t>
  </si>
  <si>
    <t>201756C01002</t>
  </si>
  <si>
    <t>e5e70cc9c1618483de9792f0a512f28ed4a5528386419a709717292320a72a77</t>
  </si>
  <si>
    <t>201757B01002</t>
  </si>
  <si>
    <t>00283b9b97f4728dd1e223654bdf3c6fcdfaa768622e53f3598ba4231d5c277c</t>
  </si>
  <si>
    <t>201757C01002</t>
  </si>
  <si>
    <t>694f60a66d63fba2e633e9d2015c5099e8b11000bc16de48aa1ef3cf252aff5b</t>
  </si>
  <si>
    <t>201757C02002</t>
  </si>
  <si>
    <t>0d02c21f3bf61098cfe4d6ee1178c5b1597b52cee0adefcbdc10c84d6622da92</t>
  </si>
  <si>
    <t>201758B01002</t>
  </si>
  <si>
    <t>763300d4e4eac7c8d6b6ad2f65755cdadf6a546ffee08adc7c4b34ad24becd89</t>
  </si>
  <si>
    <t>201758C01002</t>
  </si>
  <si>
    <t>8b0bd4db599f34c414a2021d18e0b30c521ba30f8f87f8a6bd2d7a08fef5f9fe</t>
  </si>
  <si>
    <t>201758C02002</t>
  </si>
  <si>
    <t>1149379fc5f5abdbe93cc4ab98588e8edd8cbfa35e088bece79dade7d75e27e7</t>
  </si>
  <si>
    <t>201759B01002</t>
  </si>
  <si>
    <t>1b56e17e49609f2661816d1c87d644d6623a3fe048beaf0577aeb937549f5e89</t>
  </si>
  <si>
    <t>201759C01002</t>
  </si>
  <si>
    <t>f67329406bd98a8ff79e1d0f524aa4b6a9964ae2e91f6fa1c6bc25b80790ada1</t>
  </si>
  <si>
    <t>201759C02002</t>
  </si>
  <si>
    <t>2a51648069bfc74e4fb83a061d43c503811a337133e330f883a2fffbc5de7eae</t>
  </si>
  <si>
    <t>201760B01002</t>
  </si>
  <si>
    <t>6639940e2bb6f5d8060f5c1c334a0ebeb0509d077ce91ca3b5283c1798845960</t>
  </si>
  <si>
    <t>201760C01002</t>
  </si>
  <si>
    <t>b8137ba5bba0da14e5f9fc5d340198b2c0852bb6471b7d131140edd39008f6fc</t>
  </si>
  <si>
    <t>201760C02002</t>
  </si>
  <si>
    <t>dad27fa238bfdc7d3b898d467050f2b68a5569ebbd8699d1807655926f7b46c7</t>
  </si>
  <si>
    <t>201760C03002</t>
  </si>
  <si>
    <t>1616a51d5e7c4ed71443b7b8d56bd6f3605131d027bb455494562d1ffa419904</t>
  </si>
  <si>
    <t>201761B01002</t>
  </si>
  <si>
    <t>8c1d9b500a6d61e4fd337a9515bc27da7d7266f232c74aef2125d3aa346a0b36</t>
  </si>
  <si>
    <t>201761C01002</t>
  </si>
  <si>
    <t>85e4ec4efe6445cc33ee76ea0324b116c69a2614544eec5f41963507b6c12fd3</t>
  </si>
  <si>
    <t>201761C02002</t>
  </si>
  <si>
    <t>5beb48a7409603e065a60d39147ea0c5a671f04080a5e9822de143bb8ffb014b</t>
  </si>
  <si>
    <t>201761C03002</t>
  </si>
  <si>
    <t>f6501e841115ffbeaca7e56a4092369b5ff3c9f9d376d59e5d8c5254bc6e917e</t>
  </si>
  <si>
    <t>201762B01002</t>
  </si>
  <si>
    <t>a1027816e7111071410f4596114b3bf8908d30f9a61f47433eaefda536776452</t>
  </si>
  <si>
    <t>201762C01002</t>
  </si>
  <si>
    <t>defd55c79de76dd15eae8fd9a76a4f9107c4c5fe645b59e2f41fc586c7b70867</t>
  </si>
  <si>
    <t>201762C02002</t>
  </si>
  <si>
    <t>2e92c928ca739f17d3c63c9d814195ad1db52793496c9af64c9bc0fb55d3424e</t>
  </si>
  <si>
    <t>201762C03002</t>
  </si>
  <si>
    <t>41d4b7f005297012a2a8cc46c66272445599eeac7520a9a409809cbc03f6d202</t>
  </si>
  <si>
    <t>201762C04002</t>
  </si>
  <si>
    <t>a2553c4bb61c1acc14747d31276ec02c7c816b4457624daf957a889762e8ab5c</t>
  </si>
  <si>
    <t>201762E01002</t>
  </si>
  <si>
    <t>78eab06d6512897e0382637abcaff1544a39ebfc0119fe683cabb8d941f49768</t>
  </si>
  <si>
    <t>201762E01012</t>
  </si>
  <si>
    <t>f9304cff173c17601d128bd2d407d7f8b12b5ebd16b69f14a0aadddf0ba5d950</t>
  </si>
  <si>
    <t>201762E02002</t>
  </si>
  <si>
    <t>d456a8b7f650b124185893995d94fef053d22d8ee6db5b897ff29339b690e47a</t>
  </si>
  <si>
    <t>201762E02012</t>
  </si>
  <si>
    <t>280aeea57a32b9049d39846d2465faf26b6f06376e1dbc77fb6d8f0bd0560c47</t>
  </si>
  <si>
    <t>201763B01002</t>
  </si>
  <si>
    <t>0f6c2039f8a621ace0e1ad09f18bc6f5b2e4fe5f1becc24f906c38d99bf16037</t>
  </si>
  <si>
    <t>201763C01002</t>
  </si>
  <si>
    <t>4b8c8e20c966b345118966f68918726c7a0365b405dfe2d4026f1d4b0b4de407</t>
  </si>
  <si>
    <t>201764B01002</t>
  </si>
  <si>
    <t>3da2067ff539a3690e6e2d68b197f16f918377704c9291b0e1e90fa5f118ea4f</t>
  </si>
  <si>
    <t>201764C01002</t>
  </si>
  <si>
    <t>4352301fcaaff7893b35e686cf35db8788953c57da515cc0316ad4f691c768f8</t>
  </si>
  <si>
    <t>201765B01002</t>
  </si>
  <si>
    <t>42bcf73a3e9d66c5404f537065d9894382f2a752c7127eee427ba84ea5234d51</t>
  </si>
  <si>
    <t>201765C01002</t>
  </si>
  <si>
    <t>a2148eaacacf57d3d9b8eb838065a79ba4108018da97b1b58bd4be2de2e02b68</t>
  </si>
  <si>
    <t>201766B01002</t>
  </si>
  <si>
    <t>865c1d5b2260014cb1a1e507c8db69aa730e8704e7f522225f3cd48bc6846813</t>
  </si>
  <si>
    <t>201766C01002</t>
  </si>
  <si>
    <t>0bbb684c8c68a76908cab3c42195e69656c10cc06e60e2a7ad9b79cc9e3511e8</t>
  </si>
  <si>
    <t>201767B01002</t>
  </si>
  <si>
    <t>63c83305ed866e5d5ae4c83c7ba0aa64a9600b190d0a73726e5343de63e23ca6</t>
  </si>
  <si>
    <t>201767C01002</t>
  </si>
  <si>
    <t>ab0e31432467cd4dbf0ea383b5f5672e019d80131c50b979fd2e78a9ba1e1ff3</t>
  </si>
  <si>
    <t>201767C02002</t>
  </si>
  <si>
    <t>489e2bf7aa128740c22aa39e3006ec81c85c202f561353c575e5eac0d67bc1b0</t>
  </si>
  <si>
    <t>201767C03002</t>
  </si>
  <si>
    <t>5a63e4fbdc04e020f99cc68823ca3e46036f257847a90caaf27b088785b98639</t>
  </si>
  <si>
    <t>201768B01002</t>
  </si>
  <si>
    <t>2375650ce6495c244977d26dc7793443b904796f4c2028b1f7d6c47d73ac51a2</t>
  </si>
  <si>
    <t>201768C01002</t>
  </si>
  <si>
    <t>d14dfeac7582574a76337739ab99999b750e6a5ab34a8f586eaf44475dc89eca</t>
  </si>
  <si>
    <t>202301B01002</t>
  </si>
  <si>
    <t>3cbaa1cde45446e949d8d5170978571c923ce5b219ee83af50d3b86b9c0dbbf3</t>
  </si>
  <si>
    <t>202301C01002</t>
  </si>
  <si>
    <t>3afc055a002103e715160cc2faf7a60d53ad488e9f63a0bc86e7fc4524c39dd4</t>
  </si>
  <si>
    <t>202301C02002</t>
  </si>
  <si>
    <t>195db7934790d16b551796c05789e590ed598b12648ac5cf0fa09d8e5db300a4</t>
  </si>
  <si>
    <t>202302B01002</t>
  </si>
  <si>
    <t>45bb04b65fdb454ae05887c37c2eee976c340771c188b66b5fc296b87d70acaa</t>
  </si>
  <si>
    <t>202302C01002</t>
  </si>
  <si>
    <t>77014b0284314efec9a0b48ae18146c1375d122e5a797f6414fac3bc96e6a14d</t>
  </si>
  <si>
    <t>202303B01002</t>
  </si>
  <si>
    <t>720852b0651af337bcc11a52254e91541bce0b509944ad4a7a2850036fccbe9d</t>
  </si>
  <si>
    <t>202303C01002</t>
  </si>
  <si>
    <t>e0f1d578920bcb6261fbe92b0e86b571ff803415ff8369fba8730b1aa6b625d1</t>
  </si>
  <si>
    <t>202454B01002</t>
  </si>
  <si>
    <t>427cb8233f4a4eade5fdf982f55bd9ec521001f6a75883b79ee67de08e72cb99</t>
  </si>
  <si>
    <t>200484B01002</t>
  </si>
  <si>
    <t>OAXACA DE JUAREZ</t>
  </si>
  <si>
    <t>dbf83a430258d8b1b7cd7cea166d27decf6d05a6dfcd28166286618a2a1680ce</t>
  </si>
  <si>
    <t>200484C01002</t>
  </si>
  <si>
    <t>a418673e0351a27ee4a39eab5d718a9a85abe6442bb7fb99c28145e546559d7e</t>
  </si>
  <si>
    <t>200504B01002</t>
  </si>
  <si>
    <t>5fb85d81cdaec2429b713e8cefb61bcd9140ab4de61a72f398c007751cc63bce</t>
  </si>
  <si>
    <t>200504C01002</t>
  </si>
  <si>
    <t>7088b9150a045a058d7fdac37838dfac021cae9b8289e3ceaa1ef76ae3831a3b</t>
  </si>
  <si>
    <t>200504C02002</t>
  </si>
  <si>
    <t>3791cff7bec91d15ae76befe8b84418bd04b2e7fe517b4bcec17a21ac2e51c86</t>
  </si>
  <si>
    <t>200505B01002</t>
  </si>
  <si>
    <t>30048678b2afb526b5286ebe99cb780fcce4c4b9f5b043238b5110e64a06ec3f</t>
  </si>
  <si>
    <t>200505C01002</t>
  </si>
  <si>
    <t>654e3a11f0f3afad3cf7f3d1113c7479d450403b2c94d447e88f513ccb1a5bdb</t>
  </si>
  <si>
    <t>200524B01002</t>
  </si>
  <si>
    <t>f01f094fb84b01fae71bd6d600d0c1e4868a2c1ea1c00681a7ea955d77f379d2</t>
  </si>
  <si>
    <t>200524C01002</t>
  </si>
  <si>
    <t>e3311392f9ed4105f6343f13c10e0a37261dd5636f64e15282f346b69531e5af</t>
  </si>
  <si>
    <t>200524C02002</t>
  </si>
  <si>
    <t>267bf50da62729c07aa36899e8aa20d9d38cb1ee38f6c714987c36f7f95f49e5</t>
  </si>
  <si>
    <t>200524C03002</t>
  </si>
  <si>
    <t>43c2ec09b0e103f177e305aebafb7d168eb5042cea086abaac4633d307c76b82</t>
  </si>
  <si>
    <t>200524C04002</t>
  </si>
  <si>
    <t>c324f325ad1f5821855ca4ddb15ed588ff26f40571d5cf1dc0fa8fffe8442888</t>
  </si>
  <si>
    <t>200525B01002</t>
  </si>
  <si>
    <t>7e1e1916242b85882d885d4ffec1376eff0a3672684b9341620dbc6b6644c30e</t>
  </si>
  <si>
    <t>200525C01002</t>
  </si>
  <si>
    <t>0bb963adcaaaf470950682e6e99075365f0580e2384d2ccb206146d71a6532e1</t>
  </si>
  <si>
    <t>200539B01002</t>
  </si>
  <si>
    <t>4b1dd4b3dc364c668841ed5e5ea5e223a1323eb5dbc673ea2b9ced9aae6e8b51</t>
  </si>
  <si>
    <t>200539C01002</t>
  </si>
  <si>
    <t>a7b6936993afcb76ff209b07c2cb4530256fb9171e4b9d3c3fc3e8e624f55eff</t>
  </si>
  <si>
    <t>200540B01002</t>
  </si>
  <si>
    <t>c2281e94c3ced778b4cda1464db35287a3a6f1b5fbdb5b1149c1794a71edd2c1</t>
  </si>
  <si>
    <t>200540C01002</t>
  </si>
  <si>
    <t>177d90429e711c418036f84eb7e0ba691f1139988b808f7fdcc3f4f7d74d6aaa</t>
  </si>
  <si>
    <t>200540C02002</t>
  </si>
  <si>
    <t>2848e2116f0583f9bfc102a5b99383568745022c3305d1971e74eb38ca1d7544</t>
  </si>
  <si>
    <t>200541B01002</t>
  </si>
  <si>
    <t>501dae27668ea3ae19e2f0c6703f73be5c31deba6e52595c8fa19632d7a9138b</t>
  </si>
  <si>
    <t>200541C01002</t>
  </si>
  <si>
    <t>dcb34f88dbcf3c3bbab2172c76b1e8dc66371ed8b48168e6a45a47dea86daabf</t>
  </si>
  <si>
    <t>200541C02002</t>
  </si>
  <si>
    <t>75d80321bcc62e36ff3e4c0c07b0942e1be8a38cdd36cdcecd4f1a3829d133ca</t>
  </si>
  <si>
    <t>200541C03002</t>
  </si>
  <si>
    <t>bde843f39028be71c0199098727e99adab52c8960adc1019c2c8e8dcb441f747</t>
  </si>
  <si>
    <t>200542B01002</t>
  </si>
  <si>
    <t>d7097c8a60689593b9f9eff9e7249b14753640a8016e0614ee0e8bfdd498413f</t>
  </si>
  <si>
    <t>200542C01002</t>
  </si>
  <si>
    <t>a88b86976ed1f76a8a3f5175bf6c536738f30591ad812408ee314eebf321f4fc</t>
  </si>
  <si>
    <t>200543B01002</t>
  </si>
  <si>
    <t>a207d10bef1d61b03c86fecd9aae7fb09786044eecefb8ea4a159ba84959264d</t>
  </si>
  <si>
    <t>200543C01002</t>
  </si>
  <si>
    <t>060fb4ba1accdb1fc164ae269ce160d2485c2b040feb120aa0b1f012b201dab0</t>
  </si>
  <si>
    <t>200543C02002</t>
  </si>
  <si>
    <t>3ac3428554ba2bc895502461c722580b420b70e87ed48532e20218b685aae329</t>
  </si>
  <si>
    <t>200543C03002</t>
  </si>
  <si>
    <t>535ee2954b8e1ff6b4a1b9e77ba5ead0972d5d6cd2a963818240fb49c8d87c89</t>
  </si>
  <si>
    <t>200543E01002</t>
  </si>
  <si>
    <t>432b5c89700f5abe301faf1c048ba7deec1963beb38fde54af069e7afd22262e</t>
  </si>
  <si>
    <t>200543E01012</t>
  </si>
  <si>
    <t>0ba18dca611b1550228a21e9d9669ae5a8e91f1dc7ca374cabeabea9c9f484f2</t>
  </si>
  <si>
    <t>200543E01022</t>
  </si>
  <si>
    <t>13c6c8ad873b977a92cea27b1580e0f4c8fcce304ddd90c73505b15b5f2e6eea</t>
  </si>
  <si>
    <t>200543E01032</t>
  </si>
  <si>
    <t>ead1f4611b05adf88ac0ccfb194e51028c76316125fbfbd00b420e91aea1fbf0</t>
  </si>
  <si>
    <t>200544B01002</t>
  </si>
  <si>
    <t>82cc5532cb660f61ac7d12effe159e8d432040f7f0d5830a4ea4c41c3feb7cee</t>
  </si>
  <si>
    <t>200544C01002</t>
  </si>
  <si>
    <t>3374dd877b2b64815b9dab32491e730c31f40f1621d2cced50554783008bdc63</t>
  </si>
  <si>
    <t>200545B01002</t>
  </si>
  <si>
    <t>5d734d49cd25e4f3162983a778a35277739119a9236811c61ed2597dc08a4a2e</t>
  </si>
  <si>
    <t>200545C01002</t>
  </si>
  <si>
    <t>6fc89f91cc8ce831bdddf81985342035f18c70a0c50398da2a12559aed2f6cfd</t>
  </si>
  <si>
    <t>200545S01003</t>
  </si>
  <si>
    <t>e531bbb9e1c27ef503190cf96ed99bcaf1b22adf1b8e2d2f79d6f47c13b80856</t>
  </si>
  <si>
    <t>200558B01002</t>
  </si>
  <si>
    <t>49a97afcb60eecedcfdcf933f936f14b294955542e48fddbd9392190d7ff7a09</t>
  </si>
  <si>
    <t>200558C01002</t>
  </si>
  <si>
    <t>d6105aa496411b0a87977cd1978f25dc199a7b76e996d4da096eafbf4dbf6280</t>
  </si>
  <si>
    <t>200559B01002</t>
  </si>
  <si>
    <t>fc1d21c12ede4c3205af3d1868c05a572fcd76ec8c0bb7388eed83d4fbd0ace4</t>
  </si>
  <si>
    <t>200559C01002</t>
  </si>
  <si>
    <t>7cd51a7b624285875abede9b4be3c5ace1a83735d2d1468f09250cf745563839</t>
  </si>
  <si>
    <t>200559C02002</t>
  </si>
  <si>
    <t>60d1c3c40ca7672282ecc51f068ecdccd6794abcc77f648400e982befe56443f</t>
  </si>
  <si>
    <t>200560B01002</t>
  </si>
  <si>
    <t>148968bdaa9e7db631e3f64d9a7b28076ceac98bbebf29aa2dc72c35acc3ffbd</t>
  </si>
  <si>
    <t>200560C01002</t>
  </si>
  <si>
    <t>f47bb69775fd03b7679b3f8005856f3531b1f805eddb3c115fdd85f286d5c6e8</t>
  </si>
  <si>
    <t>200560C02002</t>
  </si>
  <si>
    <t>deccf01b461037c7c75cb3dd5acd0be177595bf73dd2727b7e23b514a0eb858f</t>
  </si>
  <si>
    <t>200560C03002</t>
  </si>
  <si>
    <t>a9463609d69b539b289a16b7019595a5ab2be05cd4ae58ffb8e7d8395e7cc452</t>
  </si>
  <si>
    <t>200561B01002</t>
  </si>
  <si>
    <t>709aac130adfa5041d5f79be24dd71409a635cd591839cda864022b032712101</t>
  </si>
  <si>
    <t>200561C01002</t>
  </si>
  <si>
    <t>bc6b58c9c5e3ff297cfe9938b1bd0c8540da5d588fdbd849e6b911a6764f8d50</t>
  </si>
  <si>
    <t>200562B01002</t>
  </si>
  <si>
    <t>ee165d6b3107d077326d40f62dc25660f693b6de7e140a8965c2d6d76bea859a</t>
  </si>
  <si>
    <t>200562C01002</t>
  </si>
  <si>
    <t>5137c7b6fbac46cc10a53b107c3995b414d970dd70b9ba82661ea1c63d677e60</t>
  </si>
  <si>
    <t>200563B01002</t>
  </si>
  <si>
    <t>7fdfb7dd13782ec3ddfb16c585e5fd8794b8a0f476f8baafc5031e485c83c51c</t>
  </si>
  <si>
    <t>200563C01002</t>
  </si>
  <si>
    <t>367f41503e527d141aece7756813fee4dbe3da89332713cbffcd9957c66b4a8b</t>
  </si>
  <si>
    <t>200564B01002</t>
  </si>
  <si>
    <t>cf489d2af0d9b977f06a3a0f4a6f24e95e8dfc7cfc0f9392b65ffe07a0574cbd</t>
  </si>
  <si>
    <t>200564C01002</t>
  </si>
  <si>
    <t>3f3eb87f618e689e151b96aee66345fe074bc20828e105c16fb671319326d146</t>
  </si>
  <si>
    <t>200565B01002</t>
  </si>
  <si>
    <t>3fa6c58a46dbdd19e646ca806d1b767b87d540bdde570f34b2cb756fb6e53a0d</t>
  </si>
  <si>
    <t>200565C01002</t>
  </si>
  <si>
    <t>5cd83a555f45d21214f56a45dc7176060afe0d4047a45063749a3df1370497bd</t>
  </si>
  <si>
    <t>200566B01002</t>
  </si>
  <si>
    <t>ce2f3f47e60b2ea7038e08c57fc074095831e71ceeb48c06f7e97db8bc31faaa</t>
  </si>
  <si>
    <t>200566C01002</t>
  </si>
  <si>
    <t>83e01ccbec6adcb3cf91bd1e2378105b476a81702adcea061b17f018fcfc0861</t>
  </si>
  <si>
    <t>200567B01002</t>
  </si>
  <si>
    <t>5cfb2d57abf814174b78721e9e8244281f36be4d250d5d6e64df4a98af7c3dea</t>
  </si>
  <si>
    <t>200568B01002</t>
  </si>
  <si>
    <t>0026f86f166c6d842f061e6f59a4d2a0b9e9487f74ad7d7696dd77c9c02821b6</t>
  </si>
  <si>
    <t>200568C01002</t>
  </si>
  <si>
    <t>89a62c1494e5382cf0f4485911b0fcd4d41eebfcfcbce2334104b45f28d01363</t>
  </si>
  <si>
    <t>200570B01002</t>
  </si>
  <si>
    <t>de88324da0854ecf006468a04c25e6b6947f5ccbd46941dccc6eac1ab8e230bd</t>
  </si>
  <si>
    <t>200570C01002</t>
  </si>
  <si>
    <t>273184c282b3d7966da19a3bad8c93835a4cd3ab97cd640d0aaf35be3b6abdc6</t>
  </si>
  <si>
    <t>200571B01002</t>
  </si>
  <si>
    <t>3cf487ea19719bb3eff1c0b6d686dacf9b6963124b27d3e8a1f7dd9f4c6c8547</t>
  </si>
  <si>
    <t>200572B01002</t>
  </si>
  <si>
    <t>31a9fa402dbe1ffbca503321db744c805ecf2161884ac36a6c06b4856c8edca8</t>
  </si>
  <si>
    <t>200572C01002</t>
  </si>
  <si>
    <t>902ac03468248af5afce6d7080f653c860949de2f822e2bc90d594d6bc0bd61c</t>
  </si>
  <si>
    <t>200573B01002</t>
  </si>
  <si>
    <t>9172e668591926a4b0de2fb83530cc0ee1e8aeaa093b406db6263dc8eee9e3de</t>
  </si>
  <si>
    <t>200573C01002</t>
  </si>
  <si>
    <t>dafc200a391cc04c6b7a3fe9a88b9e60f83d8f8463d4e3f56daa03b163f05b67</t>
  </si>
  <si>
    <t>200574B01002</t>
  </si>
  <si>
    <t>3235fa82f5af8641122436a3ba912cc3fc57803528346f60301c927e399bbebc</t>
  </si>
  <si>
    <t>200574C01002</t>
  </si>
  <si>
    <t>ac20c10c202c8d46eecd895c4e97b4ae6b1b2b8a6d4c100c86fb4746fe96d54a</t>
  </si>
  <si>
    <t>200575B01002</t>
  </si>
  <si>
    <t>0aa7bfeb3d4b868fbd701873072337dabb891e16d806836d733625a63b32dc97</t>
  </si>
  <si>
    <t>200575C01002</t>
  </si>
  <si>
    <t>61c580b44dd7b799e2d44745add6e918d3afd32e81da6f692af00c8396e7200b</t>
  </si>
  <si>
    <t>200576B01002</t>
  </si>
  <si>
    <t>7bdacc89984da6b3dda53fffccf433849a985de1481f5b88fb367beee6d7a54b</t>
  </si>
  <si>
    <t>200576C01002</t>
  </si>
  <si>
    <t>ad0608abc41f59d1c1d7585d25e94de6b09654f9e00597c6177a9792ab62feb9</t>
  </si>
  <si>
    <t>200576C02002</t>
  </si>
  <si>
    <t>3c8c1399b3bbbb62713793cc8d8177fb2f4d528a698d69a65db7083b4844176a</t>
  </si>
  <si>
    <t>200577B01002</t>
  </si>
  <si>
    <t>217ab8e5c4609d4a7aa09af82cf7a01cf7693ab4ec0fa2b1ba9fffcf0f7a1ca2</t>
  </si>
  <si>
    <t>200577C01002</t>
  </si>
  <si>
    <t>2586d96ad45d2ad7523a074aae29abdc484985a8394b9635aab9c15b6dad8006</t>
  </si>
  <si>
    <t>200578B01002</t>
  </si>
  <si>
    <t>993237f471c3fc4afb1168c99a8fc7ac804424a9e9297de7453e80e6cff5c828</t>
  </si>
  <si>
    <t>200578C01002</t>
  </si>
  <si>
    <t>6756aeff0ffa2a4306dd62fa92d3328c4a2b8cf3d06af54d0f2b165a204a80e0</t>
  </si>
  <si>
    <t>200578C02002</t>
  </si>
  <si>
    <t>9ff5b9f4d6d20d778244d985382d381354bb17963ad7265fb3f79a0802958ce4</t>
  </si>
  <si>
    <t>200579B01002</t>
  </si>
  <si>
    <t>3dc92cc5cb7ed29a93452fc2532e095f5a8f8c79bd473a92cb1251942aa8dd15</t>
  </si>
  <si>
    <t>200579C01002</t>
  </si>
  <si>
    <t>fe5b90db0405257da72f6146ae17df298637f2f6437a7112b031a6d86a1700d8</t>
  </si>
  <si>
    <t>200579C02002</t>
  </si>
  <si>
    <t>16119da698f72c3a1364ea2184d80a652e76d438b08f7a3b872e92dd2bf002d0</t>
  </si>
  <si>
    <t>200580B01002</t>
  </si>
  <si>
    <t>ca3b00cbeed50168ef9641fd031a12ee69a0fbdf56556fbc10a4710e0455a3e5</t>
  </si>
  <si>
    <t>200580C01002</t>
  </si>
  <si>
    <t>4395fde61d964e647075efe7fb1d89108ec755498461056986b4ed57f008e2c6</t>
  </si>
  <si>
    <t>200581B01002</t>
  </si>
  <si>
    <t>5f8447b7c00eb006f61eb67795b1687da7d9b1ecf42de0fa03027ca4276febf1</t>
  </si>
  <si>
    <t>200581C01002</t>
  </si>
  <si>
    <t>6343bf831f5a2adf2a55dda8e2b81864bb26c5a9b37ca8ff3d73c6740019117a</t>
  </si>
  <si>
    <t>200581S01003</t>
  </si>
  <si>
    <t>88dbd4bc22c390ece7f98f19284aa50243a932800ca67b2e1d5b239ae3ebeab6</t>
  </si>
  <si>
    <t>200582B01002</t>
  </si>
  <si>
    <t>90d78f36211a086534a01d911fb2986e1510655ec32252673439d7b91f2c6641</t>
  </si>
  <si>
    <t>200582C01002</t>
  </si>
  <si>
    <t>24f2e3fec38d25af675636ae56a8708c5dab629fa70eeaef3c3f4013c16f1168</t>
  </si>
  <si>
    <t>200583B01002</t>
  </si>
  <si>
    <t>89891ac4914743d134cc071bf5f4459161e1eb06a7a09e86c43cf2774a2f58a3</t>
  </si>
  <si>
    <t>200583C01002</t>
  </si>
  <si>
    <t>a330276418e6930ee52d84689b4f14fbc87bdae661b1fa7cf81e3df6f81b9175</t>
  </si>
  <si>
    <t>200584B01002</t>
  </si>
  <si>
    <t>917b08c61b18ed7fb538b7d728bddc1677390bc984b074277da74f509ff89a92</t>
  </si>
  <si>
    <t>200584C01002</t>
  </si>
  <si>
    <t>2d2a32e0e7c55248c45a0de9175c24ef1076e84ac840574dfe9e1f0cbd9f48a8</t>
  </si>
  <si>
    <t>200585B01002</t>
  </si>
  <si>
    <t>a593b4ebd0681e782496fd7add33c35dc1b465877f50cb355c8d9e92c9595eee</t>
  </si>
  <si>
    <t>200585C01002</t>
  </si>
  <si>
    <t>1bbd51f9945777a3084bfa49bb984c59ef3f1f891edecb8230359b0a5b87d557</t>
  </si>
  <si>
    <t>200586B01002</t>
  </si>
  <si>
    <t>5b9b233641fcabc88b2f53a5d1d980f49ad04344c6ef15212db0ffe4d9477f18</t>
  </si>
  <si>
    <t>200586C01002</t>
  </si>
  <si>
    <t>f387cf9438ff02ec7084152763437e762f63557e41604f40c30ec6568e6c234c</t>
  </si>
  <si>
    <t>200587B01002</t>
  </si>
  <si>
    <t>13d137409aab5e0054a77f9cba434927b2de8ebaae76533498d5d1f251d6f9f6</t>
  </si>
  <si>
    <t>200587C01002</t>
  </si>
  <si>
    <t>c67f929c2c194376230184a041241e186624edf37c65bd8029b3fc4e3ae15122</t>
  </si>
  <si>
    <t>200588B01002</t>
  </si>
  <si>
    <t>619ebd0998551df134306104a84ecfd6c50043281c77072e8ccee22c18db1c30</t>
  </si>
  <si>
    <t>200588C01002</t>
  </si>
  <si>
    <t>084c257c0f8c71af342bf39cd2154528fde3fbd7dd4e9c30fa1d78fb06350b0f</t>
  </si>
  <si>
    <t>200589B01002</t>
  </si>
  <si>
    <t>2e1d976af6229c3b540f19d8ad3585de11bee9e2afb99a45f8aed8936336c8fe</t>
  </si>
  <si>
    <t>200589C01002</t>
  </si>
  <si>
    <t>e31f17c35ac649f97ddc39c954a4603296537c0ab55734b239d6ff6f19934820</t>
  </si>
  <si>
    <t>200590B01002</t>
  </si>
  <si>
    <t>581061832b46e3fc5e30cb09b89ee8126f8be13fec4e2b9a2a89d34a531a18f8</t>
  </si>
  <si>
    <t>200590C01002</t>
  </si>
  <si>
    <t>ee4445d4df7aeed3135584076f9b3eab964265ee0e73448ee0c86a29925c85a0</t>
  </si>
  <si>
    <t>200591B01002</t>
  </si>
  <si>
    <t>0513b157c09f24028ce16f4b2cb8c3af818f17cbc9cb27db3f742159b7643529</t>
  </si>
  <si>
    <t>200591C01002</t>
  </si>
  <si>
    <t>c53f7e79dc84aeea53620187b501ba1c5e5c51bf3e3ef7d0dabd8dc3839d225b</t>
  </si>
  <si>
    <t>200592B01002</t>
  </si>
  <si>
    <t>bd23654615b97b803f80683879c7b117fa6c370db697c5576a578b3bb26e9605</t>
  </si>
  <si>
    <t>200592C01002</t>
  </si>
  <si>
    <t>817524184010050d6e76249e2915165377c2afd932f02c3fa6f016427e677eee</t>
  </si>
  <si>
    <t>200593B01002</t>
  </si>
  <si>
    <t>238ee9405c3412952a58065493a86d6b1a6cc805afd241bce76bba092a153ecd</t>
  </si>
  <si>
    <t>200593C01002</t>
  </si>
  <si>
    <t>8ad9a4d18e583d0e615bdd91400ab7615b8d89325ad6423d88a1215c1cad5875</t>
  </si>
  <si>
    <t>200593C02002</t>
  </si>
  <si>
    <t>ceca06a8b8ebb0699ef0ef94fc6709d8224c598956ad3d945674a687fe25c8e7</t>
  </si>
  <si>
    <t>200593C03002</t>
  </si>
  <si>
    <t>3379bdb9bc88d185cff25732085f3f47a6af59e741f4909e6c51c12095e6e8fe</t>
  </si>
  <si>
    <t>200593C04002</t>
  </si>
  <si>
    <t>bd69d806e54f270386cbd5a08135260bc4c970d10eea4b0156cd6d0827ab613f</t>
  </si>
  <si>
    <t>200594B01002</t>
  </si>
  <si>
    <t>8e79ef3154a35d6bc813e499f6c988e827384b7ba8b3340f0ffcbdc254be5701</t>
  </si>
  <si>
    <t>200594C01002</t>
  </si>
  <si>
    <t>a30d76910312622ddba608142ed91efd5c90ccc2e6e3472b1834d349d311c880</t>
  </si>
  <si>
    <t>200594C02002</t>
  </si>
  <si>
    <t>f0255702f245cbda0377726f4f8daa71ec7aa97cc7e0e3ec84de0f17fb6378ca</t>
  </si>
  <si>
    <t>200595B01002</t>
  </si>
  <si>
    <t>843eadc6469963cf578c5560394a9a324eaede5424e9dc0372671154e8da6729</t>
  </si>
  <si>
    <t>200595C01002</t>
  </si>
  <si>
    <t>3f83304b9d0edeb5c7ed41fc8407f5e0f323ed689f33581470215bc0ad54a264</t>
  </si>
  <si>
    <t>200596B01002</t>
  </si>
  <si>
    <t>eae1bd6d60c6f4a9a5efb6e2a7fbe999d28edab99a93636abd5128232eceb916</t>
  </si>
  <si>
    <t>200596C01002</t>
  </si>
  <si>
    <t>42676b967d14fdcfe06f45c543b5caf7d62aeee7377b792fef39a6ac7bb72495</t>
  </si>
  <si>
    <t>200596C02002</t>
  </si>
  <si>
    <t>88d74fe1cf9977d49462fab75084a71178568d317f7ab7ae5d89a6f189790f37</t>
  </si>
  <si>
    <t>200597B01002</t>
  </si>
  <si>
    <t>8d924be2b86e1749d45db220f8b0275ecc913a21d41f2923bb96c9c71d4e8986</t>
  </si>
  <si>
    <t>200597C01002</t>
  </si>
  <si>
    <t>3c4b082833170d83b70d1b80d2b2ae4cf33c5cbf0be387412221c64eb523edc2</t>
  </si>
  <si>
    <t>200598B01002</t>
  </si>
  <si>
    <t>ca004b58c604170105627164182fdfb0cda866f6566b5b1e26e1ae693e5cc230</t>
  </si>
  <si>
    <t>200599B01002</t>
  </si>
  <si>
    <t>cc90a5468502c96723acb9cccb476cac28e2ecb9c9cdef6d29b4f2c1bf57c1a9</t>
  </si>
  <si>
    <t>200599C01002</t>
  </si>
  <si>
    <t>fbffa19f17c2cb12738f49110a0c14f0cc8d1557dd865615fdd32f013be159aa</t>
  </si>
  <si>
    <t>200600B01002</t>
  </si>
  <si>
    <t>fa1a2257aa7b3f1e60568fad4740e4ec4e92dc39d67600cc64d8c775ceae816e</t>
  </si>
  <si>
    <t>200600C01002</t>
  </si>
  <si>
    <t>2e37544ecf971e3ec037869a81bb51d6f4b92cada9d191ce23df57c6ca8e4300</t>
  </si>
  <si>
    <t>200600C02002</t>
  </si>
  <si>
    <t>e0a63f79f0c3c10d760f925b1f98b403257981738d99c99a9c7a9187132e9d60</t>
  </si>
  <si>
    <t>200601B01002</t>
  </si>
  <si>
    <t>d0bf9e63aacbff6396bbb1c2542f74da5491c0297908b179660154ae231431e4</t>
  </si>
  <si>
    <t>200601C01002</t>
  </si>
  <si>
    <t>434e2cfdf0443440dd084770afb8f432557ad2ee63684591b6b013749377d93d</t>
  </si>
  <si>
    <t>200602B01002</t>
  </si>
  <si>
    <t>0eba5ab9ad3cc33aff7d92641b4178d2318c12b7167e60f249f31c864ccf4658</t>
  </si>
  <si>
    <t>200602C01002</t>
  </si>
  <si>
    <t>8ff6cb52ea4004167b3f9f498659a2c0d3450bf66000dae20dbd22dd36466286</t>
  </si>
  <si>
    <t>200603B01002</t>
  </si>
  <si>
    <t>c25c687de106be69b2bd42db5faa9668d85921694471d2e31232fa62836f3476</t>
  </si>
  <si>
    <t>200604B01002</t>
  </si>
  <si>
    <t>51b5c25aa13adf4c70780c5747bceb18841921359262e344b71c1dc8f388fa2b</t>
  </si>
  <si>
    <t>200604C01002</t>
  </si>
  <si>
    <t>53a29bd8b33e4ee24885903de10c6129df5b59c788f3eb94f8546473bbb8c42d</t>
  </si>
  <si>
    <t>200605B01002</t>
  </si>
  <si>
    <t>081a02fb4e984ca12e0b7da23337e0392cdf15f286331ba6caf314e39d8838b1</t>
  </si>
  <si>
    <t>200605C01002</t>
  </si>
  <si>
    <t>45213b53c285b033111ab8e1a374de05c45eb2494a01d56a4d31481fc83bb7c6</t>
  </si>
  <si>
    <t>200606B01002</t>
  </si>
  <si>
    <t>577670f8627bc0148613a15eed299fc2619b68a5d5fb913078d877de4b3a9d31</t>
  </si>
  <si>
    <t>200606C01002</t>
  </si>
  <si>
    <t>d565eeaab4b97e6bb521555fc015a9bb0bbb6f033fb544996bc5d6075d9b8398</t>
  </si>
  <si>
    <t>200607B01002</t>
  </si>
  <si>
    <t>6bbf095979ab4717592f2a925aa9204c7266a9196c3b7d37236f50fb1a9f4ca3</t>
  </si>
  <si>
    <t>200607C01002</t>
  </si>
  <si>
    <t>8340299dc4a028a74c65a038eee21c6c59ea34536daf5faf11c16f7cf7b3f6c6</t>
  </si>
  <si>
    <t>200608B01002</t>
  </si>
  <si>
    <t>d477f27d5b7e4790815c9e6a3b0c3294a0b3bc0a61af28b0c9c880ff7b4c5487</t>
  </si>
  <si>
    <t>200608C01002</t>
  </si>
  <si>
    <t>e128d48ae04eea3f35d14fad74c4e03c243a71490f992c84a874528e33eeb809</t>
  </si>
  <si>
    <t>200609B01002</t>
  </si>
  <si>
    <t>9cff8ec9403ee373b675024b8d95ec5948304e43b97fc07e223a753e38b17c73</t>
  </si>
  <si>
    <t>200609C01002</t>
  </si>
  <si>
    <t>058c966c9aa7dec05f638e8c6c4ffff7cc47bcbe68ffc03c27a0ac8dff430fa2</t>
  </si>
  <si>
    <t>200609C02002</t>
  </si>
  <si>
    <t>e8b5423b0fc88e55fbbd038687ff0b9c2b6f88cb4c653db74bf9a666ca6b91a7</t>
  </si>
  <si>
    <t>200609C03002</t>
  </si>
  <si>
    <t>7399c5dfa89ef1531f706101aa9e0d90e063676ad231ca876a5be4375f93abb8</t>
  </si>
  <si>
    <t>200609C04002</t>
  </si>
  <si>
    <t>59f31b75dbfd845ec8b9f5acff94e7754f5e0c5b161dce645d3844426732338f</t>
  </si>
  <si>
    <t>200610B01002</t>
  </si>
  <si>
    <t>74d8312a5c356b0b3cc070b3f1559e50aa0787862a09147e5a5859d92180d45c</t>
  </si>
  <si>
    <t>200610C01002</t>
  </si>
  <si>
    <t>6d867b217e334ec0099817996e93793622b64988e756a4662c03e9724aad2420</t>
  </si>
  <si>
    <t>200611B01002</t>
  </si>
  <si>
    <t>d04507bfa2990ef73ee510c95e1334c092d0c1c55b91b7952f34e03845beb1f1</t>
  </si>
  <si>
    <t>200611C01002</t>
  </si>
  <si>
    <t>613f96af2f295fb3d35804c6202f33e7b58f032a00bfd4d1af588c480bfa8122</t>
  </si>
  <si>
    <t>200612B01002</t>
  </si>
  <si>
    <t>5344204f3eb4143be0d95adf2d985410cac422aa60f911b9d52fb61629a43d24</t>
  </si>
  <si>
    <t>200612C01002</t>
  </si>
  <si>
    <t>04c393e3d7b3e57587e9eac9a9a00d06ddd76d80549971edd49842fad752dbd6</t>
  </si>
  <si>
    <t>200613B01002</t>
  </si>
  <si>
    <t>61b88edbfd8777f34cda0cfec0ad1c15233820a862002a1703b575c000789778</t>
  </si>
  <si>
    <t>200613C01002</t>
  </si>
  <si>
    <t>5ac7e6dd748758cb62cfb18d1074b74f62f5ec88d0d02e267db778d4176401d8</t>
  </si>
  <si>
    <t>200614B01002</t>
  </si>
  <si>
    <t>2409db2ce3eecd09a2364ecf7faee48e3e4a1849769dede38232c8065f7cdd14</t>
  </si>
  <si>
    <t>200614C01002</t>
  </si>
  <si>
    <t>2437e96ad0b80c950b5b9a194c852735290f5c16bce808d5652fb9597835020c</t>
  </si>
  <si>
    <t>200615B01002</t>
  </si>
  <si>
    <t>2def1fbdcce0a337028339149db9a0e7f9169dd05d9844287c822a5af50f7097</t>
  </si>
  <si>
    <t>200615C01002</t>
  </si>
  <si>
    <t>68e15ffd46a300b2889b0b796c53bb38cbe764f4f32d99855de13968253d2e1e</t>
  </si>
  <si>
    <t>200917B01002</t>
  </si>
  <si>
    <t>afa267a66a213092bfda8c954ba7752ffedd1ed420580326b781fbfab84a2e75</t>
  </si>
  <si>
    <t>200917C01002</t>
  </si>
  <si>
    <t>b4551ca482fd1f4ac8faa8ec2e381107fa020afcf0eb12305895ec409a4b1f61</t>
  </si>
  <si>
    <t>200917C02002</t>
  </si>
  <si>
    <t>9308377ef6b0cb642279e300ae3ac45fa9c7a99a3c6f86078938ca782eae15f8</t>
  </si>
  <si>
    <t>200917C03002</t>
  </si>
  <si>
    <t>d710e92d7cb723bfd661232fa2f679ab827a76b1df49e41e05a7aa43c1df0449</t>
  </si>
  <si>
    <t>200917C04002</t>
  </si>
  <si>
    <t>2e83f2f84bdcc7cf377a4d363e4177ea805fdf393a7495477bf21bb94eddd432</t>
  </si>
  <si>
    <t>200918B01002</t>
  </si>
  <si>
    <t>a910bfbc6a59d0cebb78773d1a6ccc4aca30d05e4497dcf3aafa6a8c526d4f51</t>
  </si>
  <si>
    <t>200918C01002</t>
  </si>
  <si>
    <t>ed192dd4b4099d7e47e0706adc96cc26a0b0940ec8c3fbb1e9daab60e8bd546a</t>
  </si>
  <si>
    <t>200918C02002</t>
  </si>
  <si>
    <t>3f1047be4f8ee5cc219d66001478198073fdad3eb1e7c912c57d653864aaa788</t>
  </si>
  <si>
    <t>200918C03002</t>
  </si>
  <si>
    <t>0051c4c0f0f8f08625484d0919eac19565ea608c416f31a34c069b9f12911236</t>
  </si>
  <si>
    <t>200919B01002</t>
  </si>
  <si>
    <t>d3707c3928aea3862cb0ee1fbd81e84cc3a46ddd87bab3e468dbd3de2b2c3b5b</t>
  </si>
  <si>
    <t>200919C01002</t>
  </si>
  <si>
    <t>07252f3cb38fb60a2dea781284d3cf7c3bb414d929a52077046613ee1692ac26</t>
  </si>
  <si>
    <t>200919C02002</t>
  </si>
  <si>
    <t>ba9d7299c07fbf77c6d44c84ec90ec41bddc15712b5b2114123cbd34745c91c7</t>
  </si>
  <si>
    <t>200919E01002</t>
  </si>
  <si>
    <t>e81448e3a0def55059f54964262605261f322470f49340be5f2599383ba248b9</t>
  </si>
  <si>
    <t>200919E01012</t>
  </si>
  <si>
    <t>2207d49e5b841aeea35f3f9a127ce492c2cdaea106ca36a03b6eb6860b2a31ce</t>
  </si>
  <si>
    <t>200919E02002</t>
  </si>
  <si>
    <t>29847bb29d360c6e4a950dcc60224e1c09ad82c332507c6519f9e0130bcf93c2</t>
  </si>
  <si>
    <t>200919E02012</t>
  </si>
  <si>
    <t>1ca5f8dad7a4e22f60dabc51debf9de8301a3ef4d02ffcb50e23dfb8b7b04d47</t>
  </si>
  <si>
    <t>201784B01002</t>
  </si>
  <si>
    <t>4da994d28ffd3b7e67672236783b5cc7f8052ede12fe04702d0cfd9f7941cb14</t>
  </si>
  <si>
    <t>201784C01002</t>
  </si>
  <si>
    <t>09799c59491f4e9e43866e3660eaab1ccd6945960d7fba0bd9977a4e65dbfdf1</t>
  </si>
  <si>
    <t>201784C02002</t>
  </si>
  <si>
    <t>4bf3b2c70ab594f2a366eaed165e3f1036be2cd5690111225dda41fe691faff2</t>
  </si>
  <si>
    <t>201784C03002</t>
  </si>
  <si>
    <t>14a2aac4b6d24040d5a6136836d4dd87c62b813626bc0f0fab84caad545eea69</t>
  </si>
  <si>
    <t>201784C04002</t>
  </si>
  <si>
    <t>d6ed668a7a851df7fa8ee3382e30094aed31b7425ce643234c6f03c071726326</t>
  </si>
  <si>
    <t>201784E01002</t>
  </si>
  <si>
    <t>fc102cefdd0bb8d4e8a8cceb977a2c4c67151ae4e73a900a1116cde6d2db9b27</t>
  </si>
  <si>
    <t>201784E01012</t>
  </si>
  <si>
    <t>397f19c5c5cff2659efdf8325ac9b388b1043de010fdf3a26335e0f3e9668ff8</t>
  </si>
  <si>
    <t>201784E01022</t>
  </si>
  <si>
    <t>ef7c53edf65a506d5b1a9ca7681ea435ca13e7f2fc830c997f90df03c5ed15a9</t>
  </si>
  <si>
    <t>201784E01032</t>
  </si>
  <si>
    <t>2198794cc876a79659ff598719b0ad13c14fd806dfe48ab27dc36ff0aaaa7c53</t>
  </si>
  <si>
    <t>201784E02002</t>
  </si>
  <si>
    <t>924ab8b8ee0e6d2da1f440b12ca754f3671f85360136cf515489cfabf85f82a2</t>
  </si>
  <si>
    <t>201784E02012</t>
  </si>
  <si>
    <t>8d4c25af65e3151cb23cfa3e0f2d09bcc42056cd070df1772e07a910dc52c4cd</t>
  </si>
  <si>
    <t>201784E02022</t>
  </si>
  <si>
    <t>b2a90e1bcd37f20aefc2708bec496482846f36375bb8ef45f79875a348d84c68</t>
  </si>
  <si>
    <t>201784E03002</t>
  </si>
  <si>
    <t>d1a57dfebbeb6c67f57deb7149cefe25ea29caecfd4f1c913dc88cfa86bc3425</t>
  </si>
  <si>
    <t>201784E04002</t>
  </si>
  <si>
    <t>3622df0ee7ad7c87370de690990bf50ac96230e72f52f2b4c60224503b09cf6b</t>
  </si>
  <si>
    <t>201785B01002</t>
  </si>
  <si>
    <t>677ebce2e65322badac1c9b08dd2c05b1467b53ab251d56cdb5d5d96e39f95af</t>
  </si>
  <si>
    <t>201785C01002</t>
  </si>
  <si>
    <t>7dbe7aed618fc9e39c1736635f5b124954f8958a11f3ba5a8b71fc9005169d36</t>
  </si>
  <si>
    <t>201785C02002</t>
  </si>
  <si>
    <t>4db52ab46dc336b0e73bb7568437c50abbd4aa9d8a553099be99b4fdfcc41819</t>
  </si>
  <si>
    <t>201785C03002</t>
  </si>
  <si>
    <t>422d653406cd7a780d593ae701bd376cc1bde067ccfccf4bb4cb73e4c16afd3c</t>
  </si>
  <si>
    <t>201785E01002</t>
  </si>
  <si>
    <t>fa6a2bd3f2fe49efebbd284a7db4e0b6bfc5c974290e0277fb4dc410b664a0f2</t>
  </si>
  <si>
    <t>201785E01012</t>
  </si>
  <si>
    <t>364f838f74aff5fe7537ed3269ac9aca8a251d8ecca4ea4934d59de0b477857f</t>
  </si>
  <si>
    <t>201785E02002</t>
  </si>
  <si>
    <t>ff177d09c64f3d4135e9f3450d19175c427e008fd06e8df2fe5ac900a5a3adbf</t>
  </si>
  <si>
    <t>201785E02012</t>
  </si>
  <si>
    <t>64956c82f43a5a82b452471f365dc450407582cb058c056e6e88ea5f457a9f91</t>
  </si>
  <si>
    <t>201785E03002</t>
  </si>
  <si>
    <t>23cf58ee6628c1bd48163230c6000f175190830b65208201ed7fc7f5511dee2d</t>
  </si>
  <si>
    <t>201785E03012</t>
  </si>
  <si>
    <t>549e2a0f5f2ac28a460b5938809edbaf8162b04ccb5d5ebd9d807ebc5e6ef34d</t>
  </si>
  <si>
    <t>201785E03022</t>
  </si>
  <si>
    <t>05edca3f20a3bc96e113981a11cfb91593f8ca1b8078a0974244dcf29c92578d</t>
  </si>
  <si>
    <t>201785E04002</t>
  </si>
  <si>
    <t>c39f14720309799ba064693741081474999ae9be698155f9283e6e0089315d04</t>
  </si>
  <si>
    <t>201785E04012</t>
  </si>
  <si>
    <t>f463a5b13c576ff0896cd0fdeccbe9f271b84e3fb06de4dc845e38f4eb852af5</t>
  </si>
  <si>
    <t>201785E05002</t>
  </si>
  <si>
    <t>1f54f63afe88146e8b52ddf019d15fe48421c299d7366034d992000b70a7e4f3</t>
  </si>
  <si>
    <t>201785E05012</t>
  </si>
  <si>
    <t>a9ba24a9a9a781d5d8195d4a70ae19e04ca8a0db52d5116c99a60f747ddeca37</t>
  </si>
  <si>
    <t>201785E06002</t>
  </si>
  <si>
    <t>08514c11b7cf193ba0f5627eea1522caab6676c1fd83aecffeff3221bb2095a2</t>
  </si>
  <si>
    <t>201785E06012</t>
  </si>
  <si>
    <t>c428d3482fe1d91f60472ec95606b38ce01825d7a215ac5b46c4a980e40161b1</t>
  </si>
  <si>
    <t>201785E07002</t>
  </si>
  <si>
    <t>2240db9f3fa52d590dac4bccd84a1b6e2f3bd62489d62eb15625899dd21a8020</t>
  </si>
  <si>
    <t>201786B01002</t>
  </si>
  <si>
    <t>3398db0335449eb82e87c55d9b2878d1fe11e3dad4f34a0d6ed68a1262a6b109</t>
  </si>
  <si>
    <t>201786C01002</t>
  </si>
  <si>
    <t>2a0b952fba96a0dfe204435fb5de8828b100563d642c02c0eaf3a5aa89ce1537</t>
  </si>
  <si>
    <t>201786C02002</t>
  </si>
  <si>
    <t>548947c3a57762a314d7eb4365311af773ce11db9c205ed5332f004c5c0d36b2</t>
  </si>
  <si>
    <t>201786C03002</t>
  </si>
  <si>
    <t>673ebec5b1ca6290142b73b1b7855d5ed5d7a20497db55f55cb04b9e3dfca3ef</t>
  </si>
  <si>
    <t>201786C04002</t>
  </si>
  <si>
    <t>3880928e80f6453cf94ac114eab870ac82784a78fd9dbebce8d0c4515c0fbc39</t>
  </si>
  <si>
    <t>201786E01002</t>
  </si>
  <si>
    <t>de81e5d9e3582f6840c698e58894344a0ea3df5336fac7c0ca7f4b267bef722b</t>
  </si>
  <si>
    <t>200470B01002</t>
  </si>
  <si>
    <t>057b73eaefd38ec3b8bd557fd87e4884275cc44960e03d5dcea8377be0d29f50</t>
  </si>
  <si>
    <t>200470C01002</t>
  </si>
  <si>
    <t>663edc3a3f5943c779322f78116ec9cef1015d347202501f816826486ddbbdba</t>
  </si>
  <si>
    <t>200470E01002</t>
  </si>
  <si>
    <t>b56db3a6ca5475b605e52a8f412dbb0b07b1603a97c9c143b5a1ef9f31f60007</t>
  </si>
  <si>
    <t>200470E01012</t>
  </si>
  <si>
    <t>c6e2d52a6e9c2dd00cf510e1db4e02b34ceb1cccbe87466dd616cd7470453457</t>
  </si>
  <si>
    <t>200470E02002</t>
  </si>
  <si>
    <t>b2cbb942584b7ec93270f5073f9a004d39fb7e2b7cc3b1003bfa73169a2957e4</t>
  </si>
  <si>
    <t>200470E03002</t>
  </si>
  <si>
    <t>387a30c154f511ab88e3c52a89d011a0183dd1a9442b65693037a82fcdcabf50</t>
  </si>
  <si>
    <t>200470E03012</t>
  </si>
  <si>
    <t>40a5ecc5c87df5e1118d2038730cf96d4f293f6d685c0e4fc228a79106c78d51</t>
  </si>
  <si>
    <t>200470E04002</t>
  </si>
  <si>
    <t>a48d62eb7686911311d2ee3122563f88b5f5a016937da121c39a729860b85f65</t>
  </si>
  <si>
    <t>200470E04012</t>
  </si>
  <si>
    <t>3b49948e9aa26785bebec8909aea8a935c91ae6dab900d9d0ace5aed7dfce46a</t>
  </si>
  <si>
    <t>200470E04022</t>
  </si>
  <si>
    <t>2c6ac091260160907e41cd1d3d5e07916b42b47e13c9d02795e29ee7e7631035</t>
  </si>
  <si>
    <t>200470E05002</t>
  </si>
  <si>
    <t>fc4eac779eb9988bccd6165a7626ce8ee66486a83e25c4c6f4cc03b5d3e63538</t>
  </si>
  <si>
    <t>200470E05012</t>
  </si>
  <si>
    <t>a2d6bec109d6d48b16ae4910b4f98f647a472d2d136784b526af7f562b99a3be</t>
  </si>
  <si>
    <t>200470E06002</t>
  </si>
  <si>
    <t>e105ebada35482ffe9d83de9462f5f80685d4d7a9df1b5734dedd86987c78da2</t>
  </si>
  <si>
    <t>200470E06012</t>
  </si>
  <si>
    <t>59876362aa618ab389a97418207b0099d1c04560d5f27b7fdf8201a2870085c3</t>
  </si>
  <si>
    <t>200471B01002</t>
  </si>
  <si>
    <t>9724c1c14b76e4bd498c2dc1cd321273194696e0e643c48b4ac55ef8d3e81e99</t>
  </si>
  <si>
    <t>200471C01002</t>
  </si>
  <si>
    <t>d69b7662099ea56991411ac2aa5d2b3b4be81624045d372ebb2aa2f6b71b6d8d</t>
  </si>
  <si>
    <t>200471C02002</t>
  </si>
  <si>
    <t>a8479fdeea533a90632f337b10df9bccf302d4eb2610e798ea0f095c75db34ce</t>
  </si>
  <si>
    <t>200471C03002</t>
  </si>
  <si>
    <t>53de0b862be167f86ada720297069ec54130568033fa6a792952d40ed512fc1a</t>
  </si>
  <si>
    <t>200471E01002</t>
  </si>
  <si>
    <t>eb07ca8966a5a338d801c283c27e87337a92a65658a35d87233775364a05ccd7</t>
  </si>
  <si>
    <t>200471E01012</t>
  </si>
  <si>
    <t>f8fe1120ecd572f82d8693178df7cd4972534a930d1bd161eeaa23e4a3e3c2de</t>
  </si>
  <si>
    <t>200471E01022</t>
  </si>
  <si>
    <t>da820975e8ab1e053508d5e2a5f9dcad2e304287525b787711a0d03919bf489f</t>
  </si>
  <si>
    <t>200471E02002</t>
  </si>
  <si>
    <t>fd3515e6df5fa57b69e816b16e963056edc12d4a2605b79f5c33f3b94e1f04af</t>
  </si>
  <si>
    <t>200471E02012</t>
  </si>
  <si>
    <t>d9338b5fbbce7c1e8fd29daad919ceb8cf82276e036312b615e83084e68abf04</t>
  </si>
  <si>
    <t>200471E02022</t>
  </si>
  <si>
    <t>62f5f0164d86a21458ec3cf959da20d5d164c84d3b61a27a512f124a9e4b5a40</t>
  </si>
  <si>
    <t>200472B01002</t>
  </si>
  <si>
    <t>cc01ffc862cd431595d4d130dade9da14099d2c54ead2ca391205473bacd86fb</t>
  </si>
  <si>
    <t>200472C01002</t>
  </si>
  <si>
    <t>89642433e71ac33e4ce5aa647ba059fa7541aa4ab9a4eca69f2608364e02f0a2</t>
  </si>
  <si>
    <t>200472C02002</t>
  </si>
  <si>
    <t>2d79357aabcb10f528afc3351aa52292132b71eab37386a3e8e2ae03f3305982</t>
  </si>
  <si>
    <t>200472C03002</t>
  </si>
  <si>
    <t>1b6293070bf55674e3bd61f0da2edc6e69eefdf1dcf57015b039b09eb76ba518</t>
  </si>
  <si>
    <t>200473B01002</t>
  </si>
  <si>
    <t>cd694cef6da55703e135f9ef72e3db0147c07755fc3b010a95a947f323634e29</t>
  </si>
  <si>
    <t>200473C01002</t>
  </si>
  <si>
    <t>92cbfb45deaf100934c12301a3af2de928a234833a93f664c821bef280c8c307</t>
  </si>
  <si>
    <t>200473C02002</t>
  </si>
  <si>
    <t>dd4e36630c3f3e236c072e76b0d925060ee2a0714fde4def6fc7d206bf1f41e2</t>
  </si>
  <si>
    <t>200474B01002</t>
  </si>
  <si>
    <t>1f38fc759c971362641fbf1a6206b0ae87023d2ec8affd190fe48311872cb749</t>
  </si>
  <si>
    <t>200474C01002</t>
  </si>
  <si>
    <t>41d8576b587922c1efef0821c351de716e78318d5e42cef3e66308fb6f4a77e4</t>
  </si>
  <si>
    <t>200474C02002</t>
  </si>
  <si>
    <t>26fd9b771b78e7adc1bbcda8986f0e0ef0eb11aa26c7eb998e2f858b7657cf45</t>
  </si>
  <si>
    <t>200475B01002</t>
  </si>
  <si>
    <t>096e30f7a2f5f9cbdc15b8ea0ef0e19285ccfdbf29da0252da3d624fdf153379</t>
  </si>
  <si>
    <t>200475C01002</t>
  </si>
  <si>
    <t>1d18caa37646722b68619149fa96e83d39b774a843edb25f87d9e49e88ee1422</t>
  </si>
  <si>
    <t>200475C02002</t>
  </si>
  <si>
    <t>a41be7184484320429a56787bb1a61677f476349fb85882f04ac57e8f376bc41</t>
  </si>
  <si>
    <t>200476B01002</t>
  </si>
  <si>
    <t>0d43134ebae1a9b3e0df2b8cd5eafccbeab71a5bdd07ef4d7a836c1a66fdac3d</t>
  </si>
  <si>
    <t>200476C01002</t>
  </si>
  <si>
    <t>bcc9abba6ed63d51901dfec6dfc70c6acb037e5fecd5da6567dd5f009b8638de</t>
  </si>
  <si>
    <t>200476C02002</t>
  </si>
  <si>
    <t>8970fe846f1aade547b9478aee03fccb5602331b1222d4d8fce926b138d4f224</t>
  </si>
  <si>
    <t>200477B01002</t>
  </si>
  <si>
    <t>3110511544a2ba654474ade6d62aeea6c38f21666a73f2c532a618bfc375f604</t>
  </si>
  <si>
    <t>200477C01002</t>
  </si>
  <si>
    <t>40a83c1afa9babcf5740e1b4de6cdd32afc4beba142f2d6da94cfbd112cba6e9</t>
  </si>
  <si>
    <t>200477C02002</t>
  </si>
  <si>
    <t>8b361fa0f23be3fe26398d120535d805ae2ec9d90e12b18bec7fb7f09806b1c1</t>
  </si>
  <si>
    <t>200478B01002</t>
  </si>
  <si>
    <t>7431c21dba9fad51768fbe65b053f76454d35f70e883eb7c07baeb538cbbf6f0</t>
  </si>
  <si>
    <t>200478C01002</t>
  </si>
  <si>
    <t>c6859dbf0e7d08f6795f40012ef9f9ef1a3d29abd43c3987c2d30d91133ae3ed</t>
  </si>
  <si>
    <t>200478C02002</t>
  </si>
  <si>
    <t>fddd5473d901ea950e38f94c2b1202555a81fb5407cf0ef6548c0cfe928d9735</t>
  </si>
  <si>
    <t>200478C03002</t>
  </si>
  <si>
    <t>f3a601308295db73a71b8fc816e8d3aeec06812f6205d55a1d87004d5921776e</t>
  </si>
  <si>
    <t>200478C04002</t>
  </si>
  <si>
    <t>a06ca61b0212ae82adf103b8a3e8af9d757cff7f57c4e6ab4d28b6c99ca9c67d</t>
  </si>
  <si>
    <t>200479B01002</t>
  </si>
  <si>
    <t>617d69eaf345d1448a58350ce041e90dad2ad175e820cb9bb270d31c803c0f01</t>
  </si>
  <si>
    <t>200479C01002</t>
  </si>
  <si>
    <t>ac3e0b4e9b04f2c54b4e04d29657c89cd4d6913744eb2796638521003fe1c236</t>
  </si>
  <si>
    <t>200479C02002</t>
  </si>
  <si>
    <t>c476831268648ac9004565f2b279fb1ef7d846e22da7ad356f3f1e334a6fe975</t>
  </si>
  <si>
    <t>200480B01002</t>
  </si>
  <si>
    <t>da7f2828e1702573e70941a54af5771a8a714c2ce46b58762e9f502846669dbd</t>
  </si>
  <si>
    <t>200480C01002</t>
  </si>
  <si>
    <t>dd552cd4d8a6276e643f21e4d29fc8c1e30ad46cc7a1c8f0fd0bda93bec305e4</t>
  </si>
  <si>
    <t>200480C02002</t>
  </si>
  <si>
    <t>be8e6b9d727f6d5389a6654210b053b4410fb72422d9a4dfd414a64c0956b40d</t>
  </si>
  <si>
    <t>200481B01002</t>
  </si>
  <si>
    <t>c8e9e26c4cf5360579f1f6cf1d6c90fef8845ee9513221fd62807c1cf8e47652</t>
  </si>
  <si>
    <t>200481C01002</t>
  </si>
  <si>
    <t>81a4c45474195a1b7f28d13b3debd3024e11d2bf60f319c622577fcba7b9552a</t>
  </si>
  <si>
    <t>200481C02002</t>
  </si>
  <si>
    <t>608948feec566a194af7cabd84bb4d5802f544f2b1767d35c9c02c47fad302be</t>
  </si>
  <si>
    <t>200481C03002</t>
  </si>
  <si>
    <t>66d0ab1ab9a28d36b1d0834e9915fd4640b8debcad0094371ced3da956adb66e</t>
  </si>
  <si>
    <t>200481C04002</t>
  </si>
  <si>
    <t>686afb894447c8035c690d762ed84fd829f3ff801216ba568a3e82afebcecc21</t>
  </si>
  <si>
    <t>200482B01002</t>
  </si>
  <si>
    <t>9d0470b45cd652de2822699a563e3c6f2aaaabcd63b5dcef02d02ba67d5d2c93</t>
  </si>
  <si>
    <t>200482C01002</t>
  </si>
  <si>
    <t>0fa01efb60f8110e39ebb14aa6589a4763809b1852998fe081cbbbbb3b0f61b1</t>
  </si>
  <si>
    <t>200482C02002</t>
  </si>
  <si>
    <t>86960258fc21d194f435e1b5c1cb5a3ae61cff905ad64edebc322c5acf9d8a4b</t>
  </si>
  <si>
    <t>200482E01002</t>
  </si>
  <si>
    <t>b7627fef4b1b2771c9b01f4f6544fbd709785f12ec6398bbcc754cf6a27e13bb</t>
  </si>
  <si>
    <t>200482E01012</t>
  </si>
  <si>
    <t>0c99a172dad19ce72e8060183ecd1791c2fc12eec929094c8c0108df8deae228</t>
  </si>
  <si>
    <t>200482E02002</t>
  </si>
  <si>
    <t>6115ee501b42dcec952a08a3dc4612cbde466e7c6c601b6f277f2a1da76b0bdf</t>
  </si>
  <si>
    <t>200482E02012</t>
  </si>
  <si>
    <t>750ddc2b1a54ae571f0e3b3ba9b6d6d421e59fbc35aaf55f08ce06a8181ef06c</t>
  </si>
  <si>
    <t>200482E02022</t>
  </si>
  <si>
    <t>4b969378a16d6916a542859404e56d40a4a3424e79882fb15c0b9f206da48487</t>
  </si>
  <si>
    <t>200483B01002</t>
  </si>
  <si>
    <t>dd8c9ab58d27ec88947c31e167c999dc297b7f2aab17f635e317e35a80eb4abf</t>
  </si>
  <si>
    <t>200483C01002</t>
  </si>
  <si>
    <t>d5e616b4d47fb5a1262ed51b0f7e1756c0861786a002ee846f6f9a628898ffab</t>
  </si>
  <si>
    <t>200483C02002</t>
  </si>
  <si>
    <t>16b0423a529996fb1fb3dc5fa4b11c62c2c63d1e96d53af65cfd2a5864f3626a</t>
  </si>
  <si>
    <t>200485B01002</t>
  </si>
  <si>
    <t>2ed3368eaeb47faae26daaf5ed1dfc5b048bea846cff5f104e7e1fb27fedf804</t>
  </si>
  <si>
    <t>200485C01002</t>
  </si>
  <si>
    <t>642a9da514ab9c029497abe188eece2c8bca1965fd34321424b33000f95cf5a0</t>
  </si>
  <si>
    <t>200486B01002</t>
  </si>
  <si>
    <t>a3ce3037fff6a4ba88925ac832591ffd416945e2f27606a794563b7191f9bca9</t>
  </si>
  <si>
    <t>200486C01002</t>
  </si>
  <si>
    <t>b154bb5a1e14d1b1a98122bbecf6e1de6a9066c1152483bca039de413181deed</t>
  </si>
  <si>
    <t>200487B01002</t>
  </si>
  <si>
    <t>61c59de978eec2d78aa27f92adf7086ca61eb203e9e4efcc98d38e25f2de98a5</t>
  </si>
  <si>
    <t>200487C01002</t>
  </si>
  <si>
    <t>f1c374bc83e81c730fd4afdb0726dcf0dfa8e7c1143240d852495be6c2ceac45</t>
  </si>
  <si>
    <t>200487C02002</t>
  </si>
  <si>
    <t>080e1fbe1d35c8ac3e9d68a7f7b3fe396515ddeacd38d8e66559fb4f817b7786</t>
  </si>
  <si>
    <t>200488B01002</t>
  </si>
  <si>
    <t>0e593a1273f7f00d487e611ecbcdd433545f246a8b9d76cf27cb1f59d2168cf0</t>
  </si>
  <si>
    <t>200488C01002</t>
  </si>
  <si>
    <t>98d0230fe249e2fff7f61a3f82175af4feb38cebcb5456b0c0bbaf3881a2b100</t>
  </si>
  <si>
    <t>200488C02002</t>
  </si>
  <si>
    <t>fc119b60599d4031dfdf880651c72ea0fc54ad414a8e49d7aad56459d72f2029</t>
  </si>
  <si>
    <t>200489B01002</t>
  </si>
  <si>
    <t>d8296b9bd6c6c344e04529cc7ffa310867597bdf3c5ec5827b4754dcfa1d6797</t>
  </si>
  <si>
    <t>200489C01002</t>
  </si>
  <si>
    <t>a1aedd94ab32300cbebc110af52cc0fd1a3997e95aeab00cc11dd0c5c6078d04</t>
  </si>
  <si>
    <t>200489C02002</t>
  </si>
  <si>
    <t>c88c198bd7dfa6074c54e07eb1dc05171cd50282a540815bf3555f21cf99e98c</t>
  </si>
  <si>
    <t>200490B01002</t>
  </si>
  <si>
    <t>98dad2c7352599f828df4dea26261b27717071e20cd5c1f79e51d991e19849e6</t>
  </si>
  <si>
    <t>200490C01002</t>
  </si>
  <si>
    <t>e9363803a00ae65ae67b07b2a0eae75742a053c85dbb5d4ab9174961156b7f4b</t>
  </si>
  <si>
    <t>200491B01002</t>
  </si>
  <si>
    <t>0a353d28455eec5ddb923f8ff1ab5ada98ba08c812fe691ad3431518082c0d74</t>
  </si>
  <si>
    <t>200491C01002</t>
  </si>
  <si>
    <t>c8d93c66f6e4a5426f5614ad5eda27aa396fa8bc5b48d4ca6dc040dbbd546874</t>
  </si>
  <si>
    <t>200492B01002</t>
  </si>
  <si>
    <t>d9572230b80a861738d4f825c249a6a2e918246d06fa99a0e3dd5c6337d1531c</t>
  </si>
  <si>
    <t>200492C01002</t>
  </si>
  <si>
    <t>edb466adfa4b63ad65b27594893a80dc38f33bbac711e49a7cc96c71ca995778</t>
  </si>
  <si>
    <t>200492C02002</t>
  </si>
  <si>
    <t>d6a64624713ec5da298dc5f99e934b3f3a9b75587c536bbed173c7db5602d1cd</t>
  </si>
  <si>
    <t>200493B01002</t>
  </si>
  <si>
    <t>27e06c56c989a4a49d5ddce84ab53361079d1f8ef46ecc5ef81dade29ea77227</t>
  </si>
  <si>
    <t>200493C01002</t>
  </si>
  <si>
    <t>292f09f6520a0284fc6709e839121b30f75ae0b28e49131e92f191e75f09bad8</t>
  </si>
  <si>
    <t>200493C02002</t>
  </si>
  <si>
    <t>d078a39f0351a0923f33b67eff799bb6d22c7dc0524337af868a14403697e092</t>
  </si>
  <si>
    <t>200493C03002</t>
  </si>
  <si>
    <t>76799e9e1380e486febd73f945712d3d68c19bdd9faddb907b6289e57174ba1e</t>
  </si>
  <si>
    <t>200493C04002</t>
  </si>
  <si>
    <t>b85b47f4a60c8eb18acb4ffd8347774dd8ecb13116c4099ab9878f549c000d7a</t>
  </si>
  <si>
    <t>200493C05002</t>
  </si>
  <si>
    <t>c1ca04fb21af4ac2d370fb3ed549937545994f5e79b0ce63490f37c4ccebad56</t>
  </si>
  <si>
    <t>200494B01002</t>
  </si>
  <si>
    <t>ff8193ac74f0a3086e3613b671a0021374348f5d51d378426d917c365db62da3</t>
  </si>
  <si>
    <t>200494C01002</t>
  </si>
  <si>
    <t>daa70ac7a8cea3035cc4f0ff69779c9f22ba5fd01397ab31c3c5ee56c6d1fcf8</t>
  </si>
  <si>
    <t>200494C02002</t>
  </si>
  <si>
    <t>97222728456c28dc35be7e8e8ca0d0946f877279023a958b613ed1b2c17b4214</t>
  </si>
  <si>
    <t>200495B01002</t>
  </si>
  <si>
    <t>447709db1dc0a698a4bd8b370be0a9ced2131b064714f3cd3bace9b88a5b5810</t>
  </si>
  <si>
    <t>200495C01002</t>
  </si>
  <si>
    <t>9db07e985bf5724abda9c2f9095632a43c1e7c7a4f9591d6d92c65df0a4efdd0</t>
  </si>
  <si>
    <t>200495C02002</t>
  </si>
  <si>
    <t>ce4099a4adf86ae1b2979ff9d1fcc6f11f3609e56e141ea9308163e8cdf1e848</t>
  </si>
  <si>
    <t>200496B01002</t>
  </si>
  <si>
    <t>2c500e8b41930a3b3b0807756ac6d16d9e2ce7ba879da0ba604397ad42baa062</t>
  </si>
  <si>
    <t>200496C01002</t>
  </si>
  <si>
    <t>8eae7374b04dc5c1c3937bf313495e9d92d4c1459921ee9dac1b7cb51844d184</t>
  </si>
  <si>
    <t>200497B01002</t>
  </si>
  <si>
    <t>bdebf21ede147cff68c3a27a847d37e298a2fe278b8865b0bea56bba3018b6a3</t>
  </si>
  <si>
    <t>200497C01002</t>
  </si>
  <si>
    <t>f82440b55ef36b9edf1b21837752b2b9ae616cfe377d6222d9e40c38df4ea7b4</t>
  </si>
  <si>
    <t>200498B01002</t>
  </si>
  <si>
    <t>9e879a38924b53aeb8822e0b0a185005ec7291d656fbf8c143a9a5d4361bead8</t>
  </si>
  <si>
    <t>200498C01002</t>
  </si>
  <si>
    <t>e3af732ba4f94840f05ef36f503be6e506806fee2806fba012d00acf7243b643</t>
  </si>
  <si>
    <t>200499B01002</t>
  </si>
  <si>
    <t>db7d62a42346b58b9b033462ccdfed1eb23149acff8828f117ca4e2b4648f0f1</t>
  </si>
  <si>
    <t>200499C01002</t>
  </si>
  <si>
    <t>d8c444452b965a87e79d562476f1256f70be1d2375c9b59e7c8534cc3a69dfe9</t>
  </si>
  <si>
    <t>200500B01002</t>
  </si>
  <si>
    <t>57ad30b8bd4b50a8fbfbce75b99b516dbcfe1ba1867bc4d226dabda7b0417ffa</t>
  </si>
  <si>
    <t>200500C01002</t>
  </si>
  <si>
    <t>d0fbc5eae7883453138b2e9b3ca215d5d887c9288932b513ecf1959c3041f231</t>
  </si>
  <si>
    <t>200500C02002</t>
  </si>
  <si>
    <t>d0b9310e4e319b3bf2a08cab3e85d27836413faa77dd43bdd20a70ce59973a37</t>
  </si>
  <si>
    <t>200500C03002</t>
  </si>
  <si>
    <t>c79fa202490e5c8b2ac4da905385a6b833ac655e5b004c43727d9a61992624d2</t>
  </si>
  <si>
    <t>200500C04002</t>
  </si>
  <si>
    <t>4acd7dc2a94cc99988b13a422b3aaa449fc6202eb7deed1378e1f3a81291ef7c</t>
  </si>
  <si>
    <t>200500C05002</t>
  </si>
  <si>
    <t>b01c68816ebbd4e366a1f250fb1b3f9e9553a9eabe684c42e771e0b3a550718a</t>
  </si>
  <si>
    <t>200501B01002</t>
  </si>
  <si>
    <t>b3b43148144d7c3ead126dff60800fc5bed7e2f61bb774d4bc3f5af7ab1b3cae</t>
  </si>
  <si>
    <t>200501C01002</t>
  </si>
  <si>
    <t>2ff6a260ff946b9486ea309aa7f8fed53b3a499b10b74f43359833092996b460</t>
  </si>
  <si>
    <t>200501C02002</t>
  </si>
  <si>
    <t>9c80b38fcafd17814d42ac23edde0bba450c1c8f883fd7ce2e0c80f173280069</t>
  </si>
  <si>
    <t>200502B01002</t>
  </si>
  <si>
    <t>5c510eac4a1860178d8ee2a1c93272cc26437bd0d7b897f04301b2751dc6f357</t>
  </si>
  <si>
    <t>200502C01002</t>
  </si>
  <si>
    <t>8e6a340f55243e1684bc41735451d718a864d00f19560cad31537779338fcd12</t>
  </si>
  <si>
    <t>200502C02002</t>
  </si>
  <si>
    <t>22601bcd81af0db0db0806fa9950c0f98c4a674f806dd54ed89e9ac7dece9925</t>
  </si>
  <si>
    <t>200502C03002</t>
  </si>
  <si>
    <t>04006501f218a5084f410da32486308b5b3db7b98fd30c8933c780f122279e0d</t>
  </si>
  <si>
    <t>200503B01002</t>
  </si>
  <si>
    <t>0ccd0eaeeb4d65120a5f5d85a50aa6dca3866f904d5dc412a6ac9ddd5f55870c</t>
  </si>
  <si>
    <t>200503C01002</t>
  </si>
  <si>
    <t>f51a07f2e4d4d23acdea24e77b95221dec616fec66aaf8b1f80e52d6a83e1ee7</t>
  </si>
  <si>
    <t>200506B01002</t>
  </si>
  <si>
    <t>f8baeeb2a2ea6276f07bebcccee01b0ab9f3fd7c5cc6cd2de8eb730d9c3b5c99</t>
  </si>
  <si>
    <t>200506C01002</t>
  </si>
  <si>
    <t>dc231250426532bc454b2770f7d8ec52fcb4e18e41ab44c7a9c814ce0bd44eb2</t>
  </si>
  <si>
    <t>200507B01002</t>
  </si>
  <si>
    <t>cd44e5d4f2ffbf7643d6bc93c6b0d76f2a05b1d513277559ab65edd0d080e537</t>
  </si>
  <si>
    <t>200507C01002</t>
  </si>
  <si>
    <t>7a5b2aaddf662661d8e015624bc1cc87d2cf8ab30c3f67bd9871fa5e01c56ab4</t>
  </si>
  <si>
    <t>200507C02002</t>
  </si>
  <si>
    <t>d2d6d5f21016ec82a1a5249fbc5d3875b1ea525e20ee21e4033b96a76300a354</t>
  </si>
  <si>
    <t>200508B01002</t>
  </si>
  <si>
    <t>41b77c5856b303152e978ce9289880ae81a44016b084b2505c57a18c82c68100</t>
  </si>
  <si>
    <t>200508C01002</t>
  </si>
  <si>
    <t>da40425d367ff79f9848ee518532e7469828e8d89c6c57906042758242a37f5a</t>
  </si>
  <si>
    <t>200509B01002</t>
  </si>
  <si>
    <t>38619b89622e011c2b61b560d0c80f5d776d04f45fc49343bc77593340537a68</t>
  </si>
  <si>
    <t>200509C01002</t>
  </si>
  <si>
    <t>0abc4957507a71a21f76b1e8e6cb2f623b34bc59ddabd5cd729c1727220b9168</t>
  </si>
  <si>
    <t>200509S01003</t>
  </si>
  <si>
    <t>20fbfed36ed35d39df19ba53dabc67d72823c788501510bc6f27aa3b0fa765d0</t>
  </si>
  <si>
    <t>200509S02003</t>
  </si>
  <si>
    <t>ed9b92a313b27bb77856419360bb46570835296c9867d4809430c7c3ba805baf</t>
  </si>
  <si>
    <t>200510B01002</t>
  </si>
  <si>
    <t>db1ae70a8eac1bf818a85b3cf5c04adaccbccfa177e565c54d48b5c37d87057f</t>
  </si>
  <si>
    <t>200510C01002</t>
  </si>
  <si>
    <t>e946e9eac0ebe10a156ccbeec6f04447a2676126644ee0367ce289fa82cb24f2</t>
  </si>
  <si>
    <t>200511B01002</t>
  </si>
  <si>
    <t>1d8a5e21d91eaf6c83344fdfc9c2fef9a536a1c6a32010b5b51699603fd74294</t>
  </si>
  <si>
    <t>200511C01002</t>
  </si>
  <si>
    <t>76bd9485f98f6ad7b7424828f633a257630176c13b0f2aa38c26bb19dec40ce2</t>
  </si>
  <si>
    <t>200511C02002</t>
  </si>
  <si>
    <t>263f5b333e0ccdb78f4c3ca2e4e4f04399ad4d3a3e3d39543acfc14818715d5b</t>
  </si>
  <si>
    <t>200512B01002</t>
  </si>
  <si>
    <t>0fabccfa2cd69eba0b4273d8bde2cfaaa5dc3ab2cd1190f5016d06b4bdeb34c4</t>
  </si>
  <si>
    <t>200512C01002</t>
  </si>
  <si>
    <t>ee7af61f5546c7de12218b0580fedb2fa940d2630491cea2d26303d19d64f818</t>
  </si>
  <si>
    <t>200513B01002</t>
  </si>
  <si>
    <t>7c97879a59e3435749c4ae02c48634d0df5a020ae56ceceff785397d04e155d5</t>
  </si>
  <si>
    <t>200513C01002</t>
  </si>
  <si>
    <t>bd9074669a2614902c884d23c53d42eec6f66da991f5c177e472feba63724bcd</t>
  </si>
  <si>
    <t>200514B01002</t>
  </si>
  <si>
    <t>64b813907599d58df27050526806baecb282e8c2708081f11270e262029a9861</t>
  </si>
  <si>
    <t>200514C01002</t>
  </si>
  <si>
    <t>315156f2c173b4dca3170a04b755b8712b11a539840bf0419281537880fbcced</t>
  </si>
  <si>
    <t>200515B01002</t>
  </si>
  <si>
    <t>56aff4d0449c9d6acd51130435e3bf227d3013fa1f103d7265fc108c261c249c</t>
  </si>
  <si>
    <t>200515C01002</t>
  </si>
  <si>
    <t>0b6a1de33c824af8f4dbf45a93dec34ca9fc3ef99d18d54081d723432ac189e4</t>
  </si>
  <si>
    <t>200516B01002</t>
  </si>
  <si>
    <t>ac7c8d624b599b5efed7bf82dbbf3bf32674352da6df13799004cb955af1a14f</t>
  </si>
  <si>
    <t>200516C01002</t>
  </si>
  <si>
    <t>d7ce227604893b005ba89ec934d553478c2a1ac725d5c604921798a86afdc4e5</t>
  </si>
  <si>
    <t>200517B01002</t>
  </si>
  <si>
    <t>1be2194f6e3fe07d8a90a2f9ccf96f19c6851a5e0af67eb6b1b44ede578e9a13</t>
  </si>
  <si>
    <t>200517C01002</t>
  </si>
  <si>
    <t>6574ea6f28a96b0d34ccd469f2120e7852a5bddcff6ba26aca9e8a3afb03d6f6</t>
  </si>
  <si>
    <t>200518B01002</t>
  </si>
  <si>
    <t>9d53f8b19fcb82460aaa4de5357624edc397527cce57e260b6da313c24879703</t>
  </si>
  <si>
    <t>200518C01002</t>
  </si>
  <si>
    <t>1611d44c2a9e999f5998eb71f8116ebe8b203af35b98a21d3d5dadf3e2bebebf</t>
  </si>
  <si>
    <t>200519B01002</t>
  </si>
  <si>
    <t>ef956e89e9599361324c9f7dcd8d4ff41396c997e8b766230a3af5548fcc2d77</t>
  </si>
  <si>
    <t>200519C01002</t>
  </si>
  <si>
    <t>d86b55211e69b4831166323ff553efc7314268caab063200281b61155e5e2400</t>
  </si>
  <si>
    <t>200520B01002</t>
  </si>
  <si>
    <t>9b10268eac34fc4e664a1e542749df53c30262f7b1745aadb28c1a16f19c6aad</t>
  </si>
  <si>
    <t>200520C01002</t>
  </si>
  <si>
    <t>82277d4a26362c0714766962a98995b4083029f0b870ddc78093a79d019e380b</t>
  </si>
  <si>
    <t>200521B01002</t>
  </si>
  <si>
    <t>50292ab693df8efda6664069bcfa569478e9332cec3b90cbcc4225f1a0cb30f4</t>
  </si>
  <si>
    <t>200521C01002</t>
  </si>
  <si>
    <t>69944e0ac74acf6a3efa584fea9b4d057e9eed46c4ae7c4b13a6548b729d5b5a</t>
  </si>
  <si>
    <t>200521C02002</t>
  </si>
  <si>
    <t>b2d4da4626cf7e0fe05a745e6f2d1a386c098f64527f4d962e992d09085642c5</t>
  </si>
  <si>
    <t>200522B01002</t>
  </si>
  <si>
    <t>9d2ffba948275f531745930192dca7b96dea6a06e767b5db91a8f123a54c7053</t>
  </si>
  <si>
    <t>200522C01002</t>
  </si>
  <si>
    <t>0f210fdb230d3e3216ac023faa0fe7887ca765eb383c3a3f96730556b846ea0c</t>
  </si>
  <si>
    <t>200523B01002</t>
  </si>
  <si>
    <t>2031c9332d2c14e783d421dace110a309cdff509ab34bf6430b14890ae9fc77b</t>
  </si>
  <si>
    <t>200523C01002</t>
  </si>
  <si>
    <t>d1ac04c68353a3b4f798f18056a1bef8a747fcf14cb9124bce55db68c78135ce</t>
  </si>
  <si>
    <t>200526B01002</t>
  </si>
  <si>
    <t>bd7df5cc4711d9f4670dd92f49154cf1c53b4ed91a5623e42166d2114bf23571</t>
  </si>
  <si>
    <t>200526C01002</t>
  </si>
  <si>
    <t>1dac5dc7f5dde39ca27d04a890c83520dd38c511349cf94733c3269b024c3cce</t>
  </si>
  <si>
    <t>200527B01002</t>
  </si>
  <si>
    <t>3c7ec7d463f86a6157d137e2badc7d4c867240ee3da0b5ef3e5613d6c8dcfb5c</t>
  </si>
  <si>
    <t>200527C01002</t>
  </si>
  <si>
    <t>b4b1c6dc5f5718d21e7d3f9d6674aec2a3de4a8ab32c23817bf0df82095dae5c</t>
  </si>
  <si>
    <t>200528B01002</t>
  </si>
  <si>
    <t>d47c1a878c82eca0f65b193a5e4a869ebeb2ff29eceb1db2c5e1a8a16f4845af</t>
  </si>
  <si>
    <t>200528C01002</t>
  </si>
  <si>
    <t>c5563fea97bced323a017e89d1308f63129a5396e8616d4df0f9f2c61b053cfa</t>
  </si>
  <si>
    <t>200528C02002</t>
  </si>
  <si>
    <t>485fa53370232ea6a449ee6d7fc1b3542eb1e1d1c196f700bd28971f801533ae</t>
  </si>
  <si>
    <t>200529B01002</t>
  </si>
  <si>
    <t>d3ba19c5766f82d4cda50acaa314e84ab98088259c52be0369b3d1bdf2f644dd</t>
  </si>
  <si>
    <t>200529C01002</t>
  </si>
  <si>
    <t>d64b6671119f59c358a11722acf8a813ade62c8cee690511294ad0fc20571422</t>
  </si>
  <si>
    <t>200530B01002</t>
  </si>
  <si>
    <t>93dddc15962dac12cfbcf05f82a353a449bc344b932c3dc63997f4d7f4662dbe</t>
  </si>
  <si>
    <t>200530C01002</t>
  </si>
  <si>
    <t>efe1449c18c2d132df4c5ce3b0673fa640d8211974c445e1b94b2be555864f1f</t>
  </si>
  <si>
    <t>200531B01002</t>
  </si>
  <si>
    <t>5f0c5c96466c81d0ea5c9207da985b69647f5e6685c4ee5540693143ba365eac</t>
  </si>
  <si>
    <t>200531C01002</t>
  </si>
  <si>
    <t>c6bb025982f8c30b18acd6277132dfaf062ef12053a295aa4f05f84ff1de07cb</t>
  </si>
  <si>
    <t>200532B01002</t>
  </si>
  <si>
    <t>f1f52894983b2c796bd0e0e9e7e58c221000a899fb4d6739301d2cd5bd56b4cf</t>
  </si>
  <si>
    <t>200532C01002</t>
  </si>
  <si>
    <t>b288d65571afc73dcc347c5d12393257681a13237286ed11fb5783fdbca6cf23</t>
  </si>
  <si>
    <t>200533B01002</t>
  </si>
  <si>
    <t>a805a3152a98bbf218dbf5026045d60a4482c3b9e94e72cdce555380cc818416</t>
  </si>
  <si>
    <t>200534B01002</t>
  </si>
  <si>
    <t>0f00f2052aa9a9c07b9740304a57c8d1e067f60f20ec2175bb28cf960c357521</t>
  </si>
  <si>
    <t>200534C01002</t>
  </si>
  <si>
    <t>e3657d5bafb1bfd16aeb2a8127102ff60075abd00e173fb0191cf59196a3cbca</t>
  </si>
  <si>
    <t>200535B01002</t>
  </si>
  <si>
    <t>bc36f7684f525228cac78556364a715a5e9b5ace8b9d01cdcc021992eb54650c</t>
  </si>
  <si>
    <t>200535C01002</t>
  </si>
  <si>
    <t>e121e9f08aadbd1beb067b839bcd4055453a10bd46e4c8d959c53c07e4473794</t>
  </si>
  <si>
    <t>200535S01003</t>
  </si>
  <si>
    <t>b946556aacbdf6aa23b1874d550c02bd7463f7008d1e04738e9e2353b2c52318</t>
  </si>
  <si>
    <t>200536B01002</t>
  </si>
  <si>
    <t>0e92cbdded4abfb9af68c4788516b48286403d156861096b560941d87b7f714f</t>
  </si>
  <si>
    <t>200537B01002</t>
  </si>
  <si>
    <t>2e69587652e1d6907402015d3b1e821384fd6305889e5ee75bcb0cafa407aa72</t>
  </si>
  <si>
    <t>200537C01002</t>
  </si>
  <si>
    <t>519964451fef65ce71b6cff005493b233f28458150b3055cd7e0cbcc4a66f124</t>
  </si>
  <si>
    <t>200538B01002</t>
  </si>
  <si>
    <t>fbb66a203174761237ba6d50ec16577389b303b537d7053952dfb6ecbd1b2194</t>
  </si>
  <si>
    <t>200538C01002</t>
  </si>
  <si>
    <t>d8bfd50fb7a339bf5689e04d5e17743124b98b0013a639ec66ff49f88b8065cc</t>
  </si>
  <si>
    <t>200546B01002</t>
  </si>
  <si>
    <t>0a61acad37bcffa1bf5e508a1d29a8710dc29e76e17814a3c9e4fc1067f234c0</t>
  </si>
  <si>
    <t>200547B01002</t>
  </si>
  <si>
    <t>b0d81a8a9c89caf61ea9800429b8676802f281d9a9bd38ab8c89a1b0f26f17fe</t>
  </si>
  <si>
    <t>200547C01002</t>
  </si>
  <si>
    <t>dec8fc6d5ef1cc5a234dd3c0fca0a368378663359df262469d6ef0ad0aaf1e52</t>
  </si>
  <si>
    <t>200548B01002</t>
  </si>
  <si>
    <t>4ee9455d7ad7b77127cd9c7cb1da9869ea617f1c3b823800ae4a4d73e289abc9</t>
  </si>
  <si>
    <t>200548C01002</t>
  </si>
  <si>
    <t>cd6c528b573ae1e5a24f08a7d3e0f2084350875ace317fb1cbf1abf7ecc5b1e4</t>
  </si>
  <si>
    <t>200549B01002</t>
  </si>
  <si>
    <t>1bb3eff7894ace2ba024944b7f67b7545c5eea5a9c4a2002b5a68d4900b5cc9c</t>
  </si>
  <si>
    <t>200550B01002</t>
  </si>
  <si>
    <t>89b16ec639ec24554ab1912b817e1372234b9bc9836f6270ebf2022fa12835e9</t>
  </si>
  <si>
    <t>200551B01002</t>
  </si>
  <si>
    <t>77a136cf05e9a4a7d66d57eec3e4ffb0a046c2ba85dfeaa5f0660d55c8336d85</t>
  </si>
  <si>
    <t>200551C01002</t>
  </si>
  <si>
    <t>80b55e617124610cce8c80536bdbb60e2d86b81150fc52952cd3b063d6fcc8e3</t>
  </si>
  <si>
    <t>200552B01002</t>
  </si>
  <si>
    <t>fe6dc6525cec1fc966f762aeb3f44294f897956abb85cdff5aeb2fc0d75608d7</t>
  </si>
  <si>
    <t>200552C01002</t>
  </si>
  <si>
    <t>4c0043890bafaf4e021c4b0421bd2ddc908f06523d722b5a59f325ad8f86c147</t>
  </si>
  <si>
    <t>200553B01002</t>
  </si>
  <si>
    <t>00d698c9dfa4ef31966a08f368edc74a770a8fbb2b3627dbc72f3f6c9e54171a</t>
  </si>
  <si>
    <t>200553C01002</t>
  </si>
  <si>
    <t>55cc14ae789f2abca370c393beb5ed1a70942160cb4d3de4a6928518ce14f64c</t>
  </si>
  <si>
    <t>200553C02002</t>
  </si>
  <si>
    <t>2686ed78d22ed919b142d0cc5c91b3f2596c0946b55465a441cfb7465e095392</t>
  </si>
  <si>
    <t>200553S01003</t>
  </si>
  <si>
    <t>0bdfb8c8ce44f4cba9df8380ab7c8b0e821c728e4d6303f92819cc85fe846ed4</t>
  </si>
  <si>
    <t>200554B01002</t>
  </si>
  <si>
    <t>6570fb8528f10ab61cdeaf438298a38dbfbe0f87d21c456511ee2e296f3a7758</t>
  </si>
  <si>
    <t>200554C01002</t>
  </si>
  <si>
    <t>55f6de56b24a24637092358e4b188d0462aace9ce047e9cefa857d9a773022dc</t>
  </si>
  <si>
    <t>200555B01002</t>
  </si>
  <si>
    <t>7be8ddc89161229ebb27d2d94172c2ee9e223ce5d5326607cadc07a68fa85512</t>
  </si>
  <si>
    <t>200555C01002</t>
  </si>
  <si>
    <t>58af979d40e433372cff81f05ca65e49beed178399d4386ae91c399a1ba4c44a</t>
  </si>
  <si>
    <t>200556B01002</t>
  </si>
  <si>
    <t>5436664d774592fc35dd1aa43e25a42b076a32e0a2661524d94df55b2f2ad732</t>
  </si>
  <si>
    <t>200557B01002</t>
  </si>
  <si>
    <t>b04ee351d2b73935ee1b04a09c84cc768e415f851c1a218bc1639d296ba325f2</t>
  </si>
  <si>
    <t>200557C01002</t>
  </si>
  <si>
    <t>0778f8bf07bb63ecdc8a3d0cea792b624237c40f2be4813bec3688802eda2fa7</t>
  </si>
  <si>
    <t>200569B01002</t>
  </si>
  <si>
    <t>8938379c6107f45b774dc388cb13745db008823f75ac36c7ab40d9d3718e9179</t>
  </si>
  <si>
    <t>200569C01002</t>
  </si>
  <si>
    <t>bd0594f80c5ab0afde08b72a86ad3f69a6a95c0ac540e6fa5695333f52f8fecc</t>
  </si>
  <si>
    <t>200616B01002</t>
  </si>
  <si>
    <t>512be01bcc117b31bc74ad569a6187345ea6e00e4d65820565640639298f8380</t>
  </si>
  <si>
    <t>200616C01002</t>
  </si>
  <si>
    <t>e15343153864a2af7081cbee0af4c8dbed7624823eda5f27b9679f04051c623f</t>
  </si>
  <si>
    <t>200616C02002</t>
  </si>
  <si>
    <t>73f37e8c4c66eb34aab1b3c62d2d53d6fd3d611b5c72604e90ef6b8c5089dba8</t>
  </si>
  <si>
    <t>200616C03002</t>
  </si>
  <si>
    <t>cb07e36864613601ffacdf46d453480ff525bf29afb21a2ef418f6352dec1038</t>
  </si>
  <si>
    <t>200616C04002</t>
  </si>
  <si>
    <t>547194d6f5302ccaeffc35d9847a7eb4d3642cb0492dd31cc0cbcaa7ea7fe74f</t>
  </si>
  <si>
    <t>200616C05002</t>
  </si>
  <si>
    <t>3f01133ea6d1dd5b510cf4e144c1702f28f261275bb43cddacbbf6ee30245d4b</t>
  </si>
  <si>
    <t>200037B01002</t>
  </si>
  <si>
    <t>SANTA CRUZ XOXOCOTLAN</t>
  </si>
  <si>
    <t>0162ee3e81becaabb1ad98649503a12275b250d1d95eb14cd27e127cc4b55b1e</t>
  </si>
  <si>
    <t>200037C01002</t>
  </si>
  <si>
    <t>ff7fdbdc768992ec0720b965cb3e501e6e09b0c7d0081d21c013b414fae9b5fa</t>
  </si>
  <si>
    <t>200037C02002</t>
  </si>
  <si>
    <t>9cb4697ddc6f406787f0cd72efbe99492940f96e518a71912064799f5dc5c066</t>
  </si>
  <si>
    <t>200038B01002</t>
  </si>
  <si>
    <t>73d51ab2a210209b52db9ea4fef62ca4165f37cbbff97b51b651d7056ea8e38a</t>
  </si>
  <si>
    <t>200038C01002</t>
  </si>
  <si>
    <t>cd2ad194b99b825a6f7befe76f25d59c152808cefa6d9b54c4a1f62cf48f01d7</t>
  </si>
  <si>
    <t>200147B01002</t>
  </si>
  <si>
    <t>bfd3479bf5967e1453f0bff0206a57cf958d421fda3a72c41595848f8d0f1f10</t>
  </si>
  <si>
    <t>200147C01002</t>
  </si>
  <si>
    <t>a70bad2686052f95fb71b6a50dc28ebfa29ba3e400503ce984c9215c86801ef7</t>
  </si>
  <si>
    <t>200147C02002</t>
  </si>
  <si>
    <t>bd035f78ce9decbe80510ad9d1023a25147779c8de6302ca0449c94066b7fe7a</t>
  </si>
  <si>
    <t>200147E01002</t>
  </si>
  <si>
    <t>787fbdf31d36a881f4e44721783944f6c5e194bcb0a05d9de0995841951e6506</t>
  </si>
  <si>
    <t>200148B01002</t>
  </si>
  <si>
    <t>553496646fe010721fc10a8a46a1b4bb858b31cae14e122c16942d5d53343f5d</t>
  </si>
  <si>
    <t>200148C01002</t>
  </si>
  <si>
    <t>a2149e7c56e006bc6b3744f99a42946fd23622728fd2da07b00cdf797df21edf</t>
  </si>
  <si>
    <t>200148C02002</t>
  </si>
  <si>
    <t>0d383f4f4f3c3bc0057d689b8edb2cb6fe4f8c81aff68c9b57e6da872b57a046</t>
  </si>
  <si>
    <t>200148C03002</t>
  </si>
  <si>
    <t>ebbbfebaab8e1b30e304f90e23a07b09ae6aa975eae1c0fc78a91856803ce32d</t>
  </si>
  <si>
    <t>200148E01002</t>
  </si>
  <si>
    <t>cc8b1710100dae492141730d1efb63e517dae0bc5a0106fb0f99f62e3f00c20c</t>
  </si>
  <si>
    <t>200148E01012</t>
  </si>
  <si>
    <t>82588d1cd9f7b1c335c2827f47ccfe0cb18d5ae3061640cb5e412283db938977</t>
  </si>
  <si>
    <t>200148E02002</t>
  </si>
  <si>
    <t>6495e790b4106c91d91bd364e4b625c054a05bdfe014426be86e8e6120a50967</t>
  </si>
  <si>
    <t>200149B01002</t>
  </si>
  <si>
    <t>db4413958cce38c6d5aaaf1daa8f884bb82b84ca79be783c29b8da26424a0c0d</t>
  </si>
  <si>
    <t>200149C01002</t>
  </si>
  <si>
    <t>ffe11e9f0d7314aad9a7336de084368e42b4ea9428cb9e95ebca917629ce9dad</t>
  </si>
  <si>
    <t>200149C02002</t>
  </si>
  <si>
    <t>fdc840f9707c003b76d3a1c15a3bd5c5c7ee7e66790c5ecf8a66c92499a29e81</t>
  </si>
  <si>
    <t>200149C03002</t>
  </si>
  <si>
    <t>e7016530aa45e8fed35059c7e6a7069775f833dd02f652221cac14d5200c89ea</t>
  </si>
  <si>
    <t>200150B01002</t>
  </si>
  <si>
    <t>9fa16a7e3d404f8492fd88b8647b9e8cd3020ce34874325ff9503d9567dffb87</t>
  </si>
  <si>
    <t>200150C01002</t>
  </si>
  <si>
    <t>58d1379b4852f2bca95aefb444b59d5566b504e5ec76dffeb71e12465a568cfe</t>
  </si>
  <si>
    <t>200150C02002</t>
  </si>
  <si>
    <t>b4ebe7c67e8437029633a918e71d58bfc070a5194e53b4f8706f0ce0e4286dd1</t>
  </si>
  <si>
    <t>200151B01002</t>
  </si>
  <si>
    <t>57040a13f554eacccbbfad00dcfcb3bcd0b34cf6203632afb1b715c67778a8c7</t>
  </si>
  <si>
    <t>200151C01002</t>
  </si>
  <si>
    <t>114066e36df561618a72ba07e86f0e6dd9122501fdefe864370d5bc901b9e715</t>
  </si>
  <si>
    <t>200151C02002</t>
  </si>
  <si>
    <t>f0d7c382b3a8eb4f7021c5138d45e36d879a04fafc69f3e8bb76c388eb2c3d77</t>
  </si>
  <si>
    <t>200151C03002</t>
  </si>
  <si>
    <t>4063896cfdd3bc4112630345e05505497d0a9db057411d154e1520c731406d54</t>
  </si>
  <si>
    <t>200152B01002</t>
  </si>
  <si>
    <t>a91f6a4f60577d5f913867c5b04f0f81cc9506afab32e95f7285c3096db7ce13</t>
  </si>
  <si>
    <t>200152C01002</t>
  </si>
  <si>
    <t>1d99ffa07eef5ba0ede8833d3dcfae95d09262ebf92176d200f3cf46e44eb731</t>
  </si>
  <si>
    <t>200152C02002</t>
  </si>
  <si>
    <t>797472baf6528e2d3dcbc4e94a5f9839317b1397a5e155c594455963d8ac4d1f</t>
  </si>
  <si>
    <t>200777B01002</t>
  </si>
  <si>
    <t>a4c31b6ecc68d9bcf8f5fc3e8ae1422dee87d54f62f3f014a683aab6d72277df</t>
  </si>
  <si>
    <t>200777C01002</t>
  </si>
  <si>
    <t>6e1d4c592077afad85cb8231111fbc251453439b16e23debee87b8029d967ee3</t>
  </si>
  <si>
    <t>200777C02002</t>
  </si>
  <si>
    <t>fd871becd9871526b1cab91e065d57ce6599feb17ece0022d6b01dc039a532db</t>
  </si>
  <si>
    <t>200777C03002</t>
  </si>
  <si>
    <t>9f39a0f811b62e45b770d46a66ac84b9a3e5e6f5fd6d1fd2c002642c1f03bd7c</t>
  </si>
  <si>
    <t>200777C04002</t>
  </si>
  <si>
    <t>5850983aa5a781508deec5913f989567a1720f064b97316bd8d5bd60c9e78718</t>
  </si>
  <si>
    <t>200778B01002</t>
  </si>
  <si>
    <t>e6057b087d387a4b4480ef7644548d3d98ff79a65f255c37943b163d2cf1f81d</t>
  </si>
  <si>
    <t>200778C01002</t>
  </si>
  <si>
    <t>9b8c6240e369fe41d5f646a9eca7e4dfb1be95ba93fd85326b129f7b90ae8143</t>
  </si>
  <si>
    <t>200778C02002</t>
  </si>
  <si>
    <t>72e2e7ea9abf88d88fdb4597e6cdc56785354e3e20dd7cfac5bcc84ad3e9be40</t>
  </si>
  <si>
    <t>200778C03002</t>
  </si>
  <si>
    <t>60e856b933e9ec96db205600717ed7d8ae6735d00182aa5f84dd022b62aa7916</t>
  </si>
  <si>
    <t>200778C04002</t>
  </si>
  <si>
    <t>3171cc27211bd2d7a1c4341534b422aac90305382644783574c13b38da81a08d</t>
  </si>
  <si>
    <t>200779B01002</t>
  </si>
  <si>
    <t>1b37eebd1e5ee3cdca567a563d11ccbe261d52c20f4d202d9fd5fd4f678a7c5e</t>
  </si>
  <si>
    <t>200779C01002</t>
  </si>
  <si>
    <t>21495ca56f51cd404a7423852e5dec152487babe8410cba700a2c2baafabe988</t>
  </si>
  <si>
    <t>200779C02002</t>
  </si>
  <si>
    <t>e6fd6bd4f6ca150538c2f1c1f3ddb21de6c6e49f82629515e95b46ca7f8f0091</t>
  </si>
  <si>
    <t>200779C03002</t>
  </si>
  <si>
    <t>be7ccfe38087f344f219cb6f4b3f5a92c1079ae39a160addb8701f41eedf9671</t>
  </si>
  <si>
    <t>200780B01002</t>
  </si>
  <si>
    <t>57f52ac07abef02fdf9b271a20fc8fc2e052a6dc9255444c0a6aa3d7f75591ad</t>
  </si>
  <si>
    <t>200780C01002</t>
  </si>
  <si>
    <t>55c98b736ff3a51383951c4f64219dc4bc0e5c8cebd41646a303c26ed4f28abe</t>
  </si>
  <si>
    <t>200780C02002</t>
  </si>
  <si>
    <t>5cbdfa5d60c472841f390b7cbd90a7cac47b55c2ef1a2b63f46ee84d4e7a11d8</t>
  </si>
  <si>
    <t>200780C03002</t>
  </si>
  <si>
    <t>c54f24ee3fa4c0978666ff701f4dafdb2432c73410978871d5997121f485c5a3</t>
  </si>
  <si>
    <t>200781B01002</t>
  </si>
  <si>
    <t>6aecaf59166130bf080b2bc1682af829f3354f34aebdd8f53f015c76213b423f</t>
  </si>
  <si>
    <t>200781C01002</t>
  </si>
  <si>
    <t>401372cc8a4b5a94f96669b3b2b3a213f5d8a2628ed8a0167e5a49e4f0b34282</t>
  </si>
  <si>
    <t>200781C02002</t>
  </si>
  <si>
    <t>250d9476535342385c3b1a7c45fcd51f8e14cc1d533e2f112146e23f35092682</t>
  </si>
  <si>
    <t>200781C03002</t>
  </si>
  <si>
    <t>364fa4c94b64bed800f498e4cdd22f0110465190272217897f110a564df847db</t>
  </si>
  <si>
    <t>200781C04002</t>
  </si>
  <si>
    <t>8ac9fa00e15b7dc951c7bc71eb8d30bad2a5085366ea4bfd4c4c348d71e1483c</t>
  </si>
  <si>
    <t>200781C05002</t>
  </si>
  <si>
    <t>680411ad4ee0c689922fd25be1d362a9513334ab0b4d371a1631ed10615bb9dc</t>
  </si>
  <si>
    <t>201605B01002</t>
  </si>
  <si>
    <t>924d4dfe825da2d5b33c87d8a6ffe44468319ae98b177d359f2a76883efd84c0</t>
  </si>
  <si>
    <t>201605C01002</t>
  </si>
  <si>
    <t>338e2a1d296ce36229197e068fde4bb30db121454f7909e4254402f12b47095d</t>
  </si>
  <si>
    <t>201605C02002</t>
  </si>
  <si>
    <t>c748b5ac8a8dee9cc8fefafdd88c96a9f362f4913a7792a89987741fb038d07b</t>
  </si>
  <si>
    <t>201712B01002</t>
  </si>
  <si>
    <t>5fbd2f8ed80a8c08fb164710f3c5babfd01be34bc2b92f603f96204cf09fb385</t>
  </si>
  <si>
    <t>201712C01002</t>
  </si>
  <si>
    <t>7a61f19b16edecf8927fddedcd04dba94589ecbba6a4bd6a83281bdcad90af7c</t>
  </si>
  <si>
    <t>201713B01002</t>
  </si>
  <si>
    <t>9fd63adad3b70a7db622896378c5d1ebebe826864e65b1beffb54f09a6ce9863</t>
  </si>
  <si>
    <t>201713C01002</t>
  </si>
  <si>
    <t>e1a06faeecb9003084259dc335331df199a7145bd00c07bcdfc3356f98fba515</t>
  </si>
  <si>
    <t>201713C02002</t>
  </si>
  <si>
    <t>3ae112f47385f0b10aab30decf7d0ab00d7d895a30b9df9c835503fb09e4559b</t>
  </si>
  <si>
    <t>201714B01002</t>
  </si>
  <si>
    <t>9923cb4d763294456362346e0ee370311eac3fcf62d0ee738b3bcacfddefc126</t>
  </si>
  <si>
    <t>201714C01002</t>
  </si>
  <si>
    <t>901baa7433b004a2529a0fa7f144fff4f10e23b29dece0238dedce24a1990350</t>
  </si>
  <si>
    <t>201714C02002</t>
  </si>
  <si>
    <t>4bcc48100eaf7e1ed8a3fc80eb32c1790cb48d13d4eeff7b795d6440481ff929</t>
  </si>
  <si>
    <t>201715B01002</t>
  </si>
  <si>
    <t>ff736a1acb2586ff15e0e52bd15858de32a07700a53ad07fe816cf678c84ca85</t>
  </si>
  <si>
    <t>201715C01002</t>
  </si>
  <si>
    <t>60eccdf365bc9ad25607b06e219cdc59721f08df763f05dce92ef1d72a9eb08b</t>
  </si>
  <si>
    <t>201715C02002</t>
  </si>
  <si>
    <t>5be21bcc7e585a06f7bfbf2d641f005f12a1163ccbd2c5810ac0f57a34515cd0</t>
  </si>
  <si>
    <t>201716B01002</t>
  </si>
  <si>
    <t>c7dd4f927dea9dc904ce74ea945a587b6629126bf693a595253a4fce31d698a4</t>
  </si>
  <si>
    <t>201716C01002</t>
  </si>
  <si>
    <t>af33c5b44f43bc4d936369fd2b8e0d6f0fa21ada7252e63a8d121328611643d5</t>
  </si>
  <si>
    <t>201716C02002</t>
  </si>
  <si>
    <t>b747a261a220b44a8c91f31a9bd97a385626043e00a05f3c857ad957a7da0a27</t>
  </si>
  <si>
    <t>201717B01002</t>
  </si>
  <si>
    <t>e6bdb181de594167a43a2d66ad6fdb2c7a8156c690d02c8b6d1dc5a579bc08e9</t>
  </si>
  <si>
    <t>201717C01002</t>
  </si>
  <si>
    <t>0c61c2177f465e4848fa7776109ac315bc626e609a38c7b13c8cf93e0d804d21</t>
  </si>
  <si>
    <t>201717C02002</t>
  </si>
  <si>
    <t>44785f40fef0d110d97601882dcb86bed42d1dfdb676a30dcb3d2ac17573f9f6</t>
  </si>
  <si>
    <t>201717C03002</t>
  </si>
  <si>
    <t>c0696a9dda4d1f26813dbc63bf5862d89ca9cae73f16965eba7d8dad013f7756</t>
  </si>
  <si>
    <t>201718B01002</t>
  </si>
  <si>
    <t>85a1c486068cddf8aae2c9220e2147b10d8de077797d99db721e604412c8b9f1</t>
  </si>
  <si>
    <t>201718C01002</t>
  </si>
  <si>
    <t>aa4b545fc3c60ab3a03840102cb83b3e9e3ba986d1a07a54f6e8be2addf8814d</t>
  </si>
  <si>
    <t>201718C02002</t>
  </si>
  <si>
    <t>449cadedff2ee5d8cbafb1feac350ed00313a1b27455417d146f6da80018bc94</t>
  </si>
  <si>
    <t>201718C03002</t>
  </si>
  <si>
    <t>b692fe3e06c069639b95f70c1a2899a5332812e74e8bb67de9a1a915b0737834</t>
  </si>
  <si>
    <t>201718C04002</t>
  </si>
  <si>
    <t>71c25444651306de3e3f59fb2f98d1bb687f48fa8730085a28b0212511f5ed85</t>
  </si>
  <si>
    <t>201718C05002</t>
  </si>
  <si>
    <t>d22fa16571cc0361eb9193837196eac9d31713bc5633124844e148810781dec9</t>
  </si>
  <si>
    <t>201718S01003</t>
  </si>
  <si>
    <t>614d0c75c5f64b6db2bb7178e4327a153cd186ca05b0ef5d1aac0776460519a0</t>
  </si>
  <si>
    <t>201719B01002</t>
  </si>
  <si>
    <t>ba2932a3522a443a9a1d846413bce47f4e25e1f4c3a450005b17e3524414e680</t>
  </si>
  <si>
    <t>201719C01002</t>
  </si>
  <si>
    <t>b4cfcf5e69741f1c5dd47e54412f947604fb95e35df8e268c5163f014f0df94c</t>
  </si>
  <si>
    <t>201719C02002</t>
  </si>
  <si>
    <t>a3f447bda6a658c3671522dcfbaac96076377c0d20704c68dbf5f0b8060491a1</t>
  </si>
  <si>
    <t>201719C03002</t>
  </si>
  <si>
    <t>e6c551fa78f9d195d3354b8020ca68165dc47049837319b6be93a5c94bb75a4c</t>
  </si>
  <si>
    <t>201720B01002</t>
  </si>
  <si>
    <t>4858df4c48cbd96fa71ef3b2e3cadbc3269dd653e417309f8aa9671d3f99b38c</t>
  </si>
  <si>
    <t>201720C01002</t>
  </si>
  <si>
    <t>2dce18aa75b78d104cb8d68230a3d440cb22a707d290579d42c4382cefc6083d</t>
  </si>
  <si>
    <t>201720C02002</t>
  </si>
  <si>
    <t>300608523eabe01062367559155afde83e75ce645362f50c033331f61cb96620</t>
  </si>
  <si>
    <t>201720C03002</t>
  </si>
  <si>
    <t>62f4f91f30fbcf3f8cb90cc52b3bb5f872b26fa3738890146b3d9d678020046a</t>
  </si>
  <si>
    <t>201720C04002</t>
  </si>
  <si>
    <t>535a5ed0fdafbdd274789c268b34122beba511444ab87805bc6493533142840d</t>
  </si>
  <si>
    <t>201720E01002</t>
  </si>
  <si>
    <t>a94e59fd7a3ff1960987bb2af047f597b0cee7b5aa85969f21f0e5cb33d2d73e</t>
  </si>
  <si>
    <t>201720E01012</t>
  </si>
  <si>
    <t>31f19526b4cf19f18d140528a9deb2d7709f82b197ce6b778ef25b137d2f4e28</t>
  </si>
  <si>
    <t>201720E01022</t>
  </si>
  <si>
    <t>82befb92def4691ddb0db5b67bd6f7269d2609e170fe18debdbaf7f333c3364c</t>
  </si>
  <si>
    <t>201720E01032</t>
  </si>
  <si>
    <t>be9677674bae3d7a942362c72426659b966cfa35924989cee73719b66f2d627c</t>
  </si>
  <si>
    <t>201720E01042</t>
  </si>
  <si>
    <t>37b4f8b59c48108d8f18d05af3b19cbaab81ebde51f57f381191b8f04b21a1b3</t>
  </si>
  <si>
    <t>201721B01002</t>
  </si>
  <si>
    <t>f637457aaa6dde6f945ea5ecd87620b4c6479e8c5e5f6817e0aaf13ec4b4b28b</t>
  </si>
  <si>
    <t>201721C01002</t>
  </si>
  <si>
    <t>bfc158a39e6e91e0cb91b773b322405111eacde052dcaba5ae855cb6fc5ca781</t>
  </si>
  <si>
    <t>201721C02002</t>
  </si>
  <si>
    <t>f99e39ea91a0c67feb432833fc1c61411e37bf00da4adaeddbce5ef625408875</t>
  </si>
  <si>
    <t>201721C03002</t>
  </si>
  <si>
    <t>928ae7e23b60c2de64d71252caf7fc6f9d58bad09a0f3aa7740397755b98cc1f</t>
  </si>
  <si>
    <t>201721C04002</t>
  </si>
  <si>
    <t>058edc4facefdd260225f81c9c3b6b939f19afdaec9adaa2f3b05fa354fb0ecd</t>
  </si>
  <si>
    <t>201722B01002</t>
  </si>
  <si>
    <t>a1331bbacc14f636c96b5597d94f9a56d322533c9e82228bb6d5ab69ce5bca96</t>
  </si>
  <si>
    <t>201722C01002</t>
  </si>
  <si>
    <t>93177e25d658e1e8a411a164a88bf56a7a54e5d2efb3a083cba8aa557b9865c1</t>
  </si>
  <si>
    <t>201722C02002</t>
  </si>
  <si>
    <t>81ef75ba3fbc5f98b44bbbad0fea513853bb2aee0b4a2746747d9af73de71e23</t>
  </si>
  <si>
    <t>201722C03002</t>
  </si>
  <si>
    <t>d4e25c934c6231f7f7e8d8a5916ff0c11aabd7b932cfec22520330d2342bb5ab</t>
  </si>
  <si>
    <t>201722E01002</t>
  </si>
  <si>
    <t>1e65701c241c3593687334be93b673f4a8ed9c542685a1e875ea3bf4a973ac54</t>
  </si>
  <si>
    <t>201722E01012</t>
  </si>
  <si>
    <t>be660bcbfcc23b1cd01a3a4a1cf3f71f2b250b31c38bc960b9dce33f6ee0f696</t>
  </si>
  <si>
    <t>201722E01022</t>
  </si>
  <si>
    <t>458170ce399bfb3a34a6233fa2ddb9dbdc36a745e084b57bae7c490e9082589a</t>
  </si>
  <si>
    <t>201722E01032</t>
  </si>
  <si>
    <t>b8acbbc2607090cf057f64057894d4c5c7d2c2eba9eb532db3aeb813358ff0cd</t>
  </si>
  <si>
    <t>201722E01042</t>
  </si>
  <si>
    <t>1adea0c99b7a582e74a12ca928bae23cfd231ea89918aad43a9e039d984d1847</t>
  </si>
  <si>
    <t>201722E02002</t>
  </si>
  <si>
    <t>65029340f66e4326df6c98c34299cbfbe8a5e254e56ad37ef0ac7716dc44aba0</t>
  </si>
  <si>
    <t>201722E02012</t>
  </si>
  <si>
    <t>a896ab7e2d19348e6a85291738fdcce358157264c3b23f92547f8a8be1043284</t>
  </si>
  <si>
    <t>201722E02022</t>
  </si>
  <si>
    <t>d8512f2ea6e85b3690c591201ce43193a8f1e2813b5e57af00208e0a5dfd9b29</t>
  </si>
  <si>
    <t>201722E02032</t>
  </si>
  <si>
    <t>cde1e18fac3e11f921d7d52a29f6e9228e245c1eedc30bccb9b9379b1ccf053a</t>
  </si>
  <si>
    <t>201723B01002</t>
  </si>
  <si>
    <t>fdc1cc3267e42e73b934b516146fcadbc9e731d4e684690525bd5413032b0e44</t>
  </si>
  <si>
    <t>201723C01002</t>
  </si>
  <si>
    <t>9d481bb5c3f39bdc847be1f4e737505ea28179d7467868b0af4c23ac9630c85c</t>
  </si>
  <si>
    <t>201723C02002</t>
  </si>
  <si>
    <t>e39f88675a9ef4ab165e77c2f2daaa7b170005a6e57f1e375399b4912f9e39bc</t>
  </si>
  <si>
    <t>201723C03002</t>
  </si>
  <si>
    <t>8910abbc72ed2ff036064474e66fd4fd5476bfcc5b8cc6c5bdcf7ae98b4b4a00</t>
  </si>
  <si>
    <t>201723C04002</t>
  </si>
  <si>
    <t>e555873c5b77a59660b39f40083ce8bfca32bb77abc7c2004bf40b73c860e4b1</t>
  </si>
  <si>
    <t>201724B01002</t>
  </si>
  <si>
    <t>4197e5edaf961d2a4098f015d59b4ac915574b69d4afb85384cdcac7de200cee</t>
  </si>
  <si>
    <t>201724C01002</t>
  </si>
  <si>
    <t>beb92e35ad6b88175d7e405e6874f7eaa8c46b10c57ddd3fe88fb0f7e067bdd8</t>
  </si>
  <si>
    <t>201724C02002</t>
  </si>
  <si>
    <t>4795dfc242cef46c90e8ce30c1b092e1da054aa749fab3a9662ed630ef0533fe</t>
  </si>
  <si>
    <t>201725B01002</t>
  </si>
  <si>
    <t>faf6312342aae9d84501c5935a23f36b9a567318bbf28ab3570b98c88a89d399</t>
  </si>
  <si>
    <t>201725C01002</t>
  </si>
  <si>
    <t>eb0b1fb679ea2c0d3ca55d7a361d68af85a9859ba3354999652289e9f0e42453</t>
  </si>
  <si>
    <t>201725C02002</t>
  </si>
  <si>
    <t>a9559b264beac710360cafd5282e7827af1a04e10a59f956c9643a741f841ab1</t>
  </si>
  <si>
    <t>201725C03002</t>
  </si>
  <si>
    <t>5e93f26b30c4d5e75efdc6d8bad49c6c023e80405ed58d1e104bad7398e0f02c</t>
  </si>
  <si>
    <t>201725C04002</t>
  </si>
  <si>
    <t>58856d4647750cf240663a1a872c147f65170f166dfc7536bbca8a2e437efe24</t>
  </si>
  <si>
    <t>201726B01002</t>
  </si>
  <si>
    <t>24d5b88ddf8e0cb80e293cfab0e97c4e0d2732b154230c9f9a08ddd0770ed93f</t>
  </si>
  <si>
    <t>201726C01002</t>
  </si>
  <si>
    <t>9afa48cc7e0a01c8956b6c513f769e7aa3c0c8929a194aad61d94abd1cdb5972</t>
  </si>
  <si>
    <t>201726C02002</t>
  </si>
  <si>
    <t>1e037bcd77ef1af4d25fed4533271c041800ebe08e19fe9b7eb79b1ff385cd92</t>
  </si>
  <si>
    <t>201726C03002</t>
  </si>
  <si>
    <t>1b26946f7f714876f0b9c9d90515701820e15b50fe59fd15c0e74a40a64dbcdf</t>
  </si>
  <si>
    <t>201726C04002</t>
  </si>
  <si>
    <t>908f6830fd3c2691d30a5c48c6b4725d22d139ed972dec00ee61f7e221d79c68</t>
  </si>
  <si>
    <t>201726C05002</t>
  </si>
  <si>
    <t>ea1e9415e2f242959076a183ca82a2949b5344dc1a6f190c8d593995af7768d9</t>
  </si>
  <si>
    <t>201726E01002</t>
  </si>
  <si>
    <t>5a517692bc41fe58aa3cc95f287f66b4de5074775d3a133a94a11f90c4128f7c</t>
  </si>
  <si>
    <t>201727B01002</t>
  </si>
  <si>
    <t>0c0baa7e21e08fef12610895e3baf086707506e35e814c09f181f457470d596d</t>
  </si>
  <si>
    <t>201727C01002</t>
  </si>
  <si>
    <t>48e770370e0329bb74de6aecbd574257c8f48856c8f6a18a6354c2fc3bc2c236</t>
  </si>
  <si>
    <t>201727C02002</t>
  </si>
  <si>
    <t>33754547d55d726988d0ba7ab6383f7b8d42e3a81985c506a85c9f8fccc1f093</t>
  </si>
  <si>
    <t>201727C03002</t>
  </si>
  <si>
    <t>e24a7e24ecc58fbfcc4af7ce693350740981537f4c13cbf766efa979d59ecba4</t>
  </si>
  <si>
    <t>201727C04002</t>
  </si>
  <si>
    <t>1d5e673007bd63b0b8d406d92598dc4dc8049e78b5c2300905010695f4c72a3f</t>
  </si>
  <si>
    <t>201727C05002</t>
  </si>
  <si>
    <t>595439dbc01cb646b61f32cb6b0a03ab8a9e0c8f041e7c594ecaabeafb9364cf</t>
  </si>
  <si>
    <t>201728B01002</t>
  </si>
  <si>
    <t>156d054ba6544feee316cc9cfae5562079cec998498c61c9f08d97e2762950ae</t>
  </si>
  <si>
    <t>201728C01002</t>
  </si>
  <si>
    <t>5c309576fc08b8fd55f2d36a137c0ddf10cd179274c98c5547f85de4d8fe8158</t>
  </si>
  <si>
    <t>201728C02002</t>
  </si>
  <si>
    <t>e17b5bd1ebc67cf01461fc1745503e9d7781bb4b9bc08bd8f32b300ea1e25230</t>
  </si>
  <si>
    <t>201728E01002</t>
  </si>
  <si>
    <t>354bfe0801285f6a7e83828ca21bafc0cdcb38b8cf638e6fff4e94690fcaed8c</t>
  </si>
  <si>
    <t>201728E01012</t>
  </si>
  <si>
    <t>112add823901a3db23ab0848afde4eda185338ba1afbf88d3b9ed8c5170dd82e</t>
  </si>
  <si>
    <t>201728E01022</t>
  </si>
  <si>
    <t>b003a1cc3ef9dc29ad521beed090f1dcddb0f3e4617bca9e6a86d8ab5c4a2630</t>
  </si>
  <si>
    <t>201728E01032</t>
  </si>
  <si>
    <t>0df26265b6c4811221f49962382bf52de284cf48678dbd6064a559353220cc04</t>
  </si>
  <si>
    <t>201728E01042</t>
  </si>
  <si>
    <t>4bd372abc188b38ff1e48483ed7f758b7eef29d3236df55da7926438a5b41203</t>
  </si>
  <si>
    <t>201729B01002</t>
  </si>
  <si>
    <t>1285109b3c34dd32c6920c4841493b2e3952b8aea1c0cfa01790b94afd1db365</t>
  </si>
  <si>
    <t>201729C01002</t>
  </si>
  <si>
    <t>8ab94fe06b1538e105537505454655717dfa71c34b028e4139bd77192cfdafcb</t>
  </si>
  <si>
    <t>201729C02002</t>
  </si>
  <si>
    <t>005b1036ba0f019b5da0b0c3264e8bc27d05ca05ed8c0b1be54175507484a868</t>
  </si>
  <si>
    <t>202423B01002</t>
  </si>
  <si>
    <t>13eab6752df0e1faa645ab439f610cbe0e8605ffa1c990f7bdbd64f5c5136dad</t>
  </si>
  <si>
    <t>202423C01002</t>
  </si>
  <si>
    <t>00fdd7cb3599ba66b474a4096c50e09883bc9621087a1d38e7049887378069bf</t>
  </si>
  <si>
    <t>202423C02002</t>
  </si>
  <si>
    <t>86be10c12b572f9e3924aa60684eb74af8af72a743524613a0e8a7b0de175ded</t>
  </si>
  <si>
    <t>202423C03002</t>
  </si>
  <si>
    <t>4a258f411e43a8cf85d1cf23e64df4b6e70d9ebed1dc305fa0c46167ca1fdd59</t>
  </si>
  <si>
    <t>202423C04002</t>
  </si>
  <si>
    <t>be5a40413012055568f4a9a58c9eb83205fda88393f40e997b8eea8a675c6af2</t>
  </si>
  <si>
    <t>202424B01002</t>
  </si>
  <si>
    <t>76563a9f446c553b71060614ccbf1ad2c531a253f440cb94bd9210792c14704e</t>
  </si>
  <si>
    <t>202424C01002</t>
  </si>
  <si>
    <t>d0d16daa70444d6078c581dae4a94060f9d2f2ecee61569cc29e40fa1f2d65f6</t>
  </si>
  <si>
    <t>202424C02002</t>
  </si>
  <si>
    <t>fd85410acfde3493a3c408320fb468dcd4808ed6b37da9e383e2e7696d944eb5</t>
  </si>
  <si>
    <t>202424C03002</t>
  </si>
  <si>
    <t>ebd892ff88e9c0112a1765a1653de5e7107241b7d45a49e767a3c38a173bd789</t>
  </si>
  <si>
    <t>202425B01002</t>
  </si>
  <si>
    <t>d54f9abe91a1a74e3ceed4e1fd6c93be675a3dbe5b8d589453befe68ba83ec13</t>
  </si>
  <si>
    <t>202425C01002</t>
  </si>
  <si>
    <t>20103bac8dd603c061ddcf7fcd0701c04452ffe4088de1ad9f3b106e56726762</t>
  </si>
  <si>
    <t>202425C02002</t>
  </si>
  <si>
    <t>35321a570b907da641e39706e166db68fdddf105807a156fe0b814e94726e901</t>
  </si>
  <si>
    <t>202426B01002</t>
  </si>
  <si>
    <t>d889a75522f7074c61a76a38188f95c42dc651caec432df7f8b665117ce05f85</t>
  </si>
  <si>
    <t>202426C01002</t>
  </si>
  <si>
    <t>26d08bffb0acfe24d1497b86517599656d1660457070a0dbeaabe633716d9127</t>
  </si>
  <si>
    <t>202426C02002</t>
  </si>
  <si>
    <t>c97ae1d48177dbb195428ec71ff4286958ab19992a73ee0427bdf5cafcbc02a0</t>
  </si>
  <si>
    <t>202426C03002</t>
  </si>
  <si>
    <t>136476d17fef54bfd0997b850bb8c8b12fff55ada532f911e299cb78ce232db1</t>
  </si>
  <si>
    <t>202426C04002</t>
  </si>
  <si>
    <t>3c86ee395e501118a50a18823c8ab4b4bfe747be318d1c36f9c1b4d0a0f5f138</t>
  </si>
  <si>
    <t>202427B01002</t>
  </si>
  <si>
    <t>4a417ed6782951e27fc8d7d65f49c494f1f789ac16fa4d16ff9d081545424c78</t>
  </si>
  <si>
    <t>202427C01002</t>
  </si>
  <si>
    <t>3be4df1048021889645955adcee152e4459ee2721ce91d6ec7d5bd5fa3082223</t>
  </si>
  <si>
    <t>202427C02002</t>
  </si>
  <si>
    <t>678c3fc19cdd311c1ca1907b52a1c7949234e97d357471506027589f52a0f4b4</t>
  </si>
  <si>
    <t>202428B01002</t>
  </si>
  <si>
    <t>7cb352dfd023b6897162df6c1e38fc859a4a2f98d50e7033e99764d90b457e89</t>
  </si>
  <si>
    <t>202428C01002</t>
  </si>
  <si>
    <t>299825271e48024e8bc5e95a1cf30479916d54f9849b18b546cc0cdc9268a15d</t>
  </si>
  <si>
    <t>202428E01002</t>
  </si>
  <si>
    <t>eff66895df9235f9f2cfb63d2c512446bb32aeda69b2e3e31a87ce35fa7eab36</t>
  </si>
  <si>
    <t>202428E01012</t>
  </si>
  <si>
    <t>66279be5b499691482489c0f7f794907db0a1f2675562e82e6b779d6bba9af72</t>
  </si>
  <si>
    <t>202428E02002</t>
  </si>
  <si>
    <t>b714dede9d03acae4e7429c63805fec0d84cb94d56b9d290533ff89becf73091</t>
  </si>
  <si>
    <t>202428E02012</t>
  </si>
  <si>
    <t>73dade48658febed947b999d5e6e5c62e41b20bfa2db2bb71d554af6fc929dc7</t>
  </si>
  <si>
    <t>202428E02022</t>
  </si>
  <si>
    <t>8be888d55aba2f933e6646940e04668f8a846aee722586bb1c8952cd42c0fd18</t>
  </si>
  <si>
    <t>202428E02032</t>
  </si>
  <si>
    <t>501a736d1ab6091c51a5fc6c48b4fc1f9eec141dfec3c575c20ef732a0e92877</t>
  </si>
  <si>
    <t>202428E02042</t>
  </si>
  <si>
    <t>1417062949f2cf8af4bad24b5f89de93c68fcc86e888077f58ff52934e14d1b7</t>
  </si>
  <si>
    <t>202428E02052</t>
  </si>
  <si>
    <t>8a6f3a72de3f91c5e28971da01cf3f81ab3668b79841c246c787086c083bc13d</t>
  </si>
  <si>
    <t>202428E02062</t>
  </si>
  <si>
    <t>74705b2ee155b7efdeee8e67d685b462d1214e3e5aa8c11f821a3e83dcc74027</t>
  </si>
  <si>
    <t>202428E02072</t>
  </si>
  <si>
    <t>525c32e4bcf23f21d181442c13956baa8bdf08fcfe0193cd4867a02eb4c3d508</t>
  </si>
  <si>
    <t>202428E03002</t>
  </si>
  <si>
    <t>432c4ba579d5480a34673e4811f2e05e5cc393de3d1e904b81b503e96f00c72a</t>
  </si>
  <si>
    <t>202428E03012</t>
  </si>
  <si>
    <t>e2d343482bc443ba22a7e79a6f0d22f42384fec7aa1d9a9ecaca79d8126ff62f</t>
  </si>
  <si>
    <t>202428E03022</t>
  </si>
  <si>
    <t>0965c762f20cc12067e7c79f4cc9374b676ba8c42227f676f18deafcc85966a2</t>
  </si>
  <si>
    <t>202428E03032</t>
  </si>
  <si>
    <t>e1b68a285821739b630830f482f6c571ba3a0e409e8e32db6a4ee644b33a1395</t>
  </si>
  <si>
    <t>202428E03042</t>
  </si>
  <si>
    <t>e0025482f6ee0c28b271971e1faa9a7c524a40fb21d759879bc665f13e77a6e1</t>
  </si>
  <si>
    <t>202428E03052</t>
  </si>
  <si>
    <t>cf2d54ff36b340c288ceda09c3f9dfa84b5532db319f989120ffe056678475fd</t>
  </si>
  <si>
    <t>202428E03062</t>
  </si>
  <si>
    <t>8cd27a1b30e04003f9946d25a2f5301f95737a546141f7e19ee6f7b64afd28e2</t>
  </si>
  <si>
    <t>202428E04002</t>
  </si>
  <si>
    <t>43628bffaf14e231f4cd0248c439e542ea256dd34d2cd055fe657805d9871851</t>
  </si>
  <si>
    <t>202428E04012</t>
  </si>
  <si>
    <t>78c4f97e7893e4851ef5a69eef33399126c927bb8af6d93a205e5b8d533fd67d</t>
  </si>
  <si>
    <t>202429B01002</t>
  </si>
  <si>
    <t>2cd525c1e01001986387b1c96dd4fbb1a292ca6b0fbcda1847a8c945520b7497</t>
  </si>
  <si>
    <t>202455B01002</t>
  </si>
  <si>
    <t>041ed82e805ad15efd82f4da0127b0a0da2744a7bbde9fe96c99f51fd67d41cd</t>
  </si>
  <si>
    <t>200035B01002</t>
  </si>
  <si>
    <t>ZIMATLAN DE ALVAREZ</t>
  </si>
  <si>
    <t>8df66ba11bee214889e0424fb698f29d5c9fd88d3531f44bef5e01df75a1af85</t>
  </si>
  <si>
    <t>200035C01002</t>
  </si>
  <si>
    <t>dee72d6cd924cc87d21ea37440aa3729630825c6795e6934d57bb1236f177433</t>
  </si>
  <si>
    <t>200036B01002</t>
  </si>
  <si>
    <t>f7b8f29e0c83ad3b745a6dfdd46e0ad1601bebdffa71d968d3eec4d3bab910cd</t>
  </si>
  <si>
    <t>200036C01002</t>
  </si>
  <si>
    <t>3b0698bd2582deb65651a0a0c446327d92b760972ab8ff1740a568a8ef47f166</t>
  </si>
  <si>
    <t>200036C02002</t>
  </si>
  <si>
    <t>0a050666a8d7b10c54f274e9e8958ac6f9ec82efccee98570052b745e894805f</t>
  </si>
  <si>
    <t>200065B01002</t>
  </si>
  <si>
    <t>658e0c478e93c7c2b9f58322f445e809afaca96b7856f4b66c3d08db2deda6a0</t>
  </si>
  <si>
    <t>200065C01002</t>
  </si>
  <si>
    <t>bfdb430eb5d5459bfddaeae53d88b94de6ae26ebc03d8f4de18d5c4038c469a0</t>
  </si>
  <si>
    <t>200066B01002</t>
  </si>
  <si>
    <t>9845760db58bfd01f51113a1bee5d87bd49f40e9f119dd4ce35237db69adee0a</t>
  </si>
  <si>
    <t>200066C01002</t>
  </si>
  <si>
    <t>b9fe1c299d01529026af03088179e95ec8f82d87e1b728e3df186e857afd55f0</t>
  </si>
  <si>
    <t>200067B01002</t>
  </si>
  <si>
    <t>e0c543faac7521578875f30839529494029c077989bc0e4af0df1bf998e603d5</t>
  </si>
  <si>
    <t>200070B01002</t>
  </si>
  <si>
    <t>95dbfa2ae872819107af3e372e5a2884a2c5dde3517d2b46198bc115c36b1dc8</t>
  </si>
  <si>
    <t>200070C01002</t>
  </si>
  <si>
    <t>044ec3a5ebb1a6a97826f09ea0468a096cf97ee24109dc7d5f8837b5cffae9c2</t>
  </si>
  <si>
    <t>200070C02002</t>
  </si>
  <si>
    <t>bdf4f0df3adf0ee0fd0a85f12f58fe7aa3e07b8aa06ab56e4dc7776d34ded712</t>
  </si>
  <si>
    <t>200071B01002</t>
  </si>
  <si>
    <t>f3f9a9ffbedff3eb00c3a54898ea3e282ee12636059d64a72701ff6e0780db05</t>
  </si>
  <si>
    <t>200071C01002</t>
  </si>
  <si>
    <t>b20ff5dde4b171112c93651baab5cf00536da0e4efb4a8288f07d974a3e55e44</t>
  </si>
  <si>
    <t>200072B01002</t>
  </si>
  <si>
    <t>5ba2c359628cf646f5fd8f7976dd8224ab792823c7097a9e88b0e6d3003cbf51</t>
  </si>
  <si>
    <t>200072C01002</t>
  </si>
  <si>
    <t>cce59dfaa424afbd573d48f19937a623d3906199a51e8255d8b9e3d09643defe</t>
  </si>
  <si>
    <t>200073B01002</t>
  </si>
  <si>
    <t>b7696404b9a4e735e8f6fca10324610a9ac4257369dd05cfb3f2cfd5f52c193d</t>
  </si>
  <si>
    <t>200111B01002</t>
  </si>
  <si>
    <t>8cd5d248d11be2d9ae2b8429cb532ac1043619104d5b41ed75f118c9369e43b1</t>
  </si>
  <si>
    <t>200111C01002</t>
  </si>
  <si>
    <t>64bbbdde19d0126ea65f4b12ec3adb4291f0baa33bb1599787c8c67822b42528</t>
  </si>
  <si>
    <t>200112B01002</t>
  </si>
  <si>
    <t>95f2e9b8e43b4aefbbfbfb97f82d41b41fcfb5b20cd60c04f694592139e55345</t>
  </si>
  <si>
    <t>200112C01002</t>
  </si>
  <si>
    <t>dfe076d25cc764a599493fd360d78b8253f0720a2e94d3dc5509d3aaeb3a434a</t>
  </si>
  <si>
    <t>200373B01002</t>
  </si>
  <si>
    <t>379c8a20232cbc04d2cd2c58c80eb83840f50603b7bb42ba6accb10afee6a25f</t>
  </si>
  <si>
    <t>200373E01002</t>
  </si>
  <si>
    <t>95fe38bfe976a76e88a3c4ede01774dd1df5d0ad011d3a427d4d98568c614e15</t>
  </si>
  <si>
    <t>200617B01002</t>
  </si>
  <si>
    <t>0778d38085ab63afa1aa0eb5aeacc87c7c6df52b80583c9f4806d52629d22bca</t>
  </si>
  <si>
    <t>200617C01002</t>
  </si>
  <si>
    <t>45ebb0aaeeceb73bca5bb5ba767fd99437a34bc4cdff8a4e5d2052142ebf4b6e</t>
  </si>
  <si>
    <t>200617S01003</t>
  </si>
  <si>
    <t>e9d1de6eef3abfba9b8a25d43c733674e9eb41c9fae6ae0f99fd78ee95351984</t>
  </si>
  <si>
    <t>200618B01002</t>
  </si>
  <si>
    <t>ac63e95a83664531099a941a9b16f5ac79aba8415fb759ace738bce79bf8ca80</t>
  </si>
  <si>
    <t>200618C01002</t>
  </si>
  <si>
    <t>c7ac2cef75ee2c68f726d18a8873bf13bcdfad4af401e03c0052a97731f55dd7</t>
  </si>
  <si>
    <t>200618C02002</t>
  </si>
  <si>
    <t>e224217ba7913ec8b67921712eaf81fcf69aa4b2f787669fd5c1c6491c04b647</t>
  </si>
  <si>
    <t>200619B01002</t>
  </si>
  <si>
    <t>894e6f464ea19104f1b86fcc9713ec0b2e1dac833f8f8a69a63d2970953b328c</t>
  </si>
  <si>
    <t>200619C01002</t>
  </si>
  <si>
    <t>d34e8a39de773241542745e5350be07e324982c4852363883bcdd667939248ba</t>
  </si>
  <si>
    <t>200619C02002</t>
  </si>
  <si>
    <t>730f8eca7f2fa0ed6a612367405ef767af3670899dcbceb7779f1950386b9758</t>
  </si>
  <si>
    <t>200620B01002</t>
  </si>
  <si>
    <t>231b7942dc5aeda419b45f647f7b519171a479c1b4f6ed27463dceba8893a327</t>
  </si>
  <si>
    <t>200620C01002</t>
  </si>
  <si>
    <t>61e4fcd4ecdd92ce30f4b78fddbb29db9294f855517823bda35516ef3cd0b8f1</t>
  </si>
  <si>
    <t>200620C02002</t>
  </si>
  <si>
    <t>e6b08c5fe58bcd4beeed6e2e71e0ebb50f51669403d062e5151698f2a04bcb68</t>
  </si>
  <si>
    <t>200620C03002</t>
  </si>
  <si>
    <t>8ce5991c9706eb177e98b244120fb00eee1c4d3c918f2ebc191d056bd7587597</t>
  </si>
  <si>
    <t>200621B01002</t>
  </si>
  <si>
    <t>0e4c0defd7d762649721f97b2a79a58236c73fa2125d4fe5cafc5b3d3d0e7f8c</t>
  </si>
  <si>
    <t>200621C01002</t>
  </si>
  <si>
    <t>c3ce52767f90d599a6e35093fe21d8b7962c666d0c17f22e75b96d3f592fe1f5</t>
  </si>
  <si>
    <t>200621C02002</t>
  </si>
  <si>
    <t>61b6926feea88a33384dbe39e49b32a307ba8787fe75e85405ee2c190016c825</t>
  </si>
  <si>
    <t>200622B01002</t>
  </si>
  <si>
    <t>4456660e8c3fcfdb72cd1f0a14ec516404cbb5df353e5e7f57b7cb5c723e484d</t>
  </si>
  <si>
    <t>200622C01002</t>
  </si>
  <si>
    <t>411d692bce9f166f5b3039a7e15fd5dbbcbbdbfc96dc0e8a1fcd0f99d533f148</t>
  </si>
  <si>
    <t>200622C02002</t>
  </si>
  <si>
    <t>1e2cf5949658843f3e7f5734eedd6e62982381dedd13b893fe72fc6901f5ed72</t>
  </si>
  <si>
    <t>200623B01002</t>
  </si>
  <si>
    <t>343df5da341a3f59f8258fd7a7b8a6fa89b5c24cc1e9d75ace6d1bcf4fd089ef</t>
  </si>
  <si>
    <t>200623C01002</t>
  </si>
  <si>
    <t>ed7abc52e418bc4b96a65be006c6ed4946306e1e395e912d600a2d86ddbe80a5</t>
  </si>
  <si>
    <t>200624B01002</t>
  </si>
  <si>
    <t>d184c2a66fc7ec66b8ca57a652c7d02ea6c69aaf09b5e7d614de220fda030824</t>
  </si>
  <si>
    <t>200625B01002</t>
  </si>
  <si>
    <t>b41e849169b6acadc721cdae97f040ecc9936a96f674cf62402f79addb5052c8</t>
  </si>
  <si>
    <t>200626B01002</t>
  </si>
  <si>
    <t>8fd59b0aa3b48cc9f31b40b2e441a487bec6a89a40a4df225937f1ad6370e7ac</t>
  </si>
  <si>
    <t>200627B01002</t>
  </si>
  <si>
    <t>7da4ca86eefb809808d77b6d105a4f552969eea620ab665dc7c37d441955a545</t>
  </si>
  <si>
    <t>200628B01002</t>
  </si>
  <si>
    <t>7a3dc59151e867ded813d633b6de92279e5c15700fa039392c68ec4821eefb64</t>
  </si>
  <si>
    <t>200629B01002</t>
  </si>
  <si>
    <t>d88cd0034d4926ad8444502adbd5cca5aaa2f66ae621c0a8786744ccf77b3249</t>
  </si>
  <si>
    <t>200630B01002</t>
  </si>
  <si>
    <t>7749c6f6c806451651a62a90310b02b77c579798bd87e65588d7ce63caa6e858</t>
  </si>
  <si>
    <t>200630C01002</t>
  </si>
  <si>
    <t>900665df46ca15a1e07a5da07f961f8f571bccf8f67551fb35870528a359eae8</t>
  </si>
  <si>
    <t>200631B01002</t>
  </si>
  <si>
    <t>df9f7d78fa7b8027afb038960fdc93a19c7b160035f4ce414ac6e76cc147c9ce</t>
  </si>
  <si>
    <t>200717B01002</t>
  </si>
  <si>
    <t>8cd3cde341da400b03aa0047e1adb3142962edff5d790ab4467595543e6c1d54</t>
  </si>
  <si>
    <t>200717C01002</t>
  </si>
  <si>
    <t>ee4c85c6203d22c022049693269b96eee4b5c3609bd72d8e481780d35f7694f0</t>
  </si>
  <si>
    <t>200717C02002</t>
  </si>
  <si>
    <t>7b598e47d0709e923c5f0b0493b8ec693ddec42110ad1e32b7be476c89c2da5e</t>
  </si>
  <si>
    <t>200717C03002</t>
  </si>
  <si>
    <t>a7d033171551b5abe34ab95cacd07e6d1c3cdad8e9831b51364d43ca0367a291</t>
  </si>
  <si>
    <t>200717C04002</t>
  </si>
  <si>
    <t>a7960f3ff7fe47c91d980d28339b532ffca26821e0ed18bbdb12105d7c3226af</t>
  </si>
  <si>
    <t>200718B01002</t>
  </si>
  <si>
    <t>992f423f4e1233b9d12c591aa13b1299920295e533069f1af7ee4176a718f48b</t>
  </si>
  <si>
    <t>200718C01002</t>
  </si>
  <si>
    <t>60c67bb39faf48ee40facbe7b3e3320a9779196ace1debb318420de1014a8cb6</t>
  </si>
  <si>
    <t>200718C02002</t>
  </si>
  <si>
    <t>b7692152424e2a7ff51ff796175fcfed8d663e3e46c3876f9f620dfc58396b5d</t>
  </si>
  <si>
    <t>200718C03002</t>
  </si>
  <si>
    <t>7b0551f4430dadd8e5c3571ec6daafe3428ee478bc5dcf8043d071f25c7e5bcb</t>
  </si>
  <si>
    <t>200718C04002</t>
  </si>
  <si>
    <t>85399b9543826fc993f2f51c7b45848425d841a9c86599d79dee9b5afcecb382</t>
  </si>
  <si>
    <t>200763B01002</t>
  </si>
  <si>
    <t>6ae11cf5c4851f24b3a33c265554bb3aefacbab812b738f8dbdc2bea5e88dd09</t>
  </si>
  <si>
    <t>200766B01002</t>
  </si>
  <si>
    <t>5fc2d04f1c75e3a0bb7b986485e220238d5694dc1d20851c809561234676ad75</t>
  </si>
  <si>
    <t>200766C01002</t>
  </si>
  <si>
    <t>a38c031212ea7c32885d52c5d348a3260223cc6b38fe44fd85b901e6c6abc608</t>
  </si>
  <si>
    <t>200767B01002</t>
  </si>
  <si>
    <t>f840c06ffb0d4be312709e7d465e394ffb2d02e0b56363d0ed63089ca4c7cc52</t>
  </si>
  <si>
    <t>200767C01002</t>
  </si>
  <si>
    <t>5a43ab7b9a37769c96b78c245316ca6c6a1c85b5f12a8729c9cd1cfd1b5d4361</t>
  </si>
  <si>
    <t>200768B01002</t>
  </si>
  <si>
    <t>2641dd2f41fe7301ca51df291bd522186804318ce3f7cd47ecff03db43ea4557</t>
  </si>
  <si>
    <t>200768C01002</t>
  </si>
  <si>
    <t>767eb8e94e943aff95f5e37a8bf59f1485dc3ae807ae9c02dfff816be7871b0a</t>
  </si>
  <si>
    <t>200769B01002</t>
  </si>
  <si>
    <t>461459a864c871a3b3a3a42b296bc9192972555357e4e863ad94ee7c20464705</t>
  </si>
  <si>
    <t>200769C01002</t>
  </si>
  <si>
    <t>d161f8ba3f77d3daf4c2ff435375a0ce2e3d759c593cb5ce00aecc8fac025cd5</t>
  </si>
  <si>
    <t>200770B01002</t>
  </si>
  <si>
    <t>234ddb5ddb99a967ec80fc659511359a1ca12b8b38f187f7ca42d048618aa9cf</t>
  </si>
  <si>
    <t>200770C01002</t>
  </si>
  <si>
    <t>9eedc0a8adb27f99771bdbefdf4b6e6f0367446df3193dfbf127e92c2ace1b7a</t>
  </si>
  <si>
    <t>200770E01002</t>
  </si>
  <si>
    <t>5e6ffdbc800e957aeb68ee05c7ba53d2c337386d27e77a987b273b49977d32d5</t>
  </si>
  <si>
    <t>200771B01002</t>
  </si>
  <si>
    <t>c9179a462d6e3c0afa932bd0f486658033975f0b3551f46cda9cf4b6fd9ddb1d</t>
  </si>
  <si>
    <t>200782B01002</t>
  </si>
  <si>
    <t>44f74a4cb6b8a7c41a1b56206057487884715ecd6d0629f86305a03ffb854550</t>
  </si>
  <si>
    <t>200783B01002</t>
  </si>
  <si>
    <t>d9b90d538757ea548011e2c2fff43526d3cdc82c8647efa12feb8d330699b626</t>
  </si>
  <si>
    <t>200784B01002</t>
  </si>
  <si>
    <t>5f65fa55aa377d907fee7e20b098d5ec098f9db12ad073731b6219c2e38166de</t>
  </si>
  <si>
    <t>200785B01002</t>
  </si>
  <si>
    <t>fe360545f1615ea15848e461d55ef6f4e7ef3aee37126acbbb229a3ca19d9364</t>
  </si>
  <si>
    <t>200786B01002</t>
  </si>
  <si>
    <t>b7e6b3dc4b11953a1dfc811308bb07ca2f795e6608abe8493cbf010a010e7816</t>
  </si>
  <si>
    <t>200787B01002</t>
  </si>
  <si>
    <t>6e1dcdf829b658741a10794598b28d40195e63c38360c7ef827accc1c0848392</t>
  </si>
  <si>
    <t>200798B01002</t>
  </si>
  <si>
    <t>b8e21269a467359b51365f6e2dd0175c2316e7fd3d3e6be1c2eafe3ebb3d78ca</t>
  </si>
  <si>
    <t>200798C01002</t>
  </si>
  <si>
    <t>2013b3668ade194c9b9f3d6fca2d6e3a2475fc77a117eb5381ac8734082a494f</t>
  </si>
  <si>
    <t>200798C02002</t>
  </si>
  <si>
    <t>24162c0827f3b0e132e0050ce8f1ba985fffc88f748cff684d4b224559f59679</t>
  </si>
  <si>
    <t>200798S01003</t>
  </si>
  <si>
    <t>1490ec99d62aee4451de977224924f2ca46095525d961864e92f67551d0a9d26</t>
  </si>
  <si>
    <t>200799B01002</t>
  </si>
  <si>
    <t>038cbb8956e9892cb3e61082d028dcfaad98506e0173d0672418f19cd13aad16</t>
  </si>
  <si>
    <t>200799C01002</t>
  </si>
  <si>
    <t>3b7884a9f2330f25aa3d70f080f0832e528de9296f43c4a2b07cf70f0d617587</t>
  </si>
  <si>
    <t>200799C02002</t>
  </si>
  <si>
    <t>962c9678d11fa9a54bf974bd03f9ed883ce99a6e740270249ade13914a42d1d0</t>
  </si>
  <si>
    <t>200799C03002</t>
  </si>
  <si>
    <t>7ce1fe438c66009f167d57f4f9fdd7c2f02cbd2cea187b6b0fe1095b6a209753</t>
  </si>
  <si>
    <t>200800B01002</t>
  </si>
  <si>
    <t>d62d2dad4907b015f020929cfaf844a7a694ce29261971a8a7720c721795ff56</t>
  </si>
  <si>
    <t>200800C01002</t>
  </si>
  <si>
    <t>8acc62f3f8ca1e21822428a79768a67a46c63f088a27454dc654709589c394ee</t>
  </si>
  <si>
    <t>200800C02002</t>
  </si>
  <si>
    <t>87a8ed3cd4a64904f484f8a731bf6c5bf3ef33b75a3dd743aa0f032978084470</t>
  </si>
  <si>
    <t>200800C03002</t>
  </si>
  <si>
    <t>06a8a5b5cc42a9fce85a5e7d8f51fd6f334ecf83ccfe5da89443e631ea45b263</t>
  </si>
  <si>
    <t>200812B01002</t>
  </si>
  <si>
    <t>fea9b1ebe161d1f8c20d1ca92b23ddb87b507b8632bd4693515ff00ffeaa3c9e</t>
  </si>
  <si>
    <t>200812E01002</t>
  </si>
  <si>
    <t>81447c15dea9012ebf1fff2fc11b6a287f688db0d944c710367a985e525eb6dc</t>
  </si>
  <si>
    <t>200813B01002</t>
  </si>
  <si>
    <t>168c4ee415604d872880872480cf4859f8f2b22074f120537c7748891695b33c</t>
  </si>
  <si>
    <t>200813C01002</t>
  </si>
  <si>
    <t>ead519796668a0f1c579a30fa7102aa05a2f785b9c805ad49c50d29d911e8f11</t>
  </si>
  <si>
    <t>200846B01002</t>
  </si>
  <si>
    <t>de2543ffca8ff25df5f1160a91445a122118a4c4ffea9fdb349f16f9da60ca8b</t>
  </si>
  <si>
    <t>200846C01002</t>
  </si>
  <si>
    <t>6c5e1ecf39fae4d8acb1f47130293d935b00973ad874257fae6368a87a6df146</t>
  </si>
  <si>
    <t>201107B01002</t>
  </si>
  <si>
    <t>3fe6ac13694baaf9ffbf5e5d46e15be258ed351a60b523b2b525b6e9141502f3</t>
  </si>
  <si>
    <t>201107C01002</t>
  </si>
  <si>
    <t>d4556a5007f0f310583de9568699a0bc12cc7b8b9e504e82a193a1b6b049d4ff</t>
  </si>
  <si>
    <t>201285B01002</t>
  </si>
  <si>
    <t>62cb5be8ee0cf6059f539cfaaf3a9eb1b3e317bbf360a696c2789643a4480b16</t>
  </si>
  <si>
    <t>201285C01002</t>
  </si>
  <si>
    <t>7f290b6f9cd3813d0818df4252ffc84ebb2f397fae9e8b0997a7e971fe044e3b</t>
  </si>
  <si>
    <t>201291B01002</t>
  </si>
  <si>
    <t>50e740859586786c9443261f26f9f94eddc72832954eba274fe22bf129fe0910</t>
  </si>
  <si>
    <t>201291C01002</t>
  </si>
  <si>
    <t>47c8397346c1c6e8255166311e6fdb1156c9573bbc5c658d798333b4509cc9f6</t>
  </si>
  <si>
    <t>201361B01002</t>
  </si>
  <si>
    <t>7ccb6d6042e0da06a435415cd679d661f001ca916b670559a88f4c3a6005463d</t>
  </si>
  <si>
    <t>201361C01002</t>
  </si>
  <si>
    <t>d9aaa99eaae37dc0fe535c3fbadad702f8fe2d989d13345290ceae204c18a5b8</t>
  </si>
  <si>
    <t>201362B01002</t>
  </si>
  <si>
    <t>0c9747ce92fffa458b699b3d887753dde7b90dc9762936d96b0ac16cfbf7688b</t>
  </si>
  <si>
    <t>201362E01002</t>
  </si>
  <si>
    <t>266d4831106d88b733b99a69633af6c4aef7e20f3b3cad6a49e1835ac4b52dd6</t>
  </si>
  <si>
    <t>201422B01002</t>
  </si>
  <si>
    <t>dea84d29cd633ba35cfe94712c30649cbcc07d5774af271228dfc4f8088d81cd</t>
  </si>
  <si>
    <t>201422E01002</t>
  </si>
  <si>
    <t>55f517b504f50f5053fbcfd91895e9eb9e243707f1c5489c04ff415b8a9c0e6a</t>
  </si>
  <si>
    <t>201431B01002</t>
  </si>
  <si>
    <t>ef0b5f940f96c5b2b652d9773bb1bba1374f5b1c079d7d0d726c1d2b152ce394</t>
  </si>
  <si>
    <t>201431C01002</t>
  </si>
  <si>
    <t>b22930e0b337259727e3a8017046b7ae3d9fb12ef8bf2f0c1d5629473e6343dc</t>
  </si>
  <si>
    <t>201432B01002</t>
  </si>
  <si>
    <t>ef613dd0ec75479eb9bf03765187abe0005df813cc0b404c60429552268d0dcc</t>
  </si>
  <si>
    <t>201432C01002</t>
  </si>
  <si>
    <t>db124dbfea8b3662da1a5d5743146540f4a8f3e91e68c98c0db543ea69bab2bf</t>
  </si>
  <si>
    <t>201433B01002</t>
  </si>
  <si>
    <t>6e90f47783e73d40812836d89bc147b248860889bc10a64d1caa12e4c48ed9d3</t>
  </si>
  <si>
    <t>201433C01002</t>
  </si>
  <si>
    <t>27edad73a17756075b0d07c46ff226a58de5169e207ec3b0a52aa2ccf322a5cd</t>
  </si>
  <si>
    <t>201434B01002</t>
  </si>
  <si>
    <t>f1c8965a87ca13d83f723e19d542b499f6d48c70ea09e7b3f8f5b26f87247f44</t>
  </si>
  <si>
    <t>201434C01002</t>
  </si>
  <si>
    <t>8ec1ee41235c8443c5778c166d2cf5e8c16ae9217d6c64ac9ccace71aae87a18</t>
  </si>
  <si>
    <t>201435B01002</t>
  </si>
  <si>
    <t>86eeca0529a7804eda242371d356864bc8a3003ad44a27e1e72b811eaf948a13</t>
  </si>
  <si>
    <t>201435C01002</t>
  </si>
  <si>
    <t>b7490bba0502816a6a625a4d28a7d9c70ce96fa72b63940f3d417509c33ae4f0</t>
  </si>
  <si>
    <t>201436B01002</t>
  </si>
  <si>
    <t>d3385c2413fa18c1bdea7c99fdba908d5aa382785714087212d6ef2a2d533bce</t>
  </si>
  <si>
    <t>201436C01002</t>
  </si>
  <si>
    <t>b0feeca9966a75bf3d1e96559377696604a55a29d73cb01331d3bb8501f833f9</t>
  </si>
  <si>
    <t>201452B01002</t>
  </si>
  <si>
    <t>1f8cd32053b1aedf50b182399c08448b66ef6166238f7ae98802ad58b024665d</t>
  </si>
  <si>
    <t>201453B01002</t>
  </si>
  <si>
    <t>e48ecf5ef4528b3b944311e6e01cc04546d9a9712d45f7c9fb5342607be6ccb8</t>
  </si>
  <si>
    <t>201494B01002</t>
  </si>
  <si>
    <t>28fb18b809fc11fa11dc803b3e272f1108a932f2adb1117112db2154636f288d</t>
  </si>
  <si>
    <t>201494C01002</t>
  </si>
  <si>
    <t>312ca847fc223125033f29cfb45632ee7875e538b11d86e9a4187178bf7e2a6e</t>
  </si>
  <si>
    <t>201639B01002</t>
  </si>
  <si>
    <t>70b69c96261ad8a5ea55396b5601d94a03ddb3c161ce8c48bf4faa9c161292e1</t>
  </si>
  <si>
    <t>201639C01002</t>
  </si>
  <si>
    <t>9df835b3c2441d80ab57c9e40cb860e4461ec86a4d05dbc5c031fdff3a8159dd</t>
  </si>
  <si>
    <t>201639E01002</t>
  </si>
  <si>
    <t>0109bebfbfa32777fc1950ac104605234f4e85cc4a776eeb5bdca44a7dbba649</t>
  </si>
  <si>
    <t>201639E01012</t>
  </si>
  <si>
    <t>2339933de03389ba9c961db8d5e0dd85c3e41139b14a0b268eb758c12394246f</t>
  </si>
  <si>
    <t>201647B01002</t>
  </si>
  <si>
    <t>c31e67b7481d219e390d85f1c79845dea56a3ccfcaee4d671030eb132e8a5312</t>
  </si>
  <si>
    <t>201647C01002</t>
  </si>
  <si>
    <t>15420b7dfd732820a84394f1306a87820dee14ecc46c139f8de51deda2fd9b04</t>
  </si>
  <si>
    <t>201648B01002</t>
  </si>
  <si>
    <t>84c8f5d9e00655cdaf3ae4fdab692922586aa2356515267f9ad844002d27916f</t>
  </si>
  <si>
    <t>201650B01002</t>
  </si>
  <si>
    <t>bb6d5f0769149a5c6a54fa26bb5e4b20c0053b436063c282032d64636ce17d47</t>
  </si>
  <si>
    <t>201650C01002</t>
  </si>
  <si>
    <t>0883fda7c18e6765cdf8a2c6e3a8989c5fa0a3dbce34874e7f40d650c02cf965</t>
  </si>
  <si>
    <t>201650E01002</t>
  </si>
  <si>
    <t>0b1347ef3c17be3b0bf386fc0cdb8128e0e4725adb3c41db597d9fffe89878cb</t>
  </si>
  <si>
    <t>201651B01002</t>
  </si>
  <si>
    <t>89e625ecb415a0208466fa2b93074ff328f3ec390291ce7a903352ad36cb554d</t>
  </si>
  <si>
    <t>201651C01002</t>
  </si>
  <si>
    <t>754f6d31bc2e0563bd02e2e99aebdd935f29cfe0c46e466caa7f103d9177bc93</t>
  </si>
  <si>
    <t>201675B01002</t>
  </si>
  <si>
    <t>9d0fe25b6d30fcff3077e944c2b4b9aa4ee028d7c0f7ad32dcdd23b26bf212ac</t>
  </si>
  <si>
    <t>201675C01002</t>
  </si>
  <si>
    <t>e83d11bbbc8ce252ecffadd181c7e87b05b1b5a2c42597e5329fed8def53f317</t>
  </si>
  <si>
    <t>201675C02002</t>
  </si>
  <si>
    <t>480176356e6c20be0f7a6afeca26ce219c05f21519ff0b33004c543aa7a22d0d</t>
  </si>
  <si>
    <t>201699B01002</t>
  </si>
  <si>
    <t>728acb41d77f98a365e18bf3b1f95cbe943b7263d919cf8cd00d1d57442e7e8e</t>
  </si>
  <si>
    <t>201699C01002</t>
  </si>
  <si>
    <t>d6d0fdf8d2a51ccf78f926ca16bcfd8bf9e0c9a7a7a840135d3af3b511a360f4</t>
  </si>
  <si>
    <t>201700B01002</t>
  </si>
  <si>
    <t>24ff4b939273a778ea11df36ad42db76f705a47329971644a8450b10cb9f4c75</t>
  </si>
  <si>
    <t>201701B01002</t>
  </si>
  <si>
    <t>ac94aaa9c6efc15b38293929ee49b33c7b93448c1d023fd35d77ebf489a55d60</t>
  </si>
  <si>
    <t>201701C01002</t>
  </si>
  <si>
    <t>c3d13d8bddaf5ac3ced65978a284db09fda584636e3140242eb6c0768ed36b3e</t>
  </si>
  <si>
    <t>201738B01002</t>
  </si>
  <si>
    <t>36bba0e91b2322ec335d083de235224ef2ce06aca202b904f09730a9f73beb54</t>
  </si>
  <si>
    <t>201738C01002</t>
  </si>
  <si>
    <t>a0c2247433fd05fd04ab1ef7a704b84b0d5391ebf9386551948eb58ca40869de</t>
  </si>
  <si>
    <t>201739B01002</t>
  </si>
  <si>
    <t>c670322403234a4279c85b379f0ddbcf07415bf2a2b1b5db306eba8adcf360e5</t>
  </si>
  <si>
    <t>201739C01002</t>
  </si>
  <si>
    <t>6ed09b6e1923459ed9384fcaf393db7fd765dc456f50019a5447aafa97367960</t>
  </si>
  <si>
    <t>201740B01002</t>
  </si>
  <si>
    <t>b3c2947fd4fae13708906e699cbcee4318a1c048bd1bc2b1c75cd747538a3e07</t>
  </si>
  <si>
    <t>201741B01002</t>
  </si>
  <si>
    <t>1723e95afeb54f15828079ae5323e9fe507d1fba2ffaf712e5009cfd97e2c157</t>
  </si>
  <si>
    <t>201741E01002</t>
  </si>
  <si>
    <t>87ad50a7196e7ecbd1c61c19e5fa0dcf8282acf3aa3573fdaa333e970e6863d3</t>
  </si>
  <si>
    <t>201741E02002</t>
  </si>
  <si>
    <t>586a781fa05cf520ef2babd2e83365ddeae29d733163a775993fd4406227e03b</t>
  </si>
  <si>
    <t>201741E03002</t>
  </si>
  <si>
    <t>aa924b6ff3771043df2adb8cbc6965fbd271e52fcf31b54826133528afa7ab90</t>
  </si>
  <si>
    <t>201742B01002</t>
  </si>
  <si>
    <t>7df5eced5eea14fc1552533a9f47b45f9acd5ba317dc4b9ed9b2538ef63382ee</t>
  </si>
  <si>
    <t>201742C01002</t>
  </si>
  <si>
    <t>68da22c20782d1219d42910d5219aaa4ca1ae24e84b896f112c0554d14dcc2d2</t>
  </si>
  <si>
    <t>201776B01002</t>
  </si>
  <si>
    <t>cf37d5b1a1446ef84e485d260af3dca4a7ae2c1370bfd28f229a6d3dfbabf1f0</t>
  </si>
  <si>
    <t>201776C01002</t>
  </si>
  <si>
    <t>c40d15e6a05833f210070e53c5dc3b696daece6d1a5f8f694c1adaaff3be7c6d</t>
  </si>
  <si>
    <t>201776C02002</t>
  </si>
  <si>
    <t>f324f5df01a25f157cbd6095520fa3367027c0e39843d3d4027ba063123f49ec</t>
  </si>
  <si>
    <t>201776C03002</t>
  </si>
  <si>
    <t>24b4eb8615371126cad3c7caf7cebee38640c6470dc565d567d66a154f8ed057</t>
  </si>
  <si>
    <t>201827B01002</t>
  </si>
  <si>
    <t>0ed37aa54923486e19a5dd24caf650d4bd381b95bab49e12ad531833f28967df</t>
  </si>
  <si>
    <t>201827C01002</t>
  </si>
  <si>
    <t>c10bb66b13e0f2bd321aafb0951c253cdbbe53e2d8239c5369d23ff9d8fedd85</t>
  </si>
  <si>
    <t>201827C02002</t>
  </si>
  <si>
    <t>4fc211c316ca971eaa3c88285f81c631015158421d0c967bc8d901f09887022f</t>
  </si>
  <si>
    <t>201874B01002</t>
  </si>
  <si>
    <t>cc752104c147a36c19d2ec09f6f7c0d2cb20c05be516f983259460a0e115c529</t>
  </si>
  <si>
    <t>201874C01002</t>
  </si>
  <si>
    <t>6110cec7826f46f9a727c6b31e0fb8b99983435043e3d6a0e1b651abc4daa640</t>
  </si>
  <si>
    <t>201874E01002</t>
  </si>
  <si>
    <t>6898cf0c740caa7d35db90257c962d25e61720e53149e53df7506d561de903a3</t>
  </si>
  <si>
    <t>201904B01002</t>
  </si>
  <si>
    <t>c7ef27facf6ef75294ed1464c404e54afb3cadda8435d236e5874ebeabb7499b</t>
  </si>
  <si>
    <t>201904E01002</t>
  </si>
  <si>
    <t>529816164fe2a58bf1187734ed5bc085dc0a929c7c797ae8a88633a75c86ae20</t>
  </si>
  <si>
    <t>201962B01002</t>
  </si>
  <si>
    <t>4e460fd68b962e7cded9e23a4b02d39dd4109baa5ad3f2b5e9bd28ca15058a9b</t>
  </si>
  <si>
    <t>201962C01002</t>
  </si>
  <si>
    <t>2bf0745d5351d6dd871bb8ccfaff861dd1c16eb5c9aed606a1d2084641228b7d</t>
  </si>
  <si>
    <t>201963B01002</t>
  </si>
  <si>
    <t>6c2c93056446c586bd737d222f942e7b426a2cfe4ececa983ed9901b5bec48f5</t>
  </si>
  <si>
    <t>201963C01002</t>
  </si>
  <si>
    <t>7caaa7d9d7949ba7e99c9ab90fe3588d97b54f70fc0f2d4bc257520cb9b9bb4d</t>
  </si>
  <si>
    <t>201964B01002</t>
  </si>
  <si>
    <t>5bd651c2db349eeb23fa241730e9ce60627f7dd90732f0c6c9bbbbf1c7fa37f2</t>
  </si>
  <si>
    <t>201964C01002</t>
  </si>
  <si>
    <t>a77869962fa346d1ff5986bea5db3fbe733d61419248e85236a20f552949d2f6</t>
  </si>
  <si>
    <t>202258B01002</t>
  </si>
  <si>
    <t>ad54c1c8e5332c11dad10e5efcd90ed24449cebe0c84a4f8a376c785fd1d748b</t>
  </si>
  <si>
    <t>202259B01002</t>
  </si>
  <si>
    <t>43de4584bf31f6f3eb5ac45221b7e0c8feddba83d8dcac86a8c06a298f5c7eb6</t>
  </si>
  <si>
    <t>202260B01002</t>
  </si>
  <si>
    <t>73a97309c50577ace56edbd2e45389b6f331a70ff639aab11d4779f0d137f0f1</t>
  </si>
  <si>
    <t>202260C01002</t>
  </si>
  <si>
    <t>997c4fcab5455914b32024fcf4efb7bd9e21bc57a5790244f9b79829c318ee03</t>
  </si>
  <si>
    <t>202260E01002</t>
  </si>
  <si>
    <t>119130610d69c933cb74cecacf05a796de39c3384fc42016413ccfb317fa2b37</t>
  </si>
  <si>
    <t>202391B01002</t>
  </si>
  <si>
    <t>3205dea8bd8495ccb12707547f9996239c837540ad1795bcd9970f8dcc2d95ae</t>
  </si>
  <si>
    <t>202391C01002</t>
  </si>
  <si>
    <t>809238d8d26eb6ab11a0d8d1d727e4d90f61c44418e89ad3f92b9c2ee74119f5</t>
  </si>
  <si>
    <t>202391E01002</t>
  </si>
  <si>
    <t>76f19e7e15432d939106bf1cb12ec5828fbed64c4a634db290f1727b45194c0b</t>
  </si>
  <si>
    <t>202392B01002</t>
  </si>
  <si>
    <t>d01c8c423aa650f738878707bb155633e852ae0e18c5c793e347d725e04c76c5</t>
  </si>
  <si>
    <t>202392C01002</t>
  </si>
  <si>
    <t>d6000d98d5b8091056816773ba412a86cf689237be20a7b3c99f3d5695cfec2c</t>
  </si>
  <si>
    <t>202436B01002</t>
  </si>
  <si>
    <t>8dc40738ae714efe33da1d4f3b171b0a609cccce92eb1bcdfc22b3bd38edc45f</t>
  </si>
  <si>
    <t>202436C01002</t>
  </si>
  <si>
    <t>76b566d2c3163c3fc04236e2915b3d65e4fc21c5652a330905eff7cbb4704b78</t>
  </si>
  <si>
    <t>202437B01002</t>
  </si>
  <si>
    <t>4b51bda8d8b8a6956b04dd8fca04eb0f73f1634ee05a82e1102d9cd6bda4f64d</t>
  </si>
  <si>
    <t>202437C01002</t>
  </si>
  <si>
    <t>4159ad149b45eb62b3993c6fe672e81d268d447eecce2280dc14705a29b32064</t>
  </si>
  <si>
    <t>202437C02002</t>
  </si>
  <si>
    <t>590c7c6bf2afade06d032a9300008df43559df3c11214e235e361b210535507c</t>
  </si>
  <si>
    <t>202438B01002</t>
  </si>
  <si>
    <t>1d7526db14a6a8c3aad9dd390bdc51794da71df7adf7e6337db56b2a063e6a43</t>
  </si>
  <si>
    <t>202438C01002</t>
  </si>
  <si>
    <t>01637240dde1ca7a5a6b941e08ffa1e5cd7f8c4f56664596460446f6c320250f</t>
  </si>
  <si>
    <t>202439B01002</t>
  </si>
  <si>
    <t>4d9e77e7ecde64fbe0476eea41ab0f6f7f2f1c4cfd99356c608023ccc2eb39d2</t>
  </si>
  <si>
    <t>202439C01002</t>
  </si>
  <si>
    <t>5a8cf2910035315ba345ae1725335d167df33a2f213329bc52c7b96bace30051</t>
  </si>
  <si>
    <t>202439S01003</t>
  </si>
  <si>
    <t>a9b35aa8ec2631aba1c967d3417c2866bb4439ac0c06b5c37714cdcfa0a0cde4</t>
  </si>
  <si>
    <t>202440B01002</t>
  </si>
  <si>
    <t>23a2c1f0ea578b5636638eb5d13384dc6a6fb7bfe5d2f00a790b936c001a5e25</t>
  </si>
  <si>
    <t>202440C01002</t>
  </si>
  <si>
    <t>32eb266c917d02d9b4664b2338575ef1d0386695dacc44c4ad4fa619ae404ee3</t>
  </si>
  <si>
    <t>202441B01002</t>
  </si>
  <si>
    <t>d0217575655cc4d6b4a75ad377b67b12f629d1ef5776e0cfd8e2b19d2d836c6b</t>
  </si>
  <si>
    <t>202441C01002</t>
  </si>
  <si>
    <t>2aec8b289ebee1c4c2d990bd4a4762ea81df4ee0ca773e4a2e6fa1b6ab78288c</t>
  </si>
  <si>
    <t>202441C02002</t>
  </si>
  <si>
    <t>4e8afa84c067a863d9999cf629d107337f5967fc271cf317f4136e2b9921975c</t>
  </si>
  <si>
    <t>202442B01002</t>
  </si>
  <si>
    <t>7a961a22efd2782a353a70a682a4cd5fe3814a879b4742cf2babc670c6efc18f</t>
  </si>
  <si>
    <t>202442C01002</t>
  </si>
  <si>
    <t>e4f84b124ede5738835c102986a8c5a4fabebe11d4479b1f2c814faedfbf9acf</t>
  </si>
  <si>
    <t>202442C02002</t>
  </si>
  <si>
    <t>c0ccef588e68ba2f12bfd83b190b25315533da75b1ac7145544f3b78347afe8e</t>
  </si>
  <si>
    <t>202442C03002</t>
  </si>
  <si>
    <t>40082ee2748137c2cb5685123940f6b808fd162f96db9293002009a69ba855ac</t>
  </si>
  <si>
    <t>202443B01002</t>
  </si>
  <si>
    <t>0db765855b54e1520bf46a83fe7185da38330a23926e13144241ee15e9518226</t>
  </si>
  <si>
    <t>202444B01002</t>
  </si>
  <si>
    <t>9cae322c5ac55fe52b2373560cab36856e179f07fec8301d30fe4e940d85e4ca</t>
  </si>
  <si>
    <t>202445B01002</t>
  </si>
  <si>
    <t>0b49f7c34c61eb43f21ee2acc5aa11fe997f3b22cd2c3b26a9de3bd2b4803ab4</t>
  </si>
  <si>
    <t>202446B01002</t>
  </si>
  <si>
    <t>84954edeae6645f8c219fd70066873e5eef9ae88efe2f16458721b003ec7a591</t>
  </si>
  <si>
    <t>202446E01002</t>
  </si>
  <si>
    <t>aa9109323067e6ed4ca8df59b2c2befd87a9aa7cf8dacc1a1da10e9ce4345ff6</t>
  </si>
  <si>
    <t>202447B01002</t>
  </si>
  <si>
    <t>81b824e84e72902773e86cfbacbd216f2561b91ac0336ba822c6c18571609375</t>
  </si>
  <si>
    <t>202447C01002</t>
  </si>
  <si>
    <t>0b8553546eb7a362e7422c3ebb57867648207499ce0873d3ec2de66ea48db88a</t>
  </si>
  <si>
    <t>202448B01002</t>
  </si>
  <si>
    <t>928de4a81f9cff39a026fa645909d9c1b2e96d1b4f5923f62d662d23f284f705</t>
  </si>
  <si>
    <t>202456B01002</t>
  </si>
  <si>
    <t>756825df0c3c66e3f3af14bcfba6a316979bbbf000c901e3db533d8a220b4f42</t>
  </si>
  <si>
    <t>202456C01002</t>
  </si>
  <si>
    <t>b0341b67dd2d8bffdbce0be3be0e506cdbbecab232712db95bc40dafdb32db8b</t>
  </si>
  <si>
    <t>200378B01002</t>
  </si>
  <si>
    <t>TLACOLULA DE MATAMOROS</t>
  </si>
  <si>
    <t>dc3d23694e4037436d2008ea1c2148f6e58f49c760a94aa78cab44840e5b4e0d</t>
  </si>
  <si>
    <t>200378C01002</t>
  </si>
  <si>
    <t>d24811be5cb321e63df7396580914d2c4e75f17b63bf50d990032099419da43a</t>
  </si>
  <si>
    <t>200379B01002</t>
  </si>
  <si>
    <t>0c1bfa711d23f7528cda9706c338e62071a864b0b546379f9c53860b18fc9670</t>
  </si>
  <si>
    <t>200379C01002</t>
  </si>
  <si>
    <t>f6b862410009bd8d768d4e9f84eb2fb5f0c8615681ea2b62bc3a9dc04b18342c</t>
  </si>
  <si>
    <t>200461B01002</t>
  </si>
  <si>
    <t>4fcfc9d5f24fc684a0bb778ae9390526eea1726be86a1dd74fdac135065c8fcb</t>
  </si>
  <si>
    <t>200462B01002</t>
  </si>
  <si>
    <t>c1496505de260b88cfaa9e2684f24ac4212a0db725606ac18b28adeb25d850eb</t>
  </si>
  <si>
    <t>200462C01002</t>
  </si>
  <si>
    <t>18ae3a30ccfa4cc185eb18a1f194469d4fc235fd1a2060e80562f19b572fce4b</t>
  </si>
  <si>
    <t>200463B01002</t>
  </si>
  <si>
    <t>b47a76da08f7c461f89dbc7c8e691a3f9f63e734aa6fe737451e2bc210d74a85</t>
  </si>
  <si>
    <t>200463C01002</t>
  </si>
  <si>
    <t>7dccd21dda6a9ae0dae5f91073b1945a64be56a23e079b508e6e81afe2886dc8</t>
  </si>
  <si>
    <t>200463S01003</t>
  </si>
  <si>
    <t>c7d2e42ef46ca19fcf9173e8ae33fb331eafe4a22dcd2f16beec178de6c0da1f</t>
  </si>
  <si>
    <t>200464B01002</t>
  </si>
  <si>
    <t>9e10cd1c05e8703b8c0c734115eafbebfcaa9b9e203df9f4926d1265705c0445</t>
  </si>
  <si>
    <t>200464C01002</t>
  </si>
  <si>
    <t>17d66f649c02cd321e75d94643a79b5b2c27a1c8331a39099746da9efc0bbf29</t>
  </si>
  <si>
    <t>200465B01002</t>
  </si>
  <si>
    <t>7461e30c88e4c20e53baffe2463f7ac9aea1ae3fe54eab1161491507735778fb</t>
  </si>
  <si>
    <t>200465C01002</t>
  </si>
  <si>
    <t>22254997f1c8d97400bd1d378343b6026c4860bc84c8f244ccd34cecb5512bda</t>
  </si>
  <si>
    <t>200466B01002</t>
  </si>
  <si>
    <t>654dfa4e521ad32ea6111cba543e1ff0c9bfa88ee0f0aafde3b7733a297f429a</t>
  </si>
  <si>
    <t>200467B01002</t>
  </si>
  <si>
    <t>30906290e96dcccde9503c9c7fb2f70943b26a8c7fd2dbd07a696ffade595c3a</t>
  </si>
  <si>
    <t>200468B01002</t>
  </si>
  <si>
    <t>aa40114f224d83ac4e6730bb17a8279238aa62f09ac30a23cc4cdfd14970dcca</t>
  </si>
  <si>
    <t>200668B01002</t>
  </si>
  <si>
    <t>c9b2816cffe49ed1be2873636b26ca960937aa331057e14e59ab6136ddcd548c</t>
  </si>
  <si>
    <t>200668C01002</t>
  </si>
  <si>
    <t>775d49cdf4d971054f96be97cfacf146799ab0a3707cd523750a701ced07576c</t>
  </si>
  <si>
    <t>200792B01002</t>
  </si>
  <si>
    <t>d10088f59acbed37212ef12dea02cb002a9f4977c1c6b282c9e70b57847910c7</t>
  </si>
  <si>
    <t>200792C01002</t>
  </si>
  <si>
    <t>6d5a7a2d79886f60e5380c355e0e3d55289c9bf3301daf5bb09c8fe98064a0f0</t>
  </si>
  <si>
    <t>200793B01002</t>
  </si>
  <si>
    <t>9d70e3942d3dce32f7325507839c411ae764bacc46f483e21e5e51a6604adb36</t>
  </si>
  <si>
    <t>200793C01002</t>
  </si>
  <si>
    <t>619db2a33df289dd2f9e12875aeec7bf5a0754a79c2f147c58981dae6f8f13b2</t>
  </si>
  <si>
    <t>200803B01002</t>
  </si>
  <si>
    <t>77c3a1853b34c12b9931a5ea1f716148616dee132455e972eae720e35226bdd7</t>
  </si>
  <si>
    <t>200809B01002</t>
  </si>
  <si>
    <t>01d74e3156164aae4637a060fed054336e755bd7b8273550a745db2f58d05009</t>
  </si>
  <si>
    <t>200809C01002</t>
  </si>
  <si>
    <t>3f5aee54aefdbda6239c7400a099b798406373b86a8bbd0c63f506cb7130ecbf</t>
  </si>
  <si>
    <t>200809C02002</t>
  </si>
  <si>
    <t>671e1462327a6351a2ab0162217b07440a6d843355a687d9a935980441383361</t>
  </si>
  <si>
    <t>200820B01002</t>
  </si>
  <si>
    <t>9ad6043e37464813be21b48b0ee42b6006689bceaa5d24cfdf7654dcaacafd1f</t>
  </si>
  <si>
    <t>200820C01002</t>
  </si>
  <si>
    <t>a1419edc495f54674e1974ef090d24a01072d76548aa27fda87618f43d9de029</t>
  </si>
  <si>
    <t>200821B01002</t>
  </si>
  <si>
    <t>effa23dc866bebed5dab104bc59c0ec975509b42fc2449491777aecea87c4a6e</t>
  </si>
  <si>
    <t>200821C01002</t>
  </si>
  <si>
    <t>d91b80abb235c13d857d237f1441835cca3f3c3423618fb8fbc74ff180c4d37b</t>
  </si>
  <si>
    <t>200822B01002</t>
  </si>
  <si>
    <t>b20792bba515c3c3a51740ecab9651d426b666fe707348cf1993a83cfed26ec7</t>
  </si>
  <si>
    <t>200823B01002</t>
  </si>
  <si>
    <t>378cd3fb73932d607daf5f51db609f7d0e68556f5ce7801fe676aa790fcebdfd</t>
  </si>
  <si>
    <t>200823E01002</t>
  </si>
  <si>
    <t>7b0d8ec657bf65d501f16397e4df68c7dbbf03806cc2791afc55f623787950b5</t>
  </si>
  <si>
    <t>200824B01002</t>
  </si>
  <si>
    <t>892cc2e5d37236f99073ab761f537e033ccfbe3765df3375b41e0e7f22def610</t>
  </si>
  <si>
    <t>200824E01002</t>
  </si>
  <si>
    <t>cf4055c0a6600f8ecff76963e46b8dcd6bdc9289ea700c379ce75244591af3b4</t>
  </si>
  <si>
    <t>200824E02002</t>
  </si>
  <si>
    <t>e65cfe8a8dd285c7eeaba0d79ea0fbaa33a5fb62023837077ccebf7cf0a56817</t>
  </si>
  <si>
    <t>200825B01002</t>
  </si>
  <si>
    <t>bb186333ab0cc0cd46f4f60e072af799127baf7f77b8cf1118f8bb0548f603cf</t>
  </si>
  <si>
    <t>200825E01002</t>
  </si>
  <si>
    <t>651ddcdf023115f587e1b434e52acb95c7fb20cf131da6c7670f5f2d708e560d</t>
  </si>
  <si>
    <t>200826B01002</t>
  </si>
  <si>
    <t>667f6026786a648dc731eaee336315d8a3b9fc9fb942caf42a78b2f074d739ff</t>
  </si>
  <si>
    <t>200826E01002</t>
  </si>
  <si>
    <t>8d1b149ec9b4f79e6bdd49d931e5e789c3a1e20aa60acfc0ed050a66835db144</t>
  </si>
  <si>
    <t>200827B01002</t>
  </si>
  <si>
    <t>95b4c7d08954883faeebd17f44c74b3ce5a58930f599c489232a9145e80b66a0</t>
  </si>
  <si>
    <t>200827E01002</t>
  </si>
  <si>
    <t>0d1c7e474d148bee19274c39d039b5ad1f18f267662815a9a9bc2afc7f6dd16f</t>
  </si>
  <si>
    <t>200828B01002</t>
  </si>
  <si>
    <t>9453e0474deefc057b282f8e3f7bb36c1d7da484950015b588b953c1fd7afa31</t>
  </si>
  <si>
    <t>200829B01002</t>
  </si>
  <si>
    <t>e06b7c618c7a99e1b9e8fd35dbd58709d736540e279f20a152750fc9292c88f6</t>
  </si>
  <si>
    <t>200829E01002</t>
  </si>
  <si>
    <t>86e9fc5110b9e09e69953290c407b37a4aba3cfc77d297ea54352329e5e511d0</t>
  </si>
  <si>
    <t>200829E02002</t>
  </si>
  <si>
    <t>d310ce1ed6bfe7c5503cbe74b323151286fbb0ea8b82310aff715334dfdc4b81</t>
  </si>
  <si>
    <t>200841B01002</t>
  </si>
  <si>
    <t>66a51b0e7145291f19c5321237001eff2409ba5d042be08a8f6f459f46e3b5bc</t>
  </si>
  <si>
    <t>200841C01002</t>
  </si>
  <si>
    <t>261759dbe4a950ed5187f790a410a974d6eeb9b91ea381fc6985f3bbb65ee6f9</t>
  </si>
  <si>
    <t>200841C02002</t>
  </si>
  <si>
    <t>06ff684aab013391aa7068934e9a71b8b399d621a4f17cb288c20b7be8b0e623</t>
  </si>
  <si>
    <t>200842B01002</t>
  </si>
  <si>
    <t>5b8457e6906a1802f6cb93465290d417db1d145eed8e3b5c00ae40a8616bc2ae</t>
  </si>
  <si>
    <t>200842C01002</t>
  </si>
  <si>
    <t>dfe95e789a4cf4a890147137210a9fc23f9d783ce59ba854fa119935da9ba68b</t>
  </si>
  <si>
    <t>200842C02002</t>
  </si>
  <si>
    <t>50f0bf8427f625514c10a22c7f99d3de02597a8778bd57cca76f92bd97fe66ba</t>
  </si>
  <si>
    <t>200842C03002</t>
  </si>
  <si>
    <t>e32cd2f44f328b5aa228e792358ee4ab691f0ddcf52a442e5a2de9c7b7f1ff88</t>
  </si>
  <si>
    <t>200843B01002</t>
  </si>
  <si>
    <t>103eac5e5649fe9be02b725c2efda8a0843cd3e9b897b210777c3c0f7bcf25bf</t>
  </si>
  <si>
    <t>200843C01002</t>
  </si>
  <si>
    <t>257521056047ef6dc72de66e8d8a5fa34e9f3d5a85a36f6e6fe4847f20b5e582</t>
  </si>
  <si>
    <t>200843C02002</t>
  </si>
  <si>
    <t>8d9398c6787737445ba5cd61e5852a01e3dcb642dad45b377abf03b6dd5bb7bd</t>
  </si>
  <si>
    <t>200844B01002</t>
  </si>
  <si>
    <t>1919c703116627d6bacaf2a8c8513bd83a2f193101849a7f4936ae198f4ccb8f</t>
  </si>
  <si>
    <t>200845B01002</t>
  </si>
  <si>
    <t>938453320a86e126d735deb9aa45f58081ee5c795d2823b302258c819b136ebf</t>
  </si>
  <si>
    <t>200845C01002</t>
  </si>
  <si>
    <t>55f7ab061ae4bb9f61e53a2368b961c395669e0a233951d70fda0db358ee10df</t>
  </si>
  <si>
    <t>200894B01002</t>
  </si>
  <si>
    <t>143a8eb2848e54c9e9ea008757d78d90162c591327478dafb408e9b866229aae</t>
  </si>
  <si>
    <t>200894C01002</t>
  </si>
  <si>
    <t>6a35ed9e59d50b2217285286f832734c796e7228545a1622b75f442f257e8974</t>
  </si>
  <si>
    <t>200895B01002</t>
  </si>
  <si>
    <t>a97c46d467a0b65c23e9a8805dfdfad9b19f617ebf80e7630d68978027d5f331</t>
  </si>
  <si>
    <t>200895E01002</t>
  </si>
  <si>
    <t>186336759e33f7976d54d836fd5a5d47484a5d96af3ed4acb34524b2ac763478</t>
  </si>
  <si>
    <t>200931B01002</t>
  </si>
  <si>
    <t>424123bb7d66dc02df823ee64ad936f0b707eeab13a2dea961f19b320467ea65</t>
  </si>
  <si>
    <t>200931C01002</t>
  </si>
  <si>
    <t>8c962c449d9dc0731701a0387966bb9a5837b4016e8e330e26bb9570b8f54804</t>
  </si>
  <si>
    <t>200934B01002</t>
  </si>
  <si>
    <t>a5feb6c753437e32ba851c7880c66344b6122cc2efb5032579ae6505e3f714b8</t>
  </si>
  <si>
    <t>200934C01002</t>
  </si>
  <si>
    <t>34b21400d384e8f80a90070b69c10bb0654d1584d0383d41bf06fd0381f39b98</t>
  </si>
  <si>
    <t>200935B01002</t>
  </si>
  <si>
    <t>efbf0a474ae84d1f9704044eac9d67a948d0d0755fa66931e51bf04ee9f59c0b</t>
  </si>
  <si>
    <t>200935C01002</t>
  </si>
  <si>
    <t>ca0ca2483da86c39b5e548fcae246a8ee9aa73b38e3810f6af2865589ae03d83</t>
  </si>
  <si>
    <t>200936B01002</t>
  </si>
  <si>
    <t>64d0ce5c8cd8b94505fcf3ef662f20d9082b8a85b9b453e63183309c2f6eea25</t>
  </si>
  <si>
    <t>200936C01002</t>
  </si>
  <si>
    <t>965ccd72da135cbc12a12c5ff37c4b3b64f89136167ad7626ee5753ab58375c0</t>
  </si>
  <si>
    <t>200937B01002</t>
  </si>
  <si>
    <t>4a4e6ec0b95c83ddd6f0a78f8aa329bd2ad418de3c71d9cad88c8b68d524b16c</t>
  </si>
  <si>
    <t>200937C01002</t>
  </si>
  <si>
    <t>757fd5b25664ee9d437885f0452964b1c5e943c1c044ab062bfff99979acf16b</t>
  </si>
  <si>
    <t>200955B01002</t>
  </si>
  <si>
    <t>b4a12796ce476c259512d6c11027c1cc1dc762199df0c6f2049d521acf2bd3ee</t>
  </si>
  <si>
    <t>200955C01002</t>
  </si>
  <si>
    <t>037a83fc46bf2698c6eeeddeb45980dce84b839d8068a9192dac988e2d16012f</t>
  </si>
  <si>
    <t>200956B01002</t>
  </si>
  <si>
    <t>d7e2f03077d545de191fcc22d82a894a44fd69536bad8c39efe368345a20af2f</t>
  </si>
  <si>
    <t>200957B01002</t>
  </si>
  <si>
    <t>7456ee0a61d0dfdcb1f3459ee8d219bc1f9b897542e4abd1d99b4666881d416b</t>
  </si>
  <si>
    <t>200957E01002</t>
  </si>
  <si>
    <t>e0b243eb307629c4232423a346ecb7f93d1ca7143f7d0a4f2fb2f9ac8acb991a</t>
  </si>
  <si>
    <t>201133B01002</t>
  </si>
  <si>
    <t>6d5526e0e219e263b21f50613b137647266f676e7f28ace98d33fa86c0fb5ed8</t>
  </si>
  <si>
    <t>201133C01002</t>
  </si>
  <si>
    <t>0e4986a948bfaafea5d1f4374c47865a80a3ac8e3d4d305f31cc370f5b93f60b</t>
  </si>
  <si>
    <t>201137B01002</t>
  </si>
  <si>
    <t>5cf1578ea07d76ea064b0568ca9202c6321ac5f238ce55bd6942b655ca2df726</t>
  </si>
  <si>
    <t>201137C01002</t>
  </si>
  <si>
    <t>78e9a702426b194c7cc61ab6c007ac659c6ea1ef9ca72601775213b975c3e416</t>
  </si>
  <si>
    <t>201138B01002</t>
  </si>
  <si>
    <t>004204e4fc18aa8209be04a6264a1e65efdfea03b3ecc94ddb74d779ded83f45</t>
  </si>
  <si>
    <t>201138C01002</t>
  </si>
  <si>
    <t>331554c5945e5afa9da0e5f9e19fabdf7ea453dd057db60f3170a2820435df89</t>
  </si>
  <si>
    <t>201172B01002</t>
  </si>
  <si>
    <t>3157b32a49fc26929e328bf8a609302791f3158e622052abe97c7560f3076509</t>
  </si>
  <si>
    <t>201172C01002</t>
  </si>
  <si>
    <t>2b1ef8438aebd2a4a2f51c82d2bf0e1a7ac8e6566a4a93ba100404d33f4bb963</t>
  </si>
  <si>
    <t>201173B01002</t>
  </si>
  <si>
    <t>394acb233177e7cbd2c697e064b3c8f22a126c5f504aae40ca9b9f8d1f4ce0d4</t>
  </si>
  <si>
    <t>201174B01002</t>
  </si>
  <si>
    <t>6a2b9d64883a16d07b0230b6aa8887053aa63c9e39528757bd48755e09f39703</t>
  </si>
  <si>
    <t>201175B01002</t>
  </si>
  <si>
    <t>bc417fd90d9ed1b78bd9f2591660706b93cc46202bfbdafcb974b23d1daca52f</t>
  </si>
  <si>
    <t>201176B01002</t>
  </si>
  <si>
    <t>d22aaa8510e41c5b58a157f1b75e7f34144148c59488702ca75b5cb56779ab72</t>
  </si>
  <si>
    <t>201226B01002</t>
  </si>
  <si>
    <t>a83902333a652b91a952bf3b182ce79dc73825658ad3dcd3ecdbeb97a983baf1</t>
  </si>
  <si>
    <t>201226C01002</t>
  </si>
  <si>
    <t>54fd55ffc2bb6932792f9bd9955a82090b9edd41a31be8b2c22fb3d100cb24cd</t>
  </si>
  <si>
    <t>201227B01002</t>
  </si>
  <si>
    <t>b7aed1529fb63d1c7c9126fdd02548dc9c1c4676cd34ddd555e06e15378e3c97</t>
  </si>
  <si>
    <t>201227C01002</t>
  </si>
  <si>
    <t>36a8d7f07eecef19f4c190703bf129c2a7505ff61b89f362b2ff148117e2835a</t>
  </si>
  <si>
    <t>201241B01002</t>
  </si>
  <si>
    <t>50c67bc1ca1abb81ebca4a133934613f1eb0d845dd47d8f75e77022ae82be621</t>
  </si>
  <si>
    <t>201241C01002</t>
  </si>
  <si>
    <t>5b1c62f1f201977794bf63eedc1b8e456184405c75c4500be3cdd13da607c19b</t>
  </si>
  <si>
    <t>201241E01002</t>
  </si>
  <si>
    <t>8122d947c8d11fecbf3622aaf7beb34118764d911b79e1c4b67b2cc5a6f62ebe</t>
  </si>
  <si>
    <t>201242B01002</t>
  </si>
  <si>
    <t>5839ae1c847323ae20fae0d793c3601c95537debfbdeeae858fa7d15e9eca3f8</t>
  </si>
  <si>
    <t>201266B01002</t>
  </si>
  <si>
    <t>e6164b4fc219832581224a9c703f660bc3184ba8415564c44d3edcfee0ad7393</t>
  </si>
  <si>
    <t>201266C01002</t>
  </si>
  <si>
    <t>8d80be90de8330607b8ce24378daec79133c009e183419a914af742bdff85c62</t>
  </si>
  <si>
    <t>201271B01002</t>
  </si>
  <si>
    <t>8d4666a992de260bfba08b37470c967278039def198e294a0f38a265a3378811</t>
  </si>
  <si>
    <t>201271E01002</t>
  </si>
  <si>
    <t>bbda98288c9be6355e26e102ca893fdb9f520e040ae97d6273bf8766b2becdd4</t>
  </si>
  <si>
    <t>201272B01002</t>
  </si>
  <si>
    <t>27252adc9ac6c93f01f879f3bff876e4b7147a318d144e1b1e9e9f806aaccebc</t>
  </si>
  <si>
    <t>201273B01002</t>
  </si>
  <si>
    <t>2f9eac44eb292863b33976758f5df97bb2f57c73af22f7dcec8e788a79980539</t>
  </si>
  <si>
    <t>201273C01002</t>
  </si>
  <si>
    <t>528d575d3fc6da2764ec10fc51c8c2ac3920b370e7f65a760600593bcfc05395</t>
  </si>
  <si>
    <t>201274B01002</t>
  </si>
  <si>
    <t>edc99c603bf40ac83dce60cf80fee69fb3ba3320cfcd6509fdb9367cfbd031c2</t>
  </si>
  <si>
    <t>201274C01002</t>
  </si>
  <si>
    <t>7dc53179884f0ef1d5953cceda28c496b3af7a3310b8ebf1b5dee47d31a6ed66</t>
  </si>
  <si>
    <t>201407B01002</t>
  </si>
  <si>
    <t>8ccd42a6b008a139151634cb85c158dc925a1f4f4c41e24b5688be0852502f4d</t>
  </si>
  <si>
    <t>201407C01002</t>
  </si>
  <si>
    <t>34fefbd798916081a999e183a56b30426b065d0d64c0389a773b5933605e3e37</t>
  </si>
  <si>
    <t>201407C02002</t>
  </si>
  <si>
    <t>02a28e73f1a80904dbedd0f66d53e39e8437fa403bcccf80f43ba0b1ccff5d1c</t>
  </si>
  <si>
    <t>201408B01002</t>
  </si>
  <si>
    <t>efadb137e546a41df480a4a410f87d79cedcd02225532514ab0823de839242fe</t>
  </si>
  <si>
    <t>201440B01002</t>
  </si>
  <si>
    <t>5978d4c9ae52b423236d5c975815f7e0972bc297af9b9a771bd7cef725edec86</t>
  </si>
  <si>
    <t>201440C01002</t>
  </si>
  <si>
    <t>bbcdaef0b8b5e19026bd175b98ad52f45378c2c496dea38545bf6fdd9d3007ba</t>
  </si>
  <si>
    <t>201441B01002</t>
  </si>
  <si>
    <t>f784c9856871a9edf456404098b7c56f087f42103eee2c41904a7c53cd70b242</t>
  </si>
  <si>
    <t>201441C01002</t>
  </si>
  <si>
    <t>6b024ab7d8d20789889bef38255b59743a7cf40983ac1e74851bdfe183a34e45</t>
  </si>
  <si>
    <t>201441S01003</t>
  </si>
  <si>
    <t>2cba5ab212a3f2a04d9df359b7373f4dff812d258300ba80b2b5028421662751</t>
  </si>
  <si>
    <t>201442B01002</t>
  </si>
  <si>
    <t>fbf551b0c077ffa11ff8f4ecd62297733c242c0316d865e9c03eeb5f361b67cf</t>
  </si>
  <si>
    <t>201442C01002</t>
  </si>
  <si>
    <t>0de2a30b4caa5ba79b981aeda2ae44aa76ef991b316f3b7bcee57511963fc403</t>
  </si>
  <si>
    <t>201443B01002</t>
  </si>
  <si>
    <t>3cfd9b7117e3f639a6e5a63f4599ed1d3e889bed202f2e028639c4f3c5b9c672</t>
  </si>
  <si>
    <t>201443C01002</t>
  </si>
  <si>
    <t>c73e92c7d6f1279940b06642806f7a84a405521f2a5cfd01e402bd11506360a9</t>
  </si>
  <si>
    <t>201443C02002</t>
  </si>
  <si>
    <t>b177cc3c593d688ecf12bcdde79f3a492c98c8fc88fd22acd05656146f840f51</t>
  </si>
  <si>
    <t>201444B01002</t>
  </si>
  <si>
    <t>9224f36b909a1a8ec149312baf0844c2ec37df044d213ba995789502f3b938c2</t>
  </si>
  <si>
    <t>201444C01002</t>
  </si>
  <si>
    <t>b0fd26774e0c34c4e6f64c1669a007e0ac8f8a1f381cd489f5f086fa43cd61e8</t>
  </si>
  <si>
    <t>201444E01002</t>
  </si>
  <si>
    <t>6fa4b20f699e0c00cd75c3c8fc570f7545fc886fcdb82377bbf7f4bf6bae5052</t>
  </si>
  <si>
    <t>201445B01002</t>
  </si>
  <si>
    <t>7dfd21eaecbdb20d3a71d2024b033778acad0dd9e473938b535cde866574278d</t>
  </si>
  <si>
    <t>201446B01002</t>
  </si>
  <si>
    <t>d69bc4a064a591a284f46ddcc84f26b041afe31bb873b0b2009a4fad8e2f2bd4</t>
  </si>
  <si>
    <t>201447B01002</t>
  </si>
  <si>
    <t>0fb5da86b12a4cb8bbc9f18270fac1000bee542d72cedbe2ad0cdd557c43dd0d</t>
  </si>
  <si>
    <t>201447C01002</t>
  </si>
  <si>
    <t>e8104bcc1a3af59bd5e8f589c8300b649a5dbbd70dc998718836291558571504</t>
  </si>
  <si>
    <t>201495B01002</t>
  </si>
  <si>
    <t>1e54cadb293b61ec1fc9a749b649021e1fefcc311eba622d44e9066d9c7a3042</t>
  </si>
  <si>
    <t>201535B01002</t>
  </si>
  <si>
    <t>f4acb8b5e8046bcfd402d3e03d83e12f56d6ac6b1e487ba0dd0ed937af4afe7b</t>
  </si>
  <si>
    <t>201535E01002</t>
  </si>
  <si>
    <t>3989e0941cb732544c5ca8b8c66ec19b90697c586ae35f1e7bb9d8a8c122ca97</t>
  </si>
  <si>
    <t>201536B01002</t>
  </si>
  <si>
    <t>e5cb7fd601371a20affda7efb31578d351283a5c47ad6600ffa37f50b8b3241a</t>
  </si>
  <si>
    <t>201536C01002</t>
  </si>
  <si>
    <t>0c01a6886917bc13affc3db4e96d76a76547c006ac5d4d600b4c13eca828d5f6</t>
  </si>
  <si>
    <t>201537B01002</t>
  </si>
  <si>
    <t>23057a0ea836536047b5f526cb2200367fa54d9092bcc77f7874b53412b9875c</t>
  </si>
  <si>
    <t>201537C01002</t>
  </si>
  <si>
    <t>cf1413b297a359b93ff072878dbdee66e7219e0e4b2cc180ae6326230a7b6f65</t>
  </si>
  <si>
    <t>201537E01002</t>
  </si>
  <si>
    <t>ea323971f06ea7d07ef46e90431eab666eea51b5457cde1d5a20cf2f8d389ab4</t>
  </si>
  <si>
    <t>201538B01002</t>
  </si>
  <si>
    <t>466930a27531b8a47becf7f8dc1802e8ecfa0fd73a286a8c1e1147954c40187f</t>
  </si>
  <si>
    <t>201538C01002</t>
  </si>
  <si>
    <t>50a1e420af3ec44b4c2606a29b71358f8c02044fb7687a462098fdf520419cce</t>
  </si>
  <si>
    <t>201539B01002</t>
  </si>
  <si>
    <t>98643860d0b695673dd2b81c9e09cd92e4668aad5f9cc661b9e649885886d797</t>
  </si>
  <si>
    <t>201539C01002</t>
  </si>
  <si>
    <t>ce56b7e5e4cb5cb56e2bca7e2e72cc4761727a36ad5fe0e4c0fd96d91da1ebb7</t>
  </si>
  <si>
    <t>201539C02002</t>
  </si>
  <si>
    <t>1412ff997cfee6704434e3d87f352e1ada09ddda0fb077c5c64bbf73fcf15ef8</t>
  </si>
  <si>
    <t>201540B01002</t>
  </si>
  <si>
    <t>cfc425f39ff76b4711d5c19d3606ad5253616dbea2c1675d28b0998e2e49686e</t>
  </si>
  <si>
    <t>201540E01002</t>
  </si>
  <si>
    <t>c1ec9e17b139cded5ce67535b6bc08cdf4584a003824e6b1ef15ccde29ab9fd4</t>
  </si>
  <si>
    <t>201540E01012</t>
  </si>
  <si>
    <t>b6ae069efccfb05a6d2e81fbf6a3233fc92a48496b995eb31f66e9e097a3b781</t>
  </si>
  <si>
    <t>201553B01002</t>
  </si>
  <si>
    <t>2237cc52b9576c39fda1fc0efecaaf1cc2ab3f4d1094483854c3a8b1ee6054d3</t>
  </si>
  <si>
    <t>201553C01002</t>
  </si>
  <si>
    <t>fcbd42725ddcab4e7bdc7f24446b578409190e6ce94b5fa86904b5244a5418cf</t>
  </si>
  <si>
    <t>201561B01002</t>
  </si>
  <si>
    <t>043c40d66e96dcd67b22d264c6ea28781ce06f7efb2873e6c8d4a74c59ff5180</t>
  </si>
  <si>
    <t>201561C01002</t>
  </si>
  <si>
    <t>2d718b56c33e80c5f7f0379f6b97456696a659d043148dfbe8cb9769caf73de1</t>
  </si>
  <si>
    <t>201562B01002</t>
  </si>
  <si>
    <t>03efe239f10524f2fe4f37de83ec95fad82a663463000e3da89a77248b5c69a3</t>
  </si>
  <si>
    <t>201563B01002</t>
  </si>
  <si>
    <t>8f9c5c5e26c6fa405cc82d6130ff100bace5034d225ac7851b3248636f15eae0</t>
  </si>
  <si>
    <t>201606B01002</t>
  </si>
  <si>
    <t>7134ebbca030a67f5bef8382e0e0f0b9c15e6de3ae765fd1ce3250202edf8003</t>
  </si>
  <si>
    <t>201606C01002</t>
  </si>
  <si>
    <t>4d9bfb252f1908ed8ab7462a9ff821e121680ebb81bc2c616abbf6541ede4960</t>
  </si>
  <si>
    <t>201606E01002</t>
  </si>
  <si>
    <t>6d7ebbce12272c47c436c26164018b9f4bec2c121485bff765cdd4683cabc841</t>
  </si>
  <si>
    <t>201626B01002</t>
  </si>
  <si>
    <t>13fba4a14edd02137d06fa0f48f30737fc3251cec9c42bf2618bcbfd34b74294</t>
  </si>
  <si>
    <t>201626C01002</t>
  </si>
  <si>
    <t>d0d9ded3d1b22b921a92508c43130a99b0919f12fd1ac2406dae05a5eb748fd5</t>
  </si>
  <si>
    <t>201626C02002</t>
  </si>
  <si>
    <t>2b6651b02ac1c6d5016498463d8b7928808dfb8f9d46a6188d87a33cfc0d046c</t>
  </si>
  <si>
    <t>201644B01002</t>
  </si>
  <si>
    <t>74ab6ae79c3ca2cfbb4707207945d2482d68c72930aa7c54c7e57241c32daf07</t>
  </si>
  <si>
    <t>201644C01002</t>
  </si>
  <si>
    <t>594ab481316168c328d6d03a735f94f77be29aa1ad6f2f0fd7b44c4855a6b00c</t>
  </si>
  <si>
    <t>201645B01002</t>
  </si>
  <si>
    <t>a81c4a4e557148268f85e4d62212574a7e21d3dcc767cb3335ba4194bd1aaa60</t>
  </si>
  <si>
    <t>201646B01002</t>
  </si>
  <si>
    <t>0913f68f5d6c2318651c1bd9e96bad4738958e7922faf51cf8cfd0cd79d93eca</t>
  </si>
  <si>
    <t>201673B01002</t>
  </si>
  <si>
    <t>251edff77d785b4623a0c7fad0bc4f3dd89f13683a1d1d1850b939689d81e611</t>
  </si>
  <si>
    <t>201674B01002</t>
  </si>
  <si>
    <t>ab59119afb47eca0bd6e7062d4f1d968f638cdf1c5ffa010629646331fcd6453</t>
  </si>
  <si>
    <t>201703B01002</t>
  </si>
  <si>
    <t>eaa6499531e13550a9c3a0b639cb49f2141b29d208f34de536df26e165acdd3a</t>
  </si>
  <si>
    <t>201703C01002</t>
  </si>
  <si>
    <t>0af4a67437e43bdb423e9f3fbfa1f4c358638ba0a8e9d92793f88ecc8e449b56</t>
  </si>
  <si>
    <t>201703C02002</t>
  </si>
  <si>
    <t>6bfcd7829feb62a4b0d27088b8751f5a73c556b20664174382e10c2a12d6e564</t>
  </si>
  <si>
    <t>201829B01002</t>
  </si>
  <si>
    <t>2aac47de1e6f585e14c337d3a076ab7b2953a18a3ea7354e3408ad80e138e6bd</t>
  </si>
  <si>
    <t>201829C01002</t>
  </si>
  <si>
    <t>90aec4c5b72c13315d3ea10030ddda333f4ec2849ac901e1d961492f56b7be49</t>
  </si>
  <si>
    <t>201829E01002</t>
  </si>
  <si>
    <t>c2500409b3dbd55ba36cd5f9c334ad411deab3042dda9f10543a4f5977c3316d</t>
  </si>
  <si>
    <t>201830B01002</t>
  </si>
  <si>
    <t>0589778ab44a0e6a03a800d7b403679eeb1f4960d545431505b250d4e8067342</t>
  </si>
  <si>
    <t>201830C01002</t>
  </si>
  <si>
    <t>39d5d473f5ec5c63560065a6540e38ad7081eff7fe2c51cba75a4eb7b4e025db</t>
  </si>
  <si>
    <t>201831B01002</t>
  </si>
  <si>
    <t>da3a3511f022ca70aa45a3b99e0159eb2c5c632d69f5c03baceb55c96bdb47ce</t>
  </si>
  <si>
    <t>201831C01002</t>
  </si>
  <si>
    <t>30e657fcf0b4fc9c83dabde1b751cd2873becbd0e81db53f596c04bea439e26e</t>
  </si>
  <si>
    <t>201832B01002</t>
  </si>
  <si>
    <t>33d7075a071019aa08457c31d00f848aac4f13f7e643d9a084c2bb225e3e97f7</t>
  </si>
  <si>
    <t>201832C01002</t>
  </si>
  <si>
    <t>39b79eb8b9433a952a642249a38a999bb53f98e699116cac9954adf48eba2190</t>
  </si>
  <si>
    <t>201832C02002</t>
  </si>
  <si>
    <t>3a55cb974707a96f0c0ba4f4f554a5e5bce18d54d49b95e02f64a2fe9456d7c4</t>
  </si>
  <si>
    <t>201833B01002</t>
  </si>
  <si>
    <t>4022ab77a7dc524b2df84cfd36818f8c734df6c7ecec34a37b5084cf33f87e25</t>
  </si>
  <si>
    <t>201833C01002</t>
  </si>
  <si>
    <t>78556a624271ebb2b1a47589a2b1ddee91c3e79360acd49b5cb0ed07b9f5425f</t>
  </si>
  <si>
    <t>201833S01003</t>
  </si>
  <si>
    <t>7420c1ffde6c7e9e211517ffb631d9517c3e111a384d1e53616a77bf78cc2d91</t>
  </si>
  <si>
    <t>201838B01002</t>
  </si>
  <si>
    <t>8365157707e752c8bc13a19c43dbf56da950d5eba8707ddc36d4e15022a1dae4</t>
  </si>
  <si>
    <t>201903B01002</t>
  </si>
  <si>
    <t>04f7e0502fce0253ae29fdc014753aa8a6a5f75bd44a4936900648b11657f531</t>
  </si>
  <si>
    <t>201903C01002</t>
  </si>
  <si>
    <t>a12b17d7345c9537f601f1b0661ad119f0684289b14b3344243d35402a69229a</t>
  </si>
  <si>
    <t>201951B01002</t>
  </si>
  <si>
    <t>e0cd83161480b09e2e8c83a6e0a0c4964c93d48450a285fa2d40db6f806da21a</t>
  </si>
  <si>
    <t>201951C01002</t>
  </si>
  <si>
    <t>9813de30c00f1c34c9f2d8ba08ba0f262411b97dcd65e0fb648a30e215f70c8e</t>
  </si>
  <si>
    <t>201952B01002</t>
  </si>
  <si>
    <t>4a0e9773c7368f959325b401e6395839d987ef033ddc84adabf919848cac0721</t>
  </si>
  <si>
    <t>201952C01002</t>
  </si>
  <si>
    <t>2b52f1560471aec43b0c5df7c65aaf7975a7e44c33e0f6bdd2db59334d85fe5a</t>
  </si>
  <si>
    <t>201953B01002</t>
  </si>
  <si>
    <t>0f329ec273a06d898270501a68b45d61df26240c0ae869c08d610bbd3b70d076</t>
  </si>
  <si>
    <t>201954B01002</t>
  </si>
  <si>
    <t>392f5b1003d52a87fea65e2f33a23de82902affe84aedf47f1e56c9d1bb2e4c4</t>
  </si>
  <si>
    <t>202065B01002</t>
  </si>
  <si>
    <t>b86f3782be4542ed86cec870bdde0353dfe5953ed79687707b961ed26e1b8761</t>
  </si>
  <si>
    <t>202065C01002</t>
  </si>
  <si>
    <t>f84e1d1f6c68a0f7e4f6316de6e793075a3bdb4c5a57066fb39e9335f789672c</t>
  </si>
  <si>
    <t>202066B01002</t>
  </si>
  <si>
    <t>5f952c92f0700ef18a64bd90fc18f68e8433d679e5b9aed245c20e538d111df3</t>
  </si>
  <si>
    <t>202067B01002</t>
  </si>
  <si>
    <t>a6dca44449fa9319b98a8f81fe844f4f20b32136e2856cd99bb51795db0563a6</t>
  </si>
  <si>
    <t>202067C01002</t>
  </si>
  <si>
    <t>238c2ec052080ee55cf286144668e4e5e50c591c3c7bd70bc2c97477c83b4c3f</t>
  </si>
  <si>
    <t>202068B01002</t>
  </si>
  <si>
    <t>4d7db1537d678cbf62c0c1e2dc03412ec2026e7b809386ada632e705f06090f2</t>
  </si>
  <si>
    <t>202068C01002</t>
  </si>
  <si>
    <t>02b626eb62f1114c1d0937c58c99abbebc574ef75954e2bb99261c7538573881</t>
  </si>
  <si>
    <t>202069B01002</t>
  </si>
  <si>
    <t>af6120a6d7a1fa8335072dc1c172ef743b58a8cfe3a49bb4d66e1d300b2fcebd</t>
  </si>
  <si>
    <t>202069C01002</t>
  </si>
  <si>
    <t>5a1f1ef65aa3874e78db366c840c38d844853a24e22fe672d35afe397e82fab5</t>
  </si>
  <si>
    <t>202069C02002</t>
  </si>
  <si>
    <t>229ed8bcde6bf133f8bd22b5ab95bb3a1bd3471e421e6f25465ca008b9486699</t>
  </si>
  <si>
    <t>202069C03002</t>
  </si>
  <si>
    <t>47094c2e292a9d87de696e6bfeb9993e199d28df59917487c033fb5600ff22fd</t>
  </si>
  <si>
    <t>202069C04002</t>
  </si>
  <si>
    <t>ac0e631b22bb5718bd4d34b172e056a5b20a19ec6a27fbd5863958035e3ba5fb</t>
  </si>
  <si>
    <t>202172B01002</t>
  </si>
  <si>
    <t>81cbdd24d24e243dde93d5af4c34a57a1953709b31bbf561383ab85d7380f12a</t>
  </si>
  <si>
    <t>202352B01002</t>
  </si>
  <si>
    <t>e0bfc2d2315adf8ed752589aa1f62e2e89b621b2c27ce6e249c72f00bc5e2704</t>
  </si>
  <si>
    <t>202352C01002</t>
  </si>
  <si>
    <t>bd876724f55a0265b2da476abed2d7becc4c1355f06ad9e501f65af197a290ea</t>
  </si>
  <si>
    <t>202352C02002</t>
  </si>
  <si>
    <t>ef517358f04c9831e0078fb8f03513e512bba7630c73b8f607bcfa31eebba5fb</t>
  </si>
  <si>
    <t>202352C03002</t>
  </si>
  <si>
    <t>ceffc6c5077ccd94d5c08170e668ed8c14f02a9a1d0660f39368b471570b7c7b</t>
  </si>
  <si>
    <t>202352C04002</t>
  </si>
  <si>
    <t>552d3e3e1bb57f8cf435f78e405c5f9e70784b3adbb401e93028e4f2e0c8cda7</t>
  </si>
  <si>
    <t>202352C05002</t>
  </si>
  <si>
    <t>55517beccf9ffe0276bc58d924c1c8d3f45d352223d900bf6c6dcf0f8f4aadc8</t>
  </si>
  <si>
    <t>202352S01003</t>
  </si>
  <si>
    <t>e063995018becd2aa68a15b2b28e6ab20f866ced8a6d20ef58f1fa16b18b1cc4</t>
  </si>
  <si>
    <t>202353B01002</t>
  </si>
  <si>
    <t>e26fcb4fa2d22e4ce347c634f6606b28173aeaee7dc95f93e421e8fa7fc3ae59</t>
  </si>
  <si>
    <t>202353C01002</t>
  </si>
  <si>
    <t>59fd9434bce2d75271233d6aa1202a0f6d1bedf90af13744d269c7889b3bd5a7</t>
  </si>
  <si>
    <t>202353C02002</t>
  </si>
  <si>
    <t>5957a0e17d8edf7abebb268a3e967f352d7306a337bd9e701a374662c050b72d</t>
  </si>
  <si>
    <t>202353E01002</t>
  </si>
  <si>
    <t>971581df99949328ae0fc9374b68ada8b750c5b585d8b9a98b84aafc5ed09ca5</t>
  </si>
  <si>
    <t>202353E01012</t>
  </si>
  <si>
    <t>9a0dd52976fa56d6b266d7d71c180b311f7b9f86c651beb8f87ad08d2670b408</t>
  </si>
  <si>
    <t>202353E01022</t>
  </si>
  <si>
    <t>983625f096d00d07ace7dd868b021dfc52301ed5ce4576e00e240a4b42be08b1</t>
  </si>
  <si>
    <t>202353E01032</t>
  </si>
  <si>
    <t>725a3f3975537ebe43b09ea7f0c2265f0affabf463824ff29da85df0dbb7f3fe</t>
  </si>
  <si>
    <t>202354B01002</t>
  </si>
  <si>
    <t>56c0b53aa9f4d3c968c37dc8571e1932b0636cd3f27b62bf3384b9f32b9678f2</t>
  </si>
  <si>
    <t>202354C01002</t>
  </si>
  <si>
    <t>1ed002692d151c462a376a544d0ec4cddcdc3fe30dc6dd350dfae77656af6237</t>
  </si>
  <si>
    <t>202354C02002</t>
  </si>
  <si>
    <t>b224e95c4976249047788a63813420f751597975eddf626687b9e0c24680d4d7</t>
  </si>
  <si>
    <t>202354C03002</t>
  </si>
  <si>
    <t>e4400ef7fb0f20ced29790f86d16b90d634b605bb4c5ef309335abe742d3231a</t>
  </si>
  <si>
    <t>202355B01002</t>
  </si>
  <si>
    <t>ce4c2f4efc1a4e78849c0719703d375f4f63cb29594597eb2303230817867129</t>
  </si>
  <si>
    <t>202355C01002</t>
  </si>
  <si>
    <t>c23414bd4e887ec0c0d8378cd8f36daf07b74672305e9276e9ccbde5e5a935bd</t>
  </si>
  <si>
    <t>202356B01002</t>
  </si>
  <si>
    <t>8957a9d9f88ce229b9d51265892c2e88359997713a4a061c8e59ccf3f9f7de8e</t>
  </si>
  <si>
    <t>202356C01002</t>
  </si>
  <si>
    <t>79345a0cd5d9760e6b8cf971d90fc11f7ee64a8ca23c3eb89ed413708cfd5f1a</t>
  </si>
  <si>
    <t>202356E01002</t>
  </si>
  <si>
    <t>02b228d135d1a24a7aa5cbe68635c3668746d12149722b90a365191714daadaf</t>
  </si>
  <si>
    <t>202357B01002</t>
  </si>
  <si>
    <t>6bf9c3e9bde55753ba83502efa3d53cf3c1136f35fb25485267de5bc0a87725d</t>
  </si>
  <si>
    <t>202357C01002</t>
  </si>
  <si>
    <t>0e83111d5cb6a612f8ad40cc77d0b12e387a59f8b451c79a88c44de9bca7e21a</t>
  </si>
  <si>
    <t>202358B01002</t>
  </si>
  <si>
    <t>6bb3d33b4a2a882d9d7617e22b1491c07e2d524b114a4552498c4efee1d026f1</t>
  </si>
  <si>
    <t>202358C01002</t>
  </si>
  <si>
    <t>9a2f9df5e063356a5e72a2b28b0d66326ea9166fe3593e2674330658b2438d0d</t>
  </si>
  <si>
    <t>202358C02002</t>
  </si>
  <si>
    <t>31fc71f491a91aa12c236dfbb20c46e28b355f045e9f572907b1cbeedb66af70</t>
  </si>
  <si>
    <t>202359B01002</t>
  </si>
  <si>
    <t>438d1142d020fce999be3bcfdcb57da1be8dd574f2acbf65ca9196bb52523ee9</t>
  </si>
  <si>
    <t>202360B01002</t>
  </si>
  <si>
    <t>3bbaa68c93cd413ec797cbb86c4b9f68ef660df075b5abdff4e8992a232f8746</t>
  </si>
  <si>
    <t>202360C01002</t>
  </si>
  <si>
    <t>5a17a7c5068e678ae010d81f0284b5fb015a6680f1e1daf2d66bdd9da9d87860</t>
  </si>
  <si>
    <t>202361B01002</t>
  </si>
  <si>
    <t>3f49e5b33c5fed3bd180707669a1447be1dc1648191e84973019fb7963ba2eb5</t>
  </si>
  <si>
    <t>202412B01002</t>
  </si>
  <si>
    <t>f8168d7f4b9e2e4ee0f3c46a10258085e1282cc231917c5af8e7755827675134</t>
  </si>
  <si>
    <t>202412C01002</t>
  </si>
  <si>
    <t>b7a76206b4d2943c666dc8e298947610032f3e1350326682b3155fadbea62860</t>
  </si>
  <si>
    <t>202413B01002</t>
  </si>
  <si>
    <t>ead985c3d2bf400c2492758050dd9cac68d3edbe77e757a2f337caa49282f290</t>
  </si>
  <si>
    <t>202413C01002</t>
  </si>
  <si>
    <t>11160b9165b770bfd0e90e8a3e2a638b83c78d70307274876eaa3a818314c3f8</t>
  </si>
  <si>
    <t>202414B01002</t>
  </si>
  <si>
    <t>70fc300ebbb9574682e74394f93540309b166f63a9286e465e94ca05b30d0246</t>
  </si>
  <si>
    <t>202414C01002</t>
  </si>
  <si>
    <t>18f577369a24b2c93da36a87cf3b72395d876969559feeb37fc773ee3b1fc9e1</t>
  </si>
  <si>
    <t>202414E01002</t>
  </si>
  <si>
    <t>0c06beb6f5b5dd7d8191fa101450ae6d00c81ebd96d1fa1ee9678523a413b5d7</t>
  </si>
  <si>
    <t>202415B01002</t>
  </si>
  <si>
    <t>d566b5e75d51598d9b88134a1a0366e023098dc4040d5b5946d9152e9092fec5</t>
  </si>
  <si>
    <t>202415C01002</t>
  </si>
  <si>
    <t>797ecf03bb244cf0bb7ec647da30f81d595891d1c7a7cd4870ba629cbaf54e59</t>
  </si>
  <si>
    <t>202416B01002</t>
  </si>
  <si>
    <t>11cf504c0dfbe4ad43f24a9081ac350253a1ebb3c570f54c78b460561a41f7da</t>
  </si>
  <si>
    <t>202419B01002</t>
  </si>
  <si>
    <t>7b2db000256a6f900db483231bc07e919d852fc3e15da0a1f7e09522577289a8</t>
  </si>
  <si>
    <t>202419C01002</t>
  </si>
  <si>
    <t>edf888e151f88a8bd5a16077ea8be418f2869d23223e46fdfcd57da45d3c3cf7</t>
  </si>
  <si>
    <t>202420B01002</t>
  </si>
  <si>
    <t>dd457f4556b26d571ebdf2eb50350a151a178bca2ced20645bf1ac1a305c8e4e</t>
  </si>
  <si>
    <t>202420C01002</t>
  </si>
  <si>
    <t>20644055f1cca152e0c1a8ee5022a3978713c4e2c9a6b32bf1ac2f489f2898a7</t>
  </si>
  <si>
    <t>200068B01002</t>
  </si>
  <si>
    <t>SANTO DOMINGO TEHUANTEPEC</t>
  </si>
  <si>
    <t>4e7300f9373b4de698139f4f40426a725aa857a321847d2e439d1a1f48ebfef6</t>
  </si>
  <si>
    <t>200069B01002</t>
  </si>
  <si>
    <t>96a226cfdbbd90faeff831c3d957a48e9d7699cf27a35eea50e8fe60b79302f9</t>
  </si>
  <si>
    <t>200194B01002</t>
  </si>
  <si>
    <t>855aa55835355da71c33d7100c0f473af597b7307a852407f41c99b6082638c9</t>
  </si>
  <si>
    <t>200194C01002</t>
  </si>
  <si>
    <t>9e6828b74b3fc419ec48996e689c318377cc56fd62b762162c9f1848503497a6</t>
  </si>
  <si>
    <t>200195B01002</t>
  </si>
  <si>
    <t>bb9fcbdbcfe2c0ebd76c3c06d49ca352d13e11874a77145dcba9eff87b41fb91</t>
  </si>
  <si>
    <t>200195C01002</t>
  </si>
  <si>
    <t>e760ea5245b26ff7505730023619539d41393ed2d9cf6d3978c035e1fd30769c</t>
  </si>
  <si>
    <t>200196B01002</t>
  </si>
  <si>
    <t>e095aac553c4f4222f5bc7eba302820f35593ed0143ccf2f2fc793eb1a38c84a</t>
  </si>
  <si>
    <t>200196C01002</t>
  </si>
  <si>
    <t>4207754b33020149f24fa5515acac639b96d6913edadd790b7eb86055d8fb736</t>
  </si>
  <si>
    <t>200197B01002</t>
  </si>
  <si>
    <t>5fd9466419b7bcfbccec739c1eb93a3ac1d966e687c7ae5391dabf7a0191f46f</t>
  </si>
  <si>
    <t>200380B01002</t>
  </si>
  <si>
    <t>0523647b2de1b94f35fd19518f4d3cbbea695206d5740f8b8232844aaab1bb5f</t>
  </si>
  <si>
    <t>200380C01002</t>
  </si>
  <si>
    <t>40a83da3d1228422d80cea71d447b02adf12e71f0e1f4da30886ce97fba09ded</t>
  </si>
  <si>
    <t>200381B01002</t>
  </si>
  <si>
    <t>896ae0077603357a972d96d9fdfbb555067112bc262f50e4da0f9a9fcfb3fcf0</t>
  </si>
  <si>
    <t>200381C01002</t>
  </si>
  <si>
    <t>b8ff218fe68fdfc98b131f07349d04154b27ff93c9d7939dcfa3a70432938916</t>
  </si>
  <si>
    <t>200382B01002</t>
  </si>
  <si>
    <t>23df63f2d8d5e1ceabb1ac53c4d93844f027348fb4b6cc2f2cc7fa85e40b92da</t>
  </si>
  <si>
    <t>200382C01002</t>
  </si>
  <si>
    <t>12bdf072f2760cefbb9ce4920593b189bfbb8770fdcfec8fb7d3acbd14efd388</t>
  </si>
  <si>
    <t>200382C02002</t>
  </si>
  <si>
    <t>a53dfd4858a477595fbbb3c02e9f40ab61eda3d6cda5f1b8320bb76dd0a8866e</t>
  </si>
  <si>
    <t>200382E01002</t>
  </si>
  <si>
    <t>7309eb80873002b37476051bb9a9a7ca1230b8c55e14ee942fa9255d0a701801</t>
  </si>
  <si>
    <t>200383B01002</t>
  </si>
  <si>
    <t>3bd1dd05f53f0639d261cda18e6bd5338ea127efa6f456672ea1d15071f5d28d</t>
  </si>
  <si>
    <t>200384B01002</t>
  </si>
  <si>
    <t>b8721e5aef18478c1d5507d594a57bb1ec2a13158f466eff034779cb0b2eb5f7</t>
  </si>
  <si>
    <t>200385B01002</t>
  </si>
  <si>
    <t>cf3c6a9fb343fe3089f849c38bbfdd27976b1f96cd7410f03262d96d42290f62</t>
  </si>
  <si>
    <t>200386B01002</t>
  </si>
  <si>
    <t>6177237f0aeb2ecf1739070e090a8ec0540618efa042f834156eac68065a2b08</t>
  </si>
  <si>
    <t>200386C01002</t>
  </si>
  <si>
    <t>f39ed9a804d3871bbd9f95b116316e7f6cf11c6937a080b01c2b935df103dd97</t>
  </si>
  <si>
    <t>201402B01002</t>
  </si>
  <si>
    <t>e38c59fcd7b65e55bfda80b2813994850e1f487a78b53936be9d7fa42e60d59b</t>
  </si>
  <si>
    <t>201465B01002</t>
  </si>
  <si>
    <t>6bd2a41d81148f3b7c79ac076e0ae61b0b512087800cce5a44ec9750b3774493</t>
  </si>
  <si>
    <t>201465C01002</t>
  </si>
  <si>
    <t>6d5f71f635e345b7c1e7bb69a4001b8f044f0b943a939168d307838b9384116c</t>
  </si>
  <si>
    <t>201466B01002</t>
  </si>
  <si>
    <t>b9fb936dc36c54e96bdbef2f3c6d6d8ceccea1836afa93dce02c1338156507b4</t>
  </si>
  <si>
    <t>201466C01002</t>
  </si>
  <si>
    <t>f8f9c79faa961d4730495488d1123d4bc8a495f0792bb997c9f9dcc8f9c958f3</t>
  </si>
  <si>
    <t>201467B01002</t>
  </si>
  <si>
    <t>c028301bb8852bd545c942289f4d1c6503cd17b83477e07bd48526822d045ea6</t>
  </si>
  <si>
    <t>201468B01002</t>
  </si>
  <si>
    <t>4eab1690b6dd5847c4ccf2f0cf1cad3070bea410d51bf290c877e6a1a1ac2745</t>
  </si>
  <si>
    <t>201468C01002</t>
  </si>
  <si>
    <t>fe4ee8a8b34852f5afaf3b03b80f456568c9aa2ae33bb20b33a7f3883af5a069</t>
  </si>
  <si>
    <t>201469B01002</t>
  </si>
  <si>
    <t>9d544f771c27fb682722b0cefb12f757c70038639231546134dd82cfe5e5ce25</t>
  </si>
  <si>
    <t>201469E01002</t>
  </si>
  <si>
    <t>805cbe350883c298d5b6ae12f94aebbdcbda211ed94d2e39f6766e04c8d49b6a</t>
  </si>
  <si>
    <t>201470B01002</t>
  </si>
  <si>
    <t>3b044aa7dd23f633034c9e476809360e38b7fb2c7ec6b75327c783567d0fc81c</t>
  </si>
  <si>
    <t>201470E01002</t>
  </si>
  <si>
    <t>06bdca7129aee0311db9a0ca84f4135d720f4a741849b86f22fae9037316c071</t>
  </si>
  <si>
    <t>201470E01012</t>
  </si>
  <si>
    <t>ac3ad4c33f27b47f783f9edf8744f7f17bce5fe087a73daa706b9392b87dadc2</t>
  </si>
  <si>
    <t>201471B01002</t>
  </si>
  <si>
    <t>7cf73bfc5b130c06296dde1171d2168cb98aeb18d668a7f9b521f56adac57734</t>
  </si>
  <si>
    <t>201471C01002</t>
  </si>
  <si>
    <t>b286e2c6ee3b40f7b3c49d4aaf960769d7f294c2cc30cbcde7d4b39f491d7f69</t>
  </si>
  <si>
    <t>201471C02002</t>
  </si>
  <si>
    <t>123d902e752243495420486df2b048860656ff1493e244b127138a58df01bb83</t>
  </si>
  <si>
    <t>201834B01002</t>
  </si>
  <si>
    <t>aeae5fa919edb26adf6d346a8f464ee619513dc8ffe703e4c224bd5d72577765</t>
  </si>
  <si>
    <t>201834E01002</t>
  </si>
  <si>
    <t>78d28586e0ad6eeacd5d693d0cf80cf9edaf51c2f3257fe22871af95d5e0faa8</t>
  </si>
  <si>
    <t>201835B01002</t>
  </si>
  <si>
    <t>b7eb2bd3fa98f460ee306bb8837aeccbb4bfa39f7a242225c3ab75485cdb2243</t>
  </si>
  <si>
    <t>201836B01002</t>
  </si>
  <si>
    <t>7275efef6acc6b5a20798d017faedc7de75ba9b94f0687a140a941b81bb05893</t>
  </si>
  <si>
    <t>201836E01002</t>
  </si>
  <si>
    <t>60f2b93ee79f37f3e8289608d5bbf5e4a621ad8e758138894d394870f974384e</t>
  </si>
  <si>
    <t>201837B01002</t>
  </si>
  <si>
    <t>4253869d52b57c2b2d1535733def11143004ff1be4250c982e41de9ac2ab17e8</t>
  </si>
  <si>
    <t>201839B01002</t>
  </si>
  <si>
    <t>77eea57b53fa56a1e2e92eba7e040fb93aab656b37404a6adaa84d754f146f53</t>
  </si>
  <si>
    <t>201839C01002</t>
  </si>
  <si>
    <t>8cbb3e9f58b78508521641513dc3eef749e93aa44e5df5ef321073af3cf3d2fd</t>
  </si>
  <si>
    <t>201839C02002</t>
  </si>
  <si>
    <t>acd5c755ff13abb75ad620c8e724e5cdea4323cd7d52aa280eb93c2461ef5fe3</t>
  </si>
  <si>
    <t>201840B01002</t>
  </si>
  <si>
    <t>8b4fb9e81a60dac5717b6b67450fa223844a4f52428db72465b5b7a53f9e8764</t>
  </si>
  <si>
    <t>201866B01002</t>
  </si>
  <si>
    <t>4230522a5bd15604af8b221ccf25117295167f65067715d2e852884fc2792802</t>
  </si>
  <si>
    <t>201866C01002</t>
  </si>
  <si>
    <t>a487d14394b91e9dedfc1f2a55388ab56018f3725afbf4e5eec4761174260eea</t>
  </si>
  <si>
    <t>201867B01002</t>
  </si>
  <si>
    <t>e0d34549296e95e1f4949b417d16c798f9a0bcd8bbb0450603e983fcb0f24079</t>
  </si>
  <si>
    <t>201867C01002</t>
  </si>
  <si>
    <t>4db933fbefa92846c2b5eebd4db6bdb3d56d2f1a36be052ffecf50f84e396c8e</t>
  </si>
  <si>
    <t>201868B01002</t>
  </si>
  <si>
    <t>61f1c20441f90d6acb798069a908a8d9f55feee01f7407e0dc31eb744d70684d</t>
  </si>
  <si>
    <t>201868C01002</t>
  </si>
  <si>
    <t>34d0f5af8576d31468c664e0a877ed71b1c477dbf56f7f350d1cc6b92d415544</t>
  </si>
  <si>
    <t>201868C02002</t>
  </si>
  <si>
    <t>0250113ae3e5342de42063238d6d751aabfa094451ab7b195182d921280aa6e6</t>
  </si>
  <si>
    <t>201869B01002</t>
  </si>
  <si>
    <t>2cf82343b19745d82bea4996583021728e5fe4820b3d270bed53fd9936f9d50f</t>
  </si>
  <si>
    <t>201869C01002</t>
  </si>
  <si>
    <t>6fd9983633ddb2e8dee16b87432a7d877a253061a9a92249efadb29dd9fb340d</t>
  </si>
  <si>
    <t>201870B01002</t>
  </si>
  <si>
    <t>b10fc90a9ab46f967cffd4eb7b245fbd0ec46a5c362e427ab309e10656669fc9</t>
  </si>
  <si>
    <t>201870C01002</t>
  </si>
  <si>
    <t>f20f2e0d332a4b3a3cf4233f87126e81b830e33d438eaa30ccfe694555a2e1b2</t>
  </si>
  <si>
    <t>201870C02002</t>
  </si>
  <si>
    <t>630c33d91fb73e3889385ff1828afe3cbade001f2e1b0f9570be3f35b8ad0c1e</t>
  </si>
  <si>
    <t>201871B01002</t>
  </si>
  <si>
    <t>9f506f7377035cbe58ad9bdf0179a6905dec553cdf5e5bbeaac6b18635b9424d</t>
  </si>
  <si>
    <t>201871E01002</t>
  </si>
  <si>
    <t>1fd330c57db9d9dc56de1853db832460eb13f999ed0b164e2ddfff0d61d10458</t>
  </si>
  <si>
    <t>201872B01002</t>
  </si>
  <si>
    <t>b7f47d8b36c323ad3f819569ce748d5b89e95b89aacb7f04685c9b68eb12aa2e</t>
  </si>
  <si>
    <t>201872E01002</t>
  </si>
  <si>
    <t>5205425dc65d3042918d699968441048367a8de74d4ef69920bfcef07de38f3a</t>
  </si>
  <si>
    <t>201875B01002</t>
  </si>
  <si>
    <t>a188cf443f3247a45340250e600ce7529c3bd4ac82a62f93e29bafe8e1a49c62</t>
  </si>
  <si>
    <t>201875C01002</t>
  </si>
  <si>
    <t>79004d421399181de3721e94c57f2dbcc34d6228b3ee11b3e429ec688b6e87c0</t>
  </si>
  <si>
    <t>201876B01002</t>
  </si>
  <si>
    <t>38e9b3b5a59a2f8e485f0d4935add561e5d45953c8902ec108bd52ae3c1aeb76</t>
  </si>
  <si>
    <t>201876C01002</t>
  </si>
  <si>
    <t>7102af510852c99a7f0143de4d1f8330293f76427807ac5c6b3f75748776da65</t>
  </si>
  <si>
    <t>201877B01002</t>
  </si>
  <si>
    <t>35b76f89675951be40a4daa33309d0023b27e866536a9af6f184830d08e408a1</t>
  </si>
  <si>
    <t>201877C01002</t>
  </si>
  <si>
    <t>7f94912a6baab412922421f4f5ef9390f820c14207c94c81b02659407dc048cd</t>
  </si>
  <si>
    <t>201928B01002</t>
  </si>
  <si>
    <t>ba7146b6823ce2ce77ca726c8f88f085f8556bd9f91263e26508ac9b497fcb89</t>
  </si>
  <si>
    <t>201965B01002</t>
  </si>
  <si>
    <t>82561b78cb06130a7204e41eb5aeb299a3c445de377befa49667a0b272e126f6</t>
  </si>
  <si>
    <t>201965C01002</t>
  </si>
  <si>
    <t>100a6e79cff8a67b8ba84f8189df0554098f1ad94eda9d4eeb3e01e024345ed4</t>
  </si>
  <si>
    <t>201966B01002</t>
  </si>
  <si>
    <t>700ed6312fe4e6be9a94a4161eed93fb22c8b323ec7099c0e1cbc1eac785fe1a</t>
  </si>
  <si>
    <t>201966C01002</t>
  </si>
  <si>
    <t>1f563e3abccfe62e29d9413b372a23fcfea3e2c16200f73273e0c6835170905e</t>
  </si>
  <si>
    <t>201967B01002</t>
  </si>
  <si>
    <t>3852cfec85cdb76176a265e213bbf05861942f7f42f38803e33b16b2bbb0b054</t>
  </si>
  <si>
    <t>201968B01002</t>
  </si>
  <si>
    <t>8998f460fd9ae43e8fde621cc0c9b6f392515fe2b7fcb7c783dc359a2a092cad</t>
  </si>
  <si>
    <t>201968C01002</t>
  </si>
  <si>
    <t>3a177474f6da820afc63dc426afe0be512bc8fb244ab32fdcefa891cb96ddaa8</t>
  </si>
  <si>
    <t>202050B01002</t>
  </si>
  <si>
    <t>c14fe8d41caaca2b6aed0be9911a6532ee0a1f310d588ffa10550e1de3d0dc1c</t>
  </si>
  <si>
    <t>202050C01002</t>
  </si>
  <si>
    <t>5641da83d73975037de451ea4834fa89feabdcea327b34d54e38b5d4f834a6d1</t>
  </si>
  <si>
    <t>202051B01002</t>
  </si>
  <si>
    <t>1445acf75bc0bd01f8002761824be562810d11b054d2db67304bae1f5056a9b8</t>
  </si>
  <si>
    <t>202051C01002</t>
  </si>
  <si>
    <t>d7f0676f496c8568602e3be03f85f1c0097e81688f3b267465f55417d0bd52c8</t>
  </si>
  <si>
    <t>202052B01002</t>
  </si>
  <si>
    <t>6aec4748b03f9af601c8049a4adb2b7e5102816608c09d1c39a052a464ad89cd</t>
  </si>
  <si>
    <t>202052E01002</t>
  </si>
  <si>
    <t>c40f9fcffd0a8ca9657026938a66ae1f08b871ffce117e7a0c3c64404d83900c</t>
  </si>
  <si>
    <t>202053B01002</t>
  </si>
  <si>
    <t>2db4522db59409e23621cf32afb9db51a517b13e587e6c366441889075c4d96f</t>
  </si>
  <si>
    <t>202054B01002</t>
  </si>
  <si>
    <t>af8c5b023467154f1c29b81673c7fe41d4345b2d79cadd89771c07cae2d826f0</t>
  </si>
  <si>
    <t>202055B01002</t>
  </si>
  <si>
    <t>e19df17a1e8c153092b13d70af529edc4737e6aefa91882079f496c98df311b3</t>
  </si>
  <si>
    <t>202057B01002</t>
  </si>
  <si>
    <t>53cd7d0b4d51f32b25af5a5bf1eb5d027e0cbc819200496301dae7b4ece662c2</t>
  </si>
  <si>
    <t>202057C01002</t>
  </si>
  <si>
    <t>b365f188c85f3cc0a23af3995e45e480a459ddd02a5d60ad4aa1740e9f85dba2</t>
  </si>
  <si>
    <t>202058B01002</t>
  </si>
  <si>
    <t>b6eed48f974a400c402690a0245ce8a02d01f4671b4e92c1c2edd7177fdff36e</t>
  </si>
  <si>
    <t>202058C01002</t>
  </si>
  <si>
    <t>4f8007dfdc02aa9a3c50e923eeea54cfefdb8a63b60d6e3865b74e503f376a49</t>
  </si>
  <si>
    <t>202058C02002</t>
  </si>
  <si>
    <t>8f888646c130631e22c355629ad37d4b7693dc9736b0e545b3e9112e54632157</t>
  </si>
  <si>
    <t>202059B01002</t>
  </si>
  <si>
    <t>c57f4ced91553f8472417ee5608058cee306b4166244c478a60f4fefdf1b5d1d</t>
  </si>
  <si>
    <t>202175B01002</t>
  </si>
  <si>
    <t>5b3387f9a27fa8dc4ae2886c640763a332e02a6b43f0fe2f5bb6989a325bb037</t>
  </si>
  <si>
    <t>202175C01002</t>
  </si>
  <si>
    <t>bf8aecf08d7c02c05536f8fef7f9f7855e004305560de3d20521c936d1bb27ba</t>
  </si>
  <si>
    <t>202190B01002</t>
  </si>
  <si>
    <t>9b95574f698f1ffeff903fd8268943a4eeafb673d751db350da0cf1fee39bbd1</t>
  </si>
  <si>
    <t>202190C01002</t>
  </si>
  <si>
    <t>268dc7e1f56441b56ea0450d3af8a39ea7452bfbfd6d9b53830720626d7d7a8c</t>
  </si>
  <si>
    <t>202191B01002</t>
  </si>
  <si>
    <t>04bd139a1c839b1c3bea2929da06e718dab47c91b44a267f23d95756dbdc7a6e</t>
  </si>
  <si>
    <t>202191C01002</t>
  </si>
  <si>
    <t>c959dbdd404df1131317c0c3f2d5755fffbec5fe19bac861b3a7fb55e2069712</t>
  </si>
  <si>
    <t>202192B01002</t>
  </si>
  <si>
    <t>34278be4c5debbd44a49cb3c13bc3322491d5a1359891a61b8598bbe8b2ec9a2</t>
  </si>
  <si>
    <t>202192C01002</t>
  </si>
  <si>
    <t>e121cf7f270c8f199717fceb7eee1dab98ad76acc5a8b3d3c002e5206cbc3787</t>
  </si>
  <si>
    <t>202193B01002</t>
  </si>
  <si>
    <t>febb15f72781940ceb7738f94af9d5c5b02c4475705b89bccd77fcf8e37bc7c1</t>
  </si>
  <si>
    <t>202193C01002</t>
  </si>
  <si>
    <t>1b70cff5c8d4602710a4a350f093610c3f8da8a3c51ffa2d5ebcd1b9e5c5dfa5</t>
  </si>
  <si>
    <t>202194B01002</t>
  </si>
  <si>
    <t>eb2733fac55e0904504952dc6c6354c472b8b5c4bc85e36d1e56793cbc41bc26</t>
  </si>
  <si>
    <t>202195B01002</t>
  </si>
  <si>
    <t>aaef8c5c88d0ac81d58a5e0e538722ad3995198c35a92803dcc9814d8898c4ca</t>
  </si>
  <si>
    <t>202195E01002</t>
  </si>
  <si>
    <t>b29280b8faddbf995303dd694208f60558a17220808f566376b896f67556eee9</t>
  </si>
  <si>
    <t>202196B01002</t>
  </si>
  <si>
    <t>52e59a0b6aa78e33853d14fb67c8cc27671d60fb3c9ad5e97167fe16d63976f3</t>
  </si>
  <si>
    <t>202197B01002</t>
  </si>
  <si>
    <t>a74be042ac8621a17e690749a7a2e4146126388f6f5178f871c492d98669ffae</t>
  </si>
  <si>
    <t>202198B01002</t>
  </si>
  <si>
    <t>72c9ac2d9b2548b553569b1cf68b7a8c11e1686f6760c023ab3ae93652e209a0</t>
  </si>
  <si>
    <t>202200B01002</t>
  </si>
  <si>
    <t>fe462ff4ad3374f49093af7e04deda80ba0357d2648f5768d63a0be33cb675fe</t>
  </si>
  <si>
    <t>202200C01002</t>
  </si>
  <si>
    <t>2fc61d21fe03b65e0e6bdb703208963d93bbabc0de22ccab3a2f553887fd5666</t>
  </si>
  <si>
    <t>202200C02002</t>
  </si>
  <si>
    <t>4fb80c96f798ace1837d1a5c1f8e55fd06369c41724f6bac27a07eb4c06d1c83</t>
  </si>
  <si>
    <t>202200E01002</t>
  </si>
  <si>
    <t>73fafa9870d08d2feee49f6cdaa539a1771f4d8faacc5c83f0ee981d2282223f</t>
  </si>
  <si>
    <t>202200E01012</t>
  </si>
  <si>
    <t>14b05502470dd25e9779319599b8de34403bb3ccc9fe6dddd4776d41ec15c64d</t>
  </si>
  <si>
    <t>202201B01002</t>
  </si>
  <si>
    <t>0c61e5f3b84b28e8b9b3ba8eb19484e503236f477ca1a534370f8e2ca91c3d99</t>
  </si>
  <si>
    <t>202201C01002</t>
  </si>
  <si>
    <t>734937377c12f45da291acd91bd3fa03a66064015b01efd7fbae4999f45663ff</t>
  </si>
  <si>
    <t>202201C02002</t>
  </si>
  <si>
    <t>fd878750a0e7ae30fb7a4b36dcf5e2ef55bdf741fa4fb0fb0f3abe775fa1ce55</t>
  </si>
  <si>
    <t>202202B01002</t>
  </si>
  <si>
    <t>62d0fe12fbc3b454bb7b8a797aec6af3609075d920c076fbebfa79f4552de2bf</t>
  </si>
  <si>
    <t>202202C01002</t>
  </si>
  <si>
    <t>f0f03f555187ab8d932b8421f464fd3f1998af81c7a50f22dac4dc30f3ddab5d</t>
  </si>
  <si>
    <t>202203B01002</t>
  </si>
  <si>
    <t>c483367626c3739fe4c777dccd116ff451613799b3ca092664edbdd759266918</t>
  </si>
  <si>
    <t>202203C01002</t>
  </si>
  <si>
    <t>802d04dbd3116e08a6f441c778d418d02d7e7a551c8a98902e84f3263b80091a</t>
  </si>
  <si>
    <t>202204B01002</t>
  </si>
  <si>
    <t>477106fd96c3676a32139a387e154d4a30b716a8c7a11a20602d994c1bc1b31b</t>
  </si>
  <si>
    <t>202204C01002</t>
  </si>
  <si>
    <t>187e3d520d295ee74721088fe1fdb4470af48cfd846361a41cb7ec4738d2b1ab</t>
  </si>
  <si>
    <t>202205B01002</t>
  </si>
  <si>
    <t>997c90654499440103b6af48cc80538d0640195569f55ee626eca171225fd524</t>
  </si>
  <si>
    <t>202205C01002</t>
  </si>
  <si>
    <t>bca842dbae582c14062b0d15f5020c00fcb369f69e9d1be2a287b509c418575d</t>
  </si>
  <si>
    <t>202205C02002</t>
  </si>
  <si>
    <t>e62b09fb29e89a152c4c0ccca95cac5ac5675522f6faa9ce70ce82fd495955b4</t>
  </si>
  <si>
    <t>202206B01002</t>
  </si>
  <si>
    <t>611ac9f023dfc6e402ec94f2d3099fe22facabf55f2aa3bf61a4f528ce47acea</t>
  </si>
  <si>
    <t>202206C01002</t>
  </si>
  <si>
    <t>0f83306a3bb5b2e09e329edbb7ee9d6f73388b8023e6745e0eeb8b1d89538506</t>
  </si>
  <si>
    <t>202207B01002</t>
  </si>
  <si>
    <t>95b85075e51a403487a6220f8a9ead94fe1679fe47947e0be1ab0493d32a5b7c</t>
  </si>
  <si>
    <t>202207C01002</t>
  </si>
  <si>
    <t>a7a6a19a247963f3d22809c6eff2bffa8af061a086861c087c752112f6c3af66</t>
  </si>
  <si>
    <t>202207E01002</t>
  </si>
  <si>
    <t>96e7f41e1cb4649ef8fef5996b4722681e41444d9bfd37e2dc15305c0307c484</t>
  </si>
  <si>
    <t>202207E01012</t>
  </si>
  <si>
    <t>a4fb20b64cfd020f6fd31c26fb367f9d309b1451f764743fae98a042837dd54c</t>
  </si>
  <si>
    <t>202207S01003</t>
  </si>
  <si>
    <t>591cffa81575dff9719ad105f59c99a4a17ee5b75b2eb4a63b87d25c8d6fb2ee</t>
  </si>
  <si>
    <t>202207S02003</t>
  </si>
  <si>
    <t>92d087b9ad32db1cfad9761dc33315ecd2c7e12d1fe629ff835ce8ec0f0ccdfd</t>
  </si>
  <si>
    <t>202208B01002</t>
  </si>
  <si>
    <t>ad35ded419cb55549330b48781dc879df3112be3f8941b3abdaa1ddbf6cd1309</t>
  </si>
  <si>
    <t>202208C01002</t>
  </si>
  <si>
    <t>ca683d20518da57a636a401f46ba542c5cc8fdf5cd782d357f919e5a8968e90b</t>
  </si>
  <si>
    <t>202209B01002</t>
  </si>
  <si>
    <t>631433214d0ec57204c41cb4607e8c5f4485c11b278f6dd2ebc585a2725cd92a</t>
  </si>
  <si>
    <t>202209C01002</t>
  </si>
  <si>
    <t>329d83ab40b875de7db69f71801d6020961e9f10f9af569516f9f8ee0886a42f</t>
  </si>
  <si>
    <t>202210B01002</t>
  </si>
  <si>
    <t>a3e62b09e8d5d6ae0c5bd1b73f4a11d7dff2e03fdd51095029d8596c224b9e25</t>
  </si>
  <si>
    <t>202210C01002</t>
  </si>
  <si>
    <t>20807ef695c7b8f18f6aba28e608b07b3769fdd9a3edb6d2dd0e7ecf140759d7</t>
  </si>
  <si>
    <t>202210C02002</t>
  </si>
  <si>
    <t>35e95f417590391d31047ff76ffe9e717081e0e5ccbd4dee186ae5ca11b9eadb</t>
  </si>
  <si>
    <t>202211B01002</t>
  </si>
  <si>
    <t>b22cc2d166fd1659b40aff02f4e78c3615a47fecd0e32138122465df1e2e0fa7</t>
  </si>
  <si>
    <t>202212B01002</t>
  </si>
  <si>
    <t>80ca8d9c96901db8637e2ae7b1ace31e73c89e84b66046640ed1226f7ad31afd</t>
  </si>
  <si>
    <t>202212C01002</t>
  </si>
  <si>
    <t>b1b464f8184435af30cd09b82f621874421a397c9c89467dbca4f163adbaa3c6</t>
  </si>
  <si>
    <t>202213B01002</t>
  </si>
  <si>
    <t>e3910b1d09d7ef23209beaf6948c758b1e76afe306d159beda9cb2ec6e90616a</t>
  </si>
  <si>
    <t>202213C01002</t>
  </si>
  <si>
    <t>b657c86332aa2d85570ff441e7ed74d5dd57913c61454fa6d265156bad682885</t>
  </si>
  <si>
    <t>202213C02002</t>
  </si>
  <si>
    <t>b87579e6447f6be99c037f3bdde003f4b31648efd9cbb1d7d7b8af8f6d55eafd</t>
  </si>
  <si>
    <t>202214B01002</t>
  </si>
  <si>
    <t>0f150acb07626d3e3ef36c28b72b78f672cda902a281c386d266788c0cfa6196</t>
  </si>
  <si>
    <t>202214C01002</t>
  </si>
  <si>
    <t>35daf6fb25d501aaabf70fbe820c9c3ddd48766f600f03b872c551a6398128c2</t>
  </si>
  <si>
    <t>202214C02002</t>
  </si>
  <si>
    <t>78a3276e9453f05d10d1e8de77b440ed852b615a9a41dbd673e90c0c584abdd9</t>
  </si>
  <si>
    <t>202215B01002</t>
  </si>
  <si>
    <t>160346361da271cd40253b291531df7477dcb030f86585c3e9218e4ac26711c2</t>
  </si>
  <si>
    <t>202215C01002</t>
  </si>
  <si>
    <t>5539d76c9d7a75a5f9397ca2ef5fabf2a3e3614995bee66a9c63079dd80a1420</t>
  </si>
  <si>
    <t>202215C02002</t>
  </si>
  <si>
    <t>e8a9018068f57b2756710ed16fa118cf427c0f270c8b3e815ec5a3f352994bf3</t>
  </si>
  <si>
    <t>202216B01002</t>
  </si>
  <si>
    <t>84b22be1d77bf3c86fb3fe71d569d8f0711924d8fa076fb128fe2acdea381c99</t>
  </si>
  <si>
    <t>202216C01002</t>
  </si>
  <si>
    <t>37b537598da9906109a35b63362ef0deeedd87ad4f8c9a032f269ccef4d79909</t>
  </si>
  <si>
    <t>202217B01002</t>
  </si>
  <si>
    <t>4b776876fa7c69e91150ae7a16f2b074613842b3cd766c109ec8896945631e62</t>
  </si>
  <si>
    <t>202217C01002</t>
  </si>
  <si>
    <t>6d5c02a783de21a563bd5ff439314d49e7ac80c1461b050672707e94d80e0cb0</t>
  </si>
  <si>
    <t>202217C02002</t>
  </si>
  <si>
    <t>949a2a0aec09b28b86247581ab671d3d2ad190406c43f5b88ce1acc3e969646a</t>
  </si>
  <si>
    <t>202218B01002</t>
  </si>
  <si>
    <t>534ed2f01d9bbddee3846fba97160f291c0ffd8dcf144296625d8b98f08ec935</t>
  </si>
  <si>
    <t>202218C01002</t>
  </si>
  <si>
    <t>c6c1d0c7c5f914b7f1fac5645cc88fc528cc9931361f6936c63a53287bededb5</t>
  </si>
  <si>
    <t>202218C02002</t>
  </si>
  <si>
    <t>cb198c0716cfa4ea1471b36004e32285ab716c3f2e36a76effa220b0df172553</t>
  </si>
  <si>
    <t>202218C03002</t>
  </si>
  <si>
    <t>77e5b92ed235e7952c6cdb5c4f036995747ac03bcc06a9826a056be7247267f0</t>
  </si>
  <si>
    <t>202218C04002</t>
  </si>
  <si>
    <t>7948d29606e0ee6d97e0d1e28e8fa1d1ac42a040d4558716b68c007e84066693</t>
  </si>
  <si>
    <t>202219B01002</t>
  </si>
  <si>
    <t>b4b6e7803a9f3b2b0b5c5523b24d48c92a1837eefcaec8251c34f5a367f006c4</t>
  </si>
  <si>
    <t>202219C01002</t>
  </si>
  <si>
    <t>55da926de41281bc8f64686f3e35453fe801c2129aad54d92f9170a1fc6428b5</t>
  </si>
  <si>
    <t>202219C02002</t>
  </si>
  <si>
    <t>6d7c6f218ccee1fa17cd9db641775f3633e10d74998dd94fe66acb81a4a044b5</t>
  </si>
  <si>
    <t>202219C03002</t>
  </si>
  <si>
    <t>f9b8ea2edbc6ddfd0cb3f7407c862d1db527ed2033da43fa09499e73aeae421d</t>
  </si>
  <si>
    <t>202219C04002</t>
  </si>
  <si>
    <t>a3c127f09aacab43114ae168801cc13318787f34d63583d5a4fdf5eab3071d01</t>
  </si>
  <si>
    <t>202220B01002</t>
  </si>
  <si>
    <t>525109defff18f8544abfa127cc059bd1878adb7068f295bd298c9d5b184c82d</t>
  </si>
  <si>
    <t>202220C01002</t>
  </si>
  <si>
    <t>266a42f346a00e09f5358e06efbe93a75acdd8d9625f66a6bde6599e3c461106</t>
  </si>
  <si>
    <t>202220C02002</t>
  </si>
  <si>
    <t>5175cf18b06072513660178644bdcf9151e6dd5555863e91bb37f1ab20004cdf</t>
  </si>
  <si>
    <t>202221B01002</t>
  </si>
  <si>
    <t>8c974997643eca5e21738c94c505b21c9e0cb5de1d4b65e759d035bb7aa3b8f0</t>
  </si>
  <si>
    <t>202221C01002</t>
  </si>
  <si>
    <t>b59b907b4137f7201d5c2795cf88689d8486f076c20fdce4a10c564cab4803c8</t>
  </si>
  <si>
    <t>202221C02002</t>
  </si>
  <si>
    <t>96732cd623f60aa34d4cc17af70668ccb5e498a5aa2e63d9f74dec8567cf2a55</t>
  </si>
  <si>
    <t>202222B01002</t>
  </si>
  <si>
    <t>a0cf2049125787f557108cb99ad773af25175635b4e3cf55823da4bca6e28b8b</t>
  </si>
  <si>
    <t>202222E01002</t>
  </si>
  <si>
    <t>37346c86a05f8853c06605ec5ff496803cb4cca22887edde226f25c23ba0e389</t>
  </si>
  <si>
    <t>202223B01002</t>
  </si>
  <si>
    <t>611341e1979c5ee6ef59dc148e393e7eb6b3c3594b9dddd0e4f81f22bac192d6</t>
  </si>
  <si>
    <t>202223E01002</t>
  </si>
  <si>
    <t>732dd738da516d7dee8b132a1bff8849385a844cb14f9b85fa14f3ec782c46f5</t>
  </si>
  <si>
    <t>202224B01002</t>
  </si>
  <si>
    <t>1f2bb76db1928c51e3681f89c9dd0ad46aa082dfa281f820df1c00074161613e</t>
  </si>
  <si>
    <t>202224C01002</t>
  </si>
  <si>
    <t>43ed2e28b98ff7154c0a73b22b0d0d328c1fdfacec68e7b38bada3281ad76b67</t>
  </si>
  <si>
    <t>202224E01002</t>
  </si>
  <si>
    <t>d7b26127a0e40fd4da262cccdc01cbfa840e5b651413122fad341b21a3de100e</t>
  </si>
  <si>
    <t>202224E02002</t>
  </si>
  <si>
    <t>d40afacebbbaead51e19a4b4d661aa69e37903a2d19ff883fc83c10ce66dff31</t>
  </si>
  <si>
    <t>202224E02012</t>
  </si>
  <si>
    <t>a3fe7d04ed70538a5772a900d8dd56cd50e9667061c31727a8eda2629afd5181</t>
  </si>
  <si>
    <t>202224E03002</t>
  </si>
  <si>
    <t>bd8991f5d31cebd20bd039ac60dfcc39cf46bb15ad7524f6931a80961fe64feb</t>
  </si>
  <si>
    <t>202225B01002</t>
  </si>
  <si>
    <t>d8e7ff85d947fe6fdd64cc5af1652c74284219c89cc095e35c6c1a4737402fd9</t>
  </si>
  <si>
    <t>202226B01002</t>
  </si>
  <si>
    <t>bc82bae5b64d79b61517475acdf4c4aec02ef2a39a8b0bb8acd99cb798eedf6e</t>
  </si>
  <si>
    <t>202226C01002</t>
  </si>
  <si>
    <t>0d137b9a7215119695670b3998fc5c72469ad027d821a96675547c08ab4123f1</t>
  </si>
  <si>
    <t>202226E01002</t>
  </si>
  <si>
    <t>11a610b26e811fe202781480ece6dcd6ec5b3630d62b10c13fe18241cdf62b15</t>
  </si>
  <si>
    <t>202226E01012</t>
  </si>
  <si>
    <t>f9467673e2fb85b551314795b59ee97fbfa1a1fbd781cfe9d65807b283fde392</t>
  </si>
  <si>
    <t>202227B01002</t>
  </si>
  <si>
    <t>f4d7be7cc743b39051e88b578f8bc9adc785847eb7fb9c54524e1fca9ab8ae3c</t>
  </si>
  <si>
    <t>202227C01002</t>
  </si>
  <si>
    <t>10e8dc2999f23fd0f0f2dae2db25e6fa989c4b916c43f73b056b58427f7e7de4</t>
  </si>
  <si>
    <t>202227E01002</t>
  </si>
  <si>
    <t>8a0b1186113a8430759d312898b83d117ee8cf187497ee4db3f23589ac483d87</t>
  </si>
  <si>
    <t>202228B01002</t>
  </si>
  <si>
    <t>bf37ab051d3bb936b66a1d749432dd7867a9addf94f587c7f61da9f4ca331ed1</t>
  </si>
  <si>
    <t>202228C01002</t>
  </si>
  <si>
    <t>d6f04aa9a9d6bac5239b1ed8e9ed0bc7ed8689fc0528850f52512896f9ecf68c</t>
  </si>
  <si>
    <t>202228C02002</t>
  </si>
  <si>
    <t>2010d4dafd690ad61aec219e3d0242c6f944fc2bde10baf06a4d86d9ae2daeac</t>
  </si>
  <si>
    <t>200043B01002</t>
  </si>
  <si>
    <t>SALINA CRUZ</t>
  </si>
  <si>
    <t>6e78ffe65c6aea24ea75f2fb0c7e781e16b3e28cae98e03e14f8393f99ec8c05</t>
  </si>
  <si>
    <t>200043C01002</t>
  </si>
  <si>
    <t>975bb39dcb6d57b35cc07f65e8d00de00a1c2ee95bf4f1983641be38a3fd0a2d</t>
  </si>
  <si>
    <t>200044B01002</t>
  </si>
  <si>
    <t>071a3821cf158ca1b3f389b09453580dcaa0f1a5e5cc05b77990f9a8a894163e</t>
  </si>
  <si>
    <t>200044C01002</t>
  </si>
  <si>
    <t>807c7d0a4cef5c24b822820d6d2b36a02114cd07af10c62128f70f7410e8ebdf</t>
  </si>
  <si>
    <t>200045B01002</t>
  </si>
  <si>
    <t>43fd35ba76d3e26974ef6ade5394ce6f501c25f5e6393252e82139a494a4f3fb</t>
  </si>
  <si>
    <t>200045C01002</t>
  </si>
  <si>
    <t>de7f19004dad8a10b552d49340a5be5b76b80c90786707635a12412b0c659a56</t>
  </si>
  <si>
    <t>200046B01002</t>
  </si>
  <si>
    <t>c7b058974a1e9e7330d279cea1caba439921ab9b86ac97a70dcd6a3e17d8fef4</t>
  </si>
  <si>
    <t>200046C01002</t>
  </si>
  <si>
    <t>3dee6f05a98ac205a6439ed21f2eba79e8ca8e942176a7d2fd5fcb8394b9f7d1</t>
  </si>
  <si>
    <t>200047B01002</t>
  </si>
  <si>
    <t>a9d32f9087e733f1b3b0eb77a6e8f6ff5f7f6be291baa09dab60268615968b9c</t>
  </si>
  <si>
    <t>200047C01002</t>
  </si>
  <si>
    <t>b7b724ccbb790a3a10a8c08b3693d9637d8f6eacfda5789106bf2c601bc45752</t>
  </si>
  <si>
    <t>200048B01002</t>
  </si>
  <si>
    <t>612dea50e72fe1f381b76365756a605a3082aae250b77c010f01ce952f2ae0cf</t>
  </si>
  <si>
    <t>200048C01002</t>
  </si>
  <si>
    <t>41e749d60d1ffcb7006daf4bc70420c5e2adf1e9b467f0be3c06417f50cf54d7</t>
  </si>
  <si>
    <t>200049B01002</t>
  </si>
  <si>
    <t>bbeac7d3317250b9e709e4d5903b37e092a8393f9aa76526073a43172484040a</t>
  </si>
  <si>
    <t>200049C01002</t>
  </si>
  <si>
    <t>8319995d472e6d21d4f4dd18d1c826a5e2bd199843e3845fb5a3ff9156e70151</t>
  </si>
  <si>
    <t>200050B01002</t>
  </si>
  <si>
    <t>7206a74e0c72ada601888b2a80501931bba3b8b6b8427bb317dd9ee9409d5e35</t>
  </si>
  <si>
    <t>200051B01002</t>
  </si>
  <si>
    <t>da53bc7236ba4cbf5a1034a807b6d4e417e04b27c3dd3b4517809b9278b9c763</t>
  </si>
  <si>
    <t>200051C01002</t>
  </si>
  <si>
    <t>bfc1aacdbe380dfde82c0121bc5bf451017e69ee946c46c09a040307d604d716</t>
  </si>
  <si>
    <t>200052B01002</t>
  </si>
  <si>
    <t>31fa9324f9360de8110b5885b8ebe172d2f15b873eada50050b59c0fb6a3e0da</t>
  </si>
  <si>
    <t>200052C01002</t>
  </si>
  <si>
    <t>c24745d6ccf702ca561e3d07042c04609819c2995324865c398d7b289b4d9378</t>
  </si>
  <si>
    <t>200053B01002</t>
  </si>
  <si>
    <t>3fb0af4026e9d16e668398f5606c6c5d5435a99d5ab52fa009fb7fc8f37c2519</t>
  </si>
  <si>
    <t>200053E01002</t>
  </si>
  <si>
    <t>0a4d9bb5032acf593d89021377665447f873c70abbd271b3ceacd488e87689d0</t>
  </si>
  <si>
    <t>200054B01002</t>
  </si>
  <si>
    <t>5c84544e1267311659a99f99042429aeed8312b0459a24183cda91f999692a8a</t>
  </si>
  <si>
    <t>200054E01002</t>
  </si>
  <si>
    <t>3cd073f821a2765bd73965bcb3abb2717eb9805a3db1756ff4de146375b6df05</t>
  </si>
  <si>
    <t>200055B01002</t>
  </si>
  <si>
    <t>fac23aea110e8faed00f93520b54ba149a800f0a220a4ebf7c633c659a626d7a</t>
  </si>
  <si>
    <t>200056B01002</t>
  </si>
  <si>
    <t>e9b99c07cb8e4e372ab64e2ec233c1f990a41a96d133102cbdfdc6cb4f78b4cf</t>
  </si>
  <si>
    <t>200056C01002</t>
  </si>
  <si>
    <t>cde8bb942cbdbf6f2dd031e0c949521c445c2a73e1729015ceea010ee4c2deb4</t>
  </si>
  <si>
    <t>200258B01002</t>
  </si>
  <si>
    <t>bc8add7e5423321f679579b356576c13b341f4adc6356a4ebc650b08159b07d2</t>
  </si>
  <si>
    <t>200258C01002</t>
  </si>
  <si>
    <t>d91d5cffb498638ed6ccea5cc836edf4f4aaa5c3d86b4ac72a1ca0ccd5e497e2</t>
  </si>
  <si>
    <t>200258C02002</t>
  </si>
  <si>
    <t>592be12522564dd643b1f60690e619589b1684ea84dafaaef1f6cc6985c26b00</t>
  </si>
  <si>
    <t>200259B01002</t>
  </si>
  <si>
    <t>dd1a8a995d02bd67ac625cd5821310176acb1df28b5f9b69e9e419eb02067a7e</t>
  </si>
  <si>
    <t>200259C01002</t>
  </si>
  <si>
    <t>580aa4d6efbbf854bd9ede3f0de982e2d035e750c60972a0cfd887334bbdcc12</t>
  </si>
  <si>
    <t>200260B01002</t>
  </si>
  <si>
    <t>7c1ab7803c4c44f1d46ad6d85be98ac3db38d20005f73ce5c2685cb9dc36aa60</t>
  </si>
  <si>
    <t>200260C01002</t>
  </si>
  <si>
    <t>933443b3e4008d675bf9f43f2a79b68bf2b1f2184c0902cac69a5e970e31da66</t>
  </si>
  <si>
    <t>200261B01002</t>
  </si>
  <si>
    <t>0098b4fa4e4fb60f5c86187bdbd7f5443f4ece791707fa5755d2c2324e95bd0a</t>
  </si>
  <si>
    <t>200261C01002</t>
  </si>
  <si>
    <t>72300b31886e156da8c1a0a3dce594db4384b3d269642f288e110b5f64c762ba</t>
  </si>
  <si>
    <t>200262B01002</t>
  </si>
  <si>
    <t>56fea5a06da652e03cc272c66c50c0f82be3bc66c6b211e922c832f7cdd0927c</t>
  </si>
  <si>
    <t>200262C01002</t>
  </si>
  <si>
    <t>826d4d30b1b95b8dcffa9124017b747fa5adf19b5675991dbbb4132e81f25669</t>
  </si>
  <si>
    <t>200263B01002</t>
  </si>
  <si>
    <t>1af260945c47824b12637cb271f3f4c2ed5a165692ed122fe892366e566c26db</t>
  </si>
  <si>
    <t>200263C01002</t>
  </si>
  <si>
    <t>62a65df53f313ac2c9837cde57686baa4d777d70a8a679b1ee62edc16803faa4</t>
  </si>
  <si>
    <t>200264B01002</t>
  </si>
  <si>
    <t>dd798a25ebf5d1d5ad6add4d9ff6b47038629688df7a772ac0acecaa5614dbf4</t>
  </si>
  <si>
    <t>200264C01002</t>
  </si>
  <si>
    <t>2d90223fb409581aa4f3025b92b0b7aa0f09dde0dfcb068dede0142622000f7a</t>
  </si>
  <si>
    <t>200265B01002</t>
  </si>
  <si>
    <t>9aff404986b2612342b2464a3b17d98edc667e0c37f0cbc9f407723da39b67f3</t>
  </si>
  <si>
    <t>200265C01002</t>
  </si>
  <si>
    <t>7b9655e8c196289cd4b9098d157c8a87ff386ea642b0a8f63b2758d913e696e3</t>
  </si>
  <si>
    <t>200265C02002</t>
  </si>
  <si>
    <t>e78f4ea0682a4b912857e773bab83e7e7c942a070a053a7140fdddbfd3a0a774</t>
  </si>
  <si>
    <t>200266B01002</t>
  </si>
  <si>
    <t>588c84d4b07e7a114154a6f52afc78e27b118bbaef4975657e7269250711982c</t>
  </si>
  <si>
    <t>200267B01002</t>
  </si>
  <si>
    <t>21ceb2c7bc04b05af990a7602c7381cde7ef7c9db19d4a2f847e4fa9fb88bedf</t>
  </si>
  <si>
    <t>200267C01002</t>
  </si>
  <si>
    <t>53356b93949a90dce40914d52f424fe859d8829fdcb14a64df9fb3a5fc7db049</t>
  </si>
  <si>
    <t>200267S01003</t>
  </si>
  <si>
    <t>9c7f064786254119f2fb29654fa14ca559ae4c77ce845ca5ce86601f5de92631</t>
  </si>
  <si>
    <t>200268B01002</t>
  </si>
  <si>
    <t>8d3f9202e709d31ce84c094942f7feb38032edb23e99da79be5d9cfc8503b4ed</t>
  </si>
  <si>
    <t>200268C01002</t>
  </si>
  <si>
    <t>0b73a0aecb8d06f416724665dd44b9e8e1e43e9afc9acf083c57b5c3dec6cc38</t>
  </si>
  <si>
    <t>200269B01002</t>
  </si>
  <si>
    <t>92b3778ba30b3ea1902945d636fb9f87652819c710809b57902c597e8293aaec</t>
  </si>
  <si>
    <t>200269C01002</t>
  </si>
  <si>
    <t>1fb7958f5906e244441683f51be26160f34adfe8fa2ace6519f5ace525b992e8</t>
  </si>
  <si>
    <t>200270B01002</t>
  </si>
  <si>
    <t>57f40b79beac7dd11e459d028358b1742247540de077a8ef9eef7eec5368f939</t>
  </si>
  <si>
    <t>200270C01002</t>
  </si>
  <si>
    <t>71c114589d9e3c6443d3f351f43ca9a1ddd382ef4c63a0c01fa2d42f2ae97767</t>
  </si>
  <si>
    <t>200270C02002</t>
  </si>
  <si>
    <t>8c34b105b3ecf7c6dd6fa45cd51a48db3d7666c040d2ca8b3bbfdaabbfb8bbef</t>
  </si>
  <si>
    <t>200270S01003</t>
  </si>
  <si>
    <t>94a056bea0dd8a17a6d7e40aee76f588156834ea81948a6a08a6f5cc3fae519c</t>
  </si>
  <si>
    <t>200271B01002</t>
  </si>
  <si>
    <t>a1360865bb65df360b0ba907a5ddab7f2d382b28cc6a03925d0ef6f2fb4c9d1c</t>
  </si>
  <si>
    <t>200271C01002</t>
  </si>
  <si>
    <t>c8cd6bcca60c9cc3b618708a6c320f58ca32b242a01fea997b88704010ae3100</t>
  </si>
  <si>
    <t>200272B01002</t>
  </si>
  <si>
    <t>ed2641b2881588607b1fa9495dbef528f7d02f322def9451742a2d6f57573f0e</t>
  </si>
  <si>
    <t>200272C01002</t>
  </si>
  <si>
    <t>1e0e80b5291f3da94262a5fe8f1573c4e99b2c99fbf36d44e608e2681bd21b0c</t>
  </si>
  <si>
    <t>200273B01002</t>
  </si>
  <si>
    <t>2510f923f8ecdd01c1bb5ba68703d48225716346fd9a818946019682b80222ec</t>
  </si>
  <si>
    <t>200273C01002</t>
  </si>
  <si>
    <t>c0b2ac40b3795f2a559ef361a876bf8bba6ebd5c7e6fa3b76819f7eb7240ffe2</t>
  </si>
  <si>
    <t>200274B01002</t>
  </si>
  <si>
    <t>6c883b003b13d3d40f9dc93aa91c6bb829fefca60b5a349a1014408787cea0b1</t>
  </si>
  <si>
    <t>200274C01002</t>
  </si>
  <si>
    <t>deeb8df09163ee6f3c06e2935c2f7b618d20000760aba63baa27df54dccf8c71</t>
  </si>
  <si>
    <t>200274C02002</t>
  </si>
  <si>
    <t>24374fb95e0ac42b02bf7f0efc7c0b69b836b24cc8f97c9c39f0398f2b0d0c7e</t>
  </si>
  <si>
    <t>200275B01002</t>
  </si>
  <si>
    <t>e33fd5069d6ba8ef2c5bac7ef3d3c5053c2787e9d46324b780b5eb1ea0103eb3</t>
  </si>
  <si>
    <t>200669B01002</t>
  </si>
  <si>
    <t>d0005e9b1b87dd479b57de4296350d88e452aea1a86370dfc6d1a15177492ac9</t>
  </si>
  <si>
    <t>200669C01002</t>
  </si>
  <si>
    <t>2e5c055af4a8200376a5713217fd29ebc04bd53aa7b09d63bb0baa508040e6bc</t>
  </si>
  <si>
    <t>200669C02002</t>
  </si>
  <si>
    <t>6269927dee4cbc248c21130f71ebc2339bd959fe7ffa16982111facd98fb8221</t>
  </si>
  <si>
    <t>200669C03002</t>
  </si>
  <si>
    <t>30f5c788802e34b1de23f3aa4812d5ea105c9b0d3c6b0b02f4a52003f42baec9</t>
  </si>
  <si>
    <t>200669E01002</t>
  </si>
  <si>
    <t>b69903374a3c0edde4491c3959c953a3bcaabd796cf13f8766067ea1d15335dd</t>
  </si>
  <si>
    <t>200669E01012</t>
  </si>
  <si>
    <t>3336407f7f316fe37caa32d80c050a3eb8a832dc076a16b67aed1ee6cb6aaba7</t>
  </si>
  <si>
    <t>200669E01022</t>
  </si>
  <si>
    <t>0347295ddc765dd3161860a066196a6c6ea8312e54d534f0149c0f83c8d83a71</t>
  </si>
  <si>
    <t>200670B01002</t>
  </si>
  <si>
    <t>05ac07f863e6b2ebed3af57dd2f77b166c3227c3d10b9bd99ee89ce6e1a59c38</t>
  </si>
  <si>
    <t>200670C01002</t>
  </si>
  <si>
    <t>fc6bdac71a931cd1943e4fc28c953ffb61d44f3301cdf0178c132611895fb637</t>
  </si>
  <si>
    <t>200670C02002</t>
  </si>
  <si>
    <t>74d2353652faee264eaba45e4ad191b3faad2481102cf7d684cf333771293ee7</t>
  </si>
  <si>
    <t>200670C03002</t>
  </si>
  <si>
    <t>7779c1e93324f2e88577bdabbf1f7d79375973ebad867ff2c2ca297b3e54c972</t>
  </si>
  <si>
    <t>200671B01002</t>
  </si>
  <si>
    <t>9ceef68a6e3d9867ccb98daf0d53bf05598dd90b5d5b444ce170d5b3a4fcbb6a</t>
  </si>
  <si>
    <t>200671C01002</t>
  </si>
  <si>
    <t>ca50421c0c2c72c1d894ea3611ad1cd133f07bb468a478fb45f735d673829849</t>
  </si>
  <si>
    <t>200672B01002</t>
  </si>
  <si>
    <t>c46bbd91af7f4cd8c7c56191c923c77127087c3a8489c985f49f65734d747903</t>
  </si>
  <si>
    <t>200672C01002</t>
  </si>
  <si>
    <t>1c1e817f911c2fb03b2c2502122d24c56626bf33476dc931ae5ea6e59657ffbd</t>
  </si>
  <si>
    <t>200672C02002</t>
  </si>
  <si>
    <t>aafe12afefc917cc8a17445580afb48443e9321cfd0ca8c70057f1fbf4c7dbfa</t>
  </si>
  <si>
    <t>200673B01002</t>
  </si>
  <si>
    <t>c878bdfe61a1e891d5a472015f5480501c27030152e07952e42cedc94126a9e5</t>
  </si>
  <si>
    <t>200673C01002</t>
  </si>
  <si>
    <t>b31b3607492b9cd31442568576eca2bb66e1b84f0cdd6a19949aa2e98beaa3fb</t>
  </si>
  <si>
    <t>200673C02002</t>
  </si>
  <si>
    <t>ab6c0843febe1a0074fb3ca67ea971e6952f025644f56f498ac37db24045976e</t>
  </si>
  <si>
    <t>200673C03002</t>
  </si>
  <si>
    <t>471c91a264967ebbd6299f795c5487129084f43ea64fb9f32d834dbd03be04a5</t>
  </si>
  <si>
    <t>200673E01002</t>
  </si>
  <si>
    <t>25cc47251b0d6e2c5509f7c2144a4151ad7470a1b2f1a762102567301761decf</t>
  </si>
  <si>
    <t>200673E01012</t>
  </si>
  <si>
    <t>4c8b54bc98164ca86aa68111a9c993cbac677ddfc6f2750e604bf37f4b441be6</t>
  </si>
  <si>
    <t>200673E01022</t>
  </si>
  <si>
    <t>7a3f8361e691a1c3c6804d5f115ed287020ab5bfab525d7cddabe45fa240fc99</t>
  </si>
  <si>
    <t>200673E01032</t>
  </si>
  <si>
    <t>04178c91b46653c37eb351a7e0245f0f8580ffe5fd081105f7225b841131c019</t>
  </si>
  <si>
    <t>200674B01002</t>
  </si>
  <si>
    <t>87243c547b5798fe2d4bb8f0caff6458635d9065d132456e1bdadea4c9b06d12</t>
  </si>
  <si>
    <t>200674C01002</t>
  </si>
  <si>
    <t>ef99b38c2c7517bff06192c400a0272a6207e2ad2f96b53a875a0c558d4555b4</t>
  </si>
  <si>
    <t>200675B01002</t>
  </si>
  <si>
    <t>ab59fc50fd08daff817a589e24ddf6236cd6552e6c57c9dc7842c4c1bb968d49</t>
  </si>
  <si>
    <t>200675C01002</t>
  </si>
  <si>
    <t>d0a4e03e180ae062414ad14a1748edb68bfaa338714b347878c5fbd60723753d</t>
  </si>
  <si>
    <t>200676B01002</t>
  </si>
  <si>
    <t>517a6ebc54102e9e95c7c0e61fe6f904c2f5cb03d96d70f7f2544c7eeeaef0cf</t>
  </si>
  <si>
    <t>200676C01002</t>
  </si>
  <si>
    <t>41c042b0ac11b68b201d422d6260874c5bbd2494764bf37ad0d9a09664c62d2f</t>
  </si>
  <si>
    <t>200677B01002</t>
  </si>
  <si>
    <t>12510eb5880edadc0ee2f5bd7dcc8605bb0e82a431f7439578c805c85518ab08</t>
  </si>
  <si>
    <t>200677C01002</t>
  </si>
  <si>
    <t>92bfa039955114fdb3f017a0b1ad1eb7206f062866ea61bf80716ad4bb635da5</t>
  </si>
  <si>
    <t>200678B01002</t>
  </si>
  <si>
    <t>e57f22efbe782320b9a0733e2f12b0543e182554b062c8293f72b003a7dabf84</t>
  </si>
  <si>
    <t>200678C01002</t>
  </si>
  <si>
    <t>89cd41f8299e16939a130780f8ca23a6978cbddfada44b646924f823e79725fb</t>
  </si>
  <si>
    <t>200678C02002</t>
  </si>
  <si>
    <t>2958783dccff7bd13d9cae5947e77721c32630dc4d021ecd24dc577326dcd087</t>
  </si>
  <si>
    <t>200679B01002</t>
  </si>
  <si>
    <t>e8849a38dc5f2bdbff359a05227fd0e487d2dc12401b05ee84aa075a6be01b70</t>
  </si>
  <si>
    <t>200679C01002</t>
  </si>
  <si>
    <t>d71a1075bec8d3152d99e154b2d4d02608020cab6c2071953201cb4827cf008f</t>
  </si>
  <si>
    <t>200679C02002</t>
  </si>
  <si>
    <t>34a93d847a4921eae7071841abdebf6f36f9604c8407afd43d9053d851868d53</t>
  </si>
  <si>
    <t>200679C03002</t>
  </si>
  <si>
    <t>c42fec308bc8a1fbb2c8d5627642672b350117f1f41d25967a320a308bc1343f</t>
  </si>
  <si>
    <t>200680B01002</t>
  </si>
  <si>
    <t>5cf7d16667d3a4f2287201569e54281c3d6e7fc8d87457bf95a12a94428d7587</t>
  </si>
  <si>
    <t>200680C01002</t>
  </si>
  <si>
    <t>64888bffc23ec1b9511707a12b909d4bb07f28ad0d4cc80b89617f481f23ddaf</t>
  </si>
  <si>
    <t>200680S01003</t>
  </si>
  <si>
    <t>b207287475ed911f70dc39f45bac5a6f1ffed144ef137274e6d678d77dac7a42</t>
  </si>
  <si>
    <t>200681B01002</t>
  </si>
  <si>
    <t>479c4b3cc7d71382db347eecf11d2b68350f0e971e41fd01a619b410b9be7605</t>
  </si>
  <si>
    <t>200681C01002</t>
  </si>
  <si>
    <t>ae2c883c2f88c0e310bb9f6087cc37a08a785a4cc38a38cd205dc69e7288b87e</t>
  </si>
  <si>
    <t>200682B01002</t>
  </si>
  <si>
    <t>0c90bf2f3e5b3c3cf6c0f4a74b9b2cb917204ac135121aa520d3d0b336d1b074</t>
  </si>
  <si>
    <t>200682C01002</t>
  </si>
  <si>
    <t>c2793f5a409a2f17000168a0e623cbf75852e1c73efe1e2c969b2ed4a55e0ff9</t>
  </si>
  <si>
    <t>200682C02002</t>
  </si>
  <si>
    <t>d18c1140853bb35523382e057bddd22c1977dbc2027e864aa3ba167187212eb2</t>
  </si>
  <si>
    <t>200683B01002</t>
  </si>
  <si>
    <t>14fbaad853ab1fa9a3cc0d338ca0fb71e96fd2ff87ec03c8b057838883fb708b</t>
  </si>
  <si>
    <t>200683C01002</t>
  </si>
  <si>
    <t>d053d69a37a0e24b94b4ab9ac85205f0ed75a05b8eed40fa9152c1008f9be8ee</t>
  </si>
  <si>
    <t>200683C02002</t>
  </si>
  <si>
    <t>52804c251eec77cd7535b4e7fe7552e6febfe4bf39c071166bb559bb006a4c4d</t>
  </si>
  <si>
    <t>200684B01002</t>
  </si>
  <si>
    <t>6c82de5df0bc99ff8468290fae4a5eff11a96a74d60b2cf59cdda226247afeb8</t>
  </si>
  <si>
    <t>200684C01002</t>
  </si>
  <si>
    <t>bc08c52112d196966d30a56f3d173c5d0541a50ab9768b0b62423cc616db9f81</t>
  </si>
  <si>
    <t>200684C02002</t>
  </si>
  <si>
    <t>069810f57a6c8c13defc98c110a1db5fd1e88ee48674e630a246c9a0a3681920</t>
  </si>
  <si>
    <t>200685B01002</t>
  </si>
  <si>
    <t>14ee15fd5f33e8ded005dc9db43f70009f85c56bf557ee2cce730984237283ce</t>
  </si>
  <si>
    <t>200685C01002</t>
  </si>
  <si>
    <t>8213586cc5cde0dfe3db702d7350aceafdadfb3de1798b78f2009c2dab304678</t>
  </si>
  <si>
    <t>200685C02002</t>
  </si>
  <si>
    <t>1fca8a1f9cf3b930b3ee5c5beaa85de03fe95a51342d237f4bb74c9b78915067</t>
  </si>
  <si>
    <t>200686B01002</t>
  </si>
  <si>
    <t>acf47671ac764ba0460040f8b2a8be73b1599ebcfd4a7b118134c77f9c46df34</t>
  </si>
  <si>
    <t>200686C01002</t>
  </si>
  <si>
    <t>61cece5e4cc42dad4e9e0420570b5888ae831632dcfa8b36c19c43ecd8388e93</t>
  </si>
  <si>
    <t>200686C02002</t>
  </si>
  <si>
    <t>e6a63a70df3a8a6842b362bcd4668dc9fbfaae226585068bd0b85ab5c0bf6724</t>
  </si>
  <si>
    <t>200686C03002</t>
  </si>
  <si>
    <t>75faafa0a091ff1db968310326360314f0961d2d44c8f3db385c83b377416e4d</t>
  </si>
  <si>
    <t>200687B01002</t>
  </si>
  <si>
    <t>bea26cc4aec1584f96eac82946c1d90f25282e7cb48d1ddc2871e13aaba4d3a9</t>
  </si>
  <si>
    <t>200687C01002</t>
  </si>
  <si>
    <t>57fa3416954c45c8cce491b7564af133a416e9e1bb9253a67eca42d58a22dd54</t>
  </si>
  <si>
    <t>200687C02002</t>
  </si>
  <si>
    <t>b8ddcb36df6323b7ab0857eeb06e3aa5ddf7a9b127e1614d0135f2e5600ba437</t>
  </si>
  <si>
    <t>200688B01002</t>
  </si>
  <si>
    <t>ce092d32c7314f95a3db8a21f2b299fa329ef7db881e2327924a905ba63ac451</t>
  </si>
  <si>
    <t>200688C01002</t>
  </si>
  <si>
    <t>e97336fc2ab54432ec945dbdf8e48afc4c6e0eaef2b6e5624c0d2c7ee93e4b75</t>
  </si>
  <si>
    <t>200689B01002</t>
  </si>
  <si>
    <t>69b6c6177fc5ecf4d325ffc4bd9ac2b7d5d4bb0f6e5ed54269a2700caf81c897</t>
  </si>
  <si>
    <t>200689C01002</t>
  </si>
  <si>
    <t>2758ead67c10737e3916d8e4741736331d3df70a3018682986f10c4956b314eb</t>
  </si>
  <si>
    <t>200690B01002</t>
  </si>
  <si>
    <t>05f471fd6ddc3f1ade2b189c7eb029389888d2cc1e4a7c827257fdcdc4fc2d11</t>
  </si>
  <si>
    <t>200691B01002</t>
  </si>
  <si>
    <t>8852e53bcaeffe9ee8e0133e5d8a39de25f88e517caf2ff65a2478fd1654c2f0</t>
  </si>
  <si>
    <t>200691C01002</t>
  </si>
  <si>
    <t>1d41e68ea52e7107876c091b61094830f508408079de2576fc13ae3d308e230b</t>
  </si>
  <si>
    <t>200692B01002</t>
  </si>
  <si>
    <t>023ed5f097ed4180b2bb4cb383ff9ae6d1dafa362ec318256c7c67f6f628afce</t>
  </si>
  <si>
    <t>200692C01002</t>
  </si>
  <si>
    <t>a5b13913c18d99936afe8c0320719487fc49e692710b120003f16d714c765dfe</t>
  </si>
  <si>
    <t>200693B01002</t>
  </si>
  <si>
    <t>23110c99c6d05722cccf9a360444f7a541246d8238764feca2236894c8175469</t>
  </si>
  <si>
    <t>200693C01002</t>
  </si>
  <si>
    <t>e7f5be1758f34da70a19bdaf7186b5568442179f9a0d2cbbda50f0eaffcc4cf8</t>
  </si>
  <si>
    <t>200693C02002</t>
  </si>
  <si>
    <t>3ec7b154015cfe6b5260330d54d935392e6d429f8a119e3ebdb4f88f9b9ff24e</t>
  </si>
  <si>
    <t>200694B01002</t>
  </si>
  <si>
    <t>e4f957521b9b72ecc064a99dc9d68af68d1025454c3be13384fc63c15dd10795</t>
  </si>
  <si>
    <t>200694C01002</t>
  </si>
  <si>
    <t>3b48a90c14e71af404486845057956b3bcd81c265686ddbef18aafd34556b607</t>
  </si>
  <si>
    <t>200695B01002</t>
  </si>
  <si>
    <t>cd4b5710e889204d263c7d0b5963fbf57f084c027fb844e5ac43d84f9e449efd</t>
  </si>
  <si>
    <t>200695C01002</t>
  </si>
  <si>
    <t>87e451628abf810b40b751751c55255693d668b739a42d42526d9b5af978a818</t>
  </si>
  <si>
    <t>200696B01002</t>
  </si>
  <si>
    <t>35d0af8f2d940d19c86f5b9a1a7d532b1e94d7fccf912a6d2c25b0fcb7dfbc99</t>
  </si>
  <si>
    <t>200696C01002</t>
  </si>
  <si>
    <t>11038be78fee89e2aabbf1c9b3290704c1f191195192f3ea15f314519ac4ec60</t>
  </si>
  <si>
    <t>200696S01003</t>
  </si>
  <si>
    <t>33adc62562f523d41593bf2818da4e3422cb1163c8a2d22e226d97090fd1d0cd</t>
  </si>
  <si>
    <t>200697B01002</t>
  </si>
  <si>
    <t>a897528f4c58880d7f72c6eb62afeb5e3c0c523bb6c86d29affc6ccd43bef7c7</t>
  </si>
  <si>
    <t>200697C01002</t>
  </si>
  <si>
    <t>f5610e035f69660e1cb7bfc4129400ee9d8fda308be6c575ca0d323d2b646bc7</t>
  </si>
  <si>
    <t>200698B01002</t>
  </si>
  <si>
    <t>96fab2d939fa2256f8c2b48add669b7610523dec802dd4389b429aea272a566a</t>
  </si>
  <si>
    <t>200699B01002</t>
  </si>
  <si>
    <t>554d6eaea885d518d1a61c7cb5db4a3220c10e23b170df8799829b745dbdad6c</t>
  </si>
  <si>
    <t>200699C01002</t>
  </si>
  <si>
    <t>1b61fedb1d533fc0f022ee8ee20dbe41df6dcc7868343da61d23430d2880785e</t>
  </si>
  <si>
    <t>200700B01002</t>
  </si>
  <si>
    <t>9b680520fdaa89eb527f3d4ebe8fc6e7c8999ecd56b317a1f3cdb1516f10069e</t>
  </si>
  <si>
    <t>200700C01002</t>
  </si>
  <si>
    <t>6acee5836bf910b412fab615cb503586a784a7aa074cb7b29b484a05b2614d1a</t>
  </si>
  <si>
    <t>200701B01002</t>
  </si>
  <si>
    <t>3da5dffabd7450f0a16eeaaee4b053d8f01858e0dfa9efc5abe8a1c1358a4103</t>
  </si>
  <si>
    <t>200701C01002</t>
  </si>
  <si>
    <t>58fe7547a90f375a156d507fcf30090935decf4349e2ffc72dc4bce9810d27ea</t>
  </si>
  <si>
    <t>200702B01002</t>
  </si>
  <si>
    <t>4c4c49b82c449e5705f2fd90b7ecb6a74f70f7dde1f8397fb0ebabee901c8740</t>
  </si>
  <si>
    <t>200702C01002</t>
  </si>
  <si>
    <t>8ce4ce33b67b25e60d663a107419a1eec4cf79ee18d06295d9db5c32332f5352</t>
  </si>
  <si>
    <t>200703B01002</t>
  </si>
  <si>
    <t>0535848a471983e035b8dd2877e174117b400cfdf4c0539f1d5b256188e3c67e</t>
  </si>
  <si>
    <t>200703C01002</t>
  </si>
  <si>
    <t>4d381c35d90c1cb75532866384c2d27680dbe2428a934f5eb78d9688dde67ad9</t>
  </si>
  <si>
    <t>200703C02002</t>
  </si>
  <si>
    <t>b15e875f979bb96af3e54d80ce33645a07f6eaef08deefa9aa4ebe9ece6cd125</t>
  </si>
  <si>
    <t>200704B01002</t>
  </si>
  <si>
    <t>6944922a3161da896184d69be703665c788a062c19d433f6ca32f1a6f3e1b495</t>
  </si>
  <si>
    <t>200705B01002</t>
  </si>
  <si>
    <t>fdc6980802af581e9cc8ecfc34b8ce0583d1c644ff23013e4b52cc11830355b7</t>
  </si>
  <si>
    <t>200706B01002</t>
  </si>
  <si>
    <t>8703d7c8d23c9ab0351733ae649e732c0ee021c50973ab6d472eae17ae9d3f2c</t>
  </si>
  <si>
    <t>200707B01002</t>
  </si>
  <si>
    <t>bf94d5776a27f01e320dac689d1597bb625e8ddd1f9f5edf4cf009b79322384d</t>
  </si>
  <si>
    <t>200707C01002</t>
  </si>
  <si>
    <t>c65b39f8d51e03e44fef72914016717c59f4f8362dbba113c6d2df7d0bfa8bec</t>
  </si>
  <si>
    <t>200708B01002</t>
  </si>
  <si>
    <t>def9f49070153109c9a19b036f92584c77a1da47dc8c401cedcc73f36d278f8f</t>
  </si>
  <si>
    <t>200708C01002</t>
  </si>
  <si>
    <t>55796c6ffb77a330778312fabaf7b5bfa12e38d551095b70274db395bcbada72</t>
  </si>
  <si>
    <t>200708C02002</t>
  </si>
  <si>
    <t>54004d1f3b6ceeeb56ad3364b2f2d023e5921e4a3b88e3833a90d43bf751a659</t>
  </si>
  <si>
    <t>200708E01002</t>
  </si>
  <si>
    <t>b283b3260b3fd54ca84d7fcb6c8f09b5eb59609c2f18549e34ca27230251853b</t>
  </si>
  <si>
    <t>200709B01002</t>
  </si>
  <si>
    <t>570cb2de6f77d35679924b39e1fc3967f55eb13745c6507b70a363da2d979c2c</t>
  </si>
  <si>
    <t>200709C01002</t>
  </si>
  <si>
    <t>591fe32157adbb465a50dcfa948da4285c62b0fe712d349f926143cd2a924cd6</t>
  </si>
  <si>
    <t>200814B01002</t>
  </si>
  <si>
    <t>8de7a1bc171719c63b70285eb0d8895a5dab2fbaced4496dc67f18ff05420123</t>
  </si>
  <si>
    <t>200814C01002</t>
  </si>
  <si>
    <t>f2534dcd5c07b27daae9ce94f68f8b053e268101698112c97efc5a4891a8b53a</t>
  </si>
  <si>
    <t>200814C02002</t>
  </si>
  <si>
    <t>4a5936c3101468bb12a255156e0f80d606486fcf746c31b3ded8b9d8f6c7de9f</t>
  </si>
  <si>
    <t>200815B01002</t>
  </si>
  <si>
    <t>8710404a058a1fb3c8c00c7df559d23708f176f1e64064bd82e00694175f6680</t>
  </si>
  <si>
    <t>200815C01002</t>
  </si>
  <si>
    <t>2b979b3917191e525733c66db569b20da7831f24bb96cf704f3a8d5318206fc8</t>
  </si>
  <si>
    <t>200815C02002</t>
  </si>
  <si>
    <t>967c6a91053a8be1bf4091d9aecf234cc45d2dd9f91471e132adf75ebd71084e</t>
  </si>
  <si>
    <t>200815C03002</t>
  </si>
  <si>
    <t>b01fba4c470ed3633c43edb0b068b9fced89b19c85fb0074eab8673f1e0b4f20</t>
  </si>
  <si>
    <t>200815C04002</t>
  </si>
  <si>
    <t>202299a4402b3889aad057f4d687882d5627c43413ab31440913bbe76367de36</t>
  </si>
  <si>
    <t>200816B01002</t>
  </si>
  <si>
    <t>00b379bc49f8a74e0ac707048d13a6916358f3b036978fe590c102d47be868d1</t>
  </si>
  <si>
    <t>200816C01002</t>
  </si>
  <si>
    <t>39102397c8989f50d9a1eb5c90c45e85b0477c477326a3a429d4749775c02af3</t>
  </si>
  <si>
    <t>200816C02002</t>
  </si>
  <si>
    <t>6241ea920ba856fcaa8c143cd5d10dc6e766fb2392560f59b9ee6b692d5fa9b2</t>
  </si>
  <si>
    <t>200817B01002</t>
  </si>
  <si>
    <t>c5546078ab23497742d80845d2041cfe68ac29cc4405e9ecf1119614a42045cb</t>
  </si>
  <si>
    <t>200817C01002</t>
  </si>
  <si>
    <t>dbfd2ca61754ea7247704f70eaf017434da270a88f1d0f98415b3b8d7a614eba</t>
  </si>
  <si>
    <t>200817C02002</t>
  </si>
  <si>
    <t>376377471af9487df9ae03b313f60213d85c95217134c67884ec479c03869742</t>
  </si>
  <si>
    <t>200818B01002</t>
  </si>
  <si>
    <t>a134810d454b3399a8fc970b8203ba82537e9fd2983a6833b6e6edeb6ee75d7c</t>
  </si>
  <si>
    <t>200818C01002</t>
  </si>
  <si>
    <t>8fc8ebae7c7938996dfc956ed6d627c1e24f90ff34dbceb53080b2978c6d4f95</t>
  </si>
  <si>
    <t>200818C02002</t>
  </si>
  <si>
    <t>7bd4b701325e581bcb1e3681e3d15d9f5d129afc205147fa78461c3fa8ea23aa</t>
  </si>
  <si>
    <t>200818E01002</t>
  </si>
  <si>
    <t>d280dff162399d989097cdeac720ee6b165821c1300527dfab8356bba5d2e8bc</t>
  </si>
  <si>
    <t>200818E02002</t>
  </si>
  <si>
    <t>6b3933415410d979b4035a9ccaf855ce50d8ca31a1b49ae618835e8266f36cb7</t>
  </si>
  <si>
    <t>200819B01002</t>
  </si>
  <si>
    <t>a2acda1b4d65b56dd074d20c6c38a15dc116ddb70bd5477326c92974bd7c2814</t>
  </si>
  <si>
    <t>200819C01002</t>
  </si>
  <si>
    <t>266a52c5b9c012340a4a4b8db0f77bd09349493a4000a99553e643d57049a285</t>
  </si>
  <si>
    <t>200819C02002</t>
  </si>
  <si>
    <t>387d3b2f400ebf5b9b0141eb210f07a29ba4bfcf9d4365a9d051749f575f755e</t>
  </si>
  <si>
    <t>200819E01002</t>
  </si>
  <si>
    <t>52ecf5cbe222d35de1bcb209a7ee0f224b0fe575a89c581c18fc4fd4fbacd142</t>
  </si>
  <si>
    <t>201461B01002</t>
  </si>
  <si>
    <t>8e09050a0a07094abb65ae0c0387809491e6a57ad63c555df90940ca76ddaf9c</t>
  </si>
  <si>
    <t>201461C01002</t>
  </si>
  <si>
    <t>6562b92b0cb9e895dfdb1d29078e4040ea7ef1c4b630b469b03e022f57d33b9d</t>
  </si>
  <si>
    <t>201461C02002</t>
  </si>
  <si>
    <t>94f0e7d2f744d88ddbf088b064b2bfe6209cb35bcb7603aa90a29c41f64e4761</t>
  </si>
  <si>
    <t>201462B01002</t>
  </si>
  <si>
    <t>7c5b31438695b3b1cd55637f9fad612cb561d561d975eb57b4ce683e107244ec</t>
  </si>
  <si>
    <t>201462C01002</t>
  </si>
  <si>
    <t>a9843691007590e2374495afaef130bee20a8277ac807bb9ce88b3afbbc431bc</t>
  </si>
  <si>
    <t>201472B01002</t>
  </si>
  <si>
    <t>456091242c8185986a67a3cbd0631370e52d5f166311bc3b432d2c731b281406</t>
  </si>
  <si>
    <t>201472C01002</t>
  </si>
  <si>
    <t>7f4889ed6ce6db3058e35d07ef7862c7eb42e6cd7019df54613ef594db256e7c</t>
  </si>
  <si>
    <t>201472C02002</t>
  </si>
  <si>
    <t>b6f37c257811190dc9ffa68e42d430821bce142da0e499d2570f8ff58cf58c1e</t>
  </si>
  <si>
    <t>201472C03002</t>
  </si>
  <si>
    <t>c9bb646f0daa810840f3932c1005a05402420a27c89076ee41bb2fe7e24acf44</t>
  </si>
  <si>
    <t>201929B01002</t>
  </si>
  <si>
    <t>60f64daaeb84b87ab2dcc57f268d726a77e317032efed6b1a52f0192343f8562</t>
  </si>
  <si>
    <t>201929C01002</t>
  </si>
  <si>
    <t>5d8369453cf6ab3737c662e6673fc73fd694ee2fbf94f759eb031bf6e4340f6c</t>
  </si>
  <si>
    <t>201930B01002</t>
  </si>
  <si>
    <t>9fb6e67d3c6eb1a3f7e718a592b6a65c48d10b3dac16914220280ae5d7103746</t>
  </si>
  <si>
    <t>201930C01002</t>
  </si>
  <si>
    <t>c09f0721cc43f9c2f52728ab76f167db00e97be53505be81a11880dba0b07172</t>
  </si>
  <si>
    <t>201930C02002</t>
  </si>
  <si>
    <t>5b3e90ad6549f12581b6010b8ca407a79400532d585c7a0e86a98900a0ad3d0d</t>
  </si>
  <si>
    <t>201931B01002</t>
  </si>
  <si>
    <t>46e1106c7381574baeed22d6604b4d71f7e15ba52f63af6e73533e0ff88813e0</t>
  </si>
  <si>
    <t>201931C01002</t>
  </si>
  <si>
    <t>4ecd128ddf367d604f161d66fdaf35a071b7a47a5e5120ab20803666214526f8</t>
  </si>
  <si>
    <t>201931C02002</t>
  </si>
  <si>
    <t>adcf99e097cac630fd171e9b97f1c69d8dbe773b335e32db6b3c42443a862a12</t>
  </si>
  <si>
    <t>201932B01002</t>
  </si>
  <si>
    <t>44f7fd5ab1c1a5df3ae6a88ca7927e450576bcaaf6729c27d82bcce022e51bd5</t>
  </si>
  <si>
    <t>201932C01002</t>
  </si>
  <si>
    <t>f7c919044c1855413d9f6d80a2eddf251c11df81a1bd0316a3e785b3244c2d16</t>
  </si>
  <si>
    <t>200180B01002</t>
  </si>
  <si>
    <t>HEROICA CIUDAD DE JUCHITAN DE ZARAGOZA</t>
  </si>
  <si>
    <t>9cdd871209bb83506eea8a0ab5d0d96d8e0121b569df12df1a340280d41b0221</t>
  </si>
  <si>
    <t>200180C01002</t>
  </si>
  <si>
    <t>ea060af9f85e811d96b2d414a1e83150d2d62faa791a63c95ebfae34ad898eb7</t>
  </si>
  <si>
    <t>200181B01002</t>
  </si>
  <si>
    <t>ccfdba72f07a2e510a42678413101d1ccc802d48291c659574eb89e635f9d61c</t>
  </si>
  <si>
    <t>200181C01002</t>
  </si>
  <si>
    <t>f8fa247b4bce97ba0e3640a16fcc3cdf41b013a4b4055d296d2b3b2fd6b428f5</t>
  </si>
  <si>
    <t>200182B01002</t>
  </si>
  <si>
    <t>3efd56294eba30039b4d12030ec6501e231507b8c1bac6255907f94b0faab821</t>
  </si>
  <si>
    <t>200182C01002</t>
  </si>
  <si>
    <t>97404265b540803eeefcfb99093c7c4f62bf12f18d3a0c0b339ad66b9751aa2c</t>
  </si>
  <si>
    <t>200183B01002</t>
  </si>
  <si>
    <t>c584739e1dead4251cbceedad5b88f7ce643c4ccbf04daac04da931cc063a476</t>
  </si>
  <si>
    <t>200183C01002</t>
  </si>
  <si>
    <t>050acc1ef988f8a3d1ada91a7ea21056cea62a61844e2c9c6650c17c9604894a</t>
  </si>
  <si>
    <t>200184B01002</t>
  </si>
  <si>
    <t>7fac0519a8dde01931b1e4ef8c1867d453440c24b2d6227b6cecdf112a876b39</t>
  </si>
  <si>
    <t>200184C01002</t>
  </si>
  <si>
    <t>50d29c324a6c9fd9b2a5042832c841a5f81d0d2d796f7b6b2192ac42a4e73480</t>
  </si>
  <si>
    <t>200185B01002</t>
  </si>
  <si>
    <t>e36f2deb4cadb3254b37c8b6128074e57b9ab7e47b3cdb39e24ce5f8477f81d5</t>
  </si>
  <si>
    <t>200185C01002</t>
  </si>
  <si>
    <t>b534b79644841ea4f8a5cabb14d2204f73e01d2a7f787c68889ec46efb5ecbf2</t>
  </si>
  <si>
    <t>200186B01002</t>
  </si>
  <si>
    <t>0bb4bd90ffb973871d2f9867335b41e404f470d7de2c1e4a88c57d63b2f12c30</t>
  </si>
  <si>
    <t>200186C01002</t>
  </si>
  <si>
    <t>dcd72da6849c5aba028f31050e160424bc76b5a411d90a598cb9d3fbadd0c135</t>
  </si>
  <si>
    <t>200283B01002</t>
  </si>
  <si>
    <t>e8d3987e0d7359afc539c35ed06b6583f9b1ed6b367777576e374b68fcd24b58</t>
  </si>
  <si>
    <t>200283C01002</t>
  </si>
  <si>
    <t>00247f71d60530b18ed005f79265e5d5d82ce60a2491932275a2abe945ca44ed</t>
  </si>
  <si>
    <t>200283C02002</t>
  </si>
  <si>
    <t>8123fece3e4399ab4d863668e8229a797f2e0bd849e83e9772c0d061ef1ef083</t>
  </si>
  <si>
    <t>200283E01002</t>
  </si>
  <si>
    <t>a7a3f559d2b0924b4969bd910754f1999d9ae887e84d8f457e8f63ecafa85d2f</t>
  </si>
  <si>
    <t>200284B01002</t>
  </si>
  <si>
    <t>d9cc2f822dbe5e3a64517447d553431d682ff7c370b26ef1f19f5e77179eb9f8</t>
  </si>
  <si>
    <t>200284C01002</t>
  </si>
  <si>
    <t>463d9dd1e13f9c8397a8fd121b03f4af730981ae0f2baa5e5e319a2a037639c4</t>
  </si>
  <si>
    <t>200284C02002</t>
  </si>
  <si>
    <t>35b80ea1e78eb318468522a1e8edfc86335f8ca2935a9d3e032622d7a1bc8a6a</t>
  </si>
  <si>
    <t>200284C03002</t>
  </si>
  <si>
    <t>9d71c83d2876c3b82771e028ed9e8531487fb2009203d63d59ebd1cd57253dbd</t>
  </si>
  <si>
    <t>200284C04002</t>
  </si>
  <si>
    <t>6fb2262bf88b7f57b4d1f68cba503bc5ba58acbc4238f9091e4d1928b20f7973</t>
  </si>
  <si>
    <t>200284C05002</t>
  </si>
  <si>
    <t>623457088d363501910b2ddccc5b35329c977a8ee96fc543852bed1b178b0b57</t>
  </si>
  <si>
    <t>200284C06002</t>
  </si>
  <si>
    <t>91ac4729e98baadfc07abb4521ebe5aed9d755072f81602636c7ea9530f5dc73</t>
  </si>
  <si>
    <t>200285B01002</t>
  </si>
  <si>
    <t>dd5b09d416c2a413202c10eb6dd643dfa8f2734a27e8009ddb096e3c4c0f584b</t>
  </si>
  <si>
    <t>200285C01002</t>
  </si>
  <si>
    <t>113aec9d3ddc597999e653d0a5bd950ea8c5dd8e7a4a371f1fa07995cf3da130</t>
  </si>
  <si>
    <t>200285C02002</t>
  </si>
  <si>
    <t>147c38f47a3013e508a992c7d770cbdfe606b2b53eb992884d44ba72b50a4f80</t>
  </si>
  <si>
    <t>200285C03002</t>
  </si>
  <si>
    <t>fc458c5ed8a50a4414516e4977fe26c451ff154c64f71257e2a223cb3635117f</t>
  </si>
  <si>
    <t>200286B01002</t>
  </si>
  <si>
    <t>471182ef57a671e27109ae9c850dda8f198b8b8f22687ecb15eabdbc54e07b3c</t>
  </si>
  <si>
    <t>200286C01002</t>
  </si>
  <si>
    <t>94355eeddb38ad6e52ddb594761d53725b495822e3eac3b57bf5c7c057e11573</t>
  </si>
  <si>
    <t>200287B01002</t>
  </si>
  <si>
    <t>0206127dcaeb461e0dbe37f83e57f968f63fa4aed43c1106af340cd255eac868</t>
  </si>
  <si>
    <t>200287C01002</t>
  </si>
  <si>
    <t>d7737583d06c6568f3c946abca40bd1619685318a758df2692765a5e46cbf2d8</t>
  </si>
  <si>
    <t>200288B01002</t>
  </si>
  <si>
    <t>0889e7bf1ed7f33c09a40d1204568e6440e022f272e2917984ce80955f246e10</t>
  </si>
  <si>
    <t>200288C01002</t>
  </si>
  <si>
    <t>6b860408efef8db5d5f3b22df6ad49e6cdab102e9ae557d61daffe13f7ffa63b</t>
  </si>
  <si>
    <t>200289B01002</t>
  </si>
  <si>
    <t>3a29de88e67585f863101fb755cc0141ead2e9d2c2bde755232624232bd20164</t>
  </si>
  <si>
    <t>200289C01002</t>
  </si>
  <si>
    <t>a331d6f1131ae3704dec003bf86972d37ac635bee7cd8fc81e9ecb59afac8186</t>
  </si>
  <si>
    <t>200289S01003</t>
  </si>
  <si>
    <t>50158609519f0bd70ca3153471ddb422df6fd2775dfa8f048e8770ea7c9c352c</t>
  </si>
  <si>
    <t>200289S02003</t>
  </si>
  <si>
    <t>57a01e86698255b9feaa898b9a9698b4929a7a4e7d1468ef1b723a2c9b6ac515</t>
  </si>
  <si>
    <t>200290B01002</t>
  </si>
  <si>
    <t>91ccbd179da3f0406fec361ee7a5070ad63e8cbc60ff6f02c9108a36eea89622</t>
  </si>
  <si>
    <t>200290C01002</t>
  </si>
  <si>
    <t>323f33db1f16f3eec574c4c99d281ffb73289dcc27ac96a36a68631589885816</t>
  </si>
  <si>
    <t>200290E01002</t>
  </si>
  <si>
    <t>8b45bd80834844cee50e01e1174b0a2542e7f5c640916fb4aa34ee07a922422b</t>
  </si>
  <si>
    <t>200290E01012</t>
  </si>
  <si>
    <t>596b1b3105762fb394d4f524d9e411d2bd107cf373df3956b21afd402d6caaa7</t>
  </si>
  <si>
    <t>200290E01022</t>
  </si>
  <si>
    <t>60b93937d84fd7c71ddc94967de3d7683ce6e020af8421b9e020b2dcdc87118a</t>
  </si>
  <si>
    <t>200290S01003</t>
  </si>
  <si>
    <t>5b20aa67c4cb72667bb0e5946ddc70504b5e12503b90a19ba9b2733db3ddcfd1</t>
  </si>
  <si>
    <t>200291B01002</t>
  </si>
  <si>
    <t>e29c035c5eba1c3368dea9be13fc4bb0d6aeb877a149d595c75fe0c51572eda0</t>
  </si>
  <si>
    <t>200291C01002</t>
  </si>
  <si>
    <t>8365ea4f2b4fb812ab97917d3378e6bf7bd0139c83f4994cc01d21796b416a2a</t>
  </si>
  <si>
    <t>200291S01003</t>
  </si>
  <si>
    <t>198ae8b083be21be90a786ae0493f7335478aaec59a538d4d76ae1d3c0e70a19</t>
  </si>
  <si>
    <t>200292B01002</t>
  </si>
  <si>
    <t>d821d240f361c763aaadd4ba7fc28814fad911888287c37f20e75c0f49265025</t>
  </si>
  <si>
    <t>200292C01002</t>
  </si>
  <si>
    <t>e292d23aceef3f95572feaf702b6e14b6eb4d6fa1574be2b12f659683aaab2f6</t>
  </si>
  <si>
    <t>200293B01002</t>
  </si>
  <si>
    <t>0d576d94390958a5c0986c4ae94ab685afce17edec6911a50a677184a64f6d31</t>
  </si>
  <si>
    <t>200293C01002</t>
  </si>
  <si>
    <t>1608305311e04c3ff8dc0528cf14a32756f2ab4b25b04595aea3eb053deac0ca</t>
  </si>
  <si>
    <t>200293C02002</t>
  </si>
  <si>
    <t>a8f23c5e9af06e838cb33c766596e91b2b900439208212a40701383399a2a0a0</t>
  </si>
  <si>
    <t>200294B01002</t>
  </si>
  <si>
    <t>66a95fc30e9703799e402c76fab1ae84daa9b8c288d754fcf2e2b697fdebf909</t>
  </si>
  <si>
    <t>200294C01002</t>
  </si>
  <si>
    <t>469834ce47a96708b2bd57fb714dd09021d4c0954bbaa6f00431557bfd8887f9</t>
  </si>
  <si>
    <t>200294C02002</t>
  </si>
  <si>
    <t>e7401de6612ff55bd699fd1da89c28d0c35fbc8b6bb93cdf8b4c785a03da1ba8</t>
  </si>
  <si>
    <t>200294E01002</t>
  </si>
  <si>
    <t>c97cc7d1b1e9a29deeed5a70b156bb8dd8855cf07e6144e1aa61d793dd347d68</t>
  </si>
  <si>
    <t>200294E01012</t>
  </si>
  <si>
    <t>6ca94dac032b9cc07a7df6108c13f92b81232cb26e73f32c07f8bbfddeb6a097</t>
  </si>
  <si>
    <t>200295B01002</t>
  </si>
  <si>
    <t>b94740f7216e0a84a8635ed664001388a3db1847b76c7f033c14a1a5aaf8a792</t>
  </si>
  <si>
    <t>200295C01002</t>
  </si>
  <si>
    <t>b15b26e7cc0e80d3d3c9f0d47b20693687d7957d98ecaecdbc1cda05783bae69</t>
  </si>
  <si>
    <t>200296B01002</t>
  </si>
  <si>
    <t>64f5dc4cc8d5a48b1605066831f87f8e62b1058a663a08709a261788ba6ecfdd</t>
  </si>
  <si>
    <t>200296C01002</t>
  </si>
  <si>
    <t>1f98923e985c8926922d8e649da0f599fac5ac5eabfaae2926921d3f7a55e466</t>
  </si>
  <si>
    <t>200297B01002</t>
  </si>
  <si>
    <t>f4e8ccc01d29e8c6689d09812137ed5d3819c8286fe28e4e9e4567ddb35edbfb</t>
  </si>
  <si>
    <t>200298B01002</t>
  </si>
  <si>
    <t>80fe083a4a9dbe3f7a1bd33683fb852c4622b074741a431c20534ec946cf3fbd</t>
  </si>
  <si>
    <t>200299B01002</t>
  </si>
  <si>
    <t>facaaf9bcf3f32288d937248d3a232ca1e780f7eef80ee13d78e6e8bc466c6ae</t>
  </si>
  <si>
    <t>200299C01002</t>
  </si>
  <si>
    <t>6136ef694c8ad1c6ddc32705ef629b0e098cec4ed41b6aa76e6e5bbbe1129eca</t>
  </si>
  <si>
    <t>200300B01002</t>
  </si>
  <si>
    <t>9c41b9f33cd70ebd3182993846005baf55d4007efd47129ebf9cadac33f684af</t>
  </si>
  <si>
    <t>200300C01002</t>
  </si>
  <si>
    <t>a00abd5cd2b31d5a876a9416d61460ed0c0ea54525247ad06d90d467581b3274</t>
  </si>
  <si>
    <t>200300C02002</t>
  </si>
  <si>
    <t>f23733ef2b2f931a245c9de0954c6e9eae354a726019f9291797e17c7e031f14</t>
  </si>
  <si>
    <t>200301B01002</t>
  </si>
  <si>
    <t>d5c666ee9b510253ab405b12c7a3c2f6e9d59d7a4c10099310b30eb4556f2440</t>
  </si>
  <si>
    <t>200301C01002</t>
  </si>
  <si>
    <t>640a828dc5f3125c0e1b6a176588c0f21ef8d296f384b733f9d5226001e908db</t>
  </si>
  <si>
    <t>200302B01002</t>
  </si>
  <si>
    <t>760fd293d87507ffbc0823614c6cfafd0c42dcb8e537df18b4d44c9bb6aff1be</t>
  </si>
  <si>
    <t>200302C01002</t>
  </si>
  <si>
    <t>67b1f9f841b22c6a9fed52343a13c12c1bc97942327f8489c0d455d1a95c7a3d</t>
  </si>
  <si>
    <t>200303B01002</t>
  </si>
  <si>
    <t>e0c865db5d2d2a5ca8f7d5f9bfbb29cfce3677f2ab068502da70caa06205b4da</t>
  </si>
  <si>
    <t>200303C01002</t>
  </si>
  <si>
    <t>ac253053034e5ea9fc41b52be62be0034ccffb2a4d0a87f2a3434aa80206d876</t>
  </si>
  <si>
    <t>200304B01002</t>
  </si>
  <si>
    <t>c0d4c39f5db058e43da816e39909a6649fb46e404bbd6b3638e1a032b441ba2f</t>
  </si>
  <si>
    <t>200304C01002</t>
  </si>
  <si>
    <t>b702f4bfa9d236b376100cd6eb7174165d7f38f244ca61bb96785b2be77f17b9</t>
  </si>
  <si>
    <t>200305B01002</t>
  </si>
  <si>
    <t>20edcd5cb5f03a4283e518e0ff504d594083986d03ee097b85e9288421d5f265</t>
  </si>
  <si>
    <t>200306B01002</t>
  </si>
  <si>
    <t>ecaede7102b6205c172387124fc76c840e2150b00bf331d4de383e085e4ddbae</t>
  </si>
  <si>
    <t>200306C01002</t>
  </si>
  <si>
    <t>e2737a24657ee1109e00a202e747979c4ddbea132f95e369bcd61ca0c7a3413a</t>
  </si>
  <si>
    <t>200307B01002</t>
  </si>
  <si>
    <t>856498d43861082d97e0ba89d61f5866c68897fb72f2610d8bf0a0b08272fa33</t>
  </si>
  <si>
    <t>200307C01002</t>
  </si>
  <si>
    <t>3bec6b3818f7793b9c863a794307afb13f0efd1c75f77faf0555b68106112272</t>
  </si>
  <si>
    <t>200308B01002</t>
  </si>
  <si>
    <t>493f6b83f705cf462e668c1b5d8cb9fa28a23e384ee9f724722c2389c8927b56</t>
  </si>
  <si>
    <t>200308C01002</t>
  </si>
  <si>
    <t>6fafaa78e2ed09747671465e0a5b9dc55a94c92ee1f7600f47e779d9b64762db</t>
  </si>
  <si>
    <t>200309B01002</t>
  </si>
  <si>
    <t>324f77c718eff26750ffb2a25c61d8edb348cc55c10f99834977137a826ed7dd</t>
  </si>
  <si>
    <t>200310B01002</t>
  </si>
  <si>
    <t>fcb5b03a0608f9b065b50be670250a2766484113313a46de3e157e3ef595c9e3</t>
  </si>
  <si>
    <t>200310C01002</t>
  </si>
  <si>
    <t>36e973d2fb9d91dd2e51f271d1e8475324be9a6fd568188b827fb5fa6743ae57</t>
  </si>
  <si>
    <t>200311B01002</t>
  </si>
  <si>
    <t>5442580637fe4f7a3fb5734984f65af2bef6abbeeeb5f8ab6974e9af4cfb4a76</t>
  </si>
  <si>
    <t>200311C01002</t>
  </si>
  <si>
    <t>30ddc00c63b42715f82132d11047c321335fadf72108460897ab2ba0a33fd428</t>
  </si>
  <si>
    <t>200312B01002</t>
  </si>
  <si>
    <t>c1f68608211c6383347464228af23fffe49bc503ae94fb0aeef14db248123081</t>
  </si>
  <si>
    <t>200312C01002</t>
  </si>
  <si>
    <t>1d36dac37d28e56de3074fcbe4dffc311c47e7b66f009432b8ce435325ae8886</t>
  </si>
  <si>
    <t>200313B01002</t>
  </si>
  <si>
    <t>47878eedd11fd237c2476bbe76a4a0ab8649936b2f0eb182a7c778795a32adaf</t>
  </si>
  <si>
    <t>200313C01002</t>
  </si>
  <si>
    <t>c9618b3b930521b56a2576ef6712f804471c4ce1cf41f7d9dea29529c004be09</t>
  </si>
  <si>
    <t>200314B01002</t>
  </si>
  <si>
    <t>0186e235844b80c0e248379b5f420f402a73c82793308e7e66df42a86aed7dcb</t>
  </si>
  <si>
    <t>200314C01002</t>
  </si>
  <si>
    <t>1a2cc3e29b44c29609ff84b6d2bb1d2b56b8c7beaaeb2b3dca50fccc3af28815</t>
  </si>
  <si>
    <t>200315B01002</t>
  </si>
  <si>
    <t>197a4ecccabc8bf6c37cda88461aa9dceeb8c5e15d4576fac05879da29c91e06</t>
  </si>
  <si>
    <t>200315C01002</t>
  </si>
  <si>
    <t>dd594cf3d93d82b5d79e22f12ecb45945e7fca04ebd04fc77bc0a5e24a29984e</t>
  </si>
  <si>
    <t>200316B01002</t>
  </si>
  <si>
    <t>da1311932de6e545520ae773b1fba8681ef7cc90a74e76e4fccee4f65b92a095</t>
  </si>
  <si>
    <t>200316C01002</t>
  </si>
  <si>
    <t>33d0f76c0926147f2fcb234a81e95b45d842e8e800c09c2c94e5eea2af38c833</t>
  </si>
  <si>
    <t>200317B01002</t>
  </si>
  <si>
    <t>0aa6d8c94cf64842abbbbc7127f25e224ce85563d893c95f45ffd96aa33cffec</t>
  </si>
  <si>
    <t>200317C01002</t>
  </si>
  <si>
    <t>0f59b39d6faee6f5925fefe78b91c5444f5d9dc1a7540e31962ea80abb083f09</t>
  </si>
  <si>
    <t>200318B01002</t>
  </si>
  <si>
    <t>3eb6b9bcf92ceb0d0462098c1602b103b2f7dbd9cd682fda42f2a625d224f7aa</t>
  </si>
  <si>
    <t>200318C01002</t>
  </si>
  <si>
    <t>020c9afa395893c9ac390f439b35767fb2a529dd85d38fd3b07a112579f9e16c</t>
  </si>
  <si>
    <t>200319B01002</t>
  </si>
  <si>
    <t>015c3699976b8790dbb82566851918de0cb2b580dffab8adff59ec32e1a7d34f</t>
  </si>
  <si>
    <t>200319C01002</t>
  </si>
  <si>
    <t>54d0311666c0975ed3d9994cde3612e8d0d8ee9580d02a5426de0b888adca95b</t>
  </si>
  <si>
    <t>200319C02002</t>
  </si>
  <si>
    <t>d7670e1a144b465d170e7b6e737c9b6778192d7df3faaac277087265871e7d18</t>
  </si>
  <si>
    <t>200319C03002</t>
  </si>
  <si>
    <t>72be243414a851e5e1ee94036d56af22adae51a98b26b44ddd4047d2e5040dc9</t>
  </si>
  <si>
    <t>200319E01002</t>
  </si>
  <si>
    <t>d4c1b424d6012d3ada95ce376d96d45b2f81c77b03f4ffaefb6f5a235c91bcd8</t>
  </si>
  <si>
    <t>200320B01002</t>
  </si>
  <si>
    <t>b4f0d459447486eb1cbdb4d9707649716721d67a20d61343234d77d1cba9ec52</t>
  </si>
  <si>
    <t>200320C01002</t>
  </si>
  <si>
    <t>e8fb138e1f15a86bb980e7aaa5d16f98c575e03b5a0ab641580dca4f632066f9</t>
  </si>
  <si>
    <t>200321B01002</t>
  </si>
  <si>
    <t>80711dec5b60991d317e7c5b465f7f9395103d5859b3b01c7f6fa83246f128a0</t>
  </si>
  <si>
    <t>200321C01002</t>
  </si>
  <si>
    <t>11a7a34d7cd4b14237767fc7ff8e4c26c960c37d182e86b75f815e7567ca1468</t>
  </si>
  <si>
    <t>200321C02002</t>
  </si>
  <si>
    <t>e3c6b422824e7d030c204ec42ac87b1612b6f430f2bbb8acfc2514e5b21a1feb</t>
  </si>
  <si>
    <t>200322B01002</t>
  </si>
  <si>
    <t>dd281d770330b5fc9ba1c18528c1f275b28d24f32f7ec6694a00f503881b4fc2</t>
  </si>
  <si>
    <t>200322C01002</t>
  </si>
  <si>
    <t>b1f247c66c12d59f66e64eec3dde6b3abc18421400dd27541e8ddb1909fa0198</t>
  </si>
  <si>
    <t>200322C02002</t>
  </si>
  <si>
    <t>e2122ca3e05b074ccd5948a297a2cd34014354163d0b6de23102732c8f126c69</t>
  </si>
  <si>
    <t>200322C03002</t>
  </si>
  <si>
    <t>b0488e9ca38e03795b29b9552cabb6edc519c89ed282c8931ecf85281b5dccf8</t>
  </si>
  <si>
    <t>200323B01002</t>
  </si>
  <si>
    <t>6379851aa35b93b794ebbec7daad24273acf3c1d6bcbe27579d4d5e4a8780f55</t>
  </si>
  <si>
    <t>200323C01002</t>
  </si>
  <si>
    <t>b2ad1af19c4e2a735810458707c13b8842b2902826cd10862676333e661f0d09</t>
  </si>
  <si>
    <t>200324B01002</t>
  </si>
  <si>
    <t>5da6e1ff8d1affe321a5d8515837e60850a7cb09f8c535aba63bf1f47761a67a</t>
  </si>
  <si>
    <t>200324C01002</t>
  </si>
  <si>
    <t>8c46b60aa2fbac8519e74bbeda34823406fb9cfc062ea2a2706a1873074c119e</t>
  </si>
  <si>
    <t>200325B01002</t>
  </si>
  <si>
    <t>9ebb8ee4cd1c1d175e1a115a3c981b57f3043da58d198ea904ff943d123e2071</t>
  </si>
  <si>
    <t>200325C01002</t>
  </si>
  <si>
    <t>b91562b79d02d5a58b8b555382fc26ed1586864ab773ac6005731f14e1bec647</t>
  </si>
  <si>
    <t>200325C02002</t>
  </si>
  <si>
    <t>ef58eb35f91f063dae2693f21dc3f70eeaa772f7a66daefc46e18817dad520f3</t>
  </si>
  <si>
    <t>200326B01002</t>
  </si>
  <si>
    <t>0ae62b136e12203884ee0d5b40d835869c3b788c922db1ce1b99074760a20e72</t>
  </si>
  <si>
    <t>200326C01002</t>
  </si>
  <si>
    <t>7fd23a807e68440e238321eb19a4aeec7592a06893ec20a4feb0c1984ab05885</t>
  </si>
  <si>
    <t>200326C02002</t>
  </si>
  <si>
    <t>0332e6ef143eede98e86cf658cebc1383d221f5e4203ff8d21e1fddf0c6f806d</t>
  </si>
  <si>
    <t>200327B01002</t>
  </si>
  <si>
    <t>0c855ad4345c2c50b24e8b4a2c8c8c2ab9e19665874e31caa54e88c02c8356eb</t>
  </si>
  <si>
    <t>200327C01002</t>
  </si>
  <si>
    <t>bb84a2f9a0bca97c715674b0de8857fa39c2b079a32bfa02c22fe9d082450819</t>
  </si>
  <si>
    <t>200328B01002</t>
  </si>
  <si>
    <t>e3abeaac672133a812d4db4c5bb7be199922086f2fa5fd082c02038307e4a279</t>
  </si>
  <si>
    <t>200328C01002</t>
  </si>
  <si>
    <t>58c4930bf6ec12c8031398858c4b042180b9c982cd2900f72097244b1478b334</t>
  </si>
  <si>
    <t>200329B01002</t>
  </si>
  <si>
    <t>d6b6658a89e7d475779bc4217f3eedfe2b73c1e1649682a3284dfedda091e3ef</t>
  </si>
  <si>
    <t>200329C01002</t>
  </si>
  <si>
    <t>c6bf2ed770c1571fac07c520bc87c98f79c1f50442c89e57f5469389d89e0835</t>
  </si>
  <si>
    <t>200329S01003</t>
  </si>
  <si>
    <t>bde2b55e286f330d52071f3068f234ba9da2d3e855a8006d748160e7a06bef34</t>
  </si>
  <si>
    <t>200329S02003</t>
  </si>
  <si>
    <t>d3baa76575b8d198c7221093fea180ce538d3d62c3c651d5ec7516561e6fbdc6</t>
  </si>
  <si>
    <t>200329S03003</t>
  </si>
  <si>
    <t>88235ea40c10e1188e404f836a09736b813809e885e9697ecf864eb68cbebc1f</t>
  </si>
  <si>
    <t>200331B01002</t>
  </si>
  <si>
    <t>ec2ef75f59b2388dd2632917ee81014e947d90f4116f4e15a2010832a8ab6508</t>
  </si>
  <si>
    <t>200331C01002</t>
  </si>
  <si>
    <t>d14eb1e261ea929ebb172ce487cffc9a1399b3d19e21472e0839378555775e54</t>
  </si>
  <si>
    <t>200331C02002</t>
  </si>
  <si>
    <t>036bef9e7f5e60ef8d1f904f20895cf15e6ec49e331a8a50c63d19820b89294a</t>
  </si>
  <si>
    <t>200332B01002</t>
  </si>
  <si>
    <t>79bb2249c5348a7ec766aa89cce7ff8da8e66ddf523dbb1a59b9f96ece79ef6f</t>
  </si>
  <si>
    <t>200838B01002</t>
  </si>
  <si>
    <t>8a16e2985d26f2d57753c74ca06f7ba8d1c6fb74e18acfab15e31cd44aefa6a1</t>
  </si>
  <si>
    <t>200838C01002</t>
  </si>
  <si>
    <t>6f964408bb29d8444a3ab7b729817505e07058b13c9a279f55e6d6becf7f1d17</t>
  </si>
  <si>
    <t>200838C02002</t>
  </si>
  <si>
    <t>7a9e020332edd4c0fcd9a238fe8c5e5a1d41e8a94dc06f20eb751879b686e731</t>
  </si>
  <si>
    <t>200839B01002</t>
  </si>
  <si>
    <t>0107ff111e4cc25543ce5e627ac04f569db9b4dd871c4a46bd663eae476070fd</t>
  </si>
  <si>
    <t>200839C01002</t>
  </si>
  <si>
    <t>6b0d8328150a791f55a2051b7169cdc0279c6de72011c35799f3b2efbf1037ac</t>
  </si>
  <si>
    <t>200840B01002</t>
  </si>
  <si>
    <t>caa2b7a7a770a0926eaebe6c58c8c939648f58434af4c0b1a35750ee35b1c0da</t>
  </si>
  <si>
    <t>200840C01002</t>
  </si>
  <si>
    <t>657dd24d01d0c31521291bf2cd626b3bb702ec26d78083876c0565f2b9d454f6</t>
  </si>
  <si>
    <t>200877B01002</t>
  </si>
  <si>
    <t>b51b9574ba7629bdb3ad0bcef14811cc31d4916b3054c4e32ade4fd2ac49ea6f</t>
  </si>
  <si>
    <t>200877C01002</t>
  </si>
  <si>
    <t>04e9ed8c4e419c69b7829280a03279b6121977bb466587e390a16f326cfcd7d4</t>
  </si>
  <si>
    <t>200877C02002</t>
  </si>
  <si>
    <t>a2a80a4c9660c516b62e6c10836f26df800431ab73121e269c76a1b265e8023a</t>
  </si>
  <si>
    <t>200878B01002</t>
  </si>
  <si>
    <t>67529af88a851a9e30f5a67c71a30ad91775205ff5adc8eedd7412d5700d5d9f</t>
  </si>
  <si>
    <t>200878C01002</t>
  </si>
  <si>
    <t>298fe45d7d4e6f4e9e8ff0a2bb29224e3d0a4f3e3475faa76fefd644441bd724</t>
  </si>
  <si>
    <t>200878C02002</t>
  </si>
  <si>
    <t>2d563d5eccb57a3533c9ffc5d133429c30546475172ba9230f46f379a46d9da8</t>
  </si>
  <si>
    <t>200879B01002</t>
  </si>
  <si>
    <t>848b366ba807de20f12e0340d90f624175f493ba85d25be9e116333ac34048d2</t>
  </si>
  <si>
    <t>200879E01002</t>
  </si>
  <si>
    <t>6fdedf74a40ec5e652c1badbd750991b0dd991f8b5b1546d90b3ffd0c900629b</t>
  </si>
  <si>
    <t>200880B01002</t>
  </si>
  <si>
    <t>99defad92ecf8309cc84fbc6f244434189685e2827e4737ba81d00fedcde20e3</t>
  </si>
  <si>
    <t>200881B01002</t>
  </si>
  <si>
    <t>77ca5f3a54ca56035836c8fac3beb23a604bda5c7fc78d3cdfd4456e664060ee</t>
  </si>
  <si>
    <t>200881C01002</t>
  </si>
  <si>
    <t>9ff352796d0e88899483c597d19ba0635ada48f80d52c8357b31cef8c7035905</t>
  </si>
  <si>
    <t>200883B01002</t>
  </si>
  <si>
    <t>9219dc29a5fdd8c2a677a3e060e9f1167e82a3f5bf72fd58e05803ff113cdf8c</t>
  </si>
  <si>
    <t>200883E01002</t>
  </si>
  <si>
    <t>9e43f99c1b7e280727ac2f4faee3270c9b318fb2578a7307fa5cd9643fb0bf42</t>
  </si>
  <si>
    <t>200884B01002</t>
  </si>
  <si>
    <t>3b00377aca07e6a5649add8edb53a86c29276b49f74183e1e0d778d350386e24</t>
  </si>
  <si>
    <t>200884C01002</t>
  </si>
  <si>
    <t>92e8255a3ee4331fb88b5fa266354f9e7531df25b9066b9c333c87986e829e45</t>
  </si>
  <si>
    <t>200884E01002</t>
  </si>
  <si>
    <t>26ee5bf8bcf058dbeb246e2b7da587a824a83273725351c76c2ac451ffb31081</t>
  </si>
  <si>
    <t>200885B01002</t>
  </si>
  <si>
    <t>152244410a0575b09c507a838135619dc780c1f1dc8ee68d6c1d0bc3ad528f0f</t>
  </si>
  <si>
    <t>200885C01002</t>
  </si>
  <si>
    <t>186884db7d79084779b1a3c1bf6ea92d367e318b6f2b94784521530f106b5082</t>
  </si>
  <si>
    <t>200886B01002</t>
  </si>
  <si>
    <t>2e395fd4fe9ab4998c2b48e0fbc68adfc2426f1d24eca7d6622723c6e4dc39d5</t>
  </si>
  <si>
    <t>200886C01002</t>
  </si>
  <si>
    <t>673ee19f6107e3bcc7afa6306eaac21d4de849f1ca72372525dadf7e4feee002</t>
  </si>
  <si>
    <t>200887B01002</t>
  </si>
  <si>
    <t>3b18defb6aad45e70a158d86d825d91217a908c5388b768457bb3a50db7fbb11</t>
  </si>
  <si>
    <t>200887E01002</t>
  </si>
  <si>
    <t>0ff22a428df9b5c102c83bab091488c9e8a960b11597c2fd7978e6076598e0f1</t>
  </si>
  <si>
    <t>200888B01002</t>
  </si>
  <si>
    <t>69c498527b0225287d9ff4bc23911519a128995c02652bf1e808b7e0a74fe40f</t>
  </si>
  <si>
    <t>200889B01002</t>
  </si>
  <si>
    <t>95e0185ca85c4509aac23135cae077441554b900adac70738dba3522b4980d3f</t>
  </si>
  <si>
    <t>200889C01002</t>
  </si>
  <si>
    <t>8fe7d55f4b1aee1b302b9b7191594001b181d46548e6149978a40d48c9c0e401</t>
  </si>
  <si>
    <t>200890B01002</t>
  </si>
  <si>
    <t>0c0ca154347a7a9b2846671494f9ca8b4f4c716ff7c7032ade8159848c3a9ea8</t>
  </si>
  <si>
    <t>201297B01002</t>
  </si>
  <si>
    <t>7ade5cff003c93fc61377c43364848af11cac3a64604518eae508de5d44f38bd</t>
  </si>
  <si>
    <t>201297C01002</t>
  </si>
  <si>
    <t>e41c2a12006fcd614d521ed458dc5d48fab130a6772737a37c583d6d79572132</t>
  </si>
  <si>
    <t>201297C02002</t>
  </si>
  <si>
    <t>5dcdfd6d07b09a78ad064174530dcfc68abc93113a051f24e16c06a5fe1646b9</t>
  </si>
  <si>
    <t>201298B01002</t>
  </si>
  <si>
    <t>9dc56f0957e4c8d9b8c87bfd76354f42400d261dcfca6e41228c39d765448cee</t>
  </si>
  <si>
    <t>201298C01002</t>
  </si>
  <si>
    <t>04938e6e61525bbfacc77300095539c6b9bb576185f01774b982b6530356d8ea</t>
  </si>
  <si>
    <t>201298C02002</t>
  </si>
  <si>
    <t>d215cd6e071e3d1cffe7efa9afdcf8de4500ea2915d0ed94d5e46c14b0d4038e</t>
  </si>
  <si>
    <t>201299B01002</t>
  </si>
  <si>
    <t>083bae433f8a047e89cca0b2f08e049fead527abcd4d71f937f5702038de381c</t>
  </si>
  <si>
    <t>201299C01002</t>
  </si>
  <si>
    <t>52a61e55adf2352d08fc2f826892519504d039b658444036290a7461a727216e</t>
  </si>
  <si>
    <t>201299C02002</t>
  </si>
  <si>
    <t>386938a27fe51930de9a08c9970566ce339682ac52a4118528b9a7f843db12b6</t>
  </si>
  <si>
    <t>201300B01002</t>
  </si>
  <si>
    <t>7ce8f38fda3199d852946dfee04753096acd5279cefe8f1f1d344c682a97793e</t>
  </si>
  <si>
    <t>201300C01002</t>
  </si>
  <si>
    <t>ce48261cd714a9a8ea54a77d4786f26500d7748de02bc83cbf174788fc691260</t>
  </si>
  <si>
    <t>201300C02002</t>
  </si>
  <si>
    <t>4ac5eea1466bbd8dae0faf08b24ef42ee6e2958f16cdb966fe375ee2a909ff9d</t>
  </si>
  <si>
    <t>201300E01002</t>
  </si>
  <si>
    <t>a59fd82c51ad8befba95c53bc919e0646731f3524bb2a1b62091839fec92f640</t>
  </si>
  <si>
    <t>201301B01002</t>
  </si>
  <si>
    <t>0759c6385a321053c819d65fcfb37f0201e8c7b9d5450e9eb36eae99f9932486</t>
  </si>
  <si>
    <t>201301C01002</t>
  </si>
  <si>
    <t>18f932eb49426a4d4fe1efee8bab43426e783d046bed6393c76d8a01cd5e9c20</t>
  </si>
  <si>
    <t>201301C02002</t>
  </si>
  <si>
    <t>da2a8dff3475fe39ab93c7d20cae7257cb26b27b26603254f16408e6de8f0cc2</t>
  </si>
  <si>
    <t>202394B01002</t>
  </si>
  <si>
    <t>0a5b5ea55867813f435528c8e4b4d5cdfe62addb1e187af05d1b924b94980ec6</t>
  </si>
  <si>
    <t>202394C01002</t>
  </si>
  <si>
    <t>9ef3332c51d9ab8d0baa5bf703f4ce930f556781f74cdf2bfeb4788e553a4ab9</t>
  </si>
  <si>
    <t>202395B01002</t>
  </si>
  <si>
    <t>a59fcf735b81a578c1d7e1f96a17ff773c0c597782c56493870e8c9e98ac9ad2</t>
  </si>
  <si>
    <t>202395C01002</t>
  </si>
  <si>
    <t>256ee4aa8bde631ada6c44e10b17b1f474ba88fa1f58a9f1718e81642080271b</t>
  </si>
  <si>
    <t>202396B01002</t>
  </si>
  <si>
    <t>53683ec6936bc0339438e24805be332ac539ab0f3420c0f64c7d21c4b2834ac0</t>
  </si>
  <si>
    <t>202396C01002</t>
  </si>
  <si>
    <t>2d9202fc067ba54e5784f8819c4179886b65dfc6fe6b6f50fb6ba4a86973dd14</t>
  </si>
  <si>
    <t>202397B01002</t>
  </si>
  <si>
    <t>bf76d9c62ce23e0bed9ee4fd3c2ec937ba5b4e2111c6801a0c261c9ff9167856</t>
  </si>
  <si>
    <t>202397C01002</t>
  </si>
  <si>
    <t>3ac0742f313ef7dec2de26946a6924c8ec2668141ef0676f3e1352ebe38529b2</t>
  </si>
  <si>
    <t>202398B01002</t>
  </si>
  <si>
    <t>1b80b6142a937b44abe64500305fec0fc3df72ba6b4279acad4a5961a866a46a</t>
  </si>
  <si>
    <t>202398C01002</t>
  </si>
  <si>
    <t>26ca40913d24fae620bac5c1ddff4e0de8d629e913f28143e9a865c2262d0aac</t>
  </si>
  <si>
    <t>202399B01002</t>
  </si>
  <si>
    <t>1b70e194013add5548a3a6d55273d498889c6180dadef0914ea2082b2d2ee800</t>
  </si>
  <si>
    <t>202400B01002</t>
  </si>
  <si>
    <t>5cfa78f218e997f64af1f9e5a1e642d2a8e3851f3b8304f48486aabe258a86b7</t>
  </si>
  <si>
    <t>202401B01002</t>
  </si>
  <si>
    <t>6cb6e4ab7322a54e15c2652ce047394ad1cdbb77bb4b443b91e9165e4a95dd3c</t>
  </si>
  <si>
    <t>202401C01002</t>
  </si>
  <si>
    <t>fae63380da694ef7ba6dec70ecbfb895c87cee4d44bd39d0174e2a8303ea4a4b</t>
  </si>
  <si>
    <t>202402B01002</t>
  </si>
  <si>
    <t>a1dfeba065ac48f614757c583604eb69d434ebf2ed03ab7677a779aff51d1173</t>
  </si>
  <si>
    <t>202402C01002</t>
  </si>
  <si>
    <t>089876fa2f98b077457c5ffb60cc676735d3e6a3d886b0663dc75cb86aaaf9c6</t>
  </si>
  <si>
    <t>202402C02002</t>
  </si>
  <si>
    <t>25c09e72615f603f6b9889a6d8ebf00959b3ad7b375f1e62623dfa231837f4f6</t>
  </si>
  <si>
    <t>202403B01002</t>
  </si>
  <si>
    <t>de8c9ad514b51b8e09d9ed4d488f19ac3667d6a4c4b560f9a3943ae26a3730fe</t>
  </si>
  <si>
    <t>202403C01002</t>
  </si>
  <si>
    <t>510e2f8b9f30cb05f99b27c5527812d9444eed588ddde60339c02a7c573fa9e0</t>
  </si>
  <si>
    <t>202404B01002</t>
  </si>
  <si>
    <t>39c9d7b8a24febf2d075e30cc6d3b0d80cca963f68917521fbae88387f525abb</t>
  </si>
  <si>
    <t>202404C01002</t>
  </si>
  <si>
    <t>1648ed399e7c8f5eb3e1f9a7bcccc5a78f1331933ec125d4fa9ada7125cff3ef</t>
  </si>
  <si>
    <t>200113B01002</t>
  </si>
  <si>
    <t>HEROICA CIUDAD DE EJUTLA DE CRESPO</t>
  </si>
  <si>
    <t>7f07c433c5967048a3c10a98035c14921561e7e3e775ebc96b024f65e4d23909</t>
  </si>
  <si>
    <t>200113C01002</t>
  </si>
  <si>
    <t>805c6f31547cb06cf7dacde479a67c4ab22284ace316d963a21dc9f2afa16e08</t>
  </si>
  <si>
    <t>200114B01002</t>
  </si>
  <si>
    <t>b04397b827a6489aabbd950bbdb48a304ed69429fc71f7e7310808bf80d3d4f4</t>
  </si>
  <si>
    <t>200114C01002</t>
  </si>
  <si>
    <t>b7c2fff91c20a494e64537d1113afe68411c59272090c43c87deea54ad9a417d</t>
  </si>
  <si>
    <t>200115B01002</t>
  </si>
  <si>
    <t>e31760e56160108a14ff997bb21f900106e16f574e8a7f25a09a3c5b32a474cc</t>
  </si>
  <si>
    <t>200116B01002</t>
  </si>
  <si>
    <t>6596ab525db6ada853f00a85921f14d54cd33d33874c4c3d85c57bfb5b145f52</t>
  </si>
  <si>
    <t>200116C01002</t>
  </si>
  <si>
    <t>1d6d3a21b1703f4c79ac23e929a416fe1819350f7d4bd711e9fdc95479abdf7d</t>
  </si>
  <si>
    <t>200121B01002</t>
  </si>
  <si>
    <t>fd10663a5f8f149782a4fa741cab83c85671697bd1adad3aa48c2a0409794d86</t>
  </si>
  <si>
    <t>200121C01002</t>
  </si>
  <si>
    <t>215ab233ed72eb611c079573ba380a504768553da17df312aa1e82cd3146b878</t>
  </si>
  <si>
    <t>200122B01002</t>
  </si>
  <si>
    <t>ddad1bd82296b9fc2085b7ae1bffc4a84191b02b204147bb150dc2228e2b849a</t>
  </si>
  <si>
    <t>200123B01002</t>
  </si>
  <si>
    <t>64209d1938b84317a242120a5b8a78bdd92231b26decafbd3b32d2f561bada91</t>
  </si>
  <si>
    <t>200123C01002</t>
  </si>
  <si>
    <t>11933ebb68b5bb735591e3e1f0b287893c99ca4498c64a7820230d402b237be1</t>
  </si>
  <si>
    <t>200124B01002</t>
  </si>
  <si>
    <t>75e7b218299de985c70839ca08dcbfe6b51b575966a958c05ff3ceb1cab51ee2</t>
  </si>
  <si>
    <t>200157B01002</t>
  </si>
  <si>
    <t>cccbc2b78d288d1fef450761d6552afb1f8133fb135d01e384ccbcd3bae2608a</t>
  </si>
  <si>
    <t>200157C01002</t>
  </si>
  <si>
    <t>66dc990b280f2c687114be3fed59431db2dee7297bb2038bb1ec8ad839f93323</t>
  </si>
  <si>
    <t>200157C02002</t>
  </si>
  <si>
    <t>475b4410c497eb8d075ea6299ae74bc4c8caae2b92ea0a144fbbd87dc487ea51</t>
  </si>
  <si>
    <t>200157C03002</t>
  </si>
  <si>
    <t>959d223e2f5d625c1123ae79abd8e6d2738b69be23a29b2ba401491fee28b0cb</t>
  </si>
  <si>
    <t>200158B01002</t>
  </si>
  <si>
    <t>276b0a45c44b51eccef85c40de23559777bc859fba4e03d56035f1c3ad888749</t>
  </si>
  <si>
    <t>200158C01002</t>
  </si>
  <si>
    <t>e95e2d1cdd72a033ec486f1f9b5ff9ebbf51eca745090efd662f39e2aeebe0e3</t>
  </si>
  <si>
    <t>200158C02002</t>
  </si>
  <si>
    <t>5d3a176cf601514ff67fddda64b0159cd2797154ba3ac82e5aa41157673ca32c</t>
  </si>
  <si>
    <t>200159B01002</t>
  </si>
  <si>
    <t>1991ad2cc22a33e9d74be29dd701485cb9461b165b53fa588017d73455b425f8</t>
  </si>
  <si>
    <t>200159C01002</t>
  </si>
  <si>
    <t>4ce48998008c1f956b2b51116908756c4522fbf1082606ee0d4463bd119431b9</t>
  </si>
  <si>
    <t>200160B01002</t>
  </si>
  <si>
    <t>6045acd301e771f209db48b20c5b6805f620d1742ee3f571f9f2f8226a4780e2</t>
  </si>
  <si>
    <t>200160C01002</t>
  </si>
  <si>
    <t>9c7cb58adb886dc4e3e35e5152814d44549180b8061bc7a3fc1aab4873e53d41</t>
  </si>
  <si>
    <t>200160C02002</t>
  </si>
  <si>
    <t>2a858a5be2b0c0b8f384234d1f1fd579bac0461582c43216b920a60ef68e6b3d</t>
  </si>
  <si>
    <t>200160S01003</t>
  </si>
  <si>
    <t>cbf72fc4aac4dfec53cac9dc6b36739f4cf4e3b1c4e868d42ad83272b2e14630</t>
  </si>
  <si>
    <t>200161B01002</t>
  </si>
  <si>
    <t>724345bee445bb1e198e1f523ceedf5ab86419ef75849e954e1f50ef97e18953</t>
  </si>
  <si>
    <t>200161C01002</t>
  </si>
  <si>
    <t>3c009b315fef6f52de115d5eb7160aed64f42bfb0a336e571c23e4e569664dbc</t>
  </si>
  <si>
    <t>200162B01002</t>
  </si>
  <si>
    <t>bb49e0b17f8ab4252a9a15c13cb2c39a5b1651c4c10fecb8be0456c00bc53b92</t>
  </si>
  <si>
    <t>200163B01002</t>
  </si>
  <si>
    <t>85d00a36713fc2d685ba4aed0e0db56c9ee982249bff2b0b2eb16f8a1166693e</t>
  </si>
  <si>
    <t>200164B01002</t>
  </si>
  <si>
    <t>df4ac084722580751a2c7554315398049d4edf05f3820b4ddd2a97a2d05229fb</t>
  </si>
  <si>
    <t>200166B01002</t>
  </si>
  <si>
    <t>90fa01da17e395c56fcfe6f966bf9337f078e5b17b45e65e52cc79aa580f7a44</t>
  </si>
  <si>
    <t>200166C01002</t>
  </si>
  <si>
    <t>f6fa9c48e2204c4e23ea84ae8dcc23510fa23352fc0594003257a61108b89f76</t>
  </si>
  <si>
    <t>200167B01002</t>
  </si>
  <si>
    <t>11d2d7e5e309d4dd304c8972dcc22db463f958341dada6a85819d3d69bf34587</t>
  </si>
  <si>
    <t>200168B01002</t>
  </si>
  <si>
    <t>7975b43701677ceff0e5b8f24fa4c3a099532ad75fb5f1aa31835a2b4a1a18e9</t>
  </si>
  <si>
    <t>200169B01002</t>
  </si>
  <si>
    <t>a66ab319691dd4efa4d1e851dcc7107b48b833046b3255e78e7d51d520fcbc51</t>
  </si>
  <si>
    <t>200170B01002</t>
  </si>
  <si>
    <t>2a665afeca1cf777f9134fbefda764858988d68df2e50ed6e620af6ef3c054c5</t>
  </si>
  <si>
    <t>200171B01002</t>
  </si>
  <si>
    <t>97765976a8189dd39012de84f9d7177d5b0b546bfb889f3e7bb9d913384c9e49</t>
  </si>
  <si>
    <t>200172B01002</t>
  </si>
  <si>
    <t>4c7686d7b5c16217d854294cb78716ea440061fac2feb5a4b17863c65c9dd1cf</t>
  </si>
  <si>
    <t>200173B01002</t>
  </si>
  <si>
    <t>3441635f09e2c26091eb9591d3357dde67b911b23851a79a1c34321356d410aa</t>
  </si>
  <si>
    <t>200173C01002</t>
  </si>
  <si>
    <t>16c8998f2c334d0e8b45998147bf496af70d00bf5b8cc5f76a0ab4490798acaf</t>
  </si>
  <si>
    <t>200174B01002</t>
  </si>
  <si>
    <t>d3df6cbed2e51666452003d62830b34b7524b261a6373cf2a4da85bc1adc98e8</t>
  </si>
  <si>
    <t>200175B01002</t>
  </si>
  <si>
    <t>86a3dd938a9689ecff7b0ba647000b0f8b2966834a7b0b2ca6a6e9ae6d708811</t>
  </si>
  <si>
    <t>200374B01002</t>
  </si>
  <si>
    <t>1b685b03d0546d6b61120ac31c62b2f5306a3883637ac8da3f4531552c575a61</t>
  </si>
  <si>
    <t>200374C01002</t>
  </si>
  <si>
    <t>d4ea599bca9f69073165f6b7b38cb810a2bb4efb03495e7dbb83a418ffa9cdc6</t>
  </si>
  <si>
    <t>200632B01002</t>
  </si>
  <si>
    <t>d085c0fef7b87baaac82780cdf7bfba2cd892ae9140094fbc5d7faa8d43d3a0f</t>
  </si>
  <si>
    <t>200632C01002</t>
  </si>
  <si>
    <t>aa9920bdc916053b90d4166707dfb57c4e8d15aa4b60593d717f060b29c24545</t>
  </si>
  <si>
    <t>200632C02002</t>
  </si>
  <si>
    <t>f550bce9caab2503da1908644993f7eb651b822b277754a815c4628731b26349</t>
  </si>
  <si>
    <t>200710B01002</t>
  </si>
  <si>
    <t>ed294f55610c6ff9a498b5df6440fbf9eae40689dd04d3d6793a67218dff01cf</t>
  </si>
  <si>
    <t>200711B01002</t>
  </si>
  <si>
    <t>a0e8bece59db9ef2b01ba99caa22f6d4e883941ade747b96bfd1d633eb6f3914</t>
  </si>
  <si>
    <t>200871B01002</t>
  </si>
  <si>
    <t>5c34bf9ceaec7db27506146a632eb5314c2c8c4cc69039d733f2305d0dfdcaf6</t>
  </si>
  <si>
    <t>200871C01002</t>
  </si>
  <si>
    <t>8a324498ba0d61858cc1743045ccef2c756ca3cdf13e66e336b393c11406ce7a</t>
  </si>
  <si>
    <t>200872B01002</t>
  </si>
  <si>
    <t>5ee1cc2507b989638b3bba035227cbaac3a263a8e29957cfd57c205bff66b037</t>
  </si>
  <si>
    <t>200873B01002</t>
  </si>
  <si>
    <t>dc7fe6f19743478510a006f1b264d19163f03d46a71f0d0afaf70bc009df25b8</t>
  </si>
  <si>
    <t>200873C01002</t>
  </si>
  <si>
    <t>c734601a0b1e75d9def6730f03ace9bd68d9d7e77332a98fc55c39d3ef8b7013</t>
  </si>
  <si>
    <t>200899B01002</t>
  </si>
  <si>
    <t>8b00dc3f4b121257bb28a68e15b478b678ae3e574a6d6717a7b1136b1f24feb6</t>
  </si>
  <si>
    <t>200899C01002</t>
  </si>
  <si>
    <t>9e98c7fc32113059353a052fc29a7545d77e00fbf6a62fbcd67648add6f1bf5f</t>
  </si>
  <si>
    <t>200908B01002</t>
  </si>
  <si>
    <t>459b82bc64f7162505dd600bf13cda22904be19e80520dcf813d1482a5db8a15</t>
  </si>
  <si>
    <t>200908C01002</t>
  </si>
  <si>
    <t>f00da51254c34e038905190a8719dda30a707123ec43d91992401facdd858a6a</t>
  </si>
  <si>
    <t>200909B01002</t>
  </si>
  <si>
    <t>e6de7b53d77005b11e470d93a2ffb95367d94c94ffae1a1fc9a6924e3cf78840</t>
  </si>
  <si>
    <t>200909C01002</t>
  </si>
  <si>
    <t>52704a05e4f56cec3f916d271209591e5973bb274e76723c92542ef5ba089892</t>
  </si>
  <si>
    <t>200910B01002</t>
  </si>
  <si>
    <t>441a4c9a8623a236bb27e02a33125c9080ba9d5c777d649086a95fbb6e771618</t>
  </si>
  <si>
    <t>200910E01002</t>
  </si>
  <si>
    <t>fb43721d4b72fc496227efb585891df33f09b764e7cd0fa12064e0057ad807dd</t>
  </si>
  <si>
    <t>200913B01002</t>
  </si>
  <si>
    <t>9cb99ce9a5dfe1e16a33eae3f8c6e4268bfd560445d5bf8f130189b82166d586</t>
  </si>
  <si>
    <t>200920B01002</t>
  </si>
  <si>
    <t>b1abc6a924b4325add3d73b6e64238534181c361d610985ac8ae4d7418abe0f8</t>
  </si>
  <si>
    <t>200920C01002</t>
  </si>
  <si>
    <t>1ef798da95a1205adc346a62069a6f7a5f9f88f04d73e3f3c466a05299505761</t>
  </si>
  <si>
    <t>200920C02002</t>
  </si>
  <si>
    <t>83e4329601b66eb76ff3568c1bc391622c216bf3e743cf5d0024cd515867dcee</t>
  </si>
  <si>
    <t>200921B01002</t>
  </si>
  <si>
    <t>6b9bec35cea035cb500abf195e595e6961b608b7c480cce97ca4d07f78549901</t>
  </si>
  <si>
    <t>200921E01002</t>
  </si>
  <si>
    <t>a7a23a8f059e5ced009afcb8f5b422b249981b18031e8a344101852bcbcef822</t>
  </si>
  <si>
    <t>200921E02002</t>
  </si>
  <si>
    <t>a8d9c1a4774ad3bc6df28cc9c8e513a58053b1931816523943091be67899199d</t>
  </si>
  <si>
    <t>200922B01002</t>
  </si>
  <si>
    <t>6589c2c028d3ed4f8f7a0cb787bcbafb4a4458aadb481a403fe419aa4fda671b</t>
  </si>
  <si>
    <t>200923B01002</t>
  </si>
  <si>
    <t>f52e63a93885a002a5c0cd382744ca4cf31daf6c2f96dc986dffb0c3bb0762f1</t>
  </si>
  <si>
    <t>200923C01002</t>
  </si>
  <si>
    <t>714b134c69ea0daae5df169c45760e758b17ea6ec0790592f5a9ae56764b8e70</t>
  </si>
  <si>
    <t>200923E01002</t>
  </si>
  <si>
    <t>da6980ddddb7c1872f1725e68b53473c58a7a9dd80fc0edf1a702a1dd4e9b5be</t>
  </si>
  <si>
    <t>200958B01002</t>
  </si>
  <si>
    <t>b379164bb510654111426abb95aa427f3fb41ccaf9622a31fab1b5d469499839</t>
  </si>
  <si>
    <t>200958C01002</t>
  </si>
  <si>
    <t>211a932c43824d6c347306cbc193f4310ac85496570f8552d15c04bcba281e40</t>
  </si>
  <si>
    <t>200958E01002</t>
  </si>
  <si>
    <t>9bb150c68b9610b8da171951860f531bf2930792c990fa4656687cf40fa90fc3</t>
  </si>
  <si>
    <t>200959B01002</t>
  </si>
  <si>
    <t>0e89ab59564be8f74d6e59dc7a8d0bfea1944775c8ac8abc2817aa92aecb1a33</t>
  </si>
  <si>
    <t>200959C01002</t>
  </si>
  <si>
    <t>c3d3ca0e949b1e59144e9c58ab5041706d62537efecba7a070b70e42777e0a72</t>
  </si>
  <si>
    <t>200960B01002</t>
  </si>
  <si>
    <t>da0f5b2e3b6cf7386617c552b9b4a5b413ffa757ffa0ed12ebe3b1a0e90a18d7</t>
  </si>
  <si>
    <t>200960E01002</t>
  </si>
  <si>
    <t>99fdf8b22dae402c779afc7fa59eb9c1040375fed7bc9d292398ee15df4cf1eb</t>
  </si>
  <si>
    <t>200961B01002</t>
  </si>
  <si>
    <t>0087dae03db150e1def492dedc8c0429440dcf2411f7499d329286a35f52d118</t>
  </si>
  <si>
    <t>200961C01002</t>
  </si>
  <si>
    <t>b0b462fff592cce2b91d810e89b732471a8eab8a3ed3fbed51a2319077ad058c</t>
  </si>
  <si>
    <t>201249B01002</t>
  </si>
  <si>
    <t>1cde324be69e914a984996cfdacc0a0c98d24c1eff6aec00de8293a86d8da19f</t>
  </si>
  <si>
    <t>201249C01002</t>
  </si>
  <si>
    <t>838af4f6d1c720ee13ea5c4e9abcf439cd8e4c4920cfc458252e14788a1dad57</t>
  </si>
  <si>
    <t>201249E01002</t>
  </si>
  <si>
    <t>05cd32228b6d63793b2c99a3398b7c3611369ba5c22486abfc126735574637f9</t>
  </si>
  <si>
    <t>201249E01012</t>
  </si>
  <si>
    <t>23ddc87f0a711b21d7663de46a2b83dc22c6ed6bdc4eed9c9c63f7c4cdd6c859</t>
  </si>
  <si>
    <t>201249E02002</t>
  </si>
  <si>
    <t>004c3822c96a8d65478fc21db70846c559019cad8f460e93bffb2370c4cd8af3</t>
  </si>
  <si>
    <t>201250B01002</t>
  </si>
  <si>
    <t>04ae935fa4d3cc78eb6c07aadf51c95e6a6aa4032ad79b06fd037e8d1e1fea0a</t>
  </si>
  <si>
    <t>201250E01002</t>
  </si>
  <si>
    <t>353f35e673f8b336949e22d142f81e9f9493bad22e0847fb083b73a9483fd0fd</t>
  </si>
  <si>
    <t>201250E01012</t>
  </si>
  <si>
    <t>c6b01b943f5019f2670639186def9a77f4dda16d1c6311505ffc2b34f5292dc9</t>
  </si>
  <si>
    <t>201250E02002</t>
  </si>
  <si>
    <t>6433b1fe1306b3ce49d87c92f84d9be35080ddcd8f379cb83bffc51d5c3949a2</t>
  </si>
  <si>
    <t>201282B01002</t>
  </si>
  <si>
    <t>8fd83948170727fca7b27b8e37f60157f8fe70e99756ac450636afa5d59cd49f</t>
  </si>
  <si>
    <t>201353B01002</t>
  </si>
  <si>
    <t>3cc715c066b033b555cbc6d5f049ede6f2a51c3c58bf8693033b52417770a6d8</t>
  </si>
  <si>
    <t>201417B01002</t>
  </si>
  <si>
    <t>cc65e4da6f136aaa0263d25f089ccbab8f40a74aa78d2fe93e0c1f659995a9d7</t>
  </si>
  <si>
    <t>201417C01002</t>
  </si>
  <si>
    <t>71333d82297387d7d849e157bec2791fec2fbc4e689310f165fdc1a3233643fe</t>
  </si>
  <si>
    <t>201493B01002</t>
  </si>
  <si>
    <t>814680efd43944fbd5b6f16c202cc676f54c5c325254a7be8c616ba619893643</t>
  </si>
  <si>
    <t>201493C01002</t>
  </si>
  <si>
    <t>e0dd299fb6659ad5ac4b3254c8cd96e701ed332a1dbbfea284c12205d7225ef5</t>
  </si>
  <si>
    <t>201607B01002</t>
  </si>
  <si>
    <t>40f82774ac977adc53e59f1747123fc6be8e13791fc27d5816c5e2bdd1caaade</t>
  </si>
  <si>
    <t>201607C01002</t>
  </si>
  <si>
    <t>2fec7d4b28deb5382bc1b62381615c364a071a4cb8bb44c87af487e937288c49</t>
  </si>
  <si>
    <t>201608B01002</t>
  </si>
  <si>
    <t>f71591c679dd82a580c6524bc684b74c614080c27bf60e457cda45cbc87038fd</t>
  </si>
  <si>
    <t>201608E01002</t>
  </si>
  <si>
    <t>bba33bae642c04425a5c8ac750428df974f90b0c0e784a651f7188569df2f418</t>
  </si>
  <si>
    <t>201634B01002</t>
  </si>
  <si>
    <t>85ee4d1c40a43accde4af66bf38c18cc787568831610861db6e7f661c72d9a17</t>
  </si>
  <si>
    <t>201634C01002</t>
  </si>
  <si>
    <t>6c0a35fdc4520e78585ae7fd5a544854029ef37094eea80974b1325eb184cf67</t>
  </si>
  <si>
    <t>201635B01002</t>
  </si>
  <si>
    <t>3ac06c604a04a99d606e55555d631597dba27a8a1032a2b801999f883498768f</t>
  </si>
  <si>
    <t>201635C01002</t>
  </si>
  <si>
    <t>17acedd617dfe5c490eb224a262c3bd707bd59136e5ce0b273945eccd9bfb560</t>
  </si>
  <si>
    <t>201637B01002</t>
  </si>
  <si>
    <t>e9ce08a226e1a788aee7223c64a9f5384198aabe02d39aaf84b9e5e9c81c5e7d</t>
  </si>
  <si>
    <t>201637C01002</t>
  </si>
  <si>
    <t>d81b913cdb6d5d43ed1fe416fe5c588f7b71d278308fb931e2b1168d289af1e6</t>
  </si>
  <si>
    <t>201637C02002</t>
  </si>
  <si>
    <t>6ee7e0b2cb0ccf18daf7830f9c83508b4a563831a7640f3771f3511b0974c739</t>
  </si>
  <si>
    <t>201638B01002</t>
  </si>
  <si>
    <t>998a1abbae4284f81929fa1497aa40e8ce4044e7944af6cad00ee8d1168e87a9</t>
  </si>
  <si>
    <t>201638C01002</t>
  </si>
  <si>
    <t>b5ac1b71edca7365055195d8a92e58e0330f04992f81a4eb9f29d5f115e160ab</t>
  </si>
  <si>
    <t>201730B01002</t>
  </si>
  <si>
    <t>3792a1eafc03c7b54163bfb1f61099c764f105d004c0cdaefd63f085c54a5871</t>
  </si>
  <si>
    <t>201730C01002</t>
  </si>
  <si>
    <t>786f36bc4701501c6b0c9e671ddd126cddacd80fd43075db20438accad467366</t>
  </si>
  <si>
    <t>201731B01002</t>
  </si>
  <si>
    <t>f8f75789b522a352df0b1fa033d9157e15e71be11600cbbfea05ac145fbc3310</t>
  </si>
  <si>
    <t>201731C01002</t>
  </si>
  <si>
    <t>e64c0dd9491a739d0b6cdab5ff7fe54fdb64b99271b3020ae3a0046a4b0890f4</t>
  </si>
  <si>
    <t>201732B01002</t>
  </si>
  <si>
    <t>dfedb9ebaa8f96a31b1a6343afc8697d27e401bfbfe9520a1c1d9e1e39c5b03f</t>
  </si>
  <si>
    <t>201732C01002</t>
  </si>
  <si>
    <t>89750c4166d619544c7651c0f966c964b7a5b7172256b77032244aa1ea895f9d</t>
  </si>
  <si>
    <t>201732E01002</t>
  </si>
  <si>
    <t>73c32eb96d246e326a6c7259f4d0995ec6129b14f03cbf83995ae0a8aafd77ae</t>
  </si>
  <si>
    <t>201733B01002</t>
  </si>
  <si>
    <t>7f890821c70abffd18f2cb5abc99d8e8e319b824fd88835b2f6483ac0ed9dc82</t>
  </si>
  <si>
    <t>201733C01002</t>
  </si>
  <si>
    <t>79171d44398cf7011f2322986a3545457941d667a57dc897cf763f40fc405c31</t>
  </si>
  <si>
    <t>201733C02002</t>
  </si>
  <si>
    <t>8ce1e8770561d443391e2c8aab29f96e632d5f86e45e25337641bef2e3602e63</t>
  </si>
  <si>
    <t>201734B01002</t>
  </si>
  <si>
    <t>c3654a1ae39d0336fc7ebcaa695c9efb6f15a886c5aed344380564bf5c6ec87c</t>
  </si>
  <si>
    <t>201734C01002</t>
  </si>
  <si>
    <t>186fa9fb91370fea6daf931b26b509d02a12ea665f660a51b141b489dde89900</t>
  </si>
  <si>
    <t>201734C02002</t>
  </si>
  <si>
    <t>708cb892fc6574998a2d19077fd4d0e5701b03754dfae41e8dfd8cf99beb2c52</t>
  </si>
  <si>
    <t>201735B01002</t>
  </si>
  <si>
    <t>aadb3be5c23837697e321bea9fea5d49f17e937594cea2d1a0a07ea41ecab503</t>
  </si>
  <si>
    <t>201736B01002</t>
  </si>
  <si>
    <t>bf71a83121dbd864d39cd329cc0e2cfe331bd2f2a260bb9a77a883f002b3e884</t>
  </si>
  <si>
    <t>201736C01002</t>
  </si>
  <si>
    <t>24e4506679e5abb8927651d5af0e3ce6c324a1af7b5537643ad894b8889b0a5d</t>
  </si>
  <si>
    <t>201736E01002</t>
  </si>
  <si>
    <t>f10bfc801d962ba4709918ba8894998e5f18bf8ee350ba6811ba3fca6ebeb3b8</t>
  </si>
  <si>
    <t>201737B01002</t>
  </si>
  <si>
    <t>cd3dff7ce012d44f8ddbaa681c2d9cd09df68d601c12d2e30a4855fcb7934a79</t>
  </si>
  <si>
    <t>201737E01002</t>
  </si>
  <si>
    <t>a952b6fa1261fa7ebd83f23ce9cfb2b87efeb9e30935eebf07df0ed862ad8bae</t>
  </si>
  <si>
    <t>201737E01012</t>
  </si>
  <si>
    <t>ede0f68cb9fe89704bb0222d34d4516e83b9f6b7c203c51da7b498e5434b43f3</t>
  </si>
  <si>
    <t>201950B01002</t>
  </si>
  <si>
    <t>4084fcb092b2bf72e339309ee7ae8919ccbacbcbc97e93a5e5cdbd40cc682158</t>
  </si>
  <si>
    <t>201950C01002</t>
  </si>
  <si>
    <t>feab47d0998961df7eee61a2177a195e9cd55e5526161edc88a152b6d1d53f62</t>
  </si>
  <si>
    <t>201955B01002</t>
  </si>
  <si>
    <t>b2522860754ad3a358bbb581f388a87646adb7149e0975ea0e0dae48c7243a47</t>
  </si>
  <si>
    <t>201955C01002</t>
  </si>
  <si>
    <t>ca619661ae82849f5427445ec8748904ccb7ea3bffef5fd9304b0d8b78a10949</t>
  </si>
  <si>
    <t>201955E01002</t>
  </si>
  <si>
    <t>d03369a631264ee18719332a373ea80288b90a41a4e9162f3ef35cc96ffdd9db</t>
  </si>
  <si>
    <t>201956B01002</t>
  </si>
  <si>
    <t>4cb79e0619c9a59c720a5cc66ccbd4736d73533f9d7ba8df69f9fe59f929a65a</t>
  </si>
  <si>
    <t>201956E01002</t>
  </si>
  <si>
    <t>2ba3444fa25aa2b8871be117852f98907f25d133709e61c1e6a51a7cc057273a</t>
  </si>
  <si>
    <t>201957B01002</t>
  </si>
  <si>
    <t>7544447d148a5328c1f224c6426969efa39a54326d46877c139918f1a0b28b84</t>
  </si>
  <si>
    <t>201957E01002</t>
  </si>
  <si>
    <t>ffdded10da799e02003270f1263f52c3782110be6f83f6e0aad94dbaa6220c57</t>
  </si>
  <si>
    <t>201958B01002</t>
  </si>
  <si>
    <t>4f9db2d720ce386146b663d6844ea0159175eaa89097a8715db59560f89f29ef</t>
  </si>
  <si>
    <t>201958E01002</t>
  </si>
  <si>
    <t>292163036218874e518523877e8a3445a9d8505c4ff594034fd00c89112c0fb4</t>
  </si>
  <si>
    <t>201959B01002</t>
  </si>
  <si>
    <t>7b6e1538c687ad167adcf07cabe45e9258c00f9de34dba917ad20c6f29f07884</t>
  </si>
  <si>
    <t>201959C01002</t>
  </si>
  <si>
    <t>187e4c2949864e4d26092e75c5ab3244d8282d3903691a14340075a157adfc4a</t>
  </si>
  <si>
    <t>201959E01002</t>
  </si>
  <si>
    <t>24c2cf432277f1b8dc0bd8040e74dbc46dfdec36400ee98c29c009f5e8d49ef5</t>
  </si>
  <si>
    <t>202071B01002</t>
  </si>
  <si>
    <t>1b3c179c50bbc2dfbed25d214add100ec5248e5094313bca4261747a2fa8eb9d</t>
  </si>
  <si>
    <t>202071C01002</t>
  </si>
  <si>
    <t>1e07f89789d431119c2f854aff0d5ba64e8c1e0627a6c30593a618b6adbf6f7c</t>
  </si>
  <si>
    <t>202133B01002</t>
  </si>
  <si>
    <t>ccb5ce22444d225fd37430fff313f81120b27d7d83c9bceed7d0cd0594278343</t>
  </si>
  <si>
    <t>202133E01002</t>
  </si>
  <si>
    <t>1c0416ca486c8f696c825050aff164b472d198b802fce30590b81bfb363679ce</t>
  </si>
  <si>
    <t>202133E01012</t>
  </si>
  <si>
    <t>fb5e7c005bdf51093cec4895cd163731c762f391bcd7c2ed7812486fa0334d26</t>
  </si>
  <si>
    <t>202133E02002</t>
  </si>
  <si>
    <t>167a51035603e830463f6752f857a668588fc0e032e2eb7950e834ad33a5b76e</t>
  </si>
  <si>
    <t>202134B01002</t>
  </si>
  <si>
    <t>ab1305bdc243da269422bba825fd3b324bf8c818339d46ce2dec8408e75aa665</t>
  </si>
  <si>
    <t>202229B01002</t>
  </si>
  <si>
    <t>02c2d4f3e0c52f7540c77522256331cbbfc2f510317867abbf138171b77603b7</t>
  </si>
  <si>
    <t>202229C01002</t>
  </si>
  <si>
    <t>d1adde47070f14365e6ad02bd66a53a1d11e87f0f12f40b228d141b473103efc</t>
  </si>
  <si>
    <t>202229C02002</t>
  </si>
  <si>
    <t>4dcc0d437e4eb4f9f315b1ccbaf829604aedeea5980c96050e683d2f41556d36</t>
  </si>
  <si>
    <t>202230B01002</t>
  </si>
  <si>
    <t>a43a7efe3992d17ceb1f6340745f9aa511f71b2742ead1b3c0e91583c31cba28</t>
  </si>
  <si>
    <t>202230C01002</t>
  </si>
  <si>
    <t>cff94684a3171f0353ee4dfc34f12ecd14b3b776d88aa6b8b29d318f09aa7f50</t>
  </si>
  <si>
    <t>202230E01002</t>
  </si>
  <si>
    <t>0a2e9ac11cc234bb3753ce4ac505bb0bd8992c898ae2ae1546bb92dc8bd0db17</t>
  </si>
  <si>
    <t>202291B01002</t>
  </si>
  <si>
    <t>524de10fa38e88b668ec7e31a640f85c5887aaa5733cf13d3f1769c839b4ff20</t>
  </si>
  <si>
    <t>202292B01002</t>
  </si>
  <si>
    <t>a8c489e3a74b8f3eea7784025f6921943d8b6eb1f7aa6f9ff8afaa86ec68ee1d</t>
  </si>
  <si>
    <t>202292C01002</t>
  </si>
  <si>
    <t>d8d608539245ecd6485ebcf2291798e18e08c54bf3a23ce2e0cca339d5f30294</t>
  </si>
  <si>
    <t>202292C02002</t>
  </si>
  <si>
    <t>f43609a13ffd23f052de621e096c6f849c2c78cc7fcd6115ef11a9180f331778</t>
  </si>
  <si>
    <t>202292S01003</t>
  </si>
  <si>
    <t>0976d1eb4edabc704b95c9a16a69d37c9f84b89f9d5157d7fae759f3979edae8</t>
  </si>
  <si>
    <t>202293B01002</t>
  </si>
  <si>
    <t>632103006891a4f9f05679f7248f0e0e51dd00ce4503fa56774e504e6ffb1ebd</t>
  </si>
  <si>
    <t>202293C01002</t>
  </si>
  <si>
    <t>b8cebab51a9c8e74e845ebb4535e631ca974905489c9c9d423008d0f25811fe6</t>
  </si>
  <si>
    <t>202293E01002</t>
  </si>
  <si>
    <t>0e0256a0352e5a2b6f1e783a9cc90bff71ec3c6f3e8825f66945e4dc90c5a7ca</t>
  </si>
  <si>
    <t>202294B01002</t>
  </si>
  <si>
    <t>e41d04d0ed5498655a0891ddf5018429b769825897e8df8955cb50282564669b</t>
  </si>
  <si>
    <t>202295B01002</t>
  </si>
  <si>
    <t>375380dbb7039e8316fe04dad9e7ad7612aa1ea3cae56880250f030e2e7c5f46</t>
  </si>
  <si>
    <t>202296B01002</t>
  </si>
  <si>
    <t>92b0122a3ed8df972d03be26aa78ceb4546659d74c499f6d31f8e5ae21f658df</t>
  </si>
  <si>
    <t>202297B01002</t>
  </si>
  <si>
    <t>02b3b25856a36bb70bf92e3c7b93f54928656973fa1c4006bcce1ac22b095d6b</t>
  </si>
  <si>
    <t>202297C01002</t>
  </si>
  <si>
    <t>c423f1806711599b6e870035ddf831268690d87aadae612d46426bfe50059dd7</t>
  </si>
  <si>
    <t>202298B01002</t>
  </si>
  <si>
    <t>f5d307ebbd519519b55b8453999077d23a94f90e0a59d526fcf2b0138d4eba6c</t>
  </si>
  <si>
    <t>202298C01002</t>
  </si>
  <si>
    <t>91f0700426a2805ab33855b4b14ced07c364f975e92d3579ed99bebce03c7a80</t>
  </si>
  <si>
    <t>202299B01002</t>
  </si>
  <si>
    <t>a150d366ce2dfc5499188602e2bdce05c7d5c164b47148e13cf06790d36bf121</t>
  </si>
  <si>
    <t>202299E01002</t>
  </si>
  <si>
    <t>04755200876f09d5988670a5358b321efc2086f0d88df8323200dad33394fbd8</t>
  </si>
  <si>
    <t>202300B01002</t>
  </si>
  <si>
    <t>8dfb33870f2f3698e8dfe00442dd09ccd37a477fa7902fac72c09e56d8b526b9</t>
  </si>
  <si>
    <t>202300E01002</t>
  </si>
  <si>
    <t>18f3618e2420cee1b8fc06727bc7cdb9d34c5971f6f112c5ef7be250d6a610bd</t>
  </si>
  <si>
    <t>202304B01002</t>
  </si>
  <si>
    <t>a8730deda75bfaf7b1b15a0d63bae82adf79605ce8ea69242d8b0bfd124ddfd1</t>
  </si>
  <si>
    <t>202421B01002</t>
  </si>
  <si>
    <t>1616a97f76ad77eedfb718f60f429766b027b98459ad0ec96296ee7b0ce62ce0</t>
  </si>
  <si>
    <t>202421C01002</t>
  </si>
  <si>
    <t>5293b8cfe3939ba7c3c9ac6bc4eba54909b1a7e51ac8c6609498e7a2700ee05e</t>
  </si>
  <si>
    <t>202430B01002</t>
  </si>
  <si>
    <t>03862845be66ff6ab6022afcb4f3eb803236aeab027b6707679f2f1f37bdf9df</t>
  </si>
  <si>
    <t>202431B01002</t>
  </si>
  <si>
    <t>ec4601d173cbb9eb05850321231a8a1c6b14ffb6c7ab8b350b45b91bb2f771ac</t>
  </si>
  <si>
    <t>202431C01002</t>
  </si>
  <si>
    <t>b44ba3a9c9d81c94b92820ef5f0e9f4fbbc427f42fe8ccf910aa06f5e0c72fda</t>
  </si>
  <si>
    <t>202431E01002</t>
  </si>
  <si>
    <t>52ac1c4d74b216d8361098b2b381ec58c3ff58256cf9127e2bb3df17f54c3062</t>
  </si>
  <si>
    <t>200396B01002</t>
  </si>
  <si>
    <t>SANTIAGO PINOTEPA NACIONAL</t>
  </si>
  <si>
    <t>09c3c695c8c7167d4afbb313a9aac73d5a41944bfa298db4b1487eb62ae16482</t>
  </si>
  <si>
    <t>200396E01002</t>
  </si>
  <si>
    <t>6b172918da422c0797eb972b8dfe83b011411b6fdbfb1b9e2b217305433a0c56</t>
  </si>
  <si>
    <t>200633B01002</t>
  </si>
  <si>
    <t>90965355e73c58d08aacf88b866e2cb3ae512424ea91eabf095a69d96ab9ad2a</t>
  </si>
  <si>
    <t>200633C01002</t>
  </si>
  <si>
    <t>903eec096020adaf6e778bcfb8e6c9b54ea8e39696b3e63ae1efa714886b11f8</t>
  </si>
  <si>
    <t>200634B01002</t>
  </si>
  <si>
    <t>2e2ad185dae8bbbfe81684dab050729b7fce75fe523c3396d4bf73113f1c11e1</t>
  </si>
  <si>
    <t>200634C01002</t>
  </si>
  <si>
    <t>28dd1de684c71ac903999f2757640915c45318d1b920c6f318f47c3d16ea12cd</t>
  </si>
  <si>
    <t>200635B01002</t>
  </si>
  <si>
    <t>221eb14c317e22d7132b40e6982c8e8957a030fc8457391c959c1de2de588f3b</t>
  </si>
  <si>
    <t>200636B01002</t>
  </si>
  <si>
    <t>886efc6ad6f0bce41bba4e7a7e3c77e691d111cd7ee473c227dd830502fc7c79</t>
  </si>
  <si>
    <t>200636C01002</t>
  </si>
  <si>
    <t>cf79213ea8d1d570460efbe371b29a22b762140e420d2c4c1ebfe71ccfb462a6</t>
  </si>
  <si>
    <t>200637B01002</t>
  </si>
  <si>
    <t>c38dbb743f66b3326c6a8dc16db502606fee0862376174176c927eca931040fd</t>
  </si>
  <si>
    <t>200637E01002</t>
  </si>
  <si>
    <t>ded1813956f29c4d2ba6db735c9f0a48f345ba1f42da0b177c2c20d05a77d734</t>
  </si>
  <si>
    <t>200714B01002</t>
  </si>
  <si>
    <t>0b2d527cbaf4da818e8dc00a9d9bf0dfa8db033d564fcde041d88e870bcd2601</t>
  </si>
  <si>
    <t>200714E01002</t>
  </si>
  <si>
    <t>8fa667d639c6efd012194b09e004512dbcfbfe51b793c1585d06fa92990a9bc4</t>
  </si>
  <si>
    <t>200714E02002</t>
  </si>
  <si>
    <t>35c4dd57131f9c6823075c1be26b35ae6a3ba77290169ecebb576482cef82630</t>
  </si>
  <si>
    <t>200715B01002</t>
  </si>
  <si>
    <t>c7b442d9d8cf3760da4f465ea0313983567cd1e7243a89b570f11dd9b644a423</t>
  </si>
  <si>
    <t>200715C01002</t>
  </si>
  <si>
    <t>a2d6e79dfa502f12589469cd74b32e4de17b6026d2bfa2bb8ada371596782628</t>
  </si>
  <si>
    <t>200716B01002</t>
  </si>
  <si>
    <t>4446b711d57cf7c116e725d426426f831b7d2f171ae3aaaac1740f1ba7df1c9f</t>
  </si>
  <si>
    <t>200744B01002</t>
  </si>
  <si>
    <t>ce86e0addae5a0ed82ee606bcd93fc4f2cdada1f4b284d77415fa2c7eca25251</t>
  </si>
  <si>
    <t>200744C01002</t>
  </si>
  <si>
    <t>f2afe47898f2f411c1923f9e6199aa3b22e2a210e17c6b0bb249107c1543d66c</t>
  </si>
  <si>
    <t>200744C02002</t>
  </si>
  <si>
    <t>fa82acb9ef9cd8560be17073deea7282c9e6202ed5414d394c6bf8cbaf331fe1</t>
  </si>
  <si>
    <t>200745B01002</t>
  </si>
  <si>
    <t>f78c5d5c51eb23532a5c2a6ac8a2aefa9dc289ac7aeab925e6db4ba3030233d0</t>
  </si>
  <si>
    <t>200745C01002</t>
  </si>
  <si>
    <t>66227fcd23be16cee5f1bfa143bd6f11b52516648fa2ea885033dc2b88c6cc9e</t>
  </si>
  <si>
    <t>200746B01002</t>
  </si>
  <si>
    <t>f5315ee723908dee83426843efd0755898eccf963794937b124ab50c60279851</t>
  </si>
  <si>
    <t>200746C01002</t>
  </si>
  <si>
    <t>9d3e0aff4b0e59328e182d28e484a52ce500e66ca5494548c31446de0f2a904c</t>
  </si>
  <si>
    <t>200790B01002</t>
  </si>
  <si>
    <t>26624fbad9514564ba066cc108888747605ed11e96ea79739c2d6bfb4866ab9b</t>
  </si>
  <si>
    <t>200790C01002</t>
  </si>
  <si>
    <t>2babb4559e9d340a9adc4c0acd34cf9bec95b332692e14d12acd98de3c1365fa</t>
  </si>
  <si>
    <t>200790C02002</t>
  </si>
  <si>
    <t>2803f7d2d8ba9625958e75cbcf913d57dcbb1f99586044b2bde017c995535d66</t>
  </si>
  <si>
    <t>200791B01002</t>
  </si>
  <si>
    <t>620cdab2653ff6f2ab990c627a8bee42689491ec5cca784dbc1c9d4c1925c91e</t>
  </si>
  <si>
    <t>200791C01002</t>
  </si>
  <si>
    <t>f9cdf8ce2cf9719f7184c39037a60317d187624a48f371dbe3470486033219d7</t>
  </si>
  <si>
    <t>200951B01002</t>
  </si>
  <si>
    <t>ddb0ac6b268311acfa3f744c01d85f864578d2565c87ce2039d9ffa701d725ec</t>
  </si>
  <si>
    <t>201003B01002</t>
  </si>
  <si>
    <t>9e1a44706303b901893f67f34585bb9c1a5e8da5bd8ce67ae478c13361914e6f</t>
  </si>
  <si>
    <t>201003C01002</t>
  </si>
  <si>
    <t>53b354e6305bd018e41544c06592ee173bf8b47dce9b55e8a151f38fce8a67e3</t>
  </si>
  <si>
    <t>201004B01002</t>
  </si>
  <si>
    <t>5bf215e11edfbaf33cc2e497d8d228c0380fc4c3f68dada659bf6722e3d318fa</t>
  </si>
  <si>
    <t>201004C01002</t>
  </si>
  <si>
    <t>4d1e3b79eee51cc51737028005eb3e1b13c053aaf52804fdab8345108362c777</t>
  </si>
  <si>
    <t>201004E01002</t>
  </si>
  <si>
    <t>0eacf40901e12b4ca16104e060401470b695ff1e090b8d2dc60fd8b40318b52d</t>
  </si>
  <si>
    <t>201112B01002</t>
  </si>
  <si>
    <t>2200ef55c6c2d3ee7948ffb75e09bba82122574b1f47e843127e07b1796baa44</t>
  </si>
  <si>
    <t>201112C01002</t>
  </si>
  <si>
    <t>ff77caf89ca201e6f0a9abb1b4548e80dd5faf375f3fce9f9047f21c15e38f32</t>
  </si>
  <si>
    <t>201112E01002</t>
  </si>
  <si>
    <t>ae5249a35c0a07921ee315de5cf13e8d2a6f1db9c50c1cc251c8f2aedf118f12</t>
  </si>
  <si>
    <t>201113B01002</t>
  </si>
  <si>
    <t>61977b66e063788930e16b01c3937d1783d5ac53bc30c82097d6b4c67322a947</t>
  </si>
  <si>
    <t>201113C01002</t>
  </si>
  <si>
    <t>89477c0d00bf243127e1ae5bc900b6ced5aaeca0955d332cc27d0d4eb5edaefe</t>
  </si>
  <si>
    <t>201114B01002</t>
  </si>
  <si>
    <t>425aa956501d39e31fbed8452f44902ae02e8b3aeb7bfd972291ebb993f9cc88</t>
  </si>
  <si>
    <t>201114C01002</t>
  </si>
  <si>
    <t>c15fb685043fd575fafd4c768762dc42ec5082abb738f35c12e362389c9ea780</t>
  </si>
  <si>
    <t>201115B01002</t>
  </si>
  <si>
    <t>2d0acd49e1278a998bae15507db204bdd84380c4b4e2fbdfc9cc2ddb69992bf0</t>
  </si>
  <si>
    <t>201115C01002</t>
  </si>
  <si>
    <t>0002463ebbfad75f3472b1f6725c45558cca0c9f1233ae01e73f7869e1f750a9</t>
  </si>
  <si>
    <t>201115E01002</t>
  </si>
  <si>
    <t>ba96041fe87ab119d933804e1e2ce5043e1ab8d89c6e3125256e5dea7673ace0</t>
  </si>
  <si>
    <t>201115E02002</t>
  </si>
  <si>
    <t>de3391e08d8c8fb1da741cf5ee8331f97cc05124d018abe4a2221a997e0332e7</t>
  </si>
  <si>
    <t>201116B01002</t>
  </si>
  <si>
    <t>8c2e309896c0f45fa18b790538d4fa740197e75eb8e6a75ac44d3573e5f0ba2d</t>
  </si>
  <si>
    <t>201116E01002</t>
  </si>
  <si>
    <t>d64694a5d1b07e4f30d1e2a7162f4a5d5fc8e2e955c5f4d50f9e26909b5a3926</t>
  </si>
  <si>
    <t>201238B01002</t>
  </si>
  <si>
    <t>8fc1bac618c5941aedc9046be5788ddc945723f37feeb3424d0e1047c8c106bf</t>
  </si>
  <si>
    <t>201238C01002</t>
  </si>
  <si>
    <t>18b64a7af3350bcbe05a34c4c163333d94a00cee2db0e2b9b0e4768f2f7b7bc0</t>
  </si>
  <si>
    <t>201239B01002</t>
  </si>
  <si>
    <t>c3ae0a09ca9a522e82e76dbac5bebf5f0adae45b875941ee822951cefa65fe17</t>
  </si>
  <si>
    <t>201239C01002</t>
  </si>
  <si>
    <t>16dcc1b6508e4896fd4b88799b6acee6aaeb47c550d4d0c01647b7728c355897</t>
  </si>
  <si>
    <t>201240B01002</t>
  </si>
  <si>
    <t>4b733697c6dcc3cb15801ea6f5c23a6bb780e1b80ea16830b8ca63702aac515e</t>
  </si>
  <si>
    <t>201240C01002</t>
  </si>
  <si>
    <t>b6e126fedaf86674120ab57338eae53f029d42397bfabdf1630f504d156e9eb8</t>
  </si>
  <si>
    <t>201409B01002</t>
  </si>
  <si>
    <t>23bc382c3100d4bcf3c336d9e4b11c99437de01552ba0993fd5ac0aa0ed0a7c9</t>
  </si>
  <si>
    <t>201409C01002</t>
  </si>
  <si>
    <t>cb35e088768dad83a8dbff4e3f27dc35f0cf16880a59db27f2f7bf4147938fb7</t>
  </si>
  <si>
    <t>201409C02002</t>
  </si>
  <si>
    <t>06247d7f766d72f86270a3f3c3038f74de9eeade343765a8ce9b0505a3c1f081</t>
  </si>
  <si>
    <t>201410B01002</t>
  </si>
  <si>
    <t>60b6b2c2182c7ca312be8a56b20c1b7efc251473f693cb5ade5416d9d2762154</t>
  </si>
  <si>
    <t>201410C01002</t>
  </si>
  <si>
    <t>00df11c438daa675f503031687f888b4617e76c83511f26cef68a7bac4567c08</t>
  </si>
  <si>
    <t>201454B01002</t>
  </si>
  <si>
    <t>2e5671249b035675f82af8a00f0990b7b6847c82f308060c8fe8884030858a11</t>
  </si>
  <si>
    <t>201454C01002</t>
  </si>
  <si>
    <t>0d58cfb76fc39e5e79df6a03abf5d3e93a5929709043e680e63031a0e020f56b</t>
  </si>
  <si>
    <t>201455B01002</t>
  </si>
  <si>
    <t>948e087a63af0d837fd17c81219ee4484ba7c482a1bb12fe8728abd8b1ae5163</t>
  </si>
  <si>
    <t>201455C01002</t>
  </si>
  <si>
    <t>f7d9fe8395e870f8b75f57a310c8f2ade21bebcfd4af2650e0294c9c313c0e60</t>
  </si>
  <si>
    <t>201456B01002</t>
  </si>
  <si>
    <t>43a09dabcddea7ae3f982ffb8939fc450ef580d88169b30062626bfd58727d24</t>
  </si>
  <si>
    <t>201457B01002</t>
  </si>
  <si>
    <t>f316b74d6f375417d9ddd25542ae60a7c9e94310f548a07da083f1f6905c7c42</t>
  </si>
  <si>
    <t>201485B01002</t>
  </si>
  <si>
    <t>d138d1e20bbb873f313b4f0bbfe9ff3f17be1929d85f1959cf47d154d0e6e92a</t>
  </si>
  <si>
    <t>201485C01002</t>
  </si>
  <si>
    <t>32523da2ffd3015e89b3499a4175363154abf6e5e9f511b9f6bc6bb83adbeecd</t>
  </si>
  <si>
    <t>201486B01002</t>
  </si>
  <si>
    <t>c3eeaa407d664e4cf5a64cac110aa5b62aa197045b6708d9668721f3f2c134e1</t>
  </si>
  <si>
    <t>201486C01002</t>
  </si>
  <si>
    <t>878186b9219bbc8d93c9d0ec9b12d949028e46480238e8d6ef83881075649b0c</t>
  </si>
  <si>
    <t>201487B01002</t>
  </si>
  <si>
    <t>eec65522ef6889ef2f04fdcbab71e4e62a15fa159ea40e77b00c9453fecfb92a</t>
  </si>
  <si>
    <t>201487C01002</t>
  </si>
  <si>
    <t>29c3b1a073a3b4425eed224f7e894a9096317a12a2d1a3f25296345aacd40323</t>
  </si>
  <si>
    <t>201488B01002</t>
  </si>
  <si>
    <t>a64d70a21ea53916db328189a228e4e71193628be01c9c355ed3d3bc983d58ad</t>
  </si>
  <si>
    <t>201488E01002</t>
  </si>
  <si>
    <t>c726716fd45b8877f932528d3dccd2524b94b3b11b84b490d378840ec416198d</t>
  </si>
  <si>
    <t>201489B01002</t>
  </si>
  <si>
    <t>43ee39e8f9b56b06e44d65e2631d63101142dbee6553fa80b7486ad7139c3930</t>
  </si>
  <si>
    <t>201489C01002</t>
  </si>
  <si>
    <t>e33c3a3bb3092d984374eb2141f54716eac6ea9b68f67ab0a9008b4dc4b2a777</t>
  </si>
  <si>
    <t>201490B01002</t>
  </si>
  <si>
    <t>c0148680a30d3624c611502dc7455ea5353dfd3400b0924c6440a85172b8c46c</t>
  </si>
  <si>
    <t>201490C01002</t>
  </si>
  <si>
    <t>4a8bb29c0c6c94883ec5a1fd7b3703d89b1d583a19499d3b6953d53d3f741bb5</t>
  </si>
  <si>
    <t>201491B01002</t>
  </si>
  <si>
    <t>29f91272307630643c6dda8513ad9723bddbd7b1d1c7b9b9270cb40580c789c6</t>
  </si>
  <si>
    <t>201491E01002</t>
  </si>
  <si>
    <t>31ef992ea4e540720a5aa12d7e706343c462f6a18ae7876d5b4c02e7f508fa30</t>
  </si>
  <si>
    <t>201609B01002</t>
  </si>
  <si>
    <t>897a3a51eb53865ac02fec8644ffb5dee850143f2c006f30d4210a420a0458fa</t>
  </si>
  <si>
    <t>201609C01002</t>
  </si>
  <si>
    <t>cc91718d667b2a3c74c0c55c1fa6e8575413b017088fa7e12e7c159add708100</t>
  </si>
  <si>
    <t>201610B01002</t>
  </si>
  <si>
    <t>0365cf09d2cc371886af8f19c82cfa23dcd7d48bb08a124d9fbd954a35de425a</t>
  </si>
  <si>
    <t>201610C01002</t>
  </si>
  <si>
    <t>73cfb9d0d9021d08a04e4283cf213114fadb6137f653e65bb57666647fc6ef2e</t>
  </si>
  <si>
    <t>201611B01002</t>
  </si>
  <si>
    <t>3fc2a04fc73997d3a6c7106a4897ff5b76bc983f311ec8674804fde39ed72edb</t>
  </si>
  <si>
    <t>201612B01002</t>
  </si>
  <si>
    <t>d3107bac37af2173ee31cee1cb92eb2332836e8b730506a862f136e9c68bfa69</t>
  </si>
  <si>
    <t>201612E01002</t>
  </si>
  <si>
    <t>6a905d0d5830f4d3bb8efb89b7cbf6541f3d77d521de5f9cad83643db9fcd92d</t>
  </si>
  <si>
    <t>201671B01002</t>
  </si>
  <si>
    <t>88959899542a9bd7486f46e261075694f520b6f3418c5b72a9d552a2b94f0ff2</t>
  </si>
  <si>
    <t>201671C01002</t>
  </si>
  <si>
    <t>67d2f501b539b2f058b4ec1f520ac6f7f836dd3d2b24e58b81c1cf7c601643ac</t>
  </si>
  <si>
    <t>201672B01002</t>
  </si>
  <si>
    <t>f8201223e58d9664d8b4a2cc9f7096eb90cfaa84ee083f207035ff66422b2bf5</t>
  </si>
  <si>
    <t>201672C01002</t>
  </si>
  <si>
    <t>f1d79defba3a936165f5046730b9d00571849063b38dd15f775b78cb754999de</t>
  </si>
  <si>
    <t>201826B01002</t>
  </si>
  <si>
    <t>86aa5ab977d8249400bd06bd0b01271676bac1b48c622f08b79f2fb4d81dd16a</t>
  </si>
  <si>
    <t>201826C01002</t>
  </si>
  <si>
    <t>3aefa2ab2c783042b40f21e05acbdde86e4d3bb22cac3f1f772a43bfef6f7422</t>
  </si>
  <si>
    <t>201851B01002</t>
  </si>
  <si>
    <t>31ebce0ffa591998b88dd0db31c39dc557c7396da0d26bb4b4ce8b66ef1f44f3</t>
  </si>
  <si>
    <t>201851C01002</t>
  </si>
  <si>
    <t>55cfbd8e68811203d314221f2bb76a3e86b9e20f782e6669e64b86f203f5729b</t>
  </si>
  <si>
    <t>201851C02002</t>
  </si>
  <si>
    <t>e2190d2ddc9b802bd8897f9087d0e65fd0b3b978aa11cda03245cc3bc4400fa0</t>
  </si>
  <si>
    <t>201851E01002</t>
  </si>
  <si>
    <t>914987c81635c065cee2fb4fffe2a4162578ddba8d6ade010c08b8b889d5a70f</t>
  </si>
  <si>
    <t>201852B01002</t>
  </si>
  <si>
    <t>ad1eb30c778f99728f9a4beade4ae69b9f4eab30fcf73a0cc627ebb8cd7d8366</t>
  </si>
  <si>
    <t>201852C01002</t>
  </si>
  <si>
    <t>6059e84a993c1787dbff8c8c78459a3a7ca8940bc17f3d8b53b98063447d83ed</t>
  </si>
  <si>
    <t>201852C02002</t>
  </si>
  <si>
    <t>825c86338b79aedc5c7ed39c3232d8c530d09e6fc3f2a48e1791a53b613c48a6</t>
  </si>
  <si>
    <t>201853B01002</t>
  </si>
  <si>
    <t>c549e6c2153c69fbe34c83db04937e8a34040622a0ccc3eaa22d15c1583cdb41</t>
  </si>
  <si>
    <t>201853E01002</t>
  </si>
  <si>
    <t>16b1f8ecd9bde9b1917f1301f2970d5762380c43dc7d8605495c5a750e35da5d</t>
  </si>
  <si>
    <t>201854B01002</t>
  </si>
  <si>
    <t>6aec71292166f99a5a22089f8b499d7ad79127b0a529d199fcec5c6e177bf25a</t>
  </si>
  <si>
    <t>201854C01002</t>
  </si>
  <si>
    <t>16c863797bea025de5ac36c18aa46681732d64577d1dcc7f5086d993115e0649</t>
  </si>
  <si>
    <t>201854C02002</t>
  </si>
  <si>
    <t>f5a31f7ee38245b8d5a66cfc039d9f969d3b30d9dcb01c6666dc6cf0b9df3872</t>
  </si>
  <si>
    <t>201855B01002</t>
  </si>
  <si>
    <t>3913a734d53c66d435d05cb4420d3cc572556abc2bbdeb9b39170278016fe8be</t>
  </si>
  <si>
    <t>201855C01002</t>
  </si>
  <si>
    <t>a790e4ba2db3da962678b4f90e97d29ed8923f900430bb9a24cc8323eb5e9b6a</t>
  </si>
  <si>
    <t>201855E01002</t>
  </si>
  <si>
    <t>9b67af5a4c83feb819baf14c83a6e3518de0423c836f98651765495c1c6a7d82</t>
  </si>
  <si>
    <t>202005B01002</t>
  </si>
  <si>
    <t>78b2e551e95d840d649165f9f591322e6dd49a2226721fa79dfadab87cdcb931</t>
  </si>
  <si>
    <t>202005C01002</t>
  </si>
  <si>
    <t>a6be46cc608418a738f4eba7517cfe3e1b4ea3da46c6939c10b427847ab4cc09</t>
  </si>
  <si>
    <t>202005C02002</t>
  </si>
  <si>
    <t>b17d1bcc1a9a2edf188fa5e85011b7a43d941ed25ba1bf97c6365d382e24a1f8</t>
  </si>
  <si>
    <t>202005C03002</t>
  </si>
  <si>
    <t>c00830442d7b0b87db051a7cfbfe61c65984eb72e4f10a60b0dbd7f2490c2fc2</t>
  </si>
  <si>
    <t>202006B01002</t>
  </si>
  <si>
    <t>3f95658893023d15bbd36399d356e2aa51bebf58b7ee6d74fb6a6ca795d2781b</t>
  </si>
  <si>
    <t>202007B01002</t>
  </si>
  <si>
    <t>c9686fcd856a7957c529dab34c646a76fc04160c6060bf86b637604893ef1da7</t>
  </si>
  <si>
    <t>202007C01002</t>
  </si>
  <si>
    <t>7b08d32190ea4b8af2ea995e7cd9fc688d9b5e8230509494180fbaac03d0df43</t>
  </si>
  <si>
    <t>202008B01002</t>
  </si>
  <si>
    <t>ef60ab82e5fb44b7cfe4ad358871be8e0cf436d7a3a28d504cb9a2cc5d71ee46</t>
  </si>
  <si>
    <t>202009B01002</t>
  </si>
  <si>
    <t>66d6b3be27f459d26e86cebd01ae721b3956b4020301d166c4dd657af12e11f4</t>
  </si>
  <si>
    <t>202009C01002</t>
  </si>
  <si>
    <t>99e95fba2da21716200bc6d68287d90c364e7528e065358897c4b36bd8cc5e3b</t>
  </si>
  <si>
    <t>202010B01002</t>
  </si>
  <si>
    <t>fa4f87d1b34128041658fa2eab3f0f8bf04df269265f704c886ffdab8fa083ff</t>
  </si>
  <si>
    <t>202010E01002</t>
  </si>
  <si>
    <t>526c7a267d116726c2012f5bffd9430c0778967d1496700ed393f45b7005300e</t>
  </si>
  <si>
    <t>202010E02002</t>
  </si>
  <si>
    <t>9c6cc0f45c1ac342ddaa9ad00543bfc4361b272bf093aee0f56f68611fc4f911</t>
  </si>
  <si>
    <t>202010E03002</t>
  </si>
  <si>
    <t>c776a970e1b47bbb1f1fb93a7774baabbd4367f4c4e7d23f3732fed1985ff771</t>
  </si>
  <si>
    <t>202011B01002</t>
  </si>
  <si>
    <t>f0bfed24393899b7d4ec88562ad7c91b8a62fb0a95edf1fbb7d7048f482970ef</t>
  </si>
  <si>
    <t>202011E01002</t>
  </si>
  <si>
    <t>7cfae2b095cad5f29040e60239f831678dd6740d914406b504f2cddb9b1a9b82</t>
  </si>
  <si>
    <t>202012B01002</t>
  </si>
  <si>
    <t>b153e227ad5e6cff635841f5a8dcb5d63229867139b0c93e16e9bf7115d81789</t>
  </si>
  <si>
    <t>202012C01002</t>
  </si>
  <si>
    <t>f888865f67ea183f07c21b58ad97c09164ede007945248c029773bea450e4147</t>
  </si>
  <si>
    <t>202013B01002</t>
  </si>
  <si>
    <t>adc6e6f01eaecaa29e05da9336e761ab7e4048b1084309287563bc6d033e4842</t>
  </si>
  <si>
    <t>202013C01002</t>
  </si>
  <si>
    <t>de671bdfbdfefff343373440c15bade70ab5004425bc4f41a9b29b1689b86487</t>
  </si>
  <si>
    <t>202013C02002</t>
  </si>
  <si>
    <t>ddfe02776229c4ec89806c1ace611f04b6608d4d4aebf2a6d74a3e628b8e1ef8</t>
  </si>
  <si>
    <t>202014B01002</t>
  </si>
  <si>
    <t>d6ac94cdda7b1819b581fd1aafadfafaaee1dcb6c2f7040ddeed7685ddd23b8e</t>
  </si>
  <si>
    <t>202014C01002</t>
  </si>
  <si>
    <t>91b452c1f0056281a87e0cd7f49b8c46cc6412d6bb52b0a78f6e9e9af1979173</t>
  </si>
  <si>
    <t>202015B01002</t>
  </si>
  <si>
    <t>bc931418b8b4205b4ed9612f2ee8411f86c5c33dec1aa0886a75e747c781656b</t>
  </si>
  <si>
    <t>202015C01002</t>
  </si>
  <si>
    <t>89894172fb8550bd23df6094726b80c033086088a6b57d968ba91acbe0d25d3a</t>
  </si>
  <si>
    <t>202016B01002</t>
  </si>
  <si>
    <t>617fb1570d3ea1f053fc314ddca5f1611f153b8a41784a23a06eb254d46c3b5c</t>
  </si>
  <si>
    <t>202016C01002</t>
  </si>
  <si>
    <t>c5875ee9aec5168f2c5f1461279128e3e9d2b5d9d68c734dd434ade8b3a93277</t>
  </si>
  <si>
    <t>202017B01002</t>
  </si>
  <si>
    <t>af942c58dba4d31d2ea182f83c9d6b7408146f6973eea7da0177f18dea95b7ed</t>
  </si>
  <si>
    <t>202017C01002</t>
  </si>
  <si>
    <t>00a484dba275fbaa006b311c289487144a3718ef55082f3e0456566863f71c11</t>
  </si>
  <si>
    <t>202018B01002</t>
  </si>
  <si>
    <t>527734eacf07df4ee827249a86f6b5d6b8bfd0d85aa97b8a63f36057476e2953</t>
  </si>
  <si>
    <t>202018E01002</t>
  </si>
  <si>
    <t>029c11bfdea96db76b7efe53c9133201bf68913b3631fa93b32b8af100feb854</t>
  </si>
  <si>
    <t>202019B01002</t>
  </si>
  <si>
    <t>108d52d6507d58a4f41ead59e67660b227e03d0cfd6b9a601d97f41e678670cd</t>
  </si>
  <si>
    <t>202020B01002</t>
  </si>
  <si>
    <t>a81ecf6101a135591cb6e26a86a598632dbd2f0048d124825114efb71474f6ad</t>
  </si>
  <si>
    <t>202021B01002</t>
  </si>
  <si>
    <t>44f0b44c259c383d272d1b283078225407facca0cd103918a19f97f70fd1d899</t>
  </si>
  <si>
    <t>202021E01002</t>
  </si>
  <si>
    <t>6ee9aaf6b3953b77abc6b92f95df1fe92a3ee98f02d662312fee2f295f71ce94</t>
  </si>
  <si>
    <t>202022B01002</t>
  </si>
  <si>
    <t>9ef72f2741efb9cb67d0c3a94dd3dcce5246a6df3dda511cf228f33aaa9ec73d</t>
  </si>
  <si>
    <t>202022E01002</t>
  </si>
  <si>
    <t>9400a827f5b61104b3d4936c7d49d39aaa151cb68d63fec0a5c6f52e65392ce9</t>
  </si>
  <si>
    <t>202023B01002</t>
  </si>
  <si>
    <t>190a02e90e45418d24e704e1c90247430b4b08a3b2c8e3d0cb47a61d91f7f07f</t>
  </si>
  <si>
    <t>202024B01002</t>
  </si>
  <si>
    <t>85ed628d4ccf01cd54785b7758c5ccdf8f468c9708811bedac8cda2933119bf2</t>
  </si>
  <si>
    <t>202024C01002</t>
  </si>
  <si>
    <t>6adb15e4d0b07943d87a834687e1eb388a740dbfe59e722b60eb9f9bc5760055</t>
  </si>
  <si>
    <t>202062B01002</t>
  </si>
  <si>
    <t>1cac9a6796bde2c0286e76362c401b0f48854164f3710511b514acaf5a54a9ef</t>
  </si>
  <si>
    <t>202062C01002</t>
  </si>
  <si>
    <t>653ca13a2ebacfa205c50a9472c3955f6b502d30d6461aada918d98a17881f16</t>
  </si>
  <si>
    <t>202062C02002</t>
  </si>
  <si>
    <t>ef57b367bcdfb9897f3dae091713679071fecf4464323c6de2b9e51c232ca82d</t>
  </si>
  <si>
    <t>202063B01002</t>
  </si>
  <si>
    <t>ed0a41272d8a0b26d4ccb25984d2e063e9b543e50f3ae1c30c3c2664aba5e2aa</t>
  </si>
  <si>
    <t>202064B01002</t>
  </si>
  <si>
    <t>168c237b5077d9a647f6cb6f57d7f8e235482c62b81e1e6a8ef3884c16f1058b</t>
  </si>
  <si>
    <t>202088B01002</t>
  </si>
  <si>
    <t>2320568eaa3a3b75c235b197cb66f76bf6953b6e7b4846e6f72d4f9007e71f80</t>
  </si>
  <si>
    <t>202088C01002</t>
  </si>
  <si>
    <t>60f7867e9b53f68456e694ed2950faaeb23610255ce41b543169ddc70979be90</t>
  </si>
  <si>
    <t>202088C02002</t>
  </si>
  <si>
    <t>3c9c3f9be845bde3d7894d758e833d6e2432479692ee5144e545e4521370c372</t>
  </si>
  <si>
    <t>202088S01003</t>
  </si>
  <si>
    <t>637caee9fc686a63b623fc300fc235958f85bb231388570a703d38ecb9db105d</t>
  </si>
  <si>
    <t>202089B01002</t>
  </si>
  <si>
    <t>31956241ab347e96c64aa03bd9e3d02df050738c185392071bfa3e53cce547ac</t>
  </si>
  <si>
    <t>202089C01002</t>
  </si>
  <si>
    <t>ad35cf16efbcf9c8d0657118dd8dddc7a31d05fed6d8dea3addfc5a4878ada2b</t>
  </si>
  <si>
    <t>202089C02002</t>
  </si>
  <si>
    <t>c060ea36909cb134e45cc95ceea276f1310a752fa7e8a7cb93a73f3ade4edfc8</t>
  </si>
  <si>
    <t>202090B01002</t>
  </si>
  <si>
    <t>641fa4bbf18ee26f09dbf2b5c302504378f00cbe1e196e95b765c4a76a1173db</t>
  </si>
  <si>
    <t>202090C01002</t>
  </si>
  <si>
    <t>f5159f6f907721cdec86f0b4bf24b236a1f81ebbc201088b4f777ec547ed4109</t>
  </si>
  <si>
    <t>202091B01002</t>
  </si>
  <si>
    <t>8764399a66950ea48407aaf5996cc99dae524628e7f93f3eafac7802cf81c730</t>
  </si>
  <si>
    <t>202091C01002</t>
  </si>
  <si>
    <t>10f5916c59257559f89a82e7579564233c00bc6172cc73649fc93541dd0f5f47</t>
  </si>
  <si>
    <t>202091C02002</t>
  </si>
  <si>
    <t>b23e43a6aaa71a225f4220ecd996d499342e89dafc4349ca759b74cdd222b753</t>
  </si>
  <si>
    <t>202092B01002</t>
  </si>
  <si>
    <t>1745b1834c7aa2fbba856b2653009f5ce3db59217fd63836622982a80c5cddd3</t>
  </si>
  <si>
    <t>202092C01002</t>
  </si>
  <si>
    <t>83d96965dbea1a90058a3d045bc787260205575ce19986d1e5ed82b44064d292</t>
  </si>
  <si>
    <t>202092C02002</t>
  </si>
  <si>
    <t>71ad3883e544fab017de32346ab01e7f8b201250615d7f733bce7e2f4a339a99</t>
  </si>
  <si>
    <t>202093B01002</t>
  </si>
  <si>
    <t>f0e2e798d6b1560e38452bd71de88a678621c21b8b0549beac9406458aa5b9c1</t>
  </si>
  <si>
    <t>202093C01002</t>
  </si>
  <si>
    <t>2c11b2c3ebb93ef3d7de1903bf52d23c268af16a7cd352c737d44cdde4a13036</t>
  </si>
  <si>
    <t>202094B01002</t>
  </si>
  <si>
    <t>4a1fa8829dcac31bce87686a2224abfea5597262ee2cc3b145fbff72ff0bac32</t>
  </si>
  <si>
    <t>202094C01002</t>
  </si>
  <si>
    <t>ddbb8d871cced3cea225ce9f75c755ac29423528f1fe1bacf514709e051c0f89</t>
  </si>
  <si>
    <t>202094C02002</t>
  </si>
  <si>
    <t>db2983366c670a3d1da7535380846118faec90f0514251ccd4c1087fd537351b</t>
  </si>
  <si>
    <t>202095B01002</t>
  </si>
  <si>
    <t>a0ced3ba5d74c94bf377e1cc586860e72f6fd07ae471024faf7129a8e582bbd9</t>
  </si>
  <si>
    <t>202095C01002</t>
  </si>
  <si>
    <t>f71d56627f4b7251c96d919e6e68f57c8f726db8afbb61fd6d0a8a80dc460edb</t>
  </si>
  <si>
    <t>202096B01002</t>
  </si>
  <si>
    <t>f9c254277738cdd5dcba55b7f2615a22b38b42e6d73e14b18b9060932f450e78</t>
  </si>
  <si>
    <t>202096C01002</t>
  </si>
  <si>
    <t>366fb0bbf8017c69f5243aaa06458b4417fb597213a608d973a23909d3e96f78</t>
  </si>
  <si>
    <t>202097B01002</t>
  </si>
  <si>
    <t>69d53f8cd074ea123316e9d1a1c8650c9a7a93565e0be006f9aa6fd4718d683d</t>
  </si>
  <si>
    <t>202097C01002</t>
  </si>
  <si>
    <t>4fa98ed3da6845eec371c8565dffcf69ae639cc1c17a9ad02501d656dc4a3d27</t>
  </si>
  <si>
    <t>202097C02002</t>
  </si>
  <si>
    <t>a61f9201c6f667d8080fdee97c01de37e805a3343026aba4c64c4d1105568057</t>
  </si>
  <si>
    <t>202098B01002</t>
  </si>
  <si>
    <t>91f28f25c9ec27ab358540e74a188257a8acd8cec2e4013ac6bd1f832e4ebc21</t>
  </si>
  <si>
    <t>202098C01002</t>
  </si>
  <si>
    <t>104167d4e0144a0d71dc51b644412c3caf9e2c44d677c93b595e292241e14f12</t>
  </si>
  <si>
    <t>202098C02002</t>
  </si>
  <si>
    <t>f2f3299b8a60d9ef441af6543c7081532ec4ecd71d968ed54f5bde320631319f</t>
  </si>
  <si>
    <t>202098C03002</t>
  </si>
  <si>
    <t>3d5ca921ee286db64771ec9dc76787e59e554b5683bc5660d213a146ebdc6837</t>
  </si>
  <si>
    <t>202099B01002</t>
  </si>
  <si>
    <t>64896da361beefe69b05142532b9284e9fb1f8470e2c6b1af0271aa260e708cb</t>
  </si>
  <si>
    <t>202099C01002</t>
  </si>
  <si>
    <t>f9ab5ab80303de46ea06e09ed545e8abf86e6a5fd48a2bcf93d1f4c2bda2ea8a</t>
  </si>
  <si>
    <t>202099C02002</t>
  </si>
  <si>
    <t>707e22a365970d68044b5988f526ee3c916d9b1e06533e9c1d004cf4b083d59e</t>
  </si>
  <si>
    <t>202099C03002</t>
  </si>
  <si>
    <t>18a9fa416e5b5d41164a7edde82730e9f803109fd4271ae0ac409384db5241b4</t>
  </si>
  <si>
    <t>202100B01002</t>
  </si>
  <si>
    <t>569622e93adc78376ea701c99998ab9e5127a4c58853855ca7d5f105e55f7575</t>
  </si>
  <si>
    <t>202100C01002</t>
  </si>
  <si>
    <t>f6528143ad2581e0473b4ac168c272abda4e1db358464a24edc338ced11538d5</t>
  </si>
  <si>
    <t>202100C02002</t>
  </si>
  <si>
    <t>798201b7cee9f15364d5efa2ae245c41c0bec1bd86a55f830a9abad551548126</t>
  </si>
  <si>
    <t>202100C03002</t>
  </si>
  <si>
    <t>d14b2d884f84ab1c0a09960e2ec1aa0e62f6d35b45e7f91acbcd11bb75a124c1</t>
  </si>
  <si>
    <t>202100C04002</t>
  </si>
  <si>
    <t>3a7899890040e1ca707dfa4886cfcedf58bd396dde67907b813273b3727204a6</t>
  </si>
  <si>
    <t>202101B01002</t>
  </si>
  <si>
    <t>47438ea087d44e57a53da8b5d210aa46dcd6e42fc7238608aa9322240f4f8fcb</t>
  </si>
  <si>
    <t>202101C01002</t>
  </si>
  <si>
    <t>549497b56cece6ce9aea8ccdaa8d80d451eb1cabd6ae55ce21da3c118af01dbc</t>
  </si>
  <si>
    <t>202102B01002</t>
  </si>
  <si>
    <t>27b14716b99687dd35b0ba7b9277698a3b251f57fac906f6e3937ce4652cbeb2</t>
  </si>
  <si>
    <t>202102C01002</t>
  </si>
  <si>
    <t>5e5b8168a5a998ca782899e8dc54247c54b33ada45f78e556875dd2cf59bc33f</t>
  </si>
  <si>
    <t>202103B01002</t>
  </si>
  <si>
    <t>c456f8453be8caa983da09a4efe0fc4dc6df9f7de5db5f22679d714089285e1e</t>
  </si>
  <si>
    <t>202103E01002</t>
  </si>
  <si>
    <t>a11ced34398c4ccb1e95c41690dc26ceb3c5680eabd3ff6dda462dbe0cf7ce5c</t>
  </si>
  <si>
    <t>202104B01002</t>
  </si>
  <si>
    <t>50556208b395c0a07e34b0f8d6d2282bf0a69c0da708936d9c7bbefee7735446</t>
  </si>
  <si>
    <t>202104C01002</t>
  </si>
  <si>
    <t>3f3151fa42d64e54a8faeae19d61e5fd5679819a7dfe3f2ed1f6532657e86e61</t>
  </si>
  <si>
    <t>202105B01002</t>
  </si>
  <si>
    <t>eb361de676944b3d7799f86857f37912a06a90c314a2dfcbb82224097607f521</t>
  </si>
  <si>
    <t>202105C01002</t>
  </si>
  <si>
    <t>944e7ca39c4963462a46b699423afe9559ab4634d663f4f3d82c9b82fc63e611</t>
  </si>
  <si>
    <t>202106B01002</t>
  </si>
  <si>
    <t>cbabf186fcadc449edeeadb8f51b65f3f9e3d1f45779f94b9868aa833fd5b9c0</t>
  </si>
  <si>
    <t>202106C01002</t>
  </si>
  <si>
    <t>5aaafdb37186b4ea9d0779c808064b994356b736fc8bd83db060fb568ea419c2</t>
  </si>
  <si>
    <t>202106E01002</t>
  </si>
  <si>
    <t>e5a342b508bfcae1ca581593dd0e57f9ebb8d31bd4c74afe8ea409a9f0e9b1d5</t>
  </si>
  <si>
    <t>202107B01002</t>
  </si>
  <si>
    <t>933e2d0f595292b3d6c9519ec2e61ab2efeed2dc1f38ee1213a960b43f9f264f</t>
  </si>
  <si>
    <t>202107C01002</t>
  </si>
  <si>
    <t>5b071f74b8f45c4d6b12a4b10112208dd31e8b4c58d27ef943738d822bdced42</t>
  </si>
  <si>
    <t>202107E01002</t>
  </si>
  <si>
    <t>5afc38817299ff166d81d94f9c2f5b789bc8e0b78c44856020b275f71b2e670f</t>
  </si>
  <si>
    <t>202108B01002</t>
  </si>
  <si>
    <t>b0f2064dbaa410c6b3b7fe6397f42ed80feaa301ff47226de2523ce9850de598</t>
  </si>
  <si>
    <t>202108C01002</t>
  </si>
  <si>
    <t>cbf8ba36f07b928c640084d92f56d897f05d305bcdb919736810d794d8bdf83f</t>
  </si>
  <si>
    <t>202109B01002</t>
  </si>
  <si>
    <t>8e67376df94ab8dc1dadfcf8e5a5a92f01285919555276ca24cd8115b41121ad</t>
  </si>
  <si>
    <t>202109E01002</t>
  </si>
  <si>
    <t>3502abbeeeebe19eb44fee95d2dfafcb34a65306caee8ad2277945d0ef0ed029</t>
  </si>
  <si>
    <t>202110B01002</t>
  </si>
  <si>
    <t>5564c8f4f5dbd39140ec8bdd0ef54269e52361904fd159b9476f61a045e43541</t>
  </si>
  <si>
    <t>202110E01002</t>
  </si>
  <si>
    <t>34ecedbe571708ce14b31dda68a70e14fccd00f99893b9b926435cd2483a951b</t>
  </si>
  <si>
    <t>202111B01002</t>
  </si>
  <si>
    <t>d1ee07886a2fad316571566de140cbcf624092b5ef324d547192325654ff7732</t>
  </si>
  <si>
    <t>202111C01002</t>
  </si>
  <si>
    <t>59d5c2d0b21c72ff1e5401506768706aa31b93a522ff25022921b30c4d5c946a</t>
  </si>
  <si>
    <t>202111C02002</t>
  </si>
  <si>
    <t>9e23c4f9bd4812a2d571c2db9a45ba06e6c1c72dc824d21ddf873251eaa6e498</t>
  </si>
  <si>
    <t>202123B01002</t>
  </si>
  <si>
    <t>08658d88680a2f256e8d5c40a991e1e39fb5168e3a717a7c4b4bed69ce370d3b</t>
  </si>
  <si>
    <t>202123C01002</t>
  </si>
  <si>
    <t>e0831945b68ce34e5bcf1116d8c6febfcb1b2d2cb1ff5a01762f3425a29ff5a5</t>
  </si>
  <si>
    <t>202124B01002</t>
  </si>
  <si>
    <t>742317d49a4f188356b1b7d9a043d386d58d02c2c8977e9180ce5b039d743805</t>
  </si>
  <si>
    <t>202124E01002</t>
  </si>
  <si>
    <t>874745b431beee97dfe1e61ac4b2868e39c44621e72b447adf6c339132cb878c</t>
  </si>
  <si>
    <t>202124E02002</t>
  </si>
  <si>
    <t>989e1d5559dd3ad7a1793a97219044b08397b3210c9aeb31b7e27b8f372f759e</t>
  </si>
  <si>
    <t>202173B01002</t>
  </si>
  <si>
    <t>b63ae860406ef517b5d55182e3bf51470370755987e7017535f5af9ca3121544</t>
  </si>
  <si>
    <t>202173C01002</t>
  </si>
  <si>
    <t>e39fa40781ea82aa1ced78b6ce95ba1e8d2e89d8bb94ca13f5f71056ddb7508f</t>
  </si>
  <si>
    <t>202174B01002</t>
  </si>
  <si>
    <t>a5c9d0e6c2ca7442166b5ace1177ef7f9d040861286d9f0bbe511065077934e7</t>
  </si>
  <si>
    <t>202174E01002</t>
  </si>
  <si>
    <t>9fdea98ff82e47f7bc62b8763d0888ea1b960248201fb7abb8176e8a3cf786ec</t>
  </si>
  <si>
    <t>201170B01002</t>
  </si>
  <si>
    <t>SAN PEDRO MIXTEPEC</t>
  </si>
  <si>
    <t>134baf97cd4f2bd51c6df8afa34357ccffeb886e51c036b14afdec9d5046eb6e</t>
  </si>
  <si>
    <t>201170C01002</t>
  </si>
  <si>
    <t>b8f63f29e1b25a0311b1fd2d752b39848a930ae0be759ec00fb2aa94c1e54c9f</t>
  </si>
  <si>
    <t>201170E01002</t>
  </si>
  <si>
    <t>97402d71b994ba4e787541b9310897b5d747ebc0cfa71866ce4b273172d797a3</t>
  </si>
  <si>
    <t>201171B01002</t>
  </si>
  <si>
    <t>ea22cc9110c59c78699725aa740653940d0678cd8ae57e2714207ad0680ef713</t>
  </si>
  <si>
    <t>201171E01002</t>
  </si>
  <si>
    <t>39e7057f8626cfd4891781d01a79ac8bca7b0e19c1eaf29d0a2858d8bdeebf29</t>
  </si>
  <si>
    <t>201215B01002</t>
  </si>
  <si>
    <t>84178140672db76588c31d2892cbb1ce44d0907ae0a4f92e124052f05f571f5a</t>
  </si>
  <si>
    <t>201215C01002</t>
  </si>
  <si>
    <t>1de7e1e426da22a9072afda296a53e4532f20882c93e03ddd399fb08bb8764cb</t>
  </si>
  <si>
    <t>201215C02002</t>
  </si>
  <si>
    <t>bb93e95f1b2e16803e301acbb130c5b21e818fff904ee46a03c8d1982889d0e2</t>
  </si>
  <si>
    <t>201216B01002</t>
  </si>
  <si>
    <t>69d874a7fb4720caf5cc5c4464d08ec5d7d665f0b27404ece4974418a0003ae6</t>
  </si>
  <si>
    <t>201216C01002</t>
  </si>
  <si>
    <t>d90af81f9feb6464208a98c8923608f24c00799d3a51b0098e2dde388e893f62</t>
  </si>
  <si>
    <t>201363B01002</t>
  </si>
  <si>
    <t>5a870c8aeaaa507a1dbe6b504a1173abe557f3aea12c8b6ad32b03c1dae820d3</t>
  </si>
  <si>
    <t>201363C01002</t>
  </si>
  <si>
    <t>64b3f93b13cbaeb726d18c1a522574e29f0bd06e5a8d5c82937b09dfe2f4006b</t>
  </si>
  <si>
    <t>201363C02002</t>
  </si>
  <si>
    <t>418e3f1ef80e1c6b7b97ee42b40c3b17b8e5bae20f7ec349a80aa925a1b37724</t>
  </si>
  <si>
    <t>201364B01002</t>
  </si>
  <si>
    <t>7afe6bb47488400ccf13d4aec5c06e07589c9b8c7a7ce8c3251cb626c514cd0c</t>
  </si>
  <si>
    <t>201364C01002</t>
  </si>
  <si>
    <t>fff9d4c84e563810ae4bd33b2b7c036de6b95bd7ad52a34c672953a457c1ca30</t>
  </si>
  <si>
    <t>201364C02002</t>
  </si>
  <si>
    <t>1620a5e256ff3463e52e5a681b345bb3a193d6430ac9baadec0ca10702d5b5f6</t>
  </si>
  <si>
    <t>201364C03002</t>
  </si>
  <si>
    <t>c63080ee457a68aaf8c8d2085ec86515e4580ca47897c47343246d8246cdae47</t>
  </si>
  <si>
    <t>201498B01002</t>
  </si>
  <si>
    <t>d12e8a49b2dd85ef24f085dcfba2c67d939a3b3f7534efde17dd9983bebe6d79</t>
  </si>
  <si>
    <t>201498C01002</t>
  </si>
  <si>
    <t>fad1ee3c493baaa91324b043e953f1a9a21a3d84f2318845d9b36d02732a4e8c</t>
  </si>
  <si>
    <t>201498C02002</t>
  </si>
  <si>
    <t>4b49e60afc91b3983710070c633101159abbb725c571a13a7739a73e9a307f70</t>
  </si>
  <si>
    <t>201498C03002</t>
  </si>
  <si>
    <t>5d5d24800e873ecbf2a3e7640d5c8a259ca1314159a50603e20626244cf04389</t>
  </si>
  <si>
    <t>201499B01002</t>
  </si>
  <si>
    <t>d30b621501ec86cc1c71ecfa969687d9b1c0ba0fcc029a8996d304f9a8517a33</t>
  </si>
  <si>
    <t>201499C01002</t>
  </si>
  <si>
    <t>8bcdc8ca2922fc3b11376e4136f65fe20f4774331b9fa1225f259cd471924183</t>
  </si>
  <si>
    <t>201499C02002</t>
  </si>
  <si>
    <t>2cf44ad0c4384b6fcf559d679331dc756fb255caf7ff5050d698b3ac028db180</t>
  </si>
  <si>
    <t>201499E01002</t>
  </si>
  <si>
    <t>8f4a5d4857cf2987c6b76539d1d25477eadbe5938fccd8f256c978e57085dead</t>
  </si>
  <si>
    <t>201499E02002</t>
  </si>
  <si>
    <t>12ff4578dc7254be4a362f825c6aedf2b14bbc33a9c533588e224cb724bf788d</t>
  </si>
  <si>
    <t>201499E03002</t>
  </si>
  <si>
    <t>6f47a4a4704d4f1927b5bc40adc918c9f82bd7275e39969b29ced6e3c6e80918</t>
  </si>
  <si>
    <t>201500B01002</t>
  </si>
  <si>
    <t>f1d9a42ddd6c2ef9b64f0c8df1dbb7b38a3046e7fae13bf6152eeedad21f5b79</t>
  </si>
  <si>
    <t>201500C01002</t>
  </si>
  <si>
    <t>d852de3504ce92f1b4dd6b2ba9c5742bfc3a9ffe575a93309422146f9c3571e6</t>
  </si>
  <si>
    <t>201500C02002</t>
  </si>
  <si>
    <t>21357063199c437f57a42f529caeb2bb5625096c43aaded6970547162d1a6010</t>
  </si>
  <si>
    <t>201501B01002</t>
  </si>
  <si>
    <t>e57f666569e36f157d62e1364174eca6bc5cbbba263029c891575035f18798be</t>
  </si>
  <si>
    <t>201501C01002</t>
  </si>
  <si>
    <t>009034df893eeb679dc766f0c888d2ca4f203be7e4f484b595b629a6c6afd4ab</t>
  </si>
  <si>
    <t>201501E01002</t>
  </si>
  <si>
    <t>6bc7036a80791956136f69067f7489f041b645ff18b970b2307de2862aa47822</t>
  </si>
  <si>
    <t>201502B01002</t>
  </si>
  <si>
    <t>6fdb5e36a2a157fe8a1052a0a26ef307ef417e915e67149b34cf5b08aba94628</t>
  </si>
  <si>
    <t>201502C01002</t>
  </si>
  <si>
    <t>ea0f483f4b69978c6bb228782a1e4f4bb96ac9f2b7d3f39c52f178d98d4ae27f</t>
  </si>
  <si>
    <t>201502C02002</t>
  </si>
  <si>
    <t>1f58efec3fb3a9bb629aea2b830997dc233faffd2d1ae4186ce343ff3644113b</t>
  </si>
  <si>
    <t>201503B01002</t>
  </si>
  <si>
    <t>467e4a3887b0652b578aa59535ac4341363191531ba4438ddc10d12a824cf984</t>
  </si>
  <si>
    <t>201503C01002</t>
  </si>
  <si>
    <t>82fbfb716bbabae0bbb5156ee9da07b33235b3f74383a11a785cf41671dca48a</t>
  </si>
  <si>
    <t>201503C02002</t>
  </si>
  <si>
    <t>ceb611d7507ec20f5e98b811c704daa4ee1135a52cefb2f850cff17711bba8cf</t>
  </si>
  <si>
    <t>201503C03002</t>
  </si>
  <si>
    <t>9a902a50baafc17ca60ecde751b1d10edb79c6cd2a218148461066fec09fe8cc</t>
  </si>
  <si>
    <t>201503C04002</t>
  </si>
  <si>
    <t>010b69497c13534a475976fc7fdcf91b5bc48c77b689996c13a2312e2ee6d8d7</t>
  </si>
  <si>
    <t>201503C05002</t>
  </si>
  <si>
    <t>382e04ae15db676bf0c84e1ecd9d0db589f72e4178650d7efb96b6b2d75f1dff</t>
  </si>
  <si>
    <t>201503C06002</t>
  </si>
  <si>
    <t>30ca2ab1d54adab59fd3c65c9c57a48fb29e0d9edd7fb31545990feb619a6c81</t>
  </si>
  <si>
    <t>201503E01002</t>
  </si>
  <si>
    <t>c6c1c3f0ad87de90093131b8bafc5f3d1882a47d86d03cc8e1414f6020ba30a0</t>
  </si>
  <si>
    <t>201503E01012</t>
  </si>
  <si>
    <t>1cd439e4669b434d7e312d6257ca8879d0063a7863a9d09e00729139b155a304</t>
  </si>
  <si>
    <t>201503E01022</t>
  </si>
  <si>
    <t>f4c3c43731a375ea385f3cede4b7b5bf9affe7eb000745cb818e56a1bf678653</t>
  </si>
  <si>
    <t>201503E01032</t>
  </si>
  <si>
    <t>d9adb5d70c5b685bb6694fdf0b3d9d70374fa77fd0bac61e013888bbe1fa636b</t>
  </si>
  <si>
    <t>201503E01042</t>
  </si>
  <si>
    <t>37af1c4a0b577ca6fa0c7f1eb5f2575ac53ebc2bcc747f1b6764b0aa6c785a1f</t>
  </si>
  <si>
    <t>201503E01052</t>
  </si>
  <si>
    <t>827157501fefd010f80ca0e2c8ed3655b8a8c8398a2a278095bfad3511f23f34</t>
  </si>
  <si>
    <t>201503E01062</t>
  </si>
  <si>
    <t>50f87e1fca4f2662a907f03fba9ada533cf4d0b005da6d7d210b4cde446e77e3</t>
  </si>
  <si>
    <t>201503E02002</t>
  </si>
  <si>
    <t>29c22fe08bfa229bbbb8f4c54130c492156d157276d29c8ef105703f3df6fce1</t>
  </si>
  <si>
    <t>201504B01002</t>
  </si>
  <si>
    <t>e9d3482551b66071aeb51475341a8d17a4b9b61f1d3360debcf386298841325c</t>
  </si>
  <si>
    <t>201504C01002</t>
  </si>
  <si>
    <t>e99783fce095682412bb39d2282bef07a2515c6b3949cab97ed9738713445347</t>
  </si>
  <si>
    <t>201505B01002</t>
  </si>
  <si>
    <t>0759d606af92969e7ec21970694af6530ea13aabdd542228173464b7cb6f95f8</t>
  </si>
  <si>
    <t>201505C01002</t>
  </si>
  <si>
    <t>d536a3f1bfdc1e45ddd56dd9d1e10bece9b64288afea1fd691d9fa3314c2d322</t>
  </si>
  <si>
    <t>201505C02002</t>
  </si>
  <si>
    <t>3639aed795ebfc588e2faeaab390401ca22984862f3fa7ccfa73e1f312fbf791</t>
  </si>
  <si>
    <t>201505C03002</t>
  </si>
  <si>
    <t>c97e3d15b58416005ffdfb1b7dd893144029ffe6f6daae4b9e55687c283baa95</t>
  </si>
  <si>
    <t>201505C04002</t>
  </si>
  <si>
    <t>9ea267632e6d2a5da210dede619288db34d8471a73c76abdf5f3188f34d23105</t>
  </si>
  <si>
    <t>201506B01002</t>
  </si>
  <si>
    <t>6a6593a6f91fae8da951b2734e164bfe822dda7e5a94a02fc5397aa129526b4f</t>
  </si>
  <si>
    <t>201506C01002</t>
  </si>
  <si>
    <t>ff24ef49f241fe3f45012adad2f43d1529ff6e7347ae9c588a47785fd881ad2a</t>
  </si>
  <si>
    <t>201506C02002</t>
  </si>
  <si>
    <t>db2c9d08cb13f6401c7f176c2fc5dd1900799a763231c9ff3d40c6e5cca93f00</t>
  </si>
  <si>
    <t>201506S01003</t>
  </si>
  <si>
    <t>84f4d9577fa54bd2d197786d6b2e5a5c461bd33759afed893e49a70cfbb5bc35</t>
  </si>
  <si>
    <t>201507B01002</t>
  </si>
  <si>
    <t>7a3a96333a33f510081c49c2a15540012729d14c01389ca08ea282f94e6c7cb2</t>
  </si>
  <si>
    <t>201507C01002</t>
  </si>
  <si>
    <t>0852f68448ff35c7867f7c07cb64a0edca277c9ec9dca9668223fd6e4246e886</t>
  </si>
  <si>
    <t>201508B01002</t>
  </si>
  <si>
    <t>35c0bdc7b41580bbcd03ab03b4363ca9bca5152dd3796cbbd09a4c6d6e700367</t>
  </si>
  <si>
    <t>201508C01002</t>
  </si>
  <si>
    <t>7590dd5443204e7d68891241bab0f320fbd9f0fed6a14e1b2ba496690a5fc6bc</t>
  </si>
  <si>
    <t>201509B01002</t>
  </si>
  <si>
    <t>4f320d27feefa6e5817006b64ff8af5ef5a8591e5bcdd05fa828b8d305d85270</t>
  </si>
  <si>
    <t>201509C01002</t>
  </si>
  <si>
    <t>2d9c84a61b96b043e1d9216116ec1e4ad7cf6fd1bacdf34d97939e6dd1a53361</t>
  </si>
  <si>
    <t>201509C02002</t>
  </si>
  <si>
    <t>ae4881421b5e20e7b2a6eed60e447823d418991af7a0593c3108a7696a510623</t>
  </si>
  <si>
    <t>201510B01002</t>
  </si>
  <si>
    <t>50b4ec7c77e5c8420f11fa83d51b02928a40ccd36bc5e005ab5e39b6e262cbd1</t>
  </si>
  <si>
    <t>201510C01002</t>
  </si>
  <si>
    <t>635b45b364b848e7a3dd74f36580e88b1cb39df8d0e8079c4620933d01d69314</t>
  </si>
  <si>
    <t>201510C02002</t>
  </si>
  <si>
    <t>ab7efa6394a7630533ab7e9f41a6e87d7f78624b791fd6bb03d49f314502d563</t>
  </si>
  <si>
    <t>201510C03002</t>
  </si>
  <si>
    <t>033f517bd6c082335bf20614267e666a8e2c50093ba6eaca6ca4bf6b1638bda7</t>
  </si>
  <si>
    <t>201564B01002</t>
  </si>
  <si>
    <t>14f83bcb9f836000e13a39a94639d25917489a876c3aa4eae6eba42f55ba38cd</t>
  </si>
  <si>
    <t>201564C01002</t>
  </si>
  <si>
    <t>413ad79a46a5aa4e0dea031d2ef291875dad6d4c68e5616ee38c7fc238a1461f</t>
  </si>
  <si>
    <t>201564E01002</t>
  </si>
  <si>
    <t>1ef299d62ad1398c18584d4eba685aa84e8cb60848677f1d4ef4238cad135764</t>
  </si>
  <si>
    <t>201565B01002</t>
  </si>
  <si>
    <t>5b3197fe0dd209d7a85494fb31c1068ca40d8759dbbf68bba05499bbc7fa0bf8</t>
  </si>
  <si>
    <t>201565C01002</t>
  </si>
  <si>
    <t>ddcfe19bfcce3de681b125c31a17bf8ba957f1b40e807d13a78b1ad2be04df36</t>
  </si>
  <si>
    <t>201566B01002</t>
  </si>
  <si>
    <t>80a3b1511ca74a6afe581dd2f94fecffb162fee9b5f12fc9e601182091a69314</t>
  </si>
  <si>
    <t>201566C01002</t>
  </si>
  <si>
    <t>9e2f1820589cbcd84d207719d28d1f63866489933f6ce39bae50d33e8ed255e0</t>
  </si>
  <si>
    <t>201567B01002</t>
  </si>
  <si>
    <t>1162073c8ac58060fd3fe6c5afee87fd13aace97ea0e5e1122a254c3e4f948da</t>
  </si>
  <si>
    <t>201567C01002</t>
  </si>
  <si>
    <t>8b3c6628e31a21a6c73447fd8137056432d31d036ea84389d010a43222c86223</t>
  </si>
  <si>
    <t>201568B01002</t>
  </si>
  <si>
    <t>1608e43880c26c25051131629a494c8635ea695a9fe38986034976d219e2fa4b</t>
  </si>
  <si>
    <t>201568C01002</t>
  </si>
  <si>
    <t>6859deb10c1167431d446f6ea5ae557670757a043a2bcc4b1063857a3a5ab75a</t>
  </si>
  <si>
    <t>201568C02002</t>
  </si>
  <si>
    <t>81d18b920a7b6195ad8ca05d7bf959061c8c52b263559551257a3810f5cf1228</t>
  </si>
  <si>
    <t>201569B01002</t>
  </si>
  <si>
    <t>1b3ffe8017e2d50f05ebf841635504bc888ac46a81eb170a0473254644e926c9</t>
  </si>
  <si>
    <t>201569C01002</t>
  </si>
  <si>
    <t>f4786038631ba5d5dec0099d6c1a554f34c2ebfa7757294c937a56d915a46738</t>
  </si>
  <si>
    <t>201569C02002</t>
  </si>
  <si>
    <t>5064994e8d2c98ad683ba8434d1ed35e16d7f1161a8dd9b3f15737fb51de91b1</t>
  </si>
  <si>
    <t>201570B01002</t>
  </si>
  <si>
    <t>a541780a842ea8b2a9bd2ff0c5d93740d4cbd55f43f360b8b87dc49b7fc4ee19</t>
  </si>
  <si>
    <t>201570C01002</t>
  </si>
  <si>
    <t>dcc8f36192b15e151934ad598b64b9c240f9ec792728325c43608aa557c29ba0</t>
  </si>
  <si>
    <t>201570C02002</t>
  </si>
  <si>
    <t>a9c4d16681e1d0077cab4c1101669601dcff7645c3fdd0d6e58f58819562b873</t>
  </si>
  <si>
    <t>201570C03002</t>
  </si>
  <si>
    <t>8640e2a87bc98e707fe2fd97a7e994a1725509a9bc846f70dc13190cb2252cf4</t>
  </si>
  <si>
    <t>201571B01002</t>
  </si>
  <si>
    <t>e940b2f8311d23a604de76b39972295800c5cfb1fa9425152d79d37d2f5cc141</t>
  </si>
  <si>
    <t>201571C01002</t>
  </si>
  <si>
    <t>2bc573a97d7c9a08d38909a78497b0e9cdb0de6209aa8b86adb7b2894a2c1b6c</t>
  </si>
  <si>
    <t>201572B01002</t>
  </si>
  <si>
    <t>df828c1f61e4303a63d3da379fa99aa20a3115735d254f9ac5a8b03ddad9fe08</t>
  </si>
  <si>
    <t>201572C01002</t>
  </si>
  <si>
    <t>26544d18d7522ced04794f86d784a8a6af5d293621f14303d46938f47d0e38cd</t>
  </si>
  <si>
    <t>201572C02002</t>
  </si>
  <si>
    <t>52e3dda851687a1e65ccd95de234aa5044c0a0eaedcef1d0640bb815d140c019</t>
  </si>
  <si>
    <t>201573B01002</t>
  </si>
  <si>
    <t>160a99526c14281002939f067280f62936686adde65036aba078ac3ced853cf2</t>
  </si>
  <si>
    <t>201573C01002</t>
  </si>
  <si>
    <t>593af9229ee4844da622625a236814a688fd23cce5ad438b0faadf2be291c07a</t>
  </si>
  <si>
    <t>201573C02002</t>
  </si>
  <si>
    <t>c6b5a3be1b9d677b51e59e2c20ac779637319a4412643094814ac03c59602cb9</t>
  </si>
  <si>
    <t>201574B01002</t>
  </si>
  <si>
    <t>a516225dd1abe7c9f7b8fa45a2b2d3957d0e7dcefe15525447ef9e72d374561e</t>
  </si>
  <si>
    <t>201574C01002</t>
  </si>
  <si>
    <t>67e9a34edf94aa9c4e1540fd1fc83cb863979a3c4db0c4a8880393a50ff0b9fb</t>
  </si>
  <si>
    <t>201574C02002</t>
  </si>
  <si>
    <t>3dcbdb8f42b473d511de4115da5c35b69c3197642b69fb875b4608f49873beb2</t>
  </si>
  <si>
    <t>201575B01002</t>
  </si>
  <si>
    <t>cb38b40ef6d8c4ed805e3ebe247a2debec8c1e9df6824dcb827669df896dbadd</t>
  </si>
  <si>
    <t>201575C01002</t>
  </si>
  <si>
    <t>de7ef49e2e338c4ae214dc78bc65e261c847ff5d6e29d94de0c0441945b2550b</t>
  </si>
  <si>
    <t>201575C02002</t>
  </si>
  <si>
    <t>965acd4deeb9649fa2fa357ce1b705963fcbae2a2c39f3bbb1b801561a7ad4e7</t>
  </si>
  <si>
    <t>201576B01002</t>
  </si>
  <si>
    <t>dec1d9c1c4f769f831ca21fb62a9c7ef82926886a0df563f1a377b2514ad6e15</t>
  </si>
  <si>
    <t>201576C01002</t>
  </si>
  <si>
    <t>1f7e0022bf96bdf5dcf2156220e946667fcec1f395f926963f79b0d4a8528322</t>
  </si>
  <si>
    <t>201576C02002</t>
  </si>
  <si>
    <t>f32ff97744fe51ca7e17e6e57bb02531bafc08dbc51f3bafdc82f432a65ba7de</t>
  </si>
  <si>
    <t>201576C03002</t>
  </si>
  <si>
    <t>7a00a033587ced7e25abfe176da3ae063a495dec86a86a809d626a50ff37a37b</t>
  </si>
  <si>
    <t>201576C04002</t>
  </si>
  <si>
    <t>a9290a99758e954a8f031c164635e5317fa308af4a81512b95f9085a6c54ec3f</t>
  </si>
  <si>
    <t>201577B01002</t>
  </si>
  <si>
    <t>273a237a1de87e397b34b8dab63cc1cbbdafbc393e6a97408856fbb53738d6ba</t>
  </si>
  <si>
    <t>201577C01002</t>
  </si>
  <si>
    <t>80ddf88ea3c7d821ca9debbe1cf752e862805864a30622e7975e1edce8ac8fa5</t>
  </si>
  <si>
    <t>201578B01002</t>
  </si>
  <si>
    <t>bbe512b72742e0a27c6f66fc2bc364b02d7d5acaa410c4ba20e4fea1e7378434</t>
  </si>
  <si>
    <t>201578C01002</t>
  </si>
  <si>
    <t>cf77bf46c033924350f3a43262a5749423795ab155aaf8661fff465be96a2a3b</t>
  </si>
  <si>
    <t>201578E01002</t>
  </si>
  <si>
    <t>326ee7fe923ae113efe8293174173aa7b64fa06968d5e75cfaebf198dfb7d7b0</t>
  </si>
  <si>
    <t>201578E02002</t>
  </si>
  <si>
    <t>7be0e1da2cdb5c9e5e9649dac7cff9cfad698780d4b9a46cc78a45c5df92939d</t>
  </si>
  <si>
    <t>201579B01002</t>
  </si>
  <si>
    <t>819f90943932f62cba96288b9be11cda0379b006a785beecc8998b4b6d4fcc93</t>
  </si>
  <si>
    <t>201579E01002</t>
  </si>
  <si>
    <t>00519eb758b0bdda33feb295fa7e11d69ef1442aeaf52ba5832f2b2cdb07a45a</t>
  </si>
  <si>
    <t>201579E02002</t>
  </si>
  <si>
    <t>a7f7d5b7b0e86a66400da6fefd4ff04ee6cff805c76cc48e5db89f84e198ae69</t>
  </si>
  <si>
    <t>201580B01002</t>
  </si>
  <si>
    <t>5749a37859515d63858cbb9902e56141c56bd06a3e9220856e9b68372a44abc9</t>
  </si>
  <si>
    <t>201580C01002</t>
  </si>
  <si>
    <t>46979fe8b83e2b15fa1271ac5b5259268f30cfd2fdf46a9860b44d9a7a95f1be</t>
  </si>
  <si>
    <t>201580E01002</t>
  </si>
  <si>
    <t>ebd4336e0d52dfd316798b8499f15c20ec7e0782b882794355e048fa62413b89</t>
  </si>
  <si>
    <t>201581B01002</t>
  </si>
  <si>
    <t>1e35aef686f310acabafe63a2eabb15f2cd9fc81304b653aaf0438c9ec75a6bd</t>
  </si>
  <si>
    <t>201581C01002</t>
  </si>
  <si>
    <t>595c83068ed02b7918e92471ce7ad7f08c2361542e18b3f3a2fd16b466343ede</t>
  </si>
  <si>
    <t>201582B01002</t>
  </si>
  <si>
    <t>723dfd659afc148543c64b3ef7a1c453968735a33aa04b99c1f4827aba96cd8c</t>
  </si>
  <si>
    <t>201582C01002</t>
  </si>
  <si>
    <t>9d510be22a4f608903a99d996f1fd829d2536ebd2832cb3cfac91793e81218f0</t>
  </si>
  <si>
    <t>201583B01002</t>
  </si>
  <si>
    <t>c44b1615dc00f12ec7e3314d1d51496d77982500bb54dc132992500abf1bbdea</t>
  </si>
  <si>
    <t>201583C01002</t>
  </si>
  <si>
    <t>65ddc933286bb2f01ff689a09778f7eb155063411d5284e3bb9f7d63c726ecc7</t>
  </si>
  <si>
    <t>201583E01002</t>
  </si>
  <si>
    <t>1662afa93506a5f9151be3d00ed31da1f474cf7c8f4f8bd71dfb28a14ccd2d52</t>
  </si>
  <si>
    <t>201584B01002</t>
  </si>
  <si>
    <t>7b520d207d80160f06c3574902c564895c6a6c2f0e630463e6cebcaa9cc9ede2</t>
  </si>
  <si>
    <t>201584C01002</t>
  </si>
  <si>
    <t>d66aa10470524880a300b2336017ff497f6a81f22e159b95568a48193f70e809</t>
  </si>
  <si>
    <t>201658B01002</t>
  </si>
  <si>
    <t>1bbc7cb7736c7eb05cb25aae5be31916b585c168ca12a98d4160ec485c6f74ef</t>
  </si>
  <si>
    <t>201658C01002</t>
  </si>
  <si>
    <t>bc9907f17a51422d7540c3dbd5de47d82d70f719ccb57bf8febed2c71020a146</t>
  </si>
  <si>
    <t>201658C02002</t>
  </si>
  <si>
    <t>b3f9cdf6ee404b28d5b6b4a451bc3d72f4d7c7abdff82179bc39c41d7c6a2c43</t>
  </si>
  <si>
    <t>201658S01003</t>
  </si>
  <si>
    <t>b719bea99e06f6a14ed5b5913cf8893ca70e13908f2770561e7c2a2a90a12ef0</t>
  </si>
  <si>
    <t>201659B01002</t>
  </si>
  <si>
    <t>55ec5a2e94ea7c992e6a4528ed39d9335f9028423379a0a111173d98ff6d4d21</t>
  </si>
  <si>
    <t>201659C01002</t>
  </si>
  <si>
    <t>4cb226edbbf073c60a6a4944eeb155419bffb7b583c35bf835f30a8c88f59aeb</t>
  </si>
  <si>
    <t>201659C02002</t>
  </si>
  <si>
    <t>0ec8b6c657e918441304e4664387889e9e63ee4b136cf6e4b81866527081ed87</t>
  </si>
  <si>
    <t>201659C03002</t>
  </si>
  <si>
    <t>f3f415aa7a92b2bd1a69745e985d8996e6f3d3e3ace590f8c9ac721d5f637ee8</t>
  </si>
  <si>
    <t>201659C04002</t>
  </si>
  <si>
    <t>b12c37c09dc64a492a119ae53d253df585425d4b8f45c370ff9df30a08e91ec6</t>
  </si>
  <si>
    <t>201659C05002</t>
  </si>
  <si>
    <t>67370267d453a17b4aba8c3f6bea93242f2703cd39a635ebdb497d2151ab5e5b</t>
  </si>
  <si>
    <t>201660B01002</t>
  </si>
  <si>
    <t>dbe7ed24f6fe7072c7d1f1d31000c0afb83e5431ceae79373b3c7a4df905a867</t>
  </si>
  <si>
    <t>201660C01002</t>
  </si>
  <si>
    <t>5a1d6748725ff4958fcf73d1ffb42526cfa35a31dc794aaf1f36fca06f73c480</t>
  </si>
  <si>
    <t>201660E01002</t>
  </si>
  <si>
    <t>42707ff80355851cfb60f99e2e01fa6da7688b31ce1e301346599e05d6572902</t>
  </si>
  <si>
    <t>201661B01002</t>
  </si>
  <si>
    <t>ad054920beacf0a7adad338d65a2a033ef2f05187d0a9b0d4d01edeb8a232ea5</t>
  </si>
  <si>
    <t>201661C01002</t>
  </si>
  <si>
    <t>a81ffef21cbf48a5d49ba415091290e082c846f9f10ddb59a53f1fd7be9d0643</t>
  </si>
  <si>
    <t>201662B01002</t>
  </si>
  <si>
    <t>106bfa9f13e38a90d5c83cfa13310531d4b3e1d4f0ea16e437c3a2f8d7144905</t>
  </si>
  <si>
    <t>201662C01002</t>
  </si>
  <si>
    <t>8f07790153613dcbcc2333294eb141792c818665bf43c183a6067dfffe1907d5</t>
  </si>
  <si>
    <t>201662E01002</t>
  </si>
  <si>
    <t>ce1246b41767f0a79bf3b5ee9566da178ca02a85e351667ada50644b58d62a92</t>
  </si>
  <si>
    <t>201663B01002</t>
  </si>
  <si>
    <t>54ab52d2725535e9c6d55bd36ff814b646db93ce78afaf3e2966f05f7b6a6087</t>
  </si>
  <si>
    <t>201663C01002</t>
  </si>
  <si>
    <t>70bf321a7c212d7ee9a2de89fe269b6eef26ce7051dce5991af4880e70bf1879</t>
  </si>
  <si>
    <t>201663E01002</t>
  </si>
  <si>
    <t>741879d970a6a08785dd2851f389c2c91d574a0f005bce0c8a4df0a2655c388e</t>
  </si>
  <si>
    <t>201663E02002</t>
  </si>
  <si>
    <t>e4d2e4b1f73a8ae184804d7fc831147fa3af615c3d11aa89d9c60382f3140a8f</t>
  </si>
  <si>
    <t>201664B01002</t>
  </si>
  <si>
    <t>f7206d9f4ceceac6dc68c87bb05632f4cc884c298bb80d71364f643987849f5d</t>
  </si>
  <si>
    <t>201664E01002</t>
  </si>
  <si>
    <t>04e6679a0d424381bc6c35ddf840e18ea44681a976ddaf99c9f5d92c2d9d14d1</t>
  </si>
  <si>
    <t>201908B01002</t>
  </si>
  <si>
    <t>c18ffec6e07ff904b899917f30d590f915e5f491c6da218dc398213db24e5e90</t>
  </si>
  <si>
    <t>201908C01002</t>
  </si>
  <si>
    <t>deebeb1b1a814652e70a2cd8e074d5342c5f09f706c316d5ebf77d5b90b0b111</t>
  </si>
  <si>
    <t>201908E01002</t>
  </si>
  <si>
    <t>32a64abf91b1cb3811d936d6f9281be2b52a2f327def7c1eeca7392b1ede0ad5</t>
  </si>
  <si>
    <t>202128B01002</t>
  </si>
  <si>
    <t>3fedec2224de9951d91ad43b5d51ee09351b4ad83be97968e404b84fe9e2ee53</t>
  </si>
  <si>
    <t>202128C01002</t>
  </si>
  <si>
    <t>b5c91d313fc64f91130e6d852898a9278be13fd5e54e657b2e98b03b46bb99f8</t>
  </si>
  <si>
    <t>202129B01002</t>
  </si>
  <si>
    <t>16fbf5a01298e545355aa6368941b6df037b530fe4bec8ad0efe8f04e1d2b9e7</t>
  </si>
  <si>
    <t>202129C01002</t>
  </si>
  <si>
    <t>5f3bc1fc8a30e1286c49ec9bed7f474e5217a0d6c5b99885cfea4ff8a24b250e</t>
  </si>
  <si>
    <t>202129E01002</t>
  </si>
  <si>
    <t>d18bd400197fe97fc23a0a82f736cb4bc318b21559589efe29ce6aa315050cbe</t>
  </si>
  <si>
    <t>202130B01002</t>
  </si>
  <si>
    <t>88e775b06c6f885e67ba573014d40f81eaf375052a57f74913f633dcc93054a5</t>
  </si>
  <si>
    <t>202130E01002</t>
  </si>
  <si>
    <t>a1fd44c8571b4222c2aa7b983746ceb46f3848598693db0260afa8282d11eaf5</t>
  </si>
  <si>
    <t>202130E02002</t>
  </si>
  <si>
    <t>8b29b5aa2a2b210fc404e4b9746e5223cf31fb46373e02fab89dcec18ba9dc69</t>
  </si>
  <si>
    <t>202150B01002</t>
  </si>
  <si>
    <t>218c3bd933e9787ff91cae8220846de37970ba9800009eff2c66833eaecdcb72</t>
  </si>
  <si>
    <t>202150C01002</t>
  </si>
  <si>
    <t>b74d172082167d09531ca7d40527aa519f69b9159ef752b557a30e45ee32ade2</t>
  </si>
  <si>
    <t>202150C02002</t>
  </si>
  <si>
    <t>ebe626245a67fe5839ae3790a8eefa2d1b1b35b84e0744829835ebe526b20449</t>
  </si>
  <si>
    <t>202150C03002</t>
  </si>
  <si>
    <t>5b577890a96976167bc463ba56b4ee92b294d2cf7a4ba42aea88346be6a0caee</t>
  </si>
  <si>
    <t>202265B01002</t>
  </si>
  <si>
    <t>e1412e6bfd46aded31a0a3801636974f08f2ae10d51478c2b099a509de804ce1</t>
  </si>
  <si>
    <t>202265C01002</t>
  </si>
  <si>
    <t>77625ea998ea0984d6074ab2877df4a5d85e2c16a58b6c9cb6b7c1e33eb4c8a5</t>
  </si>
  <si>
    <t>202265C02002</t>
  </si>
  <si>
    <t>f7983b85eb0fed76b6559ebd6cc2162efc50b7855f4a043327f5e12e9e970482</t>
  </si>
  <si>
    <t>202266B01002</t>
  </si>
  <si>
    <t>b5c6d0b7e85cac1724e46bf2711eae280aa127aa87d73cf9d696eec361ab345e</t>
  </si>
  <si>
    <t>202266C01002</t>
  </si>
  <si>
    <t>aa1784d46653500ad911f40ad5370597c9f68bb0ccdb68ffa2780cc1d6e78272</t>
  </si>
  <si>
    <t>202267B01002</t>
  </si>
  <si>
    <t>7274a08e75e71b5ea1b4477e510e2b4332b72b5f7b490f074c022b492c6213c1</t>
  </si>
  <si>
    <t>202267C01002</t>
  </si>
  <si>
    <t>5163f561ad1bfc2aa235915aab76dfeac998dab3088b8a399df7f64d0f2f34d8</t>
  </si>
  <si>
    <t>202268B01002</t>
  </si>
  <si>
    <t>de9e64a4b4cf526541f70c7634a6ba65d7a5e1f3bc167b5897fb089f14f99841</t>
  </si>
  <si>
    <t>202268C01002</t>
  </si>
  <si>
    <t>566ff1a649c9ccbcddf9de639218f9572abb601637d13cf4c17fc1b3a9bab6c0</t>
  </si>
  <si>
    <t>202268C02002</t>
  </si>
  <si>
    <t>a0984f7f7c276a871a6b52484f084ae0045cb96693252c6882c2bd627db0ad11</t>
  </si>
  <si>
    <t>202268E01002</t>
  </si>
  <si>
    <t>fa53ebb1e3327e2bbb725280bcc162207f57d13b8907e0729cbfa36370dcb152</t>
  </si>
  <si>
    <t>202268E02002</t>
  </si>
  <si>
    <t>b19760b826f3308b18b8e1aef504e231342e2a57dd07ff0e117fbd2182cbb5c5</t>
  </si>
  <si>
    <t>202269B01002</t>
  </si>
  <si>
    <t>03cc6e05e2ea348eda0ebf805a565843b7a49d2c4a62ecdacfad8c0107d9a8e8</t>
  </si>
  <si>
    <t>202269C01002</t>
  </si>
  <si>
    <t>2e0ffd9de68575d87480692a38f71f2a3dd11c0ba4bd3965da6f85a98902884f</t>
  </si>
  <si>
    <t>202269C02002</t>
  </si>
  <si>
    <t>885dedddc06feb9e62c1ad1fe4ec96bf853912441ca39baa153d51ee193b3e37</t>
  </si>
  <si>
    <t>202269C03002</t>
  </si>
  <si>
    <t>1fda067886d80677c4b8dc04a80677085cca0fc171ae6ee283564522fdac63f4</t>
  </si>
  <si>
    <t>202270B01002</t>
  </si>
  <si>
    <t>d5017ca543767a9fcdacded5688c3a14a044972567898972fbb3b33f9562ae2f</t>
  </si>
  <si>
    <t>202270C01002</t>
  </si>
  <si>
    <t>0905298d63cb528f598a324dbbd292c4bac92cf43a0ae2d6ea50f2ef3f6985d0</t>
  </si>
  <si>
    <t>202270E01002</t>
  </si>
  <si>
    <t>99a3e25bde1702410562cfc50d057af1a0f8f9f707164fae355a0653f3a1304b</t>
  </si>
  <si>
    <t>202271B01002</t>
  </si>
  <si>
    <t>5d21c3dd3c1ee5c3b743be01fe3147e4ae4b334824b99932a18843d1a684b663</t>
  </si>
  <si>
    <t>202271C01002</t>
  </si>
  <si>
    <t>b1926ff4bcecac95f5ae60ca4c513ef0717325c3a9c39035f97d2f51a4a066d0</t>
  </si>
  <si>
    <t>202271C02002</t>
  </si>
  <si>
    <t>7cdbdb4ab83857915e3bd05fb5ace8f268fecf85b2593b5f2b061777a667d629</t>
  </si>
  <si>
    <t>202318B01002</t>
  </si>
  <si>
    <t>8d702437341bde9c4fbce831a0ff42bc51db2886231ce1a20ee9c4a5259654c4</t>
  </si>
  <si>
    <t>202318C01002</t>
  </si>
  <si>
    <t>a3db50155047f249fa9aec338f17d6da2645e7d499f4eb8e272cdb7ef37ee0e7</t>
  </si>
  <si>
    <t>202318E01002</t>
  </si>
  <si>
    <t>379b762e58afed40e93147352b67c64e330d3efae84c31d64f35066be4cb0680</t>
  </si>
  <si>
    <t>202319B01002</t>
  </si>
  <si>
    <t>c023583ba4dcb0fad6883a440325833289b41c0c3d8160a5ae6bee295f9eb3f9</t>
  </si>
  <si>
    <t>202319C01002</t>
  </si>
  <si>
    <t>372a01d53a517ec73da42f2f913784441bdaf142d44af8d387e9aee1d3ee30c9</t>
  </si>
  <si>
    <t>202320B01002</t>
  </si>
  <si>
    <t>ac7ad0117b13f87d7aeb7b65acf5b8100b82cf79d1d20032fa2d65bc61686fcc</t>
  </si>
  <si>
    <t>202320C01002</t>
  </si>
  <si>
    <t>59f0699a341dcd55e5ae152fd575885b682be3a7cb25e75853015e6d3ba6e9d4</t>
  </si>
  <si>
    <t>202320C02002</t>
  </si>
  <si>
    <t>a95986b1a41714ca0ea1ab8de1401e23a6faf19b9d785497e632416a1ffb48a4</t>
  </si>
  <si>
    <t>200090B01002</t>
  </si>
  <si>
    <t>MIAHUATLAN DE PORFIRIO DIAZ</t>
  </si>
  <si>
    <t>d6c800498cdb17320b63d4e6a89e65732f6737b4e90bb1c404bc7d81d5ce081f</t>
  </si>
  <si>
    <t>200090C01002</t>
  </si>
  <si>
    <t>b76f535860af5984827402522c2d60ba5f7fb7360e65c43c8d9b8090b9e05deb</t>
  </si>
  <si>
    <t>200090C02002</t>
  </si>
  <si>
    <t>60ed3e6ccb3399d3acdecbeeab0f9bbb27463c75d8abf2c68c3d5e87c357f891</t>
  </si>
  <si>
    <t>200091B01002</t>
  </si>
  <si>
    <t>9db9c949ba2b6f7fc36225086c52a106a16fd732e13bfa4151a1a121e3139468</t>
  </si>
  <si>
    <t>200091C01002</t>
  </si>
  <si>
    <t>d2368c47ef2470737fbc328dd8781df6dc6e913ead4d3ecb25e753af5e059f89</t>
  </si>
  <si>
    <t>200091E01002</t>
  </si>
  <si>
    <t>a99b4a1f35fe6efe8a4c97df70fb58ff975fa49f16b63b9a437917edc9888d86</t>
  </si>
  <si>
    <t>200093B01002</t>
  </si>
  <si>
    <t>3abc9b8767bec25d4f4cf786687761f25c5f22d6776fc7b54f757c5d1bde306c</t>
  </si>
  <si>
    <t>200094B01002</t>
  </si>
  <si>
    <t>8929d4e3727eb72aa74548edeb5ad8351fa1a0c60beefcd9cb5ba64579f5bd07</t>
  </si>
  <si>
    <t>200095B01002</t>
  </si>
  <si>
    <t>c76ba3ac09fca0470d995e23f64e47d5555dc06196b36c01f6be89dd59d2dc6f</t>
  </si>
  <si>
    <t>200095E01002</t>
  </si>
  <si>
    <t>c9b67d3330ed9195cededf0e35e250bec51b8296408f0a74ec84d95319addfbd</t>
  </si>
  <si>
    <t>200096B01002</t>
  </si>
  <si>
    <t>1c0363c5f3ade3710823a6dec3ee4ff8d9f42fff524dbfeb82930c1d4ea9e997</t>
  </si>
  <si>
    <t>200096E01002</t>
  </si>
  <si>
    <t>30f8ecad1a3bc28351a7d231ac4fdb8466d767096afc590840cb2de87ebba0be</t>
  </si>
  <si>
    <t>200432B01002</t>
  </si>
  <si>
    <t>6eee4aa3c2bc61ce68326c54788366dbf47f878cb5ceed8703a36d4776f92b17</t>
  </si>
  <si>
    <t>200432C01002</t>
  </si>
  <si>
    <t>49a28924115f1680777a173a43c2ac2ebc32c142d4e105bcfbc6bf4dbf7d142c</t>
  </si>
  <si>
    <t>200432C02002</t>
  </si>
  <si>
    <t>8486b3eca18f61845761fa09e05a23dfe987ca478c0005eb77eb8abff37ce80b</t>
  </si>
  <si>
    <t>200432E01002</t>
  </si>
  <si>
    <t>b88b44753f905687ba3691838e2646a86b6199402ae48bc285fb18921ad75c53</t>
  </si>
  <si>
    <t>200432S01003</t>
  </si>
  <si>
    <t>4fb81a7fbb2a35b2155623acfdca17577e42dc53e74b29c62353598a227146d3</t>
  </si>
  <si>
    <t>200433B01002</t>
  </si>
  <si>
    <t>d99be5dd3c318538391ed2b91f567bd76992c4b8ec0750310ef4f68aa304486b</t>
  </si>
  <si>
    <t>200433C01002</t>
  </si>
  <si>
    <t>b5706a19a47c8b5cd661cfab93f88fff590ef67c81220babeecd66a173288832</t>
  </si>
  <si>
    <t>200433C02002</t>
  </si>
  <si>
    <t>3ef53e1b4c0461b07908755d29e0a1d5aaedc8778dbdd55c917b8311404b1661</t>
  </si>
  <si>
    <t>200433C03002</t>
  </si>
  <si>
    <t>29439a9a29f30d003e6fdd7469bbceff49d70888788d937fb94cb83fd3fc2047</t>
  </si>
  <si>
    <t>200433C04002</t>
  </si>
  <si>
    <t>933ffa68a45d7f5c74278bab5f51067cf7cc0d6c8287e90d1e0d4918aaae0dfd</t>
  </si>
  <si>
    <t>200434B01002</t>
  </si>
  <si>
    <t>a3e5fccafb3ae7db53e3ed87f4e881e6bc327a2d8a9b841bbdbd9f938a300d24</t>
  </si>
  <si>
    <t>200434C01002</t>
  </si>
  <si>
    <t>4732a0fe85dae5a6234138beb4ddc20a0bca35407a717e4222af186ea0d9bd15</t>
  </si>
  <si>
    <t>200434C02002</t>
  </si>
  <si>
    <t>979ec455d8d4278ed75157d0c3cd550e0aa8c2e2d8c4ecaacb11946024c06b99</t>
  </si>
  <si>
    <t>200434E01002</t>
  </si>
  <si>
    <t>e5944e2c549682b1b0cbf66593fdb290ba2e383b1b6e395ca9c8f7915fd96875</t>
  </si>
  <si>
    <t>200435B01002</t>
  </si>
  <si>
    <t>96166c1bb2349fd41ba0611950fc72a8c815441d90dad673cabd49b9679ed6ae</t>
  </si>
  <si>
    <t>200435C01002</t>
  </si>
  <si>
    <t>99b7080c97e270983ae752a26df3fc60f8f099fac6dfb69a0fa3d01d11755e11</t>
  </si>
  <si>
    <t>200436B01002</t>
  </si>
  <si>
    <t>815e253b8fe846caaf2d4218eee9a15b8612c5c35e966abcc05fdf92ca2871cd</t>
  </si>
  <si>
    <t>200436C01002</t>
  </si>
  <si>
    <t>0a86cf131e44d36421987dfcd9adb3eb81d8002222914c72c985818e7987a7c6</t>
  </si>
  <si>
    <t>200437B01002</t>
  </si>
  <si>
    <t>b393e7d8659f4e3094dde717ed67ed3a0639197764ce3ba8d0d325578e54913a</t>
  </si>
  <si>
    <t>200437C01002</t>
  </si>
  <si>
    <t>f8b314fc468b11c8ca2470f37308cd50c2b7d6f2495c8a78fd7f7fe32215743f</t>
  </si>
  <si>
    <t>200437C02002</t>
  </si>
  <si>
    <t>dbe4796c185c3f3b2b10bd90ce80477c93a8217052f4b995a83def276bae7387</t>
  </si>
  <si>
    <t>200438B01002</t>
  </si>
  <si>
    <t>99cfeeebe4aeb8f4d9a9bb695382c31d091e8c99e6aab94ebbb32f52f94cc7d4</t>
  </si>
  <si>
    <t>200438C01002</t>
  </si>
  <si>
    <t>b61c541f87ed1a873e60a9c4fdd208882ee3939764ed86f89ca91665092caac8</t>
  </si>
  <si>
    <t>200438C02002</t>
  </si>
  <si>
    <t>b80d6c50f8c7214b4889be3b03c0cd315c71883e04647a6f2d7e9ab40eb9985c</t>
  </si>
  <si>
    <t>200438C03002</t>
  </si>
  <si>
    <t>06e2aeb9825c0eb1f61ec457b38bfe54f6c99f1d55bf86030590fd054eadc837</t>
  </si>
  <si>
    <t>200439B01002</t>
  </si>
  <si>
    <t>317d26449717f750cef29d2bfffa463ca7dbc1337760375caf68efcfa5cb8663</t>
  </si>
  <si>
    <t>200439C01002</t>
  </si>
  <si>
    <t>e99fa83f74d2669499facc713a289983dc2ebe3535b124b697d8d073cac65a60</t>
  </si>
  <si>
    <t>200440B01002</t>
  </si>
  <si>
    <t>1f9c7ccda698fa500aabeae6a4db11418e7426efac5de7f81a8eeef876bf54d3</t>
  </si>
  <si>
    <t>200440C01002</t>
  </si>
  <si>
    <t>8b496d455ac9dbc931d33a2bb61fbd5986efbd568d6b9993cc859b76b68cd0d6</t>
  </si>
  <si>
    <t>200440C02002</t>
  </si>
  <si>
    <t>f554f14ba27c52fd41c9784e153def0bb47eb3b4e416ebc647c2dbbfbc2e4549</t>
  </si>
  <si>
    <t>200440C03002</t>
  </si>
  <si>
    <t>cac76163d74ea9271c33d557b9f1fe3ef55fce2d4b5683cc79d04f8d94d545b5</t>
  </si>
  <si>
    <t>200440S01003</t>
  </si>
  <si>
    <t>f1891c0ef5211b74b34cae410152bbb0d53ae40d5612589824bd5a5a22e4d07e</t>
  </si>
  <si>
    <t>200441B01002</t>
  </si>
  <si>
    <t>597c07988b37a9772ae0d80227a70eb2f70c4fe687bcb4f47880f2587de0c95e</t>
  </si>
  <si>
    <t>200441C01002</t>
  </si>
  <si>
    <t>a89ce575dac36dbfaf72c29d28020c1b0762b56f7fdb0d7f49b6926774b5912e</t>
  </si>
  <si>
    <t>200441C02002</t>
  </si>
  <si>
    <t>d86a6163c58bd8ebaba19bd8589e0659c02b87e47972b0c7ec7edf5045e12ff4</t>
  </si>
  <si>
    <t>200441C03002</t>
  </si>
  <si>
    <t>43551d4b860876a1fde642614eb3d8543f0133e3edaea2a36e93a3a391888d62</t>
  </si>
  <si>
    <t>200441C04002</t>
  </si>
  <si>
    <t>bde98ad9f3b2bf786fc1cf6a895b5d723aff926e19656004bfeedaf172af944b</t>
  </si>
  <si>
    <t>200442B01002</t>
  </si>
  <si>
    <t>3c87e59bc6e7d45625452a727021acd47c3473d1d8b9548a353c20478c88dad3</t>
  </si>
  <si>
    <t>200442E01002</t>
  </si>
  <si>
    <t>ad981ac9e633ce879e82a3f55093f17a6aef09f161ba40bc8767888423168857</t>
  </si>
  <si>
    <t>200442E01012</t>
  </si>
  <si>
    <t>52dab94abf3fa3f3f31ed6987c3d511e25bfaaf9dee09a3cf61b11a2960433e2</t>
  </si>
  <si>
    <t>200443B01002</t>
  </si>
  <si>
    <t>d5d8590f94d117e1f7df84c250c3caf21714f2a45b4d776c3fc29309c750244e</t>
  </si>
  <si>
    <t>200444B01002</t>
  </si>
  <si>
    <t>fcd37562b986c32e753391449762e791b1c8b75917b911faeff0dfcd5c6e25a2</t>
  </si>
  <si>
    <t>200444C01002</t>
  </si>
  <si>
    <t>72c99767a067d4e862ce2d6d957f5165949be78ea91215d103ac2ac16e8ba4be</t>
  </si>
  <si>
    <t>200445B01002</t>
  </si>
  <si>
    <t>34655eaf4fbef16a1ff3306b01cf5606361a45b8daacdfa5e4efbd75500dc770</t>
  </si>
  <si>
    <t>200445E01002</t>
  </si>
  <si>
    <t>16a22960a90a4a470ea697074a850d6b0b70507c148133f3720179b8d0d9921a</t>
  </si>
  <si>
    <t>200446B01002</t>
  </si>
  <si>
    <t>8af190261d389af004bde3e2d6828c877e60fb726ad455e9be1da12b55a24ea2</t>
  </si>
  <si>
    <t>200446C01002</t>
  </si>
  <si>
    <t>0b2c74f59fbdb6f9e3d4df509f72c6b6e2e2a410a37568b2f556c836b29e17f7</t>
  </si>
  <si>
    <t>200446E01002</t>
  </si>
  <si>
    <t>52711ffdcabe76b1a9e7d16be4e06c939b53212b1b149c7a9978c73b3e921290</t>
  </si>
  <si>
    <t>200446E02002</t>
  </si>
  <si>
    <t>ce347238033e61abe8781ce8df9a671dc3b62ca86ac427ab2da4c0fcece2e05a</t>
  </si>
  <si>
    <t>200447B01002</t>
  </si>
  <si>
    <t>3ba9749fda61d0eb204f0415bf35a9dca7985c3d1ddcf3a4188a16aa33d6fbb6</t>
  </si>
  <si>
    <t>200447E01002</t>
  </si>
  <si>
    <t>219af65bd415e27fd0e3d346ba85f045cec877ce6bad9696ad426f3a4720ed4a</t>
  </si>
  <si>
    <t>200448B01002</t>
  </si>
  <si>
    <t>72f731a5c663dac0196ddcd17f052958a296e7d0163b8617964b74aa7cd1ec94</t>
  </si>
  <si>
    <t>200449B01002</t>
  </si>
  <si>
    <t>50773220abfeaf5c9f9da9d4d5c782e1229da4b7a6829518ee7fe538b63ce012</t>
  </si>
  <si>
    <t>200449C01002</t>
  </si>
  <si>
    <t>f57976a4d9a16b9cca5be3610a196d498f8d012d44bc70f1692b872ceb27f94c</t>
  </si>
  <si>
    <t>200450B01002</t>
  </si>
  <si>
    <t>fc0f7b1837234c98d836c3f0b0ea95f539015fa1596457769ae8d64f76257216</t>
  </si>
  <si>
    <t>200451B01002</t>
  </si>
  <si>
    <t>4160df3e650cc57639142182716cde9ee6679efe4829109124bc0c39431d8c0f</t>
  </si>
  <si>
    <t>200452B01002</t>
  </si>
  <si>
    <t>e6d6e5dacec16147100bfe73f48c34570e68d123c7c974c27c0400e230423a2f</t>
  </si>
  <si>
    <t>200452C01002</t>
  </si>
  <si>
    <t>40948dcd6c77163462884725d2603781023c4a591ef39c600a80ca4b7600aa9c</t>
  </si>
  <si>
    <t>200453B01002</t>
  </si>
  <si>
    <t>0ba4636fb9a250992db5f86f8c7b21ced4c0e476b8cc99dde5363c34fad22da9</t>
  </si>
  <si>
    <t>200456B01002</t>
  </si>
  <si>
    <t>7b06a9441e7bec55671c311f63400dad7b6826a4d84cf4d80f0b06702973b74e</t>
  </si>
  <si>
    <t>200456C01002</t>
  </si>
  <si>
    <t>9537fd91c58f9025a8dc2e86ef452415046f845d777f7d5fcba71b92cd591061</t>
  </si>
  <si>
    <t>200457B01002</t>
  </si>
  <si>
    <t>1f3755e20ea7a088a42180b50af140133e4ca4da73fa93ecab403ec43f837f57</t>
  </si>
  <si>
    <t>200457C01002</t>
  </si>
  <si>
    <t>75a6c9f26dfbfa28be7263d7f1c9f208b1bbf52a681a3ed51424c6c8543f3f33</t>
  </si>
  <si>
    <t>200721B01002</t>
  </si>
  <si>
    <t>f67e453ab29d3a8fe752f22c0223565608dd4512ca5cef4dfd452142fbdb3cbc</t>
  </si>
  <si>
    <t>200721C01002</t>
  </si>
  <si>
    <t>e84f3d191bf274d2a6ff4b330897ce18d71044200848814b1bb18acddbd8783e</t>
  </si>
  <si>
    <t>200722B01002</t>
  </si>
  <si>
    <t>41d099f55a543dfa3a741dba30498d843e1f618c3703959a01813dc6082e8f16</t>
  </si>
  <si>
    <t>200722C01002</t>
  </si>
  <si>
    <t>95524dccf714213327edd8636629f93e116d2892a8227d4b653777b473da4af0</t>
  </si>
  <si>
    <t>200722C02002</t>
  </si>
  <si>
    <t>56231e43b9912e49a4b0888e18e8013f6a7492ebc441debd7181b9da4a46960f</t>
  </si>
  <si>
    <t>200723B01002</t>
  </si>
  <si>
    <t>2a3522773941b5530b4395617aa3927898725369634955b1c4c6d96e9745072f</t>
  </si>
  <si>
    <t>200723E01002</t>
  </si>
  <si>
    <t>56a7d0ca76acee1e31ad972dd829a5c1e1e72307875b2a1ae12a55d3ea3bb00c</t>
  </si>
  <si>
    <t>200723E02002</t>
  </si>
  <si>
    <t>b58652bc19636b3f62e4754c0fb51be8af23482ddab94d80599552cefbb30536</t>
  </si>
  <si>
    <t>200724B01002</t>
  </si>
  <si>
    <t>9f7a9baacd40ab7a1a33b2160318522044c109bd32759f1681e19354389fc6b5</t>
  </si>
  <si>
    <t>200724E01002</t>
  </si>
  <si>
    <t>6b24c6004f42a19f88bb36107db7af3beb94d00b56b7cbd79d5332978f114b7c</t>
  </si>
  <si>
    <t>200725B01002</t>
  </si>
  <si>
    <t>b6f297b5993893ef9f79801f6471ed528c127184151c83e6a5bd32465b67f44a</t>
  </si>
  <si>
    <t>200725E01002</t>
  </si>
  <si>
    <t>52ebae9e20802ce0de5c392129df4950831b589e372e5a6be3105d4831c85e54</t>
  </si>
  <si>
    <t>200726B01002</t>
  </si>
  <si>
    <t>0af27639dafc5dfe2db88688152bd0026f30623d560977c1ea67cde475913632</t>
  </si>
  <si>
    <t>200726E01002</t>
  </si>
  <si>
    <t>424ded185a4f9c7c7199738794c6a3592e784be9860613303033a113ae93f2ef</t>
  </si>
  <si>
    <t>200727B01002</t>
  </si>
  <si>
    <t>af64f5945ce2abfcae3b7f097db53bc63e6c98ee08838a0645963dcef15b9b40</t>
  </si>
  <si>
    <t>200727E01002</t>
  </si>
  <si>
    <t>5316e76de9782ae54361d1d8cc313eb8a864b57c8f346b532e5644221c14b54e</t>
  </si>
  <si>
    <t>200728B01002</t>
  </si>
  <si>
    <t>aa7dbd8a73a8dacaf27cb35621041407a95be83d458f6d22d5dee74e579ed213</t>
  </si>
  <si>
    <t>200728C01002</t>
  </si>
  <si>
    <t>e3007b61ce14857088f7294df5132e11664826e723228dc55e50e5c883a34567</t>
  </si>
  <si>
    <t>200728E01002</t>
  </si>
  <si>
    <t>2d678c86dcc09e5e253618f606886daa5b5e66e7d4b6a9c1e947c59f954ab234</t>
  </si>
  <si>
    <t>200729B01002</t>
  </si>
  <si>
    <t>3aa3e7fbaaf9ed19b4dfcd8a3f25d98f0d5e6fb3f2a036f00df4d68d366926e2</t>
  </si>
  <si>
    <t>200729C01002</t>
  </si>
  <si>
    <t>102b474b5e70c2adf6404d06ef5341f96d4f2be56b263a71ad8b2758c91dc640</t>
  </si>
  <si>
    <t>200729C02002</t>
  </si>
  <si>
    <t>24731a60d79e9b4729fd32093b9026aef2585313ac8bfafa3de2a8af0eda304f</t>
  </si>
  <si>
    <t>200730B01002</t>
  </si>
  <si>
    <t>00994e4732a26948e8a5cfc9572f15bc93e05e62b2bff3a1c041f1e7f8d4ee3d</t>
  </si>
  <si>
    <t>200730E01002</t>
  </si>
  <si>
    <t>c9c1477d417dd0a113a0d87625b0032e76211727670e160cd13175a59a790cef</t>
  </si>
  <si>
    <t>200731B01002</t>
  </si>
  <si>
    <t>ce71286eaddca988cc6eb3368b604f696e3718964328d04b33905e6202cbe98b</t>
  </si>
  <si>
    <t>200731E01002</t>
  </si>
  <si>
    <t>7765e7c6ba5d070de19fd8aa8f94340656b9a2753c3390f0ab19408d7983bd49</t>
  </si>
  <si>
    <t>200732B01002</t>
  </si>
  <si>
    <t>37d61c33900d82e381b042ab12e044de8b1fa20993f3a84e4156a0ad71129c08</t>
  </si>
  <si>
    <t>200732C01002</t>
  </si>
  <si>
    <t>c9638fa79a9322230e555e7bc511ed53e76f04eef3d24e2c1105424f438663b3</t>
  </si>
  <si>
    <t>200732C02002</t>
  </si>
  <si>
    <t>39a5b4bf5a9f23712eb726649d29b2c8048c52a968b47851583ff06f6a3f49b0</t>
  </si>
  <si>
    <t>200732E01002</t>
  </si>
  <si>
    <t>a85d4d4b97c609962609356ee0091ec9eb5bfe666b8df2213c49c107f64c382a</t>
  </si>
  <si>
    <t>200733B01002</t>
  </si>
  <si>
    <t>d32817093eb9e70ba796238db625057b7bc222c97ff5fa5c48cec2297767d510</t>
  </si>
  <si>
    <t>200733C01002</t>
  </si>
  <si>
    <t>38707e23eb5449b59600471c4605e47d1ffa2c73d2b0e86620aee67201eb3704</t>
  </si>
  <si>
    <t>200753B01002</t>
  </si>
  <si>
    <t>8ab0caa5e28b0b173b04392d2dd819deb636adda84ff8d5c9517db2ac3218de7</t>
  </si>
  <si>
    <t>200753C01002</t>
  </si>
  <si>
    <t>849bab2bd4fe170417f615c087ba4c75d488aa6f86dc629c42811b8ac00445d4</t>
  </si>
  <si>
    <t>200753C02002</t>
  </si>
  <si>
    <t>a73760fd50fadaa3e2032b1bfa65b2d45310433d1577a543a9bb1b9d5321c3b0</t>
  </si>
  <si>
    <t>200754B01002</t>
  </si>
  <si>
    <t>77a6d754ec957d668b6da758ac3c5368b1e645c913d388e315c99fda45db26cc</t>
  </si>
  <si>
    <t>200754C01002</t>
  </si>
  <si>
    <t>6c6f87337f72a3ffbb7ec33fe9337247587e21e938982a03925930c3f8675f49</t>
  </si>
  <si>
    <t>200754E01002</t>
  </si>
  <si>
    <t>70bb485ab14ceb4ddad38923d3519c44a4d9ecc153db552f130587cc5c0aa295</t>
  </si>
  <si>
    <t>200755B01002</t>
  </si>
  <si>
    <t>7648c3d7c1b229483a0dca825b7526bcd67101b9b1ed8bd756c85c2bc11e06ab</t>
  </si>
  <si>
    <t>200794B01002</t>
  </si>
  <si>
    <t>3c16a900cc79dfa2044b8ece1bb6acfb3296ecee364061a9154bbe6d8ee9b633</t>
  </si>
  <si>
    <t>200794C01002</t>
  </si>
  <si>
    <t>6101bf91178ded22e54b6f21bc88e6348191e0c2dd149fcf999f11a2c2b6e4b2</t>
  </si>
  <si>
    <t>200794C02002</t>
  </si>
  <si>
    <t>6ac1258a2f243179d21a8acc4d68552f5e8880fa3398b615bc55014ca715c385</t>
  </si>
  <si>
    <t>200794E01002</t>
  </si>
  <si>
    <t>5c79be7d8d17125ea7061e8906f51be912ceb77c945f34baeedb76bd9a347a98</t>
  </si>
  <si>
    <t>200831B01002</t>
  </si>
  <si>
    <t>f62749dfb3e1a63d9d54227d50f8980c3984f40cc9fe8c65360854256411db78</t>
  </si>
  <si>
    <t>200831C01002</t>
  </si>
  <si>
    <t>8a87476748bb7aedf145870a90fc0b1fd49d9f826ee1d72c8d0f9c44f0d18b3b</t>
  </si>
  <si>
    <t>200832B01002</t>
  </si>
  <si>
    <t>c0ca00a0bb2440cee5a90c54d58747a9c63be73600dfffbeebb2397d662e23c0</t>
  </si>
  <si>
    <t>200832C01002</t>
  </si>
  <si>
    <t>9702f3db002c357755ee98b276e74865fe5279b4c2eeff001d50dd265ac83924</t>
  </si>
  <si>
    <t>200833B01002</t>
  </si>
  <si>
    <t>8b467d6ef4dcc12cbc577abc49237976802cdfe82da81e66561b6e690d6eb269</t>
  </si>
  <si>
    <t>200834B01002</t>
  </si>
  <si>
    <t>ac45b39a6461de328328d82d0f29d7f3dd2f2f3b45c86635bfce5a02a369b6af</t>
  </si>
  <si>
    <t>200897B01002</t>
  </si>
  <si>
    <t>8f69c65d1bee9182f5860e2a4c8d4c5fa1ec8a9d8d14602d0d2d46bb9433ae06</t>
  </si>
  <si>
    <t>200897E01002</t>
  </si>
  <si>
    <t>b18e22ff941d5fe11f4a653f520dc342a8487c872d7dfb5488abaed2005d5689</t>
  </si>
  <si>
    <t>200898B01002</t>
  </si>
  <si>
    <t>efdf052930d221999d75392d5eb94d3d9f1c9658bfcca660a107ca9e75de998f</t>
  </si>
  <si>
    <t>200911B01002</t>
  </si>
  <si>
    <t>12a4db4ea12ed15329968f37bd400ce3aa0234d12b8435e8b6aef2092b0247c0</t>
  </si>
  <si>
    <t>200911C01002</t>
  </si>
  <si>
    <t>a7808e2d57e8100752a0907ac9cad2900fab8e47486148340c019095f2588d4a</t>
  </si>
  <si>
    <t>200912B01002</t>
  </si>
  <si>
    <t>6a223c404150010af4581fd4cb89ecb1fe62a8d9af7923bcc336b60801e80484</t>
  </si>
  <si>
    <t>200912E01002</t>
  </si>
  <si>
    <t>b99e64dfbe87a570711a70340225f82566b54dab3ccac1fa20b7cb24d6140cf7</t>
  </si>
  <si>
    <t>200949B01002</t>
  </si>
  <si>
    <t>1b1bd5900dab202f52a05245dfb3a9f8bc6c1a9a4c5f174f9a75ea3ec2ca064e</t>
  </si>
  <si>
    <t>200949E01002</t>
  </si>
  <si>
    <t>b3275febe793754b3832f4779a22e5638c20eb76c73a1d3ad2da6246153b315a</t>
  </si>
  <si>
    <t>200950B01002</t>
  </si>
  <si>
    <t>023cd27e161258d7f193f720d660fccd4d898f17f7f5344fb5c7ce58dec94d3c</t>
  </si>
  <si>
    <t>201204B01002</t>
  </si>
  <si>
    <t>719317da8a73ba964ceb1437cfdafe2178954d4e496a1300191e673855740fe1</t>
  </si>
  <si>
    <t>201210B01002</t>
  </si>
  <si>
    <t>d5778ed27fecea2b16e2ebb1a2883984e59374db69ce16bbd4efd9fb49b87837</t>
  </si>
  <si>
    <t>201211B01002</t>
  </si>
  <si>
    <t>754822893c56c836cbf2c48832400fc8854f73d87a346790beb76ab406e8b8cb</t>
  </si>
  <si>
    <t>201212B01002</t>
  </si>
  <si>
    <t>30cab30121b098a3dd37a37995a0d8774d5c30d06537bedb5876d091c3661f1c</t>
  </si>
  <si>
    <t>201212E01002</t>
  </si>
  <si>
    <t>b97b9c1741ad054f5f86ff54281e85c2cf898191ca9e155ba3ce3a667bfde1a4</t>
  </si>
  <si>
    <t>201276B01002</t>
  </si>
  <si>
    <t>399de0b266c4b21456da8eb37e519fe1eaa8bfb045043b98ae448885daddd392</t>
  </si>
  <si>
    <t>201277B01002</t>
  </si>
  <si>
    <t>76699d0d05031f0547f498099bd18047833f4d54ad3f07ecfb3c1201ab9f53fb</t>
  </si>
  <si>
    <t>201310B01002</t>
  </si>
  <si>
    <t>747dead0ec0807d5dbd02ea4c3160749e2340f736ba9eb8cae9c8983167719ea</t>
  </si>
  <si>
    <t>201310C01002</t>
  </si>
  <si>
    <t>d7fe04acc76ea95aa52a916968363355955870f97ff49cc625950acfa5f6c9e7</t>
  </si>
  <si>
    <t>201310E01002</t>
  </si>
  <si>
    <t>ccd4f6b2c35e1b2e91f871f70f216659baa4e5be6aa8677c7a606e981fea0afc</t>
  </si>
  <si>
    <t>201311B01002</t>
  </si>
  <si>
    <t>64421ca535a2775da8a62dc8b317a9f819af1afbbf8bc719d58a135b0d1a9fd4</t>
  </si>
  <si>
    <t>201312B01002</t>
  </si>
  <si>
    <t>af0a24e7e85464f3bbacd751356592553efd77745340769bb4e0afca93f69f06</t>
  </si>
  <si>
    <t>201313B01002</t>
  </si>
  <si>
    <t>5a886b4db56670d93d746d0670552aa4137a991647db4a5540fbac799a4bf497</t>
  </si>
  <si>
    <t>201345B01002</t>
  </si>
  <si>
    <t>d800d3ebb1c7ea4f4ceedc5b6bf182fa261818192415e9592dfc4ba897683b37</t>
  </si>
  <si>
    <t>201345C01002</t>
  </si>
  <si>
    <t>6e76ca29b9327375c9411ffd7fd7f8be33f9a88507c2034decd3f65fe2d56e2a</t>
  </si>
  <si>
    <t>201346B01002</t>
  </si>
  <si>
    <t>fbb5f23a0045a5f1f598873ad11b2f43180ea0e72595f2aeacc2345eaddcf897</t>
  </si>
  <si>
    <t>201347B01002</t>
  </si>
  <si>
    <t>47507e3d1801a3b07a1c6f9c59b22f88bab55dcd0d34c755d398dcf98e1663fa</t>
  </si>
  <si>
    <t>201347C01002</t>
  </si>
  <si>
    <t>8567b0b6c5c4b48ec472769457fff9ff65f67b25d86878e13c3d4ba42eb9f7aa</t>
  </si>
  <si>
    <t>201348B01002</t>
  </si>
  <si>
    <t>e6ee3910b79ad0d5185149bbabf42324cc1db62afda246cdfaf7e39bbd2f2980</t>
  </si>
  <si>
    <t>201348C01002</t>
  </si>
  <si>
    <t>a93a3f35feb434c838c33de8574f5cb22ef47e32395d0a6db2c1b396b766ba70</t>
  </si>
  <si>
    <t>201348C02002</t>
  </si>
  <si>
    <t>f8eb22b4d0f12df9d88ee381c069f96944fa3a2606d52e0da9dfee60f5dd19e2</t>
  </si>
  <si>
    <t>201349B01002</t>
  </si>
  <si>
    <t>0ac642709f99aadf5a421fa1efaf9634853992bbf8cf243a1be0a569e4c47eb9</t>
  </si>
  <si>
    <t>201349E01002</t>
  </si>
  <si>
    <t>833e368af5f5aaad733c0ccc04e0fa4fd95ae5177fdbc8fd06f01995d6999f66</t>
  </si>
  <si>
    <t>201350B01002</t>
  </si>
  <si>
    <t>b10410460e798226a3fe7a5aaf7db5fda1aa5cef6c4f4e0ad025b90090f05508</t>
  </si>
  <si>
    <t>201350C01002</t>
  </si>
  <si>
    <t>df3516e9b88bf2197fb13df3a82ed9ddc68ecf5206e29ddc9b644f9f6df96cd0</t>
  </si>
  <si>
    <t>201351B01002</t>
  </si>
  <si>
    <t>62b4e9c883b0ea14c6a5103b391a771121a9115bf508cd7ed3dbf374ffb03149</t>
  </si>
  <si>
    <t>201396B01002</t>
  </si>
  <si>
    <t>2e45f67e10749e7d74ac6ea0f77bcb956b6f8ba0d8d3c6a5cf60ab511516bb70</t>
  </si>
  <si>
    <t>201396C01002</t>
  </si>
  <si>
    <t>b4ac8573525f3bf053209d34d148b0d1b9a9a9f135647d448efad43ace402b15</t>
  </si>
  <si>
    <t>201397B01002</t>
  </si>
  <si>
    <t>1dce23be594a005b67fa3b970efad83d803734d45cb3b99bb9203054aadb6148</t>
  </si>
  <si>
    <t>201397C01002</t>
  </si>
  <si>
    <t>e3f58db6074f17a221c604984623fa6f853bbc97b9cc6f82eeb9b9724c8d2b4f</t>
  </si>
  <si>
    <t>201419B01002</t>
  </si>
  <si>
    <t>6b150717d8e26e0bebd2bd7a2318569834a64a062d422f641351a35d076de17b</t>
  </si>
  <si>
    <t>201419E01002</t>
  </si>
  <si>
    <t>618f124b33bed700c04ce04e56f85cdfa91966b16518e4dac783cc736be40395</t>
  </si>
  <si>
    <t>201420B01002</t>
  </si>
  <si>
    <t>07f46fd96437657194bed5283cc84da81eb237bf52739b7604446eab8321bbc3</t>
  </si>
  <si>
    <t>201420C01002</t>
  </si>
  <si>
    <t>5f7ddf7c163fc71a3cb6e992d2758da96916baac5ae7e5cd3c3fa701cadd4bd6</t>
  </si>
  <si>
    <t>201421B01002</t>
  </si>
  <si>
    <t>cbfe50b07043f9f9699dcbd0174a7ecccc6ceb5b0dfdbd9f2f579093e557cca1</t>
  </si>
  <si>
    <t>201421C01002</t>
  </si>
  <si>
    <t>9be0ec26a0fbafe93b10db459cb4a4a1e51c31f4b2982d48137d7644d6405622</t>
  </si>
  <si>
    <t>201511B01002</t>
  </si>
  <si>
    <t>c678a468ca8f9fd8a40d45bf9cee3ba927762b5d3bc0fe65ee1d226e00870711</t>
  </si>
  <si>
    <t>201511C01002</t>
  </si>
  <si>
    <t>7ff0860a1f4462fcb653ab141c473129bd46804f4c193a703802ba1c3fb565d4</t>
  </si>
  <si>
    <t>201614B01002</t>
  </si>
  <si>
    <t>fb2cdf5102900c11710e87a95986330ca4f770073ac1659915f9079d8428b518</t>
  </si>
  <si>
    <t>201614C01002</t>
  </si>
  <si>
    <t>c016ff1ca40c4d9a5453b9f28297a4fccdf3eaba92cb321cf8ff92c6c5a425fd</t>
  </si>
  <si>
    <t>201615B01002</t>
  </si>
  <si>
    <t>0598b45fe143e351ec732d1470e1c58e22361c51b882063b447cc744911094be</t>
  </si>
  <si>
    <t>201616B01002</t>
  </si>
  <si>
    <t>6538e081415d1ac64a2abf1c016d56ff9712c2746ab4bb0a5b994beff74de3d0</t>
  </si>
  <si>
    <t>201616E01002</t>
  </si>
  <si>
    <t>a7af5e29cd7a15778b2dc5a55bd1f6f2b6e7ed5815832c66ca6ef8cd79d75a50</t>
  </si>
  <si>
    <t>201641B01002</t>
  </si>
  <si>
    <t>babdad474ba48926d32b017ebc9d9c4fc5d7184fc536b88ff0f831b586b34620</t>
  </si>
  <si>
    <t>201641C01002</t>
  </si>
  <si>
    <t>c09b4d456d15d00827995f276c6d9d34c4842c97044fbdfca67974341090d5a5</t>
  </si>
  <si>
    <t>201641C02002</t>
  </si>
  <si>
    <t>d34e0d535821b23b6d82a3e5a479c6dfeda9ad0fa6f4db8a3e0b2afdb05c2fec</t>
  </si>
  <si>
    <t>201652B01002</t>
  </si>
  <si>
    <t>88f5ae9282b062c370fa1630a71f756aeb93444496bcd7636db7c5a2f44e812d</t>
  </si>
  <si>
    <t>201653B01002</t>
  </si>
  <si>
    <t>97559905a18b06f55337521af1fc5f1a216e692ebee1138f7f60c094477d1c98</t>
  </si>
  <si>
    <t>201653C01002</t>
  </si>
  <si>
    <t>7ec5965867c9b7bdd0663b2ace11b10dd65739105b9d89107f7974f60068ee79</t>
  </si>
  <si>
    <t>201668B01002</t>
  </si>
  <si>
    <t>6183dc92d45d725741b87a5cfb7a93d5a31cf61e8b8a2085d13509d7da534e4a</t>
  </si>
  <si>
    <t>201668C01002</t>
  </si>
  <si>
    <t>2df88af2bf43fbb8752f9e1e4d77284ff6ed099ba6e3f5e93cbfc93627db1722</t>
  </si>
  <si>
    <t>201669B01002</t>
  </si>
  <si>
    <t>c064ca1ee59ac11f823e999126a01419b91f865a4f990fbd3d73f759083ebb22</t>
  </si>
  <si>
    <t>201669C01002</t>
  </si>
  <si>
    <t>c5a71fd4c88304defa8ba22c515cd4c93429cc5932610cc4e6fae3fa3f5485e3</t>
  </si>
  <si>
    <t>201676B01002</t>
  </si>
  <si>
    <t>dd59d605993339db68b9e33e762716ec8f87002d95c0ed400a723e830a04b28f</t>
  </si>
  <si>
    <t>201709B01002</t>
  </si>
  <si>
    <t>c4e2e71feacc4dfda3d504d2fdb99198ac9e0a99746ba709792ca230ed5cd7b2</t>
  </si>
  <si>
    <t>201709C01002</t>
  </si>
  <si>
    <t>c9fd031e918ff19d475708bd55396f99a049148b557db7e0084961e71102ca74</t>
  </si>
  <si>
    <t>201709C02002</t>
  </si>
  <si>
    <t>d8c17cacccef43423bd8a7fdf672894dd926b646b5b21823b946aca49901182f</t>
  </si>
  <si>
    <t>201710B01002</t>
  </si>
  <si>
    <t>75399e2a2a9e15b3494216196f9b1a79236507429cd4e9c14c16c4a4e088bf72</t>
  </si>
  <si>
    <t>201710C01002</t>
  </si>
  <si>
    <t>ddb9536e453a5d0206e22550a9db9602e50ec62a0a6dcfeb1cfb5015d1ac15d4</t>
  </si>
  <si>
    <t>201711B01002</t>
  </si>
  <si>
    <t>cd643fb21907061877f2f9541dba590ff4005eb7f5c6c62a026c1dbbe7e17c3b</t>
  </si>
  <si>
    <t>201769B01002</t>
  </si>
  <si>
    <t>0d38e5d1c191990b47a3ff2403bfeb7ff6e81ad85e1d07a8935419d1e3461367</t>
  </si>
  <si>
    <t>201769C01002</t>
  </si>
  <si>
    <t>d40a51a9bbc69fe27a2c41d5525999288e0ce671beb7d9c8822283ba6b1ab1e7</t>
  </si>
  <si>
    <t>201770B01002</t>
  </si>
  <si>
    <t>56fc46714a443e6e9a5ebf3011a9f4a0a420cf80f6f7283f81fb5a146c1998a6</t>
  </si>
  <si>
    <t>201770C01002</t>
  </si>
  <si>
    <t>700b07798553807053e76f4da39b4208500ade4ec250cd2cded61e6d288b8130</t>
  </si>
  <si>
    <t>201770E01002</t>
  </si>
  <si>
    <t>8be8dd14d56642804e35d2079db990c00c0e74c22a7bad1469f2c3ee467b7a24</t>
  </si>
  <si>
    <t>201770E02002</t>
  </si>
  <si>
    <t>1ea084974e12249af761efc259683cac3667919234ab521d7447a6f7204521aa</t>
  </si>
  <si>
    <t>201882B01002</t>
  </si>
  <si>
    <t>399ed67f8057b11f116f18028b9b6cc5f4ace4add21f2fda26aee7b921c2d9d3</t>
  </si>
  <si>
    <t>201882C01002</t>
  </si>
  <si>
    <t>e97f7f9b470c9ecc6042fbdb046dc6e3ea8bb9ae195ef6e5fb213031c753b5ce</t>
  </si>
  <si>
    <t>201883B01002</t>
  </si>
  <si>
    <t>24288794282f165e7a339b0e2d96e3dbb23e4f74eba0874cd5ca3b78e58d75a9</t>
  </si>
  <si>
    <t>201884B01002</t>
  </si>
  <si>
    <t>26d1af374ae04be0ea010936b5d3194ab4502762f7e0f76754b19a486dda661f</t>
  </si>
  <si>
    <t>201885B01002</t>
  </si>
  <si>
    <t>2e6200764a9933806f5943ea9c3b9e851334fb5f1c0a303469548402d4503535</t>
  </si>
  <si>
    <t>201886B01002</t>
  </si>
  <si>
    <t>13ca6d6f58241ca0feba2ad482ebab6fabc2fe377984ba078e7ad9a1ca124560</t>
  </si>
  <si>
    <t>202144B01002</t>
  </si>
  <si>
    <t>90a9290cc6bd31491c101410c02b842ce3dc20d03f563aabec907a286a168b1d</t>
  </si>
  <si>
    <t>202145B01002</t>
  </si>
  <si>
    <t>aae6f8f1349200bc86098804c2116695edecda846c620046035381bbcb0774f9</t>
  </si>
  <si>
    <t>202146B01002</t>
  </si>
  <si>
    <t>4b2d31661fcbacb4a06407a9c49ce3f82839df7fd9e0fe1fe358b75a586948dc</t>
  </si>
  <si>
    <t>202147B01002</t>
  </si>
  <si>
    <t>8aa9adb171d3a0505e0fe17ac50f45b264d4536676a0a1790e5df7895486a7ca</t>
  </si>
  <si>
    <t>202189B01002</t>
  </si>
  <si>
    <t>f7d54bba327f5152199be38782bd847d3658812914203572db0acca4b7466df0</t>
  </si>
  <si>
    <t>202264B01002</t>
  </si>
  <si>
    <t>166257cf08d731d705d4dea02f444da96c38324736cb25e02e8862e09d470087</t>
  </si>
  <si>
    <t>202264C01002</t>
  </si>
  <si>
    <t>1292ac3dff6e6a1b46718a179912604f900722554444fef55e82c53915f77907</t>
  </si>
  <si>
    <t>202264C02002</t>
  </si>
  <si>
    <t>15b36d7c199ce806fc813be0a337e7a7d30403e15edb816560da5d0bad32db17</t>
  </si>
  <si>
    <t>202290B01002</t>
  </si>
  <si>
    <t>f67ccf07d0bbff1952687fb6798328be93d6b1e7e8856a0f306710afc7c17e59</t>
  </si>
  <si>
    <t>202450B01002</t>
  </si>
  <si>
    <t>18c770be1d75639612ff932adb70b43f9780ba6627fa879545e30667914c8d7a</t>
  </si>
  <si>
    <t>202450C01002</t>
  </si>
  <si>
    <t>d718bd4d08f77dc48f878976b87a9ba60d658d8c9f18cde2a5bb8a48d6cdbb3e</t>
  </si>
  <si>
    <t>200638B01002</t>
  </si>
  <si>
    <t>SAN PEDRO POCHUTLA</t>
  </si>
  <si>
    <t>925a2be0b5ef49e1fea191802a2fe5238f20b1646259f32988539b4703a565a6</t>
  </si>
  <si>
    <t>200638C01002</t>
  </si>
  <si>
    <t>c462823f69e812fd98741e9f9a364cb2b8426deaf2c77f19398231614617f44b</t>
  </si>
  <si>
    <t>200640B01002</t>
  </si>
  <si>
    <t>c916f17b7ab61ba08509a655ce658cbd25f0ca09a5169b4c6d7cd84cbb0c6146</t>
  </si>
  <si>
    <t>200641B01002</t>
  </si>
  <si>
    <t>5299fc03f5056d3e5a3a35282ab9879caacf552eff3a88aa5ad395d1f5a6b4cc</t>
  </si>
  <si>
    <t>200642B01002</t>
  </si>
  <si>
    <t>817c22096d4f795ed5321bcb6068d2e411a2ef5d27939c55ed42298ff889ff22</t>
  </si>
  <si>
    <t>200807B01002</t>
  </si>
  <si>
    <t>ecb54f9287fbc33bca129d6d2d8f1fdd059ca76030f416d671b1a0d7e3e2a755</t>
  </si>
  <si>
    <t>200807E01002</t>
  </si>
  <si>
    <t>cbe950cc5f02b0769c9bb768df8eac1c4f25dcc57067ecd98417c41066068919</t>
  </si>
  <si>
    <t>200808B01002</t>
  </si>
  <si>
    <t>21835aed723778bc80b65d561c55096818e81982494718fe097535f7f045bdb0</t>
  </si>
  <si>
    <t>200808C01002</t>
  </si>
  <si>
    <t>1cb6d076134098cc895ebfb11e0cf47a83516bfe3f38c8e4eb7de888d570866b</t>
  </si>
  <si>
    <t>201306B01002</t>
  </si>
  <si>
    <t>cd9d4a67e91ecb9a25240875444ccebbea459776901dd93293206d79bd6d889a</t>
  </si>
  <si>
    <t>201307B01002</t>
  </si>
  <si>
    <t>1ea1ba5b3cc4eba938a8ac7cf813e216302d5c91c0c89e9ce1999abcd1faa18e</t>
  </si>
  <si>
    <t>201308B01002</t>
  </si>
  <si>
    <t>7142115f02219c8d799973340bcfbb8345c9465507e233630b345f930b077347</t>
  </si>
  <si>
    <t>201309B01002</t>
  </si>
  <si>
    <t>74fc680eee4caecee1ae198b27b8aef11bfa08db4f0c85da8d21b21cde1ecc5f</t>
  </si>
  <si>
    <t>201463B01002</t>
  </si>
  <si>
    <t>da2a61a31b132e4666ad2b8f2619f04dc2e0ce6cd16f7122cdb91420b344bbdc</t>
  </si>
  <si>
    <t>201463C01002</t>
  </si>
  <si>
    <t>dfa4cc9b296e69c3f2eae81128923dde25aee4ef0ee64212793f5b610463fc2a</t>
  </si>
  <si>
    <t>201463E01002</t>
  </si>
  <si>
    <t>fad07084b7b644ade00746508b9d0b721c96f9b5bc006e6f773cd7a97ef224ce</t>
  </si>
  <si>
    <t>201464B01002</t>
  </si>
  <si>
    <t>a6fa1d062717b67759ff529ecbaf6e66b8257fd5de01da62cedea74fc63dfa4c</t>
  </si>
  <si>
    <t>201464E01002</t>
  </si>
  <si>
    <t>de6f7ab8e8d877e1e9dc57391f7fe1e0f1a8d55143b887c73e482db1dca7e4c2</t>
  </si>
  <si>
    <t>201516B01002</t>
  </si>
  <si>
    <t>10a1926eb84df60493f22bfd544586a51a07ddba401a3e2500dfad24f1524a3c</t>
  </si>
  <si>
    <t>201516C01002</t>
  </si>
  <si>
    <t>cc1d3e6d030e6d0067bfc04979429a2e2df01e50f151c8cb1794831d714bfbe0</t>
  </si>
  <si>
    <t>201516C02002</t>
  </si>
  <si>
    <t>5c7f18ef81ce79d680f35c807becf4cb88ffcf43f6b8f1085800839ace656c98</t>
  </si>
  <si>
    <t>201517B01002</t>
  </si>
  <si>
    <t>17c9975ef969e95d884c9dd9f14b5421f4ac54e7b8dceb61189508f72c597e64</t>
  </si>
  <si>
    <t>201517C01002</t>
  </si>
  <si>
    <t>ceaca61863ad9c7278f371777cfc1e3cb897204428acd2259c973d11a6e47780</t>
  </si>
  <si>
    <t>201518B01002</t>
  </si>
  <si>
    <t>d4aafa958da7e634ed751ed26ef3bcaa7edb4749533ed5c8b214559754867330</t>
  </si>
  <si>
    <t>201518C01002</t>
  </si>
  <si>
    <t>f56225cd805df57c985df95589bd95a3895e73e31ed93f24008247c8909c6736</t>
  </si>
  <si>
    <t>201518C02002</t>
  </si>
  <si>
    <t>1d755a8c2bd81e582ec77b96094434e5db0bf69b92012ce17b839d7157a49039</t>
  </si>
  <si>
    <t>201518C03002</t>
  </si>
  <si>
    <t>415cd58a0ace5a16a4de20c4f0806625ecbae7c32f52f5e3a87c0b7634d59a22</t>
  </si>
  <si>
    <t>201518S01003</t>
  </si>
  <si>
    <t>e7bfb5fa4bfa946168df7e05ff430d998a04e258c9f69b4be77d83a64c69f2a2</t>
  </si>
  <si>
    <t>201519B01002</t>
  </si>
  <si>
    <t>f1c36a27089cff906f72bbc8b9ce23289632eca93a1f1a89435af81a3a246603</t>
  </si>
  <si>
    <t>201519C01002</t>
  </si>
  <si>
    <t>08f6a18357bbc27cdcf2e1ee4b08672b5445b1f9d6b4ed153f738b98d1c3774a</t>
  </si>
  <si>
    <t>201519C02002</t>
  </si>
  <si>
    <t>1eb89cfb1a18d47f4e28743a9b0aa27cde00a39e8ddf960918b1d40ff6c8691f</t>
  </si>
  <si>
    <t>201519C03002</t>
  </si>
  <si>
    <t>29afa166c4289ea0f3472697d14dce468d56571044c3fa81760a0c6b9465f983</t>
  </si>
  <si>
    <t>201519C04002</t>
  </si>
  <si>
    <t>64e5a5f30a1ff6155b240bc7ca34f74c6c7ae9a8304a19b0257c19876f4f139a</t>
  </si>
  <si>
    <t>201519E01002</t>
  </si>
  <si>
    <t>54c59a5bb7c8505c7a36dcb559f8681636b25b1a285fecf9fc4a640f5f3b6e6a</t>
  </si>
  <si>
    <t>201520B01002</t>
  </si>
  <si>
    <t>87769f32c14d2f21ba42df571bd8b26dc33fbce8e2ee73c1116f7a32fc4945fe</t>
  </si>
  <si>
    <t>201520C01002</t>
  </si>
  <si>
    <t>dbc9e7ebcd131eaf44961c9f731ce3245b1eecbc37c8b215acf6bdcb473be8f0</t>
  </si>
  <si>
    <t>201520C02002</t>
  </si>
  <si>
    <t>a4858fdc1359b6ae82bb9f7cb12714b6578a5b9374381cd29bed4c6250c9cd64</t>
  </si>
  <si>
    <t>201521B01002</t>
  </si>
  <si>
    <t>ac2513ea32262be37512c47fe7374c5f5798c73b343da37350a7116347931326</t>
  </si>
  <si>
    <t>201521E01002</t>
  </si>
  <si>
    <t>e1ab72457c4124fbce66fa3654518ed59d873789f47b97a92d67ec94cc2b542a</t>
  </si>
  <si>
    <t>201522B01002</t>
  </si>
  <si>
    <t>1c4fff2f6fd9380cf3ef17185bba2a4fa810c7fefc5ab283edddda352edab364</t>
  </si>
  <si>
    <t>201522C01002</t>
  </si>
  <si>
    <t>aa35503de6af5bd6adf3ad937728519b98797e2c676841eef0718e4c873c332c</t>
  </si>
  <si>
    <t>201522C02002</t>
  </si>
  <si>
    <t>c70e1c260dd377af8b9e7d543e34cde3b4ef1ed03d99f46ef5f748b8a4b1780e</t>
  </si>
  <si>
    <t>201522C03002</t>
  </si>
  <si>
    <t>65e83bb64774b497b3a4f958905ee2e265283f9be1b2b3c029c889760b715c71</t>
  </si>
  <si>
    <t>201523B01002</t>
  </si>
  <si>
    <t>3adb053873e616c1d06624f6e5380a22a29a058941a8cf1fef1500ac920ac98f</t>
  </si>
  <si>
    <t>201523C01002</t>
  </si>
  <si>
    <t>b89732c6289977b2f8e4a7cb1d3cc53a900d3f8f466ceec7b6b7de5228f812e0</t>
  </si>
  <si>
    <t>201524B01002</t>
  </si>
  <si>
    <t>83f30507b2ff453c5a75b9e9dd67737a86266147a7f28dc074c910f1e60e96e5</t>
  </si>
  <si>
    <t>201525B01002</t>
  </si>
  <si>
    <t>007dec55ec81732a4d2c9b3a92180b761d5a05c9dc67d09c82d9687500a106cd</t>
  </si>
  <si>
    <t>201525C01002</t>
  </si>
  <si>
    <t>41b1229e7190001f305a780c6c5077487bf7cbcbdecc0fbb16a3d4cb1f711145</t>
  </si>
  <si>
    <t>201527B01002</t>
  </si>
  <si>
    <t>2aeff5026bd860f572077eda8a08d3eeaab0abcb396d33bd9637d92acd726a1d</t>
  </si>
  <si>
    <t>201527C01002</t>
  </si>
  <si>
    <t>c0acc6a6c2d8c23689253f0c56ea11b0b32468b132997935418aacfd3d79adb7</t>
  </si>
  <si>
    <t>201527C02002</t>
  </si>
  <si>
    <t>f389903cecba61ea362df77501bfad74481696b1a99a6cac2020442af52c6885</t>
  </si>
  <si>
    <t>201528B01002</t>
  </si>
  <si>
    <t>6ec5fb9fcee27e3b7dc55b9680ae021e291027529b87e9370d07abe66f7ab7ab</t>
  </si>
  <si>
    <t>201528C01002</t>
  </si>
  <si>
    <t>7ceea5b1c66319263f91929377345aea98e68f90607b48fa5bbc7837561bc0c6</t>
  </si>
  <si>
    <t>201528C02002</t>
  </si>
  <si>
    <t>89a2133e5b2926829d72ea0c3b58a35f8c98598ed8e40ab1a4591f570fac095a</t>
  </si>
  <si>
    <t>201529B01002</t>
  </si>
  <si>
    <t>7e288c9d2f3a084cfeb1f0457fb116877bfd353d1cb2a5929fda3110d6cb7332</t>
  </si>
  <si>
    <t>201529C01002</t>
  </si>
  <si>
    <t>252aa8103a25d3f6dfb99b1449b49789604cb209169f9cc2a8c33eaa4697c8a1</t>
  </si>
  <si>
    <t>201529C02002</t>
  </si>
  <si>
    <t>27438127b092861d734ab3d62eba11cac387fb44d7e8eacd1bef5f61aff0f6d8</t>
  </si>
  <si>
    <t>201529E01002</t>
  </si>
  <si>
    <t>6c337bd354f6c19d5042b8f6994fb60d8f7eed5fdff12ac134c72a0a93bcc7fb</t>
  </si>
  <si>
    <t>201529E02002</t>
  </si>
  <si>
    <t>f8726d03d44f8d103a49e68e0a8efe03b2f7fa94a1546ce012887a0bf8bfda7f</t>
  </si>
  <si>
    <t>201530B01002</t>
  </si>
  <si>
    <t>ef4fcf4c8f24d9b424cb3175508120b96758b26eea26e010beaadb811f367c99</t>
  </si>
  <si>
    <t>201530C01002</t>
  </si>
  <si>
    <t>5ca92b131b53b33f8eb38a49bbac7782c1c506cb55d56d8c92c53ded2bf44741</t>
  </si>
  <si>
    <t>201530C02002</t>
  </si>
  <si>
    <t>fc8a8f1f6d9de036fbdfa321037afb40a0bd41f4b01a8f7f30d057d1ccd153bb</t>
  </si>
  <si>
    <t>201531B01002</t>
  </si>
  <si>
    <t>47bc91027d82932d5937db940b1541c17e526d6f993202d7c413a306de3f468a</t>
  </si>
  <si>
    <t>201531C01002</t>
  </si>
  <si>
    <t>abd04697d8c944b2178547faef6b133d551c028650771ae6d0621429a362f23e</t>
  </si>
  <si>
    <t>201531C02002</t>
  </si>
  <si>
    <t>e97da0754499a11b1b93b695c049537d5c4e050d638ae8a897451d7a1531a96b</t>
  </si>
  <si>
    <t>201532B01002</t>
  </si>
  <si>
    <t>f7fb9cbf14ce593e7672da6217ae10983c4685c39d3cae8b5cd3c626ba9d7674</t>
  </si>
  <si>
    <t>201532E01002</t>
  </si>
  <si>
    <t>63bc81b1db7a196fca698715e4df3eb81ed385efa85a35fa15415e21ba764e61</t>
  </si>
  <si>
    <t>201533B01002</t>
  </si>
  <si>
    <t>7ada5641359c72c0f15ed5a4c5cacd906380fd83827514e93b19cd88fb16311f</t>
  </si>
  <si>
    <t>201533C01002</t>
  </si>
  <si>
    <t>96b380f017067c697b1409b3818a8cbdbfcc5d8a4cc4e6233820a190bdf7aa74</t>
  </si>
  <si>
    <t>201533C02002</t>
  </si>
  <si>
    <t>0bb504f9e5a3c3c3a337ed0f2d6252e45eac95a8d520d8a123682ca092a55f24</t>
  </si>
  <si>
    <t>201534B01002</t>
  </si>
  <si>
    <t>640147ee639fae7cde46b1311113fb6191d4b52bc976bc347b523934c4757aba</t>
  </si>
  <si>
    <t>201534C01002</t>
  </si>
  <si>
    <t>ce30a35f98fcdb982163731396d4b30f586d7bb76b85295b33720ecb434402fc</t>
  </si>
  <si>
    <t>201534C02002</t>
  </si>
  <si>
    <t>16a5eeb60a921de9666203f4934ad81feb4364b02840583e660288a814b68007</t>
  </si>
  <si>
    <t>201816B01002</t>
  </si>
  <si>
    <t>b3f9cce746099fc0d0d0dd185cb697e93195f1c99556cbf67858afba55e5ca1d</t>
  </si>
  <si>
    <t>201816C01002</t>
  </si>
  <si>
    <t>570cd1d33175e7507449ae826b77d18a7091a25d1579b10c2284973b1f192db3</t>
  </si>
  <si>
    <t>201816E01002</t>
  </si>
  <si>
    <t>c683ae2c84e4a4fb02cf57be8372da961072335aa9a32b241ecb2d52f12e4aac</t>
  </si>
  <si>
    <t>201817B01002</t>
  </si>
  <si>
    <t>cbd31cd43c5cd2cb63d540b6b328c702b1ecc3706086f3f440cc059708972907</t>
  </si>
  <si>
    <t>201817C01002</t>
  </si>
  <si>
    <t>a13c1b2dbb9bf7eea8f013e12d71a88117b1c1442a471a297ba054652b2e08cf</t>
  </si>
  <si>
    <t>201817C02002</t>
  </si>
  <si>
    <t>a8f5d36c313b87fd7aa0ecaf235bb433c5884b5aad107d6c8325a22651956a44</t>
  </si>
  <si>
    <t>201817C03002</t>
  </si>
  <si>
    <t>70c124d534552f69725e5d4ae2bd28cdf79653b203645a5a15aa3a0110e3dbdb</t>
  </si>
  <si>
    <t>201817C04002</t>
  </si>
  <si>
    <t>2bcd557acdb479a7113422e5bceb12955bbb668f73cd2827eb547c26dbbd174f</t>
  </si>
  <si>
    <t>201818B01002</t>
  </si>
  <si>
    <t>285bedf011d8bb810e7edbdf452daf452bd895c61baf8eb79188abb938b9b386</t>
  </si>
  <si>
    <t>201818C01002</t>
  </si>
  <si>
    <t>bc7231ebebc66c115b9e528600304b6fd1317271184ea6387c54ecc1c7298d81</t>
  </si>
  <si>
    <t>201818C02002</t>
  </si>
  <si>
    <t>4f68ae21b7d578eda76695533151a26b92e2b5dca3c1b412271192603ed6a2f2</t>
  </si>
  <si>
    <t>201819B01002</t>
  </si>
  <si>
    <t>6937f4c79e67bc186b378f04ade9d3c69e3a60f0eea17b425b32c52792e7d030</t>
  </si>
  <si>
    <t>201819C01002</t>
  </si>
  <si>
    <t>0defb70a660f44d2647270bce65ec9b56ec7150c2751ddd9ca896b0dcc2da780</t>
  </si>
  <si>
    <t>201820B01002</t>
  </si>
  <si>
    <t>ebb7eacfa77d5de00746b9571fe97633eddd4afe1a20b803ed7574367e192140</t>
  </si>
  <si>
    <t>201820C01002</t>
  </si>
  <si>
    <t>c79adfdb069ff0b4a99076c45c1059a54d67ef3e30f49263ea3d8999183ce580</t>
  </si>
  <si>
    <t>201820C02002</t>
  </si>
  <si>
    <t>c4989aaa4d124b927b26ae54055acccf91ff5e40765a930fceab18109104d89f</t>
  </si>
  <si>
    <t>201820C03002</t>
  </si>
  <si>
    <t>b6bfb0ba165e0a94603e0884044a5b501cc130b655801279ce92250c84690f82</t>
  </si>
  <si>
    <t>201821B01002</t>
  </si>
  <si>
    <t>56bdc933b5a0ff2843339e622e778790151b06acd4ed0fe3e51b38c09ed994e8</t>
  </si>
  <si>
    <t>201821E01002</t>
  </si>
  <si>
    <t>2866251b3f46dacb786a0d09eba402eeeb36996d102ac998133654b9a938fea7</t>
  </si>
  <si>
    <t>201822B01002</t>
  </si>
  <si>
    <t>46034f4aaaf5d5b06950fcded3b452b52d0c0bcb5fda95fa308a689fc8ab5193</t>
  </si>
  <si>
    <t>201822E01002</t>
  </si>
  <si>
    <t>d77d4193b1d28e787effdd78c4791d427b7192141ccf1a8cc037bbf7da753be1</t>
  </si>
  <si>
    <t>201823B01002</t>
  </si>
  <si>
    <t>11a34f9424bb3bc0f885171434b2675a2cb414437cc2666ff89a0651b6e08686</t>
  </si>
  <si>
    <t>201823E01002</t>
  </si>
  <si>
    <t>fe13347f75812f8b29b9d3f2c79caf7e67f26d947f2cbcf18522520f94127666</t>
  </si>
  <si>
    <t>201823E02002</t>
  </si>
  <si>
    <t>4b653b14648b66474672a92d0b3634e893c8ae180e490cd78ad9607ddeeeae09</t>
  </si>
  <si>
    <t>201824B01002</t>
  </si>
  <si>
    <t>48e4ccae62ffe4094f0ea728847ee39b314b9886a217148e7bacac177e2ea69e</t>
  </si>
  <si>
    <t>201824C01002</t>
  </si>
  <si>
    <t>0cd401a702d5f57e24b8adba7a854398d48d763efec8d42f95934de0a5a6b63d</t>
  </si>
  <si>
    <t>201824C02002</t>
  </si>
  <si>
    <t>902ee71beef7298a576fe6c6d199e0c2ee4cbad14d0b29dc9e5039734c05b543</t>
  </si>
  <si>
    <t>201824E01002</t>
  </si>
  <si>
    <t>6d8411d6199adb5c8f418df12492f657f2f39286e2cb21b888474d0994ca9a59</t>
  </si>
  <si>
    <t>201825B01002</t>
  </si>
  <si>
    <t>61e4ca760e35ab41645e5fe2964c05dcf4a25845b5779c07fb593df8346e0cee</t>
  </si>
  <si>
    <t>201825C01002</t>
  </si>
  <si>
    <t>f6dcdc2e8d2e59320fab50f66c3273e59fb9d5d9a03e278466923f8442a3e77b</t>
  </si>
  <si>
    <t>201825E01002</t>
  </si>
  <si>
    <t>b0009961414019ef5e0712b7d69789d7dc862ab980c1423cb7d12af5a0febd9d</t>
  </si>
  <si>
    <t>201841B01002</t>
  </si>
  <si>
    <t>55a0de67eed3fb0df74a6b2a7342823e4c52fa1d6b2972c779092073e7be4ee0</t>
  </si>
  <si>
    <t>201841C01002</t>
  </si>
  <si>
    <t>0bbb39a6f83f854df1521db127eb00b27929a957638d3c260c505b4b143b8099</t>
  </si>
  <si>
    <t>201841C02002</t>
  </si>
  <si>
    <t>074bddf7ada484b08382c24a3a4e3d91e94a97a715a0935c0f849d096a2cbf9a</t>
  </si>
  <si>
    <t>201841C03002</t>
  </si>
  <si>
    <t>036cc5d7c305e6335f363cb229a85a36d4c7a3706ef22a4e8c829a7ba1127f8c</t>
  </si>
  <si>
    <t>201842B01002</t>
  </si>
  <si>
    <t>e52686207204ca812e5c9c93529b2803a1e418324471e78bc3b097ee33e55e25</t>
  </si>
  <si>
    <t>201842C01002</t>
  </si>
  <si>
    <t>e8661c110056b93626fd6fb807c2d61fa245ded9cbdc2a2f7e2f765410e95ef0</t>
  </si>
  <si>
    <t>201842C02002</t>
  </si>
  <si>
    <t>765b70c692f2fbd777356aec3324fdefdc0fe125a5abab89fa1dbe2caba9e9ed</t>
  </si>
  <si>
    <t>201842C03002</t>
  </si>
  <si>
    <t>e6652e2fecd64a3bc06f3e13910c4348225ea7caec3185e4a1d85c63c493bfb0</t>
  </si>
  <si>
    <t>201842C04002</t>
  </si>
  <si>
    <t>bfdd20f0bc5f0c1ba8ef1d7f83f88ad773cba9194619b3c562ff48aa33c6007b</t>
  </si>
  <si>
    <t>201842E01002</t>
  </si>
  <si>
    <t>8602f2453b7583cd0403d8eda7348c95c649afd0b1990765f8211b0d7fab5065</t>
  </si>
  <si>
    <t>201842E02002</t>
  </si>
  <si>
    <t>dc9b28d4597be01bfee6470a97c035d1b042523598181ee64748ac143856b687</t>
  </si>
  <si>
    <t>201842E02012</t>
  </si>
  <si>
    <t>94be2672f75b2c43b6e69138df5e82e53037f62fda92912ed3979f88b55d0394</t>
  </si>
  <si>
    <t>201843B01002</t>
  </si>
  <si>
    <t>dd89223b60ddb6f9ba22184b48d52c923e147a4e5e3091a63dfd4827c83e917a</t>
  </si>
  <si>
    <t>201844B01002</t>
  </si>
  <si>
    <t>ca07e5c7f1f7a0ad1604121471c6c987456c0029cc126073e3d823cf322a4609</t>
  </si>
  <si>
    <t>201844E01002</t>
  </si>
  <si>
    <t>4b0be7130f1f16955eacba6e6a418d7f5fdd6610c94b8d7a9dc0d95bc8865474</t>
  </si>
  <si>
    <t>201844E02002</t>
  </si>
  <si>
    <t>fe11d6255819e38e4c635d8529994466cb05009f7be97282af8ed004d1af07ab</t>
  </si>
  <si>
    <t>201844E03002</t>
  </si>
  <si>
    <t>3e746e70180e619ac959b82d683519571393a8af6512d947eb4a0b34b1e505ab</t>
  </si>
  <si>
    <t>201845B01002</t>
  </si>
  <si>
    <t>65521536ad523fbd6bc851b88e3d56c6c873a1e5483a1e4945dd740c470ed1d6</t>
  </si>
  <si>
    <t>201845C01002</t>
  </si>
  <si>
    <t>0acfc08e09e81ce6e67615595f024554a3dd4a88b61821305dcb7eff141e5e4a</t>
  </si>
  <si>
    <t>201845C02002</t>
  </si>
  <si>
    <t>f240a935c2a9a8e8236bb641b910c92c011d1ac7b88b1aa087074663007e3c52</t>
  </si>
  <si>
    <t>201845C03002</t>
  </si>
  <si>
    <t>22c30176d7dd1ce14ed9947e62f4c50cde9da029b7fa89fbca6d6dbde7fef3eb</t>
  </si>
  <si>
    <t>201845C04002</t>
  </si>
  <si>
    <t>72de2ed54a3c53f297f3473a2564ffa68f10598520bfd5120d72d808a9801c13</t>
  </si>
  <si>
    <t>201845C05002</t>
  </si>
  <si>
    <t>f181f250e5371b6f8d7f1d69002852520ce0e8c7497d29c5203587f31929adc8</t>
  </si>
  <si>
    <t>201845S01003</t>
  </si>
  <si>
    <t>747b3a8c80a299b562dc87ae63f36f4ac03062635e48cba1167196dec3c73cc1</t>
  </si>
  <si>
    <t>201846B01002</t>
  </si>
  <si>
    <t>1e59a1a66e6fcc6e0658556662033693249375a307c9e90fb28568f0ca891ec1</t>
  </si>
  <si>
    <t>201846C01002</t>
  </si>
  <si>
    <t>140d79930077543b41843bdd73fd02da2e09b9e302029254897908295530c1cf</t>
  </si>
  <si>
    <t>201846C02002</t>
  </si>
  <si>
    <t>1d8ef786c47403c23795acce0ef03e6f3a3d70e21fc94ea9d355a7f85a6a23dd</t>
  </si>
  <si>
    <t>201846C03002</t>
  </si>
  <si>
    <t>2190c404e0e139494d88525c6e43de56d381c45302463fc5189491564ecffce5</t>
  </si>
  <si>
    <t>201846C04002</t>
  </si>
  <si>
    <t>365afb3b960aa297f43fcca4edf72dc5aa892b7025d63fcdcbdb9ec41be652f0</t>
  </si>
  <si>
    <t>201846C05002</t>
  </si>
  <si>
    <t>79a53807b0205c3ffe248d11ea8d857c6dd0628eb0fc36067850989e59cc5624</t>
  </si>
  <si>
    <t>201846C06002</t>
  </si>
  <si>
    <t>381b1d739602de52f4916511ca422c28d4db812d6849bed438fe8e08f348d7e2</t>
  </si>
  <si>
    <t>201846C07002</t>
  </si>
  <si>
    <t>ccc59ca8ea61e45a894565b17d20379cdef7d1614769c1dbdae874cc68969f59</t>
  </si>
  <si>
    <t>201846C08002</t>
  </si>
  <si>
    <t>4751b7a9a222a6e94ae22668da84332844d9f825ba948cf0b5f9720f5faa6627</t>
  </si>
  <si>
    <t>201846C09002</t>
  </si>
  <si>
    <t>324fdf1baddf9e7d4639a00b00d90ab7b1dd130e0816782f4be0d0e74b9cf9d6</t>
  </si>
  <si>
    <t>201846C10002</t>
  </si>
  <si>
    <t>fbd4781906d785cfe6a7f23edc7a0bb6780118a3370912c3b3de7c00b7eca5b7</t>
  </si>
  <si>
    <t>201846C11002</t>
  </si>
  <si>
    <t>1c320a1bf14bad6cf0f529d59673847507196f849eabe4fbe665315baade9580</t>
  </si>
  <si>
    <t>201846C12002</t>
  </si>
  <si>
    <t>161abb98dc9e31cc7bcdbf639a75139275a82b96c1086b35a8aee2e4df457efd</t>
  </si>
  <si>
    <t>201846C13002</t>
  </si>
  <si>
    <t>c5f6d5a95c5b047565bee51b9249b743028f40fb7bd500ca091ff1a09cee31a7</t>
  </si>
  <si>
    <t>201847B01002</t>
  </si>
  <si>
    <t>4260dbe79658fed537a7523cb590a5d004aa3ca1483f0c4c4ec1f08c98af7edf</t>
  </si>
  <si>
    <t>201847C01002</t>
  </si>
  <si>
    <t>c696f3f94d2722a221d73505076c1fc97da038e27fdde0d9ceb00005a2023405</t>
  </si>
  <si>
    <t>201847S01003</t>
  </si>
  <si>
    <t>d264a63de15075190925bc5a0fd7293e359e7ea15840a2a50707e597f4a91d31</t>
  </si>
  <si>
    <t>201848B01002</t>
  </si>
  <si>
    <t>6c465dea8336872f0b9a0e005d68acc9dbed3e804915a88f17db124e11aae5ff</t>
  </si>
  <si>
    <t>201848E01002</t>
  </si>
  <si>
    <t>9a00572c890dcf89c3253f3f846d893b3c52709065c6dd657674b50b14008b10</t>
  </si>
  <si>
    <t>201848E01012</t>
  </si>
  <si>
    <t>7bbc04a4bbca2aa6245cb24f79338947424926fbeae97fe83dd59df5a24edb8c</t>
  </si>
  <si>
    <t>201848E02002</t>
  </si>
  <si>
    <t>ec544d783dca20f10e7e695c1767aef8b04acf62e74b74cf9f9140b948dcc02c</t>
  </si>
  <si>
    <t>201848E03002</t>
  </si>
  <si>
    <t>e1d11220142da0639a4784b0b24d361336757414a09c18a251932924fe47710d</t>
  </si>
  <si>
    <t>201848E03012</t>
  </si>
  <si>
    <t>f2dca3a389338925ba33aa4dfda0e3724eaf68b9611bd07d6ca72d9d840dcdf9</t>
  </si>
  <si>
    <t>201848E04002</t>
  </si>
  <si>
    <t>becaba145b73d1a76edaa31631f77eb861386830cad0054ad22aa2d32744bf35</t>
  </si>
  <si>
    <t>201849B01002</t>
  </si>
  <si>
    <t>219608031bd954c55a6845d9fb711afe9aaac7ac51ce790e98d0856b1e1b5b86</t>
  </si>
  <si>
    <t>201849C01002</t>
  </si>
  <si>
    <t>a9ab14ae533f2cf54a8dab2c97123a60695285163f923f7217f3e591eca19e0e</t>
  </si>
  <si>
    <t>201849C02002</t>
  </si>
  <si>
    <t>e91cc0a71572c0cc1d50ee9c3c928fe36dc6cb2ec2943b6c553de8896c6183bc</t>
  </si>
  <si>
    <t>201850B01002</t>
  </si>
  <si>
    <t>2768624ece4859c7d0c67d118791dccd085ae037a9412d5ced881b7d31c2fe26</t>
  </si>
  <si>
    <t>201850C01002</t>
  </si>
  <si>
    <t>82c878dcfb820db5c5d7eed5683c05a2d345f57718f5a27ccc464f790f3f0168</t>
  </si>
  <si>
    <t>201919B01002</t>
  </si>
  <si>
    <t>92c349f1d5d4d0bce2c9608e739c066b9e3647f0a7fdeaeb97c9528f23a4b193</t>
  </si>
  <si>
    <t>201919C01002</t>
  </si>
  <si>
    <t>ff6fa347c04e111314b0a87d93a82b6d1a78a31797e1a8970d9003d3fcfc78e6</t>
  </si>
  <si>
    <t>201919C02002</t>
  </si>
  <si>
    <t>86e4b4729eb109c2e6af200e6bf33b8ce7df405a400ec8bd93a0cb44f901f105</t>
  </si>
  <si>
    <t>201919E01002</t>
  </si>
  <si>
    <t>d6317633cef3a44d4f5b2e79b933d772f80b43a680d03c4341d232b988b112c7</t>
  </si>
  <si>
    <t>201919E01012</t>
  </si>
  <si>
    <t>84cd59e49c023ca68d4af93f178bf0d72e3094387f849a776f335bca5416aaee</t>
  </si>
  <si>
    <t>201920B01002</t>
  </si>
  <si>
    <t>9b127d588210ec14f421dd88d31bc2e0d03ad232c5393b977a0e19bfbcc3cff1</t>
  </si>
  <si>
    <t>201920C01002</t>
  </si>
  <si>
    <t>371ed147a6acb1ad18625c811f55287875de0117c431e32b83000e017b9035b4</t>
  </si>
  <si>
    <t>201921B01002</t>
  </si>
  <si>
    <t>58592a3e31f3453730586c51075fa6e961da3840f67b41046b26fa271ab0043d</t>
  </si>
  <si>
    <t>201921C01002</t>
  </si>
  <si>
    <t>c62b2df21a4a89f4626672800075b7bed02ff388547c816ee5fa619a4beaa1cc</t>
  </si>
  <si>
    <t>201922B01002</t>
  </si>
  <si>
    <t>2313c5287849fcc68123b6a0fbe629f70768c3381ffab0fea8f0722942e2ef09</t>
  </si>
  <si>
    <t>201922C01002</t>
  </si>
  <si>
    <t>9b41fffb4d8c4935a81aeeefea7cf835e336e2a663b9db467928438bde4ac3ab</t>
  </si>
  <si>
    <t>201922C02002</t>
  </si>
  <si>
    <t>b0b82283d8d9f9ff084aa36833ffb6313b6e42e1c9d39eb500e76c6861486053</t>
  </si>
  <si>
    <t>201922C03002</t>
  </si>
  <si>
    <t>c503c69846298dfa5701ffd8d5093f92273704531e641b29c5b1f80657bcf308</t>
  </si>
  <si>
    <t>201923B01002</t>
  </si>
  <si>
    <t>1cc675fdbdf558af99f5e3863aa0cfce79bbfc18a048feedf4b87713b0944dc2</t>
  </si>
  <si>
    <t>201923C01002</t>
  </si>
  <si>
    <t>dbe7ec1b0eed899d9e5c65876d2f1e39a767541ccea46bb023683499432de0db</t>
  </si>
  <si>
    <t>201923E01002</t>
  </si>
  <si>
    <t>5403728ed2c7990488a1cc424fa923173f61d7007055369bd3a8286c30bfa939</t>
  </si>
  <si>
    <t>201924B01002</t>
  </si>
  <si>
    <t>47b6d0735940b0b3891268e249c3d96e163581e9049f8681d27a6e48e41adeee</t>
  </si>
  <si>
    <t>201924C01002</t>
  </si>
  <si>
    <t>322137fdd8a637bf8bb1cb969aa13ec9fc639e8f29231599fb11baac4fee4f24</t>
  </si>
  <si>
    <t>201924E01002</t>
  </si>
  <si>
    <t>f2c75963dd7a1536422a7451451d484160b5e89f682fc9849ed0163031375466</t>
  </si>
  <si>
    <t>201925B01002</t>
  </si>
  <si>
    <t>bc632b02cdf00dc2de97ff8995a8e0433ba211b98a2604d08a1f282fe26e629e</t>
  </si>
  <si>
    <t>201925C01002</t>
  </si>
  <si>
    <t>11fc0262863d510e2f85d110413191fdbcc4457eec037d29a6fdeee0173df45c</t>
  </si>
  <si>
    <t>201925E01002</t>
  </si>
  <si>
    <t>d64b30f3425a959f9b2b1ee0c61ad645612f01b3bac017ba269ee4832829ac68</t>
  </si>
  <si>
    <t>201925E02002</t>
  </si>
  <si>
    <t>9647853420f8e4d0670ee999de94d44409440048fb8ac17c290d9d1d1e14dfe7</t>
  </si>
  <si>
    <t>201926B01002</t>
  </si>
  <si>
    <t>a2b7ae5939f713c7b3d11ffccf2e18453e939ae479b90f6b2386821bec68457f</t>
  </si>
  <si>
    <t>201926C01002</t>
  </si>
  <si>
    <t>f439d3df88e976ea3c5b66d01b43bb67301098518fe76a1fd072db3db5ad8007</t>
  </si>
  <si>
    <t>201927B01002</t>
  </si>
  <si>
    <t>940ba1fa100756ace400cedb961de9b06eaf3d325cfaf22fb4203d0a9c36e9d6</t>
  </si>
  <si>
    <t>201927C01002</t>
  </si>
  <si>
    <t>3aa1510679607ad79063bc591e75ad7a17c0f1c5b36f93f4a2c29a8766d72bd4</t>
  </si>
  <si>
    <t>201927C02002</t>
  </si>
  <si>
    <t>312e6557ddfda33c8d2184b31f7140f2b1666c8e445c751736fa251405714f27</t>
  </si>
  <si>
    <t>201927E01002</t>
  </si>
  <si>
    <t>7bdc6a84d78374654fed69545ea8e6c62dc3f6dcea52dd39771d4b50238a9018</t>
  </si>
  <si>
    <t>201927E01012</t>
  </si>
  <si>
    <t>7aa35219e67cdc1fdfb7a6e37bb08fbe1176b10c02bee175ec27311508f16126</t>
  </si>
  <si>
    <t>202176B01002</t>
  </si>
  <si>
    <t>b1dc473ea9e0c644b627caf6a64399a49356a048275b9d3eb0b3b6d9467dafe8</t>
  </si>
  <si>
    <t>202176C01002</t>
  </si>
  <si>
    <t>12a71866b87fdad24679b336993df0b069b56ed84d0db5649be16b240568545c</t>
  </si>
  <si>
    <t>202176E01002</t>
  </si>
  <si>
    <t>8d70e5a062c948da8dda256fe05c2c0cb9a01c170ab490d0c1dbc5a0094ff28c</t>
  </si>
  <si>
    <t>202177B01002</t>
  </si>
  <si>
    <t>9a2ce895d0132173ef2377c47886866ab3a4403fdb8047e6f6163da5f6e2e568</t>
  </si>
  <si>
    <t>202177C01002</t>
  </si>
  <si>
    <t>e28ce864b63f2913c708ffc5a6946143af33765282d1ca65f11e0345660a6fb1</t>
  </si>
  <si>
    <t>202177E01002</t>
  </si>
  <si>
    <t>ad2fad4022fb312d5edbd55706a2dad42f2e5304b0cc867f1034d3dedd7f0d2a</t>
  </si>
  <si>
    <t>202177E01012</t>
  </si>
  <si>
    <t>b4ccd6e795789bbb113b9f6c7e8411b0e24a4ad513c949079f6a92334d691973</t>
  </si>
  <si>
    <t>202178B01002</t>
  </si>
  <si>
    <t>10c2918e5b0d6d0378bb74d88fbd4248898e82d5bccc7558fe630b3777a16ea9</t>
  </si>
  <si>
    <t>202178C01002</t>
  </si>
  <si>
    <t>5694b7541bb04cbb37fca81294d32c318149f535ba64a983f06c951f47aca192</t>
  </si>
  <si>
    <t>202178E01002</t>
  </si>
  <si>
    <t>b98b21ea4acb7056b95b2840cf643b6840410867835b13fe4f384916b3447254</t>
  </si>
  <si>
    <t>202179B01002</t>
  </si>
  <si>
    <t>c5678b69acab39d1b254391cbd027388184c43099dc093def549240361905ac2</t>
  </si>
  <si>
    <t>202179C01002</t>
  </si>
  <si>
    <t>213006515f0a52027e60cf6d417fce557e39c014bfc7c93c4932628c9e3b1a78</t>
  </si>
  <si>
    <t>202179C02002</t>
  </si>
  <si>
    <t>4074bd43276c3d98c04b83f0ecee3b04f29c5f688e6201fff8e30e47ab00d36a</t>
  </si>
  <si>
    <t>200005S01004</t>
  </si>
  <si>
    <t>964cc9e02929fcc7ce12229ee8efd7debc4dcd0a2b03f956d0e1af2465936ac1</t>
  </si>
  <si>
    <t>201375S01004</t>
  </si>
  <si>
    <t>d471e70dbb52462b8a3c647805f157288dd7957cf242db5a35d35561feb68c83</t>
  </si>
  <si>
    <t>201030S01004</t>
  </si>
  <si>
    <t>6058c0f3b81ed437c8d3e6057f0904312de70f113f00afb42646a4d9476d8b56</t>
  </si>
  <si>
    <t>201030S02004</t>
  </si>
  <si>
    <t>6d0bfc6779e8360ed94752e8d4514989e8b724a655b5c239ad4fabc99bddc854</t>
  </si>
  <si>
    <t>200344S01004</t>
  </si>
  <si>
    <t>602b9d2c78558216cac73e5cb430cb1c1b00ff8bc59432dd2d912558315c2b48</t>
  </si>
  <si>
    <t>200240S01004</t>
  </si>
  <si>
    <t>86104bda775015497a50e84c4d42e868ad45ad20c75b5613a7205e470c3e08c2</t>
  </si>
  <si>
    <t>200988S01004</t>
  </si>
  <si>
    <t>3687c84f16f9e0f1c0152a6b0dfde4ccfb1b3db645e477c11e2b9bc0c9bb20fc</t>
  </si>
  <si>
    <t>202325S01004</t>
  </si>
  <si>
    <t>45e71f0267b06b6b33f31c80576f35787e6cbb8561a5b8ab5a51bbddbc892021</t>
  </si>
  <si>
    <t>200059S01004</t>
  </si>
  <si>
    <t>a4584dd00aae2738f424c2dc7e33cd6c71081bbb480c682b4e6fef41293a5dc5</t>
  </si>
  <si>
    <t>200212S01004</t>
  </si>
  <si>
    <t>e5a10b17697b02024b464eaf16216521b358b8344a50159d7272e208d8c4aaab</t>
  </si>
  <si>
    <t>200231S01004</t>
  </si>
  <si>
    <t>9dae9079b5a6118ddc205e49e7b6f912e8f8ae623f379b04350154b01455fa9f</t>
  </si>
  <si>
    <t>200646S01004</t>
  </si>
  <si>
    <t>a21bc615cce0b2ce49798c7938e289ace370c10a7ba61e2f68a0471afdfb80d7</t>
  </si>
  <si>
    <t>200646S02004</t>
  </si>
  <si>
    <t>e4646e6eedf957903857aeed53ff713138e29ff93f3ddffcf282db9b4807e4df</t>
  </si>
  <si>
    <t>202033S01004</t>
  </si>
  <si>
    <t>6598527f90b0f06fe29a7b3eeeacce54509afb33e2ef9d75ac1b9317abb214f1</t>
  </si>
  <si>
    <t>202033S02004</t>
  </si>
  <si>
    <t>ccf08dba8f2cb06e79e9c80365071260772d0b7e0566a4cc903c03128bd696b6</t>
  </si>
  <si>
    <t>200106S01004</t>
  </si>
  <si>
    <t>836215bd864308587ae5bab0a169f62a52759d99b25ed4e6732765db0d08dcc9</t>
  </si>
  <si>
    <t>202368S01004</t>
  </si>
  <si>
    <t>6f79a025736a2d1ef555a617eaf98dc7424029fddbb3a85b7ff4e2a4519b1485</t>
  </si>
  <si>
    <t>202368S02004</t>
  </si>
  <si>
    <t>61e725d5077997e0c60858840b6171597bc57978702ccf3fb11a5debcc223d6b</t>
  </si>
  <si>
    <t>200276S01004</t>
  </si>
  <si>
    <t>80aee73d5d70f20620a2de1419fd7e40a94cc7c6cbcf2fe62c2744bfa8c0d70d</t>
  </si>
  <si>
    <t>200914S01004</t>
  </si>
  <si>
    <t>916dd0284dbf6f9fe01723bc709f6ac6d428db5cbbd25a4f196f62bc0a143b7a</t>
  </si>
  <si>
    <t>202409S01004</t>
  </si>
  <si>
    <t>0c9471449dc3e044b6a21cefc57e20c255854fe62911f9d77803c53e89f27147</t>
  </si>
  <si>
    <t>201124S01004</t>
  </si>
  <si>
    <t>d0162c23ec43e34cbe21d286917671cf8bd28ba066ce1d7d1d1b947d0d0dc2be</t>
  </si>
  <si>
    <t>201586S01004</t>
  </si>
  <si>
    <t>8fb665437838abad5bf9d4e74ac7ee23356ee96dba3b488573bf9e92137338ef</t>
  </si>
  <si>
    <t>200402S01004</t>
  </si>
  <si>
    <t>a967c509ff23e20fa354d2f588eb86bf921061a24dbbf0c4fc25924cff88539e</t>
  </si>
  <si>
    <t>201750S01004</t>
  </si>
  <si>
    <t>877d0ebd88d061f74341f89dc0eed38cb58ee069024493ddb9af0743792c571f</t>
  </si>
  <si>
    <t>200545S01004</t>
  </si>
  <si>
    <t>a69d01f5234d31e6b507c18d22085c8d492b86d3c16479d365e6e40716e01bc0</t>
  </si>
  <si>
    <t>200581S01004</t>
  </si>
  <si>
    <t>2526ee11b3685e1b0c234f9e64ea993e8d3685fb1ee1864ebbf0bcdfb53be7ae</t>
  </si>
  <si>
    <t>200509S01004</t>
  </si>
  <si>
    <t>582b047a98ae57b1dcf3a58e8530a0e5e34941a5dd5678e305676afcc40c192c</t>
  </si>
  <si>
    <t>200509S02004</t>
  </si>
  <si>
    <t>8fedc372026a57ffa13bef6b043de2ad5210eeb00bdf9c82fe31400e37ed20cb</t>
  </si>
  <si>
    <t>200535S01004</t>
  </si>
  <si>
    <t>6cf8a98bfd394555fc4f0c49fea838331314694ecfe0b28b35154e9280a79e47</t>
  </si>
  <si>
    <t>200553S01004</t>
  </si>
  <si>
    <t>4064b442c88df04bd9bd6d5e588418e59981057aacb5951e5048ebead4c3f9cc</t>
  </si>
  <si>
    <t>201718S01004</t>
  </si>
  <si>
    <t>7e1b8f13ec31deb59bda1210c97565b077926022a7c3fb3f27a155f7b4134af0</t>
  </si>
  <si>
    <t>200617S01004</t>
  </si>
  <si>
    <t>9249e25b674413460826bda7e532238f4cfa6e2db36eaa6ff7dfe4a7d33736e8</t>
  </si>
  <si>
    <t>200798S01004</t>
  </si>
  <si>
    <t>f6da7cbbc1fa9808b444b4029d1aaf38c67e687b6c7b654c0f04c0b49761c428</t>
  </si>
  <si>
    <t>202439S01004</t>
  </si>
  <si>
    <t>3f86e61f576db722731d0f2c591bd8649a1eb30c80546ff2386874b86c2dfebd</t>
  </si>
  <si>
    <t>200463S01004</t>
  </si>
  <si>
    <t>edd24fea76bee2bef180dbe8eacb9e8c5573dff7631857fc870c25258c539520</t>
  </si>
  <si>
    <t>201441S01004</t>
  </si>
  <si>
    <t>7d94610ecb0c3f5421bdb7d935ff77c69976fcf0a56792416dead1feefc3e315</t>
  </si>
  <si>
    <t>201833S01004</t>
  </si>
  <si>
    <t>0104a06302530784b17f1665333713cf707d47e73fad65ea7ab6125291a34b81</t>
  </si>
  <si>
    <t>202352S01004</t>
  </si>
  <si>
    <t>c1de6cf3ae2ced520ded1a40ceee4b991b5fbc865c332c5d9e57576961412b6d</t>
  </si>
  <si>
    <t>202207S01004</t>
  </si>
  <si>
    <t>893d52e2d918057000c317612edd96cde6ab1a6449661ea735626e571ee65ca1</t>
  </si>
  <si>
    <t>202207S02004</t>
  </si>
  <si>
    <t>3d83c8667de20d8222794d8f1e4b1812b8226aa856009f6f789bbb47b58f2ab3</t>
  </si>
  <si>
    <t>200267S01004</t>
  </si>
  <si>
    <t>67f4c1573839e0a6be65c5f2d379c0ca075c5f628d3aeb97d89b64846fa2def7</t>
  </si>
  <si>
    <t>200270S01004</t>
  </si>
  <si>
    <t>96fd2b2be1540ea5b597cfee6460813e337b6171ecaa86f40231408d3c797855</t>
  </si>
  <si>
    <t>200680S01004</t>
  </si>
  <si>
    <t>5f09fd059bb730e3b03bf86b5f767b5acc6cb96ca18debfa367c14eb93c30a6d</t>
  </si>
  <si>
    <t>200696S01004</t>
  </si>
  <si>
    <t>0275f499f2eb5d71e37ed21632f064ce13208262aa5a07e3a3bef5b9f718b997</t>
  </si>
  <si>
    <t>200289S01004</t>
  </si>
  <si>
    <t>6d8b3167df39f389cb7f886963cfcfb9eefb1ca8ec061d54c97e66eb7dc63e14</t>
  </si>
  <si>
    <t>200289S02004</t>
  </si>
  <si>
    <t>8578b6c36e7b2fe463f007c7952030d9b577112fb221366f60d699b3e0558ba0</t>
  </si>
  <si>
    <t>200290S01004</t>
  </si>
  <si>
    <t>450ac721c69dc934a3be68f36b72ab135d5d705748468039a1824d89dcef288c</t>
  </si>
  <si>
    <t>200291S01004</t>
  </si>
  <si>
    <t>c6545b78f0aa34bf6f15230abd854f316d9650bf4771e27108143ed0418fe0d3</t>
  </si>
  <si>
    <t>200329S01004</t>
  </si>
  <si>
    <t>8928d87b5fab65357888fcee99eee917cc3d1ce95d5f19faed30814bfb32e751</t>
  </si>
  <si>
    <t>200329S02004</t>
  </si>
  <si>
    <t>a5fdfcf9eec33071f23463d4f17f745ffeb11925943fadf2dfe5bf83e7d75af3</t>
  </si>
  <si>
    <t>200329S03004</t>
  </si>
  <si>
    <t>5363ffc7f0a86b3a35713f67afe164e67e58adb4022637f428b1b5c3be7a3d96</t>
  </si>
  <si>
    <t>200160S01004</t>
  </si>
  <si>
    <t>886fb8b768bf4a29f3dcd4fe1a6df2c1b199ba9d69a473d075825c293f911efb</t>
  </si>
  <si>
    <t>202292S01004</t>
  </si>
  <si>
    <t>b78ce3572256311b74ad35165772cd607547e240ca64f8e62144394bbf72d4b8</t>
  </si>
  <si>
    <t>202088S01004</t>
  </si>
  <si>
    <t>d11d94117401f8e4683f9ade3b26a8631ca0de62eed562b68a8f26a9c21f8f3a</t>
  </si>
  <si>
    <t>201506S01004</t>
  </si>
  <si>
    <t>5784bdcc406a557e3907fea0d375b64c3ef6e1e308cdd3ed34616f879ece0770</t>
  </si>
  <si>
    <t>201658S01004</t>
  </si>
  <si>
    <t>2d3864e9f18e75f5d8655a8ada4978b56f4612a2bdfb004d8be565ada018b65a</t>
  </si>
  <si>
    <t>200432S01004</t>
  </si>
  <si>
    <t>eccfefeb0a6701f52dabe2a26381fde39e63d15f21ce618fd50fff0ccd29cef5</t>
  </si>
  <si>
    <t>200440S01004</t>
  </si>
  <si>
    <t>72a347f8caf65da6b8362eb2306f22006ee9061bfb7c7c59e6731cd0f4d4faa2</t>
  </si>
  <si>
    <t>201518S01004</t>
  </si>
  <si>
    <t>da718f7c84e21c1886df62e5b90c51310d01fa1252b49ec8abfd6e8b1c13f114</t>
  </si>
  <si>
    <t>201845S01004</t>
  </si>
  <si>
    <t>b06df805dc81af2edb9afdd9f41408508372c8a346ce57dc970cb5698dd25d64</t>
  </si>
  <si>
    <t>201847S01004</t>
  </si>
  <si>
    <t>0829d8f9a24a8666b028b5e2480a0697ca18662876f120e9576d44f524a02828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</si>
</sst>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%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3" fontId="0" fillId="0" borderId="0" xfId="0" applyNumberFormat="1"/>
    <xf numFmtId="11" fontId="0" fillId="0" borderId="0" xfId="0" applyNumberFormat="1"/>
    <xf numFmtId="0" fontId="0" fillId="0" borderId="0" xfId="0" applyAlignment="1">
      <alignment horizontal="center"/>
    </xf>
    <xf numFmtId="22" fontId="0" fillId="0" borderId="0" xfId="0" applyNumberFormat="1" applyAlignment="1">
      <alignment horizontal="center"/>
    </xf>
    <xf numFmtId="164" fontId="0" fillId="0" borderId="0" xfId="0" applyNumberFormat="1"/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2</xdr:row>
      <xdr:rowOff>0</xdr:rowOff>
    </xdr:from>
    <xdr:to>
      <xdr:col>16</xdr:col>
      <xdr:colOff>761905</xdr:colOff>
      <xdr:row>2</xdr:row>
      <xdr:rowOff>761905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31140" y="1645920"/>
          <a:ext cx="761905" cy="76190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761905</xdr:colOff>
      <xdr:row>2</xdr:row>
      <xdr:rowOff>761905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723620" y="1645920"/>
          <a:ext cx="761905" cy="761905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</xdr:row>
      <xdr:rowOff>0</xdr:rowOff>
    </xdr:from>
    <xdr:to>
      <xdr:col>19</xdr:col>
      <xdr:colOff>761905</xdr:colOff>
      <xdr:row>2</xdr:row>
      <xdr:rowOff>761905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308580" y="1645920"/>
          <a:ext cx="761905" cy="76190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18</xdr:col>
      <xdr:colOff>761905</xdr:colOff>
      <xdr:row>2</xdr:row>
      <xdr:rowOff>761905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516100" y="1645920"/>
          <a:ext cx="761905" cy="761905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2</xdr:row>
      <xdr:rowOff>0</xdr:rowOff>
    </xdr:from>
    <xdr:to>
      <xdr:col>20</xdr:col>
      <xdr:colOff>761905</xdr:colOff>
      <xdr:row>2</xdr:row>
      <xdr:rowOff>761905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101060" y="1645920"/>
          <a:ext cx="761905" cy="761905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2</xdr:row>
      <xdr:rowOff>121921</xdr:rowOff>
    </xdr:from>
    <xdr:to>
      <xdr:col>21</xdr:col>
      <xdr:colOff>786289</xdr:colOff>
      <xdr:row>2</xdr:row>
      <xdr:rowOff>617221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893540" y="1767841"/>
          <a:ext cx="786289" cy="4953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2</xdr:row>
      <xdr:rowOff>0</xdr:rowOff>
    </xdr:from>
    <xdr:to>
      <xdr:col>23</xdr:col>
      <xdr:colOff>761905</xdr:colOff>
      <xdr:row>2</xdr:row>
      <xdr:rowOff>761905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478500" y="1645920"/>
          <a:ext cx="761905" cy="761905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2</xdr:row>
      <xdr:rowOff>0</xdr:rowOff>
    </xdr:from>
    <xdr:to>
      <xdr:col>24</xdr:col>
      <xdr:colOff>761905</xdr:colOff>
      <xdr:row>2</xdr:row>
      <xdr:rowOff>761905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270980" y="1645920"/>
          <a:ext cx="761905" cy="761905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2</xdr:row>
      <xdr:rowOff>53341</xdr:rowOff>
    </xdr:from>
    <xdr:to>
      <xdr:col>25</xdr:col>
      <xdr:colOff>774763</xdr:colOff>
      <xdr:row>2</xdr:row>
      <xdr:rowOff>685801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063460" y="1699261"/>
          <a:ext cx="774763" cy="63246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2</xdr:row>
      <xdr:rowOff>15240</xdr:rowOff>
    </xdr:from>
    <xdr:to>
      <xdr:col>26</xdr:col>
      <xdr:colOff>746760</xdr:colOff>
      <xdr:row>2</xdr:row>
      <xdr:rowOff>735009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855940" y="1661160"/>
          <a:ext cx="746760" cy="719769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2</xdr:row>
      <xdr:rowOff>7621</xdr:rowOff>
    </xdr:from>
    <xdr:to>
      <xdr:col>27</xdr:col>
      <xdr:colOff>785336</xdr:colOff>
      <xdr:row>2</xdr:row>
      <xdr:rowOff>655321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1648420" y="1653541"/>
          <a:ext cx="785336" cy="647700"/>
        </a:xfrm>
        <a:prstGeom prst="rect">
          <a:avLst/>
        </a:prstGeom>
      </xdr:spPr>
    </xdr:pic>
    <xdr:clientData/>
  </xdr:twoCellAnchor>
  <xdr:twoCellAnchor editAs="oneCell">
    <xdr:from>
      <xdr:col>28</xdr:col>
      <xdr:colOff>1</xdr:colOff>
      <xdr:row>2</xdr:row>
      <xdr:rowOff>213360</xdr:rowOff>
    </xdr:from>
    <xdr:to>
      <xdr:col>29</xdr:col>
      <xdr:colOff>6099</xdr:colOff>
      <xdr:row>2</xdr:row>
      <xdr:rowOff>541020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2440901" y="1859280"/>
          <a:ext cx="1179578" cy="327660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2</xdr:row>
      <xdr:rowOff>205741</xdr:rowOff>
    </xdr:from>
    <xdr:to>
      <xdr:col>29</xdr:col>
      <xdr:colOff>800100</xdr:colOff>
      <xdr:row>2</xdr:row>
      <xdr:rowOff>561341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3233380" y="1851661"/>
          <a:ext cx="800100" cy="355600"/>
        </a:xfrm>
        <a:prstGeom prst="rect">
          <a:avLst/>
        </a:prstGeom>
      </xdr:spPr>
    </xdr:pic>
    <xdr:clientData/>
  </xdr:twoCellAnchor>
  <xdr:twoCellAnchor editAs="oneCell">
    <xdr:from>
      <xdr:col>30</xdr:col>
      <xdr:colOff>1</xdr:colOff>
      <xdr:row>2</xdr:row>
      <xdr:rowOff>213361</xdr:rowOff>
    </xdr:from>
    <xdr:to>
      <xdr:col>30</xdr:col>
      <xdr:colOff>784860</xdr:colOff>
      <xdr:row>2</xdr:row>
      <xdr:rowOff>552759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025861" y="1859281"/>
          <a:ext cx="784859" cy="339398"/>
        </a:xfrm>
        <a:prstGeom prst="rect">
          <a:avLst/>
        </a:prstGeom>
      </xdr:spPr>
    </xdr:pic>
    <xdr:clientData/>
  </xdr:twoCellAnchor>
  <xdr:twoCellAnchor editAs="oneCell">
    <xdr:from>
      <xdr:col>31</xdr:col>
      <xdr:colOff>1</xdr:colOff>
      <xdr:row>2</xdr:row>
      <xdr:rowOff>190501</xdr:rowOff>
    </xdr:from>
    <xdr:to>
      <xdr:col>31</xdr:col>
      <xdr:colOff>792957</xdr:colOff>
      <xdr:row>2</xdr:row>
      <xdr:rowOff>533401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4818341" y="1836421"/>
          <a:ext cx="792956" cy="342900"/>
        </a:xfrm>
        <a:prstGeom prst="rect">
          <a:avLst/>
        </a:prstGeom>
      </xdr:spPr>
    </xdr:pic>
    <xdr:clientData/>
  </xdr:twoCellAnchor>
  <xdr:twoCellAnchor editAs="oneCell">
    <xdr:from>
      <xdr:col>31</xdr:col>
      <xdr:colOff>861059</xdr:colOff>
      <xdr:row>2</xdr:row>
      <xdr:rowOff>198120</xdr:rowOff>
    </xdr:from>
    <xdr:to>
      <xdr:col>32</xdr:col>
      <xdr:colOff>1186050</xdr:colOff>
      <xdr:row>2</xdr:row>
      <xdr:rowOff>533400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6182319" y="1844040"/>
          <a:ext cx="1186051" cy="335280"/>
        </a:xfrm>
        <a:prstGeom prst="rect">
          <a:avLst/>
        </a:prstGeom>
      </xdr:spPr>
    </xdr:pic>
    <xdr:clientData/>
  </xdr:twoCellAnchor>
  <xdr:twoCellAnchor editAs="oneCell">
    <xdr:from>
      <xdr:col>33</xdr:col>
      <xdr:colOff>0</xdr:colOff>
      <xdr:row>2</xdr:row>
      <xdr:rowOff>182881</xdr:rowOff>
    </xdr:from>
    <xdr:to>
      <xdr:col>33</xdr:col>
      <xdr:colOff>800100</xdr:colOff>
      <xdr:row>2</xdr:row>
      <xdr:rowOff>538481</xdr:rowOff>
    </xdr:to>
    <xdr:pic>
      <xdr:nvPicPr>
        <xdr:cNvPr id="18" name="Imagen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6403300" y="1828801"/>
          <a:ext cx="800100" cy="355600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2</xdr:row>
      <xdr:rowOff>182881</xdr:rowOff>
    </xdr:from>
    <xdr:to>
      <xdr:col>34</xdr:col>
      <xdr:colOff>788670</xdr:colOff>
      <xdr:row>2</xdr:row>
      <xdr:rowOff>533401</xdr:rowOff>
    </xdr:to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7195780" y="1828801"/>
          <a:ext cx="788670" cy="350520"/>
        </a:xfrm>
        <a:prstGeom prst="rect">
          <a:avLst/>
        </a:prstGeom>
      </xdr:spPr>
    </xdr:pic>
    <xdr:clientData/>
  </xdr:twoCellAnchor>
  <xdr:twoCellAnchor editAs="oneCell">
    <xdr:from>
      <xdr:col>35</xdr:col>
      <xdr:colOff>0</xdr:colOff>
      <xdr:row>2</xdr:row>
      <xdr:rowOff>182881</xdr:rowOff>
    </xdr:from>
    <xdr:to>
      <xdr:col>35</xdr:col>
      <xdr:colOff>788670</xdr:colOff>
      <xdr:row>2</xdr:row>
      <xdr:rowOff>533401</xdr:rowOff>
    </xdr:to>
    <xdr:pic>
      <xdr:nvPicPr>
        <xdr:cNvPr id="20" name="Imagen 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7988260" y="1828801"/>
          <a:ext cx="788670" cy="350520"/>
        </a:xfrm>
        <a:prstGeom prst="rect">
          <a:avLst/>
        </a:prstGeom>
      </xdr:spPr>
    </xdr:pic>
    <xdr:clientData/>
  </xdr:twoCellAnchor>
  <xdr:twoCellAnchor editAs="oneCell">
    <xdr:from>
      <xdr:col>36</xdr:col>
      <xdr:colOff>1</xdr:colOff>
      <xdr:row>2</xdr:row>
      <xdr:rowOff>213360</xdr:rowOff>
    </xdr:from>
    <xdr:to>
      <xdr:col>36</xdr:col>
      <xdr:colOff>1290165</xdr:colOff>
      <xdr:row>2</xdr:row>
      <xdr:rowOff>556260</xdr:rowOff>
    </xdr:to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9992321" y="1859280"/>
          <a:ext cx="1290164" cy="34290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2</xdr:row>
      <xdr:rowOff>213361</xdr:rowOff>
    </xdr:from>
    <xdr:to>
      <xdr:col>37</xdr:col>
      <xdr:colOff>784955</xdr:colOff>
      <xdr:row>2</xdr:row>
      <xdr:rowOff>525781</xdr:rowOff>
    </xdr:to>
    <xdr:pic>
      <xdr:nvPicPr>
        <xdr:cNvPr id="22" name="Imagen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9573220" y="1859281"/>
          <a:ext cx="784955" cy="312420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2</xdr:row>
      <xdr:rowOff>220981</xdr:rowOff>
    </xdr:from>
    <xdr:to>
      <xdr:col>38</xdr:col>
      <xdr:colOff>764095</xdr:colOff>
      <xdr:row>2</xdr:row>
      <xdr:rowOff>541021</xdr:rowOff>
    </xdr:to>
    <xdr:pic>
      <xdr:nvPicPr>
        <xdr:cNvPr id="23" name="Imagen 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0365700" y="1866901"/>
          <a:ext cx="764095" cy="320040"/>
        </a:xfrm>
        <a:prstGeom prst="rect">
          <a:avLst/>
        </a:prstGeom>
      </xdr:spPr>
    </xdr:pic>
    <xdr:clientData/>
  </xdr:twoCellAnchor>
  <xdr:twoCellAnchor editAs="oneCell">
    <xdr:from>
      <xdr:col>39</xdr:col>
      <xdr:colOff>1</xdr:colOff>
      <xdr:row>2</xdr:row>
      <xdr:rowOff>228601</xdr:rowOff>
    </xdr:from>
    <xdr:to>
      <xdr:col>39</xdr:col>
      <xdr:colOff>796481</xdr:colOff>
      <xdr:row>2</xdr:row>
      <xdr:rowOff>510541</xdr:rowOff>
    </xdr:to>
    <xdr:pic>
      <xdr:nvPicPr>
        <xdr:cNvPr id="24" name="Imagen 2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1158181" y="1874521"/>
          <a:ext cx="796480" cy="281940"/>
        </a:xfrm>
        <a:prstGeom prst="rect">
          <a:avLst/>
        </a:prstGeom>
      </xdr:spPr>
    </xdr:pic>
    <xdr:clientData/>
  </xdr:twoCellAnchor>
  <xdr:twoCellAnchor editAs="oneCell">
    <xdr:from>
      <xdr:col>44</xdr:col>
      <xdr:colOff>0</xdr:colOff>
      <xdr:row>2</xdr:row>
      <xdr:rowOff>0</xdr:rowOff>
    </xdr:from>
    <xdr:to>
      <xdr:col>44</xdr:col>
      <xdr:colOff>761905</xdr:colOff>
      <xdr:row>2</xdr:row>
      <xdr:rowOff>761905</xdr:rowOff>
    </xdr:to>
    <xdr:pic>
      <xdr:nvPicPr>
        <xdr:cNvPr id="25" name="Imagen 2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5120580" y="1645920"/>
          <a:ext cx="761905" cy="761905"/>
        </a:xfrm>
        <a:prstGeom prst="rect">
          <a:avLst/>
        </a:prstGeom>
      </xdr:spPr>
    </xdr:pic>
    <xdr:clientData/>
  </xdr:twoCellAnchor>
  <xdr:twoCellAnchor editAs="oneCell">
    <xdr:from>
      <xdr:col>42</xdr:col>
      <xdr:colOff>0</xdr:colOff>
      <xdr:row>2</xdr:row>
      <xdr:rowOff>205740</xdr:rowOff>
    </xdr:from>
    <xdr:to>
      <xdr:col>43</xdr:col>
      <xdr:colOff>11430</xdr:colOff>
      <xdr:row>2</xdr:row>
      <xdr:rowOff>556260</xdr:rowOff>
    </xdr:to>
    <xdr:pic>
      <xdr:nvPicPr>
        <xdr:cNvPr id="26" name="Imagen 25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3535620" y="1851660"/>
          <a:ext cx="788670" cy="350520"/>
        </a:xfrm>
        <a:prstGeom prst="rect">
          <a:avLst/>
        </a:prstGeom>
      </xdr:spPr>
    </xdr:pic>
    <xdr:clientData/>
  </xdr:twoCellAnchor>
  <xdr:twoCellAnchor editAs="oneCell">
    <xdr:from>
      <xdr:col>39</xdr:col>
      <xdr:colOff>1089659</xdr:colOff>
      <xdr:row>2</xdr:row>
      <xdr:rowOff>213360</xdr:rowOff>
    </xdr:from>
    <xdr:to>
      <xdr:col>41</xdr:col>
      <xdr:colOff>4950</xdr:colOff>
      <xdr:row>2</xdr:row>
      <xdr:rowOff>548640</xdr:rowOff>
    </xdr:to>
    <xdr:pic>
      <xdr:nvPicPr>
        <xdr:cNvPr id="27" name="Imagen 2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4206179" y="1859280"/>
          <a:ext cx="1186051" cy="335280"/>
        </a:xfrm>
        <a:prstGeom prst="rect">
          <a:avLst/>
        </a:prstGeom>
      </xdr:spPr>
    </xdr:pic>
    <xdr:clientData/>
  </xdr:twoCellAnchor>
  <xdr:twoCellAnchor editAs="oneCell">
    <xdr:from>
      <xdr:col>43</xdr:col>
      <xdr:colOff>76200</xdr:colOff>
      <xdr:row>2</xdr:row>
      <xdr:rowOff>213360</xdr:rowOff>
    </xdr:from>
    <xdr:to>
      <xdr:col>43</xdr:col>
      <xdr:colOff>864870</xdr:colOff>
      <xdr:row>2</xdr:row>
      <xdr:rowOff>563880</xdr:rowOff>
    </xdr:to>
    <xdr:pic>
      <xdr:nvPicPr>
        <xdr:cNvPr id="28" name="Imagen 27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7109400" y="1859280"/>
          <a:ext cx="788670" cy="350520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2</xdr:row>
      <xdr:rowOff>205740</xdr:rowOff>
    </xdr:from>
    <xdr:to>
      <xdr:col>41</xdr:col>
      <xdr:colOff>800100</xdr:colOff>
      <xdr:row>2</xdr:row>
      <xdr:rowOff>561340</xdr:rowOff>
    </xdr:to>
    <xdr:pic>
      <xdr:nvPicPr>
        <xdr:cNvPr id="29" name="Imagen 2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2743140" y="1851660"/>
          <a:ext cx="800100" cy="3556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2</xdr:row>
      <xdr:rowOff>0</xdr:rowOff>
    </xdr:from>
    <xdr:to>
      <xdr:col>22</xdr:col>
      <xdr:colOff>761905</xdr:colOff>
      <xdr:row>2</xdr:row>
      <xdr:rowOff>761905</xdr:rowOff>
    </xdr:to>
    <xdr:pic>
      <xdr:nvPicPr>
        <xdr:cNvPr id="30" name="Imagen 29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686020" y="1645920"/>
          <a:ext cx="761905" cy="7619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5484"/>
  <sheetViews>
    <sheetView tabSelected="1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baseColWidth="10" defaultRowHeight="14.4" x14ac:dyDescent="0.3"/>
  <cols>
    <col min="1" max="1" width="20.88671875" customWidth="1"/>
    <col min="2" max="2" width="38.5546875" bestFit="1" customWidth="1"/>
    <col min="3" max="3" width="16.6640625" bestFit="1" customWidth="1"/>
    <col min="4" max="4" width="18.5546875" bestFit="1" customWidth="1"/>
    <col min="5" max="5" width="23" bestFit="1" customWidth="1"/>
    <col min="6" max="6" width="40.77734375" customWidth="1"/>
    <col min="7" max="7" width="30.21875" bestFit="1" customWidth="1"/>
    <col min="8" max="8" width="21.6640625" bestFit="1" customWidth="1"/>
    <col min="9" max="9" width="33.5546875" bestFit="1" customWidth="1"/>
    <col min="10" max="10" width="34.33203125" bestFit="1" customWidth="1"/>
    <col min="11" max="11" width="25.33203125" bestFit="1" customWidth="1"/>
    <col min="12" max="12" width="36.6640625" bestFit="1" customWidth="1"/>
    <col min="13" max="13" width="25.6640625" bestFit="1" customWidth="1"/>
    <col min="14" max="14" width="25.5546875" bestFit="1" customWidth="1"/>
    <col min="15" max="15" width="37.21875" bestFit="1" customWidth="1"/>
    <col min="16" max="16" width="21.88671875" bestFit="1" customWidth="1"/>
    <col min="29" max="29" width="17.109375" bestFit="1" customWidth="1"/>
    <col min="30" max="30" width="12.21875" bestFit="1" customWidth="1"/>
    <col min="31" max="31" width="12.6640625" bestFit="1" customWidth="1"/>
    <col min="32" max="32" width="12.5546875" bestFit="1" customWidth="1"/>
    <col min="33" max="33" width="17.44140625" bestFit="1" customWidth="1"/>
    <col min="34" max="34" width="12.88671875" bestFit="1" customWidth="1"/>
    <col min="36" max="36" width="13.6640625" bestFit="1" customWidth="1"/>
    <col min="37" max="37" width="19" bestFit="1" customWidth="1"/>
    <col min="38" max="38" width="15" bestFit="1" customWidth="1"/>
    <col min="40" max="40" width="15.88671875" bestFit="1" customWidth="1"/>
    <col min="41" max="41" width="17.21875" bestFit="1" customWidth="1"/>
    <col min="42" max="42" width="12.6640625" bestFit="1" customWidth="1"/>
    <col min="43" max="43" width="11.33203125" bestFit="1" customWidth="1"/>
    <col min="44" max="44" width="13.44140625" bestFit="1" customWidth="1"/>
    <col min="46" max="47" width="7.44140625" bestFit="1" customWidth="1"/>
    <col min="48" max="48" width="23.21875" bestFit="1" customWidth="1"/>
    <col min="49" max="49" width="24.33203125" bestFit="1" customWidth="1"/>
    <col min="50" max="50" width="14.6640625" bestFit="1" customWidth="1"/>
    <col min="51" max="51" width="21.6640625" bestFit="1" customWidth="1"/>
    <col min="52" max="52" width="41.109375" bestFit="1" customWidth="1"/>
    <col min="53" max="53" width="14.33203125" bestFit="1" customWidth="1"/>
    <col min="54" max="54" width="22.44140625" bestFit="1" customWidth="1"/>
    <col min="56" max="56" width="19.6640625" style="3" bestFit="1" customWidth="1"/>
    <col min="57" max="57" width="21" style="3" bestFit="1" customWidth="1"/>
    <col min="58" max="58" width="25.109375" style="3" bestFit="1" customWidth="1"/>
    <col min="60" max="60" width="14.44140625" bestFit="1" customWidth="1"/>
    <col min="61" max="61" width="17.33203125" bestFit="1" customWidth="1"/>
  </cols>
  <sheetData>
    <row r="1" spans="1:61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</row>
    <row r="2" spans="1:61" x14ac:dyDescent="0.3">
      <c r="A2" t="s">
        <v>15</v>
      </c>
      <c r="B2" t="s">
        <v>16</v>
      </c>
      <c r="C2" s="1">
        <v>5480</v>
      </c>
      <c r="D2" s="1">
        <v>5480</v>
      </c>
      <c r="E2">
        <v>0</v>
      </c>
      <c r="F2" s="1">
        <v>5480</v>
      </c>
      <c r="G2" s="5">
        <v>1</v>
      </c>
      <c r="H2" s="1">
        <v>5076</v>
      </c>
      <c r="I2" s="5">
        <v>0.92627700000000002</v>
      </c>
      <c r="J2" s="5">
        <v>0.17682400000000001</v>
      </c>
      <c r="K2">
        <v>404</v>
      </c>
      <c r="L2" s="1">
        <v>2666802</v>
      </c>
      <c r="M2" s="1">
        <v>1776462</v>
      </c>
      <c r="N2" s="1">
        <v>1756869</v>
      </c>
      <c r="O2" s="5">
        <v>0.66613900000000004</v>
      </c>
    </row>
    <row r="3" spans="1:61" ht="60" customHeight="1" x14ac:dyDescent="0.3"/>
    <row r="4" spans="1:61" x14ac:dyDescent="0.3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t="s">
        <v>23</v>
      </c>
      <c r="H4" t="s">
        <v>24</v>
      </c>
      <c r="I4" t="s">
        <v>25</v>
      </c>
      <c r="J4" t="s">
        <v>26</v>
      </c>
      <c r="K4" t="s">
        <v>27</v>
      </c>
      <c r="L4" t="s">
        <v>28</v>
      </c>
      <c r="M4" t="s">
        <v>29</v>
      </c>
      <c r="N4" t="s">
        <v>30</v>
      </c>
      <c r="O4" t="s">
        <v>31</v>
      </c>
      <c r="P4" t="s">
        <v>32</v>
      </c>
      <c r="Q4" t="s">
        <v>33</v>
      </c>
      <c r="R4" t="s">
        <v>34</v>
      </c>
      <c r="S4" t="s">
        <v>35</v>
      </c>
      <c r="T4" t="s">
        <v>36</v>
      </c>
      <c r="U4" t="s">
        <v>37</v>
      </c>
      <c r="V4" t="s">
        <v>38</v>
      </c>
      <c r="W4" t="s">
        <v>39</v>
      </c>
      <c r="X4" t="s">
        <v>40</v>
      </c>
      <c r="Y4" t="s">
        <v>41</v>
      </c>
      <c r="Z4" t="s">
        <v>42</v>
      </c>
      <c r="AA4" t="s">
        <v>43</v>
      </c>
      <c r="AB4" t="s">
        <v>44</v>
      </c>
      <c r="AC4" t="s">
        <v>45</v>
      </c>
      <c r="AD4" t="s">
        <v>46</v>
      </c>
      <c r="AE4" t="s">
        <v>47</v>
      </c>
      <c r="AF4" t="s">
        <v>48</v>
      </c>
      <c r="AG4" t="s">
        <v>49</v>
      </c>
      <c r="AH4" t="s">
        <v>50</v>
      </c>
      <c r="AI4" t="s">
        <v>51</v>
      </c>
      <c r="AJ4" t="s">
        <v>52</v>
      </c>
      <c r="AK4" t="s">
        <v>53</v>
      </c>
      <c r="AL4" t="s">
        <v>54</v>
      </c>
      <c r="AM4" t="s">
        <v>55</v>
      </c>
      <c r="AN4" t="s">
        <v>56</v>
      </c>
      <c r="AO4" t="s">
        <v>57</v>
      </c>
      <c r="AP4" t="s">
        <v>58</v>
      </c>
      <c r="AQ4" t="s">
        <v>59</v>
      </c>
      <c r="AR4" t="s">
        <v>60</v>
      </c>
      <c r="AS4" t="s">
        <v>61</v>
      </c>
      <c r="AT4" t="s">
        <v>62</v>
      </c>
      <c r="AU4" t="s">
        <v>63</v>
      </c>
      <c r="AV4" t="s">
        <v>64</v>
      </c>
      <c r="AW4" t="s">
        <v>65</v>
      </c>
      <c r="AX4" t="s">
        <v>66</v>
      </c>
      <c r="AY4" t="s">
        <v>67</v>
      </c>
      <c r="AZ4" t="s">
        <v>68</v>
      </c>
      <c r="BA4" t="s">
        <v>69</v>
      </c>
      <c r="BB4" t="s">
        <v>70</v>
      </c>
      <c r="BC4" t="s">
        <v>71</v>
      </c>
      <c r="BD4" s="3" t="s">
        <v>72</v>
      </c>
      <c r="BE4" s="3" t="s">
        <v>73</v>
      </c>
      <c r="BF4" s="3" t="s">
        <v>74</v>
      </c>
      <c r="BG4" t="s">
        <v>75</v>
      </c>
      <c r="BH4" t="s">
        <v>76</v>
      </c>
      <c r="BI4" t="s">
        <v>77</v>
      </c>
    </row>
    <row r="5" spans="1:61" x14ac:dyDescent="0.3">
      <c r="A5" t="str">
        <f>"200002B0100"</f>
        <v>200002B0100</v>
      </c>
      <c r="B5" t="s">
        <v>78</v>
      </c>
      <c r="C5">
        <v>20</v>
      </c>
      <c r="D5" t="s">
        <v>79</v>
      </c>
      <c r="E5">
        <v>1</v>
      </c>
      <c r="F5" t="s">
        <v>80</v>
      </c>
      <c r="G5">
        <v>2</v>
      </c>
      <c r="H5">
        <v>1</v>
      </c>
      <c r="I5" t="s">
        <v>81</v>
      </c>
      <c r="J5">
        <v>0</v>
      </c>
      <c r="K5">
        <v>2</v>
      </c>
      <c r="L5">
        <v>2</v>
      </c>
      <c r="M5">
        <v>181</v>
      </c>
      <c r="N5">
        <v>521</v>
      </c>
      <c r="O5">
        <v>2</v>
      </c>
      <c r="P5">
        <v>521</v>
      </c>
      <c r="Q5">
        <v>187</v>
      </c>
      <c r="R5">
        <v>156</v>
      </c>
      <c r="S5">
        <v>10</v>
      </c>
      <c r="T5">
        <v>22</v>
      </c>
      <c r="U5">
        <v>9</v>
      </c>
      <c r="V5">
        <v>6</v>
      </c>
      <c r="W5">
        <v>1</v>
      </c>
      <c r="X5">
        <v>3</v>
      </c>
      <c r="Y5">
        <v>96</v>
      </c>
      <c r="AA5">
        <v>1</v>
      </c>
      <c r="AC5">
        <v>6</v>
      </c>
      <c r="AD5">
        <v>0</v>
      </c>
      <c r="AE5">
        <v>2</v>
      </c>
      <c r="AF5">
        <v>0</v>
      </c>
      <c r="AG5">
        <v>1</v>
      </c>
      <c r="AH5">
        <v>2</v>
      </c>
      <c r="AI5">
        <v>0</v>
      </c>
      <c r="AJ5">
        <v>0</v>
      </c>
      <c r="AT5">
        <v>0</v>
      </c>
      <c r="AU5">
        <v>19</v>
      </c>
      <c r="AV5">
        <v>521</v>
      </c>
      <c r="AW5">
        <v>521</v>
      </c>
      <c r="AX5">
        <v>680</v>
      </c>
      <c r="BA5">
        <v>1</v>
      </c>
      <c r="BC5" t="s">
        <v>82</v>
      </c>
      <c r="BD5" s="4">
        <v>43283.084594907406</v>
      </c>
      <c r="BE5" s="4">
        <v>43283.087430555555</v>
      </c>
      <c r="BF5" s="4">
        <v>43283.087430555555</v>
      </c>
      <c r="BG5" t="s">
        <v>83</v>
      </c>
      <c r="BH5" t="s">
        <v>84</v>
      </c>
      <c r="BI5" t="s">
        <v>85</v>
      </c>
    </row>
    <row r="6" spans="1:61" x14ac:dyDescent="0.3">
      <c r="A6" t="str">
        <f>"200003B0100"</f>
        <v>200003B0100</v>
      </c>
      <c r="B6" t="s">
        <v>86</v>
      </c>
      <c r="C6">
        <v>20</v>
      </c>
      <c r="D6" t="s">
        <v>79</v>
      </c>
      <c r="E6">
        <v>1</v>
      </c>
      <c r="F6" t="s">
        <v>80</v>
      </c>
      <c r="G6">
        <v>3</v>
      </c>
      <c r="H6">
        <v>1</v>
      </c>
      <c r="I6" t="s">
        <v>81</v>
      </c>
      <c r="J6">
        <v>0</v>
      </c>
      <c r="K6">
        <v>1</v>
      </c>
      <c r="L6">
        <v>2</v>
      </c>
      <c r="M6">
        <v>152</v>
      </c>
      <c r="N6">
        <v>417</v>
      </c>
      <c r="O6">
        <v>0</v>
      </c>
      <c r="P6">
        <v>417</v>
      </c>
      <c r="Q6">
        <v>184</v>
      </c>
      <c r="R6">
        <v>89</v>
      </c>
      <c r="S6">
        <v>4</v>
      </c>
      <c r="T6">
        <v>26</v>
      </c>
      <c r="U6">
        <v>7</v>
      </c>
      <c r="V6">
        <v>2</v>
      </c>
      <c r="W6">
        <v>1</v>
      </c>
      <c r="X6">
        <v>1</v>
      </c>
      <c r="Y6">
        <v>87</v>
      </c>
      <c r="AA6">
        <v>2</v>
      </c>
      <c r="AC6">
        <v>1</v>
      </c>
      <c r="AD6">
        <v>0</v>
      </c>
      <c r="AE6">
        <v>0</v>
      </c>
      <c r="AF6">
        <v>0</v>
      </c>
      <c r="AG6">
        <v>3</v>
      </c>
      <c r="AH6">
        <v>3</v>
      </c>
      <c r="AI6">
        <v>0</v>
      </c>
      <c r="AJ6">
        <v>0</v>
      </c>
      <c r="AT6">
        <v>1</v>
      </c>
      <c r="AU6">
        <v>5</v>
      </c>
      <c r="AV6">
        <v>416</v>
      </c>
      <c r="AW6">
        <v>416</v>
      </c>
      <c r="AX6">
        <v>547</v>
      </c>
      <c r="BA6">
        <v>1</v>
      </c>
      <c r="BC6" t="s">
        <v>87</v>
      </c>
      <c r="BD6" s="4">
        <v>43283.185983796298</v>
      </c>
      <c r="BE6" s="4">
        <v>43283.207569444443</v>
      </c>
      <c r="BF6" s="4">
        <v>43283.207569444443</v>
      </c>
      <c r="BG6" t="s">
        <v>83</v>
      </c>
      <c r="BH6" t="s">
        <v>84</v>
      </c>
      <c r="BI6" t="s">
        <v>85</v>
      </c>
    </row>
    <row r="7" spans="1:61" x14ac:dyDescent="0.3">
      <c r="A7" t="str">
        <f>"200003C0100"</f>
        <v>200003C0100</v>
      </c>
      <c r="B7" t="s">
        <v>88</v>
      </c>
      <c r="C7">
        <v>20</v>
      </c>
      <c r="D7" t="s">
        <v>79</v>
      </c>
      <c r="E7">
        <v>1</v>
      </c>
      <c r="F7" t="s">
        <v>80</v>
      </c>
      <c r="G7">
        <v>3</v>
      </c>
      <c r="H7">
        <v>1</v>
      </c>
      <c r="I7" t="s">
        <v>89</v>
      </c>
      <c r="J7">
        <v>0</v>
      </c>
      <c r="K7">
        <v>1</v>
      </c>
      <c r="L7">
        <v>2</v>
      </c>
      <c r="M7">
        <v>153</v>
      </c>
      <c r="N7">
        <v>416</v>
      </c>
      <c r="O7">
        <v>1</v>
      </c>
      <c r="P7">
        <v>416</v>
      </c>
      <c r="Q7">
        <v>162</v>
      </c>
      <c r="R7">
        <v>99</v>
      </c>
      <c r="S7">
        <v>3</v>
      </c>
      <c r="T7">
        <v>21</v>
      </c>
      <c r="U7">
        <v>9</v>
      </c>
      <c r="V7">
        <v>3</v>
      </c>
      <c r="W7">
        <v>0</v>
      </c>
      <c r="X7">
        <v>0</v>
      </c>
      <c r="Y7">
        <v>97</v>
      </c>
      <c r="AA7">
        <v>0</v>
      </c>
      <c r="AC7">
        <v>4</v>
      </c>
      <c r="AD7">
        <v>0</v>
      </c>
      <c r="AE7">
        <v>0</v>
      </c>
      <c r="AF7">
        <v>0</v>
      </c>
      <c r="AG7">
        <v>4</v>
      </c>
      <c r="AH7">
        <v>5</v>
      </c>
      <c r="AI7">
        <v>0</v>
      </c>
      <c r="AJ7">
        <v>0</v>
      </c>
      <c r="AT7">
        <v>1</v>
      </c>
      <c r="AU7">
        <v>8</v>
      </c>
      <c r="AV7">
        <v>416</v>
      </c>
      <c r="AW7">
        <v>416</v>
      </c>
      <c r="AX7">
        <v>547</v>
      </c>
      <c r="BA7">
        <v>1</v>
      </c>
      <c r="BC7" t="s">
        <v>90</v>
      </c>
      <c r="BD7" s="4">
        <v>43283.216631944444</v>
      </c>
      <c r="BE7" s="4">
        <v>43283.23710648148</v>
      </c>
      <c r="BF7" s="4">
        <v>43283.23710648148</v>
      </c>
      <c r="BG7" t="s">
        <v>83</v>
      </c>
      <c r="BH7" t="s">
        <v>84</v>
      </c>
      <c r="BI7" t="s">
        <v>85</v>
      </c>
    </row>
    <row r="8" spans="1:61" x14ac:dyDescent="0.3">
      <c r="A8" t="str">
        <f>"200003C0200"</f>
        <v>200003C0200</v>
      </c>
      <c r="B8" t="s">
        <v>91</v>
      </c>
      <c r="C8">
        <v>20</v>
      </c>
      <c r="D8" t="s">
        <v>79</v>
      </c>
      <c r="E8">
        <v>1</v>
      </c>
      <c r="F8" t="s">
        <v>80</v>
      </c>
      <c r="G8">
        <v>3</v>
      </c>
      <c r="H8">
        <v>2</v>
      </c>
      <c r="I8" t="s">
        <v>89</v>
      </c>
      <c r="J8">
        <v>0</v>
      </c>
      <c r="K8">
        <v>1</v>
      </c>
      <c r="L8">
        <v>2</v>
      </c>
      <c r="M8">
        <v>134</v>
      </c>
      <c r="N8">
        <v>435</v>
      </c>
      <c r="O8">
        <v>0</v>
      </c>
      <c r="P8">
        <v>435</v>
      </c>
      <c r="Q8">
        <v>159</v>
      </c>
      <c r="R8">
        <v>106</v>
      </c>
      <c r="S8">
        <v>4</v>
      </c>
      <c r="T8">
        <v>24</v>
      </c>
      <c r="U8">
        <v>6</v>
      </c>
      <c r="V8">
        <v>4</v>
      </c>
      <c r="W8">
        <v>2</v>
      </c>
      <c r="X8">
        <v>4</v>
      </c>
      <c r="Y8">
        <v>101</v>
      </c>
      <c r="AA8">
        <v>1</v>
      </c>
      <c r="AC8">
        <v>1</v>
      </c>
      <c r="AD8">
        <v>1</v>
      </c>
      <c r="AE8">
        <v>1</v>
      </c>
      <c r="AF8">
        <v>1</v>
      </c>
      <c r="AG8">
        <v>0</v>
      </c>
      <c r="AH8">
        <v>4</v>
      </c>
      <c r="AI8">
        <v>0</v>
      </c>
      <c r="AJ8">
        <v>0</v>
      </c>
      <c r="AT8">
        <v>0</v>
      </c>
      <c r="AU8">
        <v>16</v>
      </c>
      <c r="AV8">
        <v>435</v>
      </c>
      <c r="AW8">
        <v>435</v>
      </c>
      <c r="AX8">
        <v>547</v>
      </c>
      <c r="BA8">
        <v>1</v>
      </c>
      <c r="BC8" t="s">
        <v>92</v>
      </c>
      <c r="BD8" s="4">
        <v>43283.081006944441</v>
      </c>
      <c r="BE8" s="4">
        <v>43283.085266203707</v>
      </c>
      <c r="BF8" s="4">
        <v>43283.085266203707</v>
      </c>
      <c r="BG8" t="s">
        <v>83</v>
      </c>
      <c r="BH8" t="s">
        <v>84</v>
      </c>
      <c r="BI8" t="s">
        <v>85</v>
      </c>
    </row>
    <row r="9" spans="1:61" x14ac:dyDescent="0.3">
      <c r="A9" t="str">
        <f>"200004B0100"</f>
        <v>200004B0100</v>
      </c>
      <c r="B9" t="s">
        <v>93</v>
      </c>
      <c r="C9">
        <v>20</v>
      </c>
      <c r="D9" t="s">
        <v>79</v>
      </c>
      <c r="E9">
        <v>1</v>
      </c>
      <c r="F9" t="s">
        <v>80</v>
      </c>
      <c r="G9">
        <v>4</v>
      </c>
      <c r="H9">
        <v>1</v>
      </c>
      <c r="I9" t="s">
        <v>81</v>
      </c>
      <c r="J9">
        <v>0</v>
      </c>
      <c r="K9">
        <v>1</v>
      </c>
      <c r="L9">
        <v>2</v>
      </c>
      <c r="M9">
        <v>156</v>
      </c>
      <c r="N9">
        <v>406</v>
      </c>
      <c r="O9">
        <v>1</v>
      </c>
      <c r="P9">
        <v>406</v>
      </c>
      <c r="Q9">
        <v>192</v>
      </c>
      <c r="R9">
        <v>93</v>
      </c>
      <c r="S9">
        <v>6</v>
      </c>
      <c r="T9">
        <v>11</v>
      </c>
      <c r="U9">
        <v>4</v>
      </c>
      <c r="V9">
        <v>4</v>
      </c>
      <c r="W9">
        <v>0</v>
      </c>
      <c r="X9">
        <v>0</v>
      </c>
      <c r="Y9">
        <v>68</v>
      </c>
      <c r="AA9">
        <v>1</v>
      </c>
      <c r="AC9">
        <v>3</v>
      </c>
      <c r="AD9">
        <v>1</v>
      </c>
      <c r="AE9">
        <v>3</v>
      </c>
      <c r="AF9">
        <v>0</v>
      </c>
      <c r="AG9">
        <v>0</v>
      </c>
      <c r="AH9">
        <v>1</v>
      </c>
      <c r="AI9">
        <v>0</v>
      </c>
      <c r="AJ9">
        <v>0</v>
      </c>
      <c r="AT9">
        <v>0</v>
      </c>
      <c r="AU9">
        <v>19</v>
      </c>
      <c r="AV9">
        <v>406</v>
      </c>
      <c r="AW9">
        <v>406</v>
      </c>
      <c r="AX9">
        <v>540</v>
      </c>
      <c r="BA9">
        <v>1</v>
      </c>
      <c r="BC9" t="s">
        <v>94</v>
      </c>
      <c r="BD9" s="4">
        <v>43283.217118055552</v>
      </c>
      <c r="BE9" s="4">
        <v>43283.240763888891</v>
      </c>
      <c r="BF9" s="4">
        <v>43283.240763888891</v>
      </c>
      <c r="BG9" t="s">
        <v>83</v>
      </c>
      <c r="BH9" t="s">
        <v>84</v>
      </c>
      <c r="BI9" t="s">
        <v>85</v>
      </c>
    </row>
    <row r="10" spans="1:61" x14ac:dyDescent="0.3">
      <c r="A10" t="str">
        <f>"200004C0100"</f>
        <v>200004C0100</v>
      </c>
      <c r="B10" t="s">
        <v>95</v>
      </c>
      <c r="C10">
        <v>20</v>
      </c>
      <c r="D10" t="s">
        <v>79</v>
      </c>
      <c r="E10">
        <v>1</v>
      </c>
      <c r="F10" t="s">
        <v>80</v>
      </c>
      <c r="G10">
        <v>4</v>
      </c>
      <c r="H10">
        <v>1</v>
      </c>
      <c r="I10" t="s">
        <v>89</v>
      </c>
      <c r="J10">
        <v>0</v>
      </c>
      <c r="K10">
        <v>1</v>
      </c>
      <c r="L10">
        <v>2</v>
      </c>
      <c r="M10">
        <v>156</v>
      </c>
      <c r="N10">
        <v>405</v>
      </c>
      <c r="O10">
        <v>0</v>
      </c>
      <c r="P10">
        <v>405</v>
      </c>
      <c r="Q10">
        <v>182</v>
      </c>
      <c r="R10">
        <v>89</v>
      </c>
      <c r="S10">
        <v>0</v>
      </c>
      <c r="T10">
        <v>18</v>
      </c>
      <c r="U10">
        <v>6</v>
      </c>
      <c r="V10">
        <v>6</v>
      </c>
      <c r="W10">
        <v>1</v>
      </c>
      <c r="X10">
        <v>4</v>
      </c>
      <c r="Y10">
        <v>61</v>
      </c>
      <c r="AA10">
        <v>1</v>
      </c>
      <c r="AC10">
        <v>0</v>
      </c>
      <c r="AD10">
        <v>1</v>
      </c>
      <c r="AE10">
        <v>0</v>
      </c>
      <c r="AF10">
        <v>0</v>
      </c>
      <c r="AG10">
        <v>4</v>
      </c>
      <c r="AH10">
        <v>5</v>
      </c>
      <c r="AI10">
        <v>1</v>
      </c>
      <c r="AJ10">
        <v>1</v>
      </c>
      <c r="AT10">
        <v>0</v>
      </c>
      <c r="AU10">
        <v>25</v>
      </c>
      <c r="AV10">
        <v>405</v>
      </c>
      <c r="AW10">
        <v>405</v>
      </c>
      <c r="AX10">
        <v>539</v>
      </c>
      <c r="BA10">
        <v>1</v>
      </c>
      <c r="BC10" t="s">
        <v>96</v>
      </c>
      <c r="BD10" s="4">
        <v>43283.218622685185</v>
      </c>
      <c r="BE10" s="4">
        <v>43283.24013888889</v>
      </c>
      <c r="BF10" s="4">
        <v>43283.24013888889</v>
      </c>
      <c r="BG10" t="s">
        <v>83</v>
      </c>
      <c r="BH10" t="s">
        <v>84</v>
      </c>
      <c r="BI10" t="s">
        <v>85</v>
      </c>
    </row>
    <row r="11" spans="1:61" x14ac:dyDescent="0.3">
      <c r="A11" t="str">
        <f>"200004C0200"</f>
        <v>200004C0200</v>
      </c>
      <c r="B11" t="s">
        <v>97</v>
      </c>
      <c r="C11">
        <v>20</v>
      </c>
      <c r="D11" t="s">
        <v>79</v>
      </c>
      <c r="E11">
        <v>1</v>
      </c>
      <c r="F11" t="s">
        <v>80</v>
      </c>
      <c r="G11">
        <v>4</v>
      </c>
      <c r="H11">
        <v>2</v>
      </c>
      <c r="I11" t="s">
        <v>89</v>
      </c>
      <c r="J11">
        <v>0</v>
      </c>
      <c r="K11">
        <v>1</v>
      </c>
      <c r="L11">
        <v>2</v>
      </c>
      <c r="M11">
        <v>146</v>
      </c>
      <c r="N11">
        <v>415</v>
      </c>
      <c r="O11">
        <v>4</v>
      </c>
      <c r="P11">
        <v>415</v>
      </c>
      <c r="Q11">
        <v>170</v>
      </c>
      <c r="R11">
        <v>88</v>
      </c>
      <c r="S11">
        <v>1</v>
      </c>
      <c r="T11">
        <v>20</v>
      </c>
      <c r="U11">
        <v>4</v>
      </c>
      <c r="V11">
        <v>4</v>
      </c>
      <c r="W11">
        <v>0</v>
      </c>
      <c r="X11">
        <v>3</v>
      </c>
      <c r="Y11">
        <v>85</v>
      </c>
      <c r="AA11">
        <v>1</v>
      </c>
      <c r="AC11">
        <v>5</v>
      </c>
      <c r="AD11">
        <v>2</v>
      </c>
      <c r="AE11">
        <v>3</v>
      </c>
      <c r="AF11">
        <v>0</v>
      </c>
      <c r="AG11">
        <v>2</v>
      </c>
      <c r="AH11">
        <v>9</v>
      </c>
      <c r="AI11">
        <v>0</v>
      </c>
      <c r="AJ11">
        <v>0</v>
      </c>
      <c r="AT11">
        <v>0</v>
      </c>
      <c r="AU11">
        <v>18</v>
      </c>
      <c r="AV11">
        <v>415</v>
      </c>
      <c r="AW11">
        <v>415</v>
      </c>
      <c r="AX11">
        <v>539</v>
      </c>
      <c r="BA11">
        <v>1</v>
      </c>
      <c r="BC11" t="s">
        <v>98</v>
      </c>
      <c r="BD11" s="4">
        <v>43283.218402777777</v>
      </c>
      <c r="BE11" s="4">
        <v>43283.239641203705</v>
      </c>
      <c r="BF11" s="4">
        <v>43283.239641203705</v>
      </c>
      <c r="BG11" t="s">
        <v>83</v>
      </c>
      <c r="BH11" t="s">
        <v>84</v>
      </c>
      <c r="BI11" t="s">
        <v>85</v>
      </c>
    </row>
    <row r="12" spans="1:61" x14ac:dyDescent="0.3">
      <c r="A12" t="str">
        <f>"200005B0100"</f>
        <v>200005B0100</v>
      </c>
      <c r="B12" t="s">
        <v>99</v>
      </c>
      <c r="C12">
        <v>20</v>
      </c>
      <c r="D12" t="s">
        <v>79</v>
      </c>
      <c r="E12">
        <v>1</v>
      </c>
      <c r="F12" t="s">
        <v>80</v>
      </c>
      <c r="G12">
        <v>5</v>
      </c>
      <c r="H12">
        <v>1</v>
      </c>
      <c r="I12" t="s">
        <v>81</v>
      </c>
      <c r="J12">
        <v>0</v>
      </c>
      <c r="K12">
        <v>2</v>
      </c>
      <c r="L12">
        <v>2</v>
      </c>
      <c r="M12">
        <v>486</v>
      </c>
      <c r="N12">
        <v>486</v>
      </c>
      <c r="O12">
        <v>0</v>
      </c>
      <c r="P12">
        <v>486</v>
      </c>
      <c r="Q12">
        <v>162</v>
      </c>
      <c r="R12">
        <v>156</v>
      </c>
      <c r="S12">
        <v>7</v>
      </c>
      <c r="T12">
        <v>16</v>
      </c>
      <c r="U12">
        <v>11</v>
      </c>
      <c r="V12">
        <v>8</v>
      </c>
      <c r="W12">
        <v>0</v>
      </c>
      <c r="X12">
        <v>3</v>
      </c>
      <c r="Y12">
        <v>93</v>
      </c>
      <c r="AA12" t="s">
        <v>100</v>
      </c>
      <c r="AC12">
        <v>1</v>
      </c>
      <c r="AD12">
        <v>3</v>
      </c>
      <c r="AE12">
        <v>1</v>
      </c>
      <c r="AF12">
        <v>0</v>
      </c>
      <c r="AG12">
        <v>0</v>
      </c>
      <c r="AH12">
        <v>5</v>
      </c>
      <c r="AI12">
        <v>0</v>
      </c>
      <c r="AJ12">
        <v>0</v>
      </c>
      <c r="AT12" t="s">
        <v>100</v>
      </c>
      <c r="AU12">
        <v>21</v>
      </c>
      <c r="AV12">
        <v>487</v>
      </c>
      <c r="AW12">
        <v>487</v>
      </c>
      <c r="AX12">
        <v>655</v>
      </c>
      <c r="AZ12" t="s">
        <v>101</v>
      </c>
      <c r="BA12">
        <v>1</v>
      </c>
      <c r="BC12" t="s">
        <v>102</v>
      </c>
      <c r="BD12" s="4">
        <v>43283.219513888886</v>
      </c>
      <c r="BE12" s="4">
        <v>43283.241180555553</v>
      </c>
      <c r="BF12" s="4">
        <v>43283.241180555553</v>
      </c>
      <c r="BG12" t="s">
        <v>83</v>
      </c>
      <c r="BH12" t="s">
        <v>84</v>
      </c>
      <c r="BI12" t="s">
        <v>85</v>
      </c>
    </row>
    <row r="13" spans="1:61" x14ac:dyDescent="0.3">
      <c r="A13" t="str">
        <f>"200005S0100"</f>
        <v>200005S0100</v>
      </c>
      <c r="B13" t="s">
        <v>103</v>
      </c>
      <c r="C13">
        <v>20</v>
      </c>
      <c r="D13" t="s">
        <v>79</v>
      </c>
      <c r="E13">
        <v>1</v>
      </c>
      <c r="F13" t="s">
        <v>80</v>
      </c>
      <c r="G13">
        <v>5</v>
      </c>
      <c r="H13">
        <v>1</v>
      </c>
      <c r="I13" t="s">
        <v>104</v>
      </c>
      <c r="J13">
        <v>0</v>
      </c>
      <c r="K13">
        <v>2</v>
      </c>
      <c r="L13">
        <v>3</v>
      </c>
      <c r="M13">
        <v>559</v>
      </c>
      <c r="N13">
        <v>82</v>
      </c>
      <c r="O13">
        <v>0</v>
      </c>
      <c r="P13">
        <v>82</v>
      </c>
      <c r="Q13">
        <v>26</v>
      </c>
      <c r="R13">
        <v>23</v>
      </c>
      <c r="S13">
        <v>2</v>
      </c>
      <c r="T13" t="s">
        <v>100</v>
      </c>
      <c r="U13">
        <v>1</v>
      </c>
      <c r="V13">
        <v>1</v>
      </c>
      <c r="W13" t="s">
        <v>100</v>
      </c>
      <c r="X13" t="s">
        <v>100</v>
      </c>
      <c r="Y13">
        <v>23</v>
      </c>
      <c r="AA13" t="s">
        <v>100</v>
      </c>
      <c r="AC13" t="s">
        <v>100</v>
      </c>
      <c r="AD13" t="s">
        <v>100</v>
      </c>
      <c r="AE13" t="s">
        <v>100</v>
      </c>
      <c r="AF13" t="s">
        <v>100</v>
      </c>
      <c r="AG13" t="s">
        <v>100</v>
      </c>
      <c r="AH13" t="s">
        <v>100</v>
      </c>
      <c r="AI13" t="s">
        <v>100</v>
      </c>
      <c r="AJ13" t="s">
        <v>100</v>
      </c>
      <c r="AT13" t="s">
        <v>100</v>
      </c>
      <c r="AU13">
        <v>6</v>
      </c>
      <c r="AV13">
        <v>82</v>
      </c>
      <c r="AW13">
        <v>82</v>
      </c>
      <c r="AX13">
        <v>0</v>
      </c>
      <c r="AZ13" t="s">
        <v>101</v>
      </c>
      <c r="BA13">
        <v>1</v>
      </c>
      <c r="BC13" t="s">
        <v>105</v>
      </c>
      <c r="BD13" s="4">
        <v>43283.220277777778</v>
      </c>
      <c r="BE13" s="4">
        <v>43283.242199074077</v>
      </c>
      <c r="BF13" s="4">
        <v>43283.242199074077</v>
      </c>
      <c r="BG13" t="s">
        <v>83</v>
      </c>
      <c r="BH13" t="s">
        <v>84</v>
      </c>
      <c r="BI13" t="s">
        <v>85</v>
      </c>
    </row>
    <row r="14" spans="1:61" x14ac:dyDescent="0.3">
      <c r="A14" t="str">
        <f>"200006B0100"</f>
        <v>200006B0100</v>
      </c>
      <c r="B14" t="s">
        <v>106</v>
      </c>
      <c r="C14">
        <v>20</v>
      </c>
      <c r="D14" t="s">
        <v>79</v>
      </c>
      <c r="E14">
        <v>1</v>
      </c>
      <c r="F14" t="s">
        <v>80</v>
      </c>
      <c r="G14">
        <v>6</v>
      </c>
      <c r="H14">
        <v>1</v>
      </c>
      <c r="I14" t="s">
        <v>81</v>
      </c>
      <c r="J14">
        <v>0</v>
      </c>
      <c r="K14">
        <v>1</v>
      </c>
      <c r="L14">
        <v>2</v>
      </c>
      <c r="M14">
        <v>584</v>
      </c>
      <c r="N14">
        <v>430</v>
      </c>
      <c r="O14" t="s">
        <v>100</v>
      </c>
      <c r="P14">
        <v>430</v>
      </c>
      <c r="Q14">
        <v>158</v>
      </c>
      <c r="R14">
        <v>96</v>
      </c>
      <c r="S14">
        <v>9</v>
      </c>
      <c r="T14">
        <v>5</v>
      </c>
      <c r="U14">
        <v>6</v>
      </c>
      <c r="V14">
        <v>12</v>
      </c>
      <c r="W14">
        <v>1</v>
      </c>
      <c r="X14">
        <v>4</v>
      </c>
      <c r="Y14">
        <v>109</v>
      </c>
      <c r="AA14">
        <v>0</v>
      </c>
      <c r="AC14">
        <v>1</v>
      </c>
      <c r="AD14">
        <v>3</v>
      </c>
      <c r="AE14">
        <v>0</v>
      </c>
      <c r="AF14">
        <v>0</v>
      </c>
      <c r="AG14">
        <v>0</v>
      </c>
      <c r="AH14">
        <v>1</v>
      </c>
      <c r="AI14">
        <v>0</v>
      </c>
      <c r="AJ14">
        <v>0</v>
      </c>
      <c r="AT14">
        <v>0</v>
      </c>
      <c r="AU14">
        <v>25</v>
      </c>
      <c r="AV14">
        <v>430</v>
      </c>
      <c r="AW14">
        <v>430</v>
      </c>
      <c r="AX14">
        <v>562</v>
      </c>
      <c r="BA14">
        <v>1</v>
      </c>
      <c r="BC14" t="s">
        <v>107</v>
      </c>
      <c r="BD14" s="4">
        <v>43283.202986111108</v>
      </c>
      <c r="BE14" s="4">
        <v>43283.218680555554</v>
      </c>
      <c r="BF14" s="4">
        <v>43283.218680555554</v>
      </c>
      <c r="BG14" t="s">
        <v>83</v>
      </c>
      <c r="BH14" t="s">
        <v>84</v>
      </c>
      <c r="BI14" t="s">
        <v>85</v>
      </c>
    </row>
    <row r="15" spans="1:61" x14ac:dyDescent="0.3">
      <c r="A15" t="str">
        <f>"200006C0100"</f>
        <v>200006C0100</v>
      </c>
      <c r="B15" t="s">
        <v>108</v>
      </c>
      <c r="C15">
        <v>20</v>
      </c>
      <c r="D15" t="s">
        <v>79</v>
      </c>
      <c r="E15">
        <v>1</v>
      </c>
      <c r="F15" t="s">
        <v>80</v>
      </c>
      <c r="G15">
        <v>6</v>
      </c>
      <c r="H15">
        <v>1</v>
      </c>
      <c r="I15" t="s">
        <v>89</v>
      </c>
      <c r="J15">
        <v>0</v>
      </c>
      <c r="K15">
        <v>1</v>
      </c>
      <c r="L15">
        <v>2</v>
      </c>
      <c r="M15">
        <v>157</v>
      </c>
      <c r="N15">
        <v>457</v>
      </c>
      <c r="O15">
        <v>0</v>
      </c>
      <c r="P15">
        <v>457</v>
      </c>
      <c r="Q15">
        <v>132</v>
      </c>
      <c r="R15">
        <v>94</v>
      </c>
      <c r="S15">
        <v>6</v>
      </c>
      <c r="T15">
        <v>2</v>
      </c>
      <c r="U15">
        <v>11</v>
      </c>
      <c r="V15">
        <v>7</v>
      </c>
      <c r="W15">
        <v>1</v>
      </c>
      <c r="X15">
        <v>4</v>
      </c>
      <c r="Y15">
        <v>153</v>
      </c>
      <c r="AA15">
        <v>1</v>
      </c>
      <c r="AC15">
        <v>0</v>
      </c>
      <c r="AD15">
        <v>1</v>
      </c>
      <c r="AE15">
        <v>2</v>
      </c>
      <c r="AF15">
        <v>0</v>
      </c>
      <c r="AG15">
        <v>0</v>
      </c>
      <c r="AH15">
        <v>0</v>
      </c>
      <c r="AI15">
        <v>1</v>
      </c>
      <c r="AJ15">
        <v>0</v>
      </c>
      <c r="AT15">
        <v>0</v>
      </c>
      <c r="AU15">
        <v>12</v>
      </c>
      <c r="AV15">
        <v>427</v>
      </c>
      <c r="AW15">
        <v>427</v>
      </c>
      <c r="AX15">
        <v>562</v>
      </c>
      <c r="BA15">
        <v>1</v>
      </c>
      <c r="BC15" t="s">
        <v>109</v>
      </c>
      <c r="BD15" s="4">
        <v>43283.205601851849</v>
      </c>
      <c r="BE15" s="4">
        <v>43283.221388888887</v>
      </c>
      <c r="BF15" s="4">
        <v>43283.221388888887</v>
      </c>
      <c r="BG15" t="s">
        <v>83</v>
      </c>
      <c r="BH15" t="s">
        <v>84</v>
      </c>
      <c r="BI15" t="s">
        <v>85</v>
      </c>
    </row>
    <row r="16" spans="1:61" x14ac:dyDescent="0.3">
      <c r="A16" t="str">
        <f>"200006C0200"</f>
        <v>200006C0200</v>
      </c>
      <c r="B16" t="s">
        <v>110</v>
      </c>
      <c r="C16">
        <v>20</v>
      </c>
      <c r="D16" t="s">
        <v>79</v>
      </c>
      <c r="E16">
        <v>1</v>
      </c>
      <c r="F16" t="s">
        <v>80</v>
      </c>
      <c r="G16">
        <v>6</v>
      </c>
      <c r="H16">
        <v>2</v>
      </c>
      <c r="I16" t="s">
        <v>89</v>
      </c>
      <c r="J16">
        <v>0</v>
      </c>
      <c r="K16">
        <v>1</v>
      </c>
      <c r="L16">
        <v>2</v>
      </c>
      <c r="M16">
        <v>136</v>
      </c>
      <c r="N16">
        <v>447</v>
      </c>
      <c r="O16">
        <v>0</v>
      </c>
      <c r="P16">
        <v>0</v>
      </c>
      <c r="Q16">
        <v>175</v>
      </c>
      <c r="R16">
        <v>69</v>
      </c>
      <c r="S16">
        <v>9</v>
      </c>
      <c r="T16">
        <v>1</v>
      </c>
      <c r="U16">
        <v>8</v>
      </c>
      <c r="V16">
        <v>9</v>
      </c>
      <c r="W16">
        <v>2</v>
      </c>
      <c r="X16">
        <v>0</v>
      </c>
      <c r="Y16">
        <v>145</v>
      </c>
      <c r="AA16">
        <v>1</v>
      </c>
      <c r="AC16">
        <v>1</v>
      </c>
      <c r="AD16">
        <v>2</v>
      </c>
      <c r="AE16">
        <v>1</v>
      </c>
      <c r="AF16">
        <v>0</v>
      </c>
      <c r="AG16">
        <v>0</v>
      </c>
      <c r="AH16">
        <v>2</v>
      </c>
      <c r="AI16">
        <v>0</v>
      </c>
      <c r="AJ16">
        <v>0</v>
      </c>
      <c r="AT16">
        <v>0</v>
      </c>
      <c r="AU16">
        <v>22</v>
      </c>
      <c r="AV16">
        <v>447</v>
      </c>
      <c r="AW16">
        <v>447</v>
      </c>
      <c r="AX16">
        <v>561</v>
      </c>
      <c r="BA16">
        <v>1</v>
      </c>
      <c r="BC16" t="s">
        <v>111</v>
      </c>
      <c r="BD16" s="4">
        <v>43283.207719907405</v>
      </c>
      <c r="BE16" s="4">
        <v>43283.229074074072</v>
      </c>
      <c r="BF16" s="4">
        <v>43283.229074074072</v>
      </c>
      <c r="BG16" t="s">
        <v>83</v>
      </c>
      <c r="BH16" t="s">
        <v>84</v>
      </c>
      <c r="BI16" t="s">
        <v>85</v>
      </c>
    </row>
    <row r="17" spans="1:61" x14ac:dyDescent="0.3">
      <c r="A17" t="str">
        <f>"200007B0100"</f>
        <v>200007B0100</v>
      </c>
      <c r="B17" t="s">
        <v>112</v>
      </c>
      <c r="C17">
        <v>20</v>
      </c>
      <c r="D17" t="s">
        <v>79</v>
      </c>
      <c r="E17">
        <v>1</v>
      </c>
      <c r="F17" t="s">
        <v>80</v>
      </c>
      <c r="G17">
        <v>7</v>
      </c>
      <c r="H17">
        <v>1</v>
      </c>
      <c r="I17" t="s">
        <v>81</v>
      </c>
      <c r="J17">
        <v>0</v>
      </c>
      <c r="K17">
        <v>2</v>
      </c>
      <c r="L17">
        <v>2</v>
      </c>
      <c r="M17">
        <v>105</v>
      </c>
      <c r="N17">
        <v>359</v>
      </c>
      <c r="O17">
        <v>3</v>
      </c>
      <c r="P17">
        <v>359</v>
      </c>
      <c r="Q17">
        <v>147</v>
      </c>
      <c r="R17">
        <v>84</v>
      </c>
      <c r="S17">
        <v>3</v>
      </c>
      <c r="T17">
        <v>3</v>
      </c>
      <c r="U17">
        <v>7</v>
      </c>
      <c r="V17">
        <v>9</v>
      </c>
      <c r="W17">
        <v>0</v>
      </c>
      <c r="X17">
        <v>2</v>
      </c>
      <c r="Y17">
        <v>70</v>
      </c>
      <c r="AA17">
        <v>0</v>
      </c>
      <c r="AC17">
        <v>3</v>
      </c>
      <c r="AD17">
        <v>2</v>
      </c>
      <c r="AE17">
        <v>1</v>
      </c>
      <c r="AF17">
        <v>0</v>
      </c>
      <c r="AG17">
        <v>0</v>
      </c>
      <c r="AH17">
        <v>1</v>
      </c>
      <c r="AI17">
        <v>0</v>
      </c>
      <c r="AJ17">
        <v>0</v>
      </c>
      <c r="AT17">
        <v>0</v>
      </c>
      <c r="AU17">
        <v>23</v>
      </c>
      <c r="AV17">
        <v>356</v>
      </c>
      <c r="AW17">
        <v>355</v>
      </c>
      <c r="AX17">
        <v>442</v>
      </c>
      <c r="BA17">
        <v>1</v>
      </c>
      <c r="BC17" t="s">
        <v>113</v>
      </c>
      <c r="BD17" s="4">
        <v>43283.205775462964</v>
      </c>
      <c r="BE17" s="4">
        <v>43283.221307870372</v>
      </c>
      <c r="BF17" s="4">
        <v>43283.221307870372</v>
      </c>
      <c r="BG17" t="s">
        <v>83</v>
      </c>
      <c r="BH17" t="s">
        <v>84</v>
      </c>
      <c r="BI17" t="s">
        <v>85</v>
      </c>
    </row>
    <row r="18" spans="1:61" x14ac:dyDescent="0.3">
      <c r="A18" t="str">
        <f>"200007C0100"</f>
        <v>200007C0100</v>
      </c>
      <c r="B18" t="s">
        <v>114</v>
      </c>
      <c r="C18">
        <v>20</v>
      </c>
      <c r="D18" t="s">
        <v>79</v>
      </c>
      <c r="E18">
        <v>1</v>
      </c>
      <c r="F18" t="s">
        <v>80</v>
      </c>
      <c r="G18">
        <v>7</v>
      </c>
      <c r="H18">
        <v>1</v>
      </c>
      <c r="I18" t="s">
        <v>89</v>
      </c>
      <c r="J18">
        <v>0</v>
      </c>
      <c r="K18">
        <v>2</v>
      </c>
      <c r="L18">
        <v>2</v>
      </c>
      <c r="M18">
        <v>148</v>
      </c>
      <c r="N18">
        <v>315</v>
      </c>
      <c r="O18">
        <v>3</v>
      </c>
      <c r="P18">
        <v>317</v>
      </c>
      <c r="Q18">
        <v>129</v>
      </c>
      <c r="R18">
        <v>65</v>
      </c>
      <c r="S18">
        <v>5</v>
      </c>
      <c r="T18">
        <v>4</v>
      </c>
      <c r="U18">
        <v>4</v>
      </c>
      <c r="V18">
        <v>8</v>
      </c>
      <c r="W18">
        <v>3</v>
      </c>
      <c r="X18">
        <v>0</v>
      </c>
      <c r="Y18">
        <v>73</v>
      </c>
      <c r="AA18">
        <v>0</v>
      </c>
      <c r="AC18">
        <v>2</v>
      </c>
      <c r="AD18">
        <v>0</v>
      </c>
      <c r="AE18">
        <v>0</v>
      </c>
      <c r="AF18">
        <v>0</v>
      </c>
      <c r="AG18">
        <v>1</v>
      </c>
      <c r="AH18">
        <v>0</v>
      </c>
      <c r="AI18">
        <v>0</v>
      </c>
      <c r="AJ18">
        <v>0</v>
      </c>
      <c r="AT18">
        <v>0</v>
      </c>
      <c r="AU18">
        <v>23</v>
      </c>
      <c r="AV18">
        <v>317</v>
      </c>
      <c r="AW18">
        <v>317</v>
      </c>
      <c r="AX18">
        <v>441</v>
      </c>
      <c r="BA18">
        <v>1</v>
      </c>
      <c r="BC18" s="2" t="s">
        <v>115</v>
      </c>
      <c r="BD18" s="4">
        <v>43283.207453703704</v>
      </c>
      <c r="BE18" s="4">
        <v>43283.222673611112</v>
      </c>
      <c r="BF18" s="4">
        <v>43283.222673611112</v>
      </c>
      <c r="BG18" t="s">
        <v>83</v>
      </c>
      <c r="BH18" t="s">
        <v>84</v>
      </c>
      <c r="BI18" t="s">
        <v>85</v>
      </c>
    </row>
    <row r="19" spans="1:61" x14ac:dyDescent="0.3">
      <c r="A19" t="str">
        <f>"200008B0100"</f>
        <v>200008B0100</v>
      </c>
      <c r="B19" t="s">
        <v>116</v>
      </c>
      <c r="C19">
        <v>20</v>
      </c>
      <c r="D19" t="s">
        <v>79</v>
      </c>
      <c r="E19">
        <v>1</v>
      </c>
      <c r="F19" t="s">
        <v>80</v>
      </c>
      <c r="G19">
        <v>8</v>
      </c>
      <c r="H19">
        <v>1</v>
      </c>
      <c r="I19" t="s">
        <v>81</v>
      </c>
      <c r="J19">
        <v>0</v>
      </c>
      <c r="K19">
        <v>1</v>
      </c>
      <c r="L19">
        <v>2</v>
      </c>
      <c r="M19">
        <v>177</v>
      </c>
      <c r="N19">
        <v>541</v>
      </c>
      <c r="O19">
        <v>2</v>
      </c>
      <c r="P19">
        <v>541</v>
      </c>
      <c r="Q19">
        <v>214</v>
      </c>
      <c r="R19">
        <v>178</v>
      </c>
      <c r="S19">
        <v>4</v>
      </c>
      <c r="T19">
        <v>7</v>
      </c>
      <c r="U19">
        <v>10</v>
      </c>
      <c r="V19">
        <v>1</v>
      </c>
      <c r="W19">
        <v>0</v>
      </c>
      <c r="X19">
        <v>3</v>
      </c>
      <c r="Y19">
        <v>88</v>
      </c>
      <c r="AA19">
        <v>0</v>
      </c>
      <c r="AC19">
        <v>5</v>
      </c>
      <c r="AD19">
        <v>0</v>
      </c>
      <c r="AE19">
        <v>1</v>
      </c>
      <c r="AF19">
        <v>0</v>
      </c>
      <c r="AG19">
        <v>1</v>
      </c>
      <c r="AH19">
        <v>5</v>
      </c>
      <c r="AI19">
        <v>0</v>
      </c>
      <c r="AJ19">
        <v>0</v>
      </c>
      <c r="AT19">
        <v>0</v>
      </c>
      <c r="AU19">
        <v>24</v>
      </c>
      <c r="AV19">
        <v>541</v>
      </c>
      <c r="AW19">
        <v>541</v>
      </c>
      <c r="AX19">
        <v>696</v>
      </c>
      <c r="BA19">
        <v>1</v>
      </c>
      <c r="BC19" t="s">
        <v>117</v>
      </c>
      <c r="BD19" s="4">
        <v>43283.277916666666</v>
      </c>
      <c r="BE19" s="4">
        <v>43283.306458333333</v>
      </c>
      <c r="BF19" s="4">
        <v>43283.306458333333</v>
      </c>
      <c r="BG19" t="s">
        <v>83</v>
      </c>
      <c r="BH19" t="s">
        <v>84</v>
      </c>
      <c r="BI19" t="s">
        <v>85</v>
      </c>
    </row>
    <row r="20" spans="1:61" x14ac:dyDescent="0.3">
      <c r="A20" t="str">
        <f>"200009B0100"</f>
        <v>200009B0100</v>
      </c>
      <c r="B20" t="s">
        <v>118</v>
      </c>
      <c r="C20">
        <v>20</v>
      </c>
      <c r="D20" t="s">
        <v>79</v>
      </c>
      <c r="E20">
        <v>1</v>
      </c>
      <c r="F20" t="s">
        <v>80</v>
      </c>
      <c r="G20">
        <v>9</v>
      </c>
      <c r="H20">
        <v>1</v>
      </c>
      <c r="I20" t="s">
        <v>81</v>
      </c>
      <c r="J20">
        <v>0</v>
      </c>
      <c r="K20">
        <v>2</v>
      </c>
      <c r="L20">
        <v>2</v>
      </c>
      <c r="M20">
        <v>169</v>
      </c>
      <c r="N20">
        <v>523</v>
      </c>
      <c r="O20">
        <v>1</v>
      </c>
      <c r="P20">
        <v>523</v>
      </c>
      <c r="Q20">
        <v>203</v>
      </c>
      <c r="R20">
        <v>177</v>
      </c>
      <c r="S20">
        <v>11</v>
      </c>
      <c r="T20">
        <v>5</v>
      </c>
      <c r="U20">
        <v>3</v>
      </c>
      <c r="V20">
        <v>9</v>
      </c>
      <c r="W20">
        <v>0</v>
      </c>
      <c r="X20">
        <v>1</v>
      </c>
      <c r="Y20">
        <v>96</v>
      </c>
      <c r="AA20">
        <v>0</v>
      </c>
      <c r="AC20">
        <v>0</v>
      </c>
      <c r="AD20">
        <v>2</v>
      </c>
      <c r="AE20">
        <v>0</v>
      </c>
      <c r="AF20">
        <v>0</v>
      </c>
      <c r="AG20">
        <v>1</v>
      </c>
      <c r="AH20">
        <v>2</v>
      </c>
      <c r="AI20">
        <v>0</v>
      </c>
      <c r="AJ20">
        <v>0</v>
      </c>
      <c r="AT20">
        <v>0</v>
      </c>
      <c r="AU20" t="s">
        <v>100</v>
      </c>
      <c r="AV20" t="s">
        <v>100</v>
      </c>
      <c r="AW20">
        <v>510</v>
      </c>
      <c r="AX20">
        <v>670</v>
      </c>
      <c r="AZ20" t="s">
        <v>101</v>
      </c>
      <c r="BA20">
        <v>1</v>
      </c>
      <c r="BC20" t="s">
        <v>119</v>
      </c>
      <c r="BD20" s="4">
        <v>43283.274710648147</v>
      </c>
      <c r="BE20" s="4">
        <v>43283.300451388888</v>
      </c>
      <c r="BF20" s="4">
        <v>43283.300451388888</v>
      </c>
      <c r="BG20" t="s">
        <v>83</v>
      </c>
      <c r="BH20" t="s">
        <v>84</v>
      </c>
      <c r="BI20" t="s">
        <v>85</v>
      </c>
    </row>
    <row r="21" spans="1:61" x14ac:dyDescent="0.3">
      <c r="A21" t="str">
        <f>"200010B0100"</f>
        <v>200010B0100</v>
      </c>
      <c r="B21" t="s">
        <v>120</v>
      </c>
      <c r="C21">
        <v>20</v>
      </c>
      <c r="D21" t="s">
        <v>79</v>
      </c>
      <c r="E21">
        <v>1</v>
      </c>
      <c r="F21" t="s">
        <v>80</v>
      </c>
      <c r="G21">
        <v>10</v>
      </c>
      <c r="H21">
        <v>1</v>
      </c>
      <c r="I21" t="s">
        <v>81</v>
      </c>
      <c r="J21">
        <v>0</v>
      </c>
      <c r="K21">
        <v>1</v>
      </c>
      <c r="L21">
        <v>2</v>
      </c>
      <c r="M21">
        <v>135</v>
      </c>
      <c r="N21">
        <v>481</v>
      </c>
      <c r="O21">
        <v>4</v>
      </c>
      <c r="P21">
        <v>481</v>
      </c>
      <c r="Q21">
        <v>228</v>
      </c>
      <c r="R21">
        <v>143</v>
      </c>
      <c r="S21">
        <v>4</v>
      </c>
      <c r="T21">
        <v>11</v>
      </c>
      <c r="U21">
        <v>9</v>
      </c>
      <c r="V21">
        <v>2</v>
      </c>
      <c r="W21">
        <v>0</v>
      </c>
      <c r="X21">
        <v>3</v>
      </c>
      <c r="Y21">
        <v>53</v>
      </c>
      <c r="AA21">
        <v>0</v>
      </c>
      <c r="AC21">
        <v>5</v>
      </c>
      <c r="AD21">
        <v>3</v>
      </c>
      <c r="AE21">
        <v>1</v>
      </c>
      <c r="AF21">
        <v>0</v>
      </c>
      <c r="AG21">
        <v>2</v>
      </c>
      <c r="AH21">
        <v>7</v>
      </c>
      <c r="AI21">
        <v>0</v>
      </c>
      <c r="AJ21">
        <v>0</v>
      </c>
      <c r="AT21">
        <v>0</v>
      </c>
      <c r="AU21">
        <v>10</v>
      </c>
      <c r="AV21">
        <v>481</v>
      </c>
      <c r="AW21">
        <v>481</v>
      </c>
      <c r="AX21">
        <v>594</v>
      </c>
      <c r="BA21">
        <v>1</v>
      </c>
      <c r="BC21" t="s">
        <v>121</v>
      </c>
      <c r="BD21" s="4">
        <v>43283.275347222225</v>
      </c>
      <c r="BE21" s="4">
        <v>43283.302824074075</v>
      </c>
      <c r="BF21" s="4">
        <v>43283.302824074075</v>
      </c>
      <c r="BG21" t="s">
        <v>83</v>
      </c>
      <c r="BH21" t="s">
        <v>84</v>
      </c>
      <c r="BI21" t="s">
        <v>85</v>
      </c>
    </row>
    <row r="22" spans="1:61" x14ac:dyDescent="0.3">
      <c r="A22" t="str">
        <f>"200010C0100"</f>
        <v>200010C0100</v>
      </c>
      <c r="B22" t="s">
        <v>122</v>
      </c>
      <c r="C22">
        <v>20</v>
      </c>
      <c r="D22" t="s">
        <v>79</v>
      </c>
      <c r="E22">
        <v>1</v>
      </c>
      <c r="F22" t="s">
        <v>80</v>
      </c>
      <c r="G22">
        <v>10</v>
      </c>
      <c r="H22">
        <v>1</v>
      </c>
      <c r="I22" t="s">
        <v>89</v>
      </c>
      <c r="J22">
        <v>0</v>
      </c>
      <c r="K22">
        <v>1</v>
      </c>
      <c r="L22">
        <v>2</v>
      </c>
      <c r="M22">
        <v>136</v>
      </c>
      <c r="N22">
        <v>479</v>
      </c>
      <c r="O22">
        <v>1</v>
      </c>
      <c r="P22">
        <v>479</v>
      </c>
      <c r="Q22">
        <v>246</v>
      </c>
      <c r="R22">
        <v>125</v>
      </c>
      <c r="S22">
        <v>3</v>
      </c>
      <c r="T22">
        <v>14</v>
      </c>
      <c r="U22">
        <v>3</v>
      </c>
      <c r="V22">
        <v>3</v>
      </c>
      <c r="W22">
        <v>0</v>
      </c>
      <c r="X22">
        <v>1</v>
      </c>
      <c r="Y22">
        <v>58</v>
      </c>
      <c r="AA22">
        <v>0</v>
      </c>
      <c r="AC22">
        <v>3</v>
      </c>
      <c r="AD22">
        <v>0</v>
      </c>
      <c r="AE22">
        <v>0</v>
      </c>
      <c r="AF22">
        <v>0</v>
      </c>
      <c r="AG22">
        <v>2</v>
      </c>
      <c r="AH22">
        <v>7</v>
      </c>
      <c r="AI22">
        <v>0</v>
      </c>
      <c r="AJ22">
        <v>0</v>
      </c>
      <c r="AT22">
        <v>0</v>
      </c>
      <c r="AU22">
        <v>14</v>
      </c>
      <c r="AV22">
        <v>479</v>
      </c>
      <c r="AW22">
        <v>479</v>
      </c>
      <c r="AX22">
        <v>593</v>
      </c>
      <c r="BA22">
        <v>1</v>
      </c>
      <c r="BC22" t="s">
        <v>123</v>
      </c>
      <c r="BD22" s="4">
        <v>43283.276597222219</v>
      </c>
      <c r="BE22" s="4">
        <v>43283.305937500001</v>
      </c>
      <c r="BF22" s="4">
        <v>43283.305937500001</v>
      </c>
      <c r="BG22" t="s">
        <v>83</v>
      </c>
      <c r="BH22" t="s">
        <v>84</v>
      </c>
      <c r="BI22" t="s">
        <v>85</v>
      </c>
    </row>
    <row r="23" spans="1:61" x14ac:dyDescent="0.3">
      <c r="A23" t="str">
        <f>"200011B0100"</f>
        <v>200011B0100</v>
      </c>
      <c r="B23" t="s">
        <v>124</v>
      </c>
      <c r="C23">
        <v>20</v>
      </c>
      <c r="D23" t="s">
        <v>79</v>
      </c>
      <c r="E23">
        <v>1</v>
      </c>
      <c r="F23" t="s">
        <v>80</v>
      </c>
      <c r="G23">
        <v>11</v>
      </c>
      <c r="H23">
        <v>1</v>
      </c>
      <c r="I23" t="s">
        <v>81</v>
      </c>
      <c r="J23">
        <v>0</v>
      </c>
      <c r="K23">
        <v>1</v>
      </c>
      <c r="L23">
        <v>2</v>
      </c>
      <c r="M23">
        <v>165</v>
      </c>
      <c r="N23">
        <v>370</v>
      </c>
      <c r="O23">
        <v>5</v>
      </c>
      <c r="P23">
        <v>370</v>
      </c>
      <c r="Q23">
        <v>137</v>
      </c>
      <c r="R23">
        <v>146</v>
      </c>
      <c r="S23">
        <v>4</v>
      </c>
      <c r="T23">
        <v>7</v>
      </c>
      <c r="U23">
        <v>4</v>
      </c>
      <c r="V23">
        <v>2</v>
      </c>
      <c r="W23">
        <v>2</v>
      </c>
      <c r="X23">
        <v>1</v>
      </c>
      <c r="Y23">
        <v>55</v>
      </c>
      <c r="AA23">
        <v>0</v>
      </c>
      <c r="AC23">
        <v>1</v>
      </c>
      <c r="AD23">
        <v>0</v>
      </c>
      <c r="AE23">
        <v>0</v>
      </c>
      <c r="AF23">
        <v>0</v>
      </c>
      <c r="AG23">
        <v>2</v>
      </c>
      <c r="AH23">
        <v>2</v>
      </c>
      <c r="AI23">
        <v>0</v>
      </c>
      <c r="AJ23">
        <v>0</v>
      </c>
      <c r="AT23">
        <v>0</v>
      </c>
      <c r="AU23">
        <v>7</v>
      </c>
      <c r="AV23">
        <v>370</v>
      </c>
      <c r="AW23">
        <v>370</v>
      </c>
      <c r="AX23">
        <v>513</v>
      </c>
      <c r="BA23">
        <v>1</v>
      </c>
      <c r="BC23" t="s">
        <v>125</v>
      </c>
      <c r="BD23" s="4">
        <v>43283.276678240742</v>
      </c>
      <c r="BE23" s="4">
        <v>43283.30228009259</v>
      </c>
      <c r="BF23" s="4">
        <v>43283.30228009259</v>
      </c>
      <c r="BG23" t="s">
        <v>83</v>
      </c>
      <c r="BH23" t="s">
        <v>84</v>
      </c>
      <c r="BI23" t="s">
        <v>85</v>
      </c>
    </row>
    <row r="24" spans="1:61" x14ac:dyDescent="0.3">
      <c r="A24" t="str">
        <f>"200011C0100"</f>
        <v>200011C0100</v>
      </c>
      <c r="B24" t="s">
        <v>126</v>
      </c>
      <c r="C24">
        <v>20</v>
      </c>
      <c r="D24" t="s">
        <v>79</v>
      </c>
      <c r="E24">
        <v>1</v>
      </c>
      <c r="F24" t="s">
        <v>80</v>
      </c>
      <c r="G24">
        <v>11</v>
      </c>
      <c r="H24">
        <v>1</v>
      </c>
      <c r="I24" t="s">
        <v>89</v>
      </c>
      <c r="J24">
        <v>0</v>
      </c>
      <c r="K24">
        <v>1</v>
      </c>
      <c r="L24">
        <v>2</v>
      </c>
      <c r="M24">
        <v>143</v>
      </c>
      <c r="N24" t="s">
        <v>100</v>
      </c>
      <c r="O24">
        <v>5</v>
      </c>
      <c r="P24" t="s">
        <v>100</v>
      </c>
      <c r="Q24">
        <v>169</v>
      </c>
      <c r="R24">
        <v>108</v>
      </c>
      <c r="S24">
        <v>5</v>
      </c>
      <c r="T24">
        <v>8</v>
      </c>
      <c r="U24">
        <v>6</v>
      </c>
      <c r="V24">
        <v>3</v>
      </c>
      <c r="W24">
        <v>0</v>
      </c>
      <c r="X24">
        <v>3</v>
      </c>
      <c r="Y24">
        <v>58</v>
      </c>
      <c r="AA24">
        <v>0</v>
      </c>
      <c r="AC24">
        <v>3</v>
      </c>
      <c r="AD24">
        <v>2</v>
      </c>
      <c r="AE24">
        <v>0</v>
      </c>
      <c r="AF24">
        <v>0</v>
      </c>
      <c r="AG24">
        <v>2</v>
      </c>
      <c r="AH24">
        <v>3</v>
      </c>
      <c r="AI24">
        <v>1</v>
      </c>
      <c r="AJ24">
        <v>0</v>
      </c>
      <c r="AT24">
        <v>0</v>
      </c>
      <c r="AU24">
        <v>22</v>
      </c>
      <c r="AV24">
        <v>393</v>
      </c>
      <c r="AW24">
        <v>393</v>
      </c>
      <c r="AX24">
        <v>513</v>
      </c>
      <c r="BA24">
        <v>1</v>
      </c>
      <c r="BC24" t="s">
        <v>127</v>
      </c>
      <c r="BD24" s="4">
        <v>43283.285451388889</v>
      </c>
      <c r="BE24" s="4">
        <v>43283.311874999999</v>
      </c>
      <c r="BF24" s="4">
        <v>43283.311874999999</v>
      </c>
      <c r="BG24" t="s">
        <v>83</v>
      </c>
      <c r="BH24" t="s">
        <v>84</v>
      </c>
      <c r="BI24" t="s">
        <v>85</v>
      </c>
    </row>
    <row r="25" spans="1:61" x14ac:dyDescent="0.3">
      <c r="A25" t="str">
        <f>"200011C0200"</f>
        <v>200011C0200</v>
      </c>
      <c r="B25" t="s">
        <v>128</v>
      </c>
      <c r="C25">
        <v>20</v>
      </c>
      <c r="D25" t="s">
        <v>79</v>
      </c>
      <c r="E25">
        <v>1</v>
      </c>
      <c r="F25" t="s">
        <v>80</v>
      </c>
      <c r="G25">
        <v>11</v>
      </c>
      <c r="H25">
        <v>2</v>
      </c>
      <c r="I25" t="s">
        <v>89</v>
      </c>
      <c r="J25">
        <v>0</v>
      </c>
      <c r="K25">
        <v>1</v>
      </c>
      <c r="L25">
        <v>2</v>
      </c>
      <c r="M25">
        <v>157</v>
      </c>
      <c r="N25">
        <v>377</v>
      </c>
      <c r="O25">
        <v>3</v>
      </c>
      <c r="P25" t="s">
        <v>100</v>
      </c>
      <c r="Q25">
        <v>179</v>
      </c>
      <c r="R25">
        <v>98</v>
      </c>
      <c r="S25">
        <v>5</v>
      </c>
      <c r="T25">
        <v>5</v>
      </c>
      <c r="U25">
        <v>9</v>
      </c>
      <c r="V25">
        <v>2</v>
      </c>
      <c r="W25">
        <v>0</v>
      </c>
      <c r="X25">
        <v>1</v>
      </c>
      <c r="Y25">
        <v>54</v>
      </c>
      <c r="AA25">
        <v>1</v>
      </c>
      <c r="AC25">
        <v>5</v>
      </c>
      <c r="AD25">
        <v>0</v>
      </c>
      <c r="AE25">
        <v>1</v>
      </c>
      <c r="AF25">
        <v>0</v>
      </c>
      <c r="AG25">
        <v>2</v>
      </c>
      <c r="AH25">
        <v>0</v>
      </c>
      <c r="AI25">
        <v>1</v>
      </c>
      <c r="AJ25">
        <v>0</v>
      </c>
      <c r="AT25">
        <v>0</v>
      </c>
      <c r="AU25">
        <v>14</v>
      </c>
      <c r="AV25">
        <v>377</v>
      </c>
      <c r="AW25">
        <v>377</v>
      </c>
      <c r="AX25">
        <v>512</v>
      </c>
      <c r="BA25">
        <v>1</v>
      </c>
      <c r="BC25" t="s">
        <v>129</v>
      </c>
      <c r="BD25" s="4">
        <v>43283.279224537036</v>
      </c>
      <c r="BE25" s="4">
        <v>43283.31145833333</v>
      </c>
      <c r="BF25" s="4">
        <v>43283.31145833333</v>
      </c>
      <c r="BG25" t="s">
        <v>83</v>
      </c>
      <c r="BH25" t="s">
        <v>84</v>
      </c>
      <c r="BI25" t="s">
        <v>85</v>
      </c>
    </row>
    <row r="26" spans="1:61" x14ac:dyDescent="0.3">
      <c r="A26" t="str">
        <f>"200012B0100"</f>
        <v>200012B0100</v>
      </c>
      <c r="B26" t="s">
        <v>130</v>
      </c>
      <c r="C26">
        <v>20</v>
      </c>
      <c r="D26" t="s">
        <v>79</v>
      </c>
      <c r="E26">
        <v>1</v>
      </c>
      <c r="F26" t="s">
        <v>80</v>
      </c>
      <c r="G26">
        <v>12</v>
      </c>
      <c r="H26">
        <v>1</v>
      </c>
      <c r="I26" t="s">
        <v>81</v>
      </c>
      <c r="J26">
        <v>0</v>
      </c>
      <c r="K26">
        <v>2</v>
      </c>
      <c r="L26">
        <v>2</v>
      </c>
      <c r="M26">
        <v>170</v>
      </c>
      <c r="N26">
        <v>397</v>
      </c>
      <c r="O26">
        <v>4</v>
      </c>
      <c r="P26">
        <v>397</v>
      </c>
      <c r="Q26">
        <v>146</v>
      </c>
      <c r="R26">
        <v>152</v>
      </c>
      <c r="S26">
        <v>4</v>
      </c>
      <c r="T26">
        <v>5</v>
      </c>
      <c r="U26">
        <v>5</v>
      </c>
      <c r="V26">
        <v>3</v>
      </c>
      <c r="W26">
        <v>1</v>
      </c>
      <c r="X26">
        <v>4</v>
      </c>
      <c r="Y26">
        <v>57</v>
      </c>
      <c r="AA26">
        <v>1</v>
      </c>
      <c r="AC26">
        <v>4</v>
      </c>
      <c r="AD26">
        <v>3</v>
      </c>
      <c r="AE26">
        <v>0</v>
      </c>
      <c r="AF26">
        <v>0</v>
      </c>
      <c r="AG26">
        <v>1</v>
      </c>
      <c r="AH26">
        <v>3</v>
      </c>
      <c r="AI26">
        <v>1</v>
      </c>
      <c r="AJ26">
        <v>0</v>
      </c>
      <c r="AT26">
        <v>0</v>
      </c>
      <c r="AU26">
        <v>7</v>
      </c>
      <c r="AV26">
        <v>397</v>
      </c>
      <c r="AW26">
        <v>397</v>
      </c>
      <c r="AX26">
        <v>545</v>
      </c>
      <c r="BA26">
        <v>1</v>
      </c>
      <c r="BC26" t="s">
        <v>131</v>
      </c>
      <c r="BD26" s="4">
        <v>43283.147719907407</v>
      </c>
      <c r="BE26" s="4">
        <v>43283.15420138889</v>
      </c>
      <c r="BF26" s="4">
        <v>43283.15420138889</v>
      </c>
      <c r="BG26" t="s">
        <v>83</v>
      </c>
      <c r="BH26" t="s">
        <v>84</v>
      </c>
      <c r="BI26" t="s">
        <v>85</v>
      </c>
    </row>
    <row r="27" spans="1:61" x14ac:dyDescent="0.3">
      <c r="A27" t="str">
        <f>"200012C0100"</f>
        <v>200012C0100</v>
      </c>
      <c r="B27" t="s">
        <v>132</v>
      </c>
      <c r="C27">
        <v>20</v>
      </c>
      <c r="D27" t="s">
        <v>79</v>
      </c>
      <c r="E27">
        <v>1</v>
      </c>
      <c r="F27" t="s">
        <v>80</v>
      </c>
      <c r="G27">
        <v>12</v>
      </c>
      <c r="H27">
        <v>1</v>
      </c>
      <c r="I27" t="s">
        <v>89</v>
      </c>
      <c r="J27">
        <v>0</v>
      </c>
      <c r="K27">
        <v>2</v>
      </c>
      <c r="L27">
        <v>2</v>
      </c>
      <c r="M27">
        <v>163</v>
      </c>
      <c r="N27">
        <v>404</v>
      </c>
      <c r="O27">
        <v>4</v>
      </c>
      <c r="P27">
        <v>404</v>
      </c>
      <c r="Q27">
        <v>195</v>
      </c>
      <c r="R27">
        <v>100</v>
      </c>
      <c r="S27">
        <v>4</v>
      </c>
      <c r="T27">
        <v>14</v>
      </c>
      <c r="U27">
        <v>4</v>
      </c>
      <c r="V27">
        <v>2</v>
      </c>
      <c r="W27">
        <v>2</v>
      </c>
      <c r="X27">
        <v>1</v>
      </c>
      <c r="Y27">
        <v>55</v>
      </c>
      <c r="AA27">
        <v>2</v>
      </c>
      <c r="AC27">
        <v>2</v>
      </c>
      <c r="AD27">
        <v>1</v>
      </c>
      <c r="AE27">
        <v>1</v>
      </c>
      <c r="AF27">
        <v>0</v>
      </c>
      <c r="AG27">
        <v>1</v>
      </c>
      <c r="AH27">
        <v>1</v>
      </c>
      <c r="AI27">
        <v>1</v>
      </c>
      <c r="AJ27">
        <v>0</v>
      </c>
      <c r="AT27">
        <v>0</v>
      </c>
      <c r="AU27">
        <v>18</v>
      </c>
      <c r="AV27">
        <v>404</v>
      </c>
      <c r="AW27">
        <v>404</v>
      </c>
      <c r="AX27">
        <v>545</v>
      </c>
      <c r="BA27">
        <v>1</v>
      </c>
      <c r="BC27" t="s">
        <v>133</v>
      </c>
      <c r="BD27" s="4">
        <v>43283.149201388886</v>
      </c>
      <c r="BE27" s="4">
        <v>43283.155914351853</v>
      </c>
      <c r="BF27" s="4">
        <v>43283.155914351853</v>
      </c>
      <c r="BG27" t="s">
        <v>83</v>
      </c>
      <c r="BH27" t="s">
        <v>84</v>
      </c>
      <c r="BI27" t="s">
        <v>85</v>
      </c>
    </row>
    <row r="28" spans="1:61" x14ac:dyDescent="0.3">
      <c r="A28" t="str">
        <f>"200012C0200"</f>
        <v>200012C0200</v>
      </c>
      <c r="B28" t="s">
        <v>134</v>
      </c>
      <c r="C28">
        <v>20</v>
      </c>
      <c r="D28" t="s">
        <v>79</v>
      </c>
      <c r="E28">
        <v>1</v>
      </c>
      <c r="F28" t="s">
        <v>80</v>
      </c>
      <c r="G28">
        <v>12</v>
      </c>
      <c r="H28">
        <v>2</v>
      </c>
      <c r="I28" t="s">
        <v>89</v>
      </c>
      <c r="J28">
        <v>0</v>
      </c>
      <c r="K28">
        <v>2</v>
      </c>
      <c r="L28">
        <v>2</v>
      </c>
      <c r="M28">
        <v>170</v>
      </c>
      <c r="N28">
        <v>397</v>
      </c>
      <c r="O28">
        <v>4</v>
      </c>
      <c r="P28">
        <v>396</v>
      </c>
      <c r="Q28">
        <v>168</v>
      </c>
      <c r="R28">
        <v>106</v>
      </c>
      <c r="S28">
        <v>3</v>
      </c>
      <c r="T28">
        <v>7</v>
      </c>
      <c r="U28">
        <v>2</v>
      </c>
      <c r="V28">
        <v>4</v>
      </c>
      <c r="W28">
        <v>0</v>
      </c>
      <c r="X28">
        <v>2</v>
      </c>
      <c r="Y28">
        <v>76</v>
      </c>
      <c r="AA28">
        <v>0</v>
      </c>
      <c r="AC28">
        <v>2</v>
      </c>
      <c r="AD28">
        <v>1</v>
      </c>
      <c r="AE28">
        <v>2</v>
      </c>
      <c r="AF28">
        <v>0</v>
      </c>
      <c r="AG28">
        <v>2</v>
      </c>
      <c r="AH28">
        <v>2</v>
      </c>
      <c r="AI28">
        <v>0</v>
      </c>
      <c r="AJ28">
        <v>0</v>
      </c>
      <c r="AT28">
        <v>0</v>
      </c>
      <c r="AU28">
        <v>19</v>
      </c>
      <c r="AV28">
        <v>396</v>
      </c>
      <c r="AW28">
        <v>396</v>
      </c>
      <c r="AX28">
        <v>545</v>
      </c>
      <c r="BA28">
        <v>1</v>
      </c>
      <c r="BC28" t="s">
        <v>135</v>
      </c>
      <c r="BD28" s="4">
        <v>43283.14702546296</v>
      </c>
      <c r="BE28" s="4">
        <v>43283.152928240743</v>
      </c>
      <c r="BF28" s="4">
        <v>43283.152928240743</v>
      </c>
      <c r="BG28" t="s">
        <v>83</v>
      </c>
      <c r="BH28" t="s">
        <v>84</v>
      </c>
      <c r="BI28" t="s">
        <v>85</v>
      </c>
    </row>
    <row r="29" spans="1:61" x14ac:dyDescent="0.3">
      <c r="A29" t="str">
        <f>"200013B0100"</f>
        <v>200013B0100</v>
      </c>
      <c r="B29" t="s">
        <v>136</v>
      </c>
      <c r="C29">
        <v>20</v>
      </c>
      <c r="D29" t="s">
        <v>79</v>
      </c>
      <c r="E29">
        <v>1</v>
      </c>
      <c r="F29" t="s">
        <v>80</v>
      </c>
      <c r="G29">
        <v>13</v>
      </c>
      <c r="H29">
        <v>1</v>
      </c>
      <c r="I29" t="s">
        <v>81</v>
      </c>
      <c r="J29">
        <v>0</v>
      </c>
      <c r="K29">
        <v>2</v>
      </c>
      <c r="L29">
        <v>2</v>
      </c>
      <c r="M29">
        <v>156</v>
      </c>
      <c r="N29">
        <v>509</v>
      </c>
      <c r="O29">
        <v>0</v>
      </c>
      <c r="P29">
        <v>509</v>
      </c>
      <c r="Q29">
        <v>181</v>
      </c>
      <c r="R29">
        <v>244</v>
      </c>
      <c r="S29">
        <v>5</v>
      </c>
      <c r="T29">
        <v>7</v>
      </c>
      <c r="U29">
        <v>5</v>
      </c>
      <c r="V29">
        <v>6</v>
      </c>
      <c r="W29">
        <v>0</v>
      </c>
      <c r="X29">
        <v>0</v>
      </c>
      <c r="Y29">
        <v>30</v>
      </c>
      <c r="AA29">
        <v>0</v>
      </c>
      <c r="AC29">
        <v>4</v>
      </c>
      <c r="AD29">
        <v>0</v>
      </c>
      <c r="AE29">
        <v>4</v>
      </c>
      <c r="AF29">
        <v>0</v>
      </c>
      <c r="AG29">
        <v>0</v>
      </c>
      <c r="AH29">
        <v>2</v>
      </c>
      <c r="AI29">
        <v>0</v>
      </c>
      <c r="AJ29">
        <v>0</v>
      </c>
      <c r="AT29">
        <v>0</v>
      </c>
      <c r="AU29">
        <v>21</v>
      </c>
      <c r="AV29">
        <v>509</v>
      </c>
      <c r="AW29">
        <v>509</v>
      </c>
      <c r="AX29">
        <v>643</v>
      </c>
      <c r="BA29">
        <v>1</v>
      </c>
      <c r="BC29" t="s">
        <v>137</v>
      </c>
      <c r="BD29" s="4">
        <v>43283.170543981483</v>
      </c>
      <c r="BE29" s="4">
        <v>43283.182106481479</v>
      </c>
      <c r="BF29" s="4">
        <v>43283.182106481479</v>
      </c>
      <c r="BG29" t="s">
        <v>83</v>
      </c>
      <c r="BH29" t="s">
        <v>84</v>
      </c>
      <c r="BI29" t="s">
        <v>85</v>
      </c>
    </row>
    <row r="30" spans="1:61" x14ac:dyDescent="0.3">
      <c r="A30" t="str">
        <f>"200014B0100"</f>
        <v>200014B0100</v>
      </c>
      <c r="B30" t="s">
        <v>138</v>
      </c>
      <c r="C30">
        <v>20</v>
      </c>
      <c r="D30" t="s">
        <v>79</v>
      </c>
      <c r="E30">
        <v>1</v>
      </c>
      <c r="F30" t="s">
        <v>80</v>
      </c>
      <c r="G30">
        <v>14</v>
      </c>
      <c r="H30">
        <v>1</v>
      </c>
      <c r="I30" t="s">
        <v>81</v>
      </c>
      <c r="J30">
        <v>0</v>
      </c>
      <c r="K30">
        <v>2</v>
      </c>
      <c r="L30">
        <v>2</v>
      </c>
      <c r="M30">
        <v>97</v>
      </c>
      <c r="N30">
        <v>326</v>
      </c>
      <c r="O30">
        <v>0</v>
      </c>
      <c r="P30">
        <v>326</v>
      </c>
      <c r="Q30">
        <v>101</v>
      </c>
      <c r="R30">
        <v>164</v>
      </c>
      <c r="S30">
        <v>5</v>
      </c>
      <c r="T30">
        <v>6</v>
      </c>
      <c r="U30">
        <v>1</v>
      </c>
      <c r="V30">
        <v>4</v>
      </c>
      <c r="W30">
        <v>1</v>
      </c>
      <c r="X30">
        <v>1</v>
      </c>
      <c r="Y30">
        <v>20</v>
      </c>
      <c r="AA30">
        <v>0</v>
      </c>
      <c r="AC30">
        <v>0</v>
      </c>
      <c r="AD30">
        <v>1</v>
      </c>
      <c r="AE30">
        <v>1</v>
      </c>
      <c r="AF30">
        <v>0</v>
      </c>
      <c r="AG30">
        <v>1</v>
      </c>
      <c r="AH30">
        <v>6</v>
      </c>
      <c r="AI30">
        <v>1</v>
      </c>
      <c r="AJ30">
        <v>0</v>
      </c>
      <c r="AT30">
        <v>0</v>
      </c>
      <c r="AU30">
        <v>13</v>
      </c>
      <c r="AV30">
        <v>326</v>
      </c>
      <c r="AW30">
        <v>326</v>
      </c>
      <c r="AX30">
        <v>401</v>
      </c>
      <c r="BA30">
        <v>1</v>
      </c>
      <c r="BC30" t="s">
        <v>139</v>
      </c>
      <c r="BD30" s="4">
        <v>43283.184733796297</v>
      </c>
      <c r="BE30" s="4">
        <v>43283.201041666667</v>
      </c>
      <c r="BF30" s="4">
        <v>43283.201041666667</v>
      </c>
      <c r="BG30" t="s">
        <v>83</v>
      </c>
      <c r="BH30" t="s">
        <v>84</v>
      </c>
      <c r="BI30" t="s">
        <v>85</v>
      </c>
    </row>
    <row r="31" spans="1:61" x14ac:dyDescent="0.3">
      <c r="A31" t="str">
        <f>"200014C0100"</f>
        <v>200014C0100</v>
      </c>
      <c r="B31" t="s">
        <v>140</v>
      </c>
      <c r="C31">
        <v>20</v>
      </c>
      <c r="D31" t="s">
        <v>79</v>
      </c>
      <c r="E31">
        <v>1</v>
      </c>
      <c r="F31" t="s">
        <v>80</v>
      </c>
      <c r="G31">
        <v>14</v>
      </c>
      <c r="H31">
        <v>1</v>
      </c>
      <c r="I31" t="s">
        <v>89</v>
      </c>
      <c r="J31">
        <v>0</v>
      </c>
      <c r="K31">
        <v>2</v>
      </c>
      <c r="L31">
        <v>2</v>
      </c>
      <c r="M31">
        <v>89</v>
      </c>
      <c r="N31">
        <v>334</v>
      </c>
      <c r="O31">
        <v>0</v>
      </c>
      <c r="P31">
        <v>334</v>
      </c>
      <c r="Q31">
        <v>104</v>
      </c>
      <c r="R31">
        <v>183</v>
      </c>
      <c r="S31">
        <v>4</v>
      </c>
      <c r="T31">
        <v>2</v>
      </c>
      <c r="U31">
        <v>3</v>
      </c>
      <c r="V31">
        <v>3</v>
      </c>
      <c r="W31">
        <v>0</v>
      </c>
      <c r="X31">
        <v>4</v>
      </c>
      <c r="Y31">
        <v>10</v>
      </c>
      <c r="AA31">
        <v>1</v>
      </c>
      <c r="AC31">
        <v>2</v>
      </c>
      <c r="AD31">
        <v>0</v>
      </c>
      <c r="AE31">
        <v>0</v>
      </c>
      <c r="AF31">
        <v>0</v>
      </c>
      <c r="AG31">
        <v>2</v>
      </c>
      <c r="AH31">
        <v>2</v>
      </c>
      <c r="AI31">
        <v>0</v>
      </c>
      <c r="AJ31">
        <v>0</v>
      </c>
      <c r="AT31">
        <v>0</v>
      </c>
      <c r="AU31">
        <v>15</v>
      </c>
      <c r="AV31">
        <v>334</v>
      </c>
      <c r="AW31">
        <v>335</v>
      </c>
      <c r="AX31">
        <v>401</v>
      </c>
      <c r="BA31">
        <v>1</v>
      </c>
      <c r="BC31" t="s">
        <v>141</v>
      </c>
      <c r="BD31" s="4">
        <v>43283.185081018521</v>
      </c>
      <c r="BE31" s="4">
        <v>43283.202037037037</v>
      </c>
      <c r="BF31" s="4">
        <v>43283.202037037037</v>
      </c>
      <c r="BG31" t="s">
        <v>83</v>
      </c>
      <c r="BH31" t="s">
        <v>84</v>
      </c>
      <c r="BI31" t="s">
        <v>85</v>
      </c>
    </row>
    <row r="32" spans="1:61" x14ac:dyDescent="0.3">
      <c r="A32" t="str">
        <f>"200015B0100"</f>
        <v>200015B0100</v>
      </c>
      <c r="B32" t="s">
        <v>142</v>
      </c>
      <c r="C32">
        <v>20</v>
      </c>
      <c r="D32" t="s">
        <v>79</v>
      </c>
      <c r="E32">
        <v>1</v>
      </c>
      <c r="F32" t="s">
        <v>80</v>
      </c>
      <c r="G32">
        <v>15</v>
      </c>
      <c r="H32">
        <v>1</v>
      </c>
      <c r="I32" t="s">
        <v>81</v>
      </c>
      <c r="J32">
        <v>0</v>
      </c>
      <c r="K32">
        <v>2</v>
      </c>
      <c r="L32">
        <v>2</v>
      </c>
      <c r="M32">
        <v>86</v>
      </c>
      <c r="N32">
        <v>381</v>
      </c>
      <c r="O32">
        <v>3</v>
      </c>
      <c r="P32">
        <v>0</v>
      </c>
      <c r="Q32">
        <v>236</v>
      </c>
      <c r="R32">
        <v>74</v>
      </c>
      <c r="S32">
        <v>3</v>
      </c>
      <c r="T32">
        <v>6</v>
      </c>
      <c r="U32">
        <v>1</v>
      </c>
      <c r="V32">
        <v>6</v>
      </c>
      <c r="W32">
        <v>1</v>
      </c>
      <c r="X32">
        <v>3</v>
      </c>
      <c r="Y32">
        <v>28</v>
      </c>
      <c r="AA32">
        <v>0</v>
      </c>
      <c r="AC32">
        <v>1</v>
      </c>
      <c r="AD32">
        <v>2</v>
      </c>
      <c r="AE32">
        <v>1</v>
      </c>
      <c r="AF32">
        <v>0</v>
      </c>
      <c r="AG32">
        <v>1</v>
      </c>
      <c r="AH32">
        <v>1</v>
      </c>
      <c r="AI32">
        <v>0</v>
      </c>
      <c r="AJ32">
        <v>0</v>
      </c>
      <c r="AT32">
        <v>0</v>
      </c>
      <c r="AU32">
        <v>17</v>
      </c>
      <c r="AV32">
        <v>381</v>
      </c>
      <c r="AW32">
        <v>381</v>
      </c>
      <c r="AX32">
        <v>445</v>
      </c>
      <c r="BA32">
        <v>1</v>
      </c>
      <c r="BC32" s="2" t="s">
        <v>143</v>
      </c>
      <c r="BD32" s="4">
        <v>43283.14371527778</v>
      </c>
      <c r="BE32" s="4">
        <v>43283.14770833333</v>
      </c>
      <c r="BF32" s="4">
        <v>43283.14770833333</v>
      </c>
      <c r="BG32" t="s">
        <v>83</v>
      </c>
      <c r="BH32" t="s">
        <v>84</v>
      </c>
      <c r="BI32" t="s">
        <v>85</v>
      </c>
    </row>
    <row r="33" spans="1:61" x14ac:dyDescent="0.3">
      <c r="A33" t="str">
        <f>"200015E0100"</f>
        <v>200015E0100</v>
      </c>
      <c r="B33" s="2" t="s">
        <v>144</v>
      </c>
      <c r="C33">
        <v>20</v>
      </c>
      <c r="D33" t="s">
        <v>79</v>
      </c>
      <c r="E33">
        <v>1</v>
      </c>
      <c r="F33" t="s">
        <v>80</v>
      </c>
      <c r="G33">
        <v>15</v>
      </c>
      <c r="H33">
        <v>1</v>
      </c>
      <c r="I33" t="s">
        <v>145</v>
      </c>
      <c r="J33">
        <v>0</v>
      </c>
      <c r="K33">
        <v>2</v>
      </c>
      <c r="L33">
        <v>2</v>
      </c>
      <c r="M33">
        <v>93</v>
      </c>
      <c r="N33">
        <v>269</v>
      </c>
      <c r="O33">
        <v>2</v>
      </c>
      <c r="P33">
        <v>269</v>
      </c>
      <c r="Q33">
        <v>123</v>
      </c>
      <c r="R33">
        <v>61</v>
      </c>
      <c r="S33">
        <v>0</v>
      </c>
      <c r="T33">
        <v>0</v>
      </c>
      <c r="U33">
        <v>7</v>
      </c>
      <c r="V33">
        <v>5</v>
      </c>
      <c r="W33">
        <v>0</v>
      </c>
      <c r="X33">
        <v>3</v>
      </c>
      <c r="Y33">
        <v>55</v>
      </c>
      <c r="AA33">
        <v>0</v>
      </c>
      <c r="AC33">
        <v>0</v>
      </c>
      <c r="AD33">
        <v>1</v>
      </c>
      <c r="AE33">
        <v>0</v>
      </c>
      <c r="AF33">
        <v>0</v>
      </c>
      <c r="AG33">
        <v>2</v>
      </c>
      <c r="AH33">
        <v>2</v>
      </c>
      <c r="AI33">
        <v>0</v>
      </c>
      <c r="AJ33">
        <v>0</v>
      </c>
      <c r="AT33">
        <v>0</v>
      </c>
      <c r="AU33">
        <v>10</v>
      </c>
      <c r="AV33">
        <v>269</v>
      </c>
      <c r="AW33">
        <v>269</v>
      </c>
      <c r="AX33">
        <v>340</v>
      </c>
      <c r="BA33">
        <v>1</v>
      </c>
      <c r="BC33" t="s">
        <v>146</v>
      </c>
      <c r="BD33" s="4">
        <v>43283.26394675926</v>
      </c>
      <c r="BE33" s="4">
        <v>43283.288888888892</v>
      </c>
      <c r="BF33" s="4">
        <v>43283.288888888892</v>
      </c>
      <c r="BG33" t="s">
        <v>83</v>
      </c>
      <c r="BH33" t="s">
        <v>84</v>
      </c>
      <c r="BI33" t="s">
        <v>85</v>
      </c>
    </row>
    <row r="34" spans="1:61" x14ac:dyDescent="0.3">
      <c r="A34" t="str">
        <f>"200016B0100"</f>
        <v>200016B0100</v>
      </c>
      <c r="B34" t="s">
        <v>147</v>
      </c>
      <c r="C34">
        <v>20</v>
      </c>
      <c r="D34" t="s">
        <v>79</v>
      </c>
      <c r="E34">
        <v>1</v>
      </c>
      <c r="F34" t="s">
        <v>80</v>
      </c>
      <c r="G34">
        <v>16</v>
      </c>
      <c r="H34">
        <v>1</v>
      </c>
      <c r="I34" t="s">
        <v>81</v>
      </c>
      <c r="J34">
        <v>0</v>
      </c>
      <c r="K34">
        <v>2</v>
      </c>
      <c r="L34">
        <v>2</v>
      </c>
      <c r="M34">
        <v>102</v>
      </c>
      <c r="N34">
        <v>254</v>
      </c>
      <c r="O34">
        <v>1</v>
      </c>
      <c r="P34">
        <v>254</v>
      </c>
      <c r="Q34">
        <v>86</v>
      </c>
      <c r="R34">
        <v>100</v>
      </c>
      <c r="S34">
        <v>3</v>
      </c>
      <c r="T34">
        <v>3</v>
      </c>
      <c r="U34">
        <v>1</v>
      </c>
      <c r="V34">
        <v>3</v>
      </c>
      <c r="W34">
        <v>1</v>
      </c>
      <c r="X34">
        <v>1</v>
      </c>
      <c r="Y34">
        <v>47</v>
      </c>
      <c r="AA34">
        <v>0</v>
      </c>
      <c r="AC34">
        <v>1</v>
      </c>
      <c r="AD34">
        <v>0</v>
      </c>
      <c r="AE34">
        <v>0</v>
      </c>
      <c r="AF34">
        <v>0</v>
      </c>
      <c r="AG34">
        <v>1</v>
      </c>
      <c r="AH34">
        <v>3</v>
      </c>
      <c r="AI34">
        <v>0</v>
      </c>
      <c r="AJ34">
        <v>0</v>
      </c>
      <c r="AT34">
        <v>0</v>
      </c>
      <c r="AU34">
        <v>4</v>
      </c>
      <c r="AV34">
        <v>254</v>
      </c>
      <c r="AW34">
        <v>254</v>
      </c>
      <c r="AX34">
        <v>334</v>
      </c>
      <c r="BA34">
        <v>1</v>
      </c>
      <c r="BC34" t="s">
        <v>148</v>
      </c>
      <c r="BD34" s="4">
        <v>43283.266261574077</v>
      </c>
      <c r="BE34" s="4">
        <v>43283.291041666664</v>
      </c>
      <c r="BF34" s="4">
        <v>43283.291041666664</v>
      </c>
      <c r="BG34" t="s">
        <v>83</v>
      </c>
      <c r="BH34" t="s">
        <v>84</v>
      </c>
      <c r="BI34" t="s">
        <v>85</v>
      </c>
    </row>
    <row r="35" spans="1:61" x14ac:dyDescent="0.3">
      <c r="A35" t="str">
        <f>"200017B0100"</f>
        <v>200017B0100</v>
      </c>
      <c r="B35" t="s">
        <v>149</v>
      </c>
      <c r="C35">
        <v>20</v>
      </c>
      <c r="D35" t="s">
        <v>79</v>
      </c>
      <c r="E35">
        <v>1</v>
      </c>
      <c r="F35" t="s">
        <v>80</v>
      </c>
      <c r="G35">
        <v>17</v>
      </c>
      <c r="H35">
        <v>1</v>
      </c>
      <c r="I35" t="s">
        <v>81</v>
      </c>
      <c r="J35">
        <v>0</v>
      </c>
      <c r="K35">
        <v>2</v>
      </c>
      <c r="L35">
        <v>2</v>
      </c>
      <c r="M35">
        <v>165</v>
      </c>
      <c r="N35">
        <v>456</v>
      </c>
      <c r="O35">
        <v>0</v>
      </c>
      <c r="P35">
        <v>456</v>
      </c>
      <c r="Q35">
        <v>173</v>
      </c>
      <c r="R35">
        <v>158</v>
      </c>
      <c r="S35">
        <v>4</v>
      </c>
      <c r="T35">
        <v>3</v>
      </c>
      <c r="U35">
        <v>2</v>
      </c>
      <c r="V35">
        <v>8</v>
      </c>
      <c r="W35">
        <v>0</v>
      </c>
      <c r="X35">
        <v>4</v>
      </c>
      <c r="Y35">
        <v>85</v>
      </c>
      <c r="AA35">
        <v>0</v>
      </c>
      <c r="AC35">
        <v>1</v>
      </c>
      <c r="AD35">
        <v>0</v>
      </c>
      <c r="AE35">
        <v>0</v>
      </c>
      <c r="AF35">
        <v>0</v>
      </c>
      <c r="AG35">
        <v>2</v>
      </c>
      <c r="AH35">
        <v>3</v>
      </c>
      <c r="AI35">
        <v>0</v>
      </c>
      <c r="AJ35">
        <v>0</v>
      </c>
      <c r="AT35">
        <v>0</v>
      </c>
      <c r="AU35">
        <v>13</v>
      </c>
      <c r="AV35">
        <v>456</v>
      </c>
      <c r="AW35">
        <v>456</v>
      </c>
      <c r="AX35">
        <v>599</v>
      </c>
      <c r="BA35">
        <v>1</v>
      </c>
      <c r="BC35" t="s">
        <v>150</v>
      </c>
      <c r="BD35" s="4">
        <v>43283.269004629627</v>
      </c>
      <c r="BE35" s="4">
        <v>43283.293842592589</v>
      </c>
      <c r="BF35" s="4">
        <v>43283.293842592589</v>
      </c>
      <c r="BG35" t="s">
        <v>83</v>
      </c>
      <c r="BH35" t="s">
        <v>84</v>
      </c>
      <c r="BI35" t="s">
        <v>85</v>
      </c>
    </row>
    <row r="36" spans="1:61" x14ac:dyDescent="0.3">
      <c r="A36" t="str">
        <f>"200017C0100"</f>
        <v>200017C0100</v>
      </c>
      <c r="B36" t="s">
        <v>151</v>
      </c>
      <c r="C36">
        <v>20</v>
      </c>
      <c r="D36" t="s">
        <v>79</v>
      </c>
      <c r="E36">
        <v>1</v>
      </c>
      <c r="F36" t="s">
        <v>80</v>
      </c>
      <c r="G36">
        <v>17</v>
      </c>
      <c r="H36">
        <v>1</v>
      </c>
      <c r="I36" t="s">
        <v>89</v>
      </c>
      <c r="J36">
        <v>0</v>
      </c>
      <c r="K36">
        <v>2</v>
      </c>
      <c r="L36">
        <v>2</v>
      </c>
      <c r="M36">
        <v>144</v>
      </c>
      <c r="N36">
        <v>476</v>
      </c>
      <c r="O36">
        <v>0</v>
      </c>
      <c r="P36">
        <v>476</v>
      </c>
      <c r="Q36">
        <v>199</v>
      </c>
      <c r="R36">
        <v>162</v>
      </c>
      <c r="S36">
        <v>5</v>
      </c>
      <c r="T36">
        <v>3</v>
      </c>
      <c r="U36">
        <v>6</v>
      </c>
      <c r="V36">
        <v>5</v>
      </c>
      <c r="W36">
        <v>2</v>
      </c>
      <c r="X36">
        <v>1</v>
      </c>
      <c r="Y36">
        <v>70</v>
      </c>
      <c r="AA36">
        <v>0</v>
      </c>
      <c r="AC36">
        <v>1</v>
      </c>
      <c r="AD36">
        <v>1</v>
      </c>
      <c r="AE36">
        <v>1</v>
      </c>
      <c r="AF36">
        <v>0</v>
      </c>
      <c r="AG36">
        <v>0</v>
      </c>
      <c r="AH36">
        <v>4</v>
      </c>
      <c r="AI36">
        <v>0</v>
      </c>
      <c r="AJ36">
        <v>0</v>
      </c>
      <c r="AT36">
        <v>0</v>
      </c>
      <c r="AU36">
        <v>17</v>
      </c>
      <c r="AV36">
        <v>476</v>
      </c>
      <c r="AW36">
        <v>477</v>
      </c>
      <c r="AX36">
        <v>599</v>
      </c>
      <c r="BA36">
        <v>1</v>
      </c>
      <c r="BC36" t="s">
        <v>152</v>
      </c>
      <c r="BD36" s="4">
        <v>43283.270138888889</v>
      </c>
      <c r="BE36" s="4">
        <v>43283.294710648152</v>
      </c>
      <c r="BF36" s="4">
        <v>43283.294710648152</v>
      </c>
      <c r="BG36" t="s">
        <v>83</v>
      </c>
      <c r="BH36" t="s">
        <v>84</v>
      </c>
      <c r="BI36" t="s">
        <v>85</v>
      </c>
    </row>
    <row r="37" spans="1:61" x14ac:dyDescent="0.3">
      <c r="A37" t="str">
        <f>"200018B0100"</f>
        <v>200018B0100</v>
      </c>
      <c r="B37" t="s">
        <v>153</v>
      </c>
      <c r="C37">
        <v>20</v>
      </c>
      <c r="D37" t="s">
        <v>79</v>
      </c>
      <c r="E37">
        <v>1</v>
      </c>
      <c r="F37" t="s">
        <v>80</v>
      </c>
      <c r="G37">
        <v>18</v>
      </c>
      <c r="H37">
        <v>1</v>
      </c>
      <c r="I37" t="s">
        <v>81</v>
      </c>
      <c r="J37">
        <v>0</v>
      </c>
      <c r="K37">
        <v>2</v>
      </c>
      <c r="L37">
        <v>2</v>
      </c>
      <c r="M37">
        <v>95</v>
      </c>
      <c r="N37">
        <v>353</v>
      </c>
      <c r="O37">
        <v>0</v>
      </c>
      <c r="P37">
        <v>353</v>
      </c>
      <c r="Q37">
        <v>194</v>
      </c>
      <c r="R37">
        <v>87</v>
      </c>
      <c r="S37">
        <v>0</v>
      </c>
      <c r="T37">
        <v>0</v>
      </c>
      <c r="U37">
        <v>3</v>
      </c>
      <c r="V37">
        <v>0</v>
      </c>
      <c r="W37">
        <v>0</v>
      </c>
      <c r="X37">
        <v>0</v>
      </c>
      <c r="Y37">
        <v>57</v>
      </c>
      <c r="AA37">
        <v>1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T37">
        <v>0</v>
      </c>
      <c r="AU37">
        <v>11</v>
      </c>
      <c r="AV37">
        <v>353</v>
      </c>
      <c r="AW37">
        <v>353</v>
      </c>
      <c r="AX37">
        <v>426</v>
      </c>
      <c r="BA37">
        <v>1</v>
      </c>
      <c r="BC37" t="s">
        <v>154</v>
      </c>
      <c r="BD37" s="4">
        <v>43283.154363425929</v>
      </c>
      <c r="BE37" s="4">
        <v>43283.162905092591</v>
      </c>
      <c r="BF37" s="4">
        <v>43283.162905092591</v>
      </c>
      <c r="BG37" t="s">
        <v>83</v>
      </c>
      <c r="BH37" t="s">
        <v>84</v>
      </c>
      <c r="BI37" t="s">
        <v>85</v>
      </c>
    </row>
    <row r="38" spans="1:61" x14ac:dyDescent="0.3">
      <c r="A38" t="str">
        <f>"200019B0100"</f>
        <v>200019B0100</v>
      </c>
      <c r="B38" t="s">
        <v>155</v>
      </c>
      <c r="C38">
        <v>20</v>
      </c>
      <c r="D38" t="s">
        <v>79</v>
      </c>
      <c r="E38">
        <v>1</v>
      </c>
      <c r="F38" t="s">
        <v>80</v>
      </c>
      <c r="G38">
        <v>19</v>
      </c>
      <c r="H38">
        <v>1</v>
      </c>
      <c r="I38" t="s">
        <v>81</v>
      </c>
      <c r="J38">
        <v>0</v>
      </c>
      <c r="K38">
        <v>1</v>
      </c>
      <c r="L38">
        <v>2</v>
      </c>
      <c r="AX38">
        <v>557</v>
      </c>
      <c r="AZ38" t="s">
        <v>156</v>
      </c>
      <c r="BA38">
        <v>0</v>
      </c>
      <c r="BC38" t="s">
        <v>157</v>
      </c>
      <c r="BD38" s="4">
        <v>43283.812488425923</v>
      </c>
      <c r="BE38" s="4">
        <v>43283.813946759263</v>
      </c>
      <c r="BF38" s="4">
        <v>43283.813946759263</v>
      </c>
      <c r="BG38" t="s">
        <v>83</v>
      </c>
      <c r="BH38" t="s">
        <v>84</v>
      </c>
      <c r="BI38" t="s">
        <v>85</v>
      </c>
    </row>
    <row r="39" spans="1:61" x14ac:dyDescent="0.3">
      <c r="A39" t="str">
        <f>"200020B0100"</f>
        <v>200020B0100</v>
      </c>
      <c r="B39" t="s">
        <v>158</v>
      </c>
      <c r="C39">
        <v>20</v>
      </c>
      <c r="D39" t="s">
        <v>79</v>
      </c>
      <c r="E39">
        <v>1</v>
      </c>
      <c r="F39" t="s">
        <v>80</v>
      </c>
      <c r="G39">
        <v>20</v>
      </c>
      <c r="H39">
        <v>1</v>
      </c>
      <c r="I39" t="s">
        <v>81</v>
      </c>
      <c r="J39">
        <v>0</v>
      </c>
      <c r="K39">
        <v>2</v>
      </c>
      <c r="L39">
        <v>2</v>
      </c>
      <c r="M39">
        <v>149</v>
      </c>
      <c r="N39">
        <v>545</v>
      </c>
      <c r="O39">
        <v>0</v>
      </c>
      <c r="P39">
        <v>545</v>
      </c>
      <c r="Q39">
        <v>243</v>
      </c>
      <c r="R39">
        <v>122</v>
      </c>
      <c r="S39">
        <v>5</v>
      </c>
      <c r="T39">
        <v>27</v>
      </c>
      <c r="U39">
        <v>11</v>
      </c>
      <c r="V39">
        <v>9</v>
      </c>
      <c r="W39">
        <v>1</v>
      </c>
      <c r="X39">
        <v>0</v>
      </c>
      <c r="Y39">
        <v>98</v>
      </c>
      <c r="AA39">
        <v>1</v>
      </c>
      <c r="AC39">
        <v>3</v>
      </c>
      <c r="AD39">
        <v>3</v>
      </c>
      <c r="AE39">
        <v>1</v>
      </c>
      <c r="AF39">
        <v>0</v>
      </c>
      <c r="AG39">
        <v>0</v>
      </c>
      <c r="AH39">
        <v>2</v>
      </c>
      <c r="AI39">
        <v>0</v>
      </c>
      <c r="AJ39">
        <v>0</v>
      </c>
      <c r="AT39">
        <v>0</v>
      </c>
      <c r="AU39">
        <v>19</v>
      </c>
      <c r="AV39">
        <v>545</v>
      </c>
      <c r="AW39">
        <v>545</v>
      </c>
      <c r="AX39">
        <v>672</v>
      </c>
      <c r="BA39">
        <v>1</v>
      </c>
      <c r="BC39" t="s">
        <v>159</v>
      </c>
      <c r="BD39" s="4">
        <v>43283.2033912037</v>
      </c>
      <c r="BE39" s="4">
        <v>43283.218368055554</v>
      </c>
      <c r="BF39" s="4">
        <v>43283.218368055554</v>
      </c>
      <c r="BG39" t="s">
        <v>83</v>
      </c>
      <c r="BH39" t="s">
        <v>84</v>
      </c>
      <c r="BI39" t="s">
        <v>85</v>
      </c>
    </row>
    <row r="40" spans="1:61" x14ac:dyDescent="0.3">
      <c r="A40" t="str">
        <f>"200021B0100"</f>
        <v>200021B0100</v>
      </c>
      <c r="B40" t="s">
        <v>160</v>
      </c>
      <c r="C40">
        <v>20</v>
      </c>
      <c r="D40" t="s">
        <v>79</v>
      </c>
      <c r="E40">
        <v>1</v>
      </c>
      <c r="F40" t="s">
        <v>80</v>
      </c>
      <c r="G40">
        <v>21</v>
      </c>
      <c r="H40">
        <v>1</v>
      </c>
      <c r="I40" t="s">
        <v>81</v>
      </c>
      <c r="J40">
        <v>0</v>
      </c>
      <c r="K40">
        <v>2</v>
      </c>
      <c r="L40">
        <v>2</v>
      </c>
      <c r="M40" t="s">
        <v>100</v>
      </c>
      <c r="N40" t="s">
        <v>100</v>
      </c>
      <c r="O40" t="s">
        <v>100</v>
      </c>
      <c r="P40" t="s">
        <v>100</v>
      </c>
      <c r="Q40">
        <v>145</v>
      </c>
      <c r="R40">
        <v>133</v>
      </c>
      <c r="S40">
        <v>6</v>
      </c>
      <c r="T40">
        <v>67</v>
      </c>
      <c r="U40">
        <v>7</v>
      </c>
      <c r="V40">
        <v>4</v>
      </c>
      <c r="W40">
        <v>1</v>
      </c>
      <c r="X40">
        <v>4</v>
      </c>
      <c r="Y40">
        <v>129</v>
      </c>
      <c r="AA40">
        <v>1</v>
      </c>
      <c r="AC40">
        <v>0</v>
      </c>
      <c r="AD40">
        <v>1</v>
      </c>
      <c r="AE40">
        <v>1</v>
      </c>
      <c r="AF40">
        <v>0</v>
      </c>
      <c r="AG40">
        <v>2</v>
      </c>
      <c r="AH40">
        <v>6</v>
      </c>
      <c r="AI40">
        <v>0</v>
      </c>
      <c r="AJ40">
        <v>0</v>
      </c>
      <c r="AT40" t="s">
        <v>100</v>
      </c>
      <c r="AU40">
        <v>10</v>
      </c>
      <c r="AV40" t="s">
        <v>100</v>
      </c>
      <c r="AW40">
        <v>517</v>
      </c>
      <c r="AX40">
        <v>623</v>
      </c>
      <c r="AZ40" t="s">
        <v>101</v>
      </c>
      <c r="BA40">
        <v>1</v>
      </c>
      <c r="BC40" t="s">
        <v>161</v>
      </c>
      <c r="BD40" s="4">
        <v>43283.321157407408</v>
      </c>
      <c r="BE40" s="4">
        <v>43283.344305555554</v>
      </c>
      <c r="BF40" s="4">
        <v>43283.344305555554</v>
      </c>
      <c r="BG40" t="s">
        <v>83</v>
      </c>
      <c r="BH40" t="s">
        <v>84</v>
      </c>
      <c r="BI40" t="s">
        <v>85</v>
      </c>
    </row>
    <row r="41" spans="1:61" x14ac:dyDescent="0.3">
      <c r="A41" t="str">
        <f>"200021E0100"</f>
        <v>200021E0100</v>
      </c>
      <c r="B41" s="2" t="s">
        <v>162</v>
      </c>
      <c r="C41">
        <v>20</v>
      </c>
      <c r="D41" t="s">
        <v>79</v>
      </c>
      <c r="E41">
        <v>1</v>
      </c>
      <c r="F41" t="s">
        <v>80</v>
      </c>
      <c r="G41">
        <v>21</v>
      </c>
      <c r="H41">
        <v>1</v>
      </c>
      <c r="I41" t="s">
        <v>145</v>
      </c>
      <c r="J41">
        <v>0</v>
      </c>
      <c r="K41">
        <v>2</v>
      </c>
      <c r="L41">
        <v>2</v>
      </c>
      <c r="M41">
        <v>121</v>
      </c>
      <c r="N41">
        <v>556</v>
      </c>
      <c r="O41">
        <v>0</v>
      </c>
      <c r="P41" t="s">
        <v>100</v>
      </c>
      <c r="Q41">
        <v>105</v>
      </c>
      <c r="R41">
        <v>111</v>
      </c>
      <c r="S41">
        <v>12</v>
      </c>
      <c r="T41">
        <v>1</v>
      </c>
      <c r="U41">
        <v>17</v>
      </c>
      <c r="V41">
        <v>6</v>
      </c>
      <c r="W41">
        <v>2</v>
      </c>
      <c r="X41">
        <v>1</v>
      </c>
      <c r="Y41">
        <v>154</v>
      </c>
      <c r="AA41">
        <v>1</v>
      </c>
      <c r="AC41" t="s">
        <v>100</v>
      </c>
      <c r="AD41" t="s">
        <v>100</v>
      </c>
      <c r="AE41" t="s">
        <v>100</v>
      </c>
      <c r="AF41" t="s">
        <v>100</v>
      </c>
      <c r="AG41" t="s">
        <v>100</v>
      </c>
      <c r="AH41" t="s">
        <v>100</v>
      </c>
      <c r="AI41" t="s">
        <v>100</v>
      </c>
      <c r="AJ41" t="s">
        <v>100</v>
      </c>
      <c r="AT41" t="s">
        <v>100</v>
      </c>
      <c r="AU41" t="s">
        <v>100</v>
      </c>
      <c r="AV41" t="s">
        <v>100</v>
      </c>
      <c r="AW41">
        <v>410</v>
      </c>
      <c r="AX41">
        <v>534</v>
      </c>
      <c r="AZ41" t="s">
        <v>101</v>
      </c>
      <c r="BA41">
        <v>1</v>
      </c>
      <c r="BC41" t="s">
        <v>163</v>
      </c>
      <c r="BD41" s="4">
        <v>43283.227835648147</v>
      </c>
      <c r="BE41" s="4">
        <v>43283.24863425926</v>
      </c>
      <c r="BF41" s="4">
        <v>43283.24863425926</v>
      </c>
      <c r="BG41" t="s">
        <v>83</v>
      </c>
      <c r="BH41" t="s">
        <v>84</v>
      </c>
      <c r="BI41" t="s">
        <v>85</v>
      </c>
    </row>
    <row r="42" spans="1:61" x14ac:dyDescent="0.3">
      <c r="A42" t="str">
        <f>"200022B0100"</f>
        <v>200022B0100</v>
      </c>
      <c r="B42" t="s">
        <v>164</v>
      </c>
      <c r="C42">
        <v>20</v>
      </c>
      <c r="D42" t="s">
        <v>79</v>
      </c>
      <c r="E42">
        <v>1</v>
      </c>
      <c r="F42" t="s">
        <v>80</v>
      </c>
      <c r="G42">
        <v>22</v>
      </c>
      <c r="H42">
        <v>1</v>
      </c>
      <c r="I42" t="s">
        <v>81</v>
      </c>
      <c r="J42">
        <v>0</v>
      </c>
      <c r="K42">
        <v>2</v>
      </c>
      <c r="L42">
        <v>2</v>
      </c>
      <c r="M42">
        <v>117</v>
      </c>
      <c r="N42">
        <v>413</v>
      </c>
      <c r="O42">
        <v>1</v>
      </c>
      <c r="P42">
        <v>413</v>
      </c>
      <c r="Q42">
        <v>158</v>
      </c>
      <c r="R42">
        <v>64</v>
      </c>
      <c r="S42">
        <v>19</v>
      </c>
      <c r="T42">
        <v>5</v>
      </c>
      <c r="U42">
        <v>9</v>
      </c>
      <c r="V42">
        <v>5</v>
      </c>
      <c r="W42">
        <v>3</v>
      </c>
      <c r="X42">
        <v>3</v>
      </c>
      <c r="Y42">
        <v>123</v>
      </c>
      <c r="AA42">
        <v>0</v>
      </c>
      <c r="AC42">
        <v>2</v>
      </c>
      <c r="AD42">
        <v>3</v>
      </c>
      <c r="AE42">
        <v>1</v>
      </c>
      <c r="AF42">
        <v>0</v>
      </c>
      <c r="AG42">
        <v>2</v>
      </c>
      <c r="AH42">
        <v>0</v>
      </c>
      <c r="AI42">
        <v>0</v>
      </c>
      <c r="AJ42">
        <v>0</v>
      </c>
      <c r="AT42">
        <v>0</v>
      </c>
      <c r="AU42">
        <v>16</v>
      </c>
      <c r="AV42">
        <v>413</v>
      </c>
      <c r="AW42">
        <v>413</v>
      </c>
      <c r="AX42">
        <v>508</v>
      </c>
      <c r="BA42">
        <v>1</v>
      </c>
      <c r="BC42" t="s">
        <v>165</v>
      </c>
      <c r="BD42" s="4">
        <v>43283.269988425927</v>
      </c>
      <c r="BE42" s="4">
        <v>43283.307615740741</v>
      </c>
      <c r="BF42" s="4">
        <v>43283.307615740741</v>
      </c>
      <c r="BG42" t="s">
        <v>83</v>
      </c>
      <c r="BH42" t="s">
        <v>84</v>
      </c>
      <c r="BI42" t="s">
        <v>85</v>
      </c>
    </row>
    <row r="43" spans="1:61" x14ac:dyDescent="0.3">
      <c r="A43" t="str">
        <f>"200023B0100"</f>
        <v>200023B0100</v>
      </c>
      <c r="B43" t="s">
        <v>166</v>
      </c>
      <c r="C43">
        <v>20</v>
      </c>
      <c r="D43" t="s">
        <v>79</v>
      </c>
      <c r="E43">
        <v>1</v>
      </c>
      <c r="F43" t="s">
        <v>80</v>
      </c>
      <c r="G43">
        <v>23</v>
      </c>
      <c r="H43">
        <v>1</v>
      </c>
      <c r="I43" t="s">
        <v>81</v>
      </c>
      <c r="J43">
        <v>0</v>
      </c>
      <c r="K43">
        <v>2</v>
      </c>
      <c r="L43">
        <v>2</v>
      </c>
      <c r="M43">
        <v>152</v>
      </c>
      <c r="N43">
        <v>475</v>
      </c>
      <c r="O43">
        <v>4</v>
      </c>
      <c r="P43" t="s">
        <v>100</v>
      </c>
      <c r="Q43">
        <v>230</v>
      </c>
      <c r="R43">
        <v>126</v>
      </c>
      <c r="S43">
        <v>5</v>
      </c>
      <c r="T43">
        <v>2</v>
      </c>
      <c r="U43">
        <v>7</v>
      </c>
      <c r="V43">
        <v>4</v>
      </c>
      <c r="W43">
        <v>0</v>
      </c>
      <c r="X43">
        <v>2</v>
      </c>
      <c r="Y43">
        <v>77</v>
      </c>
      <c r="AA43">
        <v>1</v>
      </c>
      <c r="AC43">
        <v>1</v>
      </c>
      <c r="AD43">
        <v>3</v>
      </c>
      <c r="AE43">
        <v>0</v>
      </c>
      <c r="AF43">
        <v>0</v>
      </c>
      <c r="AG43">
        <v>3</v>
      </c>
      <c r="AH43">
        <v>2</v>
      </c>
      <c r="AI43">
        <v>0</v>
      </c>
      <c r="AJ43">
        <v>0</v>
      </c>
      <c r="AT43" t="s">
        <v>100</v>
      </c>
      <c r="AU43">
        <v>12</v>
      </c>
      <c r="AV43">
        <v>475</v>
      </c>
      <c r="AW43">
        <v>475</v>
      </c>
      <c r="AX43">
        <v>605</v>
      </c>
      <c r="AZ43" t="s">
        <v>101</v>
      </c>
      <c r="BA43">
        <v>1</v>
      </c>
      <c r="BC43" t="s">
        <v>167</v>
      </c>
      <c r="BD43" s="4">
        <v>43283.284178240741</v>
      </c>
      <c r="BE43" s="4">
        <v>43283.311805555553</v>
      </c>
      <c r="BF43" s="4">
        <v>43283.311805555553</v>
      </c>
      <c r="BG43" t="s">
        <v>83</v>
      </c>
      <c r="BH43" t="s">
        <v>84</v>
      </c>
      <c r="BI43" t="s">
        <v>85</v>
      </c>
    </row>
    <row r="44" spans="1:61" x14ac:dyDescent="0.3">
      <c r="A44" t="str">
        <f>"200024B0100"</f>
        <v>200024B0100</v>
      </c>
      <c r="B44" t="s">
        <v>168</v>
      </c>
      <c r="C44">
        <v>20</v>
      </c>
      <c r="D44" t="s">
        <v>79</v>
      </c>
      <c r="E44">
        <v>1</v>
      </c>
      <c r="F44" t="s">
        <v>80</v>
      </c>
      <c r="G44">
        <v>24</v>
      </c>
      <c r="H44">
        <v>1</v>
      </c>
      <c r="I44" t="s">
        <v>81</v>
      </c>
      <c r="J44">
        <v>0</v>
      </c>
      <c r="K44">
        <v>2</v>
      </c>
      <c r="L44">
        <v>2</v>
      </c>
      <c r="M44">
        <v>105</v>
      </c>
      <c r="N44">
        <v>307</v>
      </c>
      <c r="O44">
        <v>0</v>
      </c>
      <c r="P44" t="s">
        <v>100</v>
      </c>
      <c r="Q44">
        <v>108</v>
      </c>
      <c r="R44">
        <v>105</v>
      </c>
      <c r="S44">
        <v>3</v>
      </c>
      <c r="T44">
        <v>16</v>
      </c>
      <c r="U44">
        <v>4</v>
      </c>
      <c r="V44">
        <v>4</v>
      </c>
      <c r="W44">
        <v>4</v>
      </c>
      <c r="X44">
        <v>5</v>
      </c>
      <c r="Y44">
        <v>30</v>
      </c>
      <c r="AA44">
        <v>4</v>
      </c>
      <c r="AC44">
        <v>0</v>
      </c>
      <c r="AD44">
        <v>2</v>
      </c>
      <c r="AE44">
        <v>1</v>
      </c>
      <c r="AF44">
        <v>0</v>
      </c>
      <c r="AG44">
        <v>0</v>
      </c>
      <c r="AH44">
        <v>5</v>
      </c>
      <c r="AI44">
        <v>0</v>
      </c>
      <c r="AJ44">
        <v>0</v>
      </c>
      <c r="AT44">
        <v>0</v>
      </c>
      <c r="AU44">
        <v>16</v>
      </c>
      <c r="AV44">
        <v>307</v>
      </c>
      <c r="AW44">
        <v>307</v>
      </c>
      <c r="AX44">
        <v>390</v>
      </c>
      <c r="BA44">
        <v>1</v>
      </c>
      <c r="BC44" t="s">
        <v>169</v>
      </c>
      <c r="BD44" s="4">
        <v>43283.274988425925</v>
      </c>
      <c r="BE44" s="4">
        <v>43283.299675925926</v>
      </c>
      <c r="BF44" s="4">
        <v>43283.299675925926</v>
      </c>
      <c r="BG44" t="s">
        <v>83</v>
      </c>
      <c r="BH44" t="s">
        <v>84</v>
      </c>
      <c r="BI44" t="s">
        <v>85</v>
      </c>
    </row>
    <row r="45" spans="1:61" x14ac:dyDescent="0.3">
      <c r="A45" t="str">
        <f>"200024C0100"</f>
        <v>200024C0100</v>
      </c>
      <c r="B45" t="s">
        <v>170</v>
      </c>
      <c r="C45">
        <v>20</v>
      </c>
      <c r="D45" t="s">
        <v>79</v>
      </c>
      <c r="E45">
        <v>1</v>
      </c>
      <c r="F45" t="s">
        <v>80</v>
      </c>
      <c r="G45">
        <v>24</v>
      </c>
      <c r="H45">
        <v>1</v>
      </c>
      <c r="I45" t="s">
        <v>89</v>
      </c>
      <c r="J45">
        <v>0</v>
      </c>
      <c r="K45">
        <v>2</v>
      </c>
      <c r="L45">
        <v>2</v>
      </c>
      <c r="M45">
        <v>124</v>
      </c>
      <c r="N45">
        <v>287</v>
      </c>
      <c r="O45">
        <v>0</v>
      </c>
      <c r="P45">
        <v>287</v>
      </c>
      <c r="Q45">
        <v>110</v>
      </c>
      <c r="R45">
        <v>85</v>
      </c>
      <c r="S45">
        <v>2</v>
      </c>
      <c r="T45">
        <v>14</v>
      </c>
      <c r="U45">
        <v>9</v>
      </c>
      <c r="V45">
        <v>3</v>
      </c>
      <c r="W45">
        <v>1</v>
      </c>
      <c r="X45">
        <v>3</v>
      </c>
      <c r="Y45">
        <v>31</v>
      </c>
      <c r="AA45">
        <v>1</v>
      </c>
      <c r="AC45">
        <v>1</v>
      </c>
      <c r="AD45">
        <v>3</v>
      </c>
      <c r="AE45">
        <v>0</v>
      </c>
      <c r="AF45">
        <v>0</v>
      </c>
      <c r="AG45">
        <v>3</v>
      </c>
      <c r="AH45">
        <v>1</v>
      </c>
      <c r="AI45">
        <v>0</v>
      </c>
      <c r="AJ45">
        <v>0</v>
      </c>
      <c r="AT45">
        <v>0</v>
      </c>
      <c r="AU45">
        <v>20</v>
      </c>
      <c r="AV45">
        <v>287</v>
      </c>
      <c r="AW45">
        <v>287</v>
      </c>
      <c r="AX45">
        <v>389</v>
      </c>
      <c r="BA45">
        <v>1</v>
      </c>
      <c r="BC45" t="s">
        <v>171</v>
      </c>
      <c r="BD45" s="4">
        <v>43283.282581018517</v>
      </c>
      <c r="BE45" s="4">
        <v>43283.314212962963</v>
      </c>
      <c r="BF45" s="4">
        <v>43283.314212962963</v>
      </c>
      <c r="BG45" t="s">
        <v>83</v>
      </c>
      <c r="BH45" t="s">
        <v>84</v>
      </c>
      <c r="BI45" t="s">
        <v>85</v>
      </c>
    </row>
    <row r="46" spans="1:61" x14ac:dyDescent="0.3">
      <c r="A46" t="str">
        <f>"200024E0100"</f>
        <v>200024E0100</v>
      </c>
      <c r="B46" s="2" t="s">
        <v>172</v>
      </c>
      <c r="C46">
        <v>20</v>
      </c>
      <c r="D46" t="s">
        <v>79</v>
      </c>
      <c r="E46">
        <v>1</v>
      </c>
      <c r="F46" t="s">
        <v>80</v>
      </c>
      <c r="G46">
        <v>24</v>
      </c>
      <c r="H46">
        <v>1</v>
      </c>
      <c r="I46" t="s">
        <v>145</v>
      </c>
      <c r="J46">
        <v>0</v>
      </c>
      <c r="K46">
        <v>2</v>
      </c>
      <c r="L46">
        <v>2</v>
      </c>
      <c r="M46">
        <v>118</v>
      </c>
      <c r="N46">
        <v>1</v>
      </c>
      <c r="O46">
        <v>1</v>
      </c>
      <c r="P46">
        <v>224</v>
      </c>
      <c r="Q46">
        <v>88</v>
      </c>
      <c r="R46">
        <v>50</v>
      </c>
      <c r="S46">
        <v>1</v>
      </c>
      <c r="T46">
        <v>5</v>
      </c>
      <c r="U46">
        <v>6</v>
      </c>
      <c r="V46">
        <v>3</v>
      </c>
      <c r="W46">
        <v>1</v>
      </c>
      <c r="X46">
        <v>2</v>
      </c>
      <c r="Y46">
        <v>40</v>
      </c>
      <c r="AA46">
        <v>0</v>
      </c>
      <c r="AC46">
        <v>1</v>
      </c>
      <c r="AD46">
        <v>2</v>
      </c>
      <c r="AE46">
        <v>1</v>
      </c>
      <c r="AF46">
        <v>0</v>
      </c>
      <c r="AG46">
        <v>0</v>
      </c>
      <c r="AH46">
        <v>4</v>
      </c>
      <c r="AI46">
        <v>0</v>
      </c>
      <c r="AJ46">
        <v>0</v>
      </c>
      <c r="AT46">
        <v>0</v>
      </c>
      <c r="AU46">
        <v>19</v>
      </c>
      <c r="AV46">
        <v>224</v>
      </c>
      <c r="AW46">
        <v>223</v>
      </c>
      <c r="AX46">
        <v>320</v>
      </c>
      <c r="BA46">
        <v>1</v>
      </c>
      <c r="BC46" t="s">
        <v>173</v>
      </c>
      <c r="BD46" s="4">
        <v>43283.235798611109</v>
      </c>
      <c r="BE46" s="4">
        <v>43283.256736111114</v>
      </c>
      <c r="BF46" s="4">
        <v>43283.256736111114</v>
      </c>
      <c r="BG46" t="s">
        <v>83</v>
      </c>
      <c r="BH46" t="s">
        <v>84</v>
      </c>
      <c r="BI46" t="s">
        <v>85</v>
      </c>
    </row>
    <row r="47" spans="1:61" x14ac:dyDescent="0.3">
      <c r="A47" t="str">
        <f>"200025B0100"</f>
        <v>200025B0100</v>
      </c>
      <c r="B47" t="s">
        <v>174</v>
      </c>
      <c r="C47">
        <v>20</v>
      </c>
      <c r="D47" t="s">
        <v>79</v>
      </c>
      <c r="E47">
        <v>1</v>
      </c>
      <c r="F47" t="s">
        <v>80</v>
      </c>
      <c r="G47">
        <v>25</v>
      </c>
      <c r="H47">
        <v>1</v>
      </c>
      <c r="I47" t="s">
        <v>81</v>
      </c>
      <c r="J47">
        <v>0</v>
      </c>
      <c r="K47">
        <v>2</v>
      </c>
      <c r="L47">
        <v>2</v>
      </c>
      <c r="M47">
        <v>116</v>
      </c>
      <c r="N47">
        <v>322</v>
      </c>
      <c r="O47">
        <v>1</v>
      </c>
      <c r="P47" t="s">
        <v>100</v>
      </c>
      <c r="Q47">
        <v>154</v>
      </c>
      <c r="R47">
        <v>61</v>
      </c>
      <c r="S47">
        <v>7</v>
      </c>
      <c r="T47">
        <v>11</v>
      </c>
      <c r="U47">
        <v>8</v>
      </c>
      <c r="V47">
        <v>3</v>
      </c>
      <c r="W47">
        <v>2</v>
      </c>
      <c r="X47">
        <v>2</v>
      </c>
      <c r="Y47">
        <v>53</v>
      </c>
      <c r="AA47">
        <v>0</v>
      </c>
      <c r="AC47">
        <v>2</v>
      </c>
      <c r="AD47">
        <v>3</v>
      </c>
      <c r="AE47">
        <v>1</v>
      </c>
      <c r="AF47">
        <v>0</v>
      </c>
      <c r="AG47">
        <v>1</v>
      </c>
      <c r="AH47">
        <v>2</v>
      </c>
      <c r="AI47">
        <v>0</v>
      </c>
      <c r="AJ47">
        <v>1</v>
      </c>
      <c r="AT47">
        <v>0</v>
      </c>
      <c r="AU47">
        <v>11</v>
      </c>
      <c r="AV47">
        <v>322</v>
      </c>
      <c r="AW47">
        <v>322</v>
      </c>
      <c r="AX47">
        <v>416</v>
      </c>
      <c r="BA47">
        <v>1</v>
      </c>
      <c r="BC47" t="s">
        <v>175</v>
      </c>
      <c r="BD47" s="4">
        <v>43283.236400462964</v>
      </c>
      <c r="BE47" s="4">
        <v>43283.257743055554</v>
      </c>
      <c r="BF47" s="4">
        <v>43283.257743055554</v>
      </c>
      <c r="BG47" t="s">
        <v>83</v>
      </c>
      <c r="BH47" t="s">
        <v>84</v>
      </c>
      <c r="BI47" t="s">
        <v>85</v>
      </c>
    </row>
    <row r="48" spans="1:61" x14ac:dyDescent="0.3">
      <c r="A48" t="str">
        <f>"200025C0100"</f>
        <v>200025C0100</v>
      </c>
      <c r="B48" t="s">
        <v>176</v>
      </c>
      <c r="C48">
        <v>20</v>
      </c>
      <c r="D48" t="s">
        <v>79</v>
      </c>
      <c r="E48">
        <v>1</v>
      </c>
      <c r="F48" t="s">
        <v>80</v>
      </c>
      <c r="G48">
        <v>25</v>
      </c>
      <c r="H48">
        <v>1</v>
      </c>
      <c r="I48" t="s">
        <v>89</v>
      </c>
      <c r="J48">
        <v>0</v>
      </c>
      <c r="K48">
        <v>2</v>
      </c>
      <c r="L48">
        <v>2</v>
      </c>
      <c r="M48">
        <v>108</v>
      </c>
      <c r="N48">
        <v>329</v>
      </c>
      <c r="O48">
        <v>0</v>
      </c>
      <c r="P48">
        <v>330</v>
      </c>
      <c r="Q48">
        <v>154</v>
      </c>
      <c r="R48">
        <v>60</v>
      </c>
      <c r="S48">
        <v>3</v>
      </c>
      <c r="T48">
        <v>12</v>
      </c>
      <c r="U48">
        <v>5</v>
      </c>
      <c r="V48">
        <v>5</v>
      </c>
      <c r="W48">
        <v>1</v>
      </c>
      <c r="X48">
        <v>3</v>
      </c>
      <c r="Y48">
        <v>60</v>
      </c>
      <c r="AA48">
        <v>0</v>
      </c>
      <c r="AC48">
        <v>3</v>
      </c>
      <c r="AD48">
        <v>3</v>
      </c>
      <c r="AE48">
        <v>1</v>
      </c>
      <c r="AF48">
        <v>0</v>
      </c>
      <c r="AG48">
        <v>0</v>
      </c>
      <c r="AH48">
        <v>3</v>
      </c>
      <c r="AI48">
        <v>0</v>
      </c>
      <c r="AJ48">
        <v>0</v>
      </c>
      <c r="AT48">
        <v>0</v>
      </c>
      <c r="AU48">
        <v>17</v>
      </c>
      <c r="AV48">
        <v>330</v>
      </c>
      <c r="AW48">
        <v>330</v>
      </c>
      <c r="AX48">
        <v>416</v>
      </c>
      <c r="BA48">
        <v>1</v>
      </c>
      <c r="BC48" t="s">
        <v>177</v>
      </c>
      <c r="BD48" s="4">
        <v>43283.28125</v>
      </c>
      <c r="BE48" s="4">
        <v>43283.325462962966</v>
      </c>
      <c r="BF48" s="4">
        <v>43283.325462962966</v>
      </c>
      <c r="BG48" t="s">
        <v>83</v>
      </c>
      <c r="BH48" t="s">
        <v>84</v>
      </c>
      <c r="BI48" t="s">
        <v>85</v>
      </c>
    </row>
    <row r="49" spans="1:61" x14ac:dyDescent="0.3">
      <c r="A49" t="str">
        <f>"200026B0100"</f>
        <v>200026B0100</v>
      </c>
      <c r="B49" t="s">
        <v>178</v>
      </c>
      <c r="C49">
        <v>20</v>
      </c>
      <c r="D49" t="s">
        <v>79</v>
      </c>
      <c r="E49">
        <v>1</v>
      </c>
      <c r="F49" t="s">
        <v>80</v>
      </c>
      <c r="G49">
        <v>26</v>
      </c>
      <c r="H49">
        <v>1</v>
      </c>
      <c r="I49" t="s">
        <v>81</v>
      </c>
      <c r="J49">
        <v>0</v>
      </c>
      <c r="K49">
        <v>2</v>
      </c>
      <c r="L49">
        <v>2</v>
      </c>
      <c r="M49">
        <v>100</v>
      </c>
      <c r="N49" t="s">
        <v>100</v>
      </c>
      <c r="O49" t="s">
        <v>100</v>
      </c>
      <c r="P49" t="s">
        <v>100</v>
      </c>
      <c r="Q49">
        <v>178</v>
      </c>
      <c r="R49">
        <v>71</v>
      </c>
      <c r="S49">
        <v>2</v>
      </c>
      <c r="T49">
        <v>8</v>
      </c>
      <c r="U49">
        <v>3</v>
      </c>
      <c r="V49">
        <v>5</v>
      </c>
      <c r="W49">
        <v>1</v>
      </c>
      <c r="X49">
        <v>4</v>
      </c>
      <c r="Y49">
        <v>45</v>
      </c>
      <c r="AA49">
        <v>0</v>
      </c>
      <c r="AC49">
        <v>3</v>
      </c>
      <c r="AD49">
        <v>3</v>
      </c>
      <c r="AE49">
        <v>0</v>
      </c>
      <c r="AF49">
        <v>0</v>
      </c>
      <c r="AG49">
        <v>0</v>
      </c>
      <c r="AH49">
        <v>4</v>
      </c>
      <c r="AI49">
        <v>0</v>
      </c>
      <c r="AJ49">
        <v>0</v>
      </c>
      <c r="AT49">
        <v>3</v>
      </c>
      <c r="AU49">
        <v>14</v>
      </c>
      <c r="AV49">
        <v>344</v>
      </c>
      <c r="AW49">
        <v>344</v>
      </c>
      <c r="AX49">
        <v>424</v>
      </c>
      <c r="BA49">
        <v>1</v>
      </c>
      <c r="BC49" t="s">
        <v>179</v>
      </c>
      <c r="BD49" s="4">
        <v>43283.270555555559</v>
      </c>
      <c r="BE49" s="4">
        <v>43283.298981481479</v>
      </c>
      <c r="BF49" s="4">
        <v>43283.298981481479</v>
      </c>
      <c r="BG49" t="s">
        <v>83</v>
      </c>
      <c r="BH49" t="s">
        <v>84</v>
      </c>
      <c r="BI49" t="s">
        <v>85</v>
      </c>
    </row>
    <row r="50" spans="1:61" x14ac:dyDescent="0.3">
      <c r="A50" t="str">
        <f>"200026C0100"</f>
        <v>200026C0100</v>
      </c>
      <c r="B50" t="s">
        <v>180</v>
      </c>
      <c r="C50">
        <v>20</v>
      </c>
      <c r="D50" t="s">
        <v>79</v>
      </c>
      <c r="E50">
        <v>1</v>
      </c>
      <c r="F50" t="s">
        <v>80</v>
      </c>
      <c r="G50">
        <v>26</v>
      </c>
      <c r="H50">
        <v>1</v>
      </c>
      <c r="I50" t="s">
        <v>89</v>
      </c>
      <c r="J50">
        <v>0</v>
      </c>
      <c r="K50">
        <v>2</v>
      </c>
      <c r="L50">
        <v>2</v>
      </c>
      <c r="M50">
        <v>113</v>
      </c>
      <c r="N50">
        <v>334</v>
      </c>
      <c r="O50">
        <v>334</v>
      </c>
      <c r="P50">
        <v>334</v>
      </c>
      <c r="Q50">
        <v>165</v>
      </c>
      <c r="R50">
        <v>67</v>
      </c>
      <c r="S50">
        <v>5</v>
      </c>
      <c r="T50">
        <v>5</v>
      </c>
      <c r="U50">
        <v>11</v>
      </c>
      <c r="V50">
        <v>2</v>
      </c>
      <c r="W50" t="s">
        <v>100</v>
      </c>
      <c r="X50">
        <v>2</v>
      </c>
      <c r="Y50">
        <v>56</v>
      </c>
      <c r="AA50" t="s">
        <v>100</v>
      </c>
      <c r="AC50">
        <v>5</v>
      </c>
      <c r="AD50" t="s">
        <v>100</v>
      </c>
      <c r="AE50" t="s">
        <v>100</v>
      </c>
      <c r="AF50" t="s">
        <v>100</v>
      </c>
      <c r="AG50">
        <v>3</v>
      </c>
      <c r="AH50">
        <v>3</v>
      </c>
      <c r="AI50">
        <v>1</v>
      </c>
      <c r="AJ50" t="s">
        <v>100</v>
      </c>
      <c r="AT50" t="s">
        <v>100</v>
      </c>
      <c r="AU50">
        <v>12</v>
      </c>
      <c r="AV50" t="s">
        <v>100</v>
      </c>
      <c r="AW50">
        <v>337</v>
      </c>
      <c r="AX50">
        <v>423</v>
      </c>
      <c r="AZ50" t="s">
        <v>101</v>
      </c>
      <c r="BA50">
        <v>1</v>
      </c>
      <c r="BC50" t="s">
        <v>181</v>
      </c>
      <c r="BD50" s="4">
        <v>43283.269259259258</v>
      </c>
      <c r="BE50" s="4">
        <v>43283.293402777781</v>
      </c>
      <c r="BF50" s="4">
        <v>43283.293402777781</v>
      </c>
      <c r="BG50" t="s">
        <v>83</v>
      </c>
      <c r="BH50" t="s">
        <v>84</v>
      </c>
      <c r="BI50" t="s">
        <v>85</v>
      </c>
    </row>
    <row r="51" spans="1:61" x14ac:dyDescent="0.3">
      <c r="A51" t="str">
        <f>"200027B0100"</f>
        <v>200027B0100</v>
      </c>
      <c r="B51" t="s">
        <v>182</v>
      </c>
      <c r="C51">
        <v>20</v>
      </c>
      <c r="D51" t="s">
        <v>79</v>
      </c>
      <c r="E51">
        <v>1</v>
      </c>
      <c r="F51" t="s">
        <v>80</v>
      </c>
      <c r="G51">
        <v>27</v>
      </c>
      <c r="H51">
        <v>1</v>
      </c>
      <c r="I51" t="s">
        <v>81</v>
      </c>
      <c r="J51">
        <v>0</v>
      </c>
      <c r="K51">
        <v>2</v>
      </c>
      <c r="L51">
        <v>2</v>
      </c>
      <c r="M51">
        <v>207</v>
      </c>
      <c r="N51">
        <v>523</v>
      </c>
      <c r="O51">
        <v>1</v>
      </c>
      <c r="P51">
        <v>523</v>
      </c>
      <c r="Q51">
        <v>165</v>
      </c>
      <c r="R51">
        <v>93</v>
      </c>
      <c r="S51">
        <v>2</v>
      </c>
      <c r="T51">
        <v>84</v>
      </c>
      <c r="U51">
        <v>8</v>
      </c>
      <c r="V51">
        <v>6</v>
      </c>
      <c r="W51">
        <v>3</v>
      </c>
      <c r="X51">
        <v>10</v>
      </c>
      <c r="Y51">
        <v>121</v>
      </c>
      <c r="AA51">
        <v>2</v>
      </c>
      <c r="AC51">
        <v>2</v>
      </c>
      <c r="AD51">
        <v>0</v>
      </c>
      <c r="AE51">
        <v>0</v>
      </c>
      <c r="AF51">
        <v>0</v>
      </c>
      <c r="AG51">
        <v>8</v>
      </c>
      <c r="AH51">
        <v>0</v>
      </c>
      <c r="AI51">
        <v>0</v>
      </c>
      <c r="AJ51">
        <v>0</v>
      </c>
      <c r="AT51">
        <v>0</v>
      </c>
      <c r="AU51">
        <v>19</v>
      </c>
      <c r="AV51">
        <v>523</v>
      </c>
      <c r="AW51">
        <v>523</v>
      </c>
      <c r="AX51">
        <v>708</v>
      </c>
      <c r="BA51">
        <v>1</v>
      </c>
      <c r="BC51" t="s">
        <v>183</v>
      </c>
      <c r="BD51" s="4">
        <v>43283.229097222225</v>
      </c>
      <c r="BE51" s="4">
        <v>43283.250937500001</v>
      </c>
      <c r="BF51" s="4">
        <v>43283.250937500001</v>
      </c>
      <c r="BG51" t="s">
        <v>83</v>
      </c>
      <c r="BH51" t="s">
        <v>84</v>
      </c>
      <c r="BI51" t="s">
        <v>85</v>
      </c>
    </row>
    <row r="52" spans="1:61" x14ac:dyDescent="0.3">
      <c r="A52" t="str">
        <f>"200028B0100"</f>
        <v>200028B0100</v>
      </c>
      <c r="B52" t="s">
        <v>184</v>
      </c>
      <c r="C52">
        <v>20</v>
      </c>
      <c r="D52" t="s">
        <v>79</v>
      </c>
      <c r="E52">
        <v>1</v>
      </c>
      <c r="F52" t="s">
        <v>80</v>
      </c>
      <c r="G52">
        <v>28</v>
      </c>
      <c r="H52">
        <v>1</v>
      </c>
      <c r="I52" t="s">
        <v>81</v>
      </c>
      <c r="J52">
        <v>0</v>
      </c>
      <c r="K52">
        <v>2</v>
      </c>
      <c r="L52">
        <v>2</v>
      </c>
      <c r="M52">
        <v>98</v>
      </c>
      <c r="N52">
        <v>401</v>
      </c>
      <c r="O52">
        <v>0</v>
      </c>
      <c r="P52">
        <v>303</v>
      </c>
      <c r="Q52">
        <v>100</v>
      </c>
      <c r="R52">
        <v>85</v>
      </c>
      <c r="S52">
        <v>4</v>
      </c>
      <c r="T52">
        <v>8</v>
      </c>
      <c r="U52">
        <v>6</v>
      </c>
      <c r="V52">
        <v>5</v>
      </c>
      <c r="W52">
        <v>2</v>
      </c>
      <c r="X52">
        <v>8</v>
      </c>
      <c r="Y52">
        <v>66</v>
      </c>
      <c r="AA52">
        <v>0</v>
      </c>
      <c r="AC52">
        <v>0</v>
      </c>
      <c r="AD52">
        <v>1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T52">
        <v>0</v>
      </c>
      <c r="AU52">
        <v>18</v>
      </c>
      <c r="AV52">
        <v>303</v>
      </c>
      <c r="AW52">
        <v>303</v>
      </c>
      <c r="AX52">
        <v>379</v>
      </c>
      <c r="BA52">
        <v>1</v>
      </c>
      <c r="BC52" t="s">
        <v>185</v>
      </c>
      <c r="BD52" s="4">
        <v>43283.224247685182</v>
      </c>
      <c r="BE52" s="4">
        <v>43283.245625000003</v>
      </c>
      <c r="BF52" s="4">
        <v>43283.245625000003</v>
      </c>
      <c r="BG52" t="s">
        <v>83</v>
      </c>
      <c r="BH52" t="s">
        <v>84</v>
      </c>
      <c r="BI52" t="s">
        <v>85</v>
      </c>
    </row>
    <row r="53" spans="1:61" x14ac:dyDescent="0.3">
      <c r="A53" t="str">
        <f>"200028C0100"</f>
        <v>200028C0100</v>
      </c>
      <c r="B53" t="s">
        <v>186</v>
      </c>
      <c r="C53">
        <v>20</v>
      </c>
      <c r="D53" t="s">
        <v>79</v>
      </c>
      <c r="E53">
        <v>1</v>
      </c>
      <c r="F53" t="s">
        <v>80</v>
      </c>
      <c r="G53">
        <v>28</v>
      </c>
      <c r="H53">
        <v>1</v>
      </c>
      <c r="I53" t="s">
        <v>89</v>
      </c>
      <c r="J53">
        <v>0</v>
      </c>
      <c r="K53">
        <v>2</v>
      </c>
      <c r="L53">
        <v>2</v>
      </c>
      <c r="M53">
        <v>106</v>
      </c>
      <c r="N53" t="s">
        <v>100</v>
      </c>
      <c r="O53" t="s">
        <v>100</v>
      </c>
      <c r="P53" t="s">
        <v>100</v>
      </c>
      <c r="Q53">
        <v>73</v>
      </c>
      <c r="R53">
        <v>97</v>
      </c>
      <c r="S53">
        <v>4</v>
      </c>
      <c r="T53">
        <v>9</v>
      </c>
      <c r="U53">
        <v>4</v>
      </c>
      <c r="V53">
        <v>5</v>
      </c>
      <c r="W53">
        <v>0</v>
      </c>
      <c r="X53">
        <v>10</v>
      </c>
      <c r="Y53">
        <v>72</v>
      </c>
      <c r="AA53">
        <v>0</v>
      </c>
      <c r="AC53">
        <v>0</v>
      </c>
      <c r="AD53">
        <v>1</v>
      </c>
      <c r="AE53">
        <v>1</v>
      </c>
      <c r="AF53">
        <v>1</v>
      </c>
      <c r="AG53">
        <v>0</v>
      </c>
      <c r="AH53">
        <v>0</v>
      </c>
      <c r="AI53">
        <v>0</v>
      </c>
      <c r="AJ53">
        <v>0</v>
      </c>
      <c r="AT53">
        <v>0</v>
      </c>
      <c r="AU53">
        <v>17</v>
      </c>
      <c r="AV53">
        <v>294</v>
      </c>
      <c r="AW53">
        <v>294</v>
      </c>
      <c r="AX53">
        <v>378</v>
      </c>
      <c r="BA53">
        <v>1</v>
      </c>
      <c r="BC53" t="s">
        <v>187</v>
      </c>
      <c r="BD53" s="4">
        <v>43283.230300925927</v>
      </c>
      <c r="BE53" s="4">
        <v>43283.253009259257</v>
      </c>
      <c r="BF53" s="4">
        <v>43283.253009259257</v>
      </c>
      <c r="BG53" t="s">
        <v>83</v>
      </c>
      <c r="BH53" t="s">
        <v>84</v>
      </c>
      <c r="BI53" t="s">
        <v>85</v>
      </c>
    </row>
    <row r="54" spans="1:61" x14ac:dyDescent="0.3">
      <c r="A54" t="str">
        <f>"200029B0100"</f>
        <v>200029B0100</v>
      </c>
      <c r="B54" t="s">
        <v>188</v>
      </c>
      <c r="C54">
        <v>20</v>
      </c>
      <c r="D54" t="s">
        <v>79</v>
      </c>
      <c r="E54">
        <v>1</v>
      </c>
      <c r="F54" t="s">
        <v>80</v>
      </c>
      <c r="G54">
        <v>29</v>
      </c>
      <c r="H54">
        <v>1</v>
      </c>
      <c r="I54" t="s">
        <v>81</v>
      </c>
      <c r="J54">
        <v>0</v>
      </c>
      <c r="K54">
        <v>2</v>
      </c>
      <c r="L54">
        <v>2</v>
      </c>
      <c r="M54">
        <v>118</v>
      </c>
      <c r="N54">
        <v>324</v>
      </c>
      <c r="O54">
        <v>0</v>
      </c>
      <c r="P54">
        <v>324</v>
      </c>
      <c r="Q54">
        <v>188</v>
      </c>
      <c r="R54">
        <v>53</v>
      </c>
      <c r="S54">
        <v>3</v>
      </c>
      <c r="T54">
        <v>4</v>
      </c>
      <c r="U54">
        <v>8</v>
      </c>
      <c r="V54">
        <v>5</v>
      </c>
      <c r="W54">
        <v>1</v>
      </c>
      <c r="X54">
        <v>3</v>
      </c>
      <c r="Y54">
        <v>50</v>
      </c>
      <c r="AA54">
        <v>0</v>
      </c>
      <c r="AC54">
        <v>0</v>
      </c>
      <c r="AD54">
        <v>0</v>
      </c>
      <c r="AE54">
        <v>0</v>
      </c>
      <c r="AF54">
        <v>0</v>
      </c>
      <c r="AG54">
        <v>1</v>
      </c>
      <c r="AH54">
        <v>0</v>
      </c>
      <c r="AI54">
        <v>0</v>
      </c>
      <c r="AJ54">
        <v>0</v>
      </c>
      <c r="AT54">
        <v>0</v>
      </c>
      <c r="AU54">
        <v>7</v>
      </c>
      <c r="AV54">
        <v>324</v>
      </c>
      <c r="AW54">
        <v>323</v>
      </c>
      <c r="AX54">
        <v>420</v>
      </c>
      <c r="BA54">
        <v>1</v>
      </c>
      <c r="BC54" t="s">
        <v>189</v>
      </c>
      <c r="BD54" s="4">
        <v>43283.163032407407</v>
      </c>
      <c r="BE54" s="4">
        <v>43283.173229166663</v>
      </c>
      <c r="BF54" s="4">
        <v>43283.173229166663</v>
      </c>
      <c r="BG54" t="s">
        <v>83</v>
      </c>
      <c r="BH54" t="s">
        <v>84</v>
      </c>
      <c r="BI54" t="s">
        <v>85</v>
      </c>
    </row>
    <row r="55" spans="1:61" x14ac:dyDescent="0.3">
      <c r="A55" t="str">
        <f>"200029C0100"</f>
        <v>200029C0100</v>
      </c>
      <c r="B55" t="s">
        <v>190</v>
      </c>
      <c r="C55">
        <v>20</v>
      </c>
      <c r="D55" t="s">
        <v>79</v>
      </c>
      <c r="E55">
        <v>1</v>
      </c>
      <c r="F55" t="s">
        <v>80</v>
      </c>
      <c r="G55">
        <v>29</v>
      </c>
      <c r="H55">
        <v>1</v>
      </c>
      <c r="I55" t="s">
        <v>89</v>
      </c>
      <c r="J55">
        <v>0</v>
      </c>
      <c r="K55">
        <v>2</v>
      </c>
      <c r="L55">
        <v>2</v>
      </c>
      <c r="M55" t="s">
        <v>100</v>
      </c>
      <c r="N55">
        <v>350</v>
      </c>
      <c r="O55">
        <v>0</v>
      </c>
      <c r="P55">
        <v>350</v>
      </c>
      <c r="Q55">
        <v>198</v>
      </c>
      <c r="R55">
        <v>48</v>
      </c>
      <c r="S55">
        <v>2</v>
      </c>
      <c r="T55">
        <v>10</v>
      </c>
      <c r="U55">
        <v>7</v>
      </c>
      <c r="V55">
        <v>6</v>
      </c>
      <c r="W55">
        <v>0</v>
      </c>
      <c r="X55">
        <v>1</v>
      </c>
      <c r="Y55">
        <v>50</v>
      </c>
      <c r="AA55">
        <v>1</v>
      </c>
      <c r="AC55">
        <v>1</v>
      </c>
      <c r="AD55">
        <v>0</v>
      </c>
      <c r="AE55">
        <v>1</v>
      </c>
      <c r="AF55">
        <v>0</v>
      </c>
      <c r="AG55">
        <v>1</v>
      </c>
      <c r="AH55">
        <v>2</v>
      </c>
      <c r="AI55">
        <v>0</v>
      </c>
      <c r="AJ55">
        <v>0</v>
      </c>
      <c r="AT55">
        <v>0</v>
      </c>
      <c r="AU55">
        <v>14</v>
      </c>
      <c r="AV55">
        <v>350</v>
      </c>
      <c r="AW55">
        <v>342</v>
      </c>
      <c r="AX55">
        <v>420</v>
      </c>
      <c r="BA55">
        <v>1</v>
      </c>
      <c r="BC55" t="s">
        <v>191</v>
      </c>
      <c r="BD55" s="4">
        <v>43283.166134259256</v>
      </c>
      <c r="BE55" s="4">
        <v>43283.185150462959</v>
      </c>
      <c r="BF55" s="4">
        <v>43283.185150462959</v>
      </c>
      <c r="BG55" t="s">
        <v>83</v>
      </c>
      <c r="BH55" t="s">
        <v>84</v>
      </c>
      <c r="BI55" t="s">
        <v>85</v>
      </c>
    </row>
    <row r="56" spans="1:61" x14ac:dyDescent="0.3">
      <c r="A56" t="str">
        <f>"200029E0100"</f>
        <v>200029E0100</v>
      </c>
      <c r="B56" s="2" t="s">
        <v>192</v>
      </c>
      <c r="C56">
        <v>20</v>
      </c>
      <c r="D56" t="s">
        <v>79</v>
      </c>
      <c r="E56">
        <v>1</v>
      </c>
      <c r="F56" t="s">
        <v>80</v>
      </c>
      <c r="G56">
        <v>29</v>
      </c>
      <c r="H56">
        <v>1</v>
      </c>
      <c r="I56" t="s">
        <v>145</v>
      </c>
      <c r="J56">
        <v>0</v>
      </c>
      <c r="K56">
        <v>2</v>
      </c>
      <c r="L56">
        <v>2</v>
      </c>
      <c r="M56">
        <v>58</v>
      </c>
      <c r="N56">
        <v>208</v>
      </c>
      <c r="O56">
        <v>3</v>
      </c>
      <c r="P56">
        <v>208</v>
      </c>
      <c r="Q56">
        <v>122</v>
      </c>
      <c r="R56">
        <v>47</v>
      </c>
      <c r="S56">
        <v>3</v>
      </c>
      <c r="T56">
        <v>4</v>
      </c>
      <c r="U56">
        <v>5</v>
      </c>
      <c r="V56">
        <v>0</v>
      </c>
      <c r="W56">
        <v>0</v>
      </c>
      <c r="X56">
        <v>1</v>
      </c>
      <c r="Y56">
        <v>17</v>
      </c>
      <c r="AA56">
        <v>0</v>
      </c>
      <c r="AC56">
        <v>2</v>
      </c>
      <c r="AD56">
        <v>0</v>
      </c>
      <c r="AE56">
        <v>0</v>
      </c>
      <c r="AF56">
        <v>0</v>
      </c>
      <c r="AG56">
        <v>0</v>
      </c>
      <c r="AH56">
        <v>1</v>
      </c>
      <c r="AI56">
        <v>0</v>
      </c>
      <c r="AJ56">
        <v>0</v>
      </c>
      <c r="AT56">
        <v>0</v>
      </c>
      <c r="AU56">
        <v>6</v>
      </c>
      <c r="AV56">
        <v>208</v>
      </c>
      <c r="AW56">
        <v>208</v>
      </c>
      <c r="AX56">
        <v>244</v>
      </c>
      <c r="BA56">
        <v>1</v>
      </c>
      <c r="BC56" t="s">
        <v>193</v>
      </c>
      <c r="BD56" s="4">
        <v>43283.164594907408</v>
      </c>
      <c r="BE56" s="4">
        <v>43283.174629629626</v>
      </c>
      <c r="BF56" s="4">
        <v>43283.174629629626</v>
      </c>
      <c r="BG56" t="s">
        <v>83</v>
      </c>
      <c r="BH56" t="s">
        <v>84</v>
      </c>
      <c r="BI56" t="s">
        <v>85</v>
      </c>
    </row>
    <row r="57" spans="1:61" x14ac:dyDescent="0.3">
      <c r="A57" t="str">
        <f>"200030B0100"</f>
        <v>200030B0100</v>
      </c>
      <c r="B57" t="s">
        <v>194</v>
      </c>
      <c r="C57">
        <v>20</v>
      </c>
      <c r="D57" t="s">
        <v>79</v>
      </c>
      <c r="E57">
        <v>1</v>
      </c>
      <c r="F57" t="s">
        <v>80</v>
      </c>
      <c r="G57">
        <v>30</v>
      </c>
      <c r="H57">
        <v>1</v>
      </c>
      <c r="I57" t="s">
        <v>81</v>
      </c>
      <c r="J57">
        <v>0</v>
      </c>
      <c r="K57">
        <v>2</v>
      </c>
      <c r="L57">
        <v>2</v>
      </c>
      <c r="M57">
        <v>110</v>
      </c>
      <c r="N57">
        <v>328</v>
      </c>
      <c r="O57">
        <v>0</v>
      </c>
      <c r="P57">
        <v>328</v>
      </c>
      <c r="Q57">
        <v>148</v>
      </c>
      <c r="R57">
        <v>66</v>
      </c>
      <c r="S57">
        <v>4</v>
      </c>
      <c r="T57">
        <v>26</v>
      </c>
      <c r="U57">
        <v>3</v>
      </c>
      <c r="V57">
        <v>2</v>
      </c>
      <c r="W57">
        <v>0</v>
      </c>
      <c r="X57">
        <v>3</v>
      </c>
      <c r="Y57">
        <v>43</v>
      </c>
      <c r="AA57">
        <v>0</v>
      </c>
      <c r="AC57">
        <v>2</v>
      </c>
      <c r="AD57">
        <v>2</v>
      </c>
      <c r="AE57">
        <v>0</v>
      </c>
      <c r="AF57">
        <v>0</v>
      </c>
      <c r="AG57">
        <v>3</v>
      </c>
      <c r="AH57">
        <v>6</v>
      </c>
      <c r="AI57">
        <v>0</v>
      </c>
      <c r="AJ57">
        <v>0</v>
      </c>
      <c r="AT57">
        <v>0</v>
      </c>
      <c r="AU57">
        <v>20</v>
      </c>
      <c r="AV57">
        <v>328</v>
      </c>
      <c r="AW57">
        <v>328</v>
      </c>
      <c r="AX57">
        <v>416</v>
      </c>
      <c r="BA57">
        <v>1</v>
      </c>
      <c r="BC57" t="s">
        <v>195</v>
      </c>
      <c r="BD57" s="4">
        <v>43283.258958333332</v>
      </c>
      <c r="BE57" s="4">
        <v>43283.283009259256</v>
      </c>
      <c r="BF57" s="4">
        <v>43283.283009259256</v>
      </c>
      <c r="BG57" t="s">
        <v>83</v>
      </c>
      <c r="BH57" t="s">
        <v>84</v>
      </c>
      <c r="BI57" t="s">
        <v>85</v>
      </c>
    </row>
    <row r="58" spans="1:61" x14ac:dyDescent="0.3">
      <c r="A58" t="str">
        <f>"200030C0100"</f>
        <v>200030C0100</v>
      </c>
      <c r="B58" t="s">
        <v>196</v>
      </c>
      <c r="C58">
        <v>20</v>
      </c>
      <c r="D58" t="s">
        <v>79</v>
      </c>
      <c r="E58">
        <v>1</v>
      </c>
      <c r="F58" t="s">
        <v>80</v>
      </c>
      <c r="G58">
        <v>30</v>
      </c>
      <c r="H58">
        <v>1</v>
      </c>
      <c r="I58" t="s">
        <v>89</v>
      </c>
      <c r="J58">
        <v>0</v>
      </c>
      <c r="K58">
        <v>2</v>
      </c>
      <c r="L58">
        <v>2</v>
      </c>
      <c r="M58">
        <v>106</v>
      </c>
      <c r="N58">
        <v>333</v>
      </c>
      <c r="O58">
        <v>1</v>
      </c>
      <c r="P58">
        <v>332</v>
      </c>
      <c r="Q58">
        <v>139</v>
      </c>
      <c r="R58">
        <v>72</v>
      </c>
      <c r="S58">
        <v>5</v>
      </c>
      <c r="T58">
        <v>44</v>
      </c>
      <c r="U58">
        <v>3</v>
      </c>
      <c r="V58">
        <v>1</v>
      </c>
      <c r="W58">
        <v>0</v>
      </c>
      <c r="X58">
        <v>8</v>
      </c>
      <c r="Y58">
        <v>34</v>
      </c>
      <c r="AA58">
        <v>0</v>
      </c>
      <c r="AC58">
        <v>0</v>
      </c>
      <c r="AD58">
        <v>1</v>
      </c>
      <c r="AE58">
        <v>0</v>
      </c>
      <c r="AF58">
        <v>1</v>
      </c>
      <c r="AG58">
        <v>2</v>
      </c>
      <c r="AH58">
        <v>4</v>
      </c>
      <c r="AI58">
        <v>1</v>
      </c>
      <c r="AJ58">
        <v>1</v>
      </c>
      <c r="AT58">
        <v>0</v>
      </c>
      <c r="AU58">
        <v>16</v>
      </c>
      <c r="AV58">
        <v>332</v>
      </c>
      <c r="AW58">
        <v>332</v>
      </c>
      <c r="AX58">
        <v>416</v>
      </c>
      <c r="BA58">
        <v>1</v>
      </c>
      <c r="BC58" t="s">
        <v>197</v>
      </c>
      <c r="BD58" s="4">
        <v>43283.258032407408</v>
      </c>
      <c r="BE58" s="4">
        <v>43283.282789351855</v>
      </c>
      <c r="BF58" s="4">
        <v>43283.282789351855</v>
      </c>
      <c r="BG58" t="s">
        <v>83</v>
      </c>
      <c r="BH58" t="s">
        <v>84</v>
      </c>
      <c r="BI58" t="s">
        <v>85</v>
      </c>
    </row>
    <row r="59" spans="1:61" x14ac:dyDescent="0.3">
      <c r="A59" t="str">
        <f>"200031B0100"</f>
        <v>200031B0100</v>
      </c>
      <c r="B59" t="s">
        <v>198</v>
      </c>
      <c r="C59">
        <v>20</v>
      </c>
      <c r="D59" t="s">
        <v>79</v>
      </c>
      <c r="E59">
        <v>1</v>
      </c>
      <c r="F59" t="s">
        <v>80</v>
      </c>
      <c r="G59">
        <v>31</v>
      </c>
      <c r="H59">
        <v>1</v>
      </c>
      <c r="I59" t="s">
        <v>81</v>
      </c>
      <c r="J59">
        <v>0</v>
      </c>
      <c r="K59">
        <v>2</v>
      </c>
      <c r="L59">
        <v>2</v>
      </c>
      <c r="M59">
        <v>137</v>
      </c>
      <c r="N59">
        <v>486</v>
      </c>
      <c r="O59">
        <v>3</v>
      </c>
      <c r="P59">
        <v>486</v>
      </c>
      <c r="Q59">
        <v>181</v>
      </c>
      <c r="R59">
        <v>157</v>
      </c>
      <c r="S59">
        <v>7</v>
      </c>
      <c r="T59">
        <v>9</v>
      </c>
      <c r="U59">
        <v>7</v>
      </c>
      <c r="V59">
        <v>8</v>
      </c>
      <c r="W59">
        <v>3</v>
      </c>
      <c r="X59">
        <v>5</v>
      </c>
      <c r="Y59">
        <v>73</v>
      </c>
      <c r="AA59">
        <v>1</v>
      </c>
      <c r="AC59">
        <v>0</v>
      </c>
      <c r="AD59">
        <v>3</v>
      </c>
      <c r="AE59">
        <v>1</v>
      </c>
      <c r="AF59">
        <v>0</v>
      </c>
      <c r="AG59">
        <v>3</v>
      </c>
      <c r="AH59">
        <v>4</v>
      </c>
      <c r="AI59">
        <v>0</v>
      </c>
      <c r="AJ59">
        <v>0</v>
      </c>
      <c r="AT59">
        <v>0</v>
      </c>
      <c r="AU59">
        <v>24</v>
      </c>
      <c r="AV59">
        <v>486</v>
      </c>
      <c r="AW59">
        <v>486</v>
      </c>
      <c r="AX59">
        <v>600</v>
      </c>
      <c r="BA59">
        <v>1</v>
      </c>
      <c r="BC59" t="s">
        <v>199</v>
      </c>
      <c r="BD59" s="4">
        <v>43283.258657407408</v>
      </c>
      <c r="BE59" s="4">
        <v>43283.282569444447</v>
      </c>
      <c r="BF59" s="4">
        <v>43283.282569444447</v>
      </c>
      <c r="BG59" t="s">
        <v>83</v>
      </c>
      <c r="BH59" t="s">
        <v>84</v>
      </c>
      <c r="BI59" t="s">
        <v>85</v>
      </c>
    </row>
    <row r="60" spans="1:61" x14ac:dyDescent="0.3">
      <c r="A60" t="str">
        <f>"200031C0100"</f>
        <v>200031C0100</v>
      </c>
      <c r="B60" t="s">
        <v>200</v>
      </c>
      <c r="C60">
        <v>20</v>
      </c>
      <c r="D60" t="s">
        <v>79</v>
      </c>
      <c r="E60">
        <v>1</v>
      </c>
      <c r="F60" t="s">
        <v>80</v>
      </c>
      <c r="G60">
        <v>31</v>
      </c>
      <c r="H60">
        <v>1</v>
      </c>
      <c r="I60" t="s">
        <v>89</v>
      </c>
      <c r="J60">
        <v>0</v>
      </c>
      <c r="K60">
        <v>2</v>
      </c>
      <c r="L60">
        <v>2</v>
      </c>
      <c r="M60">
        <v>145</v>
      </c>
      <c r="N60">
        <v>477</v>
      </c>
      <c r="O60">
        <v>1</v>
      </c>
      <c r="P60">
        <v>477</v>
      </c>
      <c r="Q60">
        <v>193</v>
      </c>
      <c r="R60">
        <v>135</v>
      </c>
      <c r="S60">
        <v>3</v>
      </c>
      <c r="T60">
        <v>8</v>
      </c>
      <c r="U60">
        <v>10</v>
      </c>
      <c r="V60">
        <v>1</v>
      </c>
      <c r="W60">
        <v>3</v>
      </c>
      <c r="X60">
        <v>2</v>
      </c>
      <c r="Y60">
        <v>83</v>
      </c>
      <c r="AA60">
        <v>2</v>
      </c>
      <c r="AC60">
        <v>5</v>
      </c>
      <c r="AD60">
        <v>0</v>
      </c>
      <c r="AE60">
        <v>1</v>
      </c>
      <c r="AF60">
        <v>0</v>
      </c>
      <c r="AG60">
        <v>1</v>
      </c>
      <c r="AH60">
        <v>3</v>
      </c>
      <c r="AI60">
        <v>0</v>
      </c>
      <c r="AJ60">
        <v>0</v>
      </c>
      <c r="AT60">
        <v>0</v>
      </c>
      <c r="AU60">
        <v>27</v>
      </c>
      <c r="AV60">
        <v>477</v>
      </c>
      <c r="AW60">
        <v>477</v>
      </c>
      <c r="AX60">
        <v>600</v>
      </c>
      <c r="BA60">
        <v>1</v>
      </c>
      <c r="BC60" t="s">
        <v>201</v>
      </c>
      <c r="BD60" s="4">
        <v>43283.260185185187</v>
      </c>
      <c r="BE60" s="4">
        <v>43283.284629629627</v>
      </c>
      <c r="BF60" s="4">
        <v>43283.284629629627</v>
      </c>
      <c r="BG60" t="s">
        <v>83</v>
      </c>
      <c r="BH60" t="s">
        <v>84</v>
      </c>
      <c r="BI60" t="s">
        <v>85</v>
      </c>
    </row>
    <row r="61" spans="1:61" x14ac:dyDescent="0.3">
      <c r="A61" t="str">
        <f>"200031C0200"</f>
        <v>200031C0200</v>
      </c>
      <c r="B61" t="s">
        <v>202</v>
      </c>
      <c r="C61">
        <v>20</v>
      </c>
      <c r="D61" t="s">
        <v>79</v>
      </c>
      <c r="E61">
        <v>1</v>
      </c>
      <c r="F61" t="s">
        <v>80</v>
      </c>
      <c r="G61">
        <v>31</v>
      </c>
      <c r="H61">
        <v>2</v>
      </c>
      <c r="I61" t="s">
        <v>89</v>
      </c>
      <c r="J61">
        <v>0</v>
      </c>
      <c r="K61">
        <v>2</v>
      </c>
      <c r="L61">
        <v>2</v>
      </c>
      <c r="M61">
        <v>173</v>
      </c>
      <c r="N61">
        <v>449</v>
      </c>
      <c r="O61">
        <v>1</v>
      </c>
      <c r="P61">
        <v>449</v>
      </c>
      <c r="Q61">
        <v>209</v>
      </c>
      <c r="R61">
        <v>119</v>
      </c>
      <c r="S61">
        <v>5</v>
      </c>
      <c r="T61">
        <v>8</v>
      </c>
      <c r="U61">
        <v>2</v>
      </c>
      <c r="V61">
        <v>4</v>
      </c>
      <c r="W61">
        <v>3</v>
      </c>
      <c r="X61">
        <v>0</v>
      </c>
      <c r="Y61">
        <v>68</v>
      </c>
      <c r="AA61">
        <v>0</v>
      </c>
      <c r="AC61">
        <v>1</v>
      </c>
      <c r="AD61">
        <v>0</v>
      </c>
      <c r="AE61">
        <v>1</v>
      </c>
      <c r="AF61">
        <v>0</v>
      </c>
      <c r="AG61">
        <v>1</v>
      </c>
      <c r="AH61">
        <v>3</v>
      </c>
      <c r="AI61">
        <v>0</v>
      </c>
      <c r="AJ61">
        <v>0</v>
      </c>
      <c r="AT61">
        <v>0</v>
      </c>
      <c r="AU61">
        <v>25</v>
      </c>
      <c r="AV61">
        <v>449</v>
      </c>
      <c r="AW61">
        <v>449</v>
      </c>
      <c r="AX61">
        <v>600</v>
      </c>
      <c r="BA61">
        <v>1</v>
      </c>
      <c r="BC61" t="s">
        <v>203</v>
      </c>
      <c r="BD61" s="4">
        <v>43283.261655092596</v>
      </c>
      <c r="BE61" s="4">
        <v>43283.285740740743</v>
      </c>
      <c r="BF61" s="4">
        <v>43283.285740740743</v>
      </c>
      <c r="BG61" t="s">
        <v>83</v>
      </c>
      <c r="BH61" t="s">
        <v>84</v>
      </c>
      <c r="BI61" t="s">
        <v>85</v>
      </c>
    </row>
    <row r="62" spans="1:61" x14ac:dyDescent="0.3">
      <c r="A62" t="str">
        <f>"200032B0100"</f>
        <v>200032B0100</v>
      </c>
      <c r="B62" t="s">
        <v>204</v>
      </c>
      <c r="C62">
        <v>20</v>
      </c>
      <c r="D62" t="s">
        <v>79</v>
      </c>
      <c r="E62">
        <v>1</v>
      </c>
      <c r="F62" t="s">
        <v>80</v>
      </c>
      <c r="G62">
        <v>32</v>
      </c>
      <c r="H62">
        <v>1</v>
      </c>
      <c r="I62" t="s">
        <v>81</v>
      </c>
      <c r="J62">
        <v>0</v>
      </c>
      <c r="K62">
        <v>2</v>
      </c>
      <c r="L62">
        <v>2</v>
      </c>
      <c r="M62">
        <v>85</v>
      </c>
      <c r="N62">
        <v>352</v>
      </c>
      <c r="O62">
        <v>5</v>
      </c>
      <c r="P62">
        <v>352</v>
      </c>
      <c r="Q62">
        <v>108</v>
      </c>
      <c r="R62">
        <v>144</v>
      </c>
      <c r="S62">
        <v>5</v>
      </c>
      <c r="T62">
        <v>2</v>
      </c>
      <c r="U62">
        <v>8</v>
      </c>
      <c r="V62">
        <v>8</v>
      </c>
      <c r="W62">
        <v>1</v>
      </c>
      <c r="X62">
        <v>1</v>
      </c>
      <c r="Y62">
        <v>61</v>
      </c>
      <c r="AA62">
        <v>0</v>
      </c>
      <c r="AC62">
        <v>0</v>
      </c>
      <c r="AD62">
        <v>1</v>
      </c>
      <c r="AE62">
        <v>0</v>
      </c>
      <c r="AF62">
        <v>0</v>
      </c>
      <c r="AG62">
        <v>0</v>
      </c>
      <c r="AH62">
        <v>1</v>
      </c>
      <c r="AI62">
        <v>0</v>
      </c>
      <c r="AJ62">
        <v>0</v>
      </c>
      <c r="AT62">
        <v>0</v>
      </c>
      <c r="AU62">
        <v>12</v>
      </c>
      <c r="AV62">
        <v>352</v>
      </c>
      <c r="AW62">
        <v>352</v>
      </c>
      <c r="AX62">
        <v>415</v>
      </c>
      <c r="BA62">
        <v>1</v>
      </c>
      <c r="BC62" t="s">
        <v>205</v>
      </c>
      <c r="BD62" s="4">
        <v>43283.263310185182</v>
      </c>
      <c r="BE62" s="4">
        <v>43283.287835648145</v>
      </c>
      <c r="BF62" s="4">
        <v>43283.287835648145</v>
      </c>
      <c r="BG62" t="s">
        <v>83</v>
      </c>
      <c r="BH62" t="s">
        <v>84</v>
      </c>
      <c r="BI62" t="s">
        <v>85</v>
      </c>
    </row>
    <row r="63" spans="1:61" x14ac:dyDescent="0.3">
      <c r="A63" t="str">
        <f>"200033B0100"</f>
        <v>200033B0100</v>
      </c>
      <c r="B63" t="s">
        <v>206</v>
      </c>
      <c r="C63">
        <v>20</v>
      </c>
      <c r="D63" t="s">
        <v>79</v>
      </c>
      <c r="E63">
        <v>1</v>
      </c>
      <c r="F63" t="s">
        <v>80</v>
      </c>
      <c r="G63">
        <v>33</v>
      </c>
      <c r="H63">
        <v>1</v>
      </c>
      <c r="I63" t="s">
        <v>81</v>
      </c>
      <c r="J63">
        <v>0</v>
      </c>
      <c r="K63">
        <v>2</v>
      </c>
      <c r="L63">
        <v>2</v>
      </c>
      <c r="M63">
        <v>85</v>
      </c>
      <c r="N63">
        <v>338</v>
      </c>
      <c r="O63">
        <v>0</v>
      </c>
      <c r="P63">
        <v>338</v>
      </c>
      <c r="Q63">
        <v>72</v>
      </c>
      <c r="R63">
        <v>143</v>
      </c>
      <c r="S63">
        <v>7</v>
      </c>
      <c r="T63">
        <v>3</v>
      </c>
      <c r="U63">
        <v>2</v>
      </c>
      <c r="V63">
        <v>4</v>
      </c>
      <c r="W63">
        <v>2</v>
      </c>
      <c r="X63">
        <v>1</v>
      </c>
      <c r="Y63">
        <v>85</v>
      </c>
      <c r="AA63">
        <v>0</v>
      </c>
      <c r="AC63">
        <v>2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T63">
        <v>0</v>
      </c>
      <c r="AU63">
        <v>12</v>
      </c>
      <c r="AV63" t="s">
        <v>100</v>
      </c>
      <c r="AW63">
        <v>333</v>
      </c>
      <c r="AX63">
        <v>401</v>
      </c>
      <c r="BA63">
        <v>1</v>
      </c>
      <c r="BC63" t="s">
        <v>207</v>
      </c>
      <c r="BD63" s="4">
        <v>43283.166724537034</v>
      </c>
      <c r="BE63" s="4">
        <v>43283.178101851852</v>
      </c>
      <c r="BF63" s="4">
        <v>43283.178101851852</v>
      </c>
      <c r="BG63" t="s">
        <v>83</v>
      </c>
      <c r="BH63" t="s">
        <v>84</v>
      </c>
      <c r="BI63" t="s">
        <v>85</v>
      </c>
    </row>
    <row r="64" spans="1:61" x14ac:dyDescent="0.3">
      <c r="A64" t="str">
        <f>"200033C0100"</f>
        <v>200033C0100</v>
      </c>
      <c r="B64" t="s">
        <v>208</v>
      </c>
      <c r="C64">
        <v>20</v>
      </c>
      <c r="D64" t="s">
        <v>79</v>
      </c>
      <c r="E64">
        <v>1</v>
      </c>
      <c r="F64" t="s">
        <v>80</v>
      </c>
      <c r="G64">
        <v>33</v>
      </c>
      <c r="H64">
        <v>1</v>
      </c>
      <c r="I64" t="s">
        <v>89</v>
      </c>
      <c r="J64">
        <v>0</v>
      </c>
      <c r="K64">
        <v>2</v>
      </c>
      <c r="L64">
        <v>2</v>
      </c>
      <c r="M64">
        <v>80</v>
      </c>
      <c r="N64">
        <v>342</v>
      </c>
      <c r="O64">
        <v>0</v>
      </c>
      <c r="P64">
        <v>342</v>
      </c>
      <c r="Q64">
        <v>63</v>
      </c>
      <c r="R64">
        <v>178</v>
      </c>
      <c r="S64">
        <v>5</v>
      </c>
      <c r="T64">
        <v>3</v>
      </c>
      <c r="U64">
        <v>6</v>
      </c>
      <c r="V64">
        <v>3</v>
      </c>
      <c r="W64">
        <v>0</v>
      </c>
      <c r="X64">
        <v>0</v>
      </c>
      <c r="Y64">
        <v>55</v>
      </c>
      <c r="AA64">
        <v>0</v>
      </c>
      <c r="AC64">
        <v>8</v>
      </c>
      <c r="AD64">
        <v>0</v>
      </c>
      <c r="AE64">
        <v>0</v>
      </c>
      <c r="AF64">
        <v>0</v>
      </c>
      <c r="AG64">
        <v>0</v>
      </c>
      <c r="AH64">
        <v>2</v>
      </c>
      <c r="AI64">
        <v>0</v>
      </c>
      <c r="AJ64">
        <v>0</v>
      </c>
      <c r="AT64" t="s">
        <v>100</v>
      </c>
      <c r="AU64">
        <v>19</v>
      </c>
      <c r="AV64" t="s">
        <v>100</v>
      </c>
      <c r="AW64">
        <v>342</v>
      </c>
      <c r="AX64">
        <v>400</v>
      </c>
      <c r="AZ64" t="s">
        <v>101</v>
      </c>
      <c r="BA64">
        <v>1</v>
      </c>
      <c r="BC64" t="s">
        <v>209</v>
      </c>
      <c r="BD64" s="4">
        <v>43283.165821759256</v>
      </c>
      <c r="BE64" s="4">
        <v>43283.175393518519</v>
      </c>
      <c r="BF64" s="4">
        <v>43283.175393518519</v>
      </c>
      <c r="BG64" t="s">
        <v>83</v>
      </c>
      <c r="BH64" t="s">
        <v>84</v>
      </c>
      <c r="BI64" t="s">
        <v>85</v>
      </c>
    </row>
    <row r="65" spans="1:61" x14ac:dyDescent="0.3">
      <c r="A65" t="str">
        <f>"200033E0100"</f>
        <v>200033E0100</v>
      </c>
      <c r="B65" s="2" t="s">
        <v>210</v>
      </c>
      <c r="C65">
        <v>20</v>
      </c>
      <c r="D65" t="s">
        <v>79</v>
      </c>
      <c r="E65">
        <v>1</v>
      </c>
      <c r="F65" t="s">
        <v>80</v>
      </c>
      <c r="G65">
        <v>33</v>
      </c>
      <c r="H65">
        <v>1</v>
      </c>
      <c r="I65" t="s">
        <v>145</v>
      </c>
      <c r="J65">
        <v>0</v>
      </c>
      <c r="K65">
        <v>2</v>
      </c>
      <c r="L65">
        <v>2</v>
      </c>
      <c r="M65">
        <v>84</v>
      </c>
      <c r="N65">
        <v>396</v>
      </c>
      <c r="O65">
        <v>0</v>
      </c>
      <c r="P65">
        <v>396</v>
      </c>
      <c r="Q65">
        <v>174</v>
      </c>
      <c r="R65">
        <v>109</v>
      </c>
      <c r="S65">
        <v>6</v>
      </c>
      <c r="T65">
        <v>2</v>
      </c>
      <c r="U65">
        <v>5</v>
      </c>
      <c r="V65">
        <v>6</v>
      </c>
      <c r="W65">
        <v>0</v>
      </c>
      <c r="X65">
        <v>1</v>
      </c>
      <c r="Y65">
        <v>73</v>
      </c>
      <c r="AA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2</v>
      </c>
      <c r="AI65">
        <v>0</v>
      </c>
      <c r="AJ65">
        <v>0</v>
      </c>
      <c r="AT65">
        <v>0</v>
      </c>
      <c r="AU65">
        <v>18</v>
      </c>
      <c r="AV65">
        <v>396</v>
      </c>
      <c r="AW65">
        <v>396</v>
      </c>
      <c r="AX65">
        <v>458</v>
      </c>
      <c r="BA65">
        <v>1</v>
      </c>
      <c r="BC65" t="s">
        <v>211</v>
      </c>
      <c r="BD65" s="4">
        <v>43283.162060185183</v>
      </c>
      <c r="BE65" s="4">
        <v>43283.17355324074</v>
      </c>
      <c r="BF65" s="4">
        <v>43283.17355324074</v>
      </c>
      <c r="BG65" t="s">
        <v>83</v>
      </c>
      <c r="BH65" t="s">
        <v>84</v>
      </c>
      <c r="BI65" t="s">
        <v>85</v>
      </c>
    </row>
    <row r="66" spans="1:61" x14ac:dyDescent="0.3">
      <c r="A66" t="str">
        <f>"200034B0100"</f>
        <v>200034B0100</v>
      </c>
      <c r="B66" t="s">
        <v>212</v>
      </c>
      <c r="C66">
        <v>20</v>
      </c>
      <c r="D66" t="s">
        <v>79</v>
      </c>
      <c r="E66">
        <v>1</v>
      </c>
      <c r="F66" t="s">
        <v>80</v>
      </c>
      <c r="G66">
        <v>34</v>
      </c>
      <c r="H66">
        <v>1</v>
      </c>
      <c r="I66" t="s">
        <v>81</v>
      </c>
      <c r="J66">
        <v>0</v>
      </c>
      <c r="K66">
        <v>2</v>
      </c>
      <c r="L66">
        <v>2</v>
      </c>
      <c r="M66">
        <v>130</v>
      </c>
      <c r="N66">
        <v>386</v>
      </c>
      <c r="O66">
        <v>0</v>
      </c>
      <c r="P66">
        <v>386</v>
      </c>
      <c r="Q66">
        <v>78</v>
      </c>
      <c r="R66">
        <v>85</v>
      </c>
      <c r="S66">
        <v>9</v>
      </c>
      <c r="T66">
        <v>16</v>
      </c>
      <c r="U66">
        <v>15</v>
      </c>
      <c r="V66">
        <v>8</v>
      </c>
      <c r="W66">
        <v>3</v>
      </c>
      <c r="X66">
        <v>15</v>
      </c>
      <c r="Y66">
        <v>127</v>
      </c>
      <c r="AA66">
        <v>0</v>
      </c>
      <c r="AC66">
        <v>2</v>
      </c>
      <c r="AD66">
        <v>0</v>
      </c>
      <c r="AE66">
        <v>0</v>
      </c>
      <c r="AF66">
        <v>0</v>
      </c>
      <c r="AG66">
        <v>0</v>
      </c>
      <c r="AH66">
        <v>1</v>
      </c>
      <c r="AI66">
        <v>0</v>
      </c>
      <c r="AJ66">
        <v>1</v>
      </c>
      <c r="AT66">
        <v>0</v>
      </c>
      <c r="AU66">
        <v>26</v>
      </c>
      <c r="AV66">
        <v>386</v>
      </c>
      <c r="AW66">
        <v>386</v>
      </c>
      <c r="AX66">
        <v>494</v>
      </c>
      <c r="BA66">
        <v>1</v>
      </c>
      <c r="BC66" t="s">
        <v>213</v>
      </c>
      <c r="BD66" s="4">
        <v>43283.228101851855</v>
      </c>
      <c r="BE66" s="4">
        <v>43283.256307870368</v>
      </c>
      <c r="BF66" s="4">
        <v>43283.256307870368</v>
      </c>
      <c r="BG66" t="s">
        <v>83</v>
      </c>
      <c r="BH66" t="s">
        <v>84</v>
      </c>
      <c r="BI66" t="s">
        <v>85</v>
      </c>
    </row>
    <row r="67" spans="1:61" x14ac:dyDescent="0.3">
      <c r="A67" t="str">
        <f>"200034E0100"</f>
        <v>200034E0100</v>
      </c>
      <c r="B67" s="2" t="s">
        <v>214</v>
      </c>
      <c r="C67">
        <v>20</v>
      </c>
      <c r="D67" t="s">
        <v>79</v>
      </c>
      <c r="E67">
        <v>1</v>
      </c>
      <c r="F67" t="s">
        <v>80</v>
      </c>
      <c r="G67">
        <v>34</v>
      </c>
      <c r="H67">
        <v>1</v>
      </c>
      <c r="I67" t="s">
        <v>145</v>
      </c>
      <c r="J67">
        <v>0</v>
      </c>
      <c r="K67">
        <v>2</v>
      </c>
      <c r="L67">
        <v>2</v>
      </c>
      <c r="M67" t="s">
        <v>100</v>
      </c>
      <c r="N67">
        <v>693</v>
      </c>
      <c r="O67">
        <v>0</v>
      </c>
      <c r="P67">
        <v>514</v>
      </c>
      <c r="Q67">
        <v>174</v>
      </c>
      <c r="R67">
        <v>115</v>
      </c>
      <c r="S67">
        <v>7</v>
      </c>
      <c r="T67">
        <v>7</v>
      </c>
      <c r="U67">
        <v>9</v>
      </c>
      <c r="V67">
        <v>12</v>
      </c>
      <c r="W67">
        <v>0</v>
      </c>
      <c r="X67">
        <v>6</v>
      </c>
      <c r="Y67">
        <v>158</v>
      </c>
      <c r="AA67">
        <v>1</v>
      </c>
      <c r="AC67">
        <v>0</v>
      </c>
      <c r="AD67">
        <v>1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T67">
        <v>0</v>
      </c>
      <c r="AU67">
        <v>24</v>
      </c>
      <c r="AV67">
        <v>514</v>
      </c>
      <c r="AW67">
        <v>514</v>
      </c>
      <c r="AX67">
        <v>693</v>
      </c>
      <c r="BA67">
        <v>1</v>
      </c>
      <c r="BC67" s="2" t="s">
        <v>215</v>
      </c>
      <c r="BD67" s="4">
        <v>43283.227187500001</v>
      </c>
      <c r="BE67" s="4">
        <v>43283.256851851853</v>
      </c>
      <c r="BF67" s="4">
        <v>43283.256851851853</v>
      </c>
      <c r="BG67" t="s">
        <v>83</v>
      </c>
      <c r="BH67" t="s">
        <v>84</v>
      </c>
      <c r="BI67" t="s">
        <v>85</v>
      </c>
    </row>
    <row r="68" spans="1:61" x14ac:dyDescent="0.3">
      <c r="A68" t="str">
        <f>"200134B0100"</f>
        <v>200134B0100</v>
      </c>
      <c r="B68" t="s">
        <v>216</v>
      </c>
      <c r="C68">
        <v>20</v>
      </c>
      <c r="D68" t="s">
        <v>79</v>
      </c>
      <c r="E68">
        <v>1</v>
      </c>
      <c r="F68" t="s">
        <v>80</v>
      </c>
      <c r="G68">
        <v>134</v>
      </c>
      <c r="H68">
        <v>1</v>
      </c>
      <c r="I68" t="s">
        <v>81</v>
      </c>
      <c r="J68">
        <v>0</v>
      </c>
      <c r="K68">
        <v>1</v>
      </c>
      <c r="L68">
        <v>2</v>
      </c>
      <c r="M68">
        <v>135</v>
      </c>
      <c r="N68">
        <v>302</v>
      </c>
      <c r="O68">
        <v>6</v>
      </c>
      <c r="P68" t="s">
        <v>100</v>
      </c>
      <c r="Q68">
        <v>19</v>
      </c>
      <c r="R68">
        <v>169</v>
      </c>
      <c r="S68">
        <v>2</v>
      </c>
      <c r="T68">
        <v>9</v>
      </c>
      <c r="U68">
        <v>4</v>
      </c>
      <c r="V68">
        <v>4</v>
      </c>
      <c r="W68">
        <v>0</v>
      </c>
      <c r="X68">
        <v>0</v>
      </c>
      <c r="Y68">
        <v>74</v>
      </c>
      <c r="AA68">
        <v>1</v>
      </c>
      <c r="AC68">
        <v>0</v>
      </c>
      <c r="AD68">
        <v>0</v>
      </c>
      <c r="AE68">
        <v>0</v>
      </c>
      <c r="AF68">
        <v>0</v>
      </c>
      <c r="AG68">
        <v>1</v>
      </c>
      <c r="AH68">
        <v>5</v>
      </c>
      <c r="AI68">
        <v>0</v>
      </c>
      <c r="AJ68">
        <v>0</v>
      </c>
      <c r="AT68">
        <v>0</v>
      </c>
      <c r="AU68">
        <v>11</v>
      </c>
      <c r="AV68">
        <v>302</v>
      </c>
      <c r="AW68">
        <v>299</v>
      </c>
      <c r="AX68">
        <v>415</v>
      </c>
      <c r="BA68">
        <v>1</v>
      </c>
      <c r="BC68" t="s">
        <v>217</v>
      </c>
      <c r="BD68" s="4">
        <v>43283.249583333331</v>
      </c>
      <c r="BE68" s="4">
        <v>43283.272569444445</v>
      </c>
      <c r="BF68" s="4">
        <v>43283.272569444445</v>
      </c>
      <c r="BG68" t="s">
        <v>83</v>
      </c>
      <c r="BH68" t="s">
        <v>84</v>
      </c>
      <c r="BI68" t="s">
        <v>85</v>
      </c>
    </row>
    <row r="69" spans="1:61" x14ac:dyDescent="0.3">
      <c r="A69" t="str">
        <f>"200134C0100"</f>
        <v>200134C0100</v>
      </c>
      <c r="B69" t="s">
        <v>218</v>
      </c>
      <c r="C69">
        <v>20</v>
      </c>
      <c r="D69" t="s">
        <v>79</v>
      </c>
      <c r="E69">
        <v>1</v>
      </c>
      <c r="F69" t="s">
        <v>80</v>
      </c>
      <c r="G69">
        <v>134</v>
      </c>
      <c r="H69">
        <v>1</v>
      </c>
      <c r="I69" t="s">
        <v>89</v>
      </c>
      <c r="J69">
        <v>0</v>
      </c>
      <c r="K69">
        <v>1</v>
      </c>
      <c r="L69">
        <v>2</v>
      </c>
      <c r="M69">
        <v>134</v>
      </c>
      <c r="N69">
        <v>301</v>
      </c>
      <c r="O69">
        <v>4</v>
      </c>
      <c r="P69">
        <v>2</v>
      </c>
      <c r="Q69">
        <v>23</v>
      </c>
      <c r="R69">
        <v>169</v>
      </c>
      <c r="S69">
        <v>1</v>
      </c>
      <c r="T69">
        <v>7</v>
      </c>
      <c r="U69">
        <v>5</v>
      </c>
      <c r="V69">
        <v>4</v>
      </c>
      <c r="W69">
        <v>0</v>
      </c>
      <c r="X69">
        <v>2</v>
      </c>
      <c r="Y69">
        <v>71</v>
      </c>
      <c r="AA69">
        <v>1</v>
      </c>
      <c r="AC69">
        <v>0</v>
      </c>
      <c r="AD69">
        <v>0</v>
      </c>
      <c r="AE69">
        <v>0</v>
      </c>
      <c r="AF69">
        <v>0</v>
      </c>
      <c r="AG69">
        <v>2</v>
      </c>
      <c r="AH69">
        <v>3</v>
      </c>
      <c r="AI69">
        <v>0</v>
      </c>
      <c r="AJ69">
        <v>0</v>
      </c>
      <c r="AT69" t="s">
        <v>100</v>
      </c>
      <c r="AU69">
        <v>13</v>
      </c>
      <c r="AV69">
        <v>304</v>
      </c>
      <c r="AW69">
        <v>301</v>
      </c>
      <c r="AX69">
        <v>414</v>
      </c>
      <c r="AZ69" t="s">
        <v>101</v>
      </c>
      <c r="BA69">
        <v>1</v>
      </c>
      <c r="BC69" t="s">
        <v>219</v>
      </c>
      <c r="BD69" s="4">
        <v>43283.249027777776</v>
      </c>
      <c r="BE69" s="4">
        <v>43283.272291666668</v>
      </c>
      <c r="BF69" s="4">
        <v>43283.272291666668</v>
      </c>
      <c r="BG69" t="s">
        <v>83</v>
      </c>
      <c r="BH69" t="s">
        <v>84</v>
      </c>
      <c r="BI69" t="s">
        <v>85</v>
      </c>
    </row>
    <row r="70" spans="1:61" x14ac:dyDescent="0.3">
      <c r="A70" t="str">
        <f>"200135B0100"</f>
        <v>200135B0100</v>
      </c>
      <c r="B70" t="s">
        <v>220</v>
      </c>
      <c r="C70">
        <v>20</v>
      </c>
      <c r="D70" t="s">
        <v>79</v>
      </c>
      <c r="E70">
        <v>1</v>
      </c>
      <c r="F70" t="s">
        <v>80</v>
      </c>
      <c r="G70">
        <v>135</v>
      </c>
      <c r="H70">
        <v>1</v>
      </c>
      <c r="I70" t="s">
        <v>81</v>
      </c>
      <c r="J70">
        <v>0</v>
      </c>
      <c r="K70">
        <v>1</v>
      </c>
      <c r="L70">
        <v>2</v>
      </c>
      <c r="M70">
        <v>180</v>
      </c>
      <c r="N70">
        <v>456</v>
      </c>
      <c r="O70">
        <v>0</v>
      </c>
      <c r="P70" t="s">
        <v>100</v>
      </c>
      <c r="Q70">
        <v>37</v>
      </c>
      <c r="R70">
        <v>228</v>
      </c>
      <c r="S70">
        <v>6</v>
      </c>
      <c r="T70">
        <v>7</v>
      </c>
      <c r="U70">
        <v>13</v>
      </c>
      <c r="V70">
        <v>3</v>
      </c>
      <c r="W70">
        <v>2</v>
      </c>
      <c r="X70">
        <v>13</v>
      </c>
      <c r="Y70">
        <v>100</v>
      </c>
      <c r="AA70">
        <v>4</v>
      </c>
      <c r="AC70">
        <v>0</v>
      </c>
      <c r="AD70">
        <v>0</v>
      </c>
      <c r="AE70">
        <v>1</v>
      </c>
      <c r="AF70">
        <v>0</v>
      </c>
      <c r="AG70">
        <v>12</v>
      </c>
      <c r="AH70">
        <v>5</v>
      </c>
      <c r="AI70">
        <v>1</v>
      </c>
      <c r="AJ70">
        <v>0</v>
      </c>
      <c r="AT70">
        <v>0</v>
      </c>
      <c r="AU70">
        <v>25</v>
      </c>
      <c r="AV70">
        <v>456</v>
      </c>
      <c r="AW70">
        <v>457</v>
      </c>
      <c r="AX70">
        <v>615</v>
      </c>
      <c r="BA70">
        <v>1</v>
      </c>
      <c r="BC70" t="s">
        <v>221</v>
      </c>
      <c r="BD70" s="4">
        <v>43283.244849537034</v>
      </c>
      <c r="BE70" s="4">
        <v>43283.267245370371</v>
      </c>
      <c r="BF70" s="4">
        <v>43283.267245370371</v>
      </c>
      <c r="BG70" t="s">
        <v>83</v>
      </c>
      <c r="BH70" t="s">
        <v>84</v>
      </c>
      <c r="BI70" t="s">
        <v>85</v>
      </c>
    </row>
    <row r="71" spans="1:61" x14ac:dyDescent="0.3">
      <c r="A71" t="str">
        <f>"200135C0100"</f>
        <v>200135C0100</v>
      </c>
      <c r="B71" t="s">
        <v>222</v>
      </c>
      <c r="C71">
        <v>20</v>
      </c>
      <c r="D71" t="s">
        <v>79</v>
      </c>
      <c r="E71">
        <v>1</v>
      </c>
      <c r="F71" t="s">
        <v>80</v>
      </c>
      <c r="G71">
        <v>135</v>
      </c>
      <c r="H71">
        <v>1</v>
      </c>
      <c r="I71" t="s">
        <v>89</v>
      </c>
      <c r="J71">
        <v>0</v>
      </c>
      <c r="K71">
        <v>1</v>
      </c>
      <c r="L71">
        <v>2</v>
      </c>
      <c r="M71">
        <v>195</v>
      </c>
      <c r="N71">
        <v>442</v>
      </c>
      <c r="O71">
        <v>3</v>
      </c>
      <c r="P71">
        <v>442</v>
      </c>
      <c r="Q71">
        <v>33</v>
      </c>
      <c r="R71">
        <v>228</v>
      </c>
      <c r="S71">
        <v>2</v>
      </c>
      <c r="T71">
        <v>10</v>
      </c>
      <c r="U71">
        <v>18</v>
      </c>
      <c r="V71">
        <v>8</v>
      </c>
      <c r="W71">
        <v>0</v>
      </c>
      <c r="X71">
        <v>10</v>
      </c>
      <c r="Y71">
        <v>94</v>
      </c>
      <c r="AA71">
        <v>1</v>
      </c>
      <c r="AC71">
        <v>2</v>
      </c>
      <c r="AD71">
        <v>0</v>
      </c>
      <c r="AE71">
        <v>0</v>
      </c>
      <c r="AF71">
        <v>0</v>
      </c>
      <c r="AG71">
        <v>9</v>
      </c>
      <c r="AH71">
        <v>11</v>
      </c>
      <c r="AI71">
        <v>1</v>
      </c>
      <c r="AJ71">
        <v>0</v>
      </c>
      <c r="AT71" t="s">
        <v>100</v>
      </c>
      <c r="AU71">
        <v>18</v>
      </c>
      <c r="AV71">
        <v>445</v>
      </c>
      <c r="AW71">
        <v>445</v>
      </c>
      <c r="AX71">
        <v>615</v>
      </c>
      <c r="AZ71" t="s">
        <v>101</v>
      </c>
      <c r="BA71">
        <v>1</v>
      </c>
      <c r="BC71" t="s">
        <v>223</v>
      </c>
      <c r="BD71" s="4">
        <v>43283.245856481481</v>
      </c>
      <c r="BE71" s="4">
        <v>43283.269560185188</v>
      </c>
      <c r="BF71" s="4">
        <v>43283.269560185188</v>
      </c>
      <c r="BG71" t="s">
        <v>83</v>
      </c>
      <c r="BH71" t="s">
        <v>84</v>
      </c>
      <c r="BI71" t="s">
        <v>85</v>
      </c>
    </row>
    <row r="72" spans="1:61" x14ac:dyDescent="0.3">
      <c r="A72" t="str">
        <f>"200135C0200"</f>
        <v>200135C0200</v>
      </c>
      <c r="B72" t="s">
        <v>224</v>
      </c>
      <c r="C72">
        <v>20</v>
      </c>
      <c r="D72" t="s">
        <v>79</v>
      </c>
      <c r="E72">
        <v>1</v>
      </c>
      <c r="F72" t="s">
        <v>80</v>
      </c>
      <c r="G72">
        <v>135</v>
      </c>
      <c r="H72">
        <v>2</v>
      </c>
      <c r="I72" t="s">
        <v>89</v>
      </c>
      <c r="J72">
        <v>0</v>
      </c>
      <c r="K72">
        <v>1</v>
      </c>
      <c r="L72">
        <v>2</v>
      </c>
      <c r="M72">
        <v>186</v>
      </c>
      <c r="N72">
        <v>450</v>
      </c>
      <c r="O72">
        <v>2</v>
      </c>
      <c r="P72">
        <v>447</v>
      </c>
      <c r="Q72">
        <v>38</v>
      </c>
      <c r="R72">
        <v>224</v>
      </c>
      <c r="S72">
        <v>5</v>
      </c>
      <c r="T72">
        <v>8</v>
      </c>
      <c r="U72">
        <v>17</v>
      </c>
      <c r="V72">
        <v>9</v>
      </c>
      <c r="W72">
        <v>1</v>
      </c>
      <c r="X72">
        <v>13</v>
      </c>
      <c r="Y72">
        <v>97</v>
      </c>
      <c r="AA72">
        <v>0</v>
      </c>
      <c r="AC72">
        <v>0</v>
      </c>
      <c r="AD72">
        <v>0</v>
      </c>
      <c r="AE72">
        <v>1</v>
      </c>
      <c r="AF72">
        <v>0</v>
      </c>
      <c r="AG72">
        <v>10</v>
      </c>
      <c r="AH72">
        <v>4</v>
      </c>
      <c r="AI72">
        <v>1</v>
      </c>
      <c r="AJ72">
        <v>0</v>
      </c>
      <c r="AT72">
        <v>0</v>
      </c>
      <c r="AU72">
        <v>19</v>
      </c>
      <c r="AV72">
        <v>447</v>
      </c>
      <c r="AW72">
        <v>447</v>
      </c>
      <c r="AX72">
        <v>614</v>
      </c>
      <c r="BA72">
        <v>1</v>
      </c>
      <c r="BC72" t="s">
        <v>225</v>
      </c>
      <c r="BD72" s="4">
        <v>43283.243796296294</v>
      </c>
      <c r="BE72" s="4">
        <v>43283.267962962964</v>
      </c>
      <c r="BF72" s="4">
        <v>43283.267962962964</v>
      </c>
      <c r="BG72" t="s">
        <v>83</v>
      </c>
      <c r="BH72" t="s">
        <v>84</v>
      </c>
      <c r="BI72" t="s">
        <v>85</v>
      </c>
    </row>
    <row r="73" spans="1:61" x14ac:dyDescent="0.3">
      <c r="A73" t="str">
        <f>"200136B0100"</f>
        <v>200136B0100</v>
      </c>
      <c r="B73" t="s">
        <v>226</v>
      </c>
      <c r="C73">
        <v>20</v>
      </c>
      <c r="D73" t="s">
        <v>79</v>
      </c>
      <c r="E73">
        <v>1</v>
      </c>
      <c r="F73" t="s">
        <v>80</v>
      </c>
      <c r="G73">
        <v>136</v>
      </c>
      <c r="H73">
        <v>1</v>
      </c>
      <c r="I73" t="s">
        <v>81</v>
      </c>
      <c r="J73">
        <v>0</v>
      </c>
      <c r="K73">
        <v>2</v>
      </c>
      <c r="L73">
        <v>2</v>
      </c>
      <c r="M73" t="s">
        <v>100</v>
      </c>
      <c r="N73" t="s">
        <v>100</v>
      </c>
      <c r="O73" t="s">
        <v>100</v>
      </c>
      <c r="P73" t="s">
        <v>100</v>
      </c>
      <c r="Q73">
        <v>36</v>
      </c>
      <c r="R73">
        <v>210</v>
      </c>
      <c r="S73">
        <v>1</v>
      </c>
      <c r="T73">
        <v>12</v>
      </c>
      <c r="U73">
        <v>18</v>
      </c>
      <c r="V73">
        <v>7</v>
      </c>
      <c r="W73">
        <v>0</v>
      </c>
      <c r="X73">
        <v>4</v>
      </c>
      <c r="Y73">
        <v>120</v>
      </c>
      <c r="AA73">
        <v>0</v>
      </c>
      <c r="AC73">
        <v>0</v>
      </c>
      <c r="AD73">
        <v>1</v>
      </c>
      <c r="AE73">
        <v>0</v>
      </c>
      <c r="AF73">
        <v>0</v>
      </c>
      <c r="AG73">
        <v>1</v>
      </c>
      <c r="AH73">
        <v>6</v>
      </c>
      <c r="AI73">
        <v>0</v>
      </c>
      <c r="AJ73">
        <v>1</v>
      </c>
      <c r="AT73">
        <v>0</v>
      </c>
      <c r="AU73">
        <v>24</v>
      </c>
      <c r="AV73">
        <v>442</v>
      </c>
      <c r="AW73">
        <v>441</v>
      </c>
      <c r="AX73">
        <v>621</v>
      </c>
      <c r="BA73">
        <v>1</v>
      </c>
      <c r="BC73" t="s">
        <v>227</v>
      </c>
      <c r="BD73" s="4">
        <v>43283.248356481483</v>
      </c>
      <c r="BE73" s="4">
        <v>43283.271111111113</v>
      </c>
      <c r="BF73" s="4">
        <v>43283.271111111113</v>
      </c>
      <c r="BG73" t="s">
        <v>83</v>
      </c>
      <c r="BH73" t="s">
        <v>84</v>
      </c>
      <c r="BI73" t="s">
        <v>85</v>
      </c>
    </row>
    <row r="74" spans="1:61" x14ac:dyDescent="0.3">
      <c r="A74" t="str">
        <f>"200136C0100"</f>
        <v>200136C0100</v>
      </c>
      <c r="B74" t="s">
        <v>228</v>
      </c>
      <c r="C74">
        <v>20</v>
      </c>
      <c r="D74" t="s">
        <v>79</v>
      </c>
      <c r="E74">
        <v>1</v>
      </c>
      <c r="F74" t="s">
        <v>80</v>
      </c>
      <c r="G74">
        <v>136</v>
      </c>
      <c r="H74">
        <v>1</v>
      </c>
      <c r="I74" t="s">
        <v>89</v>
      </c>
      <c r="J74">
        <v>0</v>
      </c>
      <c r="K74">
        <v>2</v>
      </c>
      <c r="L74">
        <v>2</v>
      </c>
      <c r="M74">
        <v>195</v>
      </c>
      <c r="N74" t="s">
        <v>100</v>
      </c>
      <c r="O74" t="s">
        <v>100</v>
      </c>
      <c r="P74">
        <v>447</v>
      </c>
      <c r="Q74">
        <v>33</v>
      </c>
      <c r="R74">
        <v>212</v>
      </c>
      <c r="S74">
        <v>4</v>
      </c>
      <c r="T74">
        <v>6</v>
      </c>
      <c r="U74">
        <v>20</v>
      </c>
      <c r="V74">
        <v>7</v>
      </c>
      <c r="W74">
        <v>1</v>
      </c>
      <c r="X74">
        <v>2</v>
      </c>
      <c r="Y74">
        <v>17</v>
      </c>
      <c r="AA74">
        <v>0</v>
      </c>
      <c r="AC74">
        <v>0</v>
      </c>
      <c r="AD74">
        <v>0</v>
      </c>
      <c r="AE74">
        <v>0</v>
      </c>
      <c r="AF74">
        <v>1</v>
      </c>
      <c r="AG74">
        <v>7</v>
      </c>
      <c r="AH74">
        <v>5</v>
      </c>
      <c r="AI74">
        <v>1</v>
      </c>
      <c r="AJ74">
        <v>0</v>
      </c>
      <c r="AT74">
        <v>0</v>
      </c>
      <c r="AU74">
        <v>29</v>
      </c>
      <c r="AV74">
        <v>447</v>
      </c>
      <c r="AW74">
        <v>345</v>
      </c>
      <c r="AX74">
        <v>621</v>
      </c>
      <c r="BA74">
        <v>1</v>
      </c>
      <c r="BC74" t="s">
        <v>229</v>
      </c>
      <c r="BD74" s="4">
        <v>43283.246539351851</v>
      </c>
      <c r="BE74" s="4">
        <v>43283.268842592595</v>
      </c>
      <c r="BF74" s="4">
        <v>43283.268842592595</v>
      </c>
      <c r="BG74" t="s">
        <v>83</v>
      </c>
      <c r="BH74" t="s">
        <v>84</v>
      </c>
      <c r="BI74" t="s">
        <v>85</v>
      </c>
    </row>
    <row r="75" spans="1:61" x14ac:dyDescent="0.3">
      <c r="A75" t="str">
        <f>"200136C0200"</f>
        <v>200136C0200</v>
      </c>
      <c r="B75" t="s">
        <v>230</v>
      </c>
      <c r="C75">
        <v>20</v>
      </c>
      <c r="D75" t="s">
        <v>79</v>
      </c>
      <c r="E75">
        <v>1</v>
      </c>
      <c r="F75" t="s">
        <v>80</v>
      </c>
      <c r="G75">
        <v>136</v>
      </c>
      <c r="H75">
        <v>2</v>
      </c>
      <c r="I75" t="s">
        <v>89</v>
      </c>
      <c r="J75">
        <v>0</v>
      </c>
      <c r="K75">
        <v>2</v>
      </c>
      <c r="L75">
        <v>2</v>
      </c>
      <c r="AX75">
        <v>621</v>
      </c>
      <c r="AZ75" t="s">
        <v>156</v>
      </c>
      <c r="BA75">
        <v>0</v>
      </c>
      <c r="BC75" t="s">
        <v>231</v>
      </c>
      <c r="BD75" s="4">
        <v>43283.81287037037</v>
      </c>
      <c r="BE75" s="4">
        <v>43283.815740740742</v>
      </c>
      <c r="BF75" s="4">
        <v>43283.815740740742</v>
      </c>
      <c r="BG75" t="s">
        <v>83</v>
      </c>
      <c r="BH75" t="s">
        <v>84</v>
      </c>
      <c r="BI75" t="s">
        <v>85</v>
      </c>
    </row>
    <row r="76" spans="1:61" x14ac:dyDescent="0.3">
      <c r="A76" t="str">
        <f>"200137B0100"</f>
        <v>200137B0100</v>
      </c>
      <c r="B76" t="s">
        <v>232</v>
      </c>
      <c r="C76">
        <v>20</v>
      </c>
      <c r="D76" t="s">
        <v>79</v>
      </c>
      <c r="E76">
        <v>1</v>
      </c>
      <c r="F76" t="s">
        <v>80</v>
      </c>
      <c r="G76">
        <v>137</v>
      </c>
      <c r="H76">
        <v>1</v>
      </c>
      <c r="I76" t="s">
        <v>81</v>
      </c>
      <c r="J76">
        <v>0</v>
      </c>
      <c r="K76">
        <v>1</v>
      </c>
      <c r="L76">
        <v>2</v>
      </c>
      <c r="M76">
        <v>150</v>
      </c>
      <c r="N76">
        <v>511</v>
      </c>
      <c r="O76">
        <v>0</v>
      </c>
      <c r="P76">
        <v>511</v>
      </c>
      <c r="Q76">
        <v>14</v>
      </c>
      <c r="R76">
        <v>351</v>
      </c>
      <c r="S76">
        <v>6</v>
      </c>
      <c r="T76">
        <v>18</v>
      </c>
      <c r="U76">
        <v>8</v>
      </c>
      <c r="V76">
        <v>2</v>
      </c>
      <c r="W76">
        <v>0</v>
      </c>
      <c r="X76">
        <v>10</v>
      </c>
      <c r="Y76">
        <v>75</v>
      </c>
      <c r="AA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6</v>
      </c>
      <c r="AI76">
        <v>0</v>
      </c>
      <c r="AJ76">
        <v>1</v>
      </c>
      <c r="AT76">
        <v>0</v>
      </c>
      <c r="AU76">
        <v>20</v>
      </c>
      <c r="AV76">
        <v>511</v>
      </c>
      <c r="AW76">
        <v>511</v>
      </c>
      <c r="AX76">
        <v>640</v>
      </c>
      <c r="BA76">
        <v>1</v>
      </c>
      <c r="BC76" t="s">
        <v>233</v>
      </c>
      <c r="BD76" s="4">
        <v>43283.240474537037</v>
      </c>
      <c r="BE76" s="4">
        <v>43283.272337962961</v>
      </c>
      <c r="BF76" s="4">
        <v>43283.272337962961</v>
      </c>
      <c r="BG76" t="s">
        <v>83</v>
      </c>
      <c r="BH76" t="s">
        <v>84</v>
      </c>
      <c r="BI76" t="s">
        <v>85</v>
      </c>
    </row>
    <row r="77" spans="1:61" x14ac:dyDescent="0.3">
      <c r="A77" t="str">
        <f>"200138B0100"</f>
        <v>200138B0100</v>
      </c>
      <c r="B77" t="s">
        <v>234</v>
      </c>
      <c r="C77">
        <v>20</v>
      </c>
      <c r="D77" t="s">
        <v>79</v>
      </c>
      <c r="E77">
        <v>1</v>
      </c>
      <c r="F77" t="s">
        <v>80</v>
      </c>
      <c r="G77">
        <v>138</v>
      </c>
      <c r="H77">
        <v>1</v>
      </c>
      <c r="I77" t="s">
        <v>81</v>
      </c>
      <c r="J77">
        <v>0</v>
      </c>
      <c r="K77">
        <v>2</v>
      </c>
      <c r="L77">
        <v>2</v>
      </c>
      <c r="M77">
        <v>175</v>
      </c>
      <c r="N77">
        <v>516</v>
      </c>
      <c r="O77">
        <v>7</v>
      </c>
      <c r="P77">
        <v>515</v>
      </c>
      <c r="Q77">
        <v>19</v>
      </c>
      <c r="R77">
        <v>340</v>
      </c>
      <c r="S77">
        <v>5</v>
      </c>
      <c r="T77">
        <v>12</v>
      </c>
      <c r="U77">
        <v>14</v>
      </c>
      <c r="V77">
        <v>5</v>
      </c>
      <c r="W77">
        <v>2</v>
      </c>
      <c r="X77">
        <v>6</v>
      </c>
      <c r="Y77">
        <v>81</v>
      </c>
      <c r="AA77">
        <v>2</v>
      </c>
      <c r="AC77">
        <v>2</v>
      </c>
      <c r="AD77">
        <v>0</v>
      </c>
      <c r="AE77">
        <v>0</v>
      </c>
      <c r="AF77">
        <v>0</v>
      </c>
      <c r="AG77">
        <v>2</v>
      </c>
      <c r="AH77">
        <v>10</v>
      </c>
      <c r="AI77">
        <v>0</v>
      </c>
      <c r="AJ77">
        <v>0</v>
      </c>
      <c r="AT77" t="s">
        <v>100</v>
      </c>
      <c r="AU77">
        <v>15</v>
      </c>
      <c r="AV77">
        <v>515</v>
      </c>
      <c r="AW77">
        <v>515</v>
      </c>
      <c r="AX77">
        <v>668</v>
      </c>
      <c r="AZ77" t="s">
        <v>101</v>
      </c>
      <c r="BA77">
        <v>1</v>
      </c>
      <c r="BC77" t="s">
        <v>235</v>
      </c>
      <c r="BD77" s="4">
        <v>43283.240046296298</v>
      </c>
      <c r="BE77" s="4">
        <v>43283.261574074073</v>
      </c>
      <c r="BF77" s="4">
        <v>43283.261574074073</v>
      </c>
      <c r="BG77" t="s">
        <v>83</v>
      </c>
      <c r="BH77" t="s">
        <v>84</v>
      </c>
      <c r="BI77" t="s">
        <v>85</v>
      </c>
    </row>
    <row r="78" spans="1:61" x14ac:dyDescent="0.3">
      <c r="A78" t="str">
        <f>"200139B0100"</f>
        <v>200139B0100</v>
      </c>
      <c r="B78" t="s">
        <v>236</v>
      </c>
      <c r="C78">
        <v>20</v>
      </c>
      <c r="D78" t="s">
        <v>79</v>
      </c>
      <c r="E78">
        <v>1</v>
      </c>
      <c r="F78" t="s">
        <v>80</v>
      </c>
      <c r="G78">
        <v>139</v>
      </c>
      <c r="H78">
        <v>1</v>
      </c>
      <c r="I78" t="s">
        <v>81</v>
      </c>
      <c r="J78">
        <v>0</v>
      </c>
      <c r="K78">
        <v>2</v>
      </c>
      <c r="L78">
        <v>2</v>
      </c>
      <c r="M78">
        <v>174</v>
      </c>
      <c r="N78">
        <v>486</v>
      </c>
      <c r="O78" t="s">
        <v>100</v>
      </c>
      <c r="P78">
        <v>486</v>
      </c>
      <c r="Q78">
        <v>27</v>
      </c>
      <c r="R78">
        <v>278</v>
      </c>
      <c r="S78">
        <v>3</v>
      </c>
      <c r="T78">
        <v>16</v>
      </c>
      <c r="U78">
        <v>9</v>
      </c>
      <c r="V78">
        <v>3</v>
      </c>
      <c r="W78">
        <v>3</v>
      </c>
      <c r="X78">
        <v>6</v>
      </c>
      <c r="Y78">
        <v>88</v>
      </c>
      <c r="AA78">
        <v>5</v>
      </c>
      <c r="AC78">
        <v>0</v>
      </c>
      <c r="AD78">
        <v>0</v>
      </c>
      <c r="AE78">
        <v>0</v>
      </c>
      <c r="AF78">
        <v>0</v>
      </c>
      <c r="AG78">
        <v>4</v>
      </c>
      <c r="AH78">
        <v>10</v>
      </c>
      <c r="AI78">
        <v>1</v>
      </c>
      <c r="AJ78">
        <v>0</v>
      </c>
      <c r="AT78">
        <v>0</v>
      </c>
      <c r="AU78">
        <v>33</v>
      </c>
      <c r="AV78">
        <v>486</v>
      </c>
      <c r="AW78">
        <v>486</v>
      </c>
      <c r="AX78">
        <v>639</v>
      </c>
      <c r="BA78">
        <v>1</v>
      </c>
      <c r="BC78" t="s">
        <v>237</v>
      </c>
      <c r="BD78" s="4">
        <v>43283.262962962966</v>
      </c>
      <c r="BE78" s="4">
        <v>43283.290798611109</v>
      </c>
      <c r="BF78" s="4">
        <v>43283.290798611109</v>
      </c>
      <c r="BG78" t="s">
        <v>83</v>
      </c>
      <c r="BH78" t="s">
        <v>84</v>
      </c>
      <c r="BI78" t="s">
        <v>85</v>
      </c>
    </row>
    <row r="79" spans="1:61" x14ac:dyDescent="0.3">
      <c r="A79" t="str">
        <f>"200139C0100"</f>
        <v>200139C0100</v>
      </c>
      <c r="B79" t="s">
        <v>238</v>
      </c>
      <c r="C79">
        <v>20</v>
      </c>
      <c r="D79" t="s">
        <v>79</v>
      </c>
      <c r="E79">
        <v>1</v>
      </c>
      <c r="F79" t="s">
        <v>80</v>
      </c>
      <c r="G79">
        <v>139</v>
      </c>
      <c r="H79">
        <v>1</v>
      </c>
      <c r="I79" t="s">
        <v>89</v>
      </c>
      <c r="J79">
        <v>0</v>
      </c>
      <c r="K79">
        <v>2</v>
      </c>
      <c r="L79">
        <v>2</v>
      </c>
      <c r="AX79">
        <v>638</v>
      </c>
      <c r="AZ79" t="s">
        <v>156</v>
      </c>
      <c r="BA79">
        <v>0</v>
      </c>
      <c r="BC79" t="s">
        <v>239</v>
      </c>
      <c r="BD79" s="4">
        <v>43283.81318287037</v>
      </c>
      <c r="BE79" s="4">
        <v>43283.815405092595</v>
      </c>
      <c r="BF79" s="4">
        <v>43283.815405092595</v>
      </c>
      <c r="BG79" t="s">
        <v>83</v>
      </c>
      <c r="BH79" t="s">
        <v>84</v>
      </c>
      <c r="BI79" t="s">
        <v>85</v>
      </c>
    </row>
    <row r="80" spans="1:61" x14ac:dyDescent="0.3">
      <c r="A80" t="str">
        <f>"200140B0100"</f>
        <v>200140B0100</v>
      </c>
      <c r="B80" t="s">
        <v>240</v>
      </c>
      <c r="C80">
        <v>20</v>
      </c>
      <c r="D80" t="s">
        <v>79</v>
      </c>
      <c r="E80">
        <v>1</v>
      </c>
      <c r="F80" t="s">
        <v>80</v>
      </c>
      <c r="G80">
        <v>140</v>
      </c>
      <c r="H80">
        <v>1</v>
      </c>
      <c r="I80" t="s">
        <v>81</v>
      </c>
      <c r="J80">
        <v>0</v>
      </c>
      <c r="K80">
        <v>2</v>
      </c>
      <c r="L80">
        <v>2</v>
      </c>
      <c r="M80">
        <v>101</v>
      </c>
      <c r="N80">
        <v>392</v>
      </c>
      <c r="O80">
        <v>3</v>
      </c>
      <c r="P80">
        <v>392</v>
      </c>
      <c r="Q80">
        <v>22</v>
      </c>
      <c r="R80">
        <v>237</v>
      </c>
      <c r="S80">
        <v>4</v>
      </c>
      <c r="T80">
        <v>17</v>
      </c>
      <c r="U80">
        <v>13</v>
      </c>
      <c r="V80">
        <v>14</v>
      </c>
      <c r="W80">
        <v>3</v>
      </c>
      <c r="X80">
        <v>4</v>
      </c>
      <c r="Y80">
        <v>52</v>
      </c>
      <c r="AA80">
        <v>2</v>
      </c>
      <c r="AC80">
        <v>0</v>
      </c>
      <c r="AD80">
        <v>0</v>
      </c>
      <c r="AE80">
        <v>0</v>
      </c>
      <c r="AF80">
        <v>0</v>
      </c>
      <c r="AG80">
        <v>2</v>
      </c>
      <c r="AH80">
        <v>7</v>
      </c>
      <c r="AI80">
        <v>1</v>
      </c>
      <c r="AJ80">
        <v>0</v>
      </c>
      <c r="AT80">
        <v>0</v>
      </c>
      <c r="AU80">
        <v>14</v>
      </c>
      <c r="AV80">
        <v>392</v>
      </c>
      <c r="AW80">
        <v>392</v>
      </c>
      <c r="AX80">
        <v>471</v>
      </c>
      <c r="BA80">
        <v>1</v>
      </c>
      <c r="BC80" t="s">
        <v>241</v>
      </c>
      <c r="BD80" s="4">
        <v>43283.092650462961</v>
      </c>
      <c r="BE80" s="4">
        <v>43283.096180555556</v>
      </c>
      <c r="BF80" s="4">
        <v>43283.096180555556</v>
      </c>
      <c r="BG80" t="s">
        <v>83</v>
      </c>
      <c r="BH80" t="s">
        <v>84</v>
      </c>
      <c r="BI80" t="s">
        <v>85</v>
      </c>
    </row>
    <row r="81" spans="1:61" x14ac:dyDescent="0.3">
      <c r="A81" t="str">
        <f>"200141B0100"</f>
        <v>200141B0100</v>
      </c>
      <c r="B81" t="s">
        <v>242</v>
      </c>
      <c r="C81">
        <v>20</v>
      </c>
      <c r="D81" t="s">
        <v>79</v>
      </c>
      <c r="E81">
        <v>1</v>
      </c>
      <c r="F81" t="s">
        <v>80</v>
      </c>
      <c r="G81">
        <v>141</v>
      </c>
      <c r="H81">
        <v>1</v>
      </c>
      <c r="I81" t="s">
        <v>81</v>
      </c>
      <c r="J81">
        <v>0</v>
      </c>
      <c r="K81">
        <v>2</v>
      </c>
      <c r="L81">
        <v>2</v>
      </c>
      <c r="M81">
        <v>217</v>
      </c>
      <c r="N81">
        <v>517</v>
      </c>
      <c r="O81">
        <v>12</v>
      </c>
      <c r="P81">
        <v>517</v>
      </c>
      <c r="Q81">
        <v>33</v>
      </c>
      <c r="R81">
        <v>265</v>
      </c>
      <c r="S81">
        <v>8</v>
      </c>
      <c r="T81">
        <v>25</v>
      </c>
      <c r="U81">
        <v>19</v>
      </c>
      <c r="V81">
        <v>6</v>
      </c>
      <c r="W81">
        <v>4</v>
      </c>
      <c r="X81">
        <v>4</v>
      </c>
      <c r="Y81">
        <v>107</v>
      </c>
      <c r="AA81">
        <v>2</v>
      </c>
      <c r="AC81">
        <v>0</v>
      </c>
      <c r="AD81">
        <v>0</v>
      </c>
      <c r="AE81">
        <v>0</v>
      </c>
      <c r="AF81">
        <v>0</v>
      </c>
      <c r="AG81">
        <v>11</v>
      </c>
      <c r="AH81">
        <v>2</v>
      </c>
      <c r="AI81">
        <v>1</v>
      </c>
      <c r="AJ81">
        <v>1</v>
      </c>
      <c r="AT81">
        <v>0</v>
      </c>
      <c r="AU81">
        <v>27</v>
      </c>
      <c r="AV81">
        <v>517</v>
      </c>
      <c r="AW81">
        <v>515</v>
      </c>
      <c r="AX81">
        <v>712</v>
      </c>
      <c r="BA81">
        <v>1</v>
      </c>
      <c r="BC81" t="s">
        <v>243</v>
      </c>
      <c r="BD81" s="4">
        <v>43283.239629629628</v>
      </c>
      <c r="BE81" s="4">
        <v>43283.265381944446</v>
      </c>
      <c r="BF81" s="4">
        <v>43283.265381944446</v>
      </c>
      <c r="BG81" t="s">
        <v>83</v>
      </c>
      <c r="BH81" t="s">
        <v>84</v>
      </c>
      <c r="BI81" t="s">
        <v>85</v>
      </c>
    </row>
    <row r="82" spans="1:61" x14ac:dyDescent="0.3">
      <c r="A82" t="str">
        <f>"200142B0100"</f>
        <v>200142B0100</v>
      </c>
      <c r="B82" t="s">
        <v>244</v>
      </c>
      <c r="C82">
        <v>20</v>
      </c>
      <c r="D82" t="s">
        <v>79</v>
      </c>
      <c r="E82">
        <v>1</v>
      </c>
      <c r="F82" t="s">
        <v>80</v>
      </c>
      <c r="G82">
        <v>142</v>
      </c>
      <c r="H82">
        <v>1</v>
      </c>
      <c r="I82" t="s">
        <v>81</v>
      </c>
      <c r="J82">
        <v>0</v>
      </c>
      <c r="K82">
        <v>2</v>
      </c>
      <c r="L82">
        <v>2</v>
      </c>
      <c r="AX82">
        <v>461</v>
      </c>
      <c r="AZ82" t="s">
        <v>156</v>
      </c>
      <c r="BA82">
        <v>0</v>
      </c>
      <c r="BC82" s="2" t="s">
        <v>245</v>
      </c>
      <c r="BD82" s="4">
        <v>43283.819444444445</v>
      </c>
      <c r="BE82" s="4">
        <v>43283.82304398148</v>
      </c>
      <c r="BF82" s="4">
        <v>43283.82304398148</v>
      </c>
      <c r="BG82" t="s">
        <v>83</v>
      </c>
      <c r="BH82" t="s">
        <v>84</v>
      </c>
      <c r="BI82" t="s">
        <v>85</v>
      </c>
    </row>
    <row r="83" spans="1:61" x14ac:dyDescent="0.3">
      <c r="A83" t="str">
        <f>"200143B0100"</f>
        <v>200143B0100</v>
      </c>
      <c r="B83" t="s">
        <v>246</v>
      </c>
      <c r="C83">
        <v>20</v>
      </c>
      <c r="D83" t="s">
        <v>79</v>
      </c>
      <c r="E83">
        <v>1</v>
      </c>
      <c r="F83" t="s">
        <v>80</v>
      </c>
      <c r="G83">
        <v>143</v>
      </c>
      <c r="H83">
        <v>1</v>
      </c>
      <c r="I83" t="s">
        <v>81</v>
      </c>
      <c r="J83">
        <v>0</v>
      </c>
      <c r="K83">
        <v>1</v>
      </c>
      <c r="L83">
        <v>2</v>
      </c>
      <c r="M83">
        <v>188</v>
      </c>
      <c r="N83">
        <v>390</v>
      </c>
      <c r="O83">
        <v>5</v>
      </c>
      <c r="P83">
        <v>390</v>
      </c>
      <c r="Q83">
        <v>33</v>
      </c>
      <c r="R83">
        <v>185</v>
      </c>
      <c r="S83">
        <v>2</v>
      </c>
      <c r="T83">
        <v>8</v>
      </c>
      <c r="U83">
        <v>15</v>
      </c>
      <c r="V83">
        <v>3</v>
      </c>
      <c r="W83">
        <v>2</v>
      </c>
      <c r="X83">
        <v>2</v>
      </c>
      <c r="Y83">
        <v>110</v>
      </c>
      <c r="AA83">
        <v>0</v>
      </c>
      <c r="AC83">
        <v>0</v>
      </c>
      <c r="AD83">
        <v>0</v>
      </c>
      <c r="AE83">
        <v>0</v>
      </c>
      <c r="AF83">
        <v>0</v>
      </c>
      <c r="AG83">
        <v>2</v>
      </c>
      <c r="AH83">
        <v>4</v>
      </c>
      <c r="AI83">
        <v>0</v>
      </c>
      <c r="AJ83">
        <v>0</v>
      </c>
      <c r="AT83">
        <v>0</v>
      </c>
      <c r="AU83">
        <v>24</v>
      </c>
      <c r="AV83">
        <v>390</v>
      </c>
      <c r="AW83">
        <v>390</v>
      </c>
      <c r="AX83">
        <v>556</v>
      </c>
      <c r="BA83">
        <v>1</v>
      </c>
      <c r="BC83" t="s">
        <v>247</v>
      </c>
      <c r="BD83" s="4">
        <v>43283.334444444445</v>
      </c>
      <c r="BE83" s="4">
        <v>43283.352152777778</v>
      </c>
      <c r="BF83" s="4">
        <v>43283.352152777778</v>
      </c>
      <c r="BG83" t="s">
        <v>83</v>
      </c>
      <c r="BH83" t="s">
        <v>84</v>
      </c>
      <c r="BI83" t="s">
        <v>85</v>
      </c>
    </row>
    <row r="84" spans="1:61" x14ac:dyDescent="0.3">
      <c r="A84" t="str">
        <f>"200143C0100"</f>
        <v>200143C0100</v>
      </c>
      <c r="B84" t="s">
        <v>248</v>
      </c>
      <c r="C84">
        <v>20</v>
      </c>
      <c r="D84" t="s">
        <v>79</v>
      </c>
      <c r="E84">
        <v>1</v>
      </c>
      <c r="F84" t="s">
        <v>80</v>
      </c>
      <c r="G84">
        <v>143</v>
      </c>
      <c r="H84">
        <v>1</v>
      </c>
      <c r="I84" t="s">
        <v>89</v>
      </c>
      <c r="J84">
        <v>0</v>
      </c>
      <c r="K84">
        <v>1</v>
      </c>
      <c r="L84">
        <v>2</v>
      </c>
      <c r="M84" t="s">
        <v>100</v>
      </c>
      <c r="N84" t="s">
        <v>100</v>
      </c>
      <c r="O84" t="s">
        <v>100</v>
      </c>
      <c r="P84" t="s">
        <v>100</v>
      </c>
      <c r="Q84">
        <v>22</v>
      </c>
      <c r="R84">
        <v>217</v>
      </c>
      <c r="S84">
        <v>3</v>
      </c>
      <c r="T84">
        <v>13</v>
      </c>
      <c r="U84">
        <v>10</v>
      </c>
      <c r="V84">
        <v>3</v>
      </c>
      <c r="W84">
        <v>1</v>
      </c>
      <c r="X84">
        <v>5</v>
      </c>
      <c r="Y84">
        <v>83</v>
      </c>
      <c r="AA84">
        <v>2</v>
      </c>
      <c r="AC84">
        <v>0</v>
      </c>
      <c r="AD84">
        <v>0</v>
      </c>
      <c r="AE84">
        <v>0</v>
      </c>
      <c r="AF84">
        <v>0</v>
      </c>
      <c r="AG84">
        <v>5</v>
      </c>
      <c r="AH84">
        <v>12</v>
      </c>
      <c r="AI84">
        <v>0</v>
      </c>
      <c r="AJ84">
        <v>0</v>
      </c>
      <c r="AT84" t="s">
        <v>100</v>
      </c>
      <c r="AU84">
        <v>27</v>
      </c>
      <c r="AV84">
        <v>402</v>
      </c>
      <c r="AW84">
        <v>403</v>
      </c>
      <c r="AX84">
        <v>556</v>
      </c>
      <c r="AZ84" t="s">
        <v>101</v>
      </c>
      <c r="BA84">
        <v>1</v>
      </c>
      <c r="BC84" t="s">
        <v>249</v>
      </c>
      <c r="BD84" s="4">
        <v>43283.26734953704</v>
      </c>
      <c r="BE84" s="4">
        <v>43283.297280092593</v>
      </c>
      <c r="BF84" s="4">
        <v>43283.297280092593</v>
      </c>
      <c r="BG84" t="s">
        <v>83</v>
      </c>
      <c r="BH84" t="s">
        <v>84</v>
      </c>
      <c r="BI84" t="s">
        <v>85</v>
      </c>
    </row>
    <row r="85" spans="1:61" x14ac:dyDescent="0.3">
      <c r="A85" t="str">
        <f>"200952B0100"</f>
        <v>200952B0100</v>
      </c>
      <c r="B85" t="s">
        <v>250</v>
      </c>
      <c r="C85">
        <v>20</v>
      </c>
      <c r="D85" t="s">
        <v>79</v>
      </c>
      <c r="E85">
        <v>1</v>
      </c>
      <c r="F85" t="s">
        <v>80</v>
      </c>
      <c r="G85">
        <v>952</v>
      </c>
      <c r="H85">
        <v>1</v>
      </c>
      <c r="I85" t="s">
        <v>81</v>
      </c>
      <c r="J85">
        <v>0</v>
      </c>
      <c r="K85">
        <v>2</v>
      </c>
      <c r="L85">
        <v>2</v>
      </c>
      <c r="M85">
        <v>109</v>
      </c>
      <c r="N85">
        <v>435</v>
      </c>
      <c r="O85">
        <v>4</v>
      </c>
      <c r="P85">
        <v>435</v>
      </c>
      <c r="Q85">
        <v>5</v>
      </c>
      <c r="R85">
        <v>210</v>
      </c>
      <c r="S85">
        <v>180</v>
      </c>
      <c r="T85">
        <v>1</v>
      </c>
      <c r="U85">
        <v>2</v>
      </c>
      <c r="V85">
        <v>2</v>
      </c>
      <c r="W85">
        <v>1</v>
      </c>
      <c r="X85">
        <v>0</v>
      </c>
      <c r="Y85">
        <v>26</v>
      </c>
      <c r="AA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1</v>
      </c>
      <c r="AI85">
        <v>0</v>
      </c>
      <c r="AJ85">
        <v>0</v>
      </c>
      <c r="AT85">
        <v>0</v>
      </c>
      <c r="AU85">
        <v>7</v>
      </c>
      <c r="AV85">
        <v>435</v>
      </c>
      <c r="AW85">
        <v>435</v>
      </c>
      <c r="AX85">
        <v>522</v>
      </c>
      <c r="BA85">
        <v>1</v>
      </c>
      <c r="BC85" t="s">
        <v>251</v>
      </c>
      <c r="BD85" s="4">
        <v>43283.626435185186</v>
      </c>
      <c r="BE85" s="4">
        <v>43283.632187499999</v>
      </c>
      <c r="BF85" s="4">
        <v>43283.632187499999</v>
      </c>
      <c r="BG85" t="s">
        <v>83</v>
      </c>
      <c r="BH85" t="s">
        <v>84</v>
      </c>
      <c r="BI85" t="s">
        <v>85</v>
      </c>
    </row>
    <row r="86" spans="1:61" x14ac:dyDescent="0.3">
      <c r="A86" t="str">
        <f>"200952C0100"</f>
        <v>200952C0100</v>
      </c>
      <c r="B86" t="s">
        <v>252</v>
      </c>
      <c r="C86">
        <v>20</v>
      </c>
      <c r="D86" t="s">
        <v>79</v>
      </c>
      <c r="E86">
        <v>1</v>
      </c>
      <c r="F86" t="s">
        <v>80</v>
      </c>
      <c r="G86">
        <v>952</v>
      </c>
      <c r="H86">
        <v>1</v>
      </c>
      <c r="I86" t="s">
        <v>89</v>
      </c>
      <c r="J86">
        <v>0</v>
      </c>
      <c r="K86">
        <v>2</v>
      </c>
      <c r="L86">
        <v>2</v>
      </c>
      <c r="AX86">
        <v>521</v>
      </c>
      <c r="AZ86" t="s">
        <v>156</v>
      </c>
      <c r="BA86">
        <v>0</v>
      </c>
      <c r="BC86" t="s">
        <v>253</v>
      </c>
      <c r="BD86" s="4">
        <v>43283.821516203701</v>
      </c>
      <c r="BE86" s="4">
        <v>43283.822789351849</v>
      </c>
      <c r="BF86" s="4">
        <v>43283.822789351849</v>
      </c>
      <c r="BG86" t="s">
        <v>83</v>
      </c>
      <c r="BH86" t="s">
        <v>84</v>
      </c>
      <c r="BI86" t="s">
        <v>85</v>
      </c>
    </row>
    <row r="87" spans="1:61" x14ac:dyDescent="0.3">
      <c r="A87" t="str">
        <f>"200952E0100"</f>
        <v>200952E0100</v>
      </c>
      <c r="B87" s="2" t="s">
        <v>254</v>
      </c>
      <c r="C87">
        <v>20</v>
      </c>
      <c r="D87" t="s">
        <v>79</v>
      </c>
      <c r="E87">
        <v>1</v>
      </c>
      <c r="F87" t="s">
        <v>80</v>
      </c>
      <c r="G87">
        <v>952</v>
      </c>
      <c r="H87">
        <v>1</v>
      </c>
      <c r="I87" t="s">
        <v>145</v>
      </c>
      <c r="J87">
        <v>0</v>
      </c>
      <c r="K87">
        <v>2</v>
      </c>
      <c r="L87">
        <v>2</v>
      </c>
      <c r="M87">
        <v>105</v>
      </c>
      <c r="N87">
        <v>370</v>
      </c>
      <c r="O87">
        <v>9</v>
      </c>
      <c r="P87">
        <v>370</v>
      </c>
      <c r="Q87">
        <v>20</v>
      </c>
      <c r="R87">
        <v>126</v>
      </c>
      <c r="S87">
        <v>179</v>
      </c>
      <c r="T87">
        <v>1</v>
      </c>
      <c r="U87">
        <v>2</v>
      </c>
      <c r="V87">
        <v>2</v>
      </c>
      <c r="W87">
        <v>0</v>
      </c>
      <c r="X87">
        <v>1</v>
      </c>
      <c r="Y87">
        <v>24</v>
      </c>
      <c r="AA87">
        <v>1</v>
      </c>
      <c r="AC87">
        <v>0</v>
      </c>
      <c r="AD87">
        <v>1</v>
      </c>
      <c r="AE87">
        <v>0</v>
      </c>
      <c r="AF87">
        <v>1</v>
      </c>
      <c r="AG87">
        <v>1</v>
      </c>
      <c r="AH87">
        <v>0</v>
      </c>
      <c r="AI87">
        <v>0</v>
      </c>
      <c r="AJ87">
        <v>0</v>
      </c>
      <c r="AT87">
        <v>0</v>
      </c>
      <c r="AU87">
        <v>11</v>
      </c>
      <c r="AV87">
        <v>370</v>
      </c>
      <c r="AW87">
        <v>370</v>
      </c>
      <c r="AX87">
        <v>453</v>
      </c>
      <c r="BA87">
        <v>1</v>
      </c>
      <c r="BC87" t="s">
        <v>255</v>
      </c>
      <c r="BD87" s="4">
        <v>43283.628680555557</v>
      </c>
      <c r="BE87" s="4">
        <v>43283.63548611111</v>
      </c>
      <c r="BF87" s="4">
        <v>43283.63548611111</v>
      </c>
      <c r="BG87" t="s">
        <v>83</v>
      </c>
      <c r="BH87" t="s">
        <v>84</v>
      </c>
      <c r="BI87" t="s">
        <v>85</v>
      </c>
    </row>
    <row r="88" spans="1:61" x14ac:dyDescent="0.3">
      <c r="A88" t="str">
        <f>"200952E0101"</f>
        <v>200952E0101</v>
      </c>
      <c r="B88" s="2" t="s">
        <v>256</v>
      </c>
      <c r="C88">
        <v>20</v>
      </c>
      <c r="D88" t="s">
        <v>79</v>
      </c>
      <c r="E88">
        <v>1</v>
      </c>
      <c r="F88" t="s">
        <v>80</v>
      </c>
      <c r="G88">
        <v>952</v>
      </c>
      <c r="H88">
        <v>1</v>
      </c>
      <c r="I88" t="s">
        <v>145</v>
      </c>
      <c r="J88">
        <v>1</v>
      </c>
      <c r="K88">
        <v>2</v>
      </c>
      <c r="L88">
        <v>2</v>
      </c>
      <c r="M88">
        <v>126</v>
      </c>
      <c r="N88">
        <v>349</v>
      </c>
      <c r="O88">
        <v>5</v>
      </c>
      <c r="P88">
        <v>349</v>
      </c>
      <c r="Q88">
        <v>14</v>
      </c>
      <c r="R88">
        <v>144</v>
      </c>
      <c r="S88">
        <v>150</v>
      </c>
      <c r="T88">
        <v>1</v>
      </c>
      <c r="U88">
        <v>2</v>
      </c>
      <c r="V88">
        <v>2</v>
      </c>
      <c r="W88">
        <v>0</v>
      </c>
      <c r="X88">
        <v>0</v>
      </c>
      <c r="Y88">
        <v>23</v>
      </c>
      <c r="AA88">
        <v>0</v>
      </c>
      <c r="AC88">
        <v>0</v>
      </c>
      <c r="AD88">
        <v>0</v>
      </c>
      <c r="AE88">
        <v>0</v>
      </c>
      <c r="AF88">
        <v>1</v>
      </c>
      <c r="AG88">
        <v>0</v>
      </c>
      <c r="AH88">
        <v>0</v>
      </c>
      <c r="AI88">
        <v>0</v>
      </c>
      <c r="AJ88">
        <v>0</v>
      </c>
      <c r="AT88">
        <v>0</v>
      </c>
      <c r="AU88">
        <v>11</v>
      </c>
      <c r="AV88">
        <v>349</v>
      </c>
      <c r="AW88">
        <v>348</v>
      </c>
      <c r="AX88">
        <v>453</v>
      </c>
      <c r="BA88">
        <v>1</v>
      </c>
      <c r="BC88" t="s">
        <v>257</v>
      </c>
      <c r="BD88" s="4">
        <v>43283.627060185187</v>
      </c>
      <c r="BE88" s="4">
        <v>43283.632314814815</v>
      </c>
      <c r="BF88" s="4">
        <v>43283.632314814815</v>
      </c>
      <c r="BG88" t="s">
        <v>83</v>
      </c>
      <c r="BH88" t="s">
        <v>84</v>
      </c>
      <c r="BI88" t="s">
        <v>85</v>
      </c>
    </row>
    <row r="89" spans="1:61" x14ac:dyDescent="0.3">
      <c r="A89" t="str">
        <f>"200953B0100"</f>
        <v>200953B0100</v>
      </c>
      <c r="B89" t="s">
        <v>258</v>
      </c>
      <c r="C89">
        <v>20</v>
      </c>
      <c r="D89" t="s">
        <v>79</v>
      </c>
      <c r="E89">
        <v>1</v>
      </c>
      <c r="F89" t="s">
        <v>80</v>
      </c>
      <c r="G89">
        <v>953</v>
      </c>
      <c r="H89">
        <v>1</v>
      </c>
      <c r="I89" t="s">
        <v>81</v>
      </c>
      <c r="J89">
        <v>0</v>
      </c>
      <c r="K89">
        <v>2</v>
      </c>
      <c r="L89">
        <v>2</v>
      </c>
      <c r="M89">
        <v>129</v>
      </c>
      <c r="N89">
        <v>455</v>
      </c>
      <c r="O89">
        <v>1</v>
      </c>
      <c r="P89">
        <v>455</v>
      </c>
      <c r="Q89">
        <v>3</v>
      </c>
      <c r="R89">
        <v>212</v>
      </c>
      <c r="S89">
        <v>214</v>
      </c>
      <c r="T89">
        <v>2</v>
      </c>
      <c r="U89">
        <v>2</v>
      </c>
      <c r="V89">
        <v>2</v>
      </c>
      <c r="W89">
        <v>1</v>
      </c>
      <c r="X89">
        <v>0</v>
      </c>
      <c r="Y89">
        <v>9</v>
      </c>
      <c r="AA89">
        <v>0</v>
      </c>
      <c r="AC89">
        <v>0</v>
      </c>
      <c r="AD89">
        <v>3</v>
      </c>
      <c r="AE89">
        <v>0</v>
      </c>
      <c r="AF89">
        <v>0</v>
      </c>
      <c r="AG89">
        <v>0</v>
      </c>
      <c r="AH89">
        <v>1</v>
      </c>
      <c r="AI89">
        <v>0</v>
      </c>
      <c r="AJ89">
        <v>0</v>
      </c>
      <c r="AT89">
        <v>0</v>
      </c>
      <c r="AU89">
        <v>6</v>
      </c>
      <c r="AV89">
        <v>455</v>
      </c>
      <c r="AW89">
        <v>455</v>
      </c>
      <c r="AX89">
        <v>562</v>
      </c>
      <c r="BA89">
        <v>1</v>
      </c>
      <c r="BC89" t="s">
        <v>259</v>
      </c>
      <c r="BD89" s="4">
        <v>43283.627164351848</v>
      </c>
      <c r="BE89" s="4">
        <v>43283.631874999999</v>
      </c>
      <c r="BF89" s="4">
        <v>43283.631874999999</v>
      </c>
      <c r="BG89" t="s">
        <v>83</v>
      </c>
      <c r="BH89" t="s">
        <v>84</v>
      </c>
      <c r="BI89" t="s">
        <v>85</v>
      </c>
    </row>
    <row r="90" spans="1:61" x14ac:dyDescent="0.3">
      <c r="A90" t="str">
        <f>"200954B0100"</f>
        <v>200954B0100</v>
      </c>
      <c r="B90" t="s">
        <v>260</v>
      </c>
      <c r="C90">
        <v>20</v>
      </c>
      <c r="D90" t="s">
        <v>79</v>
      </c>
      <c r="E90">
        <v>1</v>
      </c>
      <c r="F90" t="s">
        <v>80</v>
      </c>
      <c r="G90">
        <v>954</v>
      </c>
      <c r="H90">
        <v>1</v>
      </c>
      <c r="I90" t="s">
        <v>81</v>
      </c>
      <c r="J90">
        <v>0</v>
      </c>
      <c r="K90">
        <v>2</v>
      </c>
      <c r="L90">
        <v>2</v>
      </c>
      <c r="M90">
        <v>130</v>
      </c>
      <c r="N90">
        <v>623</v>
      </c>
      <c r="O90">
        <v>1</v>
      </c>
      <c r="P90">
        <v>623</v>
      </c>
      <c r="Q90">
        <v>7</v>
      </c>
      <c r="R90">
        <v>286</v>
      </c>
      <c r="S90">
        <v>269</v>
      </c>
      <c r="T90">
        <v>1</v>
      </c>
      <c r="U90">
        <v>4</v>
      </c>
      <c r="V90">
        <v>3</v>
      </c>
      <c r="W90">
        <v>0</v>
      </c>
      <c r="X90">
        <v>0</v>
      </c>
      <c r="Y90">
        <v>37</v>
      </c>
      <c r="AA90">
        <v>1</v>
      </c>
      <c r="AC90">
        <v>0</v>
      </c>
      <c r="AD90">
        <v>0</v>
      </c>
      <c r="AE90">
        <v>0</v>
      </c>
      <c r="AF90">
        <v>0</v>
      </c>
      <c r="AG90">
        <v>1</v>
      </c>
      <c r="AH90">
        <v>2</v>
      </c>
      <c r="AI90">
        <v>0</v>
      </c>
      <c r="AJ90">
        <v>0</v>
      </c>
      <c r="AT90">
        <v>0</v>
      </c>
      <c r="AU90">
        <v>12</v>
      </c>
      <c r="AV90">
        <v>623</v>
      </c>
      <c r="AW90">
        <v>623</v>
      </c>
      <c r="AX90">
        <v>731</v>
      </c>
      <c r="BA90">
        <v>1</v>
      </c>
      <c r="BC90" t="s">
        <v>261</v>
      </c>
      <c r="BD90" s="4">
        <v>43283.627916666665</v>
      </c>
      <c r="BE90" s="4">
        <v>43283.631967592592</v>
      </c>
      <c r="BF90" s="4">
        <v>43283.631967592592</v>
      </c>
      <c r="BG90" t="s">
        <v>83</v>
      </c>
      <c r="BH90" t="s">
        <v>84</v>
      </c>
      <c r="BI90" t="s">
        <v>85</v>
      </c>
    </row>
    <row r="91" spans="1:61" x14ac:dyDescent="0.3">
      <c r="A91" t="str">
        <f>"200962B0100"</f>
        <v>200962B0100</v>
      </c>
      <c r="B91" t="s">
        <v>262</v>
      </c>
      <c r="C91">
        <v>20</v>
      </c>
      <c r="D91" t="s">
        <v>79</v>
      </c>
      <c r="E91">
        <v>1</v>
      </c>
      <c r="F91" t="s">
        <v>80</v>
      </c>
      <c r="G91">
        <v>962</v>
      </c>
      <c r="H91">
        <v>1</v>
      </c>
      <c r="I91" t="s">
        <v>81</v>
      </c>
      <c r="J91">
        <v>0</v>
      </c>
      <c r="K91">
        <v>2</v>
      </c>
      <c r="L91">
        <v>2</v>
      </c>
      <c r="AX91">
        <v>713</v>
      </c>
      <c r="AZ91" t="s">
        <v>156</v>
      </c>
      <c r="BA91">
        <v>0</v>
      </c>
      <c r="BC91" t="s">
        <v>263</v>
      </c>
      <c r="BD91" s="4">
        <v>43283.814872685187</v>
      </c>
      <c r="BE91" s="4">
        <v>43283.817870370367</v>
      </c>
      <c r="BF91" s="4">
        <v>43283.817870370367</v>
      </c>
      <c r="BG91" t="s">
        <v>83</v>
      </c>
      <c r="BH91" t="s">
        <v>84</v>
      </c>
      <c r="BI91" t="s">
        <v>85</v>
      </c>
    </row>
    <row r="92" spans="1:61" x14ac:dyDescent="0.3">
      <c r="A92" t="str">
        <f>"200962C0100"</f>
        <v>200962C0100</v>
      </c>
      <c r="B92" t="s">
        <v>264</v>
      </c>
      <c r="C92">
        <v>20</v>
      </c>
      <c r="D92" t="s">
        <v>79</v>
      </c>
      <c r="E92">
        <v>1</v>
      </c>
      <c r="F92" t="s">
        <v>80</v>
      </c>
      <c r="G92">
        <v>962</v>
      </c>
      <c r="H92">
        <v>1</v>
      </c>
      <c r="I92" t="s">
        <v>89</v>
      </c>
      <c r="J92">
        <v>0</v>
      </c>
      <c r="K92">
        <v>2</v>
      </c>
      <c r="L92">
        <v>2</v>
      </c>
      <c r="AX92">
        <v>712</v>
      </c>
      <c r="AZ92" t="s">
        <v>156</v>
      </c>
      <c r="BA92">
        <v>0</v>
      </c>
      <c r="BC92" t="s">
        <v>265</v>
      </c>
      <c r="BD92" s="4">
        <v>43283.815347222226</v>
      </c>
      <c r="BE92" s="4">
        <v>43283.818379629629</v>
      </c>
      <c r="BF92" s="4">
        <v>43283.818379629629</v>
      </c>
      <c r="BG92" t="s">
        <v>83</v>
      </c>
      <c r="BH92" t="s">
        <v>84</v>
      </c>
      <c r="BI92" t="s">
        <v>85</v>
      </c>
    </row>
    <row r="93" spans="1:61" x14ac:dyDescent="0.3">
      <c r="A93" t="str">
        <f>"200962C0200"</f>
        <v>200962C0200</v>
      </c>
      <c r="B93" t="s">
        <v>266</v>
      </c>
      <c r="C93">
        <v>20</v>
      </c>
      <c r="D93" t="s">
        <v>79</v>
      </c>
      <c r="E93">
        <v>1</v>
      </c>
      <c r="F93" t="s">
        <v>80</v>
      </c>
      <c r="G93">
        <v>962</v>
      </c>
      <c r="H93">
        <v>2</v>
      </c>
      <c r="I93" t="s">
        <v>89</v>
      </c>
      <c r="J93">
        <v>0</v>
      </c>
      <c r="K93">
        <v>2</v>
      </c>
      <c r="L93">
        <v>2</v>
      </c>
      <c r="AX93">
        <v>712</v>
      </c>
      <c r="AZ93" t="s">
        <v>156</v>
      </c>
      <c r="BA93">
        <v>0</v>
      </c>
      <c r="BC93" t="s">
        <v>267</v>
      </c>
      <c r="BD93" s="4">
        <v>43283.815960648149</v>
      </c>
      <c r="BE93" s="4">
        <v>43283.818356481483</v>
      </c>
      <c r="BF93" s="4">
        <v>43283.818356481483</v>
      </c>
      <c r="BG93" t="s">
        <v>83</v>
      </c>
      <c r="BH93" t="s">
        <v>84</v>
      </c>
      <c r="BI93" t="s">
        <v>85</v>
      </c>
    </row>
    <row r="94" spans="1:61" x14ac:dyDescent="0.3">
      <c r="A94" t="str">
        <f>"200963B0100"</f>
        <v>200963B0100</v>
      </c>
      <c r="B94" t="s">
        <v>268</v>
      </c>
      <c r="C94">
        <v>20</v>
      </c>
      <c r="D94" t="s">
        <v>79</v>
      </c>
      <c r="E94">
        <v>1</v>
      </c>
      <c r="F94" t="s">
        <v>80</v>
      </c>
      <c r="G94">
        <v>963</v>
      </c>
      <c r="H94">
        <v>1</v>
      </c>
      <c r="I94" t="s">
        <v>81</v>
      </c>
      <c r="J94">
        <v>0</v>
      </c>
      <c r="K94">
        <v>2</v>
      </c>
      <c r="L94">
        <v>2</v>
      </c>
      <c r="AX94">
        <v>478</v>
      </c>
      <c r="AZ94" t="s">
        <v>156</v>
      </c>
      <c r="BA94">
        <v>0</v>
      </c>
      <c r="BC94" t="s">
        <v>269</v>
      </c>
      <c r="BD94" s="4">
        <v>43283.820138888892</v>
      </c>
      <c r="BE94" s="4">
        <v>43283.823263888888</v>
      </c>
      <c r="BF94" s="4">
        <v>43283.823263888888</v>
      </c>
      <c r="BG94" t="s">
        <v>83</v>
      </c>
      <c r="BH94" t="s">
        <v>84</v>
      </c>
      <c r="BI94" t="s">
        <v>85</v>
      </c>
    </row>
    <row r="95" spans="1:61" x14ac:dyDescent="0.3">
      <c r="A95" t="str">
        <f>"200964B0100"</f>
        <v>200964B0100</v>
      </c>
      <c r="B95" t="s">
        <v>270</v>
      </c>
      <c r="C95">
        <v>20</v>
      </c>
      <c r="D95" t="s">
        <v>79</v>
      </c>
      <c r="E95">
        <v>1</v>
      </c>
      <c r="F95" t="s">
        <v>80</v>
      </c>
      <c r="G95">
        <v>964</v>
      </c>
      <c r="H95">
        <v>1</v>
      </c>
      <c r="I95" t="s">
        <v>81</v>
      </c>
      <c r="J95">
        <v>0</v>
      </c>
      <c r="K95">
        <v>2</v>
      </c>
      <c r="L95">
        <v>2</v>
      </c>
      <c r="AX95">
        <v>332</v>
      </c>
      <c r="AZ95" t="s">
        <v>156</v>
      </c>
      <c r="BA95">
        <v>0</v>
      </c>
      <c r="BC95" t="s">
        <v>271</v>
      </c>
      <c r="BD95" s="4">
        <v>43283.819363425922</v>
      </c>
      <c r="BE95" s="4">
        <v>43283.824155092596</v>
      </c>
      <c r="BF95" s="4">
        <v>43283.824155092596</v>
      </c>
      <c r="BG95" t="s">
        <v>83</v>
      </c>
      <c r="BH95" t="s">
        <v>84</v>
      </c>
      <c r="BI95" t="s">
        <v>85</v>
      </c>
    </row>
    <row r="96" spans="1:61" x14ac:dyDescent="0.3">
      <c r="A96" t="str">
        <f>"200965B0100"</f>
        <v>200965B0100</v>
      </c>
      <c r="B96" t="s">
        <v>272</v>
      </c>
      <c r="C96">
        <v>20</v>
      </c>
      <c r="D96" t="s">
        <v>79</v>
      </c>
      <c r="E96">
        <v>1</v>
      </c>
      <c r="F96" t="s">
        <v>80</v>
      </c>
      <c r="G96">
        <v>965</v>
      </c>
      <c r="H96">
        <v>1</v>
      </c>
      <c r="I96" t="s">
        <v>81</v>
      </c>
      <c r="J96">
        <v>0</v>
      </c>
      <c r="K96">
        <v>2</v>
      </c>
      <c r="L96">
        <v>2</v>
      </c>
      <c r="AX96">
        <v>527</v>
      </c>
      <c r="AZ96" t="s">
        <v>156</v>
      </c>
      <c r="BA96">
        <v>0</v>
      </c>
      <c r="BC96" t="s">
        <v>273</v>
      </c>
      <c r="BD96" s="4">
        <v>43283.821527777778</v>
      </c>
      <c r="BE96" s="4">
        <v>43283.826365740744</v>
      </c>
      <c r="BF96" s="4">
        <v>43283.826365740744</v>
      </c>
      <c r="BG96" t="s">
        <v>83</v>
      </c>
      <c r="BH96" t="s">
        <v>84</v>
      </c>
      <c r="BI96" t="s">
        <v>85</v>
      </c>
    </row>
    <row r="97" spans="1:61" x14ac:dyDescent="0.3">
      <c r="A97" t="str">
        <f>"200966B0100"</f>
        <v>200966B0100</v>
      </c>
      <c r="B97" t="s">
        <v>274</v>
      </c>
      <c r="C97">
        <v>20</v>
      </c>
      <c r="D97" t="s">
        <v>79</v>
      </c>
      <c r="E97">
        <v>1</v>
      </c>
      <c r="F97" t="s">
        <v>80</v>
      </c>
      <c r="G97">
        <v>966</v>
      </c>
      <c r="H97">
        <v>1</v>
      </c>
      <c r="I97" t="s">
        <v>81</v>
      </c>
      <c r="J97">
        <v>0</v>
      </c>
      <c r="K97">
        <v>2</v>
      </c>
      <c r="L97">
        <v>2</v>
      </c>
      <c r="AX97">
        <v>478</v>
      </c>
      <c r="AZ97" t="s">
        <v>156</v>
      </c>
      <c r="BA97">
        <v>0</v>
      </c>
      <c r="BC97" t="s">
        <v>275</v>
      </c>
      <c r="BD97" s="4">
        <v>43283.821527777778</v>
      </c>
      <c r="BE97" s="4">
        <v>43283.82675925926</v>
      </c>
      <c r="BF97" s="4">
        <v>43283.82675925926</v>
      </c>
      <c r="BG97" t="s">
        <v>83</v>
      </c>
      <c r="BH97" t="s">
        <v>84</v>
      </c>
      <c r="BI97" t="s">
        <v>85</v>
      </c>
    </row>
    <row r="98" spans="1:61" x14ac:dyDescent="0.3">
      <c r="A98" t="str">
        <f>"200966E0100"</f>
        <v>200966E0100</v>
      </c>
      <c r="B98" s="2" t="s">
        <v>276</v>
      </c>
      <c r="C98">
        <v>20</v>
      </c>
      <c r="D98" t="s">
        <v>79</v>
      </c>
      <c r="E98">
        <v>1</v>
      </c>
      <c r="F98" t="s">
        <v>80</v>
      </c>
      <c r="G98">
        <v>966</v>
      </c>
      <c r="H98">
        <v>1</v>
      </c>
      <c r="I98" t="s">
        <v>145</v>
      </c>
      <c r="J98">
        <v>0</v>
      </c>
      <c r="K98">
        <v>2</v>
      </c>
      <c r="L98">
        <v>2</v>
      </c>
      <c r="AX98">
        <v>369</v>
      </c>
      <c r="AZ98" t="s">
        <v>156</v>
      </c>
      <c r="BA98">
        <v>0</v>
      </c>
      <c r="BC98" t="s">
        <v>277</v>
      </c>
      <c r="BD98" s="4">
        <v>43283.807638888888</v>
      </c>
      <c r="BE98" s="4">
        <v>43283.827638888892</v>
      </c>
      <c r="BF98" s="4">
        <v>43283.827638888892</v>
      </c>
      <c r="BG98" t="s">
        <v>83</v>
      </c>
      <c r="BH98" t="s">
        <v>84</v>
      </c>
      <c r="BI98" t="s">
        <v>85</v>
      </c>
    </row>
    <row r="99" spans="1:61" x14ac:dyDescent="0.3">
      <c r="A99" t="str">
        <f>"200967B0100"</f>
        <v>200967B0100</v>
      </c>
      <c r="B99" t="s">
        <v>278</v>
      </c>
      <c r="C99">
        <v>20</v>
      </c>
      <c r="D99" t="s">
        <v>79</v>
      </c>
      <c r="E99">
        <v>1</v>
      </c>
      <c r="F99" t="s">
        <v>80</v>
      </c>
      <c r="G99">
        <v>967</v>
      </c>
      <c r="H99">
        <v>1</v>
      </c>
      <c r="I99" t="s">
        <v>81</v>
      </c>
      <c r="J99">
        <v>0</v>
      </c>
      <c r="K99">
        <v>2</v>
      </c>
      <c r="L99">
        <v>2</v>
      </c>
      <c r="AX99">
        <v>601</v>
      </c>
      <c r="AZ99" t="s">
        <v>156</v>
      </c>
      <c r="BA99">
        <v>0</v>
      </c>
      <c r="BC99" t="s">
        <v>279</v>
      </c>
      <c r="BD99" s="4">
        <v>43283.824999999997</v>
      </c>
      <c r="BE99" s="4">
        <v>43283.827546296299</v>
      </c>
      <c r="BF99" s="4">
        <v>43283.827546296299</v>
      </c>
      <c r="BG99" t="s">
        <v>83</v>
      </c>
      <c r="BH99" t="s">
        <v>84</v>
      </c>
      <c r="BI99" t="s">
        <v>85</v>
      </c>
    </row>
    <row r="100" spans="1:61" x14ac:dyDescent="0.3">
      <c r="A100" t="str">
        <f>"200968B0100"</f>
        <v>200968B0100</v>
      </c>
      <c r="B100" t="s">
        <v>280</v>
      </c>
      <c r="C100">
        <v>20</v>
      </c>
      <c r="D100" t="s">
        <v>79</v>
      </c>
      <c r="E100">
        <v>1</v>
      </c>
      <c r="F100" t="s">
        <v>80</v>
      </c>
      <c r="G100">
        <v>968</v>
      </c>
      <c r="H100">
        <v>1</v>
      </c>
      <c r="I100" t="s">
        <v>81</v>
      </c>
      <c r="J100">
        <v>0</v>
      </c>
      <c r="K100">
        <v>2</v>
      </c>
      <c r="L100">
        <v>2</v>
      </c>
      <c r="AX100">
        <v>305</v>
      </c>
      <c r="AZ100" t="s">
        <v>156</v>
      </c>
      <c r="BA100">
        <v>0</v>
      </c>
      <c r="BC100" t="s">
        <v>281</v>
      </c>
      <c r="BD100" s="4">
        <v>43283.823611111111</v>
      </c>
      <c r="BE100" s="4">
        <v>43283.828946759262</v>
      </c>
      <c r="BF100" s="4">
        <v>43283.828946759262</v>
      </c>
      <c r="BG100" t="s">
        <v>83</v>
      </c>
      <c r="BH100" t="s">
        <v>84</v>
      </c>
      <c r="BI100" t="s">
        <v>85</v>
      </c>
    </row>
    <row r="101" spans="1:61" x14ac:dyDescent="0.3">
      <c r="A101" t="str">
        <f>"200969B0100"</f>
        <v>200969B0100</v>
      </c>
      <c r="B101" t="s">
        <v>282</v>
      </c>
      <c r="C101">
        <v>20</v>
      </c>
      <c r="D101" t="s">
        <v>79</v>
      </c>
      <c r="E101">
        <v>1</v>
      </c>
      <c r="F101" t="s">
        <v>80</v>
      </c>
      <c r="G101">
        <v>969</v>
      </c>
      <c r="H101">
        <v>1</v>
      </c>
      <c r="I101" t="s">
        <v>81</v>
      </c>
      <c r="J101">
        <v>0</v>
      </c>
      <c r="K101">
        <v>2</v>
      </c>
      <c r="L101">
        <v>2</v>
      </c>
      <c r="AX101">
        <v>649</v>
      </c>
      <c r="AZ101" t="s">
        <v>156</v>
      </c>
      <c r="BA101">
        <v>0</v>
      </c>
      <c r="BC101" t="s">
        <v>283</v>
      </c>
      <c r="BD101" s="4">
        <v>43283.826388888891</v>
      </c>
      <c r="BE101" s="4">
        <v>43283.828865740739</v>
      </c>
      <c r="BF101" s="4">
        <v>43283.828865740739</v>
      </c>
      <c r="BG101" t="s">
        <v>83</v>
      </c>
      <c r="BH101" t="s">
        <v>84</v>
      </c>
      <c r="BI101" t="s">
        <v>85</v>
      </c>
    </row>
    <row r="102" spans="1:61" x14ac:dyDescent="0.3">
      <c r="A102" t="str">
        <f>"200970B0100"</f>
        <v>200970B0100</v>
      </c>
      <c r="B102" t="s">
        <v>284</v>
      </c>
      <c r="C102">
        <v>20</v>
      </c>
      <c r="D102" t="s">
        <v>79</v>
      </c>
      <c r="E102">
        <v>1</v>
      </c>
      <c r="F102" t="s">
        <v>80</v>
      </c>
      <c r="G102">
        <v>970</v>
      </c>
      <c r="H102">
        <v>1</v>
      </c>
      <c r="I102" t="s">
        <v>81</v>
      </c>
      <c r="J102">
        <v>0</v>
      </c>
      <c r="K102">
        <v>2</v>
      </c>
      <c r="L102">
        <v>2</v>
      </c>
      <c r="AX102">
        <v>498</v>
      </c>
      <c r="AZ102" t="s">
        <v>156</v>
      </c>
      <c r="BA102">
        <v>0</v>
      </c>
      <c r="BC102" t="s">
        <v>285</v>
      </c>
      <c r="BD102" s="4">
        <v>43283.822916666664</v>
      </c>
      <c r="BE102" s="4">
        <v>43283.830277777779</v>
      </c>
      <c r="BF102" s="4">
        <v>43283.830277777779</v>
      </c>
      <c r="BG102" t="s">
        <v>83</v>
      </c>
      <c r="BH102" t="s">
        <v>84</v>
      </c>
      <c r="BI102" t="s">
        <v>85</v>
      </c>
    </row>
    <row r="103" spans="1:61" x14ac:dyDescent="0.3">
      <c r="A103" t="str">
        <f>"200970E0100"</f>
        <v>200970E0100</v>
      </c>
      <c r="B103" s="2" t="s">
        <v>286</v>
      </c>
      <c r="C103">
        <v>20</v>
      </c>
      <c r="D103" t="s">
        <v>79</v>
      </c>
      <c r="E103">
        <v>1</v>
      </c>
      <c r="F103" t="s">
        <v>80</v>
      </c>
      <c r="G103">
        <v>970</v>
      </c>
      <c r="H103">
        <v>1</v>
      </c>
      <c r="I103" t="s">
        <v>145</v>
      </c>
      <c r="J103">
        <v>0</v>
      </c>
      <c r="K103">
        <v>2</v>
      </c>
      <c r="L103">
        <v>2</v>
      </c>
      <c r="AX103">
        <v>641</v>
      </c>
      <c r="AZ103" t="s">
        <v>156</v>
      </c>
      <c r="BA103">
        <v>0</v>
      </c>
      <c r="BC103" t="s">
        <v>287</v>
      </c>
      <c r="BD103" s="4">
        <v>43283.819444444445</v>
      </c>
      <c r="BE103" s="4">
        <v>43283.830937500003</v>
      </c>
      <c r="BF103" s="4">
        <v>43283.830937500003</v>
      </c>
      <c r="BG103" t="s">
        <v>83</v>
      </c>
      <c r="BH103" t="s">
        <v>84</v>
      </c>
      <c r="BI103" t="s">
        <v>85</v>
      </c>
    </row>
    <row r="104" spans="1:61" x14ac:dyDescent="0.3">
      <c r="A104" t="str">
        <f>"200971B0100"</f>
        <v>200971B0100</v>
      </c>
      <c r="B104" t="s">
        <v>288</v>
      </c>
      <c r="C104">
        <v>20</v>
      </c>
      <c r="D104" t="s">
        <v>79</v>
      </c>
      <c r="E104">
        <v>1</v>
      </c>
      <c r="F104" t="s">
        <v>80</v>
      </c>
      <c r="G104">
        <v>971</v>
      </c>
      <c r="H104">
        <v>1</v>
      </c>
      <c r="I104" t="s">
        <v>81</v>
      </c>
      <c r="J104">
        <v>0</v>
      </c>
      <c r="K104">
        <v>2</v>
      </c>
      <c r="L104">
        <v>2</v>
      </c>
      <c r="AX104">
        <v>233</v>
      </c>
      <c r="AZ104" t="s">
        <v>156</v>
      </c>
      <c r="BA104">
        <v>0</v>
      </c>
      <c r="BC104" t="s">
        <v>289</v>
      </c>
      <c r="BD104" s="4">
        <v>43283.822222222225</v>
      </c>
      <c r="BE104" s="4">
        <v>43283.83090277778</v>
      </c>
      <c r="BF104" s="4">
        <v>43283.83090277778</v>
      </c>
      <c r="BG104" t="s">
        <v>83</v>
      </c>
      <c r="BH104" t="s">
        <v>84</v>
      </c>
      <c r="BI104" t="s">
        <v>85</v>
      </c>
    </row>
    <row r="105" spans="1:61" x14ac:dyDescent="0.3">
      <c r="A105" t="str">
        <f>"200972B0100"</f>
        <v>200972B0100</v>
      </c>
      <c r="B105" t="s">
        <v>290</v>
      </c>
      <c r="C105">
        <v>20</v>
      </c>
      <c r="D105" t="s">
        <v>79</v>
      </c>
      <c r="E105">
        <v>1</v>
      </c>
      <c r="F105" t="s">
        <v>80</v>
      </c>
      <c r="G105">
        <v>972</v>
      </c>
      <c r="H105">
        <v>1</v>
      </c>
      <c r="I105" t="s">
        <v>81</v>
      </c>
      <c r="J105">
        <v>0</v>
      </c>
      <c r="K105">
        <v>2</v>
      </c>
      <c r="L105">
        <v>2</v>
      </c>
      <c r="AX105">
        <v>578</v>
      </c>
      <c r="AZ105" t="s">
        <v>156</v>
      </c>
      <c r="BA105">
        <v>0</v>
      </c>
      <c r="BC105" t="s">
        <v>291</v>
      </c>
      <c r="BD105" s="4">
        <v>43283.823125000003</v>
      </c>
      <c r="BE105" s="4">
        <v>43283.82508101852</v>
      </c>
      <c r="BF105" s="4">
        <v>43283.82508101852</v>
      </c>
      <c r="BG105" t="s">
        <v>83</v>
      </c>
      <c r="BH105" t="s">
        <v>84</v>
      </c>
      <c r="BI105" t="s">
        <v>85</v>
      </c>
    </row>
    <row r="106" spans="1:61" x14ac:dyDescent="0.3">
      <c r="A106" t="str">
        <f>"200972C0100"</f>
        <v>200972C0100</v>
      </c>
      <c r="B106" t="s">
        <v>292</v>
      </c>
      <c r="C106">
        <v>20</v>
      </c>
      <c r="D106" t="s">
        <v>79</v>
      </c>
      <c r="E106">
        <v>1</v>
      </c>
      <c r="F106" t="s">
        <v>80</v>
      </c>
      <c r="G106">
        <v>972</v>
      </c>
      <c r="H106">
        <v>1</v>
      </c>
      <c r="I106" t="s">
        <v>89</v>
      </c>
      <c r="J106">
        <v>0</v>
      </c>
      <c r="K106">
        <v>2</v>
      </c>
      <c r="L106">
        <v>2</v>
      </c>
      <c r="AX106">
        <v>577</v>
      </c>
      <c r="AZ106" t="s">
        <v>156</v>
      </c>
      <c r="BA106">
        <v>0</v>
      </c>
      <c r="BC106" t="s">
        <v>293</v>
      </c>
      <c r="BD106" s="4">
        <v>43283.822592592594</v>
      </c>
      <c r="BE106" s="4">
        <v>43283.824826388889</v>
      </c>
      <c r="BF106" s="4">
        <v>43283.824826388889</v>
      </c>
      <c r="BG106" t="s">
        <v>83</v>
      </c>
      <c r="BH106" t="s">
        <v>84</v>
      </c>
      <c r="BI106" t="s">
        <v>85</v>
      </c>
    </row>
    <row r="107" spans="1:61" x14ac:dyDescent="0.3">
      <c r="A107" t="str">
        <f>"200972E0100"</f>
        <v>200972E0100</v>
      </c>
      <c r="B107" s="2" t="s">
        <v>294</v>
      </c>
      <c r="C107">
        <v>20</v>
      </c>
      <c r="D107" t="s">
        <v>79</v>
      </c>
      <c r="E107">
        <v>1</v>
      </c>
      <c r="F107" t="s">
        <v>80</v>
      </c>
      <c r="G107">
        <v>972</v>
      </c>
      <c r="H107">
        <v>1</v>
      </c>
      <c r="I107" t="s">
        <v>145</v>
      </c>
      <c r="J107">
        <v>0</v>
      </c>
      <c r="K107">
        <v>2</v>
      </c>
      <c r="L107">
        <v>2</v>
      </c>
      <c r="AX107">
        <v>448</v>
      </c>
      <c r="AZ107" t="s">
        <v>156</v>
      </c>
      <c r="BA107">
        <v>0</v>
      </c>
      <c r="BC107" t="s">
        <v>295</v>
      </c>
      <c r="BD107" s="4">
        <v>43283.819444444445</v>
      </c>
      <c r="BE107" s="4">
        <v>43283.830914351849</v>
      </c>
      <c r="BF107" s="4">
        <v>43283.830914351849</v>
      </c>
      <c r="BG107" t="s">
        <v>83</v>
      </c>
      <c r="BH107" t="s">
        <v>84</v>
      </c>
      <c r="BI107" t="s">
        <v>85</v>
      </c>
    </row>
    <row r="108" spans="1:61" x14ac:dyDescent="0.3">
      <c r="A108" t="str">
        <f>"200973B0100"</f>
        <v>200973B0100</v>
      </c>
      <c r="B108" t="s">
        <v>296</v>
      </c>
      <c r="C108">
        <v>20</v>
      </c>
      <c r="D108" t="s">
        <v>79</v>
      </c>
      <c r="E108">
        <v>1</v>
      </c>
      <c r="F108" t="s">
        <v>80</v>
      </c>
      <c r="G108">
        <v>973</v>
      </c>
      <c r="H108">
        <v>1</v>
      </c>
      <c r="I108" t="s">
        <v>81</v>
      </c>
      <c r="J108">
        <v>0</v>
      </c>
      <c r="K108">
        <v>2</v>
      </c>
      <c r="L108">
        <v>2</v>
      </c>
      <c r="AX108">
        <v>295</v>
      </c>
      <c r="AZ108" t="s">
        <v>156</v>
      </c>
      <c r="BA108">
        <v>0</v>
      </c>
      <c r="BC108" t="s">
        <v>297</v>
      </c>
      <c r="BD108" s="4">
        <v>43283.822534722225</v>
      </c>
      <c r="BE108" s="4">
        <v>43283.823958333334</v>
      </c>
      <c r="BF108" s="4">
        <v>43283.823958333334</v>
      </c>
      <c r="BG108" t="s">
        <v>83</v>
      </c>
      <c r="BH108" t="s">
        <v>84</v>
      </c>
      <c r="BI108" t="s">
        <v>85</v>
      </c>
    </row>
    <row r="109" spans="1:61" x14ac:dyDescent="0.3">
      <c r="A109" t="str">
        <f>"200974B0100"</f>
        <v>200974B0100</v>
      </c>
      <c r="B109" t="s">
        <v>298</v>
      </c>
      <c r="C109">
        <v>20</v>
      </c>
      <c r="D109" t="s">
        <v>79</v>
      </c>
      <c r="E109">
        <v>1</v>
      </c>
      <c r="F109" t="s">
        <v>80</v>
      </c>
      <c r="G109">
        <v>974</v>
      </c>
      <c r="H109">
        <v>1</v>
      </c>
      <c r="I109" t="s">
        <v>81</v>
      </c>
      <c r="J109">
        <v>0</v>
      </c>
      <c r="K109">
        <v>2</v>
      </c>
      <c r="L109">
        <v>2</v>
      </c>
      <c r="AX109">
        <v>212</v>
      </c>
      <c r="AZ109" t="s">
        <v>156</v>
      </c>
      <c r="BA109">
        <v>0</v>
      </c>
      <c r="BC109" t="s">
        <v>299</v>
      </c>
      <c r="BD109" s="4">
        <v>43283.821909722225</v>
      </c>
      <c r="BE109" s="4">
        <v>43283.824594907404</v>
      </c>
      <c r="BF109" s="4">
        <v>43283.824594907404</v>
      </c>
      <c r="BG109" t="s">
        <v>83</v>
      </c>
      <c r="BH109" t="s">
        <v>84</v>
      </c>
      <c r="BI109" t="s">
        <v>85</v>
      </c>
    </row>
    <row r="110" spans="1:61" x14ac:dyDescent="0.3">
      <c r="A110" t="str">
        <f>"200974E0100"</f>
        <v>200974E0100</v>
      </c>
      <c r="B110" s="2" t="s">
        <v>300</v>
      </c>
      <c r="C110">
        <v>20</v>
      </c>
      <c r="D110" t="s">
        <v>79</v>
      </c>
      <c r="E110">
        <v>1</v>
      </c>
      <c r="F110" t="s">
        <v>80</v>
      </c>
      <c r="G110">
        <v>974</v>
      </c>
      <c r="H110">
        <v>1</v>
      </c>
      <c r="I110" t="s">
        <v>145</v>
      </c>
      <c r="J110">
        <v>0</v>
      </c>
      <c r="K110">
        <v>2</v>
      </c>
      <c r="L110">
        <v>2</v>
      </c>
      <c r="AX110">
        <v>332</v>
      </c>
      <c r="AZ110" t="s">
        <v>156</v>
      </c>
      <c r="BA110">
        <v>0</v>
      </c>
      <c r="BC110" t="s">
        <v>301</v>
      </c>
      <c r="BD110" s="4">
        <v>43283.821597222224</v>
      </c>
      <c r="BE110" s="4">
        <v>43283.824513888889</v>
      </c>
      <c r="BF110" s="4">
        <v>43283.824513888889</v>
      </c>
      <c r="BG110" t="s">
        <v>83</v>
      </c>
      <c r="BH110" t="s">
        <v>84</v>
      </c>
      <c r="BI110" t="s">
        <v>85</v>
      </c>
    </row>
    <row r="111" spans="1:61" x14ac:dyDescent="0.3">
      <c r="A111" t="str">
        <f>"200975B0100"</f>
        <v>200975B0100</v>
      </c>
      <c r="B111" t="s">
        <v>302</v>
      </c>
      <c r="C111">
        <v>20</v>
      </c>
      <c r="D111" t="s">
        <v>79</v>
      </c>
      <c r="E111">
        <v>1</v>
      </c>
      <c r="F111" t="s">
        <v>80</v>
      </c>
      <c r="G111">
        <v>975</v>
      </c>
      <c r="H111">
        <v>1</v>
      </c>
      <c r="I111" t="s">
        <v>81</v>
      </c>
      <c r="J111">
        <v>0</v>
      </c>
      <c r="K111">
        <v>2</v>
      </c>
      <c r="L111">
        <v>2</v>
      </c>
      <c r="AX111">
        <v>482</v>
      </c>
      <c r="AZ111" t="s">
        <v>156</v>
      </c>
      <c r="BA111">
        <v>0</v>
      </c>
      <c r="BC111" t="s">
        <v>303</v>
      </c>
      <c r="BD111" s="4">
        <v>43283.820706018516</v>
      </c>
      <c r="BE111" s="4">
        <v>43283.824131944442</v>
      </c>
      <c r="BF111" s="4">
        <v>43283.824131944442</v>
      </c>
      <c r="BG111" t="s">
        <v>83</v>
      </c>
      <c r="BH111" t="s">
        <v>84</v>
      </c>
      <c r="BI111" t="s">
        <v>85</v>
      </c>
    </row>
    <row r="112" spans="1:61" x14ac:dyDescent="0.3">
      <c r="A112" t="str">
        <f>"200975E0100"</f>
        <v>200975E0100</v>
      </c>
      <c r="B112" s="2" t="s">
        <v>304</v>
      </c>
      <c r="C112">
        <v>20</v>
      </c>
      <c r="D112" t="s">
        <v>79</v>
      </c>
      <c r="E112">
        <v>1</v>
      </c>
      <c r="F112" t="s">
        <v>80</v>
      </c>
      <c r="G112">
        <v>975</v>
      </c>
      <c r="H112">
        <v>1</v>
      </c>
      <c r="I112" t="s">
        <v>145</v>
      </c>
      <c r="J112">
        <v>0</v>
      </c>
      <c r="K112">
        <v>2</v>
      </c>
      <c r="L112">
        <v>2</v>
      </c>
      <c r="AX112">
        <v>102</v>
      </c>
      <c r="AZ112" t="s">
        <v>156</v>
      </c>
      <c r="BA112">
        <v>0</v>
      </c>
      <c r="BC112" t="s">
        <v>305</v>
      </c>
      <c r="BD112" s="4">
        <v>43283.820347222223</v>
      </c>
      <c r="BE112" s="4">
        <v>43283.82372685185</v>
      </c>
      <c r="BF112" s="4">
        <v>43283.82372685185</v>
      </c>
      <c r="BG112" t="s">
        <v>83</v>
      </c>
      <c r="BH112" t="s">
        <v>84</v>
      </c>
      <c r="BI112" t="s">
        <v>85</v>
      </c>
    </row>
    <row r="113" spans="1:61" x14ac:dyDescent="0.3">
      <c r="A113" t="str">
        <f>"200976B0100"</f>
        <v>200976B0100</v>
      </c>
      <c r="B113" t="s">
        <v>306</v>
      </c>
      <c r="C113">
        <v>20</v>
      </c>
      <c r="D113" t="s">
        <v>79</v>
      </c>
      <c r="E113">
        <v>1</v>
      </c>
      <c r="F113" t="s">
        <v>80</v>
      </c>
      <c r="G113">
        <v>976</v>
      </c>
      <c r="H113">
        <v>1</v>
      </c>
      <c r="I113" t="s">
        <v>81</v>
      </c>
      <c r="J113">
        <v>0</v>
      </c>
      <c r="K113">
        <v>2</v>
      </c>
      <c r="L113">
        <v>2</v>
      </c>
      <c r="AX113">
        <v>388</v>
      </c>
      <c r="AZ113" t="s">
        <v>156</v>
      </c>
      <c r="BA113">
        <v>0</v>
      </c>
      <c r="BC113" t="s">
        <v>307</v>
      </c>
      <c r="BD113" s="4">
        <v>43283.819652777776</v>
      </c>
      <c r="BE113" s="4">
        <v>43283.823483796295</v>
      </c>
      <c r="BF113" s="4">
        <v>43283.823483796295</v>
      </c>
      <c r="BG113" t="s">
        <v>83</v>
      </c>
      <c r="BH113" t="s">
        <v>84</v>
      </c>
      <c r="BI113" t="s">
        <v>85</v>
      </c>
    </row>
    <row r="114" spans="1:61" x14ac:dyDescent="0.3">
      <c r="A114" t="str">
        <f>"200976C0100"</f>
        <v>200976C0100</v>
      </c>
      <c r="B114" t="s">
        <v>308</v>
      </c>
      <c r="C114">
        <v>20</v>
      </c>
      <c r="D114" t="s">
        <v>79</v>
      </c>
      <c r="E114">
        <v>1</v>
      </c>
      <c r="F114" t="s">
        <v>80</v>
      </c>
      <c r="G114">
        <v>976</v>
      </c>
      <c r="H114">
        <v>1</v>
      </c>
      <c r="I114" t="s">
        <v>89</v>
      </c>
      <c r="J114">
        <v>0</v>
      </c>
      <c r="K114">
        <v>2</v>
      </c>
      <c r="L114">
        <v>2</v>
      </c>
      <c r="AX114">
        <v>388</v>
      </c>
      <c r="AZ114" t="s">
        <v>156</v>
      </c>
      <c r="BA114">
        <v>0</v>
      </c>
      <c r="BC114" t="s">
        <v>309</v>
      </c>
      <c r="BD114" s="4">
        <v>43283.818680555552</v>
      </c>
      <c r="BE114" s="4">
        <v>43283.820775462962</v>
      </c>
      <c r="BF114" s="4">
        <v>43283.820775462962</v>
      </c>
      <c r="BG114" t="s">
        <v>83</v>
      </c>
      <c r="BH114" t="s">
        <v>84</v>
      </c>
      <c r="BI114" t="s">
        <v>85</v>
      </c>
    </row>
    <row r="115" spans="1:61" x14ac:dyDescent="0.3">
      <c r="A115" t="str">
        <f>"200977B0100"</f>
        <v>200977B0100</v>
      </c>
      <c r="B115" t="s">
        <v>310</v>
      </c>
      <c r="C115">
        <v>20</v>
      </c>
      <c r="D115" t="s">
        <v>79</v>
      </c>
      <c r="E115">
        <v>1</v>
      </c>
      <c r="F115" t="s">
        <v>80</v>
      </c>
      <c r="G115">
        <v>977</v>
      </c>
      <c r="H115">
        <v>1</v>
      </c>
      <c r="I115" t="s">
        <v>81</v>
      </c>
      <c r="J115">
        <v>0</v>
      </c>
      <c r="K115">
        <v>2</v>
      </c>
      <c r="L115">
        <v>2</v>
      </c>
      <c r="AX115">
        <v>228</v>
      </c>
      <c r="AZ115" t="s">
        <v>156</v>
      </c>
      <c r="BA115">
        <v>0</v>
      </c>
      <c r="BC115" t="s">
        <v>311</v>
      </c>
      <c r="BD115" s="4">
        <v>43283.82608796296</v>
      </c>
      <c r="BE115" s="4">
        <v>43283.827407407407</v>
      </c>
      <c r="BF115" s="4">
        <v>43283.827407407407</v>
      </c>
      <c r="BG115" t="s">
        <v>83</v>
      </c>
      <c r="BH115" t="s">
        <v>84</v>
      </c>
      <c r="BI115" t="s">
        <v>85</v>
      </c>
    </row>
    <row r="116" spans="1:61" x14ac:dyDescent="0.3">
      <c r="A116" t="str">
        <f>"200977E0100"</f>
        <v>200977E0100</v>
      </c>
      <c r="B116" s="2" t="s">
        <v>312</v>
      </c>
      <c r="C116">
        <v>20</v>
      </c>
      <c r="D116" t="s">
        <v>79</v>
      </c>
      <c r="E116">
        <v>1</v>
      </c>
      <c r="F116" t="s">
        <v>80</v>
      </c>
      <c r="G116">
        <v>977</v>
      </c>
      <c r="H116">
        <v>1</v>
      </c>
      <c r="I116" t="s">
        <v>145</v>
      </c>
      <c r="J116">
        <v>0</v>
      </c>
      <c r="K116">
        <v>2</v>
      </c>
      <c r="L116">
        <v>2</v>
      </c>
      <c r="AX116">
        <v>330</v>
      </c>
      <c r="AZ116" t="s">
        <v>156</v>
      </c>
      <c r="BA116">
        <v>0</v>
      </c>
      <c r="BC116" t="s">
        <v>313</v>
      </c>
      <c r="BD116" s="4">
        <v>43283.82540509259</v>
      </c>
      <c r="BE116" s="4">
        <v>43283.826944444445</v>
      </c>
      <c r="BF116" s="4">
        <v>43283.826944444445</v>
      </c>
      <c r="BG116" t="s">
        <v>83</v>
      </c>
      <c r="BH116" t="s">
        <v>84</v>
      </c>
      <c r="BI116" t="s">
        <v>85</v>
      </c>
    </row>
    <row r="117" spans="1:61" x14ac:dyDescent="0.3">
      <c r="A117" t="str">
        <f>"201057B0100"</f>
        <v>201057B0100</v>
      </c>
      <c r="B117" t="s">
        <v>314</v>
      </c>
      <c r="C117">
        <v>20</v>
      </c>
      <c r="D117" t="s">
        <v>79</v>
      </c>
      <c r="E117">
        <v>1</v>
      </c>
      <c r="F117" t="s">
        <v>80</v>
      </c>
      <c r="G117">
        <v>1057</v>
      </c>
      <c r="H117">
        <v>1</v>
      </c>
      <c r="I117" t="s">
        <v>81</v>
      </c>
      <c r="J117">
        <v>0</v>
      </c>
      <c r="K117">
        <v>2</v>
      </c>
      <c r="L117">
        <v>2</v>
      </c>
      <c r="M117" t="s">
        <v>315</v>
      </c>
      <c r="N117">
        <v>248</v>
      </c>
      <c r="O117">
        <v>248</v>
      </c>
      <c r="P117">
        <v>248</v>
      </c>
      <c r="Q117">
        <v>13</v>
      </c>
      <c r="R117">
        <v>27</v>
      </c>
      <c r="S117">
        <v>5</v>
      </c>
      <c r="T117">
        <v>14</v>
      </c>
      <c r="U117">
        <v>19</v>
      </c>
      <c r="V117">
        <v>3</v>
      </c>
      <c r="W117">
        <v>3</v>
      </c>
      <c r="X117">
        <v>88</v>
      </c>
      <c r="Y117">
        <v>61</v>
      </c>
      <c r="AA117">
        <v>1</v>
      </c>
      <c r="AC117" t="s">
        <v>100</v>
      </c>
      <c r="AD117" t="s">
        <v>100</v>
      </c>
      <c r="AE117" t="s">
        <v>100</v>
      </c>
      <c r="AF117" t="s">
        <v>100</v>
      </c>
      <c r="AG117" t="s">
        <v>100</v>
      </c>
      <c r="AH117" t="s">
        <v>100</v>
      </c>
      <c r="AI117" t="s">
        <v>100</v>
      </c>
      <c r="AJ117" t="s">
        <v>100</v>
      </c>
      <c r="AT117" t="s">
        <v>100</v>
      </c>
      <c r="AU117">
        <v>14</v>
      </c>
      <c r="AV117">
        <v>248</v>
      </c>
      <c r="AW117">
        <v>248</v>
      </c>
      <c r="AX117">
        <v>318</v>
      </c>
      <c r="AZ117" t="s">
        <v>101</v>
      </c>
      <c r="BA117">
        <v>1</v>
      </c>
      <c r="BC117" t="s">
        <v>316</v>
      </c>
      <c r="BD117" s="4">
        <v>43283.37290509259</v>
      </c>
      <c r="BE117" s="4">
        <v>43283.378240740742</v>
      </c>
      <c r="BF117" s="4">
        <v>43283.378240740742</v>
      </c>
      <c r="BG117" t="s">
        <v>83</v>
      </c>
      <c r="BH117" t="s">
        <v>84</v>
      </c>
      <c r="BI117" t="s">
        <v>85</v>
      </c>
    </row>
    <row r="118" spans="1:61" x14ac:dyDescent="0.3">
      <c r="A118" t="str">
        <f>"201057E0100"</f>
        <v>201057E0100</v>
      </c>
      <c r="B118" s="2" t="s">
        <v>317</v>
      </c>
      <c r="C118">
        <v>20</v>
      </c>
      <c r="D118" t="s">
        <v>79</v>
      </c>
      <c r="E118">
        <v>1</v>
      </c>
      <c r="F118" t="s">
        <v>80</v>
      </c>
      <c r="G118">
        <v>1057</v>
      </c>
      <c r="H118">
        <v>1</v>
      </c>
      <c r="I118" t="s">
        <v>145</v>
      </c>
      <c r="J118">
        <v>0</v>
      </c>
      <c r="K118">
        <v>2</v>
      </c>
      <c r="L118">
        <v>2</v>
      </c>
      <c r="M118">
        <v>142</v>
      </c>
      <c r="N118">
        <v>363</v>
      </c>
      <c r="O118">
        <v>0</v>
      </c>
      <c r="P118">
        <v>363</v>
      </c>
      <c r="Q118">
        <v>8</v>
      </c>
      <c r="R118">
        <v>77</v>
      </c>
      <c r="S118">
        <v>3</v>
      </c>
      <c r="T118">
        <v>9</v>
      </c>
      <c r="U118">
        <v>6</v>
      </c>
      <c r="V118">
        <v>18</v>
      </c>
      <c r="W118">
        <v>1</v>
      </c>
      <c r="X118">
        <v>143</v>
      </c>
      <c r="Y118">
        <v>83</v>
      </c>
      <c r="AA118" t="s">
        <v>100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T118" t="s">
        <v>100</v>
      </c>
      <c r="AU118">
        <v>15</v>
      </c>
      <c r="AV118">
        <v>363</v>
      </c>
      <c r="AW118">
        <v>363</v>
      </c>
      <c r="AX118">
        <v>482</v>
      </c>
      <c r="AZ118" t="s">
        <v>101</v>
      </c>
      <c r="BA118">
        <v>1</v>
      </c>
      <c r="BC118" t="s">
        <v>318</v>
      </c>
      <c r="BD118" s="4">
        <v>43283.370347222219</v>
      </c>
      <c r="BE118" s="4">
        <v>43283.377453703702</v>
      </c>
      <c r="BF118" s="4">
        <v>43283.377453703702</v>
      </c>
      <c r="BG118" t="s">
        <v>83</v>
      </c>
      <c r="BH118" t="s">
        <v>84</v>
      </c>
      <c r="BI118" t="s">
        <v>85</v>
      </c>
    </row>
    <row r="119" spans="1:61" x14ac:dyDescent="0.3">
      <c r="A119" t="str">
        <f>"201372B0100"</f>
        <v>201372B0100</v>
      </c>
      <c r="B119" t="s">
        <v>319</v>
      </c>
      <c r="C119">
        <v>20</v>
      </c>
      <c r="D119" t="s">
        <v>79</v>
      </c>
      <c r="E119">
        <v>1</v>
      </c>
      <c r="F119" t="s">
        <v>80</v>
      </c>
      <c r="G119">
        <v>1372</v>
      </c>
      <c r="H119">
        <v>1</v>
      </c>
      <c r="I119" t="s">
        <v>81</v>
      </c>
      <c r="J119">
        <v>0</v>
      </c>
      <c r="K119">
        <v>2</v>
      </c>
      <c r="L119">
        <v>2</v>
      </c>
      <c r="M119">
        <v>145</v>
      </c>
      <c r="N119">
        <v>454</v>
      </c>
      <c r="O119">
        <v>1</v>
      </c>
      <c r="P119">
        <v>454</v>
      </c>
      <c r="Q119">
        <v>40</v>
      </c>
      <c r="R119">
        <v>210</v>
      </c>
      <c r="S119">
        <v>13</v>
      </c>
      <c r="T119">
        <v>3</v>
      </c>
      <c r="U119">
        <v>9</v>
      </c>
      <c r="V119">
        <v>11</v>
      </c>
      <c r="W119">
        <v>4</v>
      </c>
      <c r="X119">
        <v>2</v>
      </c>
      <c r="Y119">
        <v>137</v>
      </c>
      <c r="AA119">
        <v>0</v>
      </c>
      <c r="AC119">
        <v>0</v>
      </c>
      <c r="AD119">
        <v>2</v>
      </c>
      <c r="AE119">
        <v>0</v>
      </c>
      <c r="AF119">
        <v>1</v>
      </c>
      <c r="AG119">
        <v>3</v>
      </c>
      <c r="AH119">
        <v>8</v>
      </c>
      <c r="AI119">
        <v>0</v>
      </c>
      <c r="AJ119">
        <v>0</v>
      </c>
      <c r="AT119">
        <v>0</v>
      </c>
      <c r="AU119">
        <v>11</v>
      </c>
      <c r="AV119">
        <v>454</v>
      </c>
      <c r="AW119">
        <v>454</v>
      </c>
      <c r="AX119">
        <v>577</v>
      </c>
      <c r="BA119">
        <v>1</v>
      </c>
      <c r="BC119" t="s">
        <v>320</v>
      </c>
      <c r="BD119" s="4">
        <v>43283.372349537036</v>
      </c>
      <c r="BE119" s="4">
        <v>43283.378958333335</v>
      </c>
      <c r="BF119" s="4">
        <v>43283.378958333335</v>
      </c>
      <c r="BG119" t="s">
        <v>83</v>
      </c>
      <c r="BH119" t="s">
        <v>84</v>
      </c>
      <c r="BI119" t="s">
        <v>85</v>
      </c>
    </row>
    <row r="120" spans="1:61" x14ac:dyDescent="0.3">
      <c r="A120" t="str">
        <f>"201372C0100"</f>
        <v>201372C0100</v>
      </c>
      <c r="B120" t="s">
        <v>321</v>
      </c>
      <c r="C120">
        <v>20</v>
      </c>
      <c r="D120" t="s">
        <v>79</v>
      </c>
      <c r="E120">
        <v>1</v>
      </c>
      <c r="F120" t="s">
        <v>80</v>
      </c>
      <c r="G120">
        <v>1372</v>
      </c>
      <c r="H120">
        <v>1</v>
      </c>
      <c r="I120" t="s">
        <v>89</v>
      </c>
      <c r="J120">
        <v>0</v>
      </c>
      <c r="K120">
        <v>2</v>
      </c>
      <c r="L120">
        <v>2</v>
      </c>
      <c r="M120">
        <v>135</v>
      </c>
      <c r="N120">
        <v>463</v>
      </c>
      <c r="O120">
        <v>1</v>
      </c>
      <c r="P120">
        <v>463</v>
      </c>
      <c r="Q120">
        <v>37</v>
      </c>
      <c r="R120">
        <v>238</v>
      </c>
      <c r="S120">
        <v>16</v>
      </c>
      <c r="T120">
        <v>5</v>
      </c>
      <c r="U120">
        <v>7</v>
      </c>
      <c r="V120">
        <v>4</v>
      </c>
      <c r="W120">
        <v>2</v>
      </c>
      <c r="X120">
        <v>2</v>
      </c>
      <c r="Y120">
        <v>128</v>
      </c>
      <c r="AA120">
        <v>1</v>
      </c>
      <c r="AC120">
        <v>1</v>
      </c>
      <c r="AD120">
        <v>0</v>
      </c>
      <c r="AE120">
        <v>0</v>
      </c>
      <c r="AF120">
        <v>1</v>
      </c>
      <c r="AG120">
        <v>1</v>
      </c>
      <c r="AH120">
        <v>4</v>
      </c>
      <c r="AI120">
        <v>1</v>
      </c>
      <c r="AJ120">
        <v>0</v>
      </c>
      <c r="AT120">
        <v>0</v>
      </c>
      <c r="AU120">
        <v>15</v>
      </c>
      <c r="AV120">
        <v>463</v>
      </c>
      <c r="AW120">
        <v>463</v>
      </c>
      <c r="AX120">
        <v>576</v>
      </c>
      <c r="BA120">
        <v>1</v>
      </c>
      <c r="BC120" t="s">
        <v>322</v>
      </c>
      <c r="BD120" s="4">
        <v>43283.370879629627</v>
      </c>
      <c r="BE120" s="4">
        <v>43283.380879629629</v>
      </c>
      <c r="BF120" s="4">
        <v>43283.380879629629</v>
      </c>
      <c r="BG120" t="s">
        <v>83</v>
      </c>
      <c r="BH120" t="s">
        <v>84</v>
      </c>
      <c r="BI120" t="s">
        <v>85</v>
      </c>
    </row>
    <row r="121" spans="1:61" x14ac:dyDescent="0.3">
      <c r="A121" t="str">
        <f>"201372C0200"</f>
        <v>201372C0200</v>
      </c>
      <c r="B121" t="s">
        <v>323</v>
      </c>
      <c r="C121">
        <v>20</v>
      </c>
      <c r="D121" t="s">
        <v>79</v>
      </c>
      <c r="E121">
        <v>1</v>
      </c>
      <c r="F121" t="s">
        <v>80</v>
      </c>
      <c r="G121">
        <v>1372</v>
      </c>
      <c r="H121">
        <v>2</v>
      </c>
      <c r="I121" t="s">
        <v>89</v>
      </c>
      <c r="J121">
        <v>0</v>
      </c>
      <c r="K121">
        <v>2</v>
      </c>
      <c r="L121">
        <v>2</v>
      </c>
      <c r="M121">
        <v>132</v>
      </c>
      <c r="N121">
        <v>466</v>
      </c>
      <c r="O121">
        <v>1</v>
      </c>
      <c r="P121">
        <v>466</v>
      </c>
      <c r="Q121">
        <v>43</v>
      </c>
      <c r="R121">
        <v>227</v>
      </c>
      <c r="S121">
        <v>12</v>
      </c>
      <c r="T121">
        <v>3</v>
      </c>
      <c r="U121">
        <v>3</v>
      </c>
      <c r="V121">
        <v>12</v>
      </c>
      <c r="W121">
        <v>4</v>
      </c>
      <c r="X121">
        <v>1</v>
      </c>
      <c r="Y121">
        <v>132</v>
      </c>
      <c r="AA121" t="s">
        <v>100</v>
      </c>
      <c r="AC121">
        <v>1</v>
      </c>
      <c r="AD121">
        <v>1</v>
      </c>
      <c r="AE121">
        <v>1</v>
      </c>
      <c r="AF121" t="s">
        <v>100</v>
      </c>
      <c r="AG121">
        <v>3</v>
      </c>
      <c r="AH121">
        <v>3</v>
      </c>
      <c r="AI121" t="s">
        <v>100</v>
      </c>
      <c r="AJ121" t="s">
        <v>100</v>
      </c>
      <c r="AT121" t="s">
        <v>100</v>
      </c>
      <c r="AU121">
        <v>20</v>
      </c>
      <c r="AV121">
        <v>466</v>
      </c>
      <c r="AW121">
        <v>466</v>
      </c>
      <c r="AX121">
        <v>576</v>
      </c>
      <c r="AZ121" t="s">
        <v>101</v>
      </c>
      <c r="BA121">
        <v>1</v>
      </c>
      <c r="BC121" t="s">
        <v>324</v>
      </c>
      <c r="BD121" s="4">
        <v>43283.371458333335</v>
      </c>
      <c r="BE121" s="4">
        <v>43283.377928240741</v>
      </c>
      <c r="BF121" s="4">
        <v>43283.377928240741</v>
      </c>
      <c r="BG121" t="s">
        <v>83</v>
      </c>
      <c r="BH121" t="s">
        <v>84</v>
      </c>
      <c r="BI121" t="s">
        <v>85</v>
      </c>
    </row>
    <row r="122" spans="1:61" x14ac:dyDescent="0.3">
      <c r="A122" t="str">
        <f>"201373B0100"</f>
        <v>201373B0100</v>
      </c>
      <c r="B122" t="s">
        <v>325</v>
      </c>
      <c r="C122">
        <v>20</v>
      </c>
      <c r="D122" t="s">
        <v>79</v>
      </c>
      <c r="E122">
        <v>1</v>
      </c>
      <c r="F122" t="s">
        <v>80</v>
      </c>
      <c r="G122">
        <v>1373</v>
      </c>
      <c r="H122">
        <v>1</v>
      </c>
      <c r="I122" t="s">
        <v>81</v>
      </c>
      <c r="J122">
        <v>0</v>
      </c>
      <c r="K122">
        <v>1</v>
      </c>
      <c r="L122">
        <v>2</v>
      </c>
      <c r="M122">
        <v>101</v>
      </c>
      <c r="N122">
        <v>390</v>
      </c>
      <c r="O122">
        <v>2</v>
      </c>
      <c r="P122">
        <v>390</v>
      </c>
      <c r="Q122">
        <v>58</v>
      </c>
      <c r="R122">
        <v>142</v>
      </c>
      <c r="S122">
        <v>19</v>
      </c>
      <c r="T122">
        <v>3</v>
      </c>
      <c r="U122">
        <v>4</v>
      </c>
      <c r="V122">
        <v>15</v>
      </c>
      <c r="W122">
        <v>2</v>
      </c>
      <c r="X122">
        <v>4</v>
      </c>
      <c r="Y122">
        <v>124</v>
      </c>
      <c r="AA122">
        <v>0</v>
      </c>
      <c r="AC122">
        <v>1</v>
      </c>
      <c r="AD122">
        <v>0</v>
      </c>
      <c r="AE122">
        <v>0</v>
      </c>
      <c r="AF122">
        <v>0</v>
      </c>
      <c r="AG122">
        <v>2</v>
      </c>
      <c r="AH122">
        <v>1</v>
      </c>
      <c r="AI122">
        <v>0</v>
      </c>
      <c r="AJ122">
        <v>0</v>
      </c>
      <c r="AT122">
        <v>0</v>
      </c>
      <c r="AU122">
        <v>15</v>
      </c>
      <c r="AV122">
        <v>390</v>
      </c>
      <c r="AW122">
        <v>390</v>
      </c>
      <c r="AX122">
        <v>470</v>
      </c>
      <c r="BA122">
        <v>1</v>
      </c>
      <c r="BC122" t="s">
        <v>326</v>
      </c>
      <c r="BD122" s="4">
        <v>43283.371365740742</v>
      </c>
      <c r="BE122" s="4">
        <v>43283.39398148148</v>
      </c>
      <c r="BF122" s="4">
        <v>43283.39398148148</v>
      </c>
      <c r="BG122" t="s">
        <v>83</v>
      </c>
      <c r="BH122" t="s">
        <v>84</v>
      </c>
      <c r="BI122" t="s">
        <v>85</v>
      </c>
    </row>
    <row r="123" spans="1:61" x14ac:dyDescent="0.3">
      <c r="A123" t="str">
        <f>"201373C0100"</f>
        <v>201373C0100</v>
      </c>
      <c r="B123" t="s">
        <v>327</v>
      </c>
      <c r="C123">
        <v>20</v>
      </c>
      <c r="D123" t="s">
        <v>79</v>
      </c>
      <c r="E123">
        <v>1</v>
      </c>
      <c r="F123" t="s">
        <v>80</v>
      </c>
      <c r="G123">
        <v>1373</v>
      </c>
      <c r="H123">
        <v>1</v>
      </c>
      <c r="I123" t="s">
        <v>89</v>
      </c>
      <c r="J123">
        <v>0</v>
      </c>
      <c r="K123">
        <v>1</v>
      </c>
      <c r="L123">
        <v>2</v>
      </c>
      <c r="M123">
        <v>104</v>
      </c>
      <c r="N123">
        <v>387</v>
      </c>
      <c r="O123">
        <v>5</v>
      </c>
      <c r="P123">
        <v>0</v>
      </c>
      <c r="Q123">
        <v>47</v>
      </c>
      <c r="R123">
        <v>167</v>
      </c>
      <c r="S123">
        <v>14</v>
      </c>
      <c r="T123">
        <v>0</v>
      </c>
      <c r="U123">
        <v>3</v>
      </c>
      <c r="V123">
        <v>10</v>
      </c>
      <c r="W123">
        <v>2</v>
      </c>
      <c r="X123">
        <v>0</v>
      </c>
      <c r="Y123">
        <v>131</v>
      </c>
      <c r="AA123">
        <v>1</v>
      </c>
      <c r="AC123">
        <v>0</v>
      </c>
      <c r="AD123">
        <v>0</v>
      </c>
      <c r="AE123">
        <v>0</v>
      </c>
      <c r="AF123">
        <v>0</v>
      </c>
      <c r="AG123">
        <v>1</v>
      </c>
      <c r="AH123">
        <v>4</v>
      </c>
      <c r="AI123">
        <v>0</v>
      </c>
      <c r="AJ123">
        <v>0</v>
      </c>
      <c r="AT123" t="s">
        <v>100</v>
      </c>
      <c r="AU123">
        <v>0</v>
      </c>
      <c r="AV123">
        <v>387</v>
      </c>
      <c r="AW123">
        <v>380</v>
      </c>
      <c r="AX123">
        <v>470</v>
      </c>
      <c r="AZ123" t="s">
        <v>101</v>
      </c>
      <c r="BA123">
        <v>1</v>
      </c>
      <c r="BC123" t="s">
        <v>328</v>
      </c>
      <c r="BD123" s="4">
        <v>43283.371817129628</v>
      </c>
      <c r="BE123" s="4">
        <v>43283.394513888888</v>
      </c>
      <c r="BF123" s="4">
        <v>43283.394513888888</v>
      </c>
      <c r="BG123" t="s">
        <v>83</v>
      </c>
      <c r="BH123" t="s">
        <v>84</v>
      </c>
      <c r="BI123" t="s">
        <v>85</v>
      </c>
    </row>
    <row r="124" spans="1:61" x14ac:dyDescent="0.3">
      <c r="A124" t="str">
        <f>"201374B0100"</f>
        <v>201374B0100</v>
      </c>
      <c r="B124" t="s">
        <v>329</v>
      </c>
      <c r="C124">
        <v>20</v>
      </c>
      <c r="D124" t="s">
        <v>79</v>
      </c>
      <c r="E124">
        <v>1</v>
      </c>
      <c r="F124" t="s">
        <v>80</v>
      </c>
      <c r="G124">
        <v>1374</v>
      </c>
      <c r="H124">
        <v>1</v>
      </c>
      <c r="I124" t="s">
        <v>81</v>
      </c>
      <c r="J124">
        <v>0</v>
      </c>
      <c r="K124">
        <v>1</v>
      </c>
      <c r="L124">
        <v>2</v>
      </c>
      <c r="M124">
        <v>135</v>
      </c>
      <c r="N124">
        <v>545</v>
      </c>
      <c r="O124">
        <v>2</v>
      </c>
      <c r="P124">
        <v>545</v>
      </c>
      <c r="Q124">
        <v>70</v>
      </c>
      <c r="R124">
        <v>233</v>
      </c>
      <c r="S124">
        <v>20</v>
      </c>
      <c r="T124">
        <v>3</v>
      </c>
      <c r="U124">
        <v>10</v>
      </c>
      <c r="V124">
        <v>11</v>
      </c>
      <c r="W124">
        <v>1</v>
      </c>
      <c r="X124">
        <v>7</v>
      </c>
      <c r="Y124">
        <v>166</v>
      </c>
      <c r="AA124">
        <v>2</v>
      </c>
      <c r="AC124">
        <v>1</v>
      </c>
      <c r="AD124">
        <v>1</v>
      </c>
      <c r="AE124">
        <v>0</v>
      </c>
      <c r="AF124">
        <v>0</v>
      </c>
      <c r="AG124">
        <v>4</v>
      </c>
      <c r="AH124">
        <v>5</v>
      </c>
      <c r="AI124">
        <v>0</v>
      </c>
      <c r="AJ124">
        <v>0</v>
      </c>
      <c r="AT124">
        <v>0</v>
      </c>
      <c r="AU124">
        <v>11</v>
      </c>
      <c r="AV124">
        <v>545</v>
      </c>
      <c r="AW124">
        <v>545</v>
      </c>
      <c r="AX124">
        <v>658</v>
      </c>
      <c r="BA124">
        <v>1</v>
      </c>
      <c r="BC124" t="s">
        <v>330</v>
      </c>
      <c r="BD124" s="4">
        <v>43283.332291666666</v>
      </c>
      <c r="BE124" s="4">
        <v>43283.351574074077</v>
      </c>
      <c r="BF124" s="4">
        <v>43283.351574074077</v>
      </c>
      <c r="BG124" t="s">
        <v>83</v>
      </c>
      <c r="BH124" t="s">
        <v>84</v>
      </c>
      <c r="BI124" t="s">
        <v>85</v>
      </c>
    </row>
    <row r="125" spans="1:61" x14ac:dyDescent="0.3">
      <c r="A125" t="str">
        <f>"201374C0100"</f>
        <v>201374C0100</v>
      </c>
      <c r="B125" t="s">
        <v>331</v>
      </c>
      <c r="C125">
        <v>20</v>
      </c>
      <c r="D125" t="s">
        <v>79</v>
      </c>
      <c r="E125">
        <v>1</v>
      </c>
      <c r="F125" t="s">
        <v>80</v>
      </c>
      <c r="G125">
        <v>1374</v>
      </c>
      <c r="H125">
        <v>1</v>
      </c>
      <c r="I125" t="s">
        <v>89</v>
      </c>
      <c r="J125">
        <v>0</v>
      </c>
      <c r="K125">
        <v>1</v>
      </c>
      <c r="L125">
        <v>2</v>
      </c>
      <c r="AX125">
        <v>657</v>
      </c>
      <c r="AZ125" t="s">
        <v>156</v>
      </c>
      <c r="BA125">
        <v>0</v>
      </c>
      <c r="BC125" t="s">
        <v>332</v>
      </c>
      <c r="BD125" s="4">
        <v>43283.825057870374</v>
      </c>
      <c r="BE125" s="4">
        <v>43283.826574074075</v>
      </c>
      <c r="BF125" s="4">
        <v>43283.826574074075</v>
      </c>
      <c r="BG125" t="s">
        <v>83</v>
      </c>
      <c r="BH125" t="s">
        <v>84</v>
      </c>
      <c r="BI125" t="s">
        <v>85</v>
      </c>
    </row>
    <row r="126" spans="1:61" x14ac:dyDescent="0.3">
      <c r="A126" t="str">
        <f>"201375B0100"</f>
        <v>201375B0100</v>
      </c>
      <c r="B126" t="s">
        <v>333</v>
      </c>
      <c r="C126">
        <v>20</v>
      </c>
      <c r="D126" t="s">
        <v>79</v>
      </c>
      <c r="E126">
        <v>1</v>
      </c>
      <c r="F126" t="s">
        <v>80</v>
      </c>
      <c r="G126">
        <v>1375</v>
      </c>
      <c r="H126">
        <v>1</v>
      </c>
      <c r="I126" t="s">
        <v>81</v>
      </c>
      <c r="J126">
        <v>0</v>
      </c>
      <c r="K126">
        <v>1</v>
      </c>
      <c r="L126">
        <v>2</v>
      </c>
      <c r="M126">
        <v>101</v>
      </c>
      <c r="N126">
        <v>405</v>
      </c>
      <c r="O126">
        <v>3</v>
      </c>
      <c r="P126">
        <v>405</v>
      </c>
      <c r="Q126">
        <v>77</v>
      </c>
      <c r="R126">
        <v>177</v>
      </c>
      <c r="S126">
        <v>12</v>
      </c>
      <c r="T126">
        <v>0</v>
      </c>
      <c r="U126">
        <v>9</v>
      </c>
      <c r="V126">
        <v>5</v>
      </c>
      <c r="W126">
        <v>1</v>
      </c>
      <c r="X126">
        <v>1</v>
      </c>
      <c r="Y126">
        <v>106</v>
      </c>
      <c r="AA126">
        <v>1</v>
      </c>
      <c r="AC126">
        <v>0</v>
      </c>
      <c r="AD126">
        <v>0</v>
      </c>
      <c r="AE126">
        <v>0</v>
      </c>
      <c r="AF126">
        <v>1</v>
      </c>
      <c r="AG126">
        <v>0</v>
      </c>
      <c r="AH126">
        <v>4</v>
      </c>
      <c r="AI126">
        <v>0</v>
      </c>
      <c r="AJ126">
        <v>0</v>
      </c>
      <c r="AT126">
        <v>0</v>
      </c>
      <c r="AU126">
        <v>11</v>
      </c>
      <c r="AV126">
        <v>405</v>
      </c>
      <c r="AW126">
        <v>405</v>
      </c>
      <c r="AX126">
        <v>484</v>
      </c>
      <c r="BA126">
        <v>1</v>
      </c>
      <c r="BC126" t="s">
        <v>334</v>
      </c>
      <c r="BD126" s="4">
        <v>43283.399398148147</v>
      </c>
      <c r="BE126" s="4">
        <v>43283.402268518519</v>
      </c>
      <c r="BF126" s="4">
        <v>43283.402268518519</v>
      </c>
      <c r="BG126" t="s">
        <v>83</v>
      </c>
      <c r="BH126" t="s">
        <v>84</v>
      </c>
      <c r="BI126" t="s">
        <v>85</v>
      </c>
    </row>
    <row r="127" spans="1:61" x14ac:dyDescent="0.3">
      <c r="A127" t="str">
        <f>"201375C0100"</f>
        <v>201375C0100</v>
      </c>
      <c r="B127" t="s">
        <v>335</v>
      </c>
      <c r="C127">
        <v>20</v>
      </c>
      <c r="D127" t="s">
        <v>79</v>
      </c>
      <c r="E127">
        <v>1</v>
      </c>
      <c r="F127" t="s">
        <v>80</v>
      </c>
      <c r="G127">
        <v>1375</v>
      </c>
      <c r="H127">
        <v>1</v>
      </c>
      <c r="I127" t="s">
        <v>89</v>
      </c>
      <c r="J127">
        <v>0</v>
      </c>
      <c r="K127">
        <v>1</v>
      </c>
      <c r="L127">
        <v>2</v>
      </c>
      <c r="M127">
        <v>96</v>
      </c>
      <c r="N127">
        <v>410</v>
      </c>
      <c r="O127">
        <v>4</v>
      </c>
      <c r="P127">
        <v>410</v>
      </c>
      <c r="Q127">
        <v>67</v>
      </c>
      <c r="R127">
        <v>182</v>
      </c>
      <c r="S127">
        <v>24</v>
      </c>
      <c r="T127">
        <v>1</v>
      </c>
      <c r="U127">
        <v>5</v>
      </c>
      <c r="V127">
        <v>7</v>
      </c>
      <c r="W127">
        <v>1</v>
      </c>
      <c r="X127">
        <v>3</v>
      </c>
      <c r="Y127">
        <v>103</v>
      </c>
      <c r="AA127">
        <v>0</v>
      </c>
      <c r="AC127">
        <v>0</v>
      </c>
      <c r="AD127">
        <v>0</v>
      </c>
      <c r="AE127">
        <v>0</v>
      </c>
      <c r="AF127">
        <v>0</v>
      </c>
      <c r="AG127">
        <v>4</v>
      </c>
      <c r="AH127">
        <v>3</v>
      </c>
      <c r="AI127">
        <v>0</v>
      </c>
      <c r="AJ127">
        <v>0</v>
      </c>
      <c r="AT127">
        <v>0</v>
      </c>
      <c r="AU127">
        <v>10</v>
      </c>
      <c r="AV127">
        <v>410</v>
      </c>
      <c r="AW127">
        <v>410</v>
      </c>
      <c r="AX127">
        <v>484</v>
      </c>
      <c r="BA127">
        <v>1</v>
      </c>
      <c r="BC127" t="s">
        <v>336</v>
      </c>
      <c r="BD127" s="4">
        <v>43283.369571759256</v>
      </c>
      <c r="BE127" s="4">
        <v>43283.377962962964</v>
      </c>
      <c r="BF127" s="4">
        <v>43283.377962962964</v>
      </c>
      <c r="BG127" t="s">
        <v>83</v>
      </c>
      <c r="BH127" t="s">
        <v>84</v>
      </c>
      <c r="BI127" t="s">
        <v>85</v>
      </c>
    </row>
    <row r="128" spans="1:61" x14ac:dyDescent="0.3">
      <c r="A128" t="str">
        <f>"201375S0100"</f>
        <v>201375S0100</v>
      </c>
      <c r="B128" t="s">
        <v>337</v>
      </c>
      <c r="C128">
        <v>20</v>
      </c>
      <c r="D128" t="s">
        <v>79</v>
      </c>
      <c r="E128">
        <v>1</v>
      </c>
      <c r="F128" t="s">
        <v>80</v>
      </c>
      <c r="G128">
        <v>1375</v>
      </c>
      <c r="H128">
        <v>1</v>
      </c>
      <c r="I128" t="s">
        <v>104</v>
      </c>
      <c r="J128">
        <v>0</v>
      </c>
      <c r="K128">
        <v>1</v>
      </c>
      <c r="L128">
        <v>3</v>
      </c>
      <c r="M128">
        <v>646</v>
      </c>
      <c r="N128">
        <v>126</v>
      </c>
      <c r="O128">
        <v>0</v>
      </c>
      <c r="P128">
        <v>126</v>
      </c>
      <c r="Q128">
        <v>21</v>
      </c>
      <c r="R128">
        <v>26</v>
      </c>
      <c r="S128" t="s">
        <v>100</v>
      </c>
      <c r="T128" t="s">
        <v>100</v>
      </c>
      <c r="U128">
        <v>1</v>
      </c>
      <c r="V128" t="s">
        <v>100</v>
      </c>
      <c r="W128">
        <v>1</v>
      </c>
      <c r="X128">
        <v>1</v>
      </c>
      <c r="Y128">
        <v>72</v>
      </c>
      <c r="AA128">
        <v>1</v>
      </c>
      <c r="AC128" t="s">
        <v>100</v>
      </c>
      <c r="AD128" t="s">
        <v>100</v>
      </c>
      <c r="AE128" t="s">
        <v>100</v>
      </c>
      <c r="AF128" t="s">
        <v>100</v>
      </c>
      <c r="AG128" t="s">
        <v>100</v>
      </c>
      <c r="AH128" t="s">
        <v>100</v>
      </c>
      <c r="AI128" t="s">
        <v>100</v>
      </c>
      <c r="AJ128" t="s">
        <v>100</v>
      </c>
      <c r="AT128" t="s">
        <v>100</v>
      </c>
      <c r="AU128">
        <v>3</v>
      </c>
      <c r="AV128">
        <v>126</v>
      </c>
      <c r="AW128">
        <v>126</v>
      </c>
      <c r="AX128">
        <v>0</v>
      </c>
      <c r="AZ128" t="s">
        <v>101</v>
      </c>
      <c r="BA128">
        <v>1</v>
      </c>
      <c r="BC128" t="s">
        <v>338</v>
      </c>
      <c r="BD128" s="4">
        <v>43283.33321759259</v>
      </c>
      <c r="BE128" s="4">
        <v>43283.350185185183</v>
      </c>
      <c r="BF128" s="4">
        <v>43283.350185185183</v>
      </c>
      <c r="BG128" t="s">
        <v>83</v>
      </c>
      <c r="BH128" t="s">
        <v>84</v>
      </c>
      <c r="BI128" t="s">
        <v>85</v>
      </c>
    </row>
    <row r="129" spans="1:61" x14ac:dyDescent="0.3">
      <c r="A129" t="str">
        <f>"201376B0100"</f>
        <v>201376B0100</v>
      </c>
      <c r="B129" t="s">
        <v>339</v>
      </c>
      <c r="C129">
        <v>20</v>
      </c>
      <c r="D129" t="s">
        <v>79</v>
      </c>
      <c r="E129">
        <v>1</v>
      </c>
      <c r="F129" t="s">
        <v>80</v>
      </c>
      <c r="G129">
        <v>1376</v>
      </c>
      <c r="H129">
        <v>1</v>
      </c>
      <c r="I129" t="s">
        <v>81</v>
      </c>
      <c r="J129">
        <v>0</v>
      </c>
      <c r="K129">
        <v>1</v>
      </c>
      <c r="L129">
        <v>2</v>
      </c>
      <c r="M129">
        <v>119</v>
      </c>
      <c r="N129">
        <v>482</v>
      </c>
      <c r="O129">
        <v>2</v>
      </c>
      <c r="P129">
        <v>383</v>
      </c>
      <c r="Q129">
        <v>51</v>
      </c>
      <c r="R129">
        <v>160</v>
      </c>
      <c r="S129">
        <v>19</v>
      </c>
      <c r="T129">
        <v>0</v>
      </c>
      <c r="U129">
        <v>7</v>
      </c>
      <c r="V129">
        <v>9</v>
      </c>
      <c r="W129">
        <v>0</v>
      </c>
      <c r="X129">
        <v>2</v>
      </c>
      <c r="Y129">
        <v>115</v>
      </c>
      <c r="AA129">
        <v>0</v>
      </c>
      <c r="AC129">
        <v>0</v>
      </c>
      <c r="AD129">
        <v>0</v>
      </c>
      <c r="AE129">
        <v>0</v>
      </c>
      <c r="AF129">
        <v>0</v>
      </c>
      <c r="AG129">
        <v>2</v>
      </c>
      <c r="AH129">
        <v>3</v>
      </c>
      <c r="AI129">
        <v>0</v>
      </c>
      <c r="AJ129">
        <v>0</v>
      </c>
      <c r="AT129">
        <v>0</v>
      </c>
      <c r="AU129">
        <v>15</v>
      </c>
      <c r="AV129" t="s">
        <v>100</v>
      </c>
      <c r="AW129">
        <v>383</v>
      </c>
      <c r="AX129">
        <v>480</v>
      </c>
      <c r="BA129">
        <v>1</v>
      </c>
      <c r="BC129" t="s">
        <v>340</v>
      </c>
      <c r="BD129" s="4">
        <v>43283.627465277779</v>
      </c>
      <c r="BE129" s="4">
        <v>43283.633321759262</v>
      </c>
      <c r="BF129" s="4">
        <v>43283.633321759262</v>
      </c>
      <c r="BG129" t="s">
        <v>83</v>
      </c>
      <c r="BH129" t="s">
        <v>84</v>
      </c>
      <c r="BI129" t="s">
        <v>85</v>
      </c>
    </row>
    <row r="130" spans="1:61" x14ac:dyDescent="0.3">
      <c r="A130" t="str">
        <f>"201376C0100"</f>
        <v>201376C0100</v>
      </c>
      <c r="B130" t="s">
        <v>341</v>
      </c>
      <c r="C130">
        <v>20</v>
      </c>
      <c r="D130" t="s">
        <v>79</v>
      </c>
      <c r="E130">
        <v>1</v>
      </c>
      <c r="F130" t="s">
        <v>80</v>
      </c>
      <c r="G130">
        <v>1376</v>
      </c>
      <c r="H130">
        <v>1</v>
      </c>
      <c r="I130" t="s">
        <v>89</v>
      </c>
      <c r="J130">
        <v>0</v>
      </c>
      <c r="K130">
        <v>1</v>
      </c>
      <c r="L130">
        <v>2</v>
      </c>
      <c r="M130">
        <v>105</v>
      </c>
      <c r="N130">
        <v>393</v>
      </c>
      <c r="O130">
        <v>3</v>
      </c>
      <c r="P130">
        <v>397</v>
      </c>
      <c r="Q130">
        <v>71</v>
      </c>
      <c r="R130">
        <v>150</v>
      </c>
      <c r="S130">
        <v>12</v>
      </c>
      <c r="T130">
        <v>1</v>
      </c>
      <c r="U130">
        <v>4</v>
      </c>
      <c r="V130">
        <v>14</v>
      </c>
      <c r="W130">
        <v>1</v>
      </c>
      <c r="X130">
        <v>0</v>
      </c>
      <c r="Y130">
        <v>123</v>
      </c>
      <c r="AA130">
        <v>0</v>
      </c>
      <c r="AC130">
        <v>1</v>
      </c>
      <c r="AD130">
        <v>0</v>
      </c>
      <c r="AE130">
        <v>0</v>
      </c>
      <c r="AF130">
        <v>0</v>
      </c>
      <c r="AG130">
        <v>0</v>
      </c>
      <c r="AH130">
        <v>5</v>
      </c>
      <c r="AI130">
        <v>5</v>
      </c>
      <c r="AJ130">
        <v>0</v>
      </c>
      <c r="AT130">
        <v>0</v>
      </c>
      <c r="AU130">
        <v>5</v>
      </c>
      <c r="AV130">
        <v>397</v>
      </c>
      <c r="AW130">
        <v>392</v>
      </c>
      <c r="AX130">
        <v>480</v>
      </c>
      <c r="BA130">
        <v>1</v>
      </c>
      <c r="BC130" t="s">
        <v>342</v>
      </c>
      <c r="BD130" s="4">
        <v>43283.627557870372</v>
      </c>
      <c r="BE130" s="4">
        <v>43283.636620370373</v>
      </c>
      <c r="BF130" s="4">
        <v>43283.636620370373</v>
      </c>
      <c r="BG130" t="s">
        <v>83</v>
      </c>
      <c r="BH130" t="s">
        <v>84</v>
      </c>
      <c r="BI130" t="s">
        <v>85</v>
      </c>
    </row>
    <row r="131" spans="1:61" x14ac:dyDescent="0.3">
      <c r="A131" t="str">
        <f>"201377B0100"</f>
        <v>201377B0100</v>
      </c>
      <c r="B131" t="s">
        <v>343</v>
      </c>
      <c r="C131">
        <v>20</v>
      </c>
      <c r="D131" t="s">
        <v>79</v>
      </c>
      <c r="E131">
        <v>1</v>
      </c>
      <c r="F131" t="s">
        <v>80</v>
      </c>
      <c r="G131">
        <v>1377</v>
      </c>
      <c r="H131">
        <v>1</v>
      </c>
      <c r="I131" t="s">
        <v>81</v>
      </c>
      <c r="J131">
        <v>0</v>
      </c>
      <c r="K131">
        <v>2</v>
      </c>
      <c r="L131">
        <v>2</v>
      </c>
      <c r="M131">
        <v>103</v>
      </c>
      <c r="N131">
        <v>501</v>
      </c>
      <c r="O131">
        <v>0</v>
      </c>
      <c r="P131">
        <v>501</v>
      </c>
      <c r="Q131">
        <v>18</v>
      </c>
      <c r="R131">
        <v>248</v>
      </c>
      <c r="S131">
        <v>181</v>
      </c>
      <c r="T131">
        <v>10</v>
      </c>
      <c r="U131">
        <v>2</v>
      </c>
      <c r="V131">
        <v>14</v>
      </c>
      <c r="W131">
        <v>0</v>
      </c>
      <c r="X131">
        <v>1</v>
      </c>
      <c r="Y131">
        <v>16</v>
      </c>
      <c r="AA131">
        <v>0</v>
      </c>
      <c r="AC131">
        <v>0</v>
      </c>
      <c r="AD131">
        <v>0</v>
      </c>
      <c r="AE131">
        <v>0</v>
      </c>
      <c r="AF131">
        <v>1</v>
      </c>
      <c r="AG131">
        <v>0</v>
      </c>
      <c r="AH131">
        <v>6</v>
      </c>
      <c r="AI131">
        <v>0</v>
      </c>
      <c r="AJ131">
        <v>0</v>
      </c>
      <c r="AT131">
        <v>0</v>
      </c>
      <c r="AU131">
        <v>4</v>
      </c>
      <c r="AV131">
        <v>501</v>
      </c>
      <c r="AW131">
        <v>501</v>
      </c>
      <c r="AX131">
        <v>582</v>
      </c>
      <c r="BA131">
        <v>1</v>
      </c>
      <c r="BC131" t="s">
        <v>344</v>
      </c>
      <c r="BD131" s="4">
        <v>43283.619583333333</v>
      </c>
      <c r="BE131" s="4">
        <v>43283.630393518521</v>
      </c>
      <c r="BF131" s="4">
        <v>43283.630393518521</v>
      </c>
      <c r="BG131" t="s">
        <v>83</v>
      </c>
      <c r="BH131" t="s">
        <v>84</v>
      </c>
      <c r="BI131" t="s">
        <v>85</v>
      </c>
    </row>
    <row r="132" spans="1:61" x14ac:dyDescent="0.3">
      <c r="A132" t="str">
        <f>"201377C0100"</f>
        <v>201377C0100</v>
      </c>
      <c r="B132" t="s">
        <v>345</v>
      </c>
      <c r="C132">
        <v>20</v>
      </c>
      <c r="D132" t="s">
        <v>79</v>
      </c>
      <c r="E132">
        <v>1</v>
      </c>
      <c r="F132" t="s">
        <v>80</v>
      </c>
      <c r="G132">
        <v>1377</v>
      </c>
      <c r="H132">
        <v>1</v>
      </c>
      <c r="I132" t="s">
        <v>89</v>
      </c>
      <c r="J132">
        <v>0</v>
      </c>
      <c r="K132">
        <v>2</v>
      </c>
      <c r="L132">
        <v>2</v>
      </c>
      <c r="M132">
        <v>99</v>
      </c>
      <c r="N132">
        <v>505</v>
      </c>
      <c r="O132">
        <v>2</v>
      </c>
      <c r="P132">
        <v>505</v>
      </c>
      <c r="Q132">
        <v>20</v>
      </c>
      <c r="R132">
        <v>229</v>
      </c>
      <c r="S132">
        <v>194</v>
      </c>
      <c r="T132">
        <v>8</v>
      </c>
      <c r="U132">
        <v>3</v>
      </c>
      <c r="V132">
        <v>21</v>
      </c>
      <c r="W132">
        <v>0</v>
      </c>
      <c r="X132">
        <v>0</v>
      </c>
      <c r="Y132">
        <v>16</v>
      </c>
      <c r="AA132">
        <v>0</v>
      </c>
      <c r="AC132">
        <v>0</v>
      </c>
      <c r="AD132">
        <v>1</v>
      </c>
      <c r="AE132">
        <v>0</v>
      </c>
      <c r="AF132">
        <v>0</v>
      </c>
      <c r="AG132">
        <v>1</v>
      </c>
      <c r="AH132">
        <v>4</v>
      </c>
      <c r="AI132">
        <v>0</v>
      </c>
      <c r="AJ132">
        <v>0</v>
      </c>
      <c r="AT132" t="s">
        <v>100</v>
      </c>
      <c r="AU132">
        <v>8</v>
      </c>
      <c r="AV132">
        <v>505</v>
      </c>
      <c r="AW132">
        <v>505</v>
      </c>
      <c r="AX132">
        <v>582</v>
      </c>
      <c r="AZ132" t="s">
        <v>101</v>
      </c>
      <c r="BA132">
        <v>1</v>
      </c>
      <c r="BC132" t="s">
        <v>346</v>
      </c>
      <c r="BD132" s="4">
        <v>43283.620439814818</v>
      </c>
      <c r="BE132" s="4">
        <v>43283.624178240738</v>
      </c>
      <c r="BF132" s="4">
        <v>43283.624178240738</v>
      </c>
      <c r="BG132" t="s">
        <v>83</v>
      </c>
      <c r="BH132" t="s">
        <v>84</v>
      </c>
      <c r="BI132" t="s">
        <v>85</v>
      </c>
    </row>
    <row r="133" spans="1:61" x14ac:dyDescent="0.3">
      <c r="A133" t="str">
        <f>"201377E0100"</f>
        <v>201377E0100</v>
      </c>
      <c r="B133" s="2" t="s">
        <v>347</v>
      </c>
      <c r="C133">
        <v>20</v>
      </c>
      <c r="D133" t="s">
        <v>79</v>
      </c>
      <c r="E133">
        <v>1</v>
      </c>
      <c r="F133" t="s">
        <v>80</v>
      </c>
      <c r="G133">
        <v>1377</v>
      </c>
      <c r="H133">
        <v>1</v>
      </c>
      <c r="I133" t="s">
        <v>145</v>
      </c>
      <c r="J133">
        <v>0</v>
      </c>
      <c r="K133">
        <v>2</v>
      </c>
      <c r="L133">
        <v>2</v>
      </c>
      <c r="M133">
        <v>65</v>
      </c>
      <c r="N133">
        <v>256</v>
      </c>
      <c r="O133">
        <v>1</v>
      </c>
      <c r="P133">
        <v>256</v>
      </c>
      <c r="Q133">
        <v>1</v>
      </c>
      <c r="R133">
        <v>202</v>
      </c>
      <c r="S133">
        <v>1</v>
      </c>
      <c r="T133">
        <v>2</v>
      </c>
      <c r="U133">
        <v>1</v>
      </c>
      <c r="V133">
        <v>1</v>
      </c>
      <c r="W133">
        <v>0</v>
      </c>
      <c r="X133">
        <v>0</v>
      </c>
      <c r="Y133">
        <v>46</v>
      </c>
      <c r="AA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T133">
        <v>0</v>
      </c>
      <c r="AU133">
        <v>2</v>
      </c>
      <c r="AV133">
        <v>256</v>
      </c>
      <c r="AW133">
        <v>256</v>
      </c>
      <c r="AX133">
        <v>299</v>
      </c>
      <c r="BA133">
        <v>1</v>
      </c>
      <c r="BC133" t="s">
        <v>348</v>
      </c>
      <c r="BD133" s="4">
        <v>43283.617708333331</v>
      </c>
      <c r="BE133" s="4">
        <v>43283.621712962966</v>
      </c>
      <c r="BF133" s="4">
        <v>43283.621712962966</v>
      </c>
      <c r="BG133" t="s">
        <v>83</v>
      </c>
      <c r="BH133" t="s">
        <v>84</v>
      </c>
      <c r="BI133" t="s">
        <v>85</v>
      </c>
    </row>
    <row r="134" spans="1:61" x14ac:dyDescent="0.3">
      <c r="A134" t="str">
        <f>"201378B0100"</f>
        <v>201378B0100</v>
      </c>
      <c r="B134" t="s">
        <v>349</v>
      </c>
      <c r="C134">
        <v>20</v>
      </c>
      <c r="D134" t="s">
        <v>79</v>
      </c>
      <c r="E134">
        <v>1</v>
      </c>
      <c r="F134" t="s">
        <v>80</v>
      </c>
      <c r="G134">
        <v>1378</v>
      </c>
      <c r="H134">
        <v>1</v>
      </c>
      <c r="I134" t="s">
        <v>81</v>
      </c>
      <c r="J134">
        <v>0</v>
      </c>
      <c r="K134">
        <v>2</v>
      </c>
      <c r="L134">
        <v>2</v>
      </c>
      <c r="M134">
        <v>40</v>
      </c>
      <c r="N134">
        <v>151</v>
      </c>
      <c r="O134">
        <v>3</v>
      </c>
      <c r="P134">
        <v>151</v>
      </c>
      <c r="Q134">
        <v>4</v>
      </c>
      <c r="R134">
        <v>102</v>
      </c>
      <c r="S134">
        <v>3</v>
      </c>
      <c r="T134">
        <v>0</v>
      </c>
      <c r="U134">
        <v>3</v>
      </c>
      <c r="V134">
        <v>3</v>
      </c>
      <c r="W134">
        <v>1</v>
      </c>
      <c r="X134">
        <v>0</v>
      </c>
      <c r="Y134">
        <v>29</v>
      </c>
      <c r="AA134">
        <v>0</v>
      </c>
      <c r="AC134">
        <v>0</v>
      </c>
      <c r="AD134">
        <v>0</v>
      </c>
      <c r="AE134">
        <v>0</v>
      </c>
      <c r="AF134">
        <v>0</v>
      </c>
      <c r="AG134">
        <v>1</v>
      </c>
      <c r="AH134">
        <v>0</v>
      </c>
      <c r="AI134">
        <v>0</v>
      </c>
      <c r="AJ134">
        <v>0</v>
      </c>
      <c r="AT134" t="s">
        <v>100</v>
      </c>
      <c r="AU134">
        <v>5</v>
      </c>
      <c r="AV134">
        <v>151</v>
      </c>
      <c r="AW134">
        <v>151</v>
      </c>
      <c r="AX134">
        <v>169</v>
      </c>
      <c r="AZ134" t="s">
        <v>101</v>
      </c>
      <c r="BA134">
        <v>1</v>
      </c>
      <c r="BC134" t="s">
        <v>350</v>
      </c>
      <c r="BD134" s="4">
        <v>43283.627743055556</v>
      </c>
      <c r="BE134" s="4">
        <v>43283.634247685186</v>
      </c>
      <c r="BF134" s="4">
        <v>43283.634247685186</v>
      </c>
      <c r="BG134" t="s">
        <v>83</v>
      </c>
      <c r="BH134" t="s">
        <v>84</v>
      </c>
      <c r="BI134" t="s">
        <v>85</v>
      </c>
    </row>
    <row r="135" spans="1:61" x14ac:dyDescent="0.3">
      <c r="A135" t="str">
        <f>"201378E0100"</f>
        <v>201378E0100</v>
      </c>
      <c r="B135" s="2" t="s">
        <v>351</v>
      </c>
      <c r="C135">
        <v>20</v>
      </c>
      <c r="D135" t="s">
        <v>79</v>
      </c>
      <c r="E135">
        <v>1</v>
      </c>
      <c r="F135" t="s">
        <v>80</v>
      </c>
      <c r="G135">
        <v>1378</v>
      </c>
      <c r="H135">
        <v>1</v>
      </c>
      <c r="I135" t="s">
        <v>145</v>
      </c>
      <c r="J135">
        <v>0</v>
      </c>
      <c r="K135">
        <v>2</v>
      </c>
      <c r="L135">
        <v>2</v>
      </c>
      <c r="M135">
        <v>59</v>
      </c>
      <c r="N135">
        <v>269</v>
      </c>
      <c r="O135">
        <v>2</v>
      </c>
      <c r="P135">
        <v>230</v>
      </c>
      <c r="Q135">
        <v>15</v>
      </c>
      <c r="R135">
        <v>168</v>
      </c>
      <c r="S135">
        <v>0</v>
      </c>
      <c r="T135">
        <v>0</v>
      </c>
      <c r="U135">
        <v>0</v>
      </c>
      <c r="V135">
        <v>1</v>
      </c>
      <c r="W135">
        <v>0</v>
      </c>
      <c r="X135">
        <v>0</v>
      </c>
      <c r="Y135">
        <v>41</v>
      </c>
      <c r="AA135">
        <v>0</v>
      </c>
      <c r="AC135">
        <v>0</v>
      </c>
      <c r="AD135">
        <v>0</v>
      </c>
      <c r="AE135">
        <v>0</v>
      </c>
      <c r="AF135">
        <v>0</v>
      </c>
      <c r="AG135">
        <v>1</v>
      </c>
      <c r="AH135">
        <v>1</v>
      </c>
      <c r="AI135">
        <v>0</v>
      </c>
      <c r="AJ135">
        <v>0</v>
      </c>
      <c r="AT135">
        <v>0</v>
      </c>
      <c r="AU135">
        <v>3</v>
      </c>
      <c r="AV135">
        <v>230</v>
      </c>
      <c r="AW135">
        <v>230</v>
      </c>
      <c r="AX135">
        <v>267</v>
      </c>
      <c r="BA135">
        <v>1</v>
      </c>
      <c r="BC135" t="s">
        <v>352</v>
      </c>
      <c r="BD135" s="4">
        <v>43283.627627314818</v>
      </c>
      <c r="BE135" s="4">
        <v>43283.634629629632</v>
      </c>
      <c r="BF135" s="4">
        <v>43283.634629629632</v>
      </c>
      <c r="BG135" t="s">
        <v>83</v>
      </c>
      <c r="BH135" t="s">
        <v>84</v>
      </c>
      <c r="BI135" t="s">
        <v>85</v>
      </c>
    </row>
    <row r="136" spans="1:61" x14ac:dyDescent="0.3">
      <c r="A136" t="str">
        <f>"201379B0100"</f>
        <v>201379B0100</v>
      </c>
      <c r="B136" t="s">
        <v>353</v>
      </c>
      <c r="C136">
        <v>20</v>
      </c>
      <c r="D136" t="s">
        <v>79</v>
      </c>
      <c r="E136">
        <v>1</v>
      </c>
      <c r="F136" t="s">
        <v>80</v>
      </c>
      <c r="G136">
        <v>1379</v>
      </c>
      <c r="H136">
        <v>1</v>
      </c>
      <c r="I136" t="s">
        <v>81</v>
      </c>
      <c r="J136">
        <v>0</v>
      </c>
      <c r="K136">
        <v>2</v>
      </c>
      <c r="L136">
        <v>2</v>
      </c>
      <c r="M136">
        <v>414</v>
      </c>
      <c r="N136">
        <v>0</v>
      </c>
      <c r="O136">
        <v>0</v>
      </c>
      <c r="P136">
        <v>448</v>
      </c>
      <c r="Q136">
        <v>13</v>
      </c>
      <c r="R136">
        <v>321</v>
      </c>
      <c r="S136">
        <v>8</v>
      </c>
      <c r="T136">
        <v>1</v>
      </c>
      <c r="U136">
        <v>12</v>
      </c>
      <c r="V136">
        <v>6</v>
      </c>
      <c r="W136">
        <v>0</v>
      </c>
      <c r="X136">
        <v>3</v>
      </c>
      <c r="Y136">
        <v>72</v>
      </c>
      <c r="AA136" t="s">
        <v>100</v>
      </c>
      <c r="AC136">
        <v>0</v>
      </c>
      <c r="AD136">
        <v>1</v>
      </c>
      <c r="AE136">
        <v>0</v>
      </c>
      <c r="AF136">
        <v>0</v>
      </c>
      <c r="AG136">
        <v>0</v>
      </c>
      <c r="AH136">
        <v>1</v>
      </c>
      <c r="AI136">
        <v>0</v>
      </c>
      <c r="AJ136">
        <v>0</v>
      </c>
      <c r="AT136" t="s">
        <v>100</v>
      </c>
      <c r="AU136">
        <v>20</v>
      </c>
      <c r="AV136">
        <v>448</v>
      </c>
      <c r="AW136">
        <v>458</v>
      </c>
      <c r="AX136">
        <v>639</v>
      </c>
      <c r="AZ136" t="s">
        <v>101</v>
      </c>
      <c r="BA136">
        <v>1</v>
      </c>
      <c r="BC136" t="s">
        <v>354</v>
      </c>
      <c r="BD136" s="4">
        <v>43283.385578703703</v>
      </c>
      <c r="BE136" s="4">
        <v>43283.389386574076</v>
      </c>
      <c r="BF136" s="4">
        <v>43283.389386574076</v>
      </c>
      <c r="BG136" t="s">
        <v>83</v>
      </c>
      <c r="BH136" t="s">
        <v>84</v>
      </c>
      <c r="BI136" t="s">
        <v>85</v>
      </c>
    </row>
    <row r="137" spans="1:61" x14ac:dyDescent="0.3">
      <c r="A137" t="str">
        <f>"201379E0100"</f>
        <v>201379E0100</v>
      </c>
      <c r="B137" s="2" t="s">
        <v>355</v>
      </c>
      <c r="C137">
        <v>20</v>
      </c>
      <c r="D137" t="s">
        <v>79</v>
      </c>
      <c r="E137">
        <v>1</v>
      </c>
      <c r="F137" t="s">
        <v>80</v>
      </c>
      <c r="G137">
        <v>1379</v>
      </c>
      <c r="H137">
        <v>1</v>
      </c>
      <c r="I137" t="s">
        <v>145</v>
      </c>
      <c r="J137">
        <v>0</v>
      </c>
      <c r="K137">
        <v>2</v>
      </c>
      <c r="L137">
        <v>2</v>
      </c>
      <c r="AX137">
        <v>547</v>
      </c>
      <c r="AZ137" t="s">
        <v>156</v>
      </c>
      <c r="BA137">
        <v>0</v>
      </c>
      <c r="BC137" t="s">
        <v>356</v>
      </c>
      <c r="BD137" s="4">
        <v>43283.821527777778</v>
      </c>
      <c r="BE137" s="4">
        <v>43283.830370370371</v>
      </c>
      <c r="BF137" s="4">
        <v>43283.830370370371</v>
      </c>
      <c r="BG137" t="s">
        <v>83</v>
      </c>
      <c r="BH137" t="s">
        <v>84</v>
      </c>
      <c r="BI137" t="s">
        <v>85</v>
      </c>
    </row>
    <row r="138" spans="1:61" x14ac:dyDescent="0.3">
      <c r="A138" t="str">
        <f>"201379E0200"</f>
        <v>201379E0200</v>
      </c>
      <c r="B138" s="2" t="s">
        <v>357</v>
      </c>
      <c r="C138">
        <v>20</v>
      </c>
      <c r="D138" t="s">
        <v>79</v>
      </c>
      <c r="E138">
        <v>1</v>
      </c>
      <c r="F138" t="s">
        <v>80</v>
      </c>
      <c r="G138">
        <v>1379</v>
      </c>
      <c r="H138">
        <v>2</v>
      </c>
      <c r="I138" t="s">
        <v>145</v>
      </c>
      <c r="J138">
        <v>0</v>
      </c>
      <c r="K138">
        <v>2</v>
      </c>
      <c r="L138">
        <v>2</v>
      </c>
      <c r="M138">
        <v>36</v>
      </c>
      <c r="N138">
        <v>224</v>
      </c>
      <c r="O138">
        <v>0</v>
      </c>
      <c r="P138">
        <v>224</v>
      </c>
      <c r="Q138">
        <v>24</v>
      </c>
      <c r="R138">
        <v>135</v>
      </c>
      <c r="S138">
        <v>6</v>
      </c>
      <c r="T138">
        <v>0</v>
      </c>
      <c r="U138">
        <v>3</v>
      </c>
      <c r="V138">
        <v>7</v>
      </c>
      <c r="W138">
        <v>1</v>
      </c>
      <c r="X138">
        <v>0</v>
      </c>
      <c r="Y138">
        <v>45</v>
      </c>
      <c r="AA138">
        <v>0</v>
      </c>
      <c r="AC138">
        <v>0</v>
      </c>
      <c r="AD138">
        <v>0</v>
      </c>
      <c r="AE138">
        <v>0</v>
      </c>
      <c r="AF138">
        <v>0</v>
      </c>
      <c r="AG138">
        <v>1</v>
      </c>
      <c r="AH138">
        <v>0</v>
      </c>
      <c r="AI138">
        <v>0</v>
      </c>
      <c r="AJ138">
        <v>0</v>
      </c>
      <c r="AT138">
        <v>0</v>
      </c>
      <c r="AU138">
        <v>1</v>
      </c>
      <c r="AV138">
        <v>224</v>
      </c>
      <c r="AW138">
        <v>223</v>
      </c>
      <c r="AX138">
        <v>238</v>
      </c>
      <c r="BA138">
        <v>1</v>
      </c>
      <c r="BC138" t="s">
        <v>358</v>
      </c>
      <c r="BD138" s="4">
        <v>43283.325972222221</v>
      </c>
      <c r="BE138" s="4">
        <v>43283.348738425928</v>
      </c>
      <c r="BF138" s="4">
        <v>43283.348738425928</v>
      </c>
      <c r="BG138" t="s">
        <v>83</v>
      </c>
      <c r="BH138" t="s">
        <v>84</v>
      </c>
      <c r="BI138" t="s">
        <v>85</v>
      </c>
    </row>
    <row r="139" spans="1:61" x14ac:dyDescent="0.3">
      <c r="A139" t="str">
        <f>"201380B0100"</f>
        <v>201380B0100</v>
      </c>
      <c r="B139" t="s">
        <v>359</v>
      </c>
      <c r="C139">
        <v>20</v>
      </c>
      <c r="D139" t="s">
        <v>79</v>
      </c>
      <c r="E139">
        <v>1</v>
      </c>
      <c r="F139" t="s">
        <v>80</v>
      </c>
      <c r="G139">
        <v>1380</v>
      </c>
      <c r="H139">
        <v>1</v>
      </c>
      <c r="I139" t="s">
        <v>81</v>
      </c>
      <c r="J139">
        <v>0</v>
      </c>
      <c r="K139">
        <v>2</v>
      </c>
      <c r="L139">
        <v>2</v>
      </c>
      <c r="M139">
        <v>88</v>
      </c>
      <c r="N139">
        <v>316</v>
      </c>
      <c r="O139">
        <v>0</v>
      </c>
      <c r="P139">
        <v>316</v>
      </c>
      <c r="Q139">
        <v>9</v>
      </c>
      <c r="R139">
        <v>133</v>
      </c>
      <c r="S139">
        <v>2</v>
      </c>
      <c r="T139">
        <v>87</v>
      </c>
      <c r="U139">
        <v>4</v>
      </c>
      <c r="V139">
        <v>3</v>
      </c>
      <c r="W139">
        <v>1</v>
      </c>
      <c r="X139">
        <v>2</v>
      </c>
      <c r="Y139">
        <v>66</v>
      </c>
      <c r="AA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1</v>
      </c>
      <c r="AI139">
        <v>0</v>
      </c>
      <c r="AJ139">
        <v>0</v>
      </c>
      <c r="AT139" t="s">
        <v>100</v>
      </c>
      <c r="AU139">
        <v>8</v>
      </c>
      <c r="AV139">
        <v>316</v>
      </c>
      <c r="AW139">
        <v>316</v>
      </c>
      <c r="AX139">
        <v>380</v>
      </c>
      <c r="AZ139" t="s">
        <v>101</v>
      </c>
      <c r="BA139">
        <v>1</v>
      </c>
      <c r="BC139" t="s">
        <v>360</v>
      </c>
      <c r="BD139" s="4">
        <v>43283.326273148145</v>
      </c>
      <c r="BE139" s="4">
        <v>43283.346134259256</v>
      </c>
      <c r="BF139" s="4">
        <v>43283.346134259256</v>
      </c>
      <c r="BG139" t="s">
        <v>83</v>
      </c>
      <c r="BH139" t="s">
        <v>84</v>
      </c>
      <c r="BI139" t="s">
        <v>85</v>
      </c>
    </row>
    <row r="140" spans="1:61" x14ac:dyDescent="0.3">
      <c r="A140" t="str">
        <f>"201380C0100"</f>
        <v>201380C0100</v>
      </c>
      <c r="B140" t="s">
        <v>361</v>
      </c>
      <c r="C140">
        <v>20</v>
      </c>
      <c r="D140" t="s">
        <v>79</v>
      </c>
      <c r="E140">
        <v>1</v>
      </c>
      <c r="F140" t="s">
        <v>80</v>
      </c>
      <c r="G140">
        <v>1380</v>
      </c>
      <c r="H140">
        <v>1</v>
      </c>
      <c r="I140" t="s">
        <v>89</v>
      </c>
      <c r="J140">
        <v>0</v>
      </c>
      <c r="K140">
        <v>2</v>
      </c>
      <c r="L140">
        <v>2</v>
      </c>
      <c r="M140" t="s">
        <v>100</v>
      </c>
      <c r="N140" t="s">
        <v>100</v>
      </c>
      <c r="O140">
        <v>1</v>
      </c>
      <c r="P140" t="s">
        <v>100</v>
      </c>
      <c r="Q140">
        <v>13</v>
      </c>
      <c r="R140">
        <v>171</v>
      </c>
      <c r="S140">
        <v>1</v>
      </c>
      <c r="T140">
        <v>79</v>
      </c>
      <c r="U140">
        <v>3</v>
      </c>
      <c r="V140">
        <v>5</v>
      </c>
      <c r="W140" t="s">
        <v>100</v>
      </c>
      <c r="X140" t="s">
        <v>100</v>
      </c>
      <c r="Y140">
        <v>42</v>
      </c>
      <c r="AA140">
        <v>1</v>
      </c>
      <c r="AC140" t="s">
        <v>100</v>
      </c>
      <c r="AD140" t="s">
        <v>100</v>
      </c>
      <c r="AE140" t="s">
        <v>100</v>
      </c>
      <c r="AF140" t="s">
        <v>100</v>
      </c>
      <c r="AG140" t="s">
        <v>100</v>
      </c>
      <c r="AH140">
        <v>2</v>
      </c>
      <c r="AI140" t="s">
        <v>100</v>
      </c>
      <c r="AJ140" t="s">
        <v>100</v>
      </c>
      <c r="AT140" t="s">
        <v>100</v>
      </c>
      <c r="AU140">
        <v>3</v>
      </c>
      <c r="AV140">
        <v>317</v>
      </c>
      <c r="AW140">
        <v>320</v>
      </c>
      <c r="AX140">
        <v>379</v>
      </c>
      <c r="AZ140" t="s">
        <v>101</v>
      </c>
      <c r="BA140">
        <v>1</v>
      </c>
      <c r="BC140" t="s">
        <v>362</v>
      </c>
      <c r="BD140" s="4">
        <v>43283.325115740743</v>
      </c>
      <c r="BE140" s="4">
        <v>43283.344398148147</v>
      </c>
      <c r="BF140" s="4">
        <v>43283.344398148147</v>
      </c>
      <c r="BG140" t="s">
        <v>83</v>
      </c>
      <c r="BH140" t="s">
        <v>84</v>
      </c>
      <c r="BI140" t="s">
        <v>85</v>
      </c>
    </row>
    <row r="141" spans="1:61" x14ac:dyDescent="0.3">
      <c r="A141" t="str">
        <f>"201381B0100"</f>
        <v>201381B0100</v>
      </c>
      <c r="B141" t="s">
        <v>363</v>
      </c>
      <c r="C141">
        <v>20</v>
      </c>
      <c r="D141" t="s">
        <v>79</v>
      </c>
      <c r="E141">
        <v>1</v>
      </c>
      <c r="F141" t="s">
        <v>80</v>
      </c>
      <c r="G141">
        <v>1381</v>
      </c>
      <c r="H141">
        <v>1</v>
      </c>
      <c r="I141" t="s">
        <v>81</v>
      </c>
      <c r="J141">
        <v>0</v>
      </c>
      <c r="K141">
        <v>2</v>
      </c>
      <c r="L141">
        <v>2</v>
      </c>
      <c r="M141">
        <v>74</v>
      </c>
      <c r="N141">
        <v>330</v>
      </c>
      <c r="O141">
        <v>1</v>
      </c>
      <c r="P141">
        <v>330</v>
      </c>
      <c r="Q141">
        <v>18</v>
      </c>
      <c r="R141">
        <v>253</v>
      </c>
      <c r="S141">
        <v>12</v>
      </c>
      <c r="T141">
        <v>1</v>
      </c>
      <c r="U141">
        <v>2</v>
      </c>
      <c r="V141">
        <v>6</v>
      </c>
      <c r="W141">
        <v>1</v>
      </c>
      <c r="X141">
        <v>1</v>
      </c>
      <c r="Y141">
        <v>26</v>
      </c>
      <c r="AA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1</v>
      </c>
      <c r="AI141">
        <v>0</v>
      </c>
      <c r="AJ141">
        <v>0</v>
      </c>
      <c r="AT141">
        <v>0</v>
      </c>
      <c r="AU141">
        <v>9</v>
      </c>
      <c r="AV141">
        <v>330</v>
      </c>
      <c r="AW141">
        <v>330</v>
      </c>
      <c r="AX141">
        <v>382</v>
      </c>
      <c r="BA141">
        <v>1</v>
      </c>
      <c r="BC141" t="s">
        <v>364</v>
      </c>
      <c r="BD141" s="4">
        <v>43283.323449074072</v>
      </c>
      <c r="BE141" s="4">
        <v>43283.367476851854</v>
      </c>
      <c r="BF141" s="4">
        <v>43283.367476851854</v>
      </c>
      <c r="BG141" t="s">
        <v>83</v>
      </c>
      <c r="BH141" t="s">
        <v>84</v>
      </c>
      <c r="BI141" t="s">
        <v>85</v>
      </c>
    </row>
    <row r="142" spans="1:61" x14ac:dyDescent="0.3">
      <c r="A142" t="str">
        <f>"201381E0100"</f>
        <v>201381E0100</v>
      </c>
      <c r="B142" s="2" t="s">
        <v>365</v>
      </c>
      <c r="C142">
        <v>20</v>
      </c>
      <c r="D142" t="s">
        <v>79</v>
      </c>
      <c r="E142">
        <v>1</v>
      </c>
      <c r="F142" t="s">
        <v>80</v>
      </c>
      <c r="G142">
        <v>1381</v>
      </c>
      <c r="H142">
        <v>1</v>
      </c>
      <c r="I142" t="s">
        <v>145</v>
      </c>
      <c r="J142">
        <v>0</v>
      </c>
      <c r="K142">
        <v>2</v>
      </c>
      <c r="L142">
        <v>2</v>
      </c>
      <c r="M142" t="s">
        <v>100</v>
      </c>
      <c r="N142" t="s">
        <v>100</v>
      </c>
      <c r="O142" t="s">
        <v>100</v>
      </c>
      <c r="P142" t="s">
        <v>100</v>
      </c>
      <c r="Q142">
        <v>21</v>
      </c>
      <c r="R142">
        <v>280</v>
      </c>
      <c r="S142">
        <v>2</v>
      </c>
      <c r="T142">
        <v>8</v>
      </c>
      <c r="U142">
        <v>12</v>
      </c>
      <c r="V142">
        <v>6</v>
      </c>
      <c r="W142">
        <v>2</v>
      </c>
      <c r="X142">
        <v>3</v>
      </c>
      <c r="Y142">
        <v>127</v>
      </c>
      <c r="AA142">
        <v>2</v>
      </c>
      <c r="AC142" t="s">
        <v>100</v>
      </c>
      <c r="AD142" t="s">
        <v>100</v>
      </c>
      <c r="AE142" t="s">
        <v>100</v>
      </c>
      <c r="AF142" t="s">
        <v>100</v>
      </c>
      <c r="AG142">
        <v>3</v>
      </c>
      <c r="AH142">
        <v>6</v>
      </c>
      <c r="AI142" t="s">
        <v>100</v>
      </c>
      <c r="AJ142" t="s">
        <v>100</v>
      </c>
      <c r="AT142" t="s">
        <v>100</v>
      </c>
      <c r="AU142">
        <v>7</v>
      </c>
      <c r="AV142">
        <v>479</v>
      </c>
      <c r="AW142">
        <v>479</v>
      </c>
      <c r="AX142">
        <v>584</v>
      </c>
      <c r="AZ142" t="s">
        <v>101</v>
      </c>
      <c r="BA142">
        <v>1</v>
      </c>
      <c r="BC142" t="s">
        <v>366</v>
      </c>
      <c r="BD142" s="4">
        <v>43283.334027777775</v>
      </c>
      <c r="BE142" s="4">
        <v>43283.35050925926</v>
      </c>
      <c r="BF142" s="4">
        <v>43283.35050925926</v>
      </c>
      <c r="BG142" t="s">
        <v>83</v>
      </c>
      <c r="BH142" t="s">
        <v>84</v>
      </c>
      <c r="BI142" t="s">
        <v>85</v>
      </c>
    </row>
    <row r="143" spans="1:61" x14ac:dyDescent="0.3">
      <c r="A143" t="str">
        <f>"201382B0100"</f>
        <v>201382B0100</v>
      </c>
      <c r="B143" t="s">
        <v>367</v>
      </c>
      <c r="C143">
        <v>20</v>
      </c>
      <c r="D143" t="s">
        <v>79</v>
      </c>
      <c r="E143">
        <v>1</v>
      </c>
      <c r="F143" t="s">
        <v>80</v>
      </c>
      <c r="G143">
        <v>1382</v>
      </c>
      <c r="H143">
        <v>1</v>
      </c>
      <c r="I143" t="s">
        <v>81</v>
      </c>
      <c r="J143">
        <v>0</v>
      </c>
      <c r="K143">
        <v>2</v>
      </c>
      <c r="L143">
        <v>2</v>
      </c>
      <c r="AX143">
        <v>473</v>
      </c>
      <c r="AZ143" t="s">
        <v>156</v>
      </c>
      <c r="BA143">
        <v>0</v>
      </c>
      <c r="BC143" t="s">
        <v>368</v>
      </c>
      <c r="BD143" s="4">
        <v>43283.824421296296</v>
      </c>
      <c r="BE143" s="4">
        <v>43283.825694444444</v>
      </c>
      <c r="BF143" s="4">
        <v>43283.825694444444</v>
      </c>
      <c r="BG143" t="s">
        <v>83</v>
      </c>
      <c r="BH143" t="s">
        <v>84</v>
      </c>
      <c r="BI143" t="s">
        <v>85</v>
      </c>
    </row>
    <row r="144" spans="1:61" x14ac:dyDescent="0.3">
      <c r="A144" t="str">
        <f>"201382C0100"</f>
        <v>201382C0100</v>
      </c>
      <c r="B144" t="s">
        <v>369</v>
      </c>
      <c r="C144">
        <v>20</v>
      </c>
      <c r="D144" t="s">
        <v>79</v>
      </c>
      <c r="E144">
        <v>1</v>
      </c>
      <c r="F144" t="s">
        <v>80</v>
      </c>
      <c r="G144">
        <v>1382</v>
      </c>
      <c r="H144">
        <v>1</v>
      </c>
      <c r="I144" t="s">
        <v>89</v>
      </c>
      <c r="J144">
        <v>0</v>
      </c>
      <c r="K144">
        <v>2</v>
      </c>
      <c r="L144">
        <v>2</v>
      </c>
      <c r="M144">
        <v>116</v>
      </c>
      <c r="N144">
        <v>378</v>
      </c>
      <c r="O144">
        <v>2</v>
      </c>
      <c r="P144">
        <v>378</v>
      </c>
      <c r="Q144">
        <v>23</v>
      </c>
      <c r="R144">
        <v>144</v>
      </c>
      <c r="S144">
        <v>5</v>
      </c>
      <c r="T144">
        <v>47</v>
      </c>
      <c r="U144">
        <v>5</v>
      </c>
      <c r="V144">
        <v>35</v>
      </c>
      <c r="W144" t="s">
        <v>100</v>
      </c>
      <c r="X144">
        <v>2</v>
      </c>
      <c r="Y144">
        <v>100</v>
      </c>
      <c r="AA144" t="s">
        <v>100</v>
      </c>
      <c r="AC144" t="s">
        <v>100</v>
      </c>
      <c r="AD144" t="s">
        <v>100</v>
      </c>
      <c r="AE144" t="s">
        <v>100</v>
      </c>
      <c r="AF144" t="s">
        <v>100</v>
      </c>
      <c r="AG144" t="s">
        <v>100</v>
      </c>
      <c r="AH144" t="s">
        <v>100</v>
      </c>
      <c r="AI144" t="s">
        <v>100</v>
      </c>
      <c r="AJ144" t="s">
        <v>100</v>
      </c>
      <c r="AT144">
        <v>2</v>
      </c>
      <c r="AU144">
        <v>14</v>
      </c>
      <c r="AV144">
        <v>377</v>
      </c>
      <c r="AW144">
        <v>377</v>
      </c>
      <c r="AX144">
        <v>472</v>
      </c>
      <c r="AZ144" t="s">
        <v>101</v>
      </c>
      <c r="BA144">
        <v>1</v>
      </c>
      <c r="BC144" t="s">
        <v>370</v>
      </c>
      <c r="BD144" s="4">
        <v>43283.332187499997</v>
      </c>
      <c r="BE144" s="4">
        <v>43283.350173611114</v>
      </c>
      <c r="BF144" s="4">
        <v>43283.350173611114</v>
      </c>
      <c r="BG144" t="s">
        <v>83</v>
      </c>
      <c r="BH144" t="s">
        <v>84</v>
      </c>
      <c r="BI144" t="s">
        <v>85</v>
      </c>
    </row>
    <row r="145" spans="1:61" x14ac:dyDescent="0.3">
      <c r="A145" t="str">
        <f>"201383B0100"</f>
        <v>201383B0100</v>
      </c>
      <c r="B145" t="s">
        <v>371</v>
      </c>
      <c r="C145">
        <v>20</v>
      </c>
      <c r="D145" t="s">
        <v>79</v>
      </c>
      <c r="E145">
        <v>1</v>
      </c>
      <c r="F145" t="s">
        <v>80</v>
      </c>
      <c r="G145">
        <v>1383</v>
      </c>
      <c r="H145">
        <v>1</v>
      </c>
      <c r="I145" t="s">
        <v>81</v>
      </c>
      <c r="J145">
        <v>0</v>
      </c>
      <c r="K145">
        <v>2</v>
      </c>
      <c r="L145">
        <v>2</v>
      </c>
      <c r="M145">
        <v>102</v>
      </c>
      <c r="N145">
        <v>430</v>
      </c>
      <c r="O145">
        <v>2</v>
      </c>
      <c r="P145">
        <v>430</v>
      </c>
      <c r="Q145">
        <v>72</v>
      </c>
      <c r="R145">
        <v>200</v>
      </c>
      <c r="S145">
        <v>29</v>
      </c>
      <c r="T145">
        <v>0</v>
      </c>
      <c r="U145">
        <v>4</v>
      </c>
      <c r="V145">
        <v>0</v>
      </c>
      <c r="W145">
        <v>2</v>
      </c>
      <c r="X145">
        <v>0</v>
      </c>
      <c r="Y145">
        <v>119</v>
      </c>
      <c r="AA145">
        <v>1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T145">
        <v>0</v>
      </c>
      <c r="AU145">
        <v>3</v>
      </c>
      <c r="AV145">
        <v>430</v>
      </c>
      <c r="AW145">
        <v>430</v>
      </c>
      <c r="AX145">
        <v>510</v>
      </c>
      <c r="BA145">
        <v>1</v>
      </c>
      <c r="BC145" t="s">
        <v>372</v>
      </c>
      <c r="BD145" s="4">
        <v>43283.0466087963</v>
      </c>
      <c r="BE145" s="4">
        <v>43283.049803240741</v>
      </c>
      <c r="BF145" s="4">
        <v>43283.049803240741</v>
      </c>
      <c r="BG145" t="s">
        <v>373</v>
      </c>
      <c r="BH145" t="s">
        <v>374</v>
      </c>
      <c r="BI145" t="s">
        <v>85</v>
      </c>
    </row>
    <row r="146" spans="1:61" x14ac:dyDescent="0.3">
      <c r="A146" t="str">
        <f>"201383C0100"</f>
        <v>201383C0100</v>
      </c>
      <c r="B146" t="s">
        <v>375</v>
      </c>
      <c r="C146">
        <v>20</v>
      </c>
      <c r="D146" t="s">
        <v>79</v>
      </c>
      <c r="E146">
        <v>1</v>
      </c>
      <c r="F146" t="s">
        <v>80</v>
      </c>
      <c r="G146">
        <v>1383</v>
      </c>
      <c r="H146">
        <v>1</v>
      </c>
      <c r="I146" t="s">
        <v>89</v>
      </c>
      <c r="J146">
        <v>0</v>
      </c>
      <c r="K146">
        <v>2</v>
      </c>
      <c r="L146">
        <v>2</v>
      </c>
      <c r="M146">
        <v>113</v>
      </c>
      <c r="N146">
        <v>419</v>
      </c>
      <c r="O146">
        <v>0</v>
      </c>
      <c r="P146">
        <v>419</v>
      </c>
      <c r="Q146">
        <v>64</v>
      </c>
      <c r="R146">
        <v>222</v>
      </c>
      <c r="S146">
        <v>20</v>
      </c>
      <c r="T146">
        <v>1</v>
      </c>
      <c r="U146">
        <v>3</v>
      </c>
      <c r="V146">
        <v>9</v>
      </c>
      <c r="W146">
        <v>0</v>
      </c>
      <c r="X146">
        <v>2</v>
      </c>
      <c r="Y146">
        <v>84</v>
      </c>
      <c r="AA146">
        <v>0</v>
      </c>
      <c r="AC146">
        <v>2</v>
      </c>
      <c r="AD146">
        <v>0</v>
      </c>
      <c r="AE146">
        <v>0</v>
      </c>
      <c r="AF146">
        <v>0</v>
      </c>
      <c r="AG146">
        <v>1</v>
      </c>
      <c r="AH146">
        <v>3</v>
      </c>
      <c r="AI146">
        <v>0</v>
      </c>
      <c r="AJ146">
        <v>0</v>
      </c>
      <c r="AT146">
        <v>0</v>
      </c>
      <c r="AU146">
        <v>8</v>
      </c>
      <c r="AV146">
        <v>419</v>
      </c>
      <c r="AW146">
        <v>419</v>
      </c>
      <c r="AX146">
        <v>510</v>
      </c>
      <c r="BA146">
        <v>1</v>
      </c>
      <c r="BC146" t="s">
        <v>376</v>
      </c>
      <c r="BD146" s="4">
        <v>43283.063125000001</v>
      </c>
      <c r="BE146" s="4">
        <v>43283.069710648146</v>
      </c>
      <c r="BF146" s="4">
        <v>43283.069710648146</v>
      </c>
      <c r="BG146" t="s">
        <v>373</v>
      </c>
      <c r="BH146" t="s">
        <v>374</v>
      </c>
      <c r="BI146" t="s">
        <v>85</v>
      </c>
    </row>
    <row r="147" spans="1:61" x14ac:dyDescent="0.3">
      <c r="A147" t="str">
        <f>"201383C0200"</f>
        <v>201383C0200</v>
      </c>
      <c r="B147" t="s">
        <v>377</v>
      </c>
      <c r="C147">
        <v>20</v>
      </c>
      <c r="D147" t="s">
        <v>79</v>
      </c>
      <c r="E147">
        <v>1</v>
      </c>
      <c r="F147" t="s">
        <v>80</v>
      </c>
      <c r="G147">
        <v>1383</v>
      </c>
      <c r="H147">
        <v>2</v>
      </c>
      <c r="I147" t="s">
        <v>89</v>
      </c>
      <c r="J147">
        <v>0</v>
      </c>
      <c r="K147">
        <v>2</v>
      </c>
      <c r="L147">
        <v>2</v>
      </c>
      <c r="M147">
        <v>103</v>
      </c>
      <c r="N147">
        <v>429</v>
      </c>
      <c r="O147">
        <v>0</v>
      </c>
      <c r="P147">
        <v>429</v>
      </c>
      <c r="Q147">
        <v>55</v>
      </c>
      <c r="R147">
        <v>245</v>
      </c>
      <c r="S147">
        <v>24</v>
      </c>
      <c r="T147">
        <v>0</v>
      </c>
      <c r="U147">
        <v>5</v>
      </c>
      <c r="V147">
        <v>17</v>
      </c>
      <c r="W147">
        <v>0</v>
      </c>
      <c r="X147">
        <v>3</v>
      </c>
      <c r="Y147">
        <v>68</v>
      </c>
      <c r="AA147">
        <v>1</v>
      </c>
      <c r="AC147">
        <v>0</v>
      </c>
      <c r="AD147">
        <v>0</v>
      </c>
      <c r="AE147">
        <v>1</v>
      </c>
      <c r="AF147">
        <v>0</v>
      </c>
      <c r="AG147">
        <v>0</v>
      </c>
      <c r="AH147">
        <v>0</v>
      </c>
      <c r="AI147">
        <v>0</v>
      </c>
      <c r="AJ147">
        <v>0</v>
      </c>
      <c r="AT147">
        <v>0</v>
      </c>
      <c r="AU147">
        <v>10</v>
      </c>
      <c r="AV147">
        <v>429</v>
      </c>
      <c r="AW147">
        <v>429</v>
      </c>
      <c r="AX147">
        <v>510</v>
      </c>
      <c r="BA147">
        <v>1</v>
      </c>
      <c r="BC147" t="s">
        <v>378</v>
      </c>
      <c r="BD147" s="4">
        <v>43283.053472222222</v>
      </c>
      <c r="BE147" s="4">
        <v>43283.058148148149</v>
      </c>
      <c r="BF147" s="4">
        <v>43283.058148148149</v>
      </c>
      <c r="BG147" t="s">
        <v>373</v>
      </c>
      <c r="BH147" t="s">
        <v>374</v>
      </c>
      <c r="BI147" t="s">
        <v>85</v>
      </c>
    </row>
    <row r="148" spans="1:61" x14ac:dyDescent="0.3">
      <c r="A148" t="str">
        <f>"201384B0100"</f>
        <v>201384B0100</v>
      </c>
      <c r="B148" t="s">
        <v>379</v>
      </c>
      <c r="C148">
        <v>20</v>
      </c>
      <c r="D148" t="s">
        <v>79</v>
      </c>
      <c r="E148">
        <v>1</v>
      </c>
      <c r="F148" t="s">
        <v>80</v>
      </c>
      <c r="G148">
        <v>1384</v>
      </c>
      <c r="H148">
        <v>1</v>
      </c>
      <c r="I148" t="s">
        <v>81</v>
      </c>
      <c r="J148">
        <v>0</v>
      </c>
      <c r="K148">
        <v>2</v>
      </c>
      <c r="L148">
        <v>2</v>
      </c>
      <c r="M148">
        <v>104</v>
      </c>
      <c r="N148">
        <v>438</v>
      </c>
      <c r="O148">
        <v>6</v>
      </c>
      <c r="P148">
        <v>438</v>
      </c>
      <c r="Q148">
        <v>27</v>
      </c>
      <c r="R148">
        <v>239</v>
      </c>
      <c r="S148">
        <v>24</v>
      </c>
      <c r="T148">
        <v>1</v>
      </c>
      <c r="U148">
        <v>5</v>
      </c>
      <c r="V148">
        <v>8</v>
      </c>
      <c r="W148">
        <v>3</v>
      </c>
      <c r="X148">
        <v>2</v>
      </c>
      <c r="Y148">
        <v>120</v>
      </c>
      <c r="AA148">
        <v>1</v>
      </c>
      <c r="AC148">
        <v>0</v>
      </c>
      <c r="AD148">
        <v>0</v>
      </c>
      <c r="AE148">
        <v>0</v>
      </c>
      <c r="AF148">
        <v>0</v>
      </c>
      <c r="AG148">
        <v>1</v>
      </c>
      <c r="AH148">
        <v>2</v>
      </c>
      <c r="AI148">
        <v>0</v>
      </c>
      <c r="AJ148">
        <v>0</v>
      </c>
      <c r="AT148">
        <v>0</v>
      </c>
      <c r="AU148">
        <v>5</v>
      </c>
      <c r="AV148">
        <v>438</v>
      </c>
      <c r="AW148">
        <v>438</v>
      </c>
      <c r="AX148">
        <v>520</v>
      </c>
      <c r="BA148">
        <v>1</v>
      </c>
      <c r="BC148" t="s">
        <v>380</v>
      </c>
      <c r="BD148" s="4">
        <v>43283.614282407405</v>
      </c>
      <c r="BE148" s="4">
        <v>43283.618506944447</v>
      </c>
      <c r="BF148" s="4">
        <v>43283.618506944447</v>
      </c>
      <c r="BG148" t="s">
        <v>83</v>
      </c>
      <c r="BH148" t="s">
        <v>84</v>
      </c>
      <c r="BI148" t="s">
        <v>85</v>
      </c>
    </row>
    <row r="149" spans="1:61" x14ac:dyDescent="0.3">
      <c r="A149" t="str">
        <f>"201384E0100"</f>
        <v>201384E0100</v>
      </c>
      <c r="B149" s="2" t="s">
        <v>381</v>
      </c>
      <c r="C149">
        <v>20</v>
      </c>
      <c r="D149" t="s">
        <v>79</v>
      </c>
      <c r="E149">
        <v>1</v>
      </c>
      <c r="F149" t="s">
        <v>80</v>
      </c>
      <c r="G149">
        <v>1384</v>
      </c>
      <c r="H149">
        <v>1</v>
      </c>
      <c r="I149" t="s">
        <v>145</v>
      </c>
      <c r="J149">
        <v>0</v>
      </c>
      <c r="K149">
        <v>2</v>
      </c>
      <c r="L149">
        <v>2</v>
      </c>
      <c r="M149">
        <v>75</v>
      </c>
      <c r="N149">
        <v>414</v>
      </c>
      <c r="O149">
        <v>6</v>
      </c>
      <c r="P149">
        <v>414</v>
      </c>
      <c r="Q149">
        <v>19</v>
      </c>
      <c r="R149">
        <v>246</v>
      </c>
      <c r="S149">
        <v>10</v>
      </c>
      <c r="T149">
        <v>2</v>
      </c>
      <c r="U149">
        <v>2</v>
      </c>
      <c r="V149">
        <v>5</v>
      </c>
      <c r="W149">
        <v>1</v>
      </c>
      <c r="X149">
        <v>0</v>
      </c>
      <c r="Y149">
        <v>121</v>
      </c>
      <c r="AA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1</v>
      </c>
      <c r="AJ149">
        <v>0</v>
      </c>
      <c r="AT149">
        <v>0</v>
      </c>
      <c r="AU149">
        <v>7</v>
      </c>
      <c r="AV149">
        <v>414</v>
      </c>
      <c r="AW149">
        <v>414</v>
      </c>
      <c r="AX149">
        <v>467</v>
      </c>
      <c r="BA149">
        <v>1</v>
      </c>
      <c r="BC149" t="s">
        <v>382</v>
      </c>
      <c r="BD149" s="4">
        <v>43283.63244212963</v>
      </c>
      <c r="BE149" s="4">
        <v>43283.637858796297</v>
      </c>
      <c r="BF149" s="4">
        <v>43283.637858796297</v>
      </c>
      <c r="BG149" t="s">
        <v>83</v>
      </c>
      <c r="BH149" t="s">
        <v>84</v>
      </c>
      <c r="BI149" t="s">
        <v>85</v>
      </c>
    </row>
    <row r="150" spans="1:61" x14ac:dyDescent="0.3">
      <c r="A150" t="str">
        <f>"201385B0100"</f>
        <v>201385B0100</v>
      </c>
      <c r="B150" t="s">
        <v>383</v>
      </c>
      <c r="C150">
        <v>20</v>
      </c>
      <c r="D150" t="s">
        <v>79</v>
      </c>
      <c r="E150">
        <v>1</v>
      </c>
      <c r="F150" t="s">
        <v>80</v>
      </c>
      <c r="G150">
        <v>1385</v>
      </c>
      <c r="H150">
        <v>1</v>
      </c>
      <c r="I150" t="s">
        <v>81</v>
      </c>
      <c r="J150">
        <v>0</v>
      </c>
      <c r="K150">
        <v>2</v>
      </c>
      <c r="L150">
        <v>2</v>
      </c>
      <c r="M150">
        <v>64</v>
      </c>
      <c r="N150">
        <v>273</v>
      </c>
      <c r="O150">
        <v>0</v>
      </c>
      <c r="P150">
        <v>273</v>
      </c>
      <c r="Q150">
        <v>10</v>
      </c>
      <c r="R150">
        <v>153</v>
      </c>
      <c r="S150">
        <v>1</v>
      </c>
      <c r="T150">
        <v>1</v>
      </c>
      <c r="U150">
        <v>4</v>
      </c>
      <c r="V150">
        <v>0</v>
      </c>
      <c r="W150">
        <v>0</v>
      </c>
      <c r="X150">
        <v>2</v>
      </c>
      <c r="Y150">
        <v>93</v>
      </c>
      <c r="AA150">
        <v>0</v>
      </c>
      <c r="AC150">
        <v>0</v>
      </c>
      <c r="AD150">
        <v>1</v>
      </c>
      <c r="AE150">
        <v>0</v>
      </c>
      <c r="AF150">
        <v>0</v>
      </c>
      <c r="AG150">
        <v>0</v>
      </c>
      <c r="AH150">
        <v>2</v>
      </c>
      <c r="AI150">
        <v>0</v>
      </c>
      <c r="AJ150">
        <v>0</v>
      </c>
      <c r="AT150">
        <v>0</v>
      </c>
      <c r="AU150">
        <v>6</v>
      </c>
      <c r="AV150">
        <v>273</v>
      </c>
      <c r="AW150">
        <v>273</v>
      </c>
      <c r="AX150">
        <v>315</v>
      </c>
      <c r="BA150">
        <v>1</v>
      </c>
      <c r="BC150" t="s">
        <v>384</v>
      </c>
      <c r="BD150" s="4">
        <v>43283.627268518518</v>
      </c>
      <c r="BE150" s="4">
        <v>43283.632997685185</v>
      </c>
      <c r="BF150" s="4">
        <v>43283.632997685185</v>
      </c>
      <c r="BG150" t="s">
        <v>83</v>
      </c>
      <c r="BH150" t="s">
        <v>84</v>
      </c>
      <c r="BI150" t="s">
        <v>85</v>
      </c>
    </row>
    <row r="151" spans="1:61" x14ac:dyDescent="0.3">
      <c r="A151" t="str">
        <f>"201385E0100"</f>
        <v>201385E0100</v>
      </c>
      <c r="B151" s="2" t="s">
        <v>385</v>
      </c>
      <c r="C151">
        <v>20</v>
      </c>
      <c r="D151" t="s">
        <v>79</v>
      </c>
      <c r="E151">
        <v>1</v>
      </c>
      <c r="F151" t="s">
        <v>80</v>
      </c>
      <c r="G151">
        <v>1385</v>
      </c>
      <c r="H151">
        <v>1</v>
      </c>
      <c r="I151" t="s">
        <v>145</v>
      </c>
      <c r="J151">
        <v>0</v>
      </c>
      <c r="K151">
        <v>2</v>
      </c>
      <c r="L151">
        <v>2</v>
      </c>
      <c r="M151">
        <v>88</v>
      </c>
      <c r="N151">
        <v>468</v>
      </c>
      <c r="O151">
        <v>2</v>
      </c>
      <c r="P151" t="s">
        <v>100</v>
      </c>
      <c r="Q151">
        <v>94</v>
      </c>
      <c r="R151">
        <v>154</v>
      </c>
      <c r="S151">
        <v>15</v>
      </c>
      <c r="T151">
        <v>3</v>
      </c>
      <c r="U151">
        <v>4</v>
      </c>
      <c r="V151">
        <v>1</v>
      </c>
      <c r="W151">
        <v>1</v>
      </c>
      <c r="X151">
        <v>0</v>
      </c>
      <c r="Y151">
        <v>95</v>
      </c>
      <c r="AA151">
        <v>0</v>
      </c>
      <c r="AC151" t="s">
        <v>100</v>
      </c>
      <c r="AD151" t="s">
        <v>100</v>
      </c>
      <c r="AE151" t="s">
        <v>100</v>
      </c>
      <c r="AF151" t="s">
        <v>100</v>
      </c>
      <c r="AG151">
        <v>4</v>
      </c>
      <c r="AH151">
        <v>1</v>
      </c>
      <c r="AI151" t="s">
        <v>100</v>
      </c>
      <c r="AJ151" t="s">
        <v>100</v>
      </c>
      <c r="AT151" t="s">
        <v>100</v>
      </c>
      <c r="AU151">
        <v>8</v>
      </c>
      <c r="AV151">
        <v>380</v>
      </c>
      <c r="AW151">
        <v>380</v>
      </c>
      <c r="AX151">
        <v>446</v>
      </c>
      <c r="AZ151" t="s">
        <v>101</v>
      </c>
      <c r="BA151">
        <v>1</v>
      </c>
      <c r="BC151" t="s">
        <v>386</v>
      </c>
      <c r="BD151" s="4">
        <v>43283.620335648149</v>
      </c>
      <c r="BE151" s="4">
        <v>43283.624050925922</v>
      </c>
      <c r="BF151" s="4">
        <v>43283.624050925922</v>
      </c>
      <c r="BG151" t="s">
        <v>83</v>
      </c>
      <c r="BH151" t="s">
        <v>84</v>
      </c>
      <c r="BI151" t="s">
        <v>85</v>
      </c>
    </row>
    <row r="152" spans="1:61" x14ac:dyDescent="0.3">
      <c r="A152" t="str">
        <f>"201385E0200"</f>
        <v>201385E0200</v>
      </c>
      <c r="B152" s="2" t="s">
        <v>387</v>
      </c>
      <c r="C152">
        <v>20</v>
      </c>
      <c r="D152" t="s">
        <v>79</v>
      </c>
      <c r="E152">
        <v>1</v>
      </c>
      <c r="F152" t="s">
        <v>80</v>
      </c>
      <c r="G152">
        <v>1385</v>
      </c>
      <c r="H152">
        <v>2</v>
      </c>
      <c r="I152" t="s">
        <v>145</v>
      </c>
      <c r="J152">
        <v>0</v>
      </c>
      <c r="K152">
        <v>2</v>
      </c>
      <c r="L152">
        <v>2</v>
      </c>
      <c r="M152">
        <v>87</v>
      </c>
      <c r="N152">
        <v>418</v>
      </c>
      <c r="O152">
        <v>2</v>
      </c>
      <c r="P152">
        <v>418</v>
      </c>
      <c r="Q152">
        <v>98</v>
      </c>
      <c r="R152">
        <v>210</v>
      </c>
      <c r="S152">
        <v>4</v>
      </c>
      <c r="T152">
        <v>0</v>
      </c>
      <c r="U152">
        <v>1</v>
      </c>
      <c r="V152">
        <v>16</v>
      </c>
      <c r="W152">
        <v>1</v>
      </c>
      <c r="X152">
        <v>2</v>
      </c>
      <c r="Y152">
        <v>73</v>
      </c>
      <c r="AA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T152">
        <v>0</v>
      </c>
      <c r="AU152">
        <v>13</v>
      </c>
      <c r="AV152">
        <v>418</v>
      </c>
      <c r="AW152">
        <v>418</v>
      </c>
      <c r="AX152">
        <v>483</v>
      </c>
      <c r="BA152">
        <v>1</v>
      </c>
      <c r="BC152" t="s">
        <v>388</v>
      </c>
      <c r="BD152" s="4">
        <v>43283.618356481478</v>
      </c>
      <c r="BE152" s="4">
        <v>43283.623171296298</v>
      </c>
      <c r="BF152" s="4">
        <v>43283.623171296298</v>
      </c>
      <c r="BG152" t="s">
        <v>83</v>
      </c>
      <c r="BH152" t="s">
        <v>84</v>
      </c>
      <c r="BI152" t="s">
        <v>85</v>
      </c>
    </row>
    <row r="153" spans="1:61" x14ac:dyDescent="0.3">
      <c r="A153" t="str">
        <f>"201386B0100"</f>
        <v>201386B0100</v>
      </c>
      <c r="B153" t="s">
        <v>389</v>
      </c>
      <c r="C153">
        <v>20</v>
      </c>
      <c r="D153" t="s">
        <v>79</v>
      </c>
      <c r="E153">
        <v>1</v>
      </c>
      <c r="F153" t="s">
        <v>80</v>
      </c>
      <c r="G153">
        <v>1386</v>
      </c>
      <c r="H153">
        <v>1</v>
      </c>
      <c r="I153" t="s">
        <v>81</v>
      </c>
      <c r="J153">
        <v>0</v>
      </c>
      <c r="K153">
        <v>2</v>
      </c>
      <c r="L153">
        <v>2</v>
      </c>
      <c r="M153">
        <v>167</v>
      </c>
      <c r="N153" t="s">
        <v>100</v>
      </c>
      <c r="O153">
        <v>0</v>
      </c>
      <c r="P153" t="s">
        <v>100</v>
      </c>
      <c r="Q153">
        <v>39</v>
      </c>
      <c r="R153">
        <v>296</v>
      </c>
      <c r="S153">
        <v>11</v>
      </c>
      <c r="T153">
        <v>32</v>
      </c>
      <c r="U153">
        <v>5</v>
      </c>
      <c r="V153">
        <v>3</v>
      </c>
      <c r="W153">
        <v>2</v>
      </c>
      <c r="X153">
        <v>10</v>
      </c>
      <c r="Y153">
        <v>177</v>
      </c>
      <c r="AA153">
        <v>1</v>
      </c>
      <c r="AC153">
        <v>0</v>
      </c>
      <c r="AD153">
        <v>1</v>
      </c>
      <c r="AE153">
        <v>0</v>
      </c>
      <c r="AF153">
        <v>0</v>
      </c>
      <c r="AG153">
        <v>1</v>
      </c>
      <c r="AH153">
        <v>2</v>
      </c>
      <c r="AI153">
        <v>0</v>
      </c>
      <c r="AJ153">
        <v>0</v>
      </c>
      <c r="AT153">
        <v>0</v>
      </c>
      <c r="AU153">
        <v>13</v>
      </c>
      <c r="AV153">
        <v>593</v>
      </c>
      <c r="AW153">
        <v>593</v>
      </c>
      <c r="AX153">
        <v>738</v>
      </c>
      <c r="BA153">
        <v>1</v>
      </c>
      <c r="BC153" t="s">
        <v>390</v>
      </c>
      <c r="BD153" s="4">
        <v>43283.304467592592</v>
      </c>
      <c r="BE153" s="4">
        <v>43283.328206018516</v>
      </c>
      <c r="BF153" s="4">
        <v>43283.328206018516</v>
      </c>
      <c r="BG153" t="s">
        <v>83</v>
      </c>
      <c r="BH153" t="s">
        <v>84</v>
      </c>
      <c r="BI153" t="s">
        <v>85</v>
      </c>
    </row>
    <row r="154" spans="1:61" x14ac:dyDescent="0.3">
      <c r="A154" t="str">
        <f>"201386C0100"</f>
        <v>201386C0100</v>
      </c>
      <c r="B154" t="s">
        <v>391</v>
      </c>
      <c r="C154">
        <v>20</v>
      </c>
      <c r="D154" t="s">
        <v>79</v>
      </c>
      <c r="E154">
        <v>1</v>
      </c>
      <c r="F154" t="s">
        <v>80</v>
      </c>
      <c r="G154">
        <v>1386</v>
      </c>
      <c r="H154">
        <v>1</v>
      </c>
      <c r="I154" t="s">
        <v>89</v>
      </c>
      <c r="J154">
        <v>0</v>
      </c>
      <c r="K154">
        <v>2</v>
      </c>
      <c r="L154">
        <v>2</v>
      </c>
      <c r="M154">
        <v>173</v>
      </c>
      <c r="N154">
        <v>173</v>
      </c>
      <c r="O154">
        <v>4</v>
      </c>
      <c r="P154">
        <v>0</v>
      </c>
      <c r="Q154">
        <v>22</v>
      </c>
      <c r="R154">
        <v>278</v>
      </c>
      <c r="S154">
        <v>20</v>
      </c>
      <c r="T154">
        <v>47</v>
      </c>
      <c r="U154">
        <v>3</v>
      </c>
      <c r="V154">
        <v>4</v>
      </c>
      <c r="W154">
        <v>1</v>
      </c>
      <c r="X154">
        <v>6</v>
      </c>
      <c r="Y154">
        <v>182</v>
      </c>
      <c r="AA154">
        <v>0</v>
      </c>
      <c r="AC154">
        <v>1</v>
      </c>
      <c r="AD154">
        <v>1</v>
      </c>
      <c r="AE154">
        <v>0</v>
      </c>
      <c r="AF154">
        <v>0</v>
      </c>
      <c r="AG154">
        <v>3</v>
      </c>
      <c r="AH154">
        <v>3</v>
      </c>
      <c r="AI154">
        <v>2</v>
      </c>
      <c r="AJ154">
        <v>0</v>
      </c>
      <c r="AT154">
        <v>0</v>
      </c>
      <c r="AU154">
        <v>14</v>
      </c>
      <c r="AV154">
        <v>757</v>
      </c>
      <c r="AW154">
        <v>587</v>
      </c>
      <c r="AX154">
        <v>738</v>
      </c>
      <c r="BA154">
        <v>1</v>
      </c>
      <c r="BC154" t="s">
        <v>392</v>
      </c>
      <c r="BD154" s="4">
        <v>43283.30572916667</v>
      </c>
      <c r="BE154" s="4">
        <v>43283.328738425924</v>
      </c>
      <c r="BF154" s="4">
        <v>43283.328738425924</v>
      </c>
      <c r="BG154" t="s">
        <v>83</v>
      </c>
      <c r="BH154" t="s">
        <v>84</v>
      </c>
      <c r="BI154" t="s">
        <v>85</v>
      </c>
    </row>
    <row r="155" spans="1:61" x14ac:dyDescent="0.3">
      <c r="A155" t="str">
        <f>"201387B0100"</f>
        <v>201387B0100</v>
      </c>
      <c r="B155" t="s">
        <v>393</v>
      </c>
      <c r="C155">
        <v>20</v>
      </c>
      <c r="D155" t="s">
        <v>79</v>
      </c>
      <c r="E155">
        <v>1</v>
      </c>
      <c r="F155" t="s">
        <v>80</v>
      </c>
      <c r="G155">
        <v>1387</v>
      </c>
      <c r="H155">
        <v>1</v>
      </c>
      <c r="I155" t="s">
        <v>81</v>
      </c>
      <c r="J155">
        <v>0</v>
      </c>
      <c r="K155">
        <v>2</v>
      </c>
      <c r="L155">
        <v>2</v>
      </c>
      <c r="M155">
        <v>78</v>
      </c>
      <c r="N155">
        <v>331</v>
      </c>
      <c r="O155">
        <v>0</v>
      </c>
      <c r="P155">
        <v>331</v>
      </c>
      <c r="Q155">
        <v>8</v>
      </c>
      <c r="R155">
        <v>192</v>
      </c>
      <c r="S155">
        <v>2</v>
      </c>
      <c r="T155">
        <v>7</v>
      </c>
      <c r="U155">
        <v>5</v>
      </c>
      <c r="V155">
        <v>2</v>
      </c>
      <c r="W155">
        <v>2</v>
      </c>
      <c r="X155">
        <v>0</v>
      </c>
      <c r="Y155">
        <v>109</v>
      </c>
      <c r="AA155">
        <v>0</v>
      </c>
      <c r="AC155">
        <v>0</v>
      </c>
      <c r="AD155">
        <v>0</v>
      </c>
      <c r="AE155">
        <v>0</v>
      </c>
      <c r="AF155">
        <v>0</v>
      </c>
      <c r="AG155">
        <v>1</v>
      </c>
      <c r="AH155">
        <v>0</v>
      </c>
      <c r="AI155">
        <v>0</v>
      </c>
      <c r="AJ155">
        <v>0</v>
      </c>
      <c r="AT155">
        <v>0</v>
      </c>
      <c r="AU155">
        <v>2</v>
      </c>
      <c r="AV155">
        <v>331</v>
      </c>
      <c r="AW155">
        <v>330</v>
      </c>
      <c r="AX155">
        <v>387</v>
      </c>
      <c r="BA155">
        <v>1</v>
      </c>
      <c r="BC155" t="s">
        <v>394</v>
      </c>
      <c r="BD155" s="4">
        <v>43283.632893518516</v>
      </c>
      <c r="BE155" s="4">
        <v>43283.637060185189</v>
      </c>
      <c r="BF155" s="4">
        <v>43283.637060185189</v>
      </c>
      <c r="BG155" t="s">
        <v>83</v>
      </c>
      <c r="BH155" t="s">
        <v>84</v>
      </c>
      <c r="BI155" t="s">
        <v>85</v>
      </c>
    </row>
    <row r="156" spans="1:61" x14ac:dyDescent="0.3">
      <c r="A156" t="str">
        <f>"201387C0100"</f>
        <v>201387C0100</v>
      </c>
      <c r="B156" t="s">
        <v>395</v>
      </c>
      <c r="C156">
        <v>20</v>
      </c>
      <c r="D156" t="s">
        <v>79</v>
      </c>
      <c r="E156">
        <v>1</v>
      </c>
      <c r="F156" t="s">
        <v>80</v>
      </c>
      <c r="G156">
        <v>1387</v>
      </c>
      <c r="H156">
        <v>1</v>
      </c>
      <c r="I156" t="s">
        <v>89</v>
      </c>
      <c r="J156">
        <v>0</v>
      </c>
      <c r="K156">
        <v>2</v>
      </c>
      <c r="L156">
        <v>2</v>
      </c>
      <c r="M156">
        <v>82</v>
      </c>
      <c r="N156">
        <v>322</v>
      </c>
      <c r="O156">
        <v>0</v>
      </c>
      <c r="P156">
        <v>322</v>
      </c>
      <c r="Q156">
        <v>12</v>
      </c>
      <c r="R156">
        <v>188</v>
      </c>
      <c r="S156">
        <v>2</v>
      </c>
      <c r="T156">
        <v>12</v>
      </c>
      <c r="U156">
        <v>6</v>
      </c>
      <c r="V156">
        <v>2</v>
      </c>
      <c r="W156">
        <v>1</v>
      </c>
      <c r="X156">
        <v>0</v>
      </c>
      <c r="Y156">
        <v>94</v>
      </c>
      <c r="AA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T156">
        <v>0</v>
      </c>
      <c r="AU156">
        <v>5</v>
      </c>
      <c r="AV156">
        <v>322</v>
      </c>
      <c r="AW156">
        <v>322</v>
      </c>
      <c r="AX156">
        <v>387</v>
      </c>
      <c r="BA156">
        <v>1</v>
      </c>
      <c r="BC156" t="s">
        <v>396</v>
      </c>
      <c r="BD156" s="4">
        <v>43283.634479166663</v>
      </c>
      <c r="BE156" s="4">
        <v>43283.64199074074</v>
      </c>
      <c r="BF156" s="4">
        <v>43283.64199074074</v>
      </c>
      <c r="BG156" t="s">
        <v>83</v>
      </c>
      <c r="BH156" t="s">
        <v>84</v>
      </c>
      <c r="BI156" t="s">
        <v>85</v>
      </c>
    </row>
    <row r="157" spans="1:61" x14ac:dyDescent="0.3">
      <c r="A157" t="str">
        <f>"201388B0100"</f>
        <v>201388B0100</v>
      </c>
      <c r="B157" t="s">
        <v>397</v>
      </c>
      <c r="C157">
        <v>20</v>
      </c>
      <c r="D157" t="s">
        <v>79</v>
      </c>
      <c r="E157">
        <v>1</v>
      </c>
      <c r="F157" t="s">
        <v>80</v>
      </c>
      <c r="G157">
        <v>1388</v>
      </c>
      <c r="H157">
        <v>1</v>
      </c>
      <c r="I157" t="s">
        <v>81</v>
      </c>
      <c r="J157">
        <v>0</v>
      </c>
      <c r="K157">
        <v>2</v>
      </c>
      <c r="L157">
        <v>2</v>
      </c>
      <c r="M157">
        <v>90</v>
      </c>
      <c r="N157" t="s">
        <v>100</v>
      </c>
      <c r="O157" t="s">
        <v>100</v>
      </c>
      <c r="P157" t="s">
        <v>100</v>
      </c>
      <c r="Q157">
        <v>14</v>
      </c>
      <c r="R157">
        <v>176</v>
      </c>
      <c r="S157">
        <v>43</v>
      </c>
      <c r="T157">
        <v>1</v>
      </c>
      <c r="U157">
        <v>3</v>
      </c>
      <c r="V157">
        <v>4</v>
      </c>
      <c r="W157" t="s">
        <v>100</v>
      </c>
      <c r="X157">
        <v>3</v>
      </c>
      <c r="Y157">
        <v>78</v>
      </c>
      <c r="AA157" t="s">
        <v>100</v>
      </c>
      <c r="AC157">
        <v>3</v>
      </c>
      <c r="AD157" t="s">
        <v>100</v>
      </c>
      <c r="AE157" t="s">
        <v>100</v>
      </c>
      <c r="AF157" t="s">
        <v>100</v>
      </c>
      <c r="AG157">
        <v>1</v>
      </c>
      <c r="AH157" t="s">
        <v>100</v>
      </c>
      <c r="AI157" t="s">
        <v>100</v>
      </c>
      <c r="AJ157" t="s">
        <v>100</v>
      </c>
      <c r="AT157" t="s">
        <v>100</v>
      </c>
      <c r="AU157">
        <v>6</v>
      </c>
      <c r="AV157">
        <v>332</v>
      </c>
      <c r="AW157">
        <v>332</v>
      </c>
      <c r="AX157">
        <v>400</v>
      </c>
      <c r="AZ157" t="s">
        <v>101</v>
      </c>
      <c r="BA157">
        <v>1</v>
      </c>
      <c r="BC157" t="s">
        <v>398</v>
      </c>
      <c r="BD157" s="4">
        <v>43283.302708333336</v>
      </c>
      <c r="BE157" s="4">
        <v>43283.32675925926</v>
      </c>
      <c r="BF157" s="4">
        <v>43283.32675925926</v>
      </c>
      <c r="BG157" t="s">
        <v>83</v>
      </c>
      <c r="BH157" t="s">
        <v>84</v>
      </c>
      <c r="BI157" t="s">
        <v>85</v>
      </c>
    </row>
    <row r="158" spans="1:61" x14ac:dyDescent="0.3">
      <c r="A158" t="str">
        <f>"201388C0100"</f>
        <v>201388C0100</v>
      </c>
      <c r="B158" t="s">
        <v>399</v>
      </c>
      <c r="C158">
        <v>20</v>
      </c>
      <c r="D158" t="s">
        <v>79</v>
      </c>
      <c r="E158">
        <v>1</v>
      </c>
      <c r="F158" t="s">
        <v>80</v>
      </c>
      <c r="G158">
        <v>1388</v>
      </c>
      <c r="H158">
        <v>1</v>
      </c>
      <c r="I158" t="s">
        <v>89</v>
      </c>
      <c r="J158">
        <v>0</v>
      </c>
      <c r="K158">
        <v>2</v>
      </c>
      <c r="L158">
        <v>2</v>
      </c>
      <c r="M158">
        <v>95</v>
      </c>
      <c r="N158">
        <v>326</v>
      </c>
      <c r="O158">
        <v>0</v>
      </c>
      <c r="P158">
        <v>326</v>
      </c>
      <c r="Q158">
        <v>18</v>
      </c>
      <c r="R158">
        <v>169</v>
      </c>
      <c r="S158">
        <v>21</v>
      </c>
      <c r="T158">
        <v>3</v>
      </c>
      <c r="U158">
        <v>2</v>
      </c>
      <c r="V158">
        <v>6</v>
      </c>
      <c r="W158">
        <v>2</v>
      </c>
      <c r="X158">
        <v>3</v>
      </c>
      <c r="Y158">
        <v>90</v>
      </c>
      <c r="AA158">
        <v>1</v>
      </c>
      <c r="AC158">
        <v>0</v>
      </c>
      <c r="AD158">
        <v>0</v>
      </c>
      <c r="AE158">
        <v>1</v>
      </c>
      <c r="AF158">
        <v>0</v>
      </c>
      <c r="AG158">
        <v>1</v>
      </c>
      <c r="AH158">
        <v>3</v>
      </c>
      <c r="AI158">
        <v>0</v>
      </c>
      <c r="AJ158">
        <v>0</v>
      </c>
      <c r="AT158" t="s">
        <v>100</v>
      </c>
      <c r="AU158">
        <v>6</v>
      </c>
      <c r="AV158">
        <v>326</v>
      </c>
      <c r="AW158">
        <v>326</v>
      </c>
      <c r="AX158">
        <v>399</v>
      </c>
      <c r="AZ158" t="s">
        <v>101</v>
      </c>
      <c r="BA158">
        <v>1</v>
      </c>
      <c r="BC158" t="s">
        <v>400</v>
      </c>
      <c r="BD158" s="4">
        <v>43283.305532407408</v>
      </c>
      <c r="BE158" s="4">
        <v>43283.328645833331</v>
      </c>
      <c r="BF158" s="4">
        <v>43283.328645833331</v>
      </c>
      <c r="BG158" t="s">
        <v>83</v>
      </c>
      <c r="BH158" t="s">
        <v>84</v>
      </c>
      <c r="BI158" t="s">
        <v>85</v>
      </c>
    </row>
    <row r="159" spans="1:61" x14ac:dyDescent="0.3">
      <c r="A159" t="str">
        <f>"201388E0100"</f>
        <v>201388E0100</v>
      </c>
      <c r="B159" s="2" t="s">
        <v>401</v>
      </c>
      <c r="C159">
        <v>20</v>
      </c>
      <c r="D159" t="s">
        <v>79</v>
      </c>
      <c r="E159">
        <v>1</v>
      </c>
      <c r="F159" t="s">
        <v>80</v>
      </c>
      <c r="G159">
        <v>1388</v>
      </c>
      <c r="H159">
        <v>1</v>
      </c>
      <c r="I159" t="s">
        <v>145</v>
      </c>
      <c r="J159">
        <v>0</v>
      </c>
      <c r="K159">
        <v>2</v>
      </c>
      <c r="L159">
        <v>2</v>
      </c>
      <c r="AX159">
        <v>449</v>
      </c>
      <c r="AZ159" t="s">
        <v>156</v>
      </c>
      <c r="BA159">
        <v>0</v>
      </c>
      <c r="BC159" t="s">
        <v>402</v>
      </c>
      <c r="BD159" s="4">
        <v>43283.822222222225</v>
      </c>
      <c r="BE159" s="4">
        <v>43283.830428240741</v>
      </c>
      <c r="BF159" s="4">
        <v>43283.830428240741</v>
      </c>
      <c r="BG159" t="s">
        <v>83</v>
      </c>
      <c r="BH159" t="s">
        <v>84</v>
      </c>
      <c r="BI159" t="s">
        <v>85</v>
      </c>
    </row>
    <row r="160" spans="1:61" x14ac:dyDescent="0.3">
      <c r="A160" t="str">
        <f>"201389B0100"</f>
        <v>201389B0100</v>
      </c>
      <c r="B160" t="s">
        <v>403</v>
      </c>
      <c r="C160">
        <v>20</v>
      </c>
      <c r="D160" t="s">
        <v>79</v>
      </c>
      <c r="E160">
        <v>1</v>
      </c>
      <c r="F160" t="s">
        <v>80</v>
      </c>
      <c r="G160">
        <v>1389</v>
      </c>
      <c r="H160">
        <v>1</v>
      </c>
      <c r="I160" t="s">
        <v>81</v>
      </c>
      <c r="J160">
        <v>0</v>
      </c>
      <c r="K160">
        <v>2</v>
      </c>
      <c r="L160">
        <v>2</v>
      </c>
      <c r="M160">
        <v>81</v>
      </c>
      <c r="N160">
        <v>415</v>
      </c>
      <c r="O160">
        <v>0</v>
      </c>
      <c r="P160">
        <v>415</v>
      </c>
      <c r="Q160">
        <v>11</v>
      </c>
      <c r="R160">
        <v>213</v>
      </c>
      <c r="S160">
        <v>8</v>
      </c>
      <c r="T160">
        <v>44</v>
      </c>
      <c r="U160">
        <v>2</v>
      </c>
      <c r="V160">
        <v>7</v>
      </c>
      <c r="W160">
        <v>0</v>
      </c>
      <c r="X160">
        <v>0</v>
      </c>
      <c r="Y160">
        <v>124</v>
      </c>
      <c r="AA160">
        <v>1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1</v>
      </c>
      <c r="AI160">
        <v>0</v>
      </c>
      <c r="AJ160">
        <v>0</v>
      </c>
      <c r="AT160">
        <v>0</v>
      </c>
      <c r="AU160">
        <v>4</v>
      </c>
      <c r="AV160">
        <v>415</v>
      </c>
      <c r="AW160">
        <v>415</v>
      </c>
      <c r="AX160">
        <v>476</v>
      </c>
      <c r="BA160">
        <v>1</v>
      </c>
      <c r="BC160" t="s">
        <v>404</v>
      </c>
      <c r="BD160" s="4">
        <v>43283.634826388887</v>
      </c>
      <c r="BE160" s="4">
        <v>43283.640810185185</v>
      </c>
      <c r="BF160" s="4">
        <v>43283.640810185185</v>
      </c>
      <c r="BG160" t="s">
        <v>83</v>
      </c>
      <c r="BH160" t="s">
        <v>84</v>
      </c>
      <c r="BI160" t="s">
        <v>85</v>
      </c>
    </row>
    <row r="161" spans="1:61" x14ac:dyDescent="0.3">
      <c r="A161" t="str">
        <f>"201389C0100"</f>
        <v>201389C0100</v>
      </c>
      <c r="B161" t="s">
        <v>405</v>
      </c>
      <c r="C161">
        <v>20</v>
      </c>
      <c r="D161" t="s">
        <v>79</v>
      </c>
      <c r="E161">
        <v>1</v>
      </c>
      <c r="F161" t="s">
        <v>80</v>
      </c>
      <c r="G161">
        <v>1389</v>
      </c>
      <c r="H161">
        <v>1</v>
      </c>
      <c r="I161" t="s">
        <v>89</v>
      </c>
      <c r="J161">
        <v>0</v>
      </c>
      <c r="K161">
        <v>2</v>
      </c>
      <c r="L161">
        <v>2</v>
      </c>
      <c r="M161">
        <v>84</v>
      </c>
      <c r="N161">
        <v>414</v>
      </c>
      <c r="O161">
        <v>0</v>
      </c>
      <c r="P161">
        <v>414</v>
      </c>
      <c r="Q161">
        <v>17</v>
      </c>
      <c r="R161">
        <v>215</v>
      </c>
      <c r="S161">
        <v>9</v>
      </c>
      <c r="T161">
        <v>33</v>
      </c>
      <c r="U161">
        <v>3</v>
      </c>
      <c r="V161">
        <v>1</v>
      </c>
      <c r="W161">
        <v>1</v>
      </c>
      <c r="X161">
        <v>1</v>
      </c>
      <c r="Y161">
        <v>123</v>
      </c>
      <c r="AA161">
        <v>0</v>
      </c>
      <c r="AC161">
        <v>0</v>
      </c>
      <c r="AD161">
        <v>0</v>
      </c>
      <c r="AE161">
        <v>0</v>
      </c>
      <c r="AF161">
        <v>0</v>
      </c>
      <c r="AG161">
        <v>1</v>
      </c>
      <c r="AH161">
        <v>4</v>
      </c>
      <c r="AI161">
        <v>0</v>
      </c>
      <c r="AJ161">
        <v>0</v>
      </c>
      <c r="AT161">
        <v>0</v>
      </c>
      <c r="AU161">
        <v>6</v>
      </c>
      <c r="AV161">
        <v>414</v>
      </c>
      <c r="AW161">
        <v>414</v>
      </c>
      <c r="AX161">
        <v>476</v>
      </c>
      <c r="BA161">
        <v>1</v>
      </c>
      <c r="BC161" t="s">
        <v>406</v>
      </c>
      <c r="BD161" s="4">
        <v>43283.6328587963</v>
      </c>
      <c r="BE161" s="4">
        <v>43283.639155092591</v>
      </c>
      <c r="BF161" s="4">
        <v>43283.639155092591</v>
      </c>
      <c r="BG161" t="s">
        <v>83</v>
      </c>
      <c r="BH161" t="s">
        <v>84</v>
      </c>
      <c r="BI161" t="s">
        <v>85</v>
      </c>
    </row>
    <row r="162" spans="1:61" x14ac:dyDescent="0.3">
      <c r="A162" t="str">
        <f>"201390B0100"</f>
        <v>201390B0100</v>
      </c>
      <c r="B162" t="s">
        <v>407</v>
      </c>
      <c r="C162">
        <v>20</v>
      </c>
      <c r="D162" t="s">
        <v>79</v>
      </c>
      <c r="E162">
        <v>1</v>
      </c>
      <c r="F162" t="s">
        <v>80</v>
      </c>
      <c r="G162">
        <v>1390</v>
      </c>
      <c r="H162">
        <v>1</v>
      </c>
      <c r="I162" t="s">
        <v>81</v>
      </c>
      <c r="J162">
        <v>0</v>
      </c>
      <c r="K162">
        <v>2</v>
      </c>
      <c r="L162">
        <v>2</v>
      </c>
      <c r="M162">
        <v>72</v>
      </c>
      <c r="N162">
        <v>299</v>
      </c>
      <c r="O162" t="s">
        <v>100</v>
      </c>
      <c r="P162">
        <v>299</v>
      </c>
      <c r="Q162">
        <v>51</v>
      </c>
      <c r="R162">
        <v>140</v>
      </c>
      <c r="S162">
        <v>8</v>
      </c>
      <c r="T162">
        <v>22</v>
      </c>
      <c r="U162">
        <v>4</v>
      </c>
      <c r="V162">
        <v>5</v>
      </c>
      <c r="W162">
        <v>1</v>
      </c>
      <c r="X162" t="s">
        <v>100</v>
      </c>
      <c r="Y162">
        <v>62</v>
      </c>
      <c r="AA162">
        <v>1</v>
      </c>
      <c r="AC162" t="s">
        <v>100</v>
      </c>
      <c r="AD162" t="s">
        <v>100</v>
      </c>
      <c r="AE162" t="s">
        <v>100</v>
      </c>
      <c r="AF162" t="s">
        <v>100</v>
      </c>
      <c r="AG162">
        <v>1</v>
      </c>
      <c r="AH162">
        <v>1</v>
      </c>
      <c r="AI162" t="s">
        <v>100</v>
      </c>
      <c r="AJ162" t="s">
        <v>100</v>
      </c>
      <c r="AT162" t="s">
        <v>100</v>
      </c>
      <c r="AU162" t="s">
        <v>100</v>
      </c>
      <c r="AV162">
        <v>299</v>
      </c>
      <c r="AW162">
        <v>296</v>
      </c>
      <c r="AX162">
        <v>349</v>
      </c>
      <c r="AZ162" t="s">
        <v>101</v>
      </c>
      <c r="BA162">
        <v>1</v>
      </c>
      <c r="BC162" t="s">
        <v>408</v>
      </c>
      <c r="BD162" s="4">
        <v>43283.632800925923</v>
      </c>
      <c r="BE162" s="4">
        <v>43283.635671296295</v>
      </c>
      <c r="BF162" s="4">
        <v>43283.635671296295</v>
      </c>
      <c r="BG162" t="s">
        <v>83</v>
      </c>
      <c r="BH162" t="s">
        <v>84</v>
      </c>
      <c r="BI162" t="s">
        <v>85</v>
      </c>
    </row>
    <row r="163" spans="1:61" x14ac:dyDescent="0.3">
      <c r="A163" t="str">
        <f>"201390E0100"</f>
        <v>201390E0100</v>
      </c>
      <c r="B163" s="2" t="s">
        <v>409</v>
      </c>
      <c r="C163">
        <v>20</v>
      </c>
      <c r="D163" t="s">
        <v>79</v>
      </c>
      <c r="E163">
        <v>1</v>
      </c>
      <c r="F163" t="s">
        <v>80</v>
      </c>
      <c r="G163">
        <v>1390</v>
      </c>
      <c r="H163">
        <v>1</v>
      </c>
      <c r="I163" t="s">
        <v>145</v>
      </c>
      <c r="J163">
        <v>0</v>
      </c>
      <c r="K163">
        <v>2</v>
      </c>
      <c r="L163">
        <v>2</v>
      </c>
      <c r="M163">
        <v>83</v>
      </c>
      <c r="N163">
        <v>544</v>
      </c>
      <c r="O163">
        <v>0</v>
      </c>
      <c r="P163">
        <v>544</v>
      </c>
      <c r="Q163">
        <v>18</v>
      </c>
      <c r="R163">
        <v>240</v>
      </c>
      <c r="S163">
        <v>0</v>
      </c>
      <c r="T163">
        <v>153</v>
      </c>
      <c r="U163">
        <v>2</v>
      </c>
      <c r="V163">
        <v>2</v>
      </c>
      <c r="W163">
        <v>1</v>
      </c>
      <c r="X163">
        <v>2</v>
      </c>
      <c r="Y163">
        <v>0</v>
      </c>
      <c r="AA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3</v>
      </c>
      <c r="AI163">
        <v>0</v>
      </c>
      <c r="AJ163">
        <v>0</v>
      </c>
      <c r="AT163">
        <v>0</v>
      </c>
      <c r="AU163">
        <v>13</v>
      </c>
      <c r="AV163">
        <v>544</v>
      </c>
      <c r="AW163">
        <v>434</v>
      </c>
      <c r="AX163">
        <v>605</v>
      </c>
      <c r="BA163">
        <v>1</v>
      </c>
      <c r="BC163" t="s">
        <v>410</v>
      </c>
      <c r="BD163" s="4">
        <v>43283.6327662037</v>
      </c>
      <c r="BE163" s="4">
        <v>43283.638182870367</v>
      </c>
      <c r="BF163" s="4">
        <v>43283.638182870367</v>
      </c>
      <c r="BG163" t="s">
        <v>83</v>
      </c>
      <c r="BH163" t="s">
        <v>84</v>
      </c>
      <c r="BI163" t="s">
        <v>85</v>
      </c>
    </row>
    <row r="164" spans="1:61" x14ac:dyDescent="0.3">
      <c r="A164" t="str">
        <f>"201391B0100"</f>
        <v>201391B0100</v>
      </c>
      <c r="B164" t="s">
        <v>411</v>
      </c>
      <c r="C164">
        <v>20</v>
      </c>
      <c r="D164" t="s">
        <v>79</v>
      </c>
      <c r="E164">
        <v>1</v>
      </c>
      <c r="F164" t="s">
        <v>80</v>
      </c>
      <c r="G164">
        <v>1391</v>
      </c>
      <c r="H164">
        <v>1</v>
      </c>
      <c r="I164" t="s">
        <v>81</v>
      </c>
      <c r="J164">
        <v>0</v>
      </c>
      <c r="K164">
        <v>2</v>
      </c>
      <c r="L164">
        <v>2</v>
      </c>
      <c r="M164">
        <v>87</v>
      </c>
      <c r="N164">
        <v>322</v>
      </c>
      <c r="O164">
        <v>0</v>
      </c>
      <c r="P164">
        <v>322</v>
      </c>
      <c r="Q164">
        <v>13</v>
      </c>
      <c r="R164">
        <v>221</v>
      </c>
      <c r="S164">
        <v>21</v>
      </c>
      <c r="T164">
        <v>1</v>
      </c>
      <c r="U164">
        <v>9</v>
      </c>
      <c r="V164">
        <v>6</v>
      </c>
      <c r="W164">
        <v>1</v>
      </c>
      <c r="X164">
        <v>3</v>
      </c>
      <c r="Y164">
        <v>42</v>
      </c>
      <c r="AA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1</v>
      </c>
      <c r="AI164">
        <v>0</v>
      </c>
      <c r="AJ164">
        <v>0</v>
      </c>
      <c r="AT164">
        <v>0</v>
      </c>
      <c r="AU164">
        <v>4</v>
      </c>
      <c r="AV164">
        <v>322</v>
      </c>
      <c r="AW164">
        <v>322</v>
      </c>
      <c r="AX164">
        <v>387</v>
      </c>
      <c r="BA164">
        <v>1</v>
      </c>
      <c r="BC164" t="s">
        <v>412</v>
      </c>
      <c r="BD164" s="4">
        <v>43283.306527777779</v>
      </c>
      <c r="BE164" s="4">
        <v>43283.330717592595</v>
      </c>
      <c r="BF164" s="4">
        <v>43283.330717592595</v>
      </c>
      <c r="BG164" t="s">
        <v>83</v>
      </c>
      <c r="BH164" t="s">
        <v>84</v>
      </c>
      <c r="BI164" t="s">
        <v>85</v>
      </c>
    </row>
    <row r="165" spans="1:61" x14ac:dyDescent="0.3">
      <c r="A165" t="str">
        <f>"201391C0100"</f>
        <v>201391C0100</v>
      </c>
      <c r="B165" t="s">
        <v>413</v>
      </c>
      <c r="C165">
        <v>20</v>
      </c>
      <c r="D165" t="s">
        <v>79</v>
      </c>
      <c r="E165">
        <v>1</v>
      </c>
      <c r="F165" t="s">
        <v>80</v>
      </c>
      <c r="G165">
        <v>1391</v>
      </c>
      <c r="H165">
        <v>1</v>
      </c>
      <c r="I165" t="s">
        <v>89</v>
      </c>
      <c r="J165">
        <v>0</v>
      </c>
      <c r="K165">
        <v>2</v>
      </c>
      <c r="L165">
        <v>2</v>
      </c>
      <c r="M165">
        <v>94</v>
      </c>
      <c r="N165">
        <v>314</v>
      </c>
      <c r="O165">
        <v>0</v>
      </c>
      <c r="P165">
        <v>314</v>
      </c>
      <c r="Q165">
        <v>19</v>
      </c>
      <c r="R165">
        <v>203</v>
      </c>
      <c r="S165">
        <v>15</v>
      </c>
      <c r="T165">
        <v>2</v>
      </c>
      <c r="U165">
        <v>5</v>
      </c>
      <c r="V165">
        <v>5</v>
      </c>
      <c r="W165">
        <v>1</v>
      </c>
      <c r="X165">
        <v>5</v>
      </c>
      <c r="Y165">
        <v>43</v>
      </c>
      <c r="AA165">
        <v>1</v>
      </c>
      <c r="AC165">
        <v>0</v>
      </c>
      <c r="AD165">
        <v>0</v>
      </c>
      <c r="AE165">
        <v>0</v>
      </c>
      <c r="AF165">
        <v>0</v>
      </c>
      <c r="AG165">
        <v>4</v>
      </c>
      <c r="AH165">
        <v>0</v>
      </c>
      <c r="AI165">
        <v>0</v>
      </c>
      <c r="AJ165">
        <v>0</v>
      </c>
      <c r="AT165">
        <v>0</v>
      </c>
      <c r="AU165">
        <v>11</v>
      </c>
      <c r="AV165">
        <v>314</v>
      </c>
      <c r="AW165">
        <v>314</v>
      </c>
      <c r="AX165">
        <v>386</v>
      </c>
      <c r="BA165">
        <v>1</v>
      </c>
      <c r="BC165" t="s">
        <v>414</v>
      </c>
      <c r="BD165" s="4">
        <v>43283.30678240741</v>
      </c>
      <c r="BE165" s="4">
        <v>43283.329525462963</v>
      </c>
      <c r="BF165" s="4">
        <v>43283.329525462963</v>
      </c>
      <c r="BG165" t="s">
        <v>83</v>
      </c>
      <c r="BH165" t="s">
        <v>84</v>
      </c>
      <c r="BI165" t="s">
        <v>85</v>
      </c>
    </row>
    <row r="166" spans="1:61" x14ac:dyDescent="0.3">
      <c r="A166" t="str">
        <f>"201391E0100"</f>
        <v>201391E0100</v>
      </c>
      <c r="B166" s="2" t="s">
        <v>415</v>
      </c>
      <c r="C166">
        <v>20</v>
      </c>
      <c r="D166" t="s">
        <v>79</v>
      </c>
      <c r="E166">
        <v>1</v>
      </c>
      <c r="F166" t="s">
        <v>80</v>
      </c>
      <c r="G166">
        <v>1391</v>
      </c>
      <c r="H166">
        <v>1</v>
      </c>
      <c r="I166" t="s">
        <v>145</v>
      </c>
      <c r="J166">
        <v>0</v>
      </c>
      <c r="K166">
        <v>2</v>
      </c>
      <c r="L166">
        <v>2</v>
      </c>
      <c r="M166">
        <v>32</v>
      </c>
      <c r="N166">
        <v>129</v>
      </c>
      <c r="O166">
        <v>0</v>
      </c>
      <c r="P166">
        <v>129</v>
      </c>
      <c r="Q166">
        <v>1</v>
      </c>
      <c r="R166">
        <v>115</v>
      </c>
      <c r="S166">
        <v>0</v>
      </c>
      <c r="T166">
        <v>2</v>
      </c>
      <c r="U166">
        <v>1</v>
      </c>
      <c r="V166">
        <v>0</v>
      </c>
      <c r="W166">
        <v>0</v>
      </c>
      <c r="X166">
        <v>0</v>
      </c>
      <c r="Y166">
        <v>7</v>
      </c>
      <c r="AA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1</v>
      </c>
      <c r="AI166">
        <v>0</v>
      </c>
      <c r="AJ166">
        <v>0</v>
      </c>
      <c r="AT166">
        <v>0</v>
      </c>
      <c r="AU166">
        <v>2</v>
      </c>
      <c r="AV166">
        <v>129</v>
      </c>
      <c r="AW166">
        <v>129</v>
      </c>
      <c r="AX166">
        <v>139</v>
      </c>
      <c r="BA166">
        <v>1</v>
      </c>
      <c r="BC166" t="s">
        <v>416</v>
      </c>
      <c r="BD166" s="4">
        <v>43283.307256944441</v>
      </c>
      <c r="BE166" s="4">
        <v>43283.330254629633</v>
      </c>
      <c r="BF166" s="4">
        <v>43283.330254629633</v>
      </c>
      <c r="BG166" t="s">
        <v>83</v>
      </c>
      <c r="BH166" t="s">
        <v>84</v>
      </c>
      <c r="BI166" t="s">
        <v>85</v>
      </c>
    </row>
    <row r="167" spans="1:61" x14ac:dyDescent="0.3">
      <c r="A167" t="str">
        <f>"201392B0100"</f>
        <v>201392B0100</v>
      </c>
      <c r="B167" t="s">
        <v>417</v>
      </c>
      <c r="C167">
        <v>20</v>
      </c>
      <c r="D167" t="s">
        <v>79</v>
      </c>
      <c r="E167">
        <v>1</v>
      </c>
      <c r="F167" t="s">
        <v>80</v>
      </c>
      <c r="G167">
        <v>1392</v>
      </c>
      <c r="H167">
        <v>1</v>
      </c>
      <c r="I167" t="s">
        <v>81</v>
      </c>
      <c r="J167">
        <v>0</v>
      </c>
      <c r="K167">
        <v>2</v>
      </c>
      <c r="L167">
        <v>2</v>
      </c>
      <c r="AX167">
        <v>537</v>
      </c>
      <c r="AZ167" t="s">
        <v>156</v>
      </c>
      <c r="BA167">
        <v>0</v>
      </c>
      <c r="BC167" t="s">
        <v>418</v>
      </c>
      <c r="BD167" s="4">
        <v>43283.822222222225</v>
      </c>
      <c r="BE167" s="4">
        <v>43283.828460648147</v>
      </c>
      <c r="BF167" s="4">
        <v>43283.828460648147</v>
      </c>
      <c r="BG167" t="s">
        <v>83</v>
      </c>
      <c r="BH167" t="s">
        <v>84</v>
      </c>
      <c r="BI167" t="s">
        <v>85</v>
      </c>
    </row>
    <row r="168" spans="1:61" x14ac:dyDescent="0.3">
      <c r="A168" t="str">
        <f>"201392C0100"</f>
        <v>201392C0100</v>
      </c>
      <c r="B168" t="s">
        <v>419</v>
      </c>
      <c r="C168">
        <v>20</v>
      </c>
      <c r="D168" t="s">
        <v>79</v>
      </c>
      <c r="E168">
        <v>1</v>
      </c>
      <c r="F168" t="s">
        <v>80</v>
      </c>
      <c r="G168">
        <v>1392</v>
      </c>
      <c r="H168">
        <v>1</v>
      </c>
      <c r="I168" t="s">
        <v>89</v>
      </c>
      <c r="J168">
        <v>0</v>
      </c>
      <c r="K168">
        <v>2</v>
      </c>
      <c r="L168">
        <v>2</v>
      </c>
      <c r="M168">
        <v>123</v>
      </c>
      <c r="N168">
        <v>432</v>
      </c>
      <c r="O168">
        <v>0</v>
      </c>
      <c r="P168">
        <v>432</v>
      </c>
      <c r="Q168">
        <v>30</v>
      </c>
      <c r="R168">
        <v>226</v>
      </c>
      <c r="S168">
        <v>56</v>
      </c>
      <c r="T168">
        <v>2</v>
      </c>
      <c r="U168">
        <v>10</v>
      </c>
      <c r="V168">
        <v>6</v>
      </c>
      <c r="W168">
        <v>0</v>
      </c>
      <c r="X168">
        <v>4</v>
      </c>
      <c r="Y168">
        <v>83</v>
      </c>
      <c r="AA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4</v>
      </c>
      <c r="AI168">
        <v>0</v>
      </c>
      <c r="AJ168">
        <v>0</v>
      </c>
      <c r="AT168">
        <v>0</v>
      </c>
      <c r="AU168">
        <v>11</v>
      </c>
      <c r="AV168">
        <v>432</v>
      </c>
      <c r="AW168">
        <v>432</v>
      </c>
      <c r="AX168">
        <v>536</v>
      </c>
      <c r="BA168">
        <v>1</v>
      </c>
      <c r="BC168" t="s">
        <v>420</v>
      </c>
      <c r="BD168" s="4">
        <v>43283.626967592594</v>
      </c>
      <c r="BE168" s="4">
        <v>43283.631354166668</v>
      </c>
      <c r="BF168" s="4">
        <v>43283.631354166668</v>
      </c>
      <c r="BG168" t="s">
        <v>83</v>
      </c>
      <c r="BH168" t="s">
        <v>84</v>
      </c>
      <c r="BI168" t="s">
        <v>85</v>
      </c>
    </row>
    <row r="169" spans="1:61" x14ac:dyDescent="0.3">
      <c r="A169" t="str">
        <f>"201392C0200"</f>
        <v>201392C0200</v>
      </c>
      <c r="B169" t="s">
        <v>421</v>
      </c>
      <c r="C169">
        <v>20</v>
      </c>
      <c r="D169" t="s">
        <v>79</v>
      </c>
      <c r="E169">
        <v>1</v>
      </c>
      <c r="F169" t="s">
        <v>80</v>
      </c>
      <c r="G169">
        <v>1392</v>
      </c>
      <c r="H169">
        <v>2</v>
      </c>
      <c r="I169" t="s">
        <v>89</v>
      </c>
      <c r="J169">
        <v>0</v>
      </c>
      <c r="K169">
        <v>2</v>
      </c>
      <c r="L169">
        <v>2</v>
      </c>
      <c r="M169">
        <v>128</v>
      </c>
      <c r="N169">
        <v>428</v>
      </c>
      <c r="O169" t="s">
        <v>100</v>
      </c>
      <c r="P169" t="s">
        <v>100</v>
      </c>
      <c r="Q169">
        <v>23</v>
      </c>
      <c r="R169">
        <v>273</v>
      </c>
      <c r="S169">
        <v>35</v>
      </c>
      <c r="T169">
        <v>3</v>
      </c>
      <c r="U169">
        <v>14</v>
      </c>
      <c r="V169">
        <v>7</v>
      </c>
      <c r="W169">
        <v>1</v>
      </c>
      <c r="X169">
        <v>3</v>
      </c>
      <c r="Y169">
        <v>57</v>
      </c>
      <c r="AA169">
        <v>0</v>
      </c>
      <c r="AC169">
        <v>0</v>
      </c>
      <c r="AD169">
        <v>0</v>
      </c>
      <c r="AE169">
        <v>0</v>
      </c>
      <c r="AF169">
        <v>0</v>
      </c>
      <c r="AG169">
        <v>2</v>
      </c>
      <c r="AH169">
        <v>1</v>
      </c>
      <c r="AI169">
        <v>0</v>
      </c>
      <c r="AJ169">
        <v>0</v>
      </c>
      <c r="AT169">
        <v>0</v>
      </c>
      <c r="AU169">
        <v>9</v>
      </c>
      <c r="AV169">
        <v>428</v>
      </c>
      <c r="AW169">
        <v>428</v>
      </c>
      <c r="AX169">
        <v>536</v>
      </c>
      <c r="BA169">
        <v>1</v>
      </c>
      <c r="BC169" t="s">
        <v>422</v>
      </c>
      <c r="BD169" s="4">
        <v>43283.40892361111</v>
      </c>
      <c r="BE169" s="4">
        <v>43283.412916666668</v>
      </c>
      <c r="BF169" s="4">
        <v>43283.412916666668</v>
      </c>
      <c r="BG169" t="s">
        <v>373</v>
      </c>
      <c r="BH169" t="s">
        <v>374</v>
      </c>
      <c r="BI169" t="s">
        <v>85</v>
      </c>
    </row>
    <row r="170" spans="1:61" x14ac:dyDescent="0.3">
      <c r="A170" t="str">
        <f>"201393B0100"</f>
        <v>201393B0100</v>
      </c>
      <c r="B170" t="s">
        <v>423</v>
      </c>
      <c r="C170">
        <v>20</v>
      </c>
      <c r="D170" t="s">
        <v>79</v>
      </c>
      <c r="E170">
        <v>1</v>
      </c>
      <c r="F170" t="s">
        <v>80</v>
      </c>
      <c r="G170">
        <v>1393</v>
      </c>
      <c r="H170">
        <v>1</v>
      </c>
      <c r="I170" t="s">
        <v>81</v>
      </c>
      <c r="J170">
        <v>0</v>
      </c>
      <c r="K170">
        <v>2</v>
      </c>
      <c r="L170">
        <v>2</v>
      </c>
      <c r="M170">
        <v>116</v>
      </c>
      <c r="N170" t="s">
        <v>100</v>
      </c>
      <c r="O170" t="s">
        <v>100</v>
      </c>
      <c r="P170" t="s">
        <v>100</v>
      </c>
      <c r="Q170">
        <v>3</v>
      </c>
      <c r="R170">
        <v>231</v>
      </c>
      <c r="S170">
        <v>48</v>
      </c>
      <c r="T170">
        <v>6</v>
      </c>
      <c r="U170">
        <v>41</v>
      </c>
      <c r="V170">
        <v>9</v>
      </c>
      <c r="W170">
        <v>9</v>
      </c>
      <c r="X170">
        <v>4</v>
      </c>
      <c r="Y170">
        <v>168</v>
      </c>
      <c r="AA170">
        <v>2</v>
      </c>
      <c r="AC170" t="s">
        <v>100</v>
      </c>
      <c r="AD170" t="s">
        <v>100</v>
      </c>
      <c r="AE170" t="s">
        <v>100</v>
      </c>
      <c r="AF170" t="s">
        <v>100</v>
      </c>
      <c r="AG170" t="s">
        <v>100</v>
      </c>
      <c r="AH170" t="s">
        <v>100</v>
      </c>
      <c r="AI170">
        <v>1</v>
      </c>
      <c r="AJ170" t="s">
        <v>100</v>
      </c>
      <c r="AT170" t="s">
        <v>100</v>
      </c>
      <c r="AU170">
        <v>6</v>
      </c>
      <c r="AV170" t="s">
        <v>100</v>
      </c>
      <c r="AW170">
        <v>528</v>
      </c>
      <c r="AX170">
        <v>625</v>
      </c>
      <c r="AZ170" t="s">
        <v>101</v>
      </c>
      <c r="BA170">
        <v>1</v>
      </c>
      <c r="BC170" t="s">
        <v>424</v>
      </c>
      <c r="BD170" s="4">
        <v>43283.614178240743</v>
      </c>
      <c r="BE170" s="4">
        <v>43283.618113425924</v>
      </c>
      <c r="BF170" s="4">
        <v>43283.618113425924</v>
      </c>
      <c r="BG170" t="s">
        <v>83</v>
      </c>
      <c r="BH170" t="s">
        <v>84</v>
      </c>
      <c r="BI170" t="s">
        <v>85</v>
      </c>
    </row>
    <row r="171" spans="1:61" x14ac:dyDescent="0.3">
      <c r="A171" t="str">
        <f>"201393C0100"</f>
        <v>201393C0100</v>
      </c>
      <c r="B171" t="s">
        <v>425</v>
      </c>
      <c r="C171">
        <v>20</v>
      </c>
      <c r="D171" t="s">
        <v>79</v>
      </c>
      <c r="E171">
        <v>1</v>
      </c>
      <c r="F171" t="s">
        <v>80</v>
      </c>
      <c r="G171">
        <v>1393</v>
      </c>
      <c r="H171">
        <v>1</v>
      </c>
      <c r="I171" t="s">
        <v>89</v>
      </c>
      <c r="J171">
        <v>0</v>
      </c>
      <c r="K171">
        <v>2</v>
      </c>
      <c r="L171">
        <v>2</v>
      </c>
      <c r="M171">
        <v>131</v>
      </c>
      <c r="N171">
        <v>515</v>
      </c>
      <c r="O171">
        <v>0</v>
      </c>
      <c r="P171">
        <v>515</v>
      </c>
      <c r="Q171">
        <v>11</v>
      </c>
      <c r="R171">
        <v>210</v>
      </c>
      <c r="S171">
        <v>52</v>
      </c>
      <c r="T171">
        <v>21</v>
      </c>
      <c r="U171">
        <v>44</v>
      </c>
      <c r="V171">
        <v>7</v>
      </c>
      <c r="W171">
        <v>4</v>
      </c>
      <c r="X171">
        <v>2</v>
      </c>
      <c r="Y171">
        <v>157</v>
      </c>
      <c r="AA171">
        <v>1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2</v>
      </c>
      <c r="AI171">
        <v>0</v>
      </c>
      <c r="AJ171">
        <v>0</v>
      </c>
      <c r="AT171">
        <v>0</v>
      </c>
      <c r="AU171">
        <v>4</v>
      </c>
      <c r="AV171">
        <v>515</v>
      </c>
      <c r="AW171">
        <v>515</v>
      </c>
      <c r="AX171">
        <v>625</v>
      </c>
      <c r="BA171">
        <v>1</v>
      </c>
      <c r="BC171" t="s">
        <v>426</v>
      </c>
      <c r="BD171" s="4">
        <v>43283.614363425928</v>
      </c>
      <c r="BE171" s="4">
        <v>43283.618680555555</v>
      </c>
      <c r="BF171" s="4">
        <v>43283.618680555555</v>
      </c>
      <c r="BG171" t="s">
        <v>83</v>
      </c>
      <c r="BH171" t="s">
        <v>84</v>
      </c>
      <c r="BI171" t="s">
        <v>85</v>
      </c>
    </row>
    <row r="172" spans="1:61" x14ac:dyDescent="0.3">
      <c r="A172" t="str">
        <f>"201394B0100"</f>
        <v>201394B0100</v>
      </c>
      <c r="B172" t="s">
        <v>427</v>
      </c>
      <c r="C172">
        <v>20</v>
      </c>
      <c r="D172" t="s">
        <v>79</v>
      </c>
      <c r="E172">
        <v>1</v>
      </c>
      <c r="F172" t="s">
        <v>80</v>
      </c>
      <c r="G172">
        <v>1394</v>
      </c>
      <c r="H172">
        <v>1</v>
      </c>
      <c r="I172" t="s">
        <v>81</v>
      </c>
      <c r="J172">
        <v>0</v>
      </c>
      <c r="K172">
        <v>2</v>
      </c>
      <c r="L172">
        <v>2</v>
      </c>
      <c r="M172">
        <v>140</v>
      </c>
      <c r="N172">
        <v>594</v>
      </c>
      <c r="O172">
        <v>0</v>
      </c>
      <c r="P172">
        <v>594</v>
      </c>
      <c r="Q172">
        <v>28</v>
      </c>
      <c r="R172">
        <v>344</v>
      </c>
      <c r="S172">
        <v>72</v>
      </c>
      <c r="T172">
        <v>29</v>
      </c>
      <c r="U172">
        <v>11</v>
      </c>
      <c r="V172">
        <v>2</v>
      </c>
      <c r="W172">
        <v>1</v>
      </c>
      <c r="X172">
        <v>2</v>
      </c>
      <c r="Y172">
        <v>90</v>
      </c>
      <c r="AA172">
        <v>1</v>
      </c>
      <c r="AC172">
        <v>0</v>
      </c>
      <c r="AD172">
        <v>1</v>
      </c>
      <c r="AE172">
        <v>0</v>
      </c>
      <c r="AF172">
        <v>0</v>
      </c>
      <c r="AG172">
        <v>2</v>
      </c>
      <c r="AH172">
        <v>2</v>
      </c>
      <c r="AI172">
        <v>0</v>
      </c>
      <c r="AJ172">
        <v>0</v>
      </c>
      <c r="AT172">
        <v>0</v>
      </c>
      <c r="AU172">
        <v>9</v>
      </c>
      <c r="AV172">
        <v>594</v>
      </c>
      <c r="AW172">
        <v>594</v>
      </c>
      <c r="AX172">
        <v>712</v>
      </c>
      <c r="BA172">
        <v>1</v>
      </c>
      <c r="BC172" t="s">
        <v>428</v>
      </c>
      <c r="BD172" s="4">
        <v>43283.614374999997</v>
      </c>
      <c r="BE172" s="4">
        <v>43283.618611111109</v>
      </c>
      <c r="BF172" s="4">
        <v>43283.618611111109</v>
      </c>
      <c r="BG172" t="s">
        <v>83</v>
      </c>
      <c r="BH172" t="s">
        <v>84</v>
      </c>
      <c r="BI172" t="s">
        <v>85</v>
      </c>
    </row>
    <row r="173" spans="1:61" x14ac:dyDescent="0.3">
      <c r="A173" t="str">
        <f>"201395B0100"</f>
        <v>201395B0100</v>
      </c>
      <c r="B173" t="s">
        <v>429</v>
      </c>
      <c r="C173">
        <v>20</v>
      </c>
      <c r="D173" t="s">
        <v>79</v>
      </c>
      <c r="E173">
        <v>1</v>
      </c>
      <c r="F173" t="s">
        <v>80</v>
      </c>
      <c r="G173">
        <v>1395</v>
      </c>
      <c r="H173">
        <v>1</v>
      </c>
      <c r="I173" t="s">
        <v>81</v>
      </c>
      <c r="J173">
        <v>0</v>
      </c>
      <c r="K173">
        <v>2</v>
      </c>
      <c r="L173">
        <v>2</v>
      </c>
      <c r="AX173">
        <v>603</v>
      </c>
      <c r="AZ173" t="s">
        <v>156</v>
      </c>
      <c r="BA173">
        <v>0</v>
      </c>
      <c r="BC173" t="s">
        <v>430</v>
      </c>
      <c r="BD173" s="4">
        <v>43283.823611111111</v>
      </c>
      <c r="BE173" s="4">
        <v>43283.828553240739</v>
      </c>
      <c r="BF173" s="4">
        <v>43283.828553240739</v>
      </c>
      <c r="BG173" t="s">
        <v>83</v>
      </c>
      <c r="BH173" t="s">
        <v>84</v>
      </c>
      <c r="BI173" t="s">
        <v>85</v>
      </c>
    </row>
    <row r="174" spans="1:61" x14ac:dyDescent="0.3">
      <c r="A174" t="str">
        <f>"201395E0100"</f>
        <v>201395E0100</v>
      </c>
      <c r="B174" s="2" t="s">
        <v>431</v>
      </c>
      <c r="C174">
        <v>20</v>
      </c>
      <c r="D174" t="s">
        <v>79</v>
      </c>
      <c r="E174">
        <v>1</v>
      </c>
      <c r="F174" t="s">
        <v>80</v>
      </c>
      <c r="G174">
        <v>1395</v>
      </c>
      <c r="H174">
        <v>1</v>
      </c>
      <c r="I174" t="s">
        <v>145</v>
      </c>
      <c r="J174">
        <v>0</v>
      </c>
      <c r="K174">
        <v>2</v>
      </c>
      <c r="L174">
        <v>2</v>
      </c>
      <c r="M174">
        <v>106</v>
      </c>
      <c r="N174">
        <v>530</v>
      </c>
      <c r="O174">
        <v>1</v>
      </c>
      <c r="P174">
        <v>530</v>
      </c>
      <c r="Q174">
        <v>19</v>
      </c>
      <c r="R174">
        <v>190</v>
      </c>
      <c r="S174">
        <v>70</v>
      </c>
      <c r="T174">
        <v>11</v>
      </c>
      <c r="U174">
        <v>10</v>
      </c>
      <c r="V174">
        <v>16</v>
      </c>
      <c r="W174">
        <v>4</v>
      </c>
      <c r="X174">
        <v>3</v>
      </c>
      <c r="Y174">
        <v>93</v>
      </c>
      <c r="AA174">
        <v>0</v>
      </c>
      <c r="AC174">
        <v>0</v>
      </c>
      <c r="AD174">
        <v>0</v>
      </c>
      <c r="AE174">
        <v>0</v>
      </c>
      <c r="AF174">
        <v>0</v>
      </c>
      <c r="AG174">
        <v>1</v>
      </c>
      <c r="AH174">
        <v>2</v>
      </c>
      <c r="AI174">
        <v>0</v>
      </c>
      <c r="AJ174" t="s">
        <v>100</v>
      </c>
      <c r="AT174" t="s">
        <v>100</v>
      </c>
      <c r="AU174">
        <v>11</v>
      </c>
      <c r="AV174">
        <v>530</v>
      </c>
      <c r="AW174">
        <v>430</v>
      </c>
      <c r="AX174">
        <v>614</v>
      </c>
      <c r="AZ174" t="s">
        <v>101</v>
      </c>
      <c r="BA174">
        <v>1</v>
      </c>
      <c r="BC174" t="s">
        <v>432</v>
      </c>
      <c r="BD174" s="4">
        <v>43283.610729166663</v>
      </c>
      <c r="BE174" s="4">
        <v>43283.613981481481</v>
      </c>
      <c r="BF174" s="4">
        <v>43283.613981481481</v>
      </c>
      <c r="BG174" t="s">
        <v>83</v>
      </c>
      <c r="BH174" t="s">
        <v>84</v>
      </c>
      <c r="BI174" t="s">
        <v>85</v>
      </c>
    </row>
    <row r="175" spans="1:61" x14ac:dyDescent="0.3">
      <c r="A175" t="str">
        <f>"201473B0100"</f>
        <v>201473B0100</v>
      </c>
      <c r="B175" t="s">
        <v>433</v>
      </c>
      <c r="C175">
        <v>20</v>
      </c>
      <c r="D175" t="s">
        <v>79</v>
      </c>
      <c r="E175">
        <v>1</v>
      </c>
      <c r="F175" t="s">
        <v>80</v>
      </c>
      <c r="G175">
        <v>1473</v>
      </c>
      <c r="H175">
        <v>1</v>
      </c>
      <c r="I175" t="s">
        <v>81</v>
      </c>
      <c r="J175">
        <v>0</v>
      </c>
      <c r="K175">
        <v>1</v>
      </c>
      <c r="L175">
        <v>2</v>
      </c>
      <c r="M175">
        <v>137</v>
      </c>
      <c r="N175">
        <v>605</v>
      </c>
      <c r="O175">
        <v>0</v>
      </c>
      <c r="P175">
        <v>605</v>
      </c>
      <c r="Q175">
        <v>10</v>
      </c>
      <c r="R175">
        <v>213</v>
      </c>
      <c r="S175">
        <v>7</v>
      </c>
      <c r="T175">
        <v>0</v>
      </c>
      <c r="U175">
        <v>3</v>
      </c>
      <c r="V175">
        <v>8</v>
      </c>
      <c r="W175">
        <v>1</v>
      </c>
      <c r="X175">
        <v>6</v>
      </c>
      <c r="Y175">
        <v>355</v>
      </c>
      <c r="AA175">
        <v>4</v>
      </c>
      <c r="AC175">
        <v>0</v>
      </c>
      <c r="AD175">
        <v>0</v>
      </c>
      <c r="AE175">
        <v>0</v>
      </c>
      <c r="AF175">
        <v>0</v>
      </c>
      <c r="AG175">
        <v>3</v>
      </c>
      <c r="AH175">
        <v>1</v>
      </c>
      <c r="AI175">
        <v>0</v>
      </c>
      <c r="AJ175">
        <v>0</v>
      </c>
      <c r="AT175">
        <v>0</v>
      </c>
      <c r="AU175">
        <v>4</v>
      </c>
      <c r="AV175">
        <v>615</v>
      </c>
      <c r="AW175">
        <v>615</v>
      </c>
      <c r="AX175">
        <v>730</v>
      </c>
      <c r="BA175">
        <v>1</v>
      </c>
      <c r="BC175" t="s">
        <v>434</v>
      </c>
      <c r="BD175" s="4">
        <v>43283.525902777779</v>
      </c>
      <c r="BE175" s="4">
        <v>43283.531215277777</v>
      </c>
      <c r="BF175" s="4">
        <v>43283.531215277777</v>
      </c>
      <c r="BG175" t="s">
        <v>83</v>
      </c>
      <c r="BH175" t="s">
        <v>84</v>
      </c>
      <c r="BI175" t="s">
        <v>85</v>
      </c>
    </row>
    <row r="176" spans="1:61" x14ac:dyDescent="0.3">
      <c r="A176" t="str">
        <f>"201473C0100"</f>
        <v>201473C0100</v>
      </c>
      <c r="B176" t="s">
        <v>435</v>
      </c>
      <c r="C176">
        <v>20</v>
      </c>
      <c r="D176" t="s">
        <v>79</v>
      </c>
      <c r="E176">
        <v>1</v>
      </c>
      <c r="F176" t="s">
        <v>80</v>
      </c>
      <c r="G176">
        <v>1473</v>
      </c>
      <c r="H176">
        <v>1</v>
      </c>
      <c r="I176" t="s">
        <v>89</v>
      </c>
      <c r="J176">
        <v>0</v>
      </c>
      <c r="K176">
        <v>1</v>
      </c>
      <c r="L176">
        <v>2</v>
      </c>
      <c r="M176">
        <v>125</v>
      </c>
      <c r="N176">
        <v>626</v>
      </c>
      <c r="O176">
        <v>0</v>
      </c>
      <c r="P176">
        <v>626</v>
      </c>
      <c r="Q176">
        <v>8</v>
      </c>
      <c r="R176">
        <v>166</v>
      </c>
      <c r="S176">
        <v>3</v>
      </c>
      <c r="T176">
        <v>4</v>
      </c>
      <c r="U176">
        <v>1</v>
      </c>
      <c r="V176">
        <v>10</v>
      </c>
      <c r="W176">
        <v>1</v>
      </c>
      <c r="X176">
        <v>9</v>
      </c>
      <c r="Y176">
        <v>400</v>
      </c>
      <c r="AA176">
        <v>4</v>
      </c>
      <c r="AC176">
        <v>0</v>
      </c>
      <c r="AD176">
        <v>0</v>
      </c>
      <c r="AE176">
        <v>0</v>
      </c>
      <c r="AF176">
        <v>0</v>
      </c>
      <c r="AG176">
        <v>7</v>
      </c>
      <c r="AH176">
        <v>2</v>
      </c>
      <c r="AI176">
        <v>0</v>
      </c>
      <c r="AJ176">
        <v>0</v>
      </c>
      <c r="AT176">
        <v>0</v>
      </c>
      <c r="AU176">
        <v>10</v>
      </c>
      <c r="AV176">
        <v>625</v>
      </c>
      <c r="AW176">
        <v>625</v>
      </c>
      <c r="AX176">
        <v>730</v>
      </c>
      <c r="BA176">
        <v>1</v>
      </c>
      <c r="BC176" t="s">
        <v>436</v>
      </c>
      <c r="BD176" s="4">
        <v>43283.522118055553</v>
      </c>
      <c r="BE176" s="4">
        <v>43283.531851851854</v>
      </c>
      <c r="BF176" s="4">
        <v>43283.531851851854</v>
      </c>
      <c r="BG176" t="s">
        <v>83</v>
      </c>
      <c r="BH176" t="s">
        <v>84</v>
      </c>
      <c r="BI176" t="s">
        <v>85</v>
      </c>
    </row>
    <row r="177" spans="1:61" x14ac:dyDescent="0.3">
      <c r="A177" t="str">
        <f>"201474B0100"</f>
        <v>201474B0100</v>
      </c>
      <c r="B177" t="s">
        <v>437</v>
      </c>
      <c r="C177">
        <v>20</v>
      </c>
      <c r="D177" t="s">
        <v>79</v>
      </c>
      <c r="E177">
        <v>1</v>
      </c>
      <c r="F177" t="s">
        <v>80</v>
      </c>
      <c r="G177">
        <v>1474</v>
      </c>
      <c r="H177">
        <v>1</v>
      </c>
      <c r="I177" t="s">
        <v>81</v>
      </c>
      <c r="J177">
        <v>0</v>
      </c>
      <c r="K177">
        <v>2</v>
      </c>
      <c r="L177">
        <v>2</v>
      </c>
      <c r="M177">
        <v>111</v>
      </c>
      <c r="N177">
        <v>466</v>
      </c>
      <c r="O177">
        <v>2</v>
      </c>
      <c r="P177">
        <v>466</v>
      </c>
      <c r="Q177">
        <v>4</v>
      </c>
      <c r="R177">
        <v>157</v>
      </c>
      <c r="S177">
        <v>2</v>
      </c>
      <c r="T177">
        <v>2</v>
      </c>
      <c r="U177">
        <v>3</v>
      </c>
      <c r="V177">
        <v>8</v>
      </c>
      <c r="W177">
        <v>2</v>
      </c>
      <c r="X177">
        <v>7</v>
      </c>
      <c r="Y177">
        <v>259</v>
      </c>
      <c r="AA177">
        <v>4</v>
      </c>
      <c r="AC177">
        <v>0</v>
      </c>
      <c r="AD177">
        <v>0</v>
      </c>
      <c r="AE177">
        <v>1</v>
      </c>
      <c r="AF177">
        <v>0</v>
      </c>
      <c r="AG177">
        <v>3</v>
      </c>
      <c r="AH177">
        <v>2</v>
      </c>
      <c r="AI177">
        <v>0</v>
      </c>
      <c r="AJ177">
        <v>0</v>
      </c>
      <c r="AT177">
        <v>0</v>
      </c>
      <c r="AU177">
        <v>12</v>
      </c>
      <c r="AV177">
        <v>466</v>
      </c>
      <c r="AW177">
        <v>466</v>
      </c>
      <c r="AX177">
        <v>555</v>
      </c>
      <c r="BA177">
        <v>1</v>
      </c>
      <c r="BC177" t="s">
        <v>438</v>
      </c>
      <c r="BD177" s="4">
        <v>43283.524421296293</v>
      </c>
      <c r="BE177" s="4">
        <v>43283.529548611114</v>
      </c>
      <c r="BF177" s="4">
        <v>43283.529548611114</v>
      </c>
      <c r="BG177" t="s">
        <v>83</v>
      </c>
      <c r="BH177" t="s">
        <v>84</v>
      </c>
      <c r="BI177" t="s">
        <v>85</v>
      </c>
    </row>
    <row r="178" spans="1:61" x14ac:dyDescent="0.3">
      <c r="A178" t="str">
        <f>"201474C0100"</f>
        <v>201474C0100</v>
      </c>
      <c r="B178" t="s">
        <v>439</v>
      </c>
      <c r="C178">
        <v>20</v>
      </c>
      <c r="D178" t="s">
        <v>79</v>
      </c>
      <c r="E178">
        <v>1</v>
      </c>
      <c r="F178" t="s">
        <v>80</v>
      </c>
      <c r="G178">
        <v>1474</v>
      </c>
      <c r="H178">
        <v>1</v>
      </c>
      <c r="I178" t="s">
        <v>89</v>
      </c>
      <c r="J178">
        <v>0</v>
      </c>
      <c r="K178">
        <v>2</v>
      </c>
      <c r="L178">
        <v>2</v>
      </c>
      <c r="M178">
        <v>95</v>
      </c>
      <c r="N178">
        <v>481</v>
      </c>
      <c r="O178">
        <v>0</v>
      </c>
      <c r="P178">
        <v>481</v>
      </c>
      <c r="Q178">
        <v>16</v>
      </c>
      <c r="R178">
        <v>143</v>
      </c>
      <c r="S178">
        <v>2</v>
      </c>
      <c r="T178">
        <v>4</v>
      </c>
      <c r="U178">
        <v>7</v>
      </c>
      <c r="V178">
        <v>11</v>
      </c>
      <c r="W178">
        <v>3</v>
      </c>
      <c r="X178">
        <v>4</v>
      </c>
      <c r="Y178">
        <v>273</v>
      </c>
      <c r="AA178">
        <v>2</v>
      </c>
      <c r="AC178">
        <v>0</v>
      </c>
      <c r="AD178">
        <v>0</v>
      </c>
      <c r="AE178">
        <v>0</v>
      </c>
      <c r="AF178">
        <v>0</v>
      </c>
      <c r="AG178">
        <v>7</v>
      </c>
      <c r="AH178">
        <v>3</v>
      </c>
      <c r="AI178">
        <v>0</v>
      </c>
      <c r="AJ178">
        <v>0</v>
      </c>
      <c r="AT178">
        <v>0</v>
      </c>
      <c r="AU178">
        <v>6</v>
      </c>
      <c r="AV178">
        <v>481</v>
      </c>
      <c r="AW178">
        <v>481</v>
      </c>
      <c r="AX178">
        <v>555</v>
      </c>
      <c r="BA178">
        <v>1</v>
      </c>
      <c r="BC178" t="s">
        <v>440</v>
      </c>
      <c r="BD178" s="4">
        <v>43283.523553240739</v>
      </c>
      <c r="BE178" s="4">
        <v>43283.528055555558</v>
      </c>
      <c r="BF178" s="4">
        <v>43283.528055555558</v>
      </c>
      <c r="BG178" t="s">
        <v>83</v>
      </c>
      <c r="BH178" t="s">
        <v>84</v>
      </c>
      <c r="BI178" t="s">
        <v>85</v>
      </c>
    </row>
    <row r="179" spans="1:61" x14ac:dyDescent="0.3">
      <c r="A179" t="str">
        <f>"201474C0200"</f>
        <v>201474C0200</v>
      </c>
      <c r="B179" t="s">
        <v>441</v>
      </c>
      <c r="C179">
        <v>20</v>
      </c>
      <c r="D179" t="s">
        <v>79</v>
      </c>
      <c r="E179">
        <v>1</v>
      </c>
      <c r="F179" t="s">
        <v>80</v>
      </c>
      <c r="G179">
        <v>1474</v>
      </c>
      <c r="H179">
        <v>2</v>
      </c>
      <c r="I179" t="s">
        <v>89</v>
      </c>
      <c r="J179">
        <v>0</v>
      </c>
      <c r="K179">
        <v>2</v>
      </c>
      <c r="L179">
        <v>2</v>
      </c>
      <c r="AX179">
        <v>554</v>
      </c>
      <c r="AZ179" t="s">
        <v>156</v>
      </c>
      <c r="BA179">
        <v>0</v>
      </c>
      <c r="BC179" t="s">
        <v>442</v>
      </c>
      <c r="BD179" s="4">
        <v>43283.824305555558</v>
      </c>
      <c r="BE179" s="4">
        <v>43283.828449074077</v>
      </c>
      <c r="BF179" s="4">
        <v>43283.828449074077</v>
      </c>
      <c r="BG179" t="s">
        <v>83</v>
      </c>
      <c r="BH179" t="s">
        <v>84</v>
      </c>
      <c r="BI179" t="s">
        <v>85</v>
      </c>
    </row>
    <row r="180" spans="1:61" x14ac:dyDescent="0.3">
      <c r="A180" t="str">
        <f>"201475B0100"</f>
        <v>201475B0100</v>
      </c>
      <c r="B180" t="s">
        <v>443</v>
      </c>
      <c r="C180">
        <v>20</v>
      </c>
      <c r="D180" t="s">
        <v>79</v>
      </c>
      <c r="E180">
        <v>1</v>
      </c>
      <c r="F180" t="s">
        <v>80</v>
      </c>
      <c r="G180">
        <v>1475</v>
      </c>
      <c r="H180">
        <v>1</v>
      </c>
      <c r="I180" t="s">
        <v>81</v>
      </c>
      <c r="J180">
        <v>0</v>
      </c>
      <c r="K180">
        <v>2</v>
      </c>
      <c r="L180">
        <v>2</v>
      </c>
      <c r="AX180">
        <v>405</v>
      </c>
      <c r="AZ180" t="s">
        <v>156</v>
      </c>
      <c r="BA180">
        <v>0</v>
      </c>
      <c r="BC180" t="s">
        <v>444</v>
      </c>
      <c r="BD180" s="4">
        <v>43283.827777777777</v>
      </c>
      <c r="BE180" s="4">
        <v>43283.828599537039</v>
      </c>
      <c r="BF180" s="4">
        <v>43283.828599537039</v>
      </c>
      <c r="BG180" t="s">
        <v>83</v>
      </c>
      <c r="BH180" t="s">
        <v>84</v>
      </c>
      <c r="BI180" t="s">
        <v>85</v>
      </c>
    </row>
    <row r="181" spans="1:61" x14ac:dyDescent="0.3">
      <c r="A181" t="str">
        <f>"201476B0100"</f>
        <v>201476B0100</v>
      </c>
      <c r="B181" t="s">
        <v>445</v>
      </c>
      <c r="C181">
        <v>20</v>
      </c>
      <c r="D181" t="s">
        <v>79</v>
      </c>
      <c r="E181">
        <v>1</v>
      </c>
      <c r="F181" t="s">
        <v>80</v>
      </c>
      <c r="G181">
        <v>1476</v>
      </c>
      <c r="H181">
        <v>1</v>
      </c>
      <c r="I181" t="s">
        <v>81</v>
      </c>
      <c r="J181">
        <v>0</v>
      </c>
      <c r="K181">
        <v>2</v>
      </c>
      <c r="L181">
        <v>2</v>
      </c>
      <c r="M181">
        <v>90</v>
      </c>
      <c r="N181">
        <v>394</v>
      </c>
      <c r="O181">
        <v>0</v>
      </c>
      <c r="P181">
        <v>394</v>
      </c>
      <c r="Q181">
        <v>2</v>
      </c>
      <c r="R181">
        <v>177</v>
      </c>
      <c r="S181">
        <v>4</v>
      </c>
      <c r="T181">
        <v>2</v>
      </c>
      <c r="U181">
        <v>9</v>
      </c>
      <c r="V181">
        <v>8</v>
      </c>
      <c r="W181" t="s">
        <v>100</v>
      </c>
      <c r="X181">
        <v>1</v>
      </c>
      <c r="Y181">
        <v>179</v>
      </c>
      <c r="AA181">
        <v>3</v>
      </c>
      <c r="AC181" t="s">
        <v>100</v>
      </c>
      <c r="AD181" t="s">
        <v>100</v>
      </c>
      <c r="AE181" t="s">
        <v>100</v>
      </c>
      <c r="AF181" t="s">
        <v>100</v>
      </c>
      <c r="AG181" t="s">
        <v>100</v>
      </c>
      <c r="AH181" t="s">
        <v>100</v>
      </c>
      <c r="AI181" t="s">
        <v>100</v>
      </c>
      <c r="AJ181" t="s">
        <v>100</v>
      </c>
      <c r="AT181" t="s">
        <v>100</v>
      </c>
      <c r="AU181">
        <v>9</v>
      </c>
      <c r="AV181">
        <v>394</v>
      </c>
      <c r="AW181">
        <v>394</v>
      </c>
      <c r="AX181">
        <v>462</v>
      </c>
      <c r="AZ181" t="s">
        <v>101</v>
      </c>
      <c r="BA181">
        <v>1</v>
      </c>
      <c r="BC181" t="s">
        <v>446</v>
      </c>
      <c r="BD181" s="4">
        <v>43283.542696759258</v>
      </c>
      <c r="BE181" s="4">
        <v>43283.546678240738</v>
      </c>
      <c r="BF181" s="4">
        <v>43283.546678240738</v>
      </c>
      <c r="BG181" t="s">
        <v>83</v>
      </c>
      <c r="BH181" t="s">
        <v>84</v>
      </c>
      <c r="BI181" t="s">
        <v>85</v>
      </c>
    </row>
    <row r="182" spans="1:61" x14ac:dyDescent="0.3">
      <c r="A182" t="str">
        <f>"201476C0100"</f>
        <v>201476C0100</v>
      </c>
      <c r="B182" t="s">
        <v>447</v>
      </c>
      <c r="C182">
        <v>20</v>
      </c>
      <c r="D182" t="s">
        <v>79</v>
      </c>
      <c r="E182">
        <v>1</v>
      </c>
      <c r="F182" t="s">
        <v>80</v>
      </c>
      <c r="G182">
        <v>1476</v>
      </c>
      <c r="H182">
        <v>1</v>
      </c>
      <c r="I182" t="s">
        <v>89</v>
      </c>
      <c r="J182">
        <v>0</v>
      </c>
      <c r="K182">
        <v>2</v>
      </c>
      <c r="L182">
        <v>2</v>
      </c>
      <c r="M182">
        <v>96</v>
      </c>
      <c r="N182">
        <v>389</v>
      </c>
      <c r="O182">
        <v>2</v>
      </c>
      <c r="P182">
        <v>389</v>
      </c>
      <c r="Q182">
        <v>6</v>
      </c>
      <c r="R182">
        <v>156</v>
      </c>
      <c r="S182">
        <v>1</v>
      </c>
      <c r="T182" t="s">
        <v>100</v>
      </c>
      <c r="U182" t="s">
        <v>100</v>
      </c>
      <c r="V182">
        <v>3</v>
      </c>
      <c r="W182" t="s">
        <v>100</v>
      </c>
      <c r="X182" t="s">
        <v>100</v>
      </c>
      <c r="Y182">
        <v>205</v>
      </c>
      <c r="AA182" t="s">
        <v>100</v>
      </c>
      <c r="AC182" t="s">
        <v>100</v>
      </c>
      <c r="AD182" t="s">
        <v>100</v>
      </c>
      <c r="AE182" t="s">
        <v>100</v>
      </c>
      <c r="AF182" t="s">
        <v>100</v>
      </c>
      <c r="AG182" t="s">
        <v>100</v>
      </c>
      <c r="AH182" t="s">
        <v>100</v>
      </c>
      <c r="AI182" t="s">
        <v>100</v>
      </c>
      <c r="AJ182" t="s">
        <v>100</v>
      </c>
      <c r="AT182" t="s">
        <v>100</v>
      </c>
      <c r="AU182">
        <v>16</v>
      </c>
      <c r="AV182">
        <v>389</v>
      </c>
      <c r="AW182">
        <v>387</v>
      </c>
      <c r="AX182">
        <v>461</v>
      </c>
      <c r="AZ182" t="s">
        <v>101</v>
      </c>
      <c r="BA182">
        <v>1</v>
      </c>
      <c r="BC182" t="s">
        <v>448</v>
      </c>
      <c r="BD182" s="4">
        <v>43283.538935185185</v>
      </c>
      <c r="BE182" s="4">
        <v>43283.546527777777</v>
      </c>
      <c r="BF182" s="4">
        <v>43283.546527777777</v>
      </c>
      <c r="BG182" t="s">
        <v>83</v>
      </c>
      <c r="BH182" t="s">
        <v>84</v>
      </c>
      <c r="BI182" t="s">
        <v>85</v>
      </c>
    </row>
    <row r="183" spans="1:61" x14ac:dyDescent="0.3">
      <c r="A183" t="str">
        <f>"201477B0100"</f>
        <v>201477B0100</v>
      </c>
      <c r="B183" t="s">
        <v>449</v>
      </c>
      <c r="C183">
        <v>20</v>
      </c>
      <c r="D183" t="s">
        <v>79</v>
      </c>
      <c r="E183">
        <v>1</v>
      </c>
      <c r="F183" t="s">
        <v>80</v>
      </c>
      <c r="G183">
        <v>1477</v>
      </c>
      <c r="H183">
        <v>1</v>
      </c>
      <c r="I183" t="s">
        <v>81</v>
      </c>
      <c r="J183">
        <v>0</v>
      </c>
      <c r="K183">
        <v>2</v>
      </c>
      <c r="L183">
        <v>2</v>
      </c>
      <c r="M183">
        <v>60</v>
      </c>
      <c r="N183">
        <v>177</v>
      </c>
      <c r="O183">
        <v>3</v>
      </c>
      <c r="P183">
        <v>177</v>
      </c>
      <c r="Q183">
        <v>2</v>
      </c>
      <c r="R183">
        <v>39</v>
      </c>
      <c r="S183">
        <v>2</v>
      </c>
      <c r="T183">
        <v>1</v>
      </c>
      <c r="U183">
        <v>4</v>
      </c>
      <c r="V183">
        <v>6</v>
      </c>
      <c r="W183">
        <v>0</v>
      </c>
      <c r="X183">
        <v>1</v>
      </c>
      <c r="Y183">
        <v>114</v>
      </c>
      <c r="AA183">
        <v>1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3</v>
      </c>
      <c r="AI183">
        <v>0</v>
      </c>
      <c r="AJ183">
        <v>0</v>
      </c>
      <c r="AT183">
        <v>0</v>
      </c>
      <c r="AU183">
        <v>4</v>
      </c>
      <c r="AV183">
        <v>177</v>
      </c>
      <c r="AW183">
        <v>177</v>
      </c>
      <c r="AX183">
        <v>215</v>
      </c>
      <c r="BA183">
        <v>1</v>
      </c>
      <c r="BC183" t="s">
        <v>450</v>
      </c>
      <c r="BD183" s="4">
        <v>43283.537962962961</v>
      </c>
      <c r="BE183" s="4">
        <v>43283.544942129629</v>
      </c>
      <c r="BF183" s="4">
        <v>43283.544942129629</v>
      </c>
      <c r="BG183" t="s">
        <v>83</v>
      </c>
      <c r="BH183" t="s">
        <v>84</v>
      </c>
      <c r="BI183" t="s">
        <v>85</v>
      </c>
    </row>
    <row r="184" spans="1:61" x14ac:dyDescent="0.3">
      <c r="A184" t="str">
        <f>"201478B0100"</f>
        <v>201478B0100</v>
      </c>
      <c r="B184" t="s">
        <v>451</v>
      </c>
      <c r="C184">
        <v>20</v>
      </c>
      <c r="D184" t="s">
        <v>79</v>
      </c>
      <c r="E184">
        <v>1</v>
      </c>
      <c r="F184" t="s">
        <v>80</v>
      </c>
      <c r="G184">
        <v>1478</v>
      </c>
      <c r="H184">
        <v>1</v>
      </c>
      <c r="I184" t="s">
        <v>81</v>
      </c>
      <c r="J184">
        <v>0</v>
      </c>
      <c r="K184">
        <v>2</v>
      </c>
      <c r="L184">
        <v>2</v>
      </c>
      <c r="M184">
        <v>97</v>
      </c>
      <c r="N184">
        <v>456</v>
      </c>
      <c r="O184">
        <v>0</v>
      </c>
      <c r="P184">
        <v>0</v>
      </c>
      <c r="Q184">
        <v>7</v>
      </c>
      <c r="R184">
        <v>102</v>
      </c>
      <c r="S184">
        <v>4</v>
      </c>
      <c r="T184">
        <v>3</v>
      </c>
      <c r="U184">
        <v>3</v>
      </c>
      <c r="V184">
        <v>10</v>
      </c>
      <c r="W184">
        <v>0</v>
      </c>
      <c r="X184">
        <v>6</v>
      </c>
      <c r="Y184">
        <v>305</v>
      </c>
      <c r="AA184">
        <v>0</v>
      </c>
      <c r="AC184">
        <v>1</v>
      </c>
      <c r="AD184">
        <v>1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T184">
        <v>0</v>
      </c>
      <c r="AU184">
        <v>14</v>
      </c>
      <c r="AV184">
        <v>456</v>
      </c>
      <c r="AW184">
        <v>456</v>
      </c>
      <c r="AX184">
        <v>531</v>
      </c>
      <c r="BA184">
        <v>1</v>
      </c>
      <c r="BC184" t="s">
        <v>452</v>
      </c>
      <c r="BD184" s="4">
        <v>43283.540370370371</v>
      </c>
      <c r="BE184" s="4">
        <v>43283.549988425926</v>
      </c>
      <c r="BF184" s="4">
        <v>43283.549988425926</v>
      </c>
      <c r="BG184" t="s">
        <v>83</v>
      </c>
      <c r="BH184" t="s">
        <v>84</v>
      </c>
      <c r="BI184" t="s">
        <v>85</v>
      </c>
    </row>
    <row r="185" spans="1:61" x14ac:dyDescent="0.3">
      <c r="A185" t="str">
        <f>"201478C0100"</f>
        <v>201478C0100</v>
      </c>
      <c r="B185" t="s">
        <v>453</v>
      </c>
      <c r="C185">
        <v>20</v>
      </c>
      <c r="D185" t="s">
        <v>79</v>
      </c>
      <c r="E185">
        <v>1</v>
      </c>
      <c r="F185" t="s">
        <v>80</v>
      </c>
      <c r="G185">
        <v>1478</v>
      </c>
      <c r="H185">
        <v>1</v>
      </c>
      <c r="I185" t="s">
        <v>89</v>
      </c>
      <c r="J185">
        <v>0</v>
      </c>
      <c r="K185">
        <v>2</v>
      </c>
      <c r="L185">
        <v>2</v>
      </c>
      <c r="M185">
        <v>109</v>
      </c>
      <c r="N185">
        <v>444</v>
      </c>
      <c r="O185">
        <v>0</v>
      </c>
      <c r="P185">
        <v>444</v>
      </c>
      <c r="Q185">
        <v>3</v>
      </c>
      <c r="R185">
        <v>108</v>
      </c>
      <c r="S185">
        <v>1</v>
      </c>
      <c r="T185">
        <v>1</v>
      </c>
      <c r="U185">
        <v>5</v>
      </c>
      <c r="V185">
        <v>5</v>
      </c>
      <c r="W185">
        <v>0</v>
      </c>
      <c r="X185">
        <v>1</v>
      </c>
      <c r="Y185">
        <v>305</v>
      </c>
      <c r="AA185">
        <v>2</v>
      </c>
      <c r="AC185">
        <v>0</v>
      </c>
      <c r="AD185">
        <v>0</v>
      </c>
      <c r="AE185">
        <v>0</v>
      </c>
      <c r="AF185">
        <v>0</v>
      </c>
      <c r="AG185">
        <v>1</v>
      </c>
      <c r="AH185">
        <v>2</v>
      </c>
      <c r="AI185">
        <v>0</v>
      </c>
      <c r="AJ185">
        <v>0</v>
      </c>
      <c r="AT185">
        <v>0</v>
      </c>
      <c r="AU185">
        <v>10</v>
      </c>
      <c r="AV185">
        <v>444</v>
      </c>
      <c r="AW185">
        <v>444</v>
      </c>
      <c r="AX185">
        <v>531</v>
      </c>
      <c r="BA185">
        <v>1</v>
      </c>
      <c r="BC185" t="s">
        <v>454</v>
      </c>
      <c r="BD185" s="4">
        <v>43283.541539351849</v>
      </c>
      <c r="BE185" s="4">
        <v>43283.546122685184</v>
      </c>
      <c r="BF185" s="4">
        <v>43283.546122685184</v>
      </c>
      <c r="BG185" t="s">
        <v>83</v>
      </c>
      <c r="BH185" t="s">
        <v>84</v>
      </c>
      <c r="BI185" t="s">
        <v>85</v>
      </c>
    </row>
    <row r="186" spans="1:61" x14ac:dyDescent="0.3">
      <c r="A186" t="str">
        <f>"201479B0100"</f>
        <v>201479B0100</v>
      </c>
      <c r="B186" t="s">
        <v>455</v>
      </c>
      <c r="C186">
        <v>20</v>
      </c>
      <c r="D186" t="s">
        <v>79</v>
      </c>
      <c r="E186">
        <v>1</v>
      </c>
      <c r="F186" t="s">
        <v>80</v>
      </c>
      <c r="G186">
        <v>1479</v>
      </c>
      <c r="H186">
        <v>1</v>
      </c>
      <c r="I186" t="s">
        <v>81</v>
      </c>
      <c r="J186">
        <v>0</v>
      </c>
      <c r="K186">
        <v>2</v>
      </c>
      <c r="L186">
        <v>2</v>
      </c>
      <c r="M186">
        <v>145</v>
      </c>
      <c r="N186">
        <v>538</v>
      </c>
      <c r="O186">
        <v>1</v>
      </c>
      <c r="P186">
        <v>538</v>
      </c>
      <c r="Q186">
        <v>4</v>
      </c>
      <c r="R186">
        <v>166</v>
      </c>
      <c r="S186">
        <v>3</v>
      </c>
      <c r="T186">
        <v>5</v>
      </c>
      <c r="U186">
        <v>6</v>
      </c>
      <c r="V186">
        <v>11</v>
      </c>
      <c r="W186">
        <v>2</v>
      </c>
      <c r="X186">
        <v>5</v>
      </c>
      <c r="Y186">
        <v>312</v>
      </c>
      <c r="AA186">
        <v>1</v>
      </c>
      <c r="AC186">
        <v>0</v>
      </c>
      <c r="AD186">
        <v>0</v>
      </c>
      <c r="AE186">
        <v>0</v>
      </c>
      <c r="AF186">
        <v>0</v>
      </c>
      <c r="AG186">
        <v>3</v>
      </c>
      <c r="AH186">
        <v>1</v>
      </c>
      <c r="AI186">
        <v>0</v>
      </c>
      <c r="AJ186">
        <v>0</v>
      </c>
      <c r="AT186">
        <v>0</v>
      </c>
      <c r="AU186">
        <v>19</v>
      </c>
      <c r="AV186">
        <v>538</v>
      </c>
      <c r="AW186">
        <v>538</v>
      </c>
      <c r="AX186">
        <v>662</v>
      </c>
      <c r="BA186">
        <v>1</v>
      </c>
      <c r="BC186" t="s">
        <v>456</v>
      </c>
      <c r="BD186" s="4">
        <v>43283.560543981483</v>
      </c>
      <c r="BE186" s="4">
        <v>43283.563425925924</v>
      </c>
      <c r="BF186" s="4">
        <v>43283.563425925924</v>
      </c>
      <c r="BG186" t="s">
        <v>83</v>
      </c>
      <c r="BH186" t="s">
        <v>84</v>
      </c>
      <c r="BI186" t="s">
        <v>85</v>
      </c>
    </row>
    <row r="187" spans="1:61" x14ac:dyDescent="0.3">
      <c r="A187" t="str">
        <f>"201480B0100"</f>
        <v>201480B0100</v>
      </c>
      <c r="B187" t="s">
        <v>457</v>
      </c>
      <c r="C187">
        <v>20</v>
      </c>
      <c r="D187" t="s">
        <v>79</v>
      </c>
      <c r="E187">
        <v>1</v>
      </c>
      <c r="F187" t="s">
        <v>80</v>
      </c>
      <c r="G187">
        <v>1480</v>
      </c>
      <c r="H187">
        <v>1</v>
      </c>
      <c r="I187" t="s">
        <v>81</v>
      </c>
      <c r="J187">
        <v>0</v>
      </c>
      <c r="K187">
        <v>2</v>
      </c>
      <c r="L187">
        <v>2</v>
      </c>
      <c r="M187">
        <v>118</v>
      </c>
      <c r="N187">
        <v>506</v>
      </c>
      <c r="O187">
        <v>1</v>
      </c>
      <c r="P187">
        <v>506</v>
      </c>
      <c r="Q187">
        <v>9</v>
      </c>
      <c r="R187">
        <v>130</v>
      </c>
      <c r="S187">
        <v>4</v>
      </c>
      <c r="T187">
        <v>5</v>
      </c>
      <c r="U187">
        <v>4</v>
      </c>
      <c r="V187">
        <v>10</v>
      </c>
      <c r="W187">
        <v>3</v>
      </c>
      <c r="X187">
        <v>7</v>
      </c>
      <c r="Y187">
        <v>307</v>
      </c>
      <c r="AA187">
        <v>3</v>
      </c>
      <c r="AC187">
        <v>0</v>
      </c>
      <c r="AD187">
        <v>1</v>
      </c>
      <c r="AE187">
        <v>0</v>
      </c>
      <c r="AF187">
        <v>0</v>
      </c>
      <c r="AG187">
        <v>3</v>
      </c>
      <c r="AH187">
        <v>3</v>
      </c>
      <c r="AI187">
        <v>0</v>
      </c>
      <c r="AJ187">
        <v>0</v>
      </c>
      <c r="AT187">
        <v>10</v>
      </c>
      <c r="AU187">
        <v>6</v>
      </c>
      <c r="AV187">
        <v>506</v>
      </c>
      <c r="AW187">
        <v>505</v>
      </c>
      <c r="AX187">
        <v>602</v>
      </c>
      <c r="BA187">
        <v>1</v>
      </c>
      <c r="BC187" t="s">
        <v>458</v>
      </c>
      <c r="BD187" s="4">
        <v>43283.559618055559</v>
      </c>
      <c r="BE187" s="4">
        <v>43283.563252314816</v>
      </c>
      <c r="BF187" s="4">
        <v>43283.563252314816</v>
      </c>
      <c r="BG187" t="s">
        <v>83</v>
      </c>
      <c r="BH187" t="s">
        <v>84</v>
      </c>
      <c r="BI187" t="s">
        <v>85</v>
      </c>
    </row>
    <row r="188" spans="1:61" x14ac:dyDescent="0.3">
      <c r="A188" t="str">
        <f>"201481B0100"</f>
        <v>201481B0100</v>
      </c>
      <c r="B188" t="s">
        <v>459</v>
      </c>
      <c r="C188">
        <v>20</v>
      </c>
      <c r="D188" t="s">
        <v>79</v>
      </c>
      <c r="E188">
        <v>1</v>
      </c>
      <c r="F188" t="s">
        <v>80</v>
      </c>
      <c r="G188">
        <v>1481</v>
      </c>
      <c r="H188">
        <v>1</v>
      </c>
      <c r="I188" t="s">
        <v>81</v>
      </c>
      <c r="J188">
        <v>0</v>
      </c>
      <c r="K188">
        <v>2</v>
      </c>
      <c r="L188">
        <v>2</v>
      </c>
      <c r="M188">
        <v>117</v>
      </c>
      <c r="N188">
        <v>467</v>
      </c>
      <c r="O188">
        <v>3</v>
      </c>
      <c r="P188" t="s">
        <v>100</v>
      </c>
      <c r="Q188">
        <v>7</v>
      </c>
      <c r="R188">
        <v>172</v>
      </c>
      <c r="S188">
        <v>2</v>
      </c>
      <c r="T188">
        <v>10</v>
      </c>
      <c r="U188">
        <v>10</v>
      </c>
      <c r="V188">
        <v>11</v>
      </c>
      <c r="W188">
        <v>3</v>
      </c>
      <c r="X188">
        <v>2</v>
      </c>
      <c r="Y188">
        <v>233</v>
      </c>
      <c r="AA188">
        <v>4</v>
      </c>
      <c r="AC188">
        <v>0</v>
      </c>
      <c r="AD188">
        <v>0</v>
      </c>
      <c r="AE188">
        <v>0</v>
      </c>
      <c r="AF188">
        <v>0</v>
      </c>
      <c r="AG188">
        <v>1</v>
      </c>
      <c r="AH188">
        <v>1</v>
      </c>
      <c r="AI188">
        <v>1</v>
      </c>
      <c r="AJ188">
        <v>0</v>
      </c>
      <c r="AT188">
        <v>0</v>
      </c>
      <c r="AU188">
        <v>10</v>
      </c>
      <c r="AV188">
        <v>467</v>
      </c>
      <c r="AW188">
        <v>467</v>
      </c>
      <c r="AX188">
        <v>563</v>
      </c>
      <c r="BA188">
        <v>1</v>
      </c>
      <c r="BC188" t="s">
        <v>460</v>
      </c>
      <c r="BD188" s="4">
        <v>43283.559131944443</v>
      </c>
      <c r="BE188" s="4">
        <v>43283.563078703701</v>
      </c>
      <c r="BF188" s="4">
        <v>43283.563078703701</v>
      </c>
      <c r="BG188" t="s">
        <v>83</v>
      </c>
      <c r="BH188" t="s">
        <v>84</v>
      </c>
      <c r="BI188" t="s">
        <v>85</v>
      </c>
    </row>
    <row r="189" spans="1:61" x14ac:dyDescent="0.3">
      <c r="A189" t="str">
        <f>"201793B0100"</f>
        <v>201793B0100</v>
      </c>
      <c r="B189" t="s">
        <v>461</v>
      </c>
      <c r="C189">
        <v>20</v>
      </c>
      <c r="D189" t="s">
        <v>79</v>
      </c>
      <c r="E189">
        <v>1</v>
      </c>
      <c r="F189" t="s">
        <v>80</v>
      </c>
      <c r="G189">
        <v>1793</v>
      </c>
      <c r="H189">
        <v>1</v>
      </c>
      <c r="I189" t="s">
        <v>81</v>
      </c>
      <c r="J189">
        <v>0</v>
      </c>
      <c r="K189">
        <v>2</v>
      </c>
      <c r="L189">
        <v>2</v>
      </c>
      <c r="M189">
        <v>189</v>
      </c>
      <c r="N189">
        <v>450</v>
      </c>
      <c r="O189">
        <v>1</v>
      </c>
      <c r="P189">
        <v>450</v>
      </c>
      <c r="Q189">
        <v>41</v>
      </c>
      <c r="R189">
        <v>186</v>
      </c>
      <c r="S189">
        <v>16</v>
      </c>
      <c r="T189">
        <v>15</v>
      </c>
      <c r="U189">
        <v>5</v>
      </c>
      <c r="V189">
        <v>6</v>
      </c>
      <c r="W189">
        <v>3</v>
      </c>
      <c r="X189">
        <v>7</v>
      </c>
      <c r="Y189">
        <v>139</v>
      </c>
      <c r="AA189">
        <v>1</v>
      </c>
      <c r="AC189">
        <v>0</v>
      </c>
      <c r="AD189">
        <v>0</v>
      </c>
      <c r="AE189">
        <v>0</v>
      </c>
      <c r="AF189">
        <v>0</v>
      </c>
      <c r="AG189">
        <v>6</v>
      </c>
      <c r="AH189">
        <v>1</v>
      </c>
      <c r="AI189">
        <v>0</v>
      </c>
      <c r="AJ189">
        <v>0</v>
      </c>
      <c r="AT189">
        <v>0</v>
      </c>
      <c r="AU189">
        <v>23</v>
      </c>
      <c r="AV189" t="s">
        <v>100</v>
      </c>
      <c r="AW189">
        <v>449</v>
      </c>
      <c r="AX189">
        <v>617</v>
      </c>
      <c r="BA189">
        <v>1</v>
      </c>
      <c r="BC189" t="s">
        <v>462</v>
      </c>
      <c r="BD189" s="4">
        <v>43283.592615740738</v>
      </c>
      <c r="BE189" s="4">
        <v>43283.595613425925</v>
      </c>
      <c r="BF189" s="4">
        <v>43283.595613425925</v>
      </c>
      <c r="BG189" t="s">
        <v>83</v>
      </c>
      <c r="BH189" t="s">
        <v>84</v>
      </c>
      <c r="BI189" t="s">
        <v>85</v>
      </c>
    </row>
    <row r="190" spans="1:61" x14ac:dyDescent="0.3">
      <c r="A190" t="str">
        <f>"201793C0100"</f>
        <v>201793C0100</v>
      </c>
      <c r="B190" t="s">
        <v>463</v>
      </c>
      <c r="C190">
        <v>20</v>
      </c>
      <c r="D190" t="s">
        <v>79</v>
      </c>
      <c r="E190">
        <v>1</v>
      </c>
      <c r="F190" t="s">
        <v>80</v>
      </c>
      <c r="G190">
        <v>1793</v>
      </c>
      <c r="H190">
        <v>1</v>
      </c>
      <c r="I190" t="s">
        <v>89</v>
      </c>
      <c r="J190">
        <v>0</v>
      </c>
      <c r="K190">
        <v>2</v>
      </c>
      <c r="L190">
        <v>2</v>
      </c>
      <c r="M190">
        <v>205</v>
      </c>
      <c r="N190">
        <v>434</v>
      </c>
      <c r="O190">
        <v>4</v>
      </c>
      <c r="P190">
        <v>0</v>
      </c>
      <c r="Q190">
        <v>42</v>
      </c>
      <c r="R190">
        <v>151</v>
      </c>
      <c r="S190">
        <v>22</v>
      </c>
      <c r="T190">
        <v>17</v>
      </c>
      <c r="U190">
        <v>10</v>
      </c>
      <c r="V190">
        <v>8</v>
      </c>
      <c r="W190">
        <v>0</v>
      </c>
      <c r="X190">
        <v>11</v>
      </c>
      <c r="Y190">
        <v>129</v>
      </c>
      <c r="AA190">
        <v>0</v>
      </c>
      <c r="AC190">
        <v>1</v>
      </c>
      <c r="AD190">
        <v>1</v>
      </c>
      <c r="AE190">
        <v>0</v>
      </c>
      <c r="AF190">
        <v>0</v>
      </c>
      <c r="AG190">
        <v>8</v>
      </c>
      <c r="AH190">
        <v>4</v>
      </c>
      <c r="AI190">
        <v>3</v>
      </c>
      <c r="AJ190">
        <v>0</v>
      </c>
      <c r="AT190">
        <v>0</v>
      </c>
      <c r="AU190">
        <v>27</v>
      </c>
      <c r="AV190">
        <v>434</v>
      </c>
      <c r="AW190">
        <v>434</v>
      </c>
      <c r="AX190">
        <v>617</v>
      </c>
      <c r="BA190">
        <v>1</v>
      </c>
      <c r="BC190" t="s">
        <v>464</v>
      </c>
      <c r="BD190" s="4">
        <v>43283.599444444444</v>
      </c>
      <c r="BE190" s="4">
        <v>43283.602442129632</v>
      </c>
      <c r="BF190" s="4">
        <v>43283.602442129632</v>
      </c>
      <c r="BG190" t="s">
        <v>83</v>
      </c>
      <c r="BH190" t="s">
        <v>84</v>
      </c>
      <c r="BI190" t="s">
        <v>85</v>
      </c>
    </row>
    <row r="191" spans="1:61" x14ac:dyDescent="0.3">
      <c r="A191" t="str">
        <f>"201793C0200"</f>
        <v>201793C0200</v>
      </c>
      <c r="B191" t="s">
        <v>465</v>
      </c>
      <c r="C191">
        <v>20</v>
      </c>
      <c r="D191" t="s">
        <v>79</v>
      </c>
      <c r="E191">
        <v>1</v>
      </c>
      <c r="F191" t="s">
        <v>80</v>
      </c>
      <c r="G191">
        <v>1793</v>
      </c>
      <c r="H191">
        <v>2</v>
      </c>
      <c r="I191" t="s">
        <v>89</v>
      </c>
      <c r="J191">
        <v>0</v>
      </c>
      <c r="K191">
        <v>2</v>
      </c>
      <c r="L191">
        <v>2</v>
      </c>
      <c r="M191">
        <v>181</v>
      </c>
      <c r="N191">
        <v>458</v>
      </c>
      <c r="O191">
        <v>1</v>
      </c>
      <c r="P191">
        <v>458</v>
      </c>
      <c r="Q191">
        <v>50</v>
      </c>
      <c r="R191">
        <v>165</v>
      </c>
      <c r="S191">
        <v>22</v>
      </c>
      <c r="T191">
        <v>17</v>
      </c>
      <c r="U191">
        <v>3</v>
      </c>
      <c r="V191">
        <v>7</v>
      </c>
      <c r="W191">
        <v>2</v>
      </c>
      <c r="X191">
        <v>6</v>
      </c>
      <c r="Y191">
        <v>137</v>
      </c>
      <c r="AA191">
        <v>1</v>
      </c>
      <c r="AC191">
        <v>1</v>
      </c>
      <c r="AD191">
        <v>1</v>
      </c>
      <c r="AE191">
        <v>1</v>
      </c>
      <c r="AF191">
        <v>0</v>
      </c>
      <c r="AG191">
        <v>3</v>
      </c>
      <c r="AH191">
        <v>8</v>
      </c>
      <c r="AI191">
        <v>0</v>
      </c>
      <c r="AJ191">
        <v>0</v>
      </c>
      <c r="AT191">
        <v>0</v>
      </c>
      <c r="AU191">
        <v>34</v>
      </c>
      <c r="AV191">
        <v>458</v>
      </c>
      <c r="AW191">
        <v>458</v>
      </c>
      <c r="AX191">
        <v>617</v>
      </c>
      <c r="BA191">
        <v>1</v>
      </c>
      <c r="BC191" t="s">
        <v>466</v>
      </c>
      <c r="BD191" s="4">
        <v>43283.593784722223</v>
      </c>
      <c r="BE191" s="4">
        <v>43283.59915509259</v>
      </c>
      <c r="BF191" s="4">
        <v>43283.59915509259</v>
      </c>
      <c r="BG191" t="s">
        <v>83</v>
      </c>
      <c r="BH191" t="s">
        <v>84</v>
      </c>
      <c r="BI191" t="s">
        <v>85</v>
      </c>
    </row>
    <row r="192" spans="1:61" x14ac:dyDescent="0.3">
      <c r="A192" t="str">
        <f>"201794B0100"</f>
        <v>201794B0100</v>
      </c>
      <c r="B192" t="s">
        <v>467</v>
      </c>
      <c r="C192">
        <v>20</v>
      </c>
      <c r="D192" t="s">
        <v>79</v>
      </c>
      <c r="E192">
        <v>1</v>
      </c>
      <c r="F192" t="s">
        <v>80</v>
      </c>
      <c r="G192">
        <v>1794</v>
      </c>
      <c r="H192">
        <v>1</v>
      </c>
      <c r="I192" t="s">
        <v>81</v>
      </c>
      <c r="J192">
        <v>0</v>
      </c>
      <c r="K192">
        <v>2</v>
      </c>
      <c r="L192">
        <v>2</v>
      </c>
      <c r="M192">
        <v>67</v>
      </c>
      <c r="N192">
        <v>170</v>
      </c>
      <c r="O192">
        <v>3</v>
      </c>
      <c r="P192">
        <v>170</v>
      </c>
      <c r="Q192">
        <v>50</v>
      </c>
      <c r="R192">
        <v>43</v>
      </c>
      <c r="S192">
        <v>3</v>
      </c>
      <c r="T192">
        <v>9</v>
      </c>
      <c r="U192">
        <v>8</v>
      </c>
      <c r="V192">
        <v>7</v>
      </c>
      <c r="W192">
        <v>0</v>
      </c>
      <c r="X192">
        <v>3</v>
      </c>
      <c r="Y192">
        <v>33</v>
      </c>
      <c r="AA192">
        <v>0</v>
      </c>
      <c r="AC192">
        <v>1</v>
      </c>
      <c r="AD192">
        <v>0</v>
      </c>
      <c r="AE192">
        <v>0</v>
      </c>
      <c r="AF192">
        <v>0</v>
      </c>
      <c r="AG192">
        <v>5</v>
      </c>
      <c r="AH192">
        <v>0</v>
      </c>
      <c r="AI192">
        <v>0</v>
      </c>
      <c r="AJ192">
        <v>0</v>
      </c>
      <c r="AT192">
        <v>0</v>
      </c>
      <c r="AU192">
        <v>8</v>
      </c>
      <c r="AV192">
        <v>170</v>
      </c>
      <c r="AW192">
        <v>170</v>
      </c>
      <c r="AX192">
        <v>215</v>
      </c>
      <c r="BA192">
        <v>1</v>
      </c>
      <c r="BC192" t="s">
        <v>468</v>
      </c>
      <c r="BD192" s="4">
        <v>43283.604386574072</v>
      </c>
      <c r="BE192" s="4">
        <v>43283.608067129629</v>
      </c>
      <c r="BF192" s="4">
        <v>43283.608067129629</v>
      </c>
      <c r="BG192" t="s">
        <v>83</v>
      </c>
      <c r="BH192" t="s">
        <v>84</v>
      </c>
      <c r="BI192" t="s">
        <v>85</v>
      </c>
    </row>
    <row r="193" spans="1:61" x14ac:dyDescent="0.3">
      <c r="A193" t="str">
        <f>"201794E0100"</f>
        <v>201794E0100</v>
      </c>
      <c r="B193" s="2" t="s">
        <v>469</v>
      </c>
      <c r="C193">
        <v>20</v>
      </c>
      <c r="D193" t="s">
        <v>79</v>
      </c>
      <c r="E193">
        <v>1</v>
      </c>
      <c r="F193" t="s">
        <v>80</v>
      </c>
      <c r="G193">
        <v>1794</v>
      </c>
      <c r="H193">
        <v>1</v>
      </c>
      <c r="I193" t="s">
        <v>145</v>
      </c>
      <c r="J193">
        <v>0</v>
      </c>
      <c r="K193">
        <v>2</v>
      </c>
      <c r="L193">
        <v>2</v>
      </c>
      <c r="M193">
        <v>138</v>
      </c>
      <c r="N193">
        <v>558</v>
      </c>
      <c r="O193">
        <v>1</v>
      </c>
      <c r="P193">
        <v>558</v>
      </c>
      <c r="Q193">
        <v>10</v>
      </c>
      <c r="R193">
        <v>204</v>
      </c>
      <c r="S193">
        <v>5</v>
      </c>
      <c r="T193">
        <v>24</v>
      </c>
      <c r="U193">
        <v>24</v>
      </c>
      <c r="V193">
        <v>56</v>
      </c>
      <c r="W193">
        <v>7</v>
      </c>
      <c r="X193">
        <v>12</v>
      </c>
      <c r="Y193">
        <v>140</v>
      </c>
      <c r="AA193">
        <v>5</v>
      </c>
      <c r="AC193">
        <v>3</v>
      </c>
      <c r="AD193">
        <v>1</v>
      </c>
      <c r="AE193">
        <v>1</v>
      </c>
      <c r="AF193">
        <v>2</v>
      </c>
      <c r="AG193">
        <v>10</v>
      </c>
      <c r="AH193">
        <v>13</v>
      </c>
      <c r="AI193">
        <v>0</v>
      </c>
      <c r="AJ193">
        <v>0</v>
      </c>
      <c r="AT193">
        <v>0</v>
      </c>
      <c r="AU193">
        <v>40</v>
      </c>
      <c r="AV193">
        <v>557</v>
      </c>
      <c r="AW193">
        <v>557</v>
      </c>
      <c r="AX193">
        <v>674</v>
      </c>
      <c r="BA193">
        <v>1</v>
      </c>
      <c r="BC193" t="s">
        <v>470</v>
      </c>
      <c r="BD193" s="4">
        <v>43283.60429398148</v>
      </c>
      <c r="BE193" s="4">
        <v>43283.607499999998</v>
      </c>
      <c r="BF193" s="4">
        <v>43283.607499999998</v>
      </c>
      <c r="BG193" t="s">
        <v>83</v>
      </c>
      <c r="BH193" t="s">
        <v>84</v>
      </c>
      <c r="BI193" t="s">
        <v>85</v>
      </c>
    </row>
    <row r="194" spans="1:61" x14ac:dyDescent="0.3">
      <c r="A194" t="str">
        <f>"201794E0200"</f>
        <v>201794E0200</v>
      </c>
      <c r="B194" s="2" t="s">
        <v>471</v>
      </c>
      <c r="C194">
        <v>20</v>
      </c>
      <c r="D194" t="s">
        <v>79</v>
      </c>
      <c r="E194">
        <v>1</v>
      </c>
      <c r="F194" t="s">
        <v>80</v>
      </c>
      <c r="G194">
        <v>1794</v>
      </c>
      <c r="H194">
        <v>2</v>
      </c>
      <c r="I194" t="s">
        <v>145</v>
      </c>
      <c r="J194">
        <v>0</v>
      </c>
      <c r="K194">
        <v>2</v>
      </c>
      <c r="L194">
        <v>2</v>
      </c>
      <c r="M194">
        <v>141</v>
      </c>
      <c r="N194">
        <v>309</v>
      </c>
      <c r="O194">
        <v>0</v>
      </c>
      <c r="P194">
        <v>309</v>
      </c>
      <c r="Q194">
        <v>54</v>
      </c>
      <c r="R194">
        <v>90</v>
      </c>
      <c r="S194">
        <v>24</v>
      </c>
      <c r="T194">
        <v>22</v>
      </c>
      <c r="U194">
        <v>9</v>
      </c>
      <c r="V194">
        <v>15</v>
      </c>
      <c r="W194">
        <v>0</v>
      </c>
      <c r="X194">
        <v>4</v>
      </c>
      <c r="Y194">
        <v>55</v>
      </c>
      <c r="AA194">
        <v>2</v>
      </c>
      <c r="AC194">
        <v>0</v>
      </c>
      <c r="AD194">
        <v>2</v>
      </c>
      <c r="AE194">
        <v>0</v>
      </c>
      <c r="AF194">
        <v>0</v>
      </c>
      <c r="AG194">
        <v>2</v>
      </c>
      <c r="AH194">
        <v>7</v>
      </c>
      <c r="AI194">
        <v>0</v>
      </c>
      <c r="AJ194">
        <v>0</v>
      </c>
      <c r="AT194">
        <v>0</v>
      </c>
      <c r="AU194">
        <v>23</v>
      </c>
      <c r="AV194">
        <v>309</v>
      </c>
      <c r="AW194">
        <v>309</v>
      </c>
      <c r="AX194">
        <v>428</v>
      </c>
      <c r="BA194">
        <v>1</v>
      </c>
      <c r="BC194" t="s">
        <v>472</v>
      </c>
      <c r="BD194" s="4">
        <v>43283.590787037036</v>
      </c>
      <c r="BE194" s="4">
        <v>43283.59574074074</v>
      </c>
      <c r="BF194" s="4">
        <v>43283.59574074074</v>
      </c>
      <c r="BG194" t="s">
        <v>83</v>
      </c>
      <c r="BH194" t="s">
        <v>84</v>
      </c>
      <c r="BI194" t="s">
        <v>85</v>
      </c>
    </row>
    <row r="195" spans="1:61" x14ac:dyDescent="0.3">
      <c r="A195" t="str">
        <f>"201795B0100"</f>
        <v>201795B0100</v>
      </c>
      <c r="B195" t="s">
        <v>473</v>
      </c>
      <c r="C195">
        <v>20</v>
      </c>
      <c r="D195" t="s">
        <v>79</v>
      </c>
      <c r="E195">
        <v>1</v>
      </c>
      <c r="F195" t="s">
        <v>80</v>
      </c>
      <c r="G195">
        <v>1795</v>
      </c>
      <c r="H195">
        <v>1</v>
      </c>
      <c r="I195" t="s">
        <v>81</v>
      </c>
      <c r="J195">
        <v>0</v>
      </c>
      <c r="K195">
        <v>2</v>
      </c>
      <c r="L195">
        <v>2</v>
      </c>
      <c r="M195">
        <v>86</v>
      </c>
      <c r="N195">
        <v>171</v>
      </c>
      <c r="O195">
        <v>0</v>
      </c>
      <c r="P195">
        <v>171</v>
      </c>
      <c r="Q195">
        <v>40</v>
      </c>
      <c r="R195">
        <v>26</v>
      </c>
      <c r="S195">
        <v>5</v>
      </c>
      <c r="T195">
        <v>6</v>
      </c>
      <c r="U195">
        <v>5</v>
      </c>
      <c r="V195">
        <v>15</v>
      </c>
      <c r="W195">
        <v>5</v>
      </c>
      <c r="X195">
        <v>1</v>
      </c>
      <c r="Y195">
        <v>36</v>
      </c>
      <c r="AA195">
        <v>0</v>
      </c>
      <c r="AC195">
        <v>9</v>
      </c>
      <c r="AD195">
        <v>2</v>
      </c>
      <c r="AE195">
        <v>1</v>
      </c>
      <c r="AF195">
        <v>0</v>
      </c>
      <c r="AG195">
        <v>0</v>
      </c>
      <c r="AH195">
        <v>1</v>
      </c>
      <c r="AI195">
        <v>0</v>
      </c>
      <c r="AJ195">
        <v>0</v>
      </c>
      <c r="AT195">
        <v>0</v>
      </c>
      <c r="AU195">
        <v>19</v>
      </c>
      <c r="AV195">
        <v>171</v>
      </c>
      <c r="AW195">
        <v>171</v>
      </c>
      <c r="AX195">
        <v>235</v>
      </c>
      <c r="BA195">
        <v>1</v>
      </c>
      <c r="BC195" t="s">
        <v>474</v>
      </c>
      <c r="BD195" s="4">
        <v>43283.603275462963</v>
      </c>
      <c r="BE195" s="4">
        <v>43283.607175925928</v>
      </c>
      <c r="BF195" s="4">
        <v>43283.607175925928</v>
      </c>
      <c r="BG195" t="s">
        <v>83</v>
      </c>
      <c r="BH195" t="s">
        <v>84</v>
      </c>
      <c r="BI195" t="s">
        <v>85</v>
      </c>
    </row>
    <row r="196" spans="1:61" x14ac:dyDescent="0.3">
      <c r="A196" t="str">
        <f>"201795E0100"</f>
        <v>201795E0100</v>
      </c>
      <c r="B196" s="2" t="s">
        <v>475</v>
      </c>
      <c r="C196">
        <v>20</v>
      </c>
      <c r="D196" t="s">
        <v>79</v>
      </c>
      <c r="E196">
        <v>1</v>
      </c>
      <c r="F196" t="s">
        <v>80</v>
      </c>
      <c r="G196">
        <v>1795</v>
      </c>
      <c r="H196">
        <v>1</v>
      </c>
      <c r="I196" t="s">
        <v>145</v>
      </c>
      <c r="J196">
        <v>0</v>
      </c>
      <c r="K196">
        <v>2</v>
      </c>
      <c r="L196">
        <v>2</v>
      </c>
      <c r="M196">
        <v>171</v>
      </c>
      <c r="N196">
        <v>331</v>
      </c>
      <c r="O196">
        <v>1</v>
      </c>
      <c r="P196">
        <v>331</v>
      </c>
      <c r="Q196">
        <v>13</v>
      </c>
      <c r="R196">
        <v>82</v>
      </c>
      <c r="S196">
        <v>20</v>
      </c>
      <c r="T196">
        <v>21</v>
      </c>
      <c r="U196">
        <v>5</v>
      </c>
      <c r="V196">
        <v>8</v>
      </c>
      <c r="W196">
        <v>1</v>
      </c>
      <c r="X196">
        <v>4</v>
      </c>
      <c r="Y196">
        <v>131</v>
      </c>
      <c r="AA196">
        <v>4</v>
      </c>
      <c r="AC196">
        <v>1</v>
      </c>
      <c r="AD196">
        <v>1</v>
      </c>
      <c r="AE196">
        <v>1</v>
      </c>
      <c r="AF196">
        <v>1</v>
      </c>
      <c r="AG196">
        <v>8</v>
      </c>
      <c r="AH196">
        <v>2</v>
      </c>
      <c r="AI196">
        <v>0</v>
      </c>
      <c r="AJ196">
        <v>0</v>
      </c>
      <c r="AT196">
        <v>0</v>
      </c>
      <c r="AU196">
        <v>28</v>
      </c>
      <c r="AV196">
        <v>331</v>
      </c>
      <c r="AW196">
        <v>331</v>
      </c>
      <c r="AX196">
        <v>480</v>
      </c>
      <c r="BA196">
        <v>1</v>
      </c>
      <c r="BC196" t="s">
        <v>476</v>
      </c>
      <c r="BD196" s="4">
        <v>43283.593611111108</v>
      </c>
      <c r="BE196" s="4">
        <v>43283.59716435185</v>
      </c>
      <c r="BF196" s="4">
        <v>43283.59716435185</v>
      </c>
      <c r="BG196" t="s">
        <v>83</v>
      </c>
      <c r="BH196" t="s">
        <v>84</v>
      </c>
      <c r="BI196" t="s">
        <v>85</v>
      </c>
    </row>
    <row r="197" spans="1:61" x14ac:dyDescent="0.3">
      <c r="A197" t="str">
        <f>"201795E0101"</f>
        <v>201795E0101</v>
      </c>
      <c r="B197" s="2" t="s">
        <v>477</v>
      </c>
      <c r="C197">
        <v>20</v>
      </c>
      <c r="D197" t="s">
        <v>79</v>
      </c>
      <c r="E197">
        <v>1</v>
      </c>
      <c r="F197" t="s">
        <v>80</v>
      </c>
      <c r="G197">
        <v>1795</v>
      </c>
      <c r="H197">
        <v>1</v>
      </c>
      <c r="I197" t="s">
        <v>145</v>
      </c>
      <c r="J197">
        <v>1</v>
      </c>
      <c r="K197">
        <v>2</v>
      </c>
      <c r="L197">
        <v>2</v>
      </c>
      <c r="M197">
        <v>185</v>
      </c>
      <c r="N197">
        <v>316</v>
      </c>
      <c r="O197">
        <v>0</v>
      </c>
      <c r="P197">
        <v>316</v>
      </c>
      <c r="Q197">
        <v>9</v>
      </c>
      <c r="R197">
        <v>92</v>
      </c>
      <c r="S197">
        <v>13</v>
      </c>
      <c r="T197">
        <v>15</v>
      </c>
      <c r="U197">
        <v>10</v>
      </c>
      <c r="V197">
        <v>8</v>
      </c>
      <c r="W197">
        <v>2</v>
      </c>
      <c r="X197">
        <v>7</v>
      </c>
      <c r="Y197">
        <v>114</v>
      </c>
      <c r="AA197">
        <v>3</v>
      </c>
      <c r="AC197">
        <v>1</v>
      </c>
      <c r="AD197">
        <v>0</v>
      </c>
      <c r="AE197">
        <v>0</v>
      </c>
      <c r="AF197">
        <v>1</v>
      </c>
      <c r="AG197">
        <v>9</v>
      </c>
      <c r="AH197">
        <v>2</v>
      </c>
      <c r="AI197">
        <v>3</v>
      </c>
      <c r="AJ197">
        <v>0</v>
      </c>
      <c r="AT197">
        <v>0</v>
      </c>
      <c r="AU197">
        <v>27</v>
      </c>
      <c r="AV197">
        <v>316</v>
      </c>
      <c r="AW197">
        <v>316</v>
      </c>
      <c r="AX197">
        <v>479</v>
      </c>
      <c r="BA197">
        <v>1</v>
      </c>
      <c r="BC197" t="s">
        <v>478</v>
      </c>
      <c r="BD197" s="4">
        <v>43283.603206018517</v>
      </c>
      <c r="BE197" s="4">
        <v>43283.609618055554</v>
      </c>
      <c r="BF197" s="4">
        <v>43283.609618055554</v>
      </c>
      <c r="BG197" t="s">
        <v>83</v>
      </c>
      <c r="BH197" t="s">
        <v>84</v>
      </c>
      <c r="BI197" t="s">
        <v>85</v>
      </c>
    </row>
    <row r="198" spans="1:61" x14ac:dyDescent="0.3">
      <c r="A198" t="str">
        <f>"201795E0200"</f>
        <v>201795E0200</v>
      </c>
      <c r="B198" s="2" t="s">
        <v>479</v>
      </c>
      <c r="C198">
        <v>20</v>
      </c>
      <c r="D198" t="s">
        <v>79</v>
      </c>
      <c r="E198">
        <v>1</v>
      </c>
      <c r="F198" t="s">
        <v>80</v>
      </c>
      <c r="G198">
        <v>1795</v>
      </c>
      <c r="H198">
        <v>2</v>
      </c>
      <c r="I198" t="s">
        <v>145</v>
      </c>
      <c r="J198">
        <v>0</v>
      </c>
      <c r="K198">
        <v>2</v>
      </c>
      <c r="L198">
        <v>2</v>
      </c>
      <c r="M198">
        <v>118</v>
      </c>
      <c r="N198">
        <v>255</v>
      </c>
      <c r="O198">
        <v>1</v>
      </c>
      <c r="P198">
        <v>254</v>
      </c>
      <c r="Q198">
        <v>92</v>
      </c>
      <c r="R198">
        <v>46</v>
      </c>
      <c r="S198">
        <v>14</v>
      </c>
      <c r="T198">
        <v>14</v>
      </c>
      <c r="U198">
        <v>9</v>
      </c>
      <c r="V198">
        <v>10</v>
      </c>
      <c r="W198">
        <v>1</v>
      </c>
      <c r="X198">
        <v>4</v>
      </c>
      <c r="Y198">
        <v>19</v>
      </c>
      <c r="AA198">
        <v>0</v>
      </c>
      <c r="AC198">
        <v>12</v>
      </c>
      <c r="AD198">
        <v>3</v>
      </c>
      <c r="AE198">
        <v>2</v>
      </c>
      <c r="AF198">
        <v>0</v>
      </c>
      <c r="AG198">
        <v>2</v>
      </c>
      <c r="AH198">
        <v>0</v>
      </c>
      <c r="AI198">
        <v>0</v>
      </c>
      <c r="AJ198">
        <v>0</v>
      </c>
      <c r="AT198">
        <v>0</v>
      </c>
      <c r="AU198">
        <v>21</v>
      </c>
      <c r="AV198">
        <v>254</v>
      </c>
      <c r="AW198">
        <v>249</v>
      </c>
      <c r="AX198">
        <v>350</v>
      </c>
      <c r="BA198">
        <v>1</v>
      </c>
      <c r="BC198" t="s">
        <v>480</v>
      </c>
      <c r="BD198" s="4">
        <v>43283.598368055558</v>
      </c>
      <c r="BE198" s="4">
        <v>43283.603298611109</v>
      </c>
      <c r="BF198" s="4">
        <v>43283.603298611109</v>
      </c>
      <c r="BG198" t="s">
        <v>83</v>
      </c>
      <c r="BH198" t="s">
        <v>84</v>
      </c>
      <c r="BI198" t="s">
        <v>85</v>
      </c>
    </row>
    <row r="199" spans="1:61" x14ac:dyDescent="0.3">
      <c r="A199" t="str">
        <f>"201796B0100"</f>
        <v>201796B0100</v>
      </c>
      <c r="B199" t="s">
        <v>481</v>
      </c>
      <c r="C199">
        <v>20</v>
      </c>
      <c r="D199" t="s">
        <v>79</v>
      </c>
      <c r="E199">
        <v>1</v>
      </c>
      <c r="F199" t="s">
        <v>80</v>
      </c>
      <c r="G199">
        <v>1796</v>
      </c>
      <c r="H199">
        <v>1</v>
      </c>
      <c r="I199" t="s">
        <v>81</v>
      </c>
      <c r="J199">
        <v>0</v>
      </c>
      <c r="K199">
        <v>2</v>
      </c>
      <c r="L199">
        <v>2</v>
      </c>
      <c r="M199">
        <v>146</v>
      </c>
      <c r="N199">
        <v>0</v>
      </c>
      <c r="O199">
        <v>0</v>
      </c>
      <c r="P199">
        <v>277</v>
      </c>
      <c r="Q199">
        <v>12</v>
      </c>
      <c r="R199">
        <v>95</v>
      </c>
      <c r="S199">
        <v>35</v>
      </c>
      <c r="T199">
        <v>9</v>
      </c>
      <c r="U199">
        <v>10</v>
      </c>
      <c r="V199">
        <v>13</v>
      </c>
      <c r="W199">
        <v>2</v>
      </c>
      <c r="X199">
        <v>3</v>
      </c>
      <c r="Y199">
        <v>74</v>
      </c>
      <c r="AA199">
        <v>0</v>
      </c>
      <c r="AC199">
        <v>2</v>
      </c>
      <c r="AD199">
        <v>0</v>
      </c>
      <c r="AE199">
        <v>0</v>
      </c>
      <c r="AF199">
        <v>0</v>
      </c>
      <c r="AG199">
        <v>0</v>
      </c>
      <c r="AH199">
        <v>3</v>
      </c>
      <c r="AI199">
        <v>0</v>
      </c>
      <c r="AJ199">
        <v>0</v>
      </c>
      <c r="AT199">
        <v>0</v>
      </c>
      <c r="AU199">
        <v>19</v>
      </c>
      <c r="AV199">
        <v>267</v>
      </c>
      <c r="AW199">
        <v>277</v>
      </c>
      <c r="AX199">
        <v>401</v>
      </c>
      <c r="BA199">
        <v>1</v>
      </c>
      <c r="BC199" t="s">
        <v>482</v>
      </c>
      <c r="BD199" s="4">
        <v>43283.600601851853</v>
      </c>
      <c r="BE199" s="4">
        <v>43283.606423611112</v>
      </c>
      <c r="BF199" s="4">
        <v>43283.606423611112</v>
      </c>
      <c r="BG199" t="s">
        <v>83</v>
      </c>
      <c r="BH199" t="s">
        <v>84</v>
      </c>
      <c r="BI199" t="s">
        <v>85</v>
      </c>
    </row>
    <row r="200" spans="1:61" x14ac:dyDescent="0.3">
      <c r="A200" t="str">
        <f>"201796C0100"</f>
        <v>201796C0100</v>
      </c>
      <c r="B200" t="s">
        <v>483</v>
      </c>
      <c r="C200">
        <v>20</v>
      </c>
      <c r="D200" t="s">
        <v>79</v>
      </c>
      <c r="E200">
        <v>1</v>
      </c>
      <c r="F200" t="s">
        <v>80</v>
      </c>
      <c r="G200">
        <v>1796</v>
      </c>
      <c r="H200">
        <v>1</v>
      </c>
      <c r="I200" t="s">
        <v>89</v>
      </c>
      <c r="J200">
        <v>0</v>
      </c>
      <c r="K200">
        <v>2</v>
      </c>
      <c r="L200">
        <v>2</v>
      </c>
      <c r="M200">
        <v>144</v>
      </c>
      <c r="N200">
        <v>278</v>
      </c>
      <c r="O200">
        <v>4</v>
      </c>
      <c r="P200">
        <v>278</v>
      </c>
      <c r="Q200">
        <v>8</v>
      </c>
      <c r="R200">
        <v>97</v>
      </c>
      <c r="S200">
        <v>35</v>
      </c>
      <c r="T200">
        <v>18</v>
      </c>
      <c r="U200">
        <v>6</v>
      </c>
      <c r="V200">
        <v>8</v>
      </c>
      <c r="W200">
        <v>1</v>
      </c>
      <c r="X200">
        <v>8</v>
      </c>
      <c r="Y200">
        <v>59</v>
      </c>
      <c r="AA200">
        <v>0</v>
      </c>
      <c r="AC200">
        <v>0</v>
      </c>
      <c r="AD200">
        <v>1</v>
      </c>
      <c r="AE200">
        <v>0</v>
      </c>
      <c r="AF200">
        <v>1</v>
      </c>
      <c r="AG200">
        <v>4</v>
      </c>
      <c r="AH200">
        <v>2</v>
      </c>
      <c r="AI200">
        <v>0</v>
      </c>
      <c r="AJ200">
        <v>0</v>
      </c>
      <c r="AT200">
        <v>0</v>
      </c>
      <c r="AU200">
        <v>30</v>
      </c>
      <c r="AV200">
        <v>278</v>
      </c>
      <c r="AW200">
        <v>278</v>
      </c>
      <c r="AX200">
        <v>400</v>
      </c>
      <c r="BA200">
        <v>1</v>
      </c>
      <c r="BC200" t="s">
        <v>484</v>
      </c>
      <c r="BD200" s="4">
        <v>43283.590960648151</v>
      </c>
      <c r="BE200" s="4">
        <v>43283.596006944441</v>
      </c>
      <c r="BF200" s="4">
        <v>43283.596006944441</v>
      </c>
      <c r="BG200" t="s">
        <v>83</v>
      </c>
      <c r="BH200" t="s">
        <v>84</v>
      </c>
      <c r="BI200" t="s">
        <v>85</v>
      </c>
    </row>
    <row r="201" spans="1:61" x14ac:dyDescent="0.3">
      <c r="A201" t="str">
        <f>"201796E0100"</f>
        <v>201796E0100</v>
      </c>
      <c r="B201" s="2" t="s">
        <v>485</v>
      </c>
      <c r="C201">
        <v>20</v>
      </c>
      <c r="D201" t="s">
        <v>79</v>
      </c>
      <c r="E201">
        <v>1</v>
      </c>
      <c r="F201" t="s">
        <v>80</v>
      </c>
      <c r="G201">
        <v>1796</v>
      </c>
      <c r="H201">
        <v>1</v>
      </c>
      <c r="I201" t="s">
        <v>145</v>
      </c>
      <c r="J201">
        <v>0</v>
      </c>
      <c r="K201">
        <v>2</v>
      </c>
      <c r="L201">
        <v>2</v>
      </c>
      <c r="M201">
        <v>178</v>
      </c>
      <c r="N201">
        <v>270</v>
      </c>
      <c r="O201">
        <v>4</v>
      </c>
      <c r="P201">
        <v>270</v>
      </c>
      <c r="Q201">
        <v>40</v>
      </c>
      <c r="R201">
        <v>36</v>
      </c>
      <c r="S201">
        <v>8</v>
      </c>
      <c r="T201">
        <v>9</v>
      </c>
      <c r="U201">
        <v>13</v>
      </c>
      <c r="V201">
        <v>0</v>
      </c>
      <c r="W201">
        <v>0</v>
      </c>
      <c r="X201">
        <v>3</v>
      </c>
      <c r="Y201">
        <v>132</v>
      </c>
      <c r="AA201">
        <v>0</v>
      </c>
      <c r="AC201">
        <v>0</v>
      </c>
      <c r="AD201">
        <v>1</v>
      </c>
      <c r="AE201">
        <v>0</v>
      </c>
      <c r="AF201">
        <v>0</v>
      </c>
      <c r="AG201">
        <v>0</v>
      </c>
      <c r="AH201">
        <v>1</v>
      </c>
      <c r="AI201">
        <v>1</v>
      </c>
      <c r="AJ201">
        <v>0</v>
      </c>
      <c r="AT201">
        <v>0</v>
      </c>
      <c r="AU201">
        <v>10</v>
      </c>
      <c r="AV201">
        <v>270</v>
      </c>
      <c r="AW201">
        <v>254</v>
      </c>
      <c r="AX201">
        <v>426</v>
      </c>
      <c r="BA201">
        <v>1</v>
      </c>
      <c r="BC201" t="s">
        <v>486</v>
      </c>
      <c r="BD201" s="4">
        <v>43283.593518518515</v>
      </c>
      <c r="BE201" s="4">
        <v>43283.597534722219</v>
      </c>
      <c r="BF201" s="4">
        <v>43283.597534722219</v>
      </c>
      <c r="BG201" t="s">
        <v>83</v>
      </c>
      <c r="BH201" t="s">
        <v>84</v>
      </c>
      <c r="BI201" t="s">
        <v>85</v>
      </c>
    </row>
    <row r="202" spans="1:61" x14ac:dyDescent="0.3">
      <c r="A202" t="str">
        <f>"201797B0100"</f>
        <v>201797B0100</v>
      </c>
      <c r="B202" t="s">
        <v>487</v>
      </c>
      <c r="C202">
        <v>20</v>
      </c>
      <c r="D202" t="s">
        <v>79</v>
      </c>
      <c r="E202">
        <v>1</v>
      </c>
      <c r="F202" t="s">
        <v>80</v>
      </c>
      <c r="G202">
        <v>1797</v>
      </c>
      <c r="H202">
        <v>1</v>
      </c>
      <c r="I202" t="s">
        <v>81</v>
      </c>
      <c r="J202">
        <v>0</v>
      </c>
      <c r="K202">
        <v>2</v>
      </c>
      <c r="L202">
        <v>2</v>
      </c>
      <c r="M202">
        <v>151</v>
      </c>
      <c r="N202">
        <v>376</v>
      </c>
      <c r="O202">
        <v>2</v>
      </c>
      <c r="P202">
        <v>377</v>
      </c>
      <c r="Q202">
        <v>14</v>
      </c>
      <c r="R202">
        <v>155</v>
      </c>
      <c r="S202">
        <v>13</v>
      </c>
      <c r="T202">
        <v>22</v>
      </c>
      <c r="U202">
        <v>10</v>
      </c>
      <c r="V202">
        <v>9</v>
      </c>
      <c r="W202">
        <v>0</v>
      </c>
      <c r="X202">
        <v>8</v>
      </c>
      <c r="Y202">
        <v>99</v>
      </c>
      <c r="AA202">
        <v>3</v>
      </c>
      <c r="AC202">
        <v>0</v>
      </c>
      <c r="AD202">
        <v>0</v>
      </c>
      <c r="AE202">
        <v>0</v>
      </c>
      <c r="AF202">
        <v>0</v>
      </c>
      <c r="AG202">
        <v>2</v>
      </c>
      <c r="AH202">
        <v>8</v>
      </c>
      <c r="AI202">
        <v>1</v>
      </c>
      <c r="AJ202">
        <v>1</v>
      </c>
      <c r="AT202">
        <v>0</v>
      </c>
      <c r="AU202">
        <v>32</v>
      </c>
      <c r="AV202">
        <v>300</v>
      </c>
      <c r="AW202">
        <v>377</v>
      </c>
      <c r="AX202">
        <v>506</v>
      </c>
      <c r="BA202">
        <v>1</v>
      </c>
      <c r="BC202" t="s">
        <v>488</v>
      </c>
      <c r="BD202" s="4">
        <v>43283.59883101852</v>
      </c>
      <c r="BE202" s="4">
        <v>43283.605162037034</v>
      </c>
      <c r="BF202" s="4">
        <v>43283.605162037034</v>
      </c>
      <c r="BG202" t="s">
        <v>83</v>
      </c>
      <c r="BH202" t="s">
        <v>84</v>
      </c>
      <c r="BI202" t="s">
        <v>85</v>
      </c>
    </row>
    <row r="203" spans="1:61" x14ac:dyDescent="0.3">
      <c r="A203" t="str">
        <f>"201797E0100"</f>
        <v>201797E0100</v>
      </c>
      <c r="B203" s="2" t="s">
        <v>489</v>
      </c>
      <c r="C203">
        <v>20</v>
      </c>
      <c r="D203" t="s">
        <v>79</v>
      </c>
      <c r="E203">
        <v>1</v>
      </c>
      <c r="F203" t="s">
        <v>80</v>
      </c>
      <c r="G203">
        <v>1797</v>
      </c>
      <c r="H203">
        <v>1</v>
      </c>
      <c r="I203" t="s">
        <v>145</v>
      </c>
      <c r="J203">
        <v>0</v>
      </c>
      <c r="K203">
        <v>2</v>
      </c>
      <c r="L203">
        <v>2</v>
      </c>
      <c r="M203">
        <v>73</v>
      </c>
      <c r="N203" t="s">
        <v>100</v>
      </c>
      <c r="O203">
        <v>1</v>
      </c>
      <c r="P203">
        <v>125</v>
      </c>
      <c r="Q203">
        <v>7</v>
      </c>
      <c r="R203">
        <v>20</v>
      </c>
      <c r="S203">
        <v>29</v>
      </c>
      <c r="T203">
        <v>3</v>
      </c>
      <c r="U203">
        <v>2</v>
      </c>
      <c r="V203">
        <v>1</v>
      </c>
      <c r="W203">
        <v>0</v>
      </c>
      <c r="X203">
        <v>5</v>
      </c>
      <c r="Y203" t="s">
        <v>315</v>
      </c>
      <c r="AA203">
        <v>2</v>
      </c>
      <c r="AC203">
        <v>2</v>
      </c>
      <c r="AD203">
        <v>0</v>
      </c>
      <c r="AE203">
        <v>0</v>
      </c>
      <c r="AF203">
        <v>0</v>
      </c>
      <c r="AG203">
        <v>1</v>
      </c>
      <c r="AH203">
        <v>1</v>
      </c>
      <c r="AI203">
        <v>0</v>
      </c>
      <c r="AJ203">
        <v>0</v>
      </c>
      <c r="AT203" t="s">
        <v>100</v>
      </c>
      <c r="AU203" t="s">
        <v>100</v>
      </c>
      <c r="AV203" t="s">
        <v>100</v>
      </c>
      <c r="AW203">
        <v>73</v>
      </c>
      <c r="AX203">
        <v>176</v>
      </c>
      <c r="AZ203" t="s">
        <v>101</v>
      </c>
      <c r="BA203">
        <v>1</v>
      </c>
      <c r="BC203" t="s">
        <v>490</v>
      </c>
      <c r="BD203" s="4">
        <v>43283.590694444443</v>
      </c>
      <c r="BE203" s="4">
        <v>43283.595127314817</v>
      </c>
      <c r="BF203" s="4">
        <v>43283.595127314817</v>
      </c>
      <c r="BG203" t="s">
        <v>83</v>
      </c>
      <c r="BH203" t="s">
        <v>84</v>
      </c>
      <c r="BI203" t="s">
        <v>85</v>
      </c>
    </row>
    <row r="204" spans="1:61" x14ac:dyDescent="0.3">
      <c r="A204" t="str">
        <f>"201798B0100"</f>
        <v>201798B0100</v>
      </c>
      <c r="B204" t="s">
        <v>491</v>
      </c>
      <c r="C204">
        <v>20</v>
      </c>
      <c r="D204" t="s">
        <v>79</v>
      </c>
      <c r="E204">
        <v>1</v>
      </c>
      <c r="F204" t="s">
        <v>80</v>
      </c>
      <c r="G204">
        <v>1798</v>
      </c>
      <c r="H204">
        <v>1</v>
      </c>
      <c r="I204" t="s">
        <v>81</v>
      </c>
      <c r="J204">
        <v>0</v>
      </c>
      <c r="K204">
        <v>2</v>
      </c>
      <c r="L204">
        <v>2</v>
      </c>
      <c r="AX204">
        <v>614</v>
      </c>
      <c r="AZ204" t="s">
        <v>156</v>
      </c>
      <c r="BA204">
        <v>0</v>
      </c>
      <c r="BC204" t="s">
        <v>492</v>
      </c>
      <c r="BD204" s="4">
        <v>43283.827777777777</v>
      </c>
      <c r="BE204" s="4">
        <v>43283.828634259262</v>
      </c>
      <c r="BF204" s="4">
        <v>43283.828634259262</v>
      </c>
      <c r="BG204" t="s">
        <v>83</v>
      </c>
      <c r="BH204" t="s">
        <v>84</v>
      </c>
      <c r="BI204" t="s">
        <v>85</v>
      </c>
    </row>
    <row r="205" spans="1:61" x14ac:dyDescent="0.3">
      <c r="A205" t="str">
        <f>"201798C0100"</f>
        <v>201798C0100</v>
      </c>
      <c r="B205" t="s">
        <v>493</v>
      </c>
      <c r="C205">
        <v>20</v>
      </c>
      <c r="D205" t="s">
        <v>79</v>
      </c>
      <c r="E205">
        <v>1</v>
      </c>
      <c r="F205" t="s">
        <v>80</v>
      </c>
      <c r="G205">
        <v>1798</v>
      </c>
      <c r="H205">
        <v>1</v>
      </c>
      <c r="I205" t="s">
        <v>89</v>
      </c>
      <c r="J205">
        <v>0</v>
      </c>
      <c r="K205">
        <v>2</v>
      </c>
      <c r="L205">
        <v>2</v>
      </c>
      <c r="M205">
        <v>233</v>
      </c>
      <c r="N205">
        <v>403</v>
      </c>
      <c r="O205">
        <v>1</v>
      </c>
      <c r="P205">
        <v>403</v>
      </c>
      <c r="Q205">
        <v>25</v>
      </c>
      <c r="R205">
        <v>156</v>
      </c>
      <c r="S205">
        <v>15</v>
      </c>
      <c r="T205">
        <v>16</v>
      </c>
      <c r="U205">
        <v>8</v>
      </c>
      <c r="V205">
        <v>49</v>
      </c>
      <c r="W205">
        <v>2</v>
      </c>
      <c r="X205">
        <v>15</v>
      </c>
      <c r="Y205">
        <v>75</v>
      </c>
      <c r="AA205">
        <v>3</v>
      </c>
      <c r="AC205">
        <v>1</v>
      </c>
      <c r="AD205">
        <v>2</v>
      </c>
      <c r="AE205">
        <v>7</v>
      </c>
      <c r="AF205">
        <v>0</v>
      </c>
      <c r="AG205">
        <v>3</v>
      </c>
      <c r="AH205">
        <v>4</v>
      </c>
      <c r="AI205">
        <v>0</v>
      </c>
      <c r="AJ205">
        <v>0</v>
      </c>
      <c r="AT205">
        <v>0</v>
      </c>
      <c r="AU205">
        <v>22</v>
      </c>
      <c r="AV205">
        <v>403</v>
      </c>
      <c r="AW205">
        <v>403</v>
      </c>
      <c r="AX205">
        <v>614</v>
      </c>
      <c r="BA205">
        <v>1</v>
      </c>
      <c r="BC205" t="s">
        <v>494</v>
      </c>
      <c r="BD205" s="4">
        <v>43283.603171296294</v>
      </c>
      <c r="BE205" s="4">
        <v>43283.606817129628</v>
      </c>
      <c r="BF205" s="4">
        <v>43283.606817129628</v>
      </c>
      <c r="BG205" t="s">
        <v>83</v>
      </c>
      <c r="BH205" t="s">
        <v>84</v>
      </c>
      <c r="BI205" t="s">
        <v>85</v>
      </c>
    </row>
    <row r="206" spans="1:61" x14ac:dyDescent="0.3">
      <c r="A206" t="str">
        <f>"201799B0100"</f>
        <v>201799B0100</v>
      </c>
      <c r="B206" t="s">
        <v>495</v>
      </c>
      <c r="C206">
        <v>20</v>
      </c>
      <c r="D206" t="s">
        <v>79</v>
      </c>
      <c r="E206">
        <v>1</v>
      </c>
      <c r="F206" t="s">
        <v>80</v>
      </c>
      <c r="G206">
        <v>1799</v>
      </c>
      <c r="H206">
        <v>1</v>
      </c>
      <c r="I206" t="s">
        <v>81</v>
      </c>
      <c r="J206">
        <v>0</v>
      </c>
      <c r="K206">
        <v>2</v>
      </c>
      <c r="L206">
        <v>2</v>
      </c>
      <c r="M206">
        <v>212</v>
      </c>
      <c r="N206">
        <v>526</v>
      </c>
      <c r="O206">
        <v>1</v>
      </c>
      <c r="P206">
        <v>314</v>
      </c>
      <c r="Q206">
        <v>38</v>
      </c>
      <c r="R206">
        <v>90</v>
      </c>
      <c r="S206">
        <v>5</v>
      </c>
      <c r="T206">
        <v>8</v>
      </c>
      <c r="U206">
        <v>6</v>
      </c>
      <c r="V206">
        <v>38</v>
      </c>
      <c r="W206">
        <v>0</v>
      </c>
      <c r="X206">
        <v>6</v>
      </c>
      <c r="Y206">
        <v>91</v>
      </c>
      <c r="AA206">
        <v>0</v>
      </c>
      <c r="AC206">
        <v>0</v>
      </c>
      <c r="AD206">
        <v>6</v>
      </c>
      <c r="AE206">
        <v>0</v>
      </c>
      <c r="AF206">
        <v>0</v>
      </c>
      <c r="AG206">
        <v>3</v>
      </c>
      <c r="AH206">
        <v>1</v>
      </c>
      <c r="AI206">
        <v>0</v>
      </c>
      <c r="AJ206">
        <v>0</v>
      </c>
      <c r="AT206">
        <v>0</v>
      </c>
      <c r="AU206">
        <v>12</v>
      </c>
      <c r="AV206">
        <v>314</v>
      </c>
      <c r="AW206">
        <v>304</v>
      </c>
      <c r="AX206">
        <v>504</v>
      </c>
      <c r="BA206">
        <v>1</v>
      </c>
      <c r="BC206" t="s">
        <v>496</v>
      </c>
      <c r="BD206" s="4">
        <v>43283.627083333333</v>
      </c>
      <c r="BE206" s="4">
        <v>43283.631041666667</v>
      </c>
      <c r="BF206" s="4">
        <v>43283.631041666667</v>
      </c>
      <c r="BG206" t="s">
        <v>83</v>
      </c>
      <c r="BH206" t="s">
        <v>84</v>
      </c>
      <c r="BI206" t="s">
        <v>85</v>
      </c>
    </row>
    <row r="207" spans="1:61" x14ac:dyDescent="0.3">
      <c r="A207" t="str">
        <f>"201800B0100"</f>
        <v>201800B0100</v>
      </c>
      <c r="B207" t="s">
        <v>497</v>
      </c>
      <c r="C207">
        <v>20</v>
      </c>
      <c r="D207" t="s">
        <v>79</v>
      </c>
      <c r="E207">
        <v>1</v>
      </c>
      <c r="F207" t="s">
        <v>80</v>
      </c>
      <c r="G207">
        <v>1800</v>
      </c>
      <c r="H207">
        <v>1</v>
      </c>
      <c r="I207" t="s">
        <v>81</v>
      </c>
      <c r="J207">
        <v>0</v>
      </c>
      <c r="K207">
        <v>2</v>
      </c>
      <c r="L207">
        <v>2</v>
      </c>
      <c r="M207">
        <v>201</v>
      </c>
      <c r="N207">
        <v>263</v>
      </c>
      <c r="O207">
        <v>4</v>
      </c>
      <c r="P207">
        <v>263</v>
      </c>
      <c r="Q207">
        <v>11</v>
      </c>
      <c r="R207">
        <v>67</v>
      </c>
      <c r="S207">
        <v>7</v>
      </c>
      <c r="T207">
        <v>9</v>
      </c>
      <c r="U207">
        <v>13</v>
      </c>
      <c r="V207">
        <v>13</v>
      </c>
      <c r="W207">
        <v>1</v>
      </c>
      <c r="X207">
        <v>3</v>
      </c>
      <c r="Y207">
        <v>100</v>
      </c>
      <c r="AA207">
        <v>1</v>
      </c>
      <c r="AC207">
        <v>0</v>
      </c>
      <c r="AD207">
        <v>0</v>
      </c>
      <c r="AE207">
        <v>2</v>
      </c>
      <c r="AF207">
        <v>0</v>
      </c>
      <c r="AG207">
        <v>5</v>
      </c>
      <c r="AH207">
        <v>2</v>
      </c>
      <c r="AI207">
        <v>1</v>
      </c>
      <c r="AJ207">
        <v>0</v>
      </c>
      <c r="AT207">
        <v>0</v>
      </c>
      <c r="AU207">
        <v>28</v>
      </c>
      <c r="AV207">
        <v>263</v>
      </c>
      <c r="AW207">
        <v>263</v>
      </c>
      <c r="AX207">
        <v>442</v>
      </c>
      <c r="BA207">
        <v>1</v>
      </c>
      <c r="BC207" t="s">
        <v>498</v>
      </c>
      <c r="BD207" s="4">
        <v>43283.593680555554</v>
      </c>
      <c r="BE207" s="4">
        <v>43283.59684027778</v>
      </c>
      <c r="BF207" s="4">
        <v>43283.59684027778</v>
      </c>
      <c r="BG207" t="s">
        <v>83</v>
      </c>
      <c r="BH207" t="s">
        <v>84</v>
      </c>
      <c r="BI207" t="s">
        <v>85</v>
      </c>
    </row>
    <row r="208" spans="1:61" x14ac:dyDescent="0.3">
      <c r="A208" t="str">
        <f>"201800C0100"</f>
        <v>201800C0100</v>
      </c>
      <c r="B208" t="s">
        <v>499</v>
      </c>
      <c r="C208">
        <v>20</v>
      </c>
      <c r="D208" t="s">
        <v>79</v>
      </c>
      <c r="E208">
        <v>1</v>
      </c>
      <c r="F208" t="s">
        <v>80</v>
      </c>
      <c r="G208">
        <v>1800</v>
      </c>
      <c r="H208">
        <v>1</v>
      </c>
      <c r="I208" t="s">
        <v>89</v>
      </c>
      <c r="J208">
        <v>0</v>
      </c>
      <c r="K208">
        <v>2</v>
      </c>
      <c r="L208">
        <v>2</v>
      </c>
      <c r="M208">
        <v>188</v>
      </c>
      <c r="N208">
        <v>275</v>
      </c>
      <c r="O208">
        <v>2</v>
      </c>
      <c r="P208">
        <v>275</v>
      </c>
      <c r="Q208">
        <v>34</v>
      </c>
      <c r="R208">
        <v>77</v>
      </c>
      <c r="S208">
        <v>6</v>
      </c>
      <c r="T208">
        <v>9</v>
      </c>
      <c r="U208">
        <v>8</v>
      </c>
      <c r="V208">
        <v>11</v>
      </c>
      <c r="W208">
        <v>3</v>
      </c>
      <c r="X208">
        <v>9</v>
      </c>
      <c r="Y208">
        <v>90</v>
      </c>
      <c r="AA208">
        <v>2</v>
      </c>
      <c r="AC208">
        <v>2</v>
      </c>
      <c r="AD208">
        <v>0</v>
      </c>
      <c r="AE208">
        <v>1</v>
      </c>
      <c r="AF208">
        <v>0</v>
      </c>
      <c r="AG208">
        <v>3</v>
      </c>
      <c r="AH208">
        <v>4</v>
      </c>
      <c r="AI208">
        <v>0</v>
      </c>
      <c r="AJ208">
        <v>0</v>
      </c>
      <c r="AT208">
        <v>0</v>
      </c>
      <c r="AU208">
        <v>16</v>
      </c>
      <c r="AV208">
        <v>275</v>
      </c>
      <c r="AW208">
        <v>275</v>
      </c>
      <c r="AX208">
        <v>441</v>
      </c>
      <c r="BA208">
        <v>1</v>
      </c>
      <c r="BC208" t="s">
        <v>500</v>
      </c>
      <c r="BD208" s="4">
        <v>43283.595833333333</v>
      </c>
      <c r="BE208" s="4">
        <v>43283.598495370374</v>
      </c>
      <c r="BF208" s="4">
        <v>43283.598495370374</v>
      </c>
      <c r="BG208" t="s">
        <v>83</v>
      </c>
      <c r="BH208" t="s">
        <v>84</v>
      </c>
      <c r="BI208" t="s">
        <v>85</v>
      </c>
    </row>
    <row r="209" spans="1:61" x14ac:dyDescent="0.3">
      <c r="A209" t="str">
        <f>"201801B0100"</f>
        <v>201801B0100</v>
      </c>
      <c r="B209" t="s">
        <v>501</v>
      </c>
      <c r="C209">
        <v>20</v>
      </c>
      <c r="D209" t="s">
        <v>79</v>
      </c>
      <c r="E209">
        <v>1</v>
      </c>
      <c r="F209" t="s">
        <v>80</v>
      </c>
      <c r="G209">
        <v>1801</v>
      </c>
      <c r="H209">
        <v>1</v>
      </c>
      <c r="I209" t="s">
        <v>81</v>
      </c>
      <c r="J209">
        <v>0</v>
      </c>
      <c r="K209">
        <v>2</v>
      </c>
      <c r="L209">
        <v>2</v>
      </c>
      <c r="M209">
        <v>78</v>
      </c>
      <c r="N209">
        <v>56</v>
      </c>
      <c r="O209">
        <v>4</v>
      </c>
      <c r="P209">
        <v>56</v>
      </c>
      <c r="Q209">
        <v>5</v>
      </c>
      <c r="R209">
        <v>19</v>
      </c>
      <c r="S209">
        <v>2</v>
      </c>
      <c r="T209">
        <v>2</v>
      </c>
      <c r="U209">
        <v>1</v>
      </c>
      <c r="V209">
        <v>4</v>
      </c>
      <c r="W209">
        <v>1</v>
      </c>
      <c r="X209">
        <v>1</v>
      </c>
      <c r="Y209">
        <v>13</v>
      </c>
      <c r="AA209">
        <v>1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T209">
        <v>0</v>
      </c>
      <c r="AU209">
        <v>7</v>
      </c>
      <c r="AV209">
        <v>56</v>
      </c>
      <c r="AW209">
        <v>56</v>
      </c>
      <c r="AX209">
        <v>112</v>
      </c>
      <c r="BA209">
        <v>1</v>
      </c>
      <c r="BC209" t="s">
        <v>502</v>
      </c>
      <c r="BD209" s="4">
        <v>43283.590590277781</v>
      </c>
      <c r="BE209" s="4">
        <v>43283.593819444446</v>
      </c>
      <c r="BF209" s="4">
        <v>43283.593819444446</v>
      </c>
      <c r="BG209" t="s">
        <v>83</v>
      </c>
      <c r="BH209" t="s">
        <v>84</v>
      </c>
      <c r="BI209" t="s">
        <v>85</v>
      </c>
    </row>
    <row r="210" spans="1:61" x14ac:dyDescent="0.3">
      <c r="A210" t="str">
        <f>"201802B0100"</f>
        <v>201802B0100</v>
      </c>
      <c r="B210" t="s">
        <v>503</v>
      </c>
      <c r="C210">
        <v>20</v>
      </c>
      <c r="D210" t="s">
        <v>79</v>
      </c>
      <c r="E210">
        <v>1</v>
      </c>
      <c r="F210" t="s">
        <v>80</v>
      </c>
      <c r="G210">
        <v>1802</v>
      </c>
      <c r="H210">
        <v>1</v>
      </c>
      <c r="I210" t="s">
        <v>81</v>
      </c>
      <c r="J210">
        <v>0</v>
      </c>
      <c r="K210">
        <v>2</v>
      </c>
      <c r="L210">
        <v>2</v>
      </c>
      <c r="M210">
        <v>125</v>
      </c>
      <c r="N210">
        <v>306</v>
      </c>
      <c r="O210">
        <v>1</v>
      </c>
      <c r="P210">
        <v>306</v>
      </c>
      <c r="Q210">
        <v>17</v>
      </c>
      <c r="R210">
        <v>123</v>
      </c>
      <c r="S210">
        <v>25</v>
      </c>
      <c r="T210">
        <v>13</v>
      </c>
      <c r="U210">
        <v>4</v>
      </c>
      <c r="V210">
        <v>6</v>
      </c>
      <c r="W210">
        <v>2</v>
      </c>
      <c r="X210">
        <v>8</v>
      </c>
      <c r="Y210">
        <v>64</v>
      </c>
      <c r="AA210">
        <v>0</v>
      </c>
      <c r="AC210">
        <v>1</v>
      </c>
      <c r="AD210">
        <v>0</v>
      </c>
      <c r="AE210">
        <v>0</v>
      </c>
      <c r="AF210">
        <v>0</v>
      </c>
      <c r="AG210">
        <v>10</v>
      </c>
      <c r="AH210">
        <v>1</v>
      </c>
      <c r="AI210">
        <v>1</v>
      </c>
      <c r="AJ210">
        <v>0</v>
      </c>
      <c r="AT210">
        <v>0</v>
      </c>
      <c r="AU210">
        <v>31</v>
      </c>
      <c r="AV210">
        <v>306</v>
      </c>
      <c r="AW210">
        <v>306</v>
      </c>
      <c r="AX210">
        <v>416</v>
      </c>
      <c r="BA210">
        <v>1</v>
      </c>
      <c r="BC210" t="s">
        <v>504</v>
      </c>
      <c r="BD210" s="4">
        <v>43283.591064814813</v>
      </c>
      <c r="BE210" s="4">
        <v>43283.59746527778</v>
      </c>
      <c r="BF210" s="4">
        <v>43283.59746527778</v>
      </c>
      <c r="BG210" t="s">
        <v>83</v>
      </c>
      <c r="BH210" t="s">
        <v>84</v>
      </c>
      <c r="BI210" t="s">
        <v>85</v>
      </c>
    </row>
    <row r="211" spans="1:61" x14ac:dyDescent="0.3">
      <c r="A211" t="str">
        <f>"201802C0100"</f>
        <v>201802C0100</v>
      </c>
      <c r="B211" t="s">
        <v>505</v>
      </c>
      <c r="C211">
        <v>20</v>
      </c>
      <c r="D211" t="s">
        <v>79</v>
      </c>
      <c r="E211">
        <v>1</v>
      </c>
      <c r="F211" t="s">
        <v>80</v>
      </c>
      <c r="G211">
        <v>1802</v>
      </c>
      <c r="H211">
        <v>1</v>
      </c>
      <c r="I211" t="s">
        <v>89</v>
      </c>
      <c r="J211">
        <v>0</v>
      </c>
      <c r="K211">
        <v>2</v>
      </c>
      <c r="L211">
        <v>2</v>
      </c>
      <c r="AX211">
        <v>416</v>
      </c>
      <c r="AZ211" t="s">
        <v>156</v>
      </c>
      <c r="BA211">
        <v>0</v>
      </c>
      <c r="BC211" t="s">
        <v>506</v>
      </c>
      <c r="BD211" s="4">
        <v>43283.823321759257</v>
      </c>
      <c r="BE211" s="4">
        <v>43283.825509259259</v>
      </c>
      <c r="BF211" s="4">
        <v>43283.825509259259</v>
      </c>
      <c r="BG211" t="s">
        <v>83</v>
      </c>
      <c r="BH211" t="s">
        <v>84</v>
      </c>
      <c r="BI211" t="s">
        <v>85</v>
      </c>
    </row>
    <row r="212" spans="1:61" x14ac:dyDescent="0.3">
      <c r="A212" t="str">
        <f>"201803B0100"</f>
        <v>201803B0100</v>
      </c>
      <c r="B212" t="s">
        <v>507</v>
      </c>
      <c r="C212">
        <v>20</v>
      </c>
      <c r="D212" t="s">
        <v>79</v>
      </c>
      <c r="E212">
        <v>1</v>
      </c>
      <c r="F212" t="s">
        <v>80</v>
      </c>
      <c r="G212">
        <v>1803</v>
      </c>
      <c r="H212">
        <v>1</v>
      </c>
      <c r="I212" t="s">
        <v>81</v>
      </c>
      <c r="J212">
        <v>0</v>
      </c>
      <c r="K212">
        <v>2</v>
      </c>
      <c r="L212">
        <v>2</v>
      </c>
      <c r="AX212">
        <v>522</v>
      </c>
      <c r="AZ212" t="s">
        <v>156</v>
      </c>
      <c r="BA212">
        <v>0</v>
      </c>
      <c r="BC212" t="s">
        <v>508</v>
      </c>
      <c r="BD212" s="4">
        <v>43283.822893518518</v>
      </c>
      <c r="BE212" s="4">
        <v>43283.825659722221</v>
      </c>
      <c r="BF212" s="4">
        <v>43283.825659722221</v>
      </c>
      <c r="BG212" t="s">
        <v>83</v>
      </c>
      <c r="BH212" t="s">
        <v>84</v>
      </c>
      <c r="BI212" t="s">
        <v>85</v>
      </c>
    </row>
    <row r="213" spans="1:61" x14ac:dyDescent="0.3">
      <c r="A213" t="str">
        <f>"201803E0100"</f>
        <v>201803E0100</v>
      </c>
      <c r="B213" s="2" t="s">
        <v>509</v>
      </c>
      <c r="C213">
        <v>20</v>
      </c>
      <c r="D213" t="s">
        <v>79</v>
      </c>
      <c r="E213">
        <v>1</v>
      </c>
      <c r="F213" t="s">
        <v>80</v>
      </c>
      <c r="G213">
        <v>1803</v>
      </c>
      <c r="H213">
        <v>1</v>
      </c>
      <c r="I213" t="s">
        <v>145</v>
      </c>
      <c r="J213">
        <v>0</v>
      </c>
      <c r="K213">
        <v>2</v>
      </c>
      <c r="L213">
        <v>2</v>
      </c>
      <c r="M213">
        <v>55</v>
      </c>
      <c r="N213">
        <v>84</v>
      </c>
      <c r="O213">
        <v>4</v>
      </c>
      <c r="P213">
        <v>84</v>
      </c>
      <c r="Q213">
        <v>26</v>
      </c>
      <c r="R213">
        <v>23</v>
      </c>
      <c r="S213">
        <v>2</v>
      </c>
      <c r="T213">
        <v>2</v>
      </c>
      <c r="U213">
        <v>0</v>
      </c>
      <c r="V213">
        <v>7</v>
      </c>
      <c r="W213">
        <v>1</v>
      </c>
      <c r="X213">
        <v>1</v>
      </c>
      <c r="Y213">
        <v>11</v>
      </c>
      <c r="AA213">
        <v>1</v>
      </c>
      <c r="AC213">
        <v>0</v>
      </c>
      <c r="AD213">
        <v>0</v>
      </c>
      <c r="AE213">
        <v>0</v>
      </c>
      <c r="AF213">
        <v>1</v>
      </c>
      <c r="AG213">
        <v>1</v>
      </c>
      <c r="AH213">
        <v>0</v>
      </c>
      <c r="AI213">
        <v>0</v>
      </c>
      <c r="AJ213">
        <v>0</v>
      </c>
      <c r="AT213">
        <v>0</v>
      </c>
      <c r="AU213">
        <v>9</v>
      </c>
      <c r="AV213">
        <v>84</v>
      </c>
      <c r="AW213">
        <v>85</v>
      </c>
      <c r="AX213">
        <v>117</v>
      </c>
      <c r="BA213">
        <v>1</v>
      </c>
      <c r="BC213" t="s">
        <v>510</v>
      </c>
      <c r="BD213" s="4">
        <v>43283.590868055559</v>
      </c>
      <c r="BE213" s="4">
        <v>43283.595439814817</v>
      </c>
      <c r="BF213" s="4">
        <v>43283.595439814817</v>
      </c>
      <c r="BG213" t="s">
        <v>83</v>
      </c>
      <c r="BH213" t="s">
        <v>84</v>
      </c>
      <c r="BI213" t="s">
        <v>85</v>
      </c>
    </row>
    <row r="214" spans="1:61" x14ac:dyDescent="0.3">
      <c r="A214" t="str">
        <f>"201804B0100"</f>
        <v>201804B0100</v>
      </c>
      <c r="B214" t="s">
        <v>511</v>
      </c>
      <c r="C214">
        <v>20</v>
      </c>
      <c r="D214" t="s">
        <v>79</v>
      </c>
      <c r="E214">
        <v>1</v>
      </c>
      <c r="F214" t="s">
        <v>80</v>
      </c>
      <c r="G214">
        <v>1804</v>
      </c>
      <c r="H214">
        <v>1</v>
      </c>
      <c r="I214" t="s">
        <v>81</v>
      </c>
      <c r="J214">
        <v>0</v>
      </c>
      <c r="K214">
        <v>2</v>
      </c>
      <c r="L214">
        <v>2</v>
      </c>
      <c r="AX214">
        <v>217</v>
      </c>
      <c r="AZ214" t="s">
        <v>156</v>
      </c>
      <c r="BA214">
        <v>0</v>
      </c>
      <c r="BC214" t="s">
        <v>512</v>
      </c>
      <c r="BD214" s="4">
        <v>43283.822546296295</v>
      </c>
      <c r="BE214" s="4">
        <v>43283.825324074074</v>
      </c>
      <c r="BF214" s="4">
        <v>43283.825324074074</v>
      </c>
      <c r="BG214" t="s">
        <v>83</v>
      </c>
      <c r="BH214" t="s">
        <v>84</v>
      </c>
      <c r="BI214" t="s">
        <v>85</v>
      </c>
    </row>
    <row r="215" spans="1:61" x14ac:dyDescent="0.3">
      <c r="A215" t="str">
        <f>"201805B0100"</f>
        <v>201805B0100</v>
      </c>
      <c r="B215" t="s">
        <v>513</v>
      </c>
      <c r="C215">
        <v>20</v>
      </c>
      <c r="D215" t="s">
        <v>79</v>
      </c>
      <c r="E215">
        <v>1</v>
      </c>
      <c r="F215" t="s">
        <v>80</v>
      </c>
      <c r="G215">
        <v>1805</v>
      </c>
      <c r="H215">
        <v>1</v>
      </c>
      <c r="I215" t="s">
        <v>81</v>
      </c>
      <c r="J215">
        <v>0</v>
      </c>
      <c r="K215">
        <v>2</v>
      </c>
      <c r="L215">
        <v>2</v>
      </c>
      <c r="AX215">
        <v>521</v>
      </c>
      <c r="AZ215" t="s">
        <v>156</v>
      </c>
      <c r="BA215">
        <v>0</v>
      </c>
      <c r="BC215" t="s">
        <v>514</v>
      </c>
      <c r="BD215" s="4">
        <v>43283.823449074072</v>
      </c>
      <c r="BE215" s="4">
        <v>43283.824861111112</v>
      </c>
      <c r="BF215" s="4">
        <v>43283.824861111112</v>
      </c>
      <c r="BG215" t="s">
        <v>83</v>
      </c>
      <c r="BH215" t="s">
        <v>84</v>
      </c>
      <c r="BI215" t="s">
        <v>85</v>
      </c>
    </row>
    <row r="216" spans="1:61" x14ac:dyDescent="0.3">
      <c r="A216" t="str">
        <f>"201805E0100"</f>
        <v>201805E0100</v>
      </c>
      <c r="B216" s="2" t="s">
        <v>515</v>
      </c>
      <c r="C216">
        <v>20</v>
      </c>
      <c r="D216" t="s">
        <v>79</v>
      </c>
      <c r="E216">
        <v>1</v>
      </c>
      <c r="F216" t="s">
        <v>80</v>
      </c>
      <c r="G216">
        <v>1805</v>
      </c>
      <c r="H216">
        <v>1</v>
      </c>
      <c r="I216" t="s">
        <v>145</v>
      </c>
      <c r="J216">
        <v>0</v>
      </c>
      <c r="K216">
        <v>2</v>
      </c>
      <c r="L216">
        <v>2</v>
      </c>
      <c r="M216">
        <v>196</v>
      </c>
      <c r="N216">
        <v>431</v>
      </c>
      <c r="O216">
        <v>1</v>
      </c>
      <c r="P216">
        <v>0</v>
      </c>
      <c r="Q216">
        <v>47</v>
      </c>
      <c r="R216">
        <v>108</v>
      </c>
      <c r="S216">
        <v>35</v>
      </c>
      <c r="T216">
        <v>10</v>
      </c>
      <c r="U216">
        <v>9</v>
      </c>
      <c r="V216">
        <v>1</v>
      </c>
      <c r="W216">
        <v>1</v>
      </c>
      <c r="X216">
        <v>9</v>
      </c>
      <c r="Y216">
        <v>153</v>
      </c>
      <c r="AA216">
        <v>1</v>
      </c>
      <c r="AC216">
        <v>1</v>
      </c>
      <c r="AD216">
        <v>2</v>
      </c>
      <c r="AE216">
        <v>0</v>
      </c>
      <c r="AF216">
        <v>0</v>
      </c>
      <c r="AG216">
        <v>4</v>
      </c>
      <c r="AH216">
        <v>16</v>
      </c>
      <c r="AI216">
        <v>0</v>
      </c>
      <c r="AJ216">
        <v>0</v>
      </c>
      <c r="AT216">
        <v>0</v>
      </c>
      <c r="AU216">
        <v>34</v>
      </c>
      <c r="AV216">
        <v>431</v>
      </c>
      <c r="AW216">
        <v>431</v>
      </c>
      <c r="AX216">
        <v>605</v>
      </c>
      <c r="BA216">
        <v>1</v>
      </c>
      <c r="BC216" t="s">
        <v>516</v>
      </c>
      <c r="BD216" s="4">
        <v>43283.608136574076</v>
      </c>
      <c r="BE216" s="4">
        <v>43283.611967592595</v>
      </c>
      <c r="BF216" s="4">
        <v>43283.611967592595</v>
      </c>
      <c r="BG216" t="s">
        <v>83</v>
      </c>
      <c r="BH216" t="s">
        <v>84</v>
      </c>
      <c r="BI216" t="s">
        <v>85</v>
      </c>
    </row>
    <row r="217" spans="1:61" x14ac:dyDescent="0.3">
      <c r="A217" t="str">
        <f>"201806B0100"</f>
        <v>201806B0100</v>
      </c>
      <c r="B217" t="s">
        <v>517</v>
      </c>
      <c r="C217">
        <v>20</v>
      </c>
      <c r="D217" t="s">
        <v>79</v>
      </c>
      <c r="E217">
        <v>1</v>
      </c>
      <c r="F217" t="s">
        <v>80</v>
      </c>
      <c r="G217">
        <v>1806</v>
      </c>
      <c r="H217">
        <v>1</v>
      </c>
      <c r="I217" t="s">
        <v>81</v>
      </c>
      <c r="J217">
        <v>0</v>
      </c>
      <c r="K217">
        <v>2</v>
      </c>
      <c r="L217">
        <v>2</v>
      </c>
      <c r="M217">
        <v>162</v>
      </c>
      <c r="N217">
        <v>180</v>
      </c>
      <c r="O217">
        <v>2</v>
      </c>
      <c r="P217">
        <v>180</v>
      </c>
      <c r="Q217">
        <v>19</v>
      </c>
      <c r="R217">
        <v>66</v>
      </c>
      <c r="S217">
        <v>35</v>
      </c>
      <c r="T217">
        <v>3</v>
      </c>
      <c r="U217">
        <v>4</v>
      </c>
      <c r="V217">
        <v>4</v>
      </c>
      <c r="W217">
        <v>3</v>
      </c>
      <c r="X217">
        <v>3</v>
      </c>
      <c r="Y217">
        <v>23</v>
      </c>
      <c r="AA217">
        <v>2</v>
      </c>
      <c r="AC217">
        <v>0</v>
      </c>
      <c r="AD217">
        <v>0</v>
      </c>
      <c r="AE217">
        <v>0</v>
      </c>
      <c r="AF217">
        <v>0</v>
      </c>
      <c r="AG217">
        <v>2</v>
      </c>
      <c r="AH217">
        <v>1</v>
      </c>
      <c r="AI217">
        <v>2</v>
      </c>
      <c r="AJ217">
        <v>2</v>
      </c>
      <c r="AT217">
        <v>2</v>
      </c>
      <c r="AU217">
        <v>15</v>
      </c>
      <c r="AV217">
        <v>180</v>
      </c>
      <c r="AW217">
        <v>186</v>
      </c>
      <c r="AX217">
        <v>320</v>
      </c>
      <c r="BA217">
        <v>1</v>
      </c>
      <c r="BC217" t="s">
        <v>518</v>
      </c>
      <c r="BD217" s="4">
        <v>43283.595995370371</v>
      </c>
      <c r="BE217" s="4">
        <v>43283.598912037036</v>
      </c>
      <c r="BF217" s="4">
        <v>43283.598912037036</v>
      </c>
      <c r="BG217" t="s">
        <v>83</v>
      </c>
      <c r="BH217" t="s">
        <v>84</v>
      </c>
      <c r="BI217" t="s">
        <v>85</v>
      </c>
    </row>
    <row r="218" spans="1:61" x14ac:dyDescent="0.3">
      <c r="A218" t="str">
        <f>"201807B0100"</f>
        <v>201807B0100</v>
      </c>
      <c r="B218" t="s">
        <v>519</v>
      </c>
      <c r="C218">
        <v>20</v>
      </c>
      <c r="D218" t="s">
        <v>79</v>
      </c>
      <c r="E218">
        <v>1</v>
      </c>
      <c r="F218" t="s">
        <v>80</v>
      </c>
      <c r="G218">
        <v>1807</v>
      </c>
      <c r="H218">
        <v>1</v>
      </c>
      <c r="I218" t="s">
        <v>81</v>
      </c>
      <c r="J218">
        <v>0</v>
      </c>
      <c r="K218">
        <v>2</v>
      </c>
      <c r="L218">
        <v>2</v>
      </c>
      <c r="AX218">
        <v>298</v>
      </c>
      <c r="AZ218" t="s">
        <v>156</v>
      </c>
      <c r="BA218">
        <v>0</v>
      </c>
      <c r="BC218" t="s">
        <v>520</v>
      </c>
      <c r="BD218" s="4">
        <v>43283.815659722219</v>
      </c>
      <c r="BE218" s="4">
        <v>43283.818182870367</v>
      </c>
      <c r="BF218" s="4">
        <v>43283.818182870367</v>
      </c>
      <c r="BG218" t="s">
        <v>83</v>
      </c>
      <c r="BH218" t="s">
        <v>84</v>
      </c>
      <c r="BI218" t="s">
        <v>85</v>
      </c>
    </row>
    <row r="219" spans="1:61" x14ac:dyDescent="0.3">
      <c r="A219" t="str">
        <f>"201808B0100"</f>
        <v>201808B0100</v>
      </c>
      <c r="B219" t="s">
        <v>521</v>
      </c>
      <c r="C219">
        <v>20</v>
      </c>
      <c r="D219" t="s">
        <v>79</v>
      </c>
      <c r="E219">
        <v>1</v>
      </c>
      <c r="F219" t="s">
        <v>80</v>
      </c>
      <c r="G219">
        <v>1808</v>
      </c>
      <c r="H219">
        <v>1</v>
      </c>
      <c r="I219" t="s">
        <v>81</v>
      </c>
      <c r="J219">
        <v>0</v>
      </c>
      <c r="K219">
        <v>2</v>
      </c>
      <c r="L219">
        <v>2</v>
      </c>
      <c r="AX219">
        <v>523</v>
      </c>
      <c r="AZ219" t="s">
        <v>156</v>
      </c>
      <c r="BA219">
        <v>0</v>
      </c>
      <c r="BC219" t="s">
        <v>522</v>
      </c>
      <c r="BD219" s="4">
        <v>43283.81659722222</v>
      </c>
      <c r="BE219" s="4">
        <v>43283.819456018522</v>
      </c>
      <c r="BF219" s="4">
        <v>43283.819456018522</v>
      </c>
      <c r="BG219" t="s">
        <v>83</v>
      </c>
      <c r="BH219" t="s">
        <v>84</v>
      </c>
      <c r="BI219" t="s">
        <v>85</v>
      </c>
    </row>
    <row r="220" spans="1:61" x14ac:dyDescent="0.3">
      <c r="A220" t="str">
        <f>"201809B0100"</f>
        <v>201809B0100</v>
      </c>
      <c r="B220" t="s">
        <v>523</v>
      </c>
      <c r="C220">
        <v>20</v>
      </c>
      <c r="D220" t="s">
        <v>79</v>
      </c>
      <c r="E220">
        <v>1</v>
      </c>
      <c r="F220" t="s">
        <v>80</v>
      </c>
      <c r="G220">
        <v>1809</v>
      </c>
      <c r="H220">
        <v>1</v>
      </c>
      <c r="I220" t="s">
        <v>81</v>
      </c>
      <c r="J220">
        <v>0</v>
      </c>
      <c r="K220">
        <v>2</v>
      </c>
      <c r="L220">
        <v>2</v>
      </c>
      <c r="M220">
        <v>231</v>
      </c>
      <c r="N220">
        <v>400</v>
      </c>
      <c r="O220">
        <v>2</v>
      </c>
      <c r="P220">
        <v>400</v>
      </c>
      <c r="Q220">
        <v>55</v>
      </c>
      <c r="R220">
        <v>140</v>
      </c>
      <c r="S220">
        <v>5</v>
      </c>
      <c r="T220">
        <v>26</v>
      </c>
      <c r="U220">
        <v>7</v>
      </c>
      <c r="V220">
        <v>3</v>
      </c>
      <c r="W220">
        <v>9</v>
      </c>
      <c r="X220">
        <v>7</v>
      </c>
      <c r="Y220">
        <v>80</v>
      </c>
      <c r="AA220">
        <v>1</v>
      </c>
      <c r="AC220">
        <v>0</v>
      </c>
      <c r="AD220">
        <v>0</v>
      </c>
      <c r="AE220">
        <v>0</v>
      </c>
      <c r="AF220">
        <v>0</v>
      </c>
      <c r="AG220">
        <v>8</v>
      </c>
      <c r="AH220">
        <v>14</v>
      </c>
      <c r="AI220">
        <v>2</v>
      </c>
      <c r="AJ220">
        <v>0</v>
      </c>
      <c r="AT220">
        <v>0</v>
      </c>
      <c r="AU220">
        <v>43</v>
      </c>
      <c r="AV220">
        <v>400</v>
      </c>
      <c r="AW220">
        <v>400</v>
      </c>
      <c r="AX220">
        <v>609</v>
      </c>
      <c r="BA220">
        <v>1</v>
      </c>
      <c r="BC220" t="s">
        <v>524</v>
      </c>
      <c r="BD220" s="4">
        <v>43283.608043981483</v>
      </c>
      <c r="BE220" s="4">
        <v>43283.618171296293</v>
      </c>
      <c r="BF220" s="4">
        <v>43283.618171296293</v>
      </c>
      <c r="BG220" t="s">
        <v>83</v>
      </c>
      <c r="BH220" t="s">
        <v>84</v>
      </c>
      <c r="BI220" t="s">
        <v>85</v>
      </c>
    </row>
    <row r="221" spans="1:61" x14ac:dyDescent="0.3">
      <c r="A221" t="str">
        <f>"201809E0100"</f>
        <v>201809E0100</v>
      </c>
      <c r="B221" s="2" t="s">
        <v>525</v>
      </c>
      <c r="C221">
        <v>20</v>
      </c>
      <c r="D221" t="s">
        <v>79</v>
      </c>
      <c r="E221">
        <v>1</v>
      </c>
      <c r="F221" t="s">
        <v>80</v>
      </c>
      <c r="G221">
        <v>1809</v>
      </c>
      <c r="H221">
        <v>1</v>
      </c>
      <c r="I221" t="s">
        <v>145</v>
      </c>
      <c r="J221">
        <v>0</v>
      </c>
      <c r="K221">
        <v>2</v>
      </c>
      <c r="L221">
        <v>2</v>
      </c>
      <c r="AX221">
        <v>238</v>
      </c>
      <c r="AZ221" t="s">
        <v>156</v>
      </c>
      <c r="BA221">
        <v>0</v>
      </c>
      <c r="BC221" t="s">
        <v>526</v>
      </c>
      <c r="BD221" s="4">
        <v>43283.821111111109</v>
      </c>
      <c r="BE221" s="4">
        <v>43283.824745370373</v>
      </c>
      <c r="BF221" s="4">
        <v>43283.824745370373</v>
      </c>
      <c r="BG221" t="s">
        <v>83</v>
      </c>
      <c r="BH221" t="s">
        <v>84</v>
      </c>
      <c r="BI221" t="s">
        <v>85</v>
      </c>
    </row>
    <row r="222" spans="1:61" x14ac:dyDescent="0.3">
      <c r="A222" t="str">
        <f>"201010B0100"</f>
        <v>201010B0100</v>
      </c>
      <c r="B222" t="s">
        <v>527</v>
      </c>
      <c r="C222">
        <v>20</v>
      </c>
      <c r="D222" t="s">
        <v>79</v>
      </c>
      <c r="E222">
        <v>2</v>
      </c>
      <c r="F222" t="s">
        <v>528</v>
      </c>
      <c r="G222">
        <v>1010</v>
      </c>
      <c r="H222">
        <v>1</v>
      </c>
      <c r="I222" t="s">
        <v>81</v>
      </c>
      <c r="J222">
        <v>0</v>
      </c>
      <c r="K222">
        <v>1</v>
      </c>
      <c r="L222">
        <v>2</v>
      </c>
      <c r="M222">
        <v>223</v>
      </c>
      <c r="N222">
        <v>466</v>
      </c>
      <c r="O222">
        <v>11</v>
      </c>
      <c r="P222" t="s">
        <v>100</v>
      </c>
      <c r="Q222">
        <v>30</v>
      </c>
      <c r="R222">
        <v>42</v>
      </c>
      <c r="S222">
        <v>10</v>
      </c>
      <c r="T222">
        <v>32</v>
      </c>
      <c r="U222">
        <v>7</v>
      </c>
      <c r="V222">
        <v>10</v>
      </c>
      <c r="W222">
        <v>4</v>
      </c>
      <c r="X222">
        <v>116</v>
      </c>
      <c r="Y222">
        <v>172</v>
      </c>
      <c r="Z222">
        <v>9</v>
      </c>
      <c r="AA222">
        <v>1</v>
      </c>
      <c r="AB222">
        <v>2</v>
      </c>
      <c r="AC222">
        <v>1</v>
      </c>
      <c r="AD222">
        <v>0</v>
      </c>
      <c r="AE222">
        <v>0</v>
      </c>
      <c r="AF222">
        <v>1</v>
      </c>
      <c r="AK222">
        <v>4</v>
      </c>
      <c r="AL222">
        <v>2</v>
      </c>
      <c r="AM222">
        <v>0</v>
      </c>
      <c r="AN222">
        <v>2</v>
      </c>
      <c r="AT222">
        <v>1</v>
      </c>
      <c r="AU222">
        <v>20</v>
      </c>
      <c r="AV222">
        <v>466</v>
      </c>
      <c r="AW222">
        <v>466</v>
      </c>
      <c r="AX222">
        <v>664</v>
      </c>
      <c r="BA222">
        <v>1</v>
      </c>
      <c r="BC222" t="s">
        <v>529</v>
      </c>
      <c r="BD222" s="4">
        <v>43283.176388888889</v>
      </c>
      <c r="BE222" s="4">
        <v>43283.192824074074</v>
      </c>
      <c r="BF222" s="4">
        <v>43283.192824074074</v>
      </c>
      <c r="BG222" t="s">
        <v>83</v>
      </c>
      <c r="BH222" t="s">
        <v>84</v>
      </c>
      <c r="BI222" t="s">
        <v>85</v>
      </c>
    </row>
    <row r="223" spans="1:61" x14ac:dyDescent="0.3">
      <c r="A223" t="str">
        <f>"201010C0100"</f>
        <v>201010C0100</v>
      </c>
      <c r="B223" t="s">
        <v>530</v>
      </c>
      <c r="C223">
        <v>20</v>
      </c>
      <c r="D223" t="s">
        <v>79</v>
      </c>
      <c r="E223">
        <v>2</v>
      </c>
      <c r="F223" t="s">
        <v>528</v>
      </c>
      <c r="G223">
        <v>1010</v>
      </c>
      <c r="H223">
        <v>1</v>
      </c>
      <c r="I223" t="s">
        <v>89</v>
      </c>
      <c r="J223">
        <v>0</v>
      </c>
      <c r="K223">
        <v>1</v>
      </c>
      <c r="L223">
        <v>2</v>
      </c>
      <c r="M223">
        <v>220</v>
      </c>
      <c r="N223">
        <v>468</v>
      </c>
      <c r="O223">
        <v>9</v>
      </c>
      <c r="P223">
        <v>465</v>
      </c>
      <c r="Q223">
        <v>22</v>
      </c>
      <c r="R223">
        <v>59</v>
      </c>
      <c r="S223">
        <v>12</v>
      </c>
      <c r="T223">
        <v>28</v>
      </c>
      <c r="U223">
        <v>9</v>
      </c>
      <c r="V223">
        <v>13</v>
      </c>
      <c r="W223">
        <v>1</v>
      </c>
      <c r="X223">
        <v>110</v>
      </c>
      <c r="Y223">
        <v>173</v>
      </c>
      <c r="Z223">
        <v>20</v>
      </c>
      <c r="AA223">
        <v>2</v>
      </c>
      <c r="AB223">
        <v>2</v>
      </c>
      <c r="AC223">
        <v>1</v>
      </c>
      <c r="AD223">
        <v>1</v>
      </c>
      <c r="AE223">
        <v>0</v>
      </c>
      <c r="AF223">
        <v>0</v>
      </c>
      <c r="AK223">
        <v>0</v>
      </c>
      <c r="AL223">
        <v>1</v>
      </c>
      <c r="AM223">
        <v>0</v>
      </c>
      <c r="AN223">
        <v>2</v>
      </c>
      <c r="AT223">
        <v>0</v>
      </c>
      <c r="AU223">
        <v>9</v>
      </c>
      <c r="AV223">
        <v>465</v>
      </c>
      <c r="AW223">
        <v>465</v>
      </c>
      <c r="AX223">
        <v>664</v>
      </c>
      <c r="BA223">
        <v>1</v>
      </c>
      <c r="BC223" t="s">
        <v>531</v>
      </c>
      <c r="BD223" s="4">
        <v>43283.177777777775</v>
      </c>
      <c r="BE223" s="4">
        <v>43283.193611111114</v>
      </c>
      <c r="BF223" s="4">
        <v>43283.193611111114</v>
      </c>
      <c r="BG223" t="s">
        <v>83</v>
      </c>
      <c r="BH223" t="s">
        <v>84</v>
      </c>
      <c r="BI223" t="s">
        <v>85</v>
      </c>
    </row>
    <row r="224" spans="1:61" x14ac:dyDescent="0.3">
      <c r="A224" t="str">
        <f>"201010C0200"</f>
        <v>201010C0200</v>
      </c>
      <c r="B224" t="s">
        <v>532</v>
      </c>
      <c r="C224">
        <v>20</v>
      </c>
      <c r="D224" t="s">
        <v>79</v>
      </c>
      <c r="E224">
        <v>2</v>
      </c>
      <c r="F224" t="s">
        <v>528</v>
      </c>
      <c r="G224">
        <v>1010</v>
      </c>
      <c r="H224">
        <v>2</v>
      </c>
      <c r="I224" t="s">
        <v>89</v>
      </c>
      <c r="J224">
        <v>0</v>
      </c>
      <c r="K224">
        <v>1</v>
      </c>
      <c r="L224">
        <v>2</v>
      </c>
      <c r="M224">
        <v>231</v>
      </c>
      <c r="N224">
        <v>452</v>
      </c>
      <c r="O224">
        <v>8</v>
      </c>
      <c r="P224">
        <v>455</v>
      </c>
      <c r="Q224">
        <v>30</v>
      </c>
      <c r="R224">
        <v>60</v>
      </c>
      <c r="S224">
        <v>7</v>
      </c>
      <c r="T224">
        <v>39</v>
      </c>
      <c r="U224">
        <v>8</v>
      </c>
      <c r="V224">
        <v>5</v>
      </c>
      <c r="W224">
        <v>3</v>
      </c>
      <c r="X224">
        <v>116</v>
      </c>
      <c r="Y224">
        <v>161</v>
      </c>
      <c r="Z224">
        <v>6</v>
      </c>
      <c r="AA224">
        <v>0</v>
      </c>
      <c r="AB224">
        <v>0</v>
      </c>
      <c r="AC224">
        <v>0</v>
      </c>
      <c r="AD224">
        <v>0</v>
      </c>
      <c r="AE224">
        <v>1</v>
      </c>
      <c r="AF224">
        <v>0</v>
      </c>
      <c r="AK224">
        <v>3</v>
      </c>
      <c r="AL224">
        <v>1</v>
      </c>
      <c r="AM224">
        <v>0</v>
      </c>
      <c r="AN224">
        <v>2</v>
      </c>
      <c r="AT224">
        <v>0</v>
      </c>
      <c r="AU224">
        <v>13</v>
      </c>
      <c r="AV224">
        <v>455</v>
      </c>
      <c r="AW224">
        <v>455</v>
      </c>
      <c r="AX224">
        <v>664</v>
      </c>
      <c r="BA224">
        <v>1</v>
      </c>
      <c r="BC224" t="s">
        <v>533</v>
      </c>
      <c r="BD224" s="4">
        <v>43283.179861111108</v>
      </c>
      <c r="BE224" s="4">
        <v>43283.203981481478</v>
      </c>
      <c r="BF224" s="4">
        <v>43283.203981481478</v>
      </c>
      <c r="BG224" t="s">
        <v>83</v>
      </c>
      <c r="BH224" t="s">
        <v>84</v>
      </c>
      <c r="BI224" t="s">
        <v>85</v>
      </c>
    </row>
    <row r="225" spans="1:61" x14ac:dyDescent="0.3">
      <c r="A225" t="str">
        <f>"201010E0100"</f>
        <v>201010E0100</v>
      </c>
      <c r="B225" s="2" t="s">
        <v>534</v>
      </c>
      <c r="C225">
        <v>20</v>
      </c>
      <c r="D225" t="s">
        <v>79</v>
      </c>
      <c r="E225">
        <v>2</v>
      </c>
      <c r="F225" t="s">
        <v>528</v>
      </c>
      <c r="G225">
        <v>1010</v>
      </c>
      <c r="H225">
        <v>1</v>
      </c>
      <c r="I225" t="s">
        <v>145</v>
      </c>
      <c r="J225">
        <v>0</v>
      </c>
      <c r="K225">
        <v>1</v>
      </c>
      <c r="L225">
        <v>2</v>
      </c>
      <c r="M225">
        <v>229</v>
      </c>
      <c r="N225">
        <v>473</v>
      </c>
      <c r="O225">
        <v>11</v>
      </c>
      <c r="P225">
        <v>462</v>
      </c>
      <c r="Q225">
        <v>21</v>
      </c>
      <c r="R225">
        <v>22</v>
      </c>
      <c r="S225">
        <v>8</v>
      </c>
      <c r="T225">
        <v>20</v>
      </c>
      <c r="U225">
        <v>9</v>
      </c>
      <c r="V225">
        <v>12</v>
      </c>
      <c r="W225">
        <v>10</v>
      </c>
      <c r="X225">
        <v>120</v>
      </c>
      <c r="Y225">
        <v>207</v>
      </c>
      <c r="Z225">
        <v>11</v>
      </c>
      <c r="AA225">
        <v>1</v>
      </c>
      <c r="AB225">
        <v>0</v>
      </c>
      <c r="AC225">
        <v>0</v>
      </c>
      <c r="AD225">
        <v>0</v>
      </c>
      <c r="AE225">
        <v>0</v>
      </c>
      <c r="AF225">
        <v>0</v>
      </c>
      <c r="AK225">
        <v>4</v>
      </c>
      <c r="AL225">
        <v>1</v>
      </c>
      <c r="AM225">
        <v>0</v>
      </c>
      <c r="AN225">
        <v>1</v>
      </c>
      <c r="AT225" t="s">
        <v>100</v>
      </c>
      <c r="AU225">
        <v>15</v>
      </c>
      <c r="AV225">
        <v>462</v>
      </c>
      <c r="AW225">
        <v>462</v>
      </c>
      <c r="AX225">
        <v>667</v>
      </c>
      <c r="AZ225" t="s">
        <v>101</v>
      </c>
      <c r="BA225">
        <v>1</v>
      </c>
      <c r="BC225" t="s">
        <v>535</v>
      </c>
      <c r="BD225" s="4">
        <v>43283.161805555559</v>
      </c>
      <c r="BE225" s="4">
        <v>43283.174074074072</v>
      </c>
      <c r="BF225" s="4">
        <v>43283.174074074072</v>
      </c>
      <c r="BG225" t="s">
        <v>83</v>
      </c>
      <c r="BH225" t="s">
        <v>84</v>
      </c>
      <c r="BI225" t="s">
        <v>85</v>
      </c>
    </row>
    <row r="226" spans="1:61" x14ac:dyDescent="0.3">
      <c r="A226" t="str">
        <f>"201010E0101"</f>
        <v>201010E0101</v>
      </c>
      <c r="B226" s="2" t="s">
        <v>536</v>
      </c>
      <c r="C226">
        <v>20</v>
      </c>
      <c r="D226" t="s">
        <v>79</v>
      </c>
      <c r="E226">
        <v>2</v>
      </c>
      <c r="F226" t="s">
        <v>528</v>
      </c>
      <c r="G226">
        <v>1010</v>
      </c>
      <c r="H226">
        <v>1</v>
      </c>
      <c r="I226" t="s">
        <v>145</v>
      </c>
      <c r="J226">
        <v>1</v>
      </c>
      <c r="K226">
        <v>1</v>
      </c>
      <c r="L226">
        <v>2</v>
      </c>
      <c r="M226">
        <v>242</v>
      </c>
      <c r="N226">
        <v>448</v>
      </c>
      <c r="O226">
        <v>14</v>
      </c>
      <c r="P226">
        <v>447</v>
      </c>
      <c r="Q226">
        <v>23</v>
      </c>
      <c r="R226">
        <v>19</v>
      </c>
      <c r="S226">
        <v>3</v>
      </c>
      <c r="T226">
        <v>12</v>
      </c>
      <c r="U226">
        <v>8</v>
      </c>
      <c r="V226">
        <v>10</v>
      </c>
      <c r="W226">
        <v>6</v>
      </c>
      <c r="X226">
        <v>146</v>
      </c>
      <c r="Y226">
        <v>191</v>
      </c>
      <c r="Z226">
        <v>12</v>
      </c>
      <c r="AA226" t="s">
        <v>100</v>
      </c>
      <c r="AB226">
        <v>2</v>
      </c>
      <c r="AC226" t="s">
        <v>100</v>
      </c>
      <c r="AD226" t="s">
        <v>100</v>
      </c>
      <c r="AE226">
        <v>1</v>
      </c>
      <c r="AF226" t="s">
        <v>100</v>
      </c>
      <c r="AK226">
        <v>4</v>
      </c>
      <c r="AL226" t="s">
        <v>100</v>
      </c>
      <c r="AM226">
        <v>2</v>
      </c>
      <c r="AN226">
        <v>2</v>
      </c>
      <c r="AT226" t="s">
        <v>100</v>
      </c>
      <c r="AU226">
        <v>8</v>
      </c>
      <c r="AV226">
        <v>447</v>
      </c>
      <c r="AW226">
        <v>449</v>
      </c>
      <c r="AX226">
        <v>667</v>
      </c>
      <c r="AZ226" t="s">
        <v>101</v>
      </c>
      <c r="BA226">
        <v>1</v>
      </c>
      <c r="BC226" t="s">
        <v>537</v>
      </c>
      <c r="BD226" s="4">
        <v>43283.42291666667</v>
      </c>
      <c r="BE226" s="4">
        <v>43283.429675925923</v>
      </c>
      <c r="BF226" s="4">
        <v>43283.429675925923</v>
      </c>
      <c r="BG226" t="s">
        <v>83</v>
      </c>
      <c r="BH226" t="s">
        <v>84</v>
      </c>
      <c r="BI226" t="s">
        <v>85</v>
      </c>
    </row>
    <row r="227" spans="1:61" x14ac:dyDescent="0.3">
      <c r="A227" t="str">
        <f>"201010E0102"</f>
        <v>201010E0102</v>
      </c>
      <c r="B227" s="2" t="s">
        <v>538</v>
      </c>
      <c r="C227">
        <v>20</v>
      </c>
      <c r="D227" t="s">
        <v>79</v>
      </c>
      <c r="E227">
        <v>2</v>
      </c>
      <c r="F227" t="s">
        <v>528</v>
      </c>
      <c r="G227">
        <v>1010</v>
      </c>
      <c r="H227">
        <v>1</v>
      </c>
      <c r="I227" t="s">
        <v>145</v>
      </c>
      <c r="J227">
        <v>2</v>
      </c>
      <c r="K227">
        <v>1</v>
      </c>
      <c r="L227">
        <v>2</v>
      </c>
      <c r="M227">
        <v>245</v>
      </c>
      <c r="N227">
        <v>444</v>
      </c>
      <c r="O227">
        <v>10</v>
      </c>
      <c r="P227">
        <v>441</v>
      </c>
      <c r="Q227">
        <v>28</v>
      </c>
      <c r="R227">
        <v>25</v>
      </c>
      <c r="S227">
        <v>8</v>
      </c>
      <c r="T227">
        <v>11</v>
      </c>
      <c r="U227">
        <v>5</v>
      </c>
      <c r="V227">
        <v>8</v>
      </c>
      <c r="W227">
        <v>8</v>
      </c>
      <c r="X227">
        <v>137</v>
      </c>
      <c r="Y227">
        <v>188</v>
      </c>
      <c r="Z227">
        <v>7</v>
      </c>
      <c r="AA227">
        <v>0</v>
      </c>
      <c r="AB227">
        <v>1</v>
      </c>
      <c r="AC227">
        <v>1</v>
      </c>
      <c r="AD227">
        <v>0</v>
      </c>
      <c r="AE227">
        <v>0</v>
      </c>
      <c r="AF227">
        <v>0</v>
      </c>
      <c r="AK227">
        <v>2</v>
      </c>
      <c r="AL227">
        <v>1</v>
      </c>
      <c r="AM227">
        <v>0</v>
      </c>
      <c r="AN227">
        <v>2</v>
      </c>
      <c r="AT227">
        <v>0</v>
      </c>
      <c r="AU227">
        <v>9</v>
      </c>
      <c r="AV227">
        <v>441</v>
      </c>
      <c r="AW227">
        <v>441</v>
      </c>
      <c r="AX227">
        <v>666</v>
      </c>
      <c r="BA227">
        <v>1</v>
      </c>
      <c r="BC227" t="s">
        <v>539</v>
      </c>
      <c r="BD227" s="4">
        <v>43283.424305555556</v>
      </c>
      <c r="BE227" s="4">
        <v>43283.428298611114</v>
      </c>
      <c r="BF227" s="4">
        <v>43283.428298611114</v>
      </c>
      <c r="BG227" t="s">
        <v>83</v>
      </c>
      <c r="BH227" t="s">
        <v>84</v>
      </c>
      <c r="BI227" t="s">
        <v>85</v>
      </c>
    </row>
    <row r="228" spans="1:61" x14ac:dyDescent="0.3">
      <c r="A228" t="str">
        <f>"201010E0103"</f>
        <v>201010E0103</v>
      </c>
      <c r="B228" s="2" t="s">
        <v>540</v>
      </c>
      <c r="C228">
        <v>20</v>
      </c>
      <c r="D228" t="s">
        <v>79</v>
      </c>
      <c r="E228">
        <v>2</v>
      </c>
      <c r="F228" t="s">
        <v>528</v>
      </c>
      <c r="G228">
        <v>1010</v>
      </c>
      <c r="H228">
        <v>1</v>
      </c>
      <c r="I228" t="s">
        <v>145</v>
      </c>
      <c r="J228">
        <v>3</v>
      </c>
      <c r="K228">
        <v>1</v>
      </c>
      <c r="L228">
        <v>2</v>
      </c>
      <c r="M228">
        <v>267</v>
      </c>
      <c r="N228">
        <v>420</v>
      </c>
      <c r="O228">
        <v>3</v>
      </c>
      <c r="P228">
        <v>420</v>
      </c>
      <c r="Q228">
        <v>25</v>
      </c>
      <c r="R228">
        <v>25</v>
      </c>
      <c r="S228">
        <v>8</v>
      </c>
      <c r="T228">
        <v>7</v>
      </c>
      <c r="U228">
        <v>17</v>
      </c>
      <c r="V228">
        <v>6</v>
      </c>
      <c r="W228">
        <v>6</v>
      </c>
      <c r="X228">
        <v>112</v>
      </c>
      <c r="Y228">
        <v>187</v>
      </c>
      <c r="Z228">
        <v>6</v>
      </c>
      <c r="AA228">
        <v>1</v>
      </c>
      <c r="AB228">
        <v>0</v>
      </c>
      <c r="AC228">
        <v>1</v>
      </c>
      <c r="AD228">
        <v>0</v>
      </c>
      <c r="AE228">
        <v>0</v>
      </c>
      <c r="AF228">
        <v>0</v>
      </c>
      <c r="AK228">
        <v>4</v>
      </c>
      <c r="AL228">
        <v>1</v>
      </c>
      <c r="AM228">
        <v>0</v>
      </c>
      <c r="AN228">
        <v>1</v>
      </c>
      <c r="AT228">
        <v>0</v>
      </c>
      <c r="AU228">
        <v>13</v>
      </c>
      <c r="AV228">
        <v>420</v>
      </c>
      <c r="AW228">
        <v>420</v>
      </c>
      <c r="AX228">
        <v>666</v>
      </c>
      <c r="BA228">
        <v>1</v>
      </c>
      <c r="BC228" t="s">
        <v>541</v>
      </c>
      <c r="BD228" s="4">
        <v>43283.426388888889</v>
      </c>
      <c r="BE228" s="4">
        <v>43283.431458333333</v>
      </c>
      <c r="BF228" s="4">
        <v>43283.431458333333</v>
      </c>
      <c r="BG228" t="s">
        <v>83</v>
      </c>
      <c r="BH228" t="s">
        <v>84</v>
      </c>
      <c r="BI228" t="s">
        <v>85</v>
      </c>
    </row>
    <row r="229" spans="1:61" x14ac:dyDescent="0.3">
      <c r="A229" t="str">
        <f>"201010E0104"</f>
        <v>201010E0104</v>
      </c>
      <c r="B229" s="2" t="s">
        <v>542</v>
      </c>
      <c r="C229">
        <v>20</v>
      </c>
      <c r="D229" t="s">
        <v>79</v>
      </c>
      <c r="E229">
        <v>2</v>
      </c>
      <c r="F229" t="s">
        <v>528</v>
      </c>
      <c r="G229">
        <v>1010</v>
      </c>
      <c r="H229">
        <v>1</v>
      </c>
      <c r="I229" t="s">
        <v>145</v>
      </c>
      <c r="J229">
        <v>4</v>
      </c>
      <c r="K229">
        <v>1</v>
      </c>
      <c r="L229">
        <v>2</v>
      </c>
      <c r="M229">
        <v>226</v>
      </c>
      <c r="N229">
        <v>689</v>
      </c>
      <c r="O229">
        <v>12</v>
      </c>
      <c r="P229">
        <v>689</v>
      </c>
      <c r="Q229">
        <v>26</v>
      </c>
      <c r="R229">
        <v>20</v>
      </c>
      <c r="S229">
        <v>7</v>
      </c>
      <c r="T229">
        <v>15</v>
      </c>
      <c r="U229">
        <v>17</v>
      </c>
      <c r="V229">
        <v>7</v>
      </c>
      <c r="W229">
        <v>7</v>
      </c>
      <c r="X229">
        <v>121</v>
      </c>
      <c r="Y229">
        <v>215</v>
      </c>
      <c r="Z229">
        <v>7</v>
      </c>
      <c r="AA229">
        <v>0</v>
      </c>
      <c r="AB229">
        <v>2</v>
      </c>
      <c r="AC229">
        <v>1</v>
      </c>
      <c r="AD229">
        <v>0</v>
      </c>
      <c r="AE229">
        <v>1</v>
      </c>
      <c r="AF229">
        <v>0</v>
      </c>
      <c r="AK229">
        <v>7</v>
      </c>
      <c r="AL229">
        <v>1</v>
      </c>
      <c r="AM229">
        <v>0</v>
      </c>
      <c r="AN229">
        <v>0</v>
      </c>
      <c r="AT229">
        <v>0</v>
      </c>
      <c r="AU229">
        <v>9</v>
      </c>
      <c r="AV229">
        <v>463</v>
      </c>
      <c r="AW229">
        <v>463</v>
      </c>
      <c r="AX229">
        <v>666</v>
      </c>
      <c r="BA229">
        <v>1</v>
      </c>
      <c r="BC229" t="s">
        <v>543</v>
      </c>
      <c r="BD229" s="4">
        <v>43283.431250000001</v>
      </c>
      <c r="BE229" s="4">
        <v>43283.436956018515</v>
      </c>
      <c r="BF229" s="4">
        <v>43283.436956018515</v>
      </c>
      <c r="BG229" t="s">
        <v>83</v>
      </c>
      <c r="BH229" t="s">
        <v>84</v>
      </c>
      <c r="BI229" t="s">
        <v>85</v>
      </c>
    </row>
    <row r="230" spans="1:61" x14ac:dyDescent="0.3">
      <c r="A230" t="str">
        <f>"201011B0100"</f>
        <v>201011B0100</v>
      </c>
      <c r="B230" t="s">
        <v>544</v>
      </c>
      <c r="C230">
        <v>20</v>
      </c>
      <c r="D230" t="s">
        <v>79</v>
      </c>
      <c r="E230">
        <v>2</v>
      </c>
      <c r="F230" t="s">
        <v>528</v>
      </c>
      <c r="G230">
        <v>1011</v>
      </c>
      <c r="H230">
        <v>1</v>
      </c>
      <c r="I230" t="s">
        <v>81</v>
      </c>
      <c r="J230">
        <v>0</v>
      </c>
      <c r="K230">
        <v>1</v>
      </c>
      <c r="L230">
        <v>2</v>
      </c>
      <c r="M230">
        <v>233</v>
      </c>
      <c r="N230">
        <v>355</v>
      </c>
      <c r="O230">
        <v>10</v>
      </c>
      <c r="P230">
        <v>0</v>
      </c>
      <c r="Q230">
        <v>34</v>
      </c>
      <c r="R230">
        <v>16</v>
      </c>
      <c r="S230">
        <v>19</v>
      </c>
      <c r="T230">
        <v>18</v>
      </c>
      <c r="U230">
        <v>6</v>
      </c>
      <c r="V230">
        <v>2</v>
      </c>
      <c r="W230">
        <v>2</v>
      </c>
      <c r="X230">
        <v>128</v>
      </c>
      <c r="Y230">
        <v>109</v>
      </c>
      <c r="Z230">
        <v>5</v>
      </c>
      <c r="AA230" t="s">
        <v>100</v>
      </c>
      <c r="AB230" t="s">
        <v>100</v>
      </c>
      <c r="AC230" t="s">
        <v>100</v>
      </c>
      <c r="AD230">
        <v>1</v>
      </c>
      <c r="AE230">
        <v>1</v>
      </c>
      <c r="AF230" t="s">
        <v>100</v>
      </c>
      <c r="AK230">
        <v>5</v>
      </c>
      <c r="AL230">
        <v>1</v>
      </c>
      <c r="AM230" t="s">
        <v>100</v>
      </c>
      <c r="AN230" t="s">
        <v>100</v>
      </c>
      <c r="AT230" t="s">
        <v>100</v>
      </c>
      <c r="AU230">
        <v>8</v>
      </c>
      <c r="AV230" t="s">
        <v>100</v>
      </c>
      <c r="AW230">
        <v>355</v>
      </c>
      <c r="AX230">
        <v>565</v>
      </c>
      <c r="AZ230" t="s">
        <v>101</v>
      </c>
      <c r="BA230">
        <v>1</v>
      </c>
      <c r="BC230" t="s">
        <v>545</v>
      </c>
      <c r="BD230" s="4">
        <v>43283.087500000001</v>
      </c>
      <c r="BE230" s="4">
        <v>43283.091921296298</v>
      </c>
      <c r="BF230" s="4">
        <v>43283.091921296298</v>
      </c>
      <c r="BG230" t="s">
        <v>83</v>
      </c>
      <c r="BH230" t="s">
        <v>84</v>
      </c>
      <c r="BI230" t="s">
        <v>85</v>
      </c>
    </row>
    <row r="231" spans="1:61" x14ac:dyDescent="0.3">
      <c r="A231" t="str">
        <f>"201011C0100"</f>
        <v>201011C0100</v>
      </c>
      <c r="B231" t="s">
        <v>546</v>
      </c>
      <c r="C231">
        <v>20</v>
      </c>
      <c r="D231" t="s">
        <v>79</v>
      </c>
      <c r="E231">
        <v>2</v>
      </c>
      <c r="F231" t="s">
        <v>528</v>
      </c>
      <c r="G231">
        <v>1011</v>
      </c>
      <c r="H231">
        <v>1</v>
      </c>
      <c r="I231" t="s">
        <v>89</v>
      </c>
      <c r="J231">
        <v>0</v>
      </c>
      <c r="K231">
        <v>1</v>
      </c>
      <c r="L231">
        <v>2</v>
      </c>
      <c r="M231">
        <v>217</v>
      </c>
      <c r="N231">
        <v>371</v>
      </c>
      <c r="O231">
        <v>10</v>
      </c>
      <c r="P231">
        <v>371</v>
      </c>
      <c r="Q231">
        <v>20</v>
      </c>
      <c r="R231">
        <v>17</v>
      </c>
      <c r="S231">
        <v>20</v>
      </c>
      <c r="T231">
        <v>19</v>
      </c>
      <c r="U231">
        <v>10</v>
      </c>
      <c r="V231">
        <v>5</v>
      </c>
      <c r="W231">
        <v>5</v>
      </c>
      <c r="X231">
        <v>144</v>
      </c>
      <c r="Y231">
        <v>112</v>
      </c>
      <c r="Z231">
        <v>3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K231">
        <v>4</v>
      </c>
      <c r="AL231">
        <v>0</v>
      </c>
      <c r="AM231">
        <v>0</v>
      </c>
      <c r="AN231">
        <v>1</v>
      </c>
      <c r="AT231">
        <v>0</v>
      </c>
      <c r="AU231">
        <v>0</v>
      </c>
      <c r="AV231">
        <v>371</v>
      </c>
      <c r="AW231">
        <v>360</v>
      </c>
      <c r="AX231">
        <v>565</v>
      </c>
      <c r="BA231">
        <v>1</v>
      </c>
      <c r="BC231" t="s">
        <v>547</v>
      </c>
      <c r="BD231" s="4">
        <v>43283.090277777781</v>
      </c>
      <c r="BE231" s="4">
        <v>43283.096909722219</v>
      </c>
      <c r="BF231" s="4">
        <v>43283.096909722219</v>
      </c>
      <c r="BG231" t="s">
        <v>83</v>
      </c>
      <c r="BH231" t="s">
        <v>84</v>
      </c>
      <c r="BI231" t="s">
        <v>548</v>
      </c>
    </row>
    <row r="232" spans="1:61" x14ac:dyDescent="0.3">
      <c r="A232" t="str">
        <f>"201012B0100"</f>
        <v>201012B0100</v>
      </c>
      <c r="B232" t="s">
        <v>549</v>
      </c>
      <c r="C232">
        <v>20</v>
      </c>
      <c r="D232" t="s">
        <v>79</v>
      </c>
      <c r="E232">
        <v>2</v>
      </c>
      <c r="F232" t="s">
        <v>528</v>
      </c>
      <c r="G232">
        <v>1012</v>
      </c>
      <c r="H232">
        <v>1</v>
      </c>
      <c r="I232" t="s">
        <v>81</v>
      </c>
      <c r="J232">
        <v>0</v>
      </c>
      <c r="K232">
        <v>1</v>
      </c>
      <c r="L232">
        <v>2</v>
      </c>
      <c r="M232">
        <v>188</v>
      </c>
      <c r="N232">
        <v>381</v>
      </c>
      <c r="O232">
        <v>6</v>
      </c>
      <c r="P232">
        <v>381</v>
      </c>
      <c r="Q232">
        <v>15</v>
      </c>
      <c r="R232">
        <v>23</v>
      </c>
      <c r="S232">
        <v>5</v>
      </c>
      <c r="T232">
        <v>36</v>
      </c>
      <c r="U232">
        <v>10</v>
      </c>
      <c r="V232">
        <v>6</v>
      </c>
      <c r="W232">
        <v>1</v>
      </c>
      <c r="X232">
        <v>141</v>
      </c>
      <c r="Y232">
        <v>128</v>
      </c>
      <c r="Z232">
        <v>4</v>
      </c>
      <c r="AA232">
        <v>1</v>
      </c>
      <c r="AB232">
        <v>0</v>
      </c>
      <c r="AC232">
        <v>1</v>
      </c>
      <c r="AD232">
        <v>0</v>
      </c>
      <c r="AE232">
        <v>0</v>
      </c>
      <c r="AF232">
        <v>0</v>
      </c>
      <c r="AK232">
        <v>1</v>
      </c>
      <c r="AL232">
        <v>0</v>
      </c>
      <c r="AM232">
        <v>0</v>
      </c>
      <c r="AN232">
        <v>0</v>
      </c>
      <c r="AT232" t="s">
        <v>100</v>
      </c>
      <c r="AU232">
        <v>9</v>
      </c>
      <c r="AV232" t="s">
        <v>100</v>
      </c>
      <c r="AW232">
        <v>381</v>
      </c>
      <c r="AX232">
        <v>548</v>
      </c>
      <c r="AZ232" t="s">
        <v>101</v>
      </c>
      <c r="BA232">
        <v>1</v>
      </c>
      <c r="BC232" t="s">
        <v>550</v>
      </c>
      <c r="BD232" s="4">
        <v>43283.281944444447</v>
      </c>
      <c r="BE232" s="4">
        <v>43283.310810185183</v>
      </c>
      <c r="BF232" s="4">
        <v>43283.310810185183</v>
      </c>
      <c r="BG232" t="s">
        <v>83</v>
      </c>
      <c r="BH232" t="s">
        <v>84</v>
      </c>
      <c r="BI232" t="s">
        <v>85</v>
      </c>
    </row>
    <row r="233" spans="1:61" x14ac:dyDescent="0.3">
      <c r="A233" t="str">
        <f>"201012C0100"</f>
        <v>201012C0100</v>
      </c>
      <c r="B233" t="s">
        <v>551</v>
      </c>
      <c r="C233">
        <v>20</v>
      </c>
      <c r="D233" t="s">
        <v>79</v>
      </c>
      <c r="E233">
        <v>2</v>
      </c>
      <c r="F233" t="s">
        <v>528</v>
      </c>
      <c r="G233">
        <v>1012</v>
      </c>
      <c r="H233">
        <v>1</v>
      </c>
      <c r="I233" t="s">
        <v>89</v>
      </c>
      <c r="J233">
        <v>0</v>
      </c>
      <c r="K233">
        <v>1</v>
      </c>
      <c r="L233">
        <v>2</v>
      </c>
      <c r="M233" t="s">
        <v>100</v>
      </c>
      <c r="N233" t="s">
        <v>100</v>
      </c>
      <c r="O233" t="s">
        <v>100</v>
      </c>
      <c r="P233" t="s">
        <v>100</v>
      </c>
      <c r="Q233">
        <v>22</v>
      </c>
      <c r="R233">
        <v>17</v>
      </c>
      <c r="S233">
        <v>5</v>
      </c>
      <c r="T233">
        <v>31</v>
      </c>
      <c r="U233">
        <v>8</v>
      </c>
      <c r="V233">
        <v>8</v>
      </c>
      <c r="W233">
        <v>4</v>
      </c>
      <c r="X233">
        <v>153</v>
      </c>
      <c r="Y233">
        <v>100</v>
      </c>
      <c r="Z233">
        <v>5</v>
      </c>
      <c r="AA233">
        <v>1</v>
      </c>
      <c r="AB233">
        <v>1</v>
      </c>
      <c r="AC233">
        <v>0</v>
      </c>
      <c r="AD233">
        <v>0</v>
      </c>
      <c r="AE233">
        <v>0</v>
      </c>
      <c r="AF233">
        <v>0</v>
      </c>
      <c r="AK233">
        <v>3</v>
      </c>
      <c r="AL233">
        <v>0</v>
      </c>
      <c r="AM233">
        <v>0</v>
      </c>
      <c r="AN233">
        <v>1</v>
      </c>
      <c r="AT233">
        <v>0</v>
      </c>
      <c r="AU233">
        <v>17</v>
      </c>
      <c r="AV233">
        <v>376</v>
      </c>
      <c r="AW233">
        <v>376</v>
      </c>
      <c r="AX233">
        <v>548</v>
      </c>
      <c r="BA233">
        <v>1</v>
      </c>
      <c r="BC233" t="s">
        <v>552</v>
      </c>
      <c r="BD233" s="4">
        <v>43283.28402777778</v>
      </c>
      <c r="BE233" s="4">
        <v>43283.31177083333</v>
      </c>
      <c r="BF233" s="4">
        <v>43283.31177083333</v>
      </c>
      <c r="BG233" t="s">
        <v>83</v>
      </c>
      <c r="BH233" t="s">
        <v>84</v>
      </c>
      <c r="BI233" t="s">
        <v>85</v>
      </c>
    </row>
    <row r="234" spans="1:61" x14ac:dyDescent="0.3">
      <c r="A234" t="str">
        <f>"201013B0100"</f>
        <v>201013B0100</v>
      </c>
      <c r="B234" t="s">
        <v>553</v>
      </c>
      <c r="C234">
        <v>20</v>
      </c>
      <c r="D234" t="s">
        <v>79</v>
      </c>
      <c r="E234">
        <v>2</v>
      </c>
      <c r="F234" t="s">
        <v>528</v>
      </c>
      <c r="G234">
        <v>1013</v>
      </c>
      <c r="H234">
        <v>1</v>
      </c>
      <c r="I234" t="s">
        <v>81</v>
      </c>
      <c r="J234">
        <v>0</v>
      </c>
      <c r="K234">
        <v>1</v>
      </c>
      <c r="L234">
        <v>2</v>
      </c>
      <c r="M234">
        <v>191</v>
      </c>
      <c r="N234">
        <v>381</v>
      </c>
      <c r="O234">
        <v>7</v>
      </c>
      <c r="P234">
        <v>381</v>
      </c>
      <c r="Q234">
        <v>21</v>
      </c>
      <c r="R234">
        <v>23</v>
      </c>
      <c r="S234">
        <v>4</v>
      </c>
      <c r="T234">
        <v>18</v>
      </c>
      <c r="U234">
        <v>5</v>
      </c>
      <c r="V234">
        <v>14</v>
      </c>
      <c r="W234">
        <v>1</v>
      </c>
      <c r="X234">
        <v>114</v>
      </c>
      <c r="Y234">
        <v>160</v>
      </c>
      <c r="Z234">
        <v>6</v>
      </c>
      <c r="AA234">
        <v>2</v>
      </c>
      <c r="AB234">
        <v>1</v>
      </c>
      <c r="AC234">
        <v>1</v>
      </c>
      <c r="AD234">
        <v>0</v>
      </c>
      <c r="AE234">
        <v>0</v>
      </c>
      <c r="AF234">
        <v>0</v>
      </c>
      <c r="AK234">
        <v>5</v>
      </c>
      <c r="AL234">
        <v>0</v>
      </c>
      <c r="AM234">
        <v>0</v>
      </c>
      <c r="AN234">
        <v>0</v>
      </c>
      <c r="AT234">
        <v>0</v>
      </c>
      <c r="AU234">
        <v>6</v>
      </c>
      <c r="AV234">
        <v>381</v>
      </c>
      <c r="AW234">
        <v>381</v>
      </c>
      <c r="AX234">
        <v>549</v>
      </c>
      <c r="BA234">
        <v>1</v>
      </c>
      <c r="BC234" s="2" t="s">
        <v>554</v>
      </c>
      <c r="BD234" s="4">
        <v>43283.191666666666</v>
      </c>
      <c r="BE234" s="4">
        <v>43283.209432870368</v>
      </c>
      <c r="BF234" s="4">
        <v>43283.209432870368</v>
      </c>
      <c r="BG234" t="s">
        <v>83</v>
      </c>
      <c r="BH234" t="s">
        <v>84</v>
      </c>
      <c r="BI234" t="s">
        <v>85</v>
      </c>
    </row>
    <row r="235" spans="1:61" x14ac:dyDescent="0.3">
      <c r="A235" t="str">
        <f>"201013C0100"</f>
        <v>201013C0100</v>
      </c>
      <c r="B235" t="s">
        <v>555</v>
      </c>
      <c r="C235">
        <v>20</v>
      </c>
      <c r="D235" t="s">
        <v>79</v>
      </c>
      <c r="E235">
        <v>2</v>
      </c>
      <c r="F235" t="s">
        <v>528</v>
      </c>
      <c r="G235">
        <v>1013</v>
      </c>
      <c r="H235">
        <v>1</v>
      </c>
      <c r="I235" t="s">
        <v>89</v>
      </c>
      <c r="J235">
        <v>0</v>
      </c>
      <c r="K235">
        <v>1</v>
      </c>
      <c r="L235">
        <v>2</v>
      </c>
      <c r="M235">
        <v>195</v>
      </c>
      <c r="N235">
        <v>376</v>
      </c>
      <c r="O235">
        <v>12</v>
      </c>
      <c r="P235">
        <v>376</v>
      </c>
      <c r="Q235">
        <v>23</v>
      </c>
      <c r="R235">
        <v>22</v>
      </c>
      <c r="S235">
        <v>2</v>
      </c>
      <c r="T235">
        <v>14</v>
      </c>
      <c r="U235">
        <v>13</v>
      </c>
      <c r="V235">
        <v>9</v>
      </c>
      <c r="W235">
        <v>2</v>
      </c>
      <c r="X235">
        <v>106</v>
      </c>
      <c r="Y235">
        <v>159</v>
      </c>
      <c r="Z235">
        <v>4</v>
      </c>
      <c r="AA235">
        <v>1</v>
      </c>
      <c r="AB235">
        <v>0</v>
      </c>
      <c r="AC235">
        <v>2</v>
      </c>
      <c r="AD235">
        <v>0</v>
      </c>
      <c r="AE235">
        <v>0</v>
      </c>
      <c r="AF235">
        <v>0</v>
      </c>
      <c r="AK235">
        <v>6</v>
      </c>
      <c r="AL235">
        <v>0</v>
      </c>
      <c r="AM235">
        <v>0</v>
      </c>
      <c r="AN235">
        <v>0</v>
      </c>
      <c r="AT235">
        <v>0</v>
      </c>
      <c r="AU235">
        <v>13</v>
      </c>
      <c r="AV235">
        <v>376</v>
      </c>
      <c r="AW235">
        <v>376</v>
      </c>
      <c r="AX235">
        <v>549</v>
      </c>
      <c r="BA235">
        <v>1</v>
      </c>
      <c r="BC235" t="s">
        <v>556</v>
      </c>
      <c r="BD235" s="4">
        <v>43283.194444444445</v>
      </c>
      <c r="BE235" s="4">
        <v>43283.211354166669</v>
      </c>
      <c r="BF235" s="4">
        <v>43283.211354166669</v>
      </c>
      <c r="BG235" t="s">
        <v>83</v>
      </c>
      <c r="BH235" t="s">
        <v>84</v>
      </c>
      <c r="BI235" t="s">
        <v>548</v>
      </c>
    </row>
    <row r="236" spans="1:61" x14ac:dyDescent="0.3">
      <c r="A236" t="str">
        <f>"201014B0100"</f>
        <v>201014B0100</v>
      </c>
      <c r="B236" t="s">
        <v>557</v>
      </c>
      <c r="C236">
        <v>20</v>
      </c>
      <c r="D236" t="s">
        <v>79</v>
      </c>
      <c r="E236">
        <v>2</v>
      </c>
      <c r="F236" t="s">
        <v>528</v>
      </c>
      <c r="G236">
        <v>1014</v>
      </c>
      <c r="H236">
        <v>1</v>
      </c>
      <c r="I236" t="s">
        <v>81</v>
      </c>
      <c r="J236">
        <v>0</v>
      </c>
      <c r="K236">
        <v>1</v>
      </c>
      <c r="L236">
        <v>2</v>
      </c>
      <c r="M236">
        <v>200</v>
      </c>
      <c r="N236">
        <v>477</v>
      </c>
      <c r="O236">
        <v>4</v>
      </c>
      <c r="P236">
        <v>478</v>
      </c>
      <c r="Q236">
        <v>23</v>
      </c>
      <c r="R236">
        <v>39</v>
      </c>
      <c r="S236">
        <v>2</v>
      </c>
      <c r="T236">
        <v>35</v>
      </c>
      <c r="U236">
        <v>12</v>
      </c>
      <c r="V236">
        <v>15</v>
      </c>
      <c r="W236">
        <v>5</v>
      </c>
      <c r="X236">
        <v>140</v>
      </c>
      <c r="Y236">
        <v>163</v>
      </c>
      <c r="Z236">
        <v>17</v>
      </c>
      <c r="AA236">
        <v>2</v>
      </c>
      <c r="AB236">
        <v>3</v>
      </c>
      <c r="AC236" t="s">
        <v>100</v>
      </c>
      <c r="AD236" t="s">
        <v>100</v>
      </c>
      <c r="AE236">
        <v>23</v>
      </c>
      <c r="AF236">
        <v>39</v>
      </c>
      <c r="AK236">
        <v>1</v>
      </c>
      <c r="AL236">
        <v>2</v>
      </c>
      <c r="AM236">
        <v>12</v>
      </c>
      <c r="AN236">
        <v>4</v>
      </c>
      <c r="AT236">
        <v>15</v>
      </c>
      <c r="AU236">
        <v>15</v>
      </c>
      <c r="AV236">
        <v>478</v>
      </c>
      <c r="AW236">
        <v>567</v>
      </c>
      <c r="AX236">
        <v>653</v>
      </c>
      <c r="AZ236" t="s">
        <v>101</v>
      </c>
      <c r="BA236">
        <v>1</v>
      </c>
      <c r="BC236" t="s">
        <v>558</v>
      </c>
      <c r="BD236" s="4">
        <v>43283.190972222219</v>
      </c>
      <c r="BE236" s="4">
        <v>43283.213969907411</v>
      </c>
      <c r="BF236" s="4">
        <v>43283.213969907411</v>
      </c>
      <c r="BG236" t="s">
        <v>83</v>
      </c>
      <c r="BH236" t="s">
        <v>84</v>
      </c>
      <c r="BI236" t="s">
        <v>548</v>
      </c>
    </row>
    <row r="237" spans="1:61" x14ac:dyDescent="0.3">
      <c r="A237" t="str">
        <f>"201014C0100"</f>
        <v>201014C0100</v>
      </c>
      <c r="B237" t="s">
        <v>559</v>
      </c>
      <c r="C237">
        <v>20</v>
      </c>
      <c r="D237" t="s">
        <v>79</v>
      </c>
      <c r="E237">
        <v>2</v>
      </c>
      <c r="F237" t="s">
        <v>528</v>
      </c>
      <c r="G237">
        <v>1014</v>
      </c>
      <c r="H237">
        <v>1</v>
      </c>
      <c r="I237" t="s">
        <v>89</v>
      </c>
      <c r="J237">
        <v>0</v>
      </c>
      <c r="K237">
        <v>1</v>
      </c>
      <c r="L237">
        <v>2</v>
      </c>
      <c r="M237">
        <v>212</v>
      </c>
      <c r="N237">
        <v>463</v>
      </c>
      <c r="O237">
        <v>2</v>
      </c>
      <c r="P237">
        <v>462</v>
      </c>
      <c r="Q237">
        <v>21</v>
      </c>
      <c r="R237">
        <v>47</v>
      </c>
      <c r="S237">
        <v>7</v>
      </c>
      <c r="T237">
        <v>31</v>
      </c>
      <c r="U237">
        <v>11</v>
      </c>
      <c r="V237">
        <v>8</v>
      </c>
      <c r="W237">
        <v>5</v>
      </c>
      <c r="X237">
        <v>161</v>
      </c>
      <c r="Y237">
        <v>145</v>
      </c>
      <c r="Z237">
        <v>9</v>
      </c>
      <c r="AA237">
        <v>4</v>
      </c>
      <c r="AB237">
        <v>2</v>
      </c>
      <c r="AC237">
        <v>0</v>
      </c>
      <c r="AD237">
        <v>0</v>
      </c>
      <c r="AE237">
        <v>0</v>
      </c>
      <c r="AF237">
        <v>0</v>
      </c>
      <c r="AK237">
        <v>0</v>
      </c>
      <c r="AL237">
        <v>1</v>
      </c>
      <c r="AM237">
        <v>0</v>
      </c>
      <c r="AN237">
        <v>0</v>
      </c>
      <c r="AT237">
        <v>0</v>
      </c>
      <c r="AU237">
        <v>10</v>
      </c>
      <c r="AV237">
        <v>462</v>
      </c>
      <c r="AW237">
        <v>462</v>
      </c>
      <c r="AX237">
        <v>652</v>
      </c>
      <c r="BA237">
        <v>1</v>
      </c>
      <c r="BC237" t="s">
        <v>560</v>
      </c>
      <c r="BD237" s="4">
        <v>43283.191666666666</v>
      </c>
      <c r="BE237" s="4">
        <v>43283.210104166668</v>
      </c>
      <c r="BF237" s="4">
        <v>43283.210104166668</v>
      </c>
      <c r="BG237" t="s">
        <v>83</v>
      </c>
      <c r="BH237" t="s">
        <v>84</v>
      </c>
      <c r="BI237" t="s">
        <v>85</v>
      </c>
    </row>
    <row r="238" spans="1:61" x14ac:dyDescent="0.3">
      <c r="A238" t="str">
        <f>"201015B0100"</f>
        <v>201015B0100</v>
      </c>
      <c r="B238" t="s">
        <v>561</v>
      </c>
      <c r="C238">
        <v>20</v>
      </c>
      <c r="D238" t="s">
        <v>79</v>
      </c>
      <c r="E238">
        <v>2</v>
      </c>
      <c r="F238" t="s">
        <v>528</v>
      </c>
      <c r="G238">
        <v>1015</v>
      </c>
      <c r="H238">
        <v>1</v>
      </c>
      <c r="I238" t="s">
        <v>81</v>
      </c>
      <c r="J238">
        <v>0</v>
      </c>
      <c r="K238">
        <v>1</v>
      </c>
      <c r="L238">
        <v>2</v>
      </c>
      <c r="M238">
        <v>281</v>
      </c>
      <c r="N238">
        <v>483</v>
      </c>
      <c r="O238">
        <v>0</v>
      </c>
      <c r="P238">
        <v>483</v>
      </c>
      <c r="Q238">
        <v>29</v>
      </c>
      <c r="R238">
        <v>32</v>
      </c>
      <c r="S238">
        <v>2</v>
      </c>
      <c r="T238">
        <v>42</v>
      </c>
      <c r="U238">
        <v>16</v>
      </c>
      <c r="V238">
        <v>29</v>
      </c>
      <c r="W238">
        <v>7</v>
      </c>
      <c r="X238">
        <v>135</v>
      </c>
      <c r="Y238">
        <v>150</v>
      </c>
      <c r="Z238">
        <v>16</v>
      </c>
      <c r="AA238">
        <v>1</v>
      </c>
      <c r="AB238">
        <v>4</v>
      </c>
      <c r="AC238">
        <v>0</v>
      </c>
      <c r="AD238">
        <v>0</v>
      </c>
      <c r="AE238">
        <v>0</v>
      </c>
      <c r="AF238">
        <v>0</v>
      </c>
      <c r="AK238">
        <v>3</v>
      </c>
      <c r="AL238">
        <v>1</v>
      </c>
      <c r="AM238">
        <v>1</v>
      </c>
      <c r="AN238">
        <v>2</v>
      </c>
      <c r="AT238">
        <v>0</v>
      </c>
      <c r="AU238">
        <v>11</v>
      </c>
      <c r="AV238">
        <v>483</v>
      </c>
      <c r="AW238">
        <v>481</v>
      </c>
      <c r="AX238">
        <v>741</v>
      </c>
      <c r="BA238">
        <v>1</v>
      </c>
      <c r="BC238" t="s">
        <v>562</v>
      </c>
      <c r="BD238" s="4">
        <v>43283.167361111111</v>
      </c>
      <c r="BE238" s="4">
        <v>43283.180717592593</v>
      </c>
      <c r="BF238" s="4">
        <v>43283.180717592593</v>
      </c>
      <c r="BG238" t="s">
        <v>83</v>
      </c>
      <c r="BH238" t="s">
        <v>84</v>
      </c>
      <c r="BI238" t="s">
        <v>85</v>
      </c>
    </row>
    <row r="239" spans="1:61" x14ac:dyDescent="0.3">
      <c r="A239" t="str">
        <f>"201015C0100"</f>
        <v>201015C0100</v>
      </c>
      <c r="B239" t="s">
        <v>563</v>
      </c>
      <c r="C239">
        <v>20</v>
      </c>
      <c r="D239" t="s">
        <v>79</v>
      </c>
      <c r="E239">
        <v>2</v>
      </c>
      <c r="F239" t="s">
        <v>528</v>
      </c>
      <c r="G239">
        <v>1015</v>
      </c>
      <c r="H239">
        <v>1</v>
      </c>
      <c r="I239" t="s">
        <v>89</v>
      </c>
      <c r="J239">
        <v>0</v>
      </c>
      <c r="K239">
        <v>1</v>
      </c>
      <c r="L239">
        <v>2</v>
      </c>
      <c r="M239">
        <v>268</v>
      </c>
      <c r="N239">
        <v>496</v>
      </c>
      <c r="O239">
        <v>4</v>
      </c>
      <c r="P239">
        <v>496</v>
      </c>
      <c r="Q239">
        <v>21</v>
      </c>
      <c r="R239">
        <v>33</v>
      </c>
      <c r="S239">
        <v>3</v>
      </c>
      <c r="T239">
        <v>52</v>
      </c>
      <c r="U239">
        <v>15</v>
      </c>
      <c r="V239">
        <v>28</v>
      </c>
      <c r="W239">
        <v>4</v>
      </c>
      <c r="X239">
        <v>153</v>
      </c>
      <c r="Y239">
        <v>161</v>
      </c>
      <c r="Z239">
        <v>16</v>
      </c>
      <c r="AA239">
        <v>1</v>
      </c>
      <c r="AB239">
        <v>1</v>
      </c>
      <c r="AC239">
        <v>0</v>
      </c>
      <c r="AD239">
        <v>0</v>
      </c>
      <c r="AE239">
        <v>0</v>
      </c>
      <c r="AF239">
        <v>0</v>
      </c>
      <c r="AK239">
        <v>2</v>
      </c>
      <c r="AL239">
        <v>0</v>
      </c>
      <c r="AM239">
        <v>0</v>
      </c>
      <c r="AN239">
        <v>0</v>
      </c>
      <c r="AT239" t="s">
        <v>100</v>
      </c>
      <c r="AU239">
        <v>6</v>
      </c>
      <c r="AV239">
        <v>496</v>
      </c>
      <c r="AW239">
        <v>496</v>
      </c>
      <c r="AX239">
        <v>741</v>
      </c>
      <c r="AZ239" t="s">
        <v>101</v>
      </c>
      <c r="BA239">
        <v>1</v>
      </c>
      <c r="BC239" t="s">
        <v>564</v>
      </c>
      <c r="BD239" s="4">
        <v>43283.17083333333</v>
      </c>
      <c r="BE239" s="4">
        <v>43283.183148148149</v>
      </c>
      <c r="BF239" s="4">
        <v>43283.183148148149</v>
      </c>
      <c r="BG239" t="s">
        <v>83</v>
      </c>
      <c r="BH239" t="s">
        <v>84</v>
      </c>
      <c r="BI239" t="s">
        <v>85</v>
      </c>
    </row>
    <row r="240" spans="1:61" x14ac:dyDescent="0.3">
      <c r="A240" t="str">
        <f>"201016B0100"</f>
        <v>201016B0100</v>
      </c>
      <c r="B240" t="s">
        <v>565</v>
      </c>
      <c r="C240">
        <v>20</v>
      </c>
      <c r="D240" t="s">
        <v>79</v>
      </c>
      <c r="E240">
        <v>2</v>
      </c>
      <c r="F240" t="s">
        <v>528</v>
      </c>
      <c r="G240">
        <v>1016</v>
      </c>
      <c r="H240">
        <v>1</v>
      </c>
      <c r="I240" t="s">
        <v>81</v>
      </c>
      <c r="J240">
        <v>0</v>
      </c>
      <c r="K240">
        <v>1</v>
      </c>
      <c r="L240">
        <v>2</v>
      </c>
      <c r="M240">
        <v>172</v>
      </c>
      <c r="N240" t="s">
        <v>315</v>
      </c>
      <c r="O240">
        <v>4</v>
      </c>
      <c r="P240">
        <v>386</v>
      </c>
      <c r="Q240">
        <v>4</v>
      </c>
      <c r="R240">
        <v>18</v>
      </c>
      <c r="S240">
        <v>0</v>
      </c>
      <c r="T240">
        <v>39</v>
      </c>
      <c r="U240">
        <v>9</v>
      </c>
      <c r="V240">
        <v>4</v>
      </c>
      <c r="W240">
        <v>0</v>
      </c>
      <c r="X240">
        <v>188</v>
      </c>
      <c r="Y240">
        <v>91</v>
      </c>
      <c r="Z240">
        <v>9</v>
      </c>
      <c r="AA240">
        <v>0</v>
      </c>
      <c r="AB240">
        <v>6</v>
      </c>
      <c r="AC240">
        <v>1</v>
      </c>
      <c r="AD240">
        <v>0</v>
      </c>
      <c r="AE240">
        <v>0</v>
      </c>
      <c r="AF240">
        <v>0</v>
      </c>
      <c r="AK240">
        <v>4</v>
      </c>
      <c r="AL240">
        <v>0</v>
      </c>
      <c r="AM240">
        <v>0</v>
      </c>
      <c r="AN240">
        <v>4</v>
      </c>
      <c r="AT240">
        <v>3</v>
      </c>
      <c r="AU240">
        <v>17</v>
      </c>
      <c r="AV240">
        <v>387</v>
      </c>
      <c r="AW240">
        <v>397</v>
      </c>
      <c r="AX240">
        <v>543</v>
      </c>
      <c r="BA240">
        <v>1</v>
      </c>
      <c r="BC240" t="s">
        <v>566</v>
      </c>
      <c r="BD240" s="4">
        <v>43283.17083333333</v>
      </c>
      <c r="BE240" s="4">
        <v>43283.184999999998</v>
      </c>
      <c r="BF240" s="4">
        <v>43283.184999999998</v>
      </c>
      <c r="BG240" t="s">
        <v>83</v>
      </c>
      <c r="BH240" t="s">
        <v>84</v>
      </c>
      <c r="BI240" t="s">
        <v>85</v>
      </c>
    </row>
    <row r="241" spans="1:61" x14ac:dyDescent="0.3">
      <c r="A241" t="str">
        <f>"201016C0100"</f>
        <v>201016C0100</v>
      </c>
      <c r="B241" t="s">
        <v>567</v>
      </c>
      <c r="C241">
        <v>20</v>
      </c>
      <c r="D241" t="s">
        <v>79</v>
      </c>
      <c r="E241">
        <v>2</v>
      </c>
      <c r="F241" t="s">
        <v>528</v>
      </c>
      <c r="G241">
        <v>1016</v>
      </c>
      <c r="H241">
        <v>1</v>
      </c>
      <c r="I241" t="s">
        <v>89</v>
      </c>
      <c r="J241">
        <v>0</v>
      </c>
      <c r="K241">
        <v>1</v>
      </c>
      <c r="L241">
        <v>2</v>
      </c>
      <c r="M241">
        <v>180</v>
      </c>
      <c r="N241">
        <v>385</v>
      </c>
      <c r="O241">
        <v>10</v>
      </c>
      <c r="P241">
        <v>394</v>
      </c>
      <c r="Q241">
        <v>28</v>
      </c>
      <c r="R241">
        <v>21</v>
      </c>
      <c r="S241">
        <v>9</v>
      </c>
      <c r="T241">
        <v>46</v>
      </c>
      <c r="U241">
        <v>11</v>
      </c>
      <c r="V241">
        <v>6</v>
      </c>
      <c r="W241">
        <v>7</v>
      </c>
      <c r="X241">
        <v>110</v>
      </c>
      <c r="Y241">
        <v>135</v>
      </c>
      <c r="Z241">
        <v>5</v>
      </c>
      <c r="AA241">
        <v>0</v>
      </c>
      <c r="AB241">
        <v>0</v>
      </c>
      <c r="AC241">
        <v>0</v>
      </c>
      <c r="AD241">
        <v>0</v>
      </c>
      <c r="AE241">
        <v>1</v>
      </c>
      <c r="AF241">
        <v>0</v>
      </c>
      <c r="AK241">
        <v>3</v>
      </c>
      <c r="AL241">
        <v>0</v>
      </c>
      <c r="AM241">
        <v>0</v>
      </c>
      <c r="AN241">
        <v>0</v>
      </c>
      <c r="AT241">
        <v>0</v>
      </c>
      <c r="AU241">
        <v>12</v>
      </c>
      <c r="AV241">
        <v>394</v>
      </c>
      <c r="AW241">
        <v>394</v>
      </c>
      <c r="AX241">
        <v>542</v>
      </c>
      <c r="BA241">
        <v>1</v>
      </c>
      <c r="BC241" t="s">
        <v>568</v>
      </c>
      <c r="BD241" s="4">
        <v>43283.173611111109</v>
      </c>
      <c r="BE241" s="4">
        <v>43283.1875462963</v>
      </c>
      <c r="BF241" s="4">
        <v>43283.1875462963</v>
      </c>
      <c r="BG241" t="s">
        <v>83</v>
      </c>
      <c r="BH241" t="s">
        <v>84</v>
      </c>
      <c r="BI241" t="s">
        <v>548</v>
      </c>
    </row>
    <row r="242" spans="1:61" x14ac:dyDescent="0.3">
      <c r="A242" t="str">
        <f>"201017B0100"</f>
        <v>201017B0100</v>
      </c>
      <c r="B242" t="s">
        <v>569</v>
      </c>
      <c r="C242">
        <v>20</v>
      </c>
      <c r="D242" t="s">
        <v>79</v>
      </c>
      <c r="E242">
        <v>2</v>
      </c>
      <c r="F242" t="s">
        <v>528</v>
      </c>
      <c r="G242">
        <v>1017</v>
      </c>
      <c r="H242">
        <v>1</v>
      </c>
      <c r="I242" t="s">
        <v>81</v>
      </c>
      <c r="J242">
        <v>0</v>
      </c>
      <c r="K242">
        <v>1</v>
      </c>
      <c r="L242">
        <v>2</v>
      </c>
      <c r="M242">
        <v>249</v>
      </c>
      <c r="N242">
        <v>470</v>
      </c>
      <c r="O242">
        <v>7</v>
      </c>
      <c r="P242">
        <v>470</v>
      </c>
      <c r="Q242">
        <v>21</v>
      </c>
      <c r="R242">
        <v>33</v>
      </c>
      <c r="S242">
        <v>9</v>
      </c>
      <c r="T242">
        <v>39</v>
      </c>
      <c r="U242">
        <v>19</v>
      </c>
      <c r="V242">
        <v>10</v>
      </c>
      <c r="W242">
        <v>8</v>
      </c>
      <c r="X242">
        <v>151</v>
      </c>
      <c r="Y242">
        <v>145</v>
      </c>
      <c r="Z242">
        <v>7</v>
      </c>
      <c r="AA242">
        <v>2</v>
      </c>
      <c r="AB242">
        <v>1</v>
      </c>
      <c r="AC242">
        <v>0</v>
      </c>
      <c r="AD242">
        <v>0</v>
      </c>
      <c r="AE242">
        <v>1</v>
      </c>
      <c r="AF242">
        <v>1</v>
      </c>
      <c r="AK242">
        <v>3</v>
      </c>
      <c r="AL242">
        <v>0</v>
      </c>
      <c r="AM242">
        <v>0</v>
      </c>
      <c r="AN242">
        <v>1</v>
      </c>
      <c r="AT242">
        <v>1</v>
      </c>
      <c r="AU242">
        <v>18</v>
      </c>
      <c r="AV242">
        <v>470</v>
      </c>
      <c r="AW242">
        <v>470</v>
      </c>
      <c r="AX242">
        <v>696</v>
      </c>
      <c r="BA242">
        <v>1</v>
      </c>
      <c r="BC242" t="s">
        <v>570</v>
      </c>
      <c r="BD242" s="4">
        <v>43283.174305555556</v>
      </c>
      <c r="BE242" s="4">
        <v>43283.188842592594</v>
      </c>
      <c r="BF242" s="4">
        <v>43283.188842592594</v>
      </c>
      <c r="BG242" t="s">
        <v>83</v>
      </c>
      <c r="BH242" t="s">
        <v>84</v>
      </c>
      <c r="BI242" t="s">
        <v>85</v>
      </c>
    </row>
    <row r="243" spans="1:61" x14ac:dyDescent="0.3">
      <c r="A243" t="str">
        <f>"201017C0100"</f>
        <v>201017C0100</v>
      </c>
      <c r="B243" t="s">
        <v>571</v>
      </c>
      <c r="C243">
        <v>20</v>
      </c>
      <c r="D243" t="s">
        <v>79</v>
      </c>
      <c r="E243">
        <v>2</v>
      </c>
      <c r="F243" t="s">
        <v>528</v>
      </c>
      <c r="G243">
        <v>1017</v>
      </c>
      <c r="H243">
        <v>1</v>
      </c>
      <c r="I243" t="s">
        <v>89</v>
      </c>
      <c r="J243">
        <v>0</v>
      </c>
      <c r="K243">
        <v>1</v>
      </c>
      <c r="L243">
        <v>2</v>
      </c>
      <c r="M243">
        <v>283</v>
      </c>
      <c r="N243">
        <v>435</v>
      </c>
      <c r="O243">
        <v>5</v>
      </c>
      <c r="P243">
        <v>433</v>
      </c>
      <c r="Q243">
        <v>26</v>
      </c>
      <c r="R243">
        <v>32</v>
      </c>
      <c r="S243">
        <v>8</v>
      </c>
      <c r="T243">
        <v>39</v>
      </c>
      <c r="U243">
        <v>16</v>
      </c>
      <c r="V243">
        <v>12</v>
      </c>
      <c r="W243">
        <v>2</v>
      </c>
      <c r="X243">
        <v>129</v>
      </c>
      <c r="Y243">
        <v>135</v>
      </c>
      <c r="Z243">
        <v>7</v>
      </c>
      <c r="AA243">
        <v>5</v>
      </c>
      <c r="AB243">
        <v>0</v>
      </c>
      <c r="AC243">
        <v>0</v>
      </c>
      <c r="AD243">
        <v>0</v>
      </c>
      <c r="AE243">
        <v>0</v>
      </c>
      <c r="AF243">
        <v>1</v>
      </c>
      <c r="AK243">
        <v>3</v>
      </c>
      <c r="AL243">
        <v>1</v>
      </c>
      <c r="AM243">
        <v>1</v>
      </c>
      <c r="AN243">
        <v>2</v>
      </c>
      <c r="AT243">
        <v>0</v>
      </c>
      <c r="AU243">
        <v>14</v>
      </c>
      <c r="AV243">
        <v>433</v>
      </c>
      <c r="AW243">
        <v>433</v>
      </c>
      <c r="AX243">
        <v>695</v>
      </c>
      <c r="BA243">
        <v>1</v>
      </c>
      <c r="BC243" t="s">
        <v>572</v>
      </c>
      <c r="BD243" s="4">
        <v>43283.175694444442</v>
      </c>
      <c r="BE243" s="4">
        <v>43283.19195601852</v>
      </c>
      <c r="BF243" s="4">
        <v>43283.19195601852</v>
      </c>
      <c r="BG243" t="s">
        <v>83</v>
      </c>
      <c r="BH243" t="s">
        <v>84</v>
      </c>
      <c r="BI243" t="s">
        <v>85</v>
      </c>
    </row>
    <row r="244" spans="1:61" x14ac:dyDescent="0.3">
      <c r="A244" t="str">
        <f>"201018B0100"</f>
        <v>201018B0100</v>
      </c>
      <c r="B244" t="s">
        <v>573</v>
      </c>
      <c r="C244">
        <v>20</v>
      </c>
      <c r="D244" t="s">
        <v>79</v>
      </c>
      <c r="E244">
        <v>2</v>
      </c>
      <c r="F244" t="s">
        <v>528</v>
      </c>
      <c r="G244">
        <v>1018</v>
      </c>
      <c r="H244">
        <v>1</v>
      </c>
      <c r="I244" t="s">
        <v>81</v>
      </c>
      <c r="J244">
        <v>0</v>
      </c>
      <c r="K244">
        <v>2</v>
      </c>
      <c r="L244">
        <v>2</v>
      </c>
      <c r="M244">
        <v>222</v>
      </c>
      <c r="N244">
        <v>402</v>
      </c>
      <c r="O244">
        <v>4</v>
      </c>
      <c r="P244">
        <v>401</v>
      </c>
      <c r="Q244">
        <v>14</v>
      </c>
      <c r="R244">
        <v>16</v>
      </c>
      <c r="S244">
        <v>5</v>
      </c>
      <c r="T244">
        <v>42</v>
      </c>
      <c r="U244">
        <v>10</v>
      </c>
      <c r="V244">
        <v>5</v>
      </c>
      <c r="W244">
        <v>2</v>
      </c>
      <c r="X244">
        <v>108</v>
      </c>
      <c r="Y244">
        <v>167</v>
      </c>
      <c r="Z244">
        <v>14</v>
      </c>
      <c r="AA244">
        <v>1</v>
      </c>
      <c r="AB244">
        <v>1</v>
      </c>
      <c r="AC244" t="s">
        <v>100</v>
      </c>
      <c r="AD244" t="s">
        <v>100</v>
      </c>
      <c r="AE244" t="s">
        <v>100</v>
      </c>
      <c r="AF244" t="s">
        <v>100</v>
      </c>
      <c r="AK244" t="s">
        <v>100</v>
      </c>
      <c r="AL244" t="s">
        <v>100</v>
      </c>
      <c r="AM244" t="s">
        <v>100</v>
      </c>
      <c r="AN244" t="s">
        <v>100</v>
      </c>
      <c r="AT244" t="s">
        <v>100</v>
      </c>
      <c r="AU244">
        <v>16</v>
      </c>
      <c r="AV244">
        <v>401</v>
      </c>
      <c r="AW244">
        <v>401</v>
      </c>
      <c r="AX244">
        <v>603</v>
      </c>
      <c r="AZ244" t="s">
        <v>101</v>
      </c>
      <c r="BA244">
        <v>1</v>
      </c>
      <c r="BC244" t="s">
        <v>574</v>
      </c>
      <c r="BD244" s="4">
        <v>43283.388888888891</v>
      </c>
      <c r="BE244" s="4">
        <v>43283.391655092593</v>
      </c>
      <c r="BF244" s="4">
        <v>43283.391655092593</v>
      </c>
      <c r="BG244" t="s">
        <v>83</v>
      </c>
      <c r="BH244" t="s">
        <v>84</v>
      </c>
      <c r="BI244" t="s">
        <v>85</v>
      </c>
    </row>
    <row r="245" spans="1:61" x14ac:dyDescent="0.3">
      <c r="A245" t="str">
        <f>"201018C0100"</f>
        <v>201018C0100</v>
      </c>
      <c r="B245" t="s">
        <v>575</v>
      </c>
      <c r="C245">
        <v>20</v>
      </c>
      <c r="D245" t="s">
        <v>79</v>
      </c>
      <c r="E245">
        <v>2</v>
      </c>
      <c r="F245" t="s">
        <v>528</v>
      </c>
      <c r="G245">
        <v>1018</v>
      </c>
      <c r="H245">
        <v>1</v>
      </c>
      <c r="I245" t="s">
        <v>89</v>
      </c>
      <c r="J245">
        <v>0</v>
      </c>
      <c r="K245">
        <v>2</v>
      </c>
      <c r="L245">
        <v>2</v>
      </c>
      <c r="AX245">
        <v>603</v>
      </c>
      <c r="AZ245" t="s">
        <v>156</v>
      </c>
      <c r="BA245">
        <v>0</v>
      </c>
      <c r="BC245" t="s">
        <v>576</v>
      </c>
      <c r="BD245" s="4">
        <v>43283.513888888891</v>
      </c>
      <c r="BE245" s="4">
        <v>43283.515543981484</v>
      </c>
      <c r="BF245" s="4">
        <v>43283.515543981484</v>
      </c>
      <c r="BG245" t="s">
        <v>83</v>
      </c>
      <c r="BH245" t="s">
        <v>84</v>
      </c>
      <c r="BI245" t="s">
        <v>85</v>
      </c>
    </row>
    <row r="246" spans="1:61" x14ac:dyDescent="0.3">
      <c r="A246" t="str">
        <f>"201018C0200"</f>
        <v>201018C0200</v>
      </c>
      <c r="B246" t="s">
        <v>577</v>
      </c>
      <c r="C246">
        <v>20</v>
      </c>
      <c r="D246" t="s">
        <v>79</v>
      </c>
      <c r="E246">
        <v>2</v>
      </c>
      <c r="F246" t="s">
        <v>528</v>
      </c>
      <c r="G246">
        <v>1018</v>
      </c>
      <c r="H246">
        <v>2</v>
      </c>
      <c r="I246" t="s">
        <v>89</v>
      </c>
      <c r="J246">
        <v>0</v>
      </c>
      <c r="K246">
        <v>2</v>
      </c>
      <c r="L246">
        <v>2</v>
      </c>
      <c r="M246">
        <v>220</v>
      </c>
      <c r="N246">
        <v>405</v>
      </c>
      <c r="O246">
        <v>0</v>
      </c>
      <c r="P246">
        <v>405</v>
      </c>
      <c r="Q246">
        <v>20</v>
      </c>
      <c r="R246">
        <v>14</v>
      </c>
      <c r="S246">
        <v>2</v>
      </c>
      <c r="T246">
        <v>32</v>
      </c>
      <c r="U246">
        <v>14</v>
      </c>
      <c r="V246">
        <v>16</v>
      </c>
      <c r="W246">
        <v>2</v>
      </c>
      <c r="X246">
        <v>97</v>
      </c>
      <c r="Y246">
        <v>155</v>
      </c>
      <c r="Z246">
        <v>13</v>
      </c>
      <c r="AA246">
        <v>1</v>
      </c>
      <c r="AB246">
        <v>1</v>
      </c>
      <c r="AC246">
        <v>1</v>
      </c>
      <c r="AD246" t="s">
        <v>100</v>
      </c>
      <c r="AE246" t="s">
        <v>100</v>
      </c>
      <c r="AF246" t="s">
        <v>100</v>
      </c>
      <c r="AK246">
        <v>9</v>
      </c>
      <c r="AL246" t="s">
        <v>100</v>
      </c>
      <c r="AM246" t="s">
        <v>100</v>
      </c>
      <c r="AN246" t="s">
        <v>100</v>
      </c>
      <c r="AT246" t="s">
        <v>100</v>
      </c>
      <c r="AU246">
        <v>28</v>
      </c>
      <c r="AV246">
        <v>405</v>
      </c>
      <c r="AW246">
        <v>405</v>
      </c>
      <c r="AX246">
        <v>602</v>
      </c>
      <c r="AZ246" t="s">
        <v>101</v>
      </c>
      <c r="BA246">
        <v>1</v>
      </c>
      <c r="BC246" t="s">
        <v>578</v>
      </c>
      <c r="BD246" s="4">
        <v>43283.39166666667</v>
      </c>
      <c r="BE246" s="4">
        <v>43283.395104166666</v>
      </c>
      <c r="BF246" s="4">
        <v>43283.395104166666</v>
      </c>
      <c r="BG246" t="s">
        <v>83</v>
      </c>
      <c r="BH246" t="s">
        <v>84</v>
      </c>
      <c r="BI246" t="s">
        <v>85</v>
      </c>
    </row>
    <row r="247" spans="1:61" x14ac:dyDescent="0.3">
      <c r="A247" t="str">
        <f>"201018C0300"</f>
        <v>201018C0300</v>
      </c>
      <c r="B247" t="s">
        <v>579</v>
      </c>
      <c r="C247">
        <v>20</v>
      </c>
      <c r="D247" t="s">
        <v>79</v>
      </c>
      <c r="E247">
        <v>2</v>
      </c>
      <c r="F247" t="s">
        <v>528</v>
      </c>
      <c r="G247">
        <v>1018</v>
      </c>
      <c r="H247">
        <v>3</v>
      </c>
      <c r="I247" t="s">
        <v>89</v>
      </c>
      <c r="J247">
        <v>0</v>
      </c>
      <c r="K247">
        <v>2</v>
      </c>
      <c r="L247">
        <v>2</v>
      </c>
      <c r="M247">
        <v>210</v>
      </c>
      <c r="N247">
        <v>3</v>
      </c>
      <c r="O247">
        <v>412</v>
      </c>
      <c r="P247">
        <v>415</v>
      </c>
      <c r="Q247">
        <v>12</v>
      </c>
      <c r="R247">
        <v>16</v>
      </c>
      <c r="S247">
        <v>8</v>
      </c>
      <c r="T247">
        <v>46</v>
      </c>
      <c r="U247">
        <v>14</v>
      </c>
      <c r="V247">
        <v>10</v>
      </c>
      <c r="W247">
        <v>2</v>
      </c>
      <c r="X247">
        <v>105</v>
      </c>
      <c r="Y247">
        <v>166</v>
      </c>
      <c r="Z247">
        <v>16</v>
      </c>
      <c r="AA247">
        <v>2</v>
      </c>
      <c r="AB247">
        <v>0</v>
      </c>
      <c r="AC247">
        <v>1</v>
      </c>
      <c r="AD247">
        <v>0</v>
      </c>
      <c r="AE247">
        <v>0</v>
      </c>
      <c r="AF247">
        <v>0</v>
      </c>
      <c r="AK247">
        <v>8</v>
      </c>
      <c r="AL247">
        <v>0</v>
      </c>
      <c r="AM247">
        <v>0</v>
      </c>
      <c r="AN247">
        <v>0</v>
      </c>
      <c r="AT247">
        <v>0</v>
      </c>
      <c r="AU247">
        <v>9</v>
      </c>
      <c r="AV247">
        <v>415</v>
      </c>
      <c r="AW247">
        <v>415</v>
      </c>
      <c r="AX247">
        <v>602</v>
      </c>
      <c r="BA247">
        <v>1</v>
      </c>
      <c r="BC247" t="s">
        <v>580</v>
      </c>
      <c r="BD247" s="4">
        <v>43283.240972222222</v>
      </c>
      <c r="BE247" s="4">
        <v>43283.264803240738</v>
      </c>
      <c r="BF247" s="4">
        <v>43283.264803240738</v>
      </c>
      <c r="BG247" t="s">
        <v>83</v>
      </c>
      <c r="BH247" t="s">
        <v>84</v>
      </c>
      <c r="BI247" t="s">
        <v>85</v>
      </c>
    </row>
    <row r="248" spans="1:61" x14ac:dyDescent="0.3">
      <c r="A248" t="str">
        <f>"201018C0400"</f>
        <v>201018C0400</v>
      </c>
      <c r="B248" t="s">
        <v>581</v>
      </c>
      <c r="C248">
        <v>20</v>
      </c>
      <c r="D248" t="s">
        <v>79</v>
      </c>
      <c r="E248">
        <v>2</v>
      </c>
      <c r="F248" t="s">
        <v>528</v>
      </c>
      <c r="G248">
        <v>1018</v>
      </c>
      <c r="H248">
        <v>4</v>
      </c>
      <c r="I248" t="s">
        <v>89</v>
      </c>
      <c r="J248">
        <v>0</v>
      </c>
      <c r="K248">
        <v>2</v>
      </c>
      <c r="L248">
        <v>2</v>
      </c>
      <c r="M248">
        <v>245</v>
      </c>
      <c r="N248">
        <v>380</v>
      </c>
      <c r="O248">
        <v>0</v>
      </c>
      <c r="P248">
        <v>380</v>
      </c>
      <c r="Q248">
        <v>12</v>
      </c>
      <c r="R248">
        <v>23</v>
      </c>
      <c r="S248">
        <v>0</v>
      </c>
      <c r="T248">
        <v>27</v>
      </c>
      <c r="U248">
        <v>12</v>
      </c>
      <c r="V248">
        <v>12</v>
      </c>
      <c r="W248">
        <v>1</v>
      </c>
      <c r="X248">
        <v>93</v>
      </c>
      <c r="Y248">
        <v>166</v>
      </c>
      <c r="Z248">
        <v>8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K248">
        <v>6</v>
      </c>
      <c r="AL248">
        <v>1</v>
      </c>
      <c r="AM248">
        <v>0</v>
      </c>
      <c r="AN248">
        <v>1</v>
      </c>
      <c r="AT248">
        <v>0</v>
      </c>
      <c r="AU248">
        <v>18</v>
      </c>
      <c r="AV248">
        <v>380</v>
      </c>
      <c r="AW248">
        <v>380</v>
      </c>
      <c r="AX248">
        <v>602</v>
      </c>
      <c r="BA248">
        <v>1</v>
      </c>
      <c r="BC248" t="s">
        <v>582</v>
      </c>
      <c r="BD248" s="4">
        <v>43283.394444444442</v>
      </c>
      <c r="BE248" s="4">
        <v>43283.397638888891</v>
      </c>
      <c r="BF248" s="4">
        <v>43283.397638888891</v>
      </c>
      <c r="BG248" t="s">
        <v>83</v>
      </c>
      <c r="BH248" t="s">
        <v>84</v>
      </c>
      <c r="BI248" t="s">
        <v>85</v>
      </c>
    </row>
    <row r="249" spans="1:61" x14ac:dyDescent="0.3">
      <c r="A249" t="str">
        <f>"201018E0100"</f>
        <v>201018E0100</v>
      </c>
      <c r="B249" s="2" t="s">
        <v>583</v>
      </c>
      <c r="C249">
        <v>20</v>
      </c>
      <c r="D249" t="s">
        <v>79</v>
      </c>
      <c r="E249">
        <v>2</v>
      </c>
      <c r="F249" t="s">
        <v>528</v>
      </c>
      <c r="G249">
        <v>1018</v>
      </c>
      <c r="H249">
        <v>1</v>
      </c>
      <c r="I249" t="s">
        <v>145</v>
      </c>
      <c r="J249">
        <v>0</v>
      </c>
      <c r="K249">
        <v>2</v>
      </c>
      <c r="L249">
        <v>2</v>
      </c>
      <c r="M249">
        <v>214</v>
      </c>
      <c r="N249">
        <v>507</v>
      </c>
      <c r="O249" t="s">
        <v>100</v>
      </c>
      <c r="P249">
        <v>507</v>
      </c>
      <c r="Q249">
        <v>15</v>
      </c>
      <c r="R249">
        <v>25</v>
      </c>
      <c r="S249">
        <v>13</v>
      </c>
      <c r="T249">
        <v>64</v>
      </c>
      <c r="U249">
        <v>18</v>
      </c>
      <c r="V249">
        <v>3</v>
      </c>
      <c r="W249">
        <v>3</v>
      </c>
      <c r="X249">
        <v>147</v>
      </c>
      <c r="Y249">
        <v>187</v>
      </c>
      <c r="Z249">
        <v>11</v>
      </c>
      <c r="AA249" t="s">
        <v>100</v>
      </c>
      <c r="AB249" t="s">
        <v>100</v>
      </c>
      <c r="AC249" t="s">
        <v>100</v>
      </c>
      <c r="AD249" t="s">
        <v>100</v>
      </c>
      <c r="AE249">
        <v>2</v>
      </c>
      <c r="AF249" t="s">
        <v>100</v>
      </c>
      <c r="AK249">
        <v>1</v>
      </c>
      <c r="AL249">
        <v>1</v>
      </c>
      <c r="AM249" t="s">
        <v>100</v>
      </c>
      <c r="AN249">
        <v>4</v>
      </c>
      <c r="AT249" t="s">
        <v>100</v>
      </c>
      <c r="AU249">
        <v>13</v>
      </c>
      <c r="AV249" t="s">
        <v>100</v>
      </c>
      <c r="AW249">
        <v>507</v>
      </c>
      <c r="AX249">
        <v>698</v>
      </c>
      <c r="AZ249" t="s">
        <v>101</v>
      </c>
      <c r="BA249">
        <v>1</v>
      </c>
      <c r="BC249" t="s">
        <v>584</v>
      </c>
      <c r="BD249" s="4">
        <v>43283.159722222219</v>
      </c>
      <c r="BE249" s="4">
        <v>43283.171018518522</v>
      </c>
      <c r="BF249" s="4">
        <v>43283.171018518522</v>
      </c>
      <c r="BG249" t="s">
        <v>83</v>
      </c>
      <c r="BH249" t="s">
        <v>84</v>
      </c>
      <c r="BI249" t="s">
        <v>85</v>
      </c>
    </row>
    <row r="250" spans="1:61" x14ac:dyDescent="0.3">
      <c r="A250" t="str">
        <f>"201019B0100"</f>
        <v>201019B0100</v>
      </c>
      <c r="B250" t="s">
        <v>585</v>
      </c>
      <c r="C250">
        <v>20</v>
      </c>
      <c r="D250" t="s">
        <v>79</v>
      </c>
      <c r="E250">
        <v>2</v>
      </c>
      <c r="F250" t="s">
        <v>528</v>
      </c>
      <c r="G250">
        <v>1019</v>
      </c>
      <c r="H250">
        <v>1</v>
      </c>
      <c r="I250" t="s">
        <v>81</v>
      </c>
      <c r="J250">
        <v>0</v>
      </c>
      <c r="K250">
        <v>1</v>
      </c>
      <c r="L250">
        <v>2</v>
      </c>
      <c r="M250">
        <v>205</v>
      </c>
      <c r="N250">
        <v>396</v>
      </c>
      <c r="O250">
        <v>1</v>
      </c>
      <c r="P250">
        <v>395</v>
      </c>
      <c r="Q250">
        <v>23</v>
      </c>
      <c r="R250">
        <v>17</v>
      </c>
      <c r="S250">
        <v>6</v>
      </c>
      <c r="T250">
        <v>18</v>
      </c>
      <c r="U250">
        <v>10</v>
      </c>
      <c r="V250">
        <v>8</v>
      </c>
      <c r="W250">
        <v>3</v>
      </c>
      <c r="X250">
        <v>105</v>
      </c>
      <c r="Y250">
        <v>180</v>
      </c>
      <c r="Z250">
        <v>6</v>
      </c>
      <c r="AA250">
        <v>3</v>
      </c>
      <c r="AB250">
        <v>0</v>
      </c>
      <c r="AC250">
        <v>0</v>
      </c>
      <c r="AD250">
        <v>0</v>
      </c>
      <c r="AE250">
        <v>0</v>
      </c>
      <c r="AF250">
        <v>0</v>
      </c>
      <c r="AK250">
        <v>1</v>
      </c>
      <c r="AL250">
        <v>2</v>
      </c>
      <c r="AM250">
        <v>0</v>
      </c>
      <c r="AN250">
        <v>1</v>
      </c>
      <c r="AT250">
        <v>0</v>
      </c>
      <c r="AU250">
        <v>12</v>
      </c>
      <c r="AV250">
        <v>395</v>
      </c>
      <c r="AW250">
        <v>395</v>
      </c>
      <c r="AX250">
        <v>579</v>
      </c>
      <c r="BA250">
        <v>1</v>
      </c>
      <c r="BC250" t="s">
        <v>586</v>
      </c>
      <c r="BD250" s="4">
        <v>43283.144444444442</v>
      </c>
      <c r="BE250" s="4">
        <v>43283.154178240744</v>
      </c>
      <c r="BF250" s="4">
        <v>43283.154178240744</v>
      </c>
      <c r="BG250" t="s">
        <v>83</v>
      </c>
      <c r="BH250" t="s">
        <v>84</v>
      </c>
      <c r="BI250" t="s">
        <v>85</v>
      </c>
    </row>
    <row r="251" spans="1:61" x14ac:dyDescent="0.3">
      <c r="A251" t="str">
        <f>"201019C0100"</f>
        <v>201019C0100</v>
      </c>
      <c r="B251" t="s">
        <v>587</v>
      </c>
      <c r="C251">
        <v>20</v>
      </c>
      <c r="D251" t="s">
        <v>79</v>
      </c>
      <c r="E251">
        <v>2</v>
      </c>
      <c r="F251" t="s">
        <v>528</v>
      </c>
      <c r="G251">
        <v>1019</v>
      </c>
      <c r="H251">
        <v>1</v>
      </c>
      <c r="I251" t="s">
        <v>89</v>
      </c>
      <c r="J251">
        <v>0</v>
      </c>
      <c r="K251">
        <v>1</v>
      </c>
      <c r="L251">
        <v>2</v>
      </c>
      <c r="M251">
        <v>200</v>
      </c>
      <c r="N251">
        <v>399</v>
      </c>
      <c r="O251">
        <v>5</v>
      </c>
      <c r="P251">
        <v>402</v>
      </c>
      <c r="Q251">
        <v>22</v>
      </c>
      <c r="R251">
        <v>32</v>
      </c>
      <c r="S251">
        <v>5</v>
      </c>
      <c r="T251">
        <v>15</v>
      </c>
      <c r="U251">
        <v>9</v>
      </c>
      <c r="V251">
        <v>5</v>
      </c>
      <c r="W251">
        <v>4</v>
      </c>
      <c r="X251">
        <v>115</v>
      </c>
      <c r="Y251">
        <v>169</v>
      </c>
      <c r="Z251">
        <v>5</v>
      </c>
      <c r="AA251">
        <v>2</v>
      </c>
      <c r="AB251">
        <v>1</v>
      </c>
      <c r="AC251">
        <v>0</v>
      </c>
      <c r="AD251">
        <v>0</v>
      </c>
      <c r="AE251">
        <v>0</v>
      </c>
      <c r="AF251">
        <v>0</v>
      </c>
      <c r="AK251">
        <v>1</v>
      </c>
      <c r="AL251">
        <v>2</v>
      </c>
      <c r="AM251">
        <v>0</v>
      </c>
      <c r="AN251">
        <v>0</v>
      </c>
      <c r="AT251">
        <v>0</v>
      </c>
      <c r="AU251">
        <v>15</v>
      </c>
      <c r="AV251">
        <v>402</v>
      </c>
      <c r="AW251">
        <v>402</v>
      </c>
      <c r="AX251">
        <v>579</v>
      </c>
      <c r="BA251">
        <v>1</v>
      </c>
      <c r="BC251" t="s">
        <v>588</v>
      </c>
      <c r="BD251" s="4">
        <v>43283.147916666669</v>
      </c>
      <c r="BE251" s="4">
        <v>43283.156145833331</v>
      </c>
      <c r="BF251" s="4">
        <v>43283.156145833331</v>
      </c>
      <c r="BG251" t="s">
        <v>83</v>
      </c>
      <c r="BH251" t="s">
        <v>84</v>
      </c>
      <c r="BI251" t="s">
        <v>85</v>
      </c>
    </row>
    <row r="252" spans="1:61" x14ac:dyDescent="0.3">
      <c r="A252" t="str">
        <f>"201019C0200"</f>
        <v>201019C0200</v>
      </c>
      <c r="B252" t="s">
        <v>589</v>
      </c>
      <c r="C252">
        <v>20</v>
      </c>
      <c r="D252" t="s">
        <v>79</v>
      </c>
      <c r="E252">
        <v>2</v>
      </c>
      <c r="F252" t="s">
        <v>528</v>
      </c>
      <c r="G252">
        <v>1019</v>
      </c>
      <c r="H252">
        <v>2</v>
      </c>
      <c r="I252" t="s">
        <v>89</v>
      </c>
      <c r="J252">
        <v>0</v>
      </c>
      <c r="K252">
        <v>1</v>
      </c>
      <c r="L252">
        <v>2</v>
      </c>
      <c r="M252">
        <v>213</v>
      </c>
      <c r="N252">
        <v>387</v>
      </c>
      <c r="O252">
        <v>0</v>
      </c>
      <c r="P252">
        <v>387</v>
      </c>
      <c r="Q252">
        <v>22</v>
      </c>
      <c r="R252">
        <v>25</v>
      </c>
      <c r="S252">
        <v>8</v>
      </c>
      <c r="T252">
        <v>14</v>
      </c>
      <c r="U252">
        <v>12</v>
      </c>
      <c r="V252">
        <v>10</v>
      </c>
      <c r="W252">
        <v>4</v>
      </c>
      <c r="X252">
        <v>115</v>
      </c>
      <c r="Y252">
        <v>156</v>
      </c>
      <c r="Z252">
        <v>5</v>
      </c>
      <c r="AA252">
        <v>0</v>
      </c>
      <c r="AB252">
        <v>2</v>
      </c>
      <c r="AC252" t="s">
        <v>100</v>
      </c>
      <c r="AD252" t="s">
        <v>100</v>
      </c>
      <c r="AE252" t="s">
        <v>100</v>
      </c>
      <c r="AF252" t="s">
        <v>100</v>
      </c>
      <c r="AK252">
        <v>1</v>
      </c>
      <c r="AL252" t="s">
        <v>100</v>
      </c>
      <c r="AM252" t="s">
        <v>100</v>
      </c>
      <c r="AN252" t="s">
        <v>100</v>
      </c>
      <c r="AT252" t="s">
        <v>100</v>
      </c>
      <c r="AU252">
        <v>13</v>
      </c>
      <c r="AV252">
        <v>387</v>
      </c>
      <c r="AW252">
        <v>387</v>
      </c>
      <c r="AX252">
        <v>578</v>
      </c>
      <c r="AZ252" t="s">
        <v>101</v>
      </c>
      <c r="BA252">
        <v>1</v>
      </c>
      <c r="BC252" t="s">
        <v>590</v>
      </c>
      <c r="BD252" s="4">
        <v>43283.147916666669</v>
      </c>
      <c r="BE252" s="4">
        <v>43283.157083333332</v>
      </c>
      <c r="BF252" s="4">
        <v>43283.157083333332</v>
      </c>
      <c r="BG252" t="s">
        <v>83</v>
      </c>
      <c r="BH252" t="s">
        <v>84</v>
      </c>
      <c r="BI252" t="s">
        <v>85</v>
      </c>
    </row>
    <row r="253" spans="1:61" x14ac:dyDescent="0.3">
      <c r="A253" t="str">
        <f>"201020B0100"</f>
        <v>201020B0100</v>
      </c>
      <c r="B253" t="s">
        <v>591</v>
      </c>
      <c r="C253">
        <v>20</v>
      </c>
      <c r="D253" t="s">
        <v>79</v>
      </c>
      <c r="E253">
        <v>2</v>
      </c>
      <c r="F253" t="s">
        <v>528</v>
      </c>
      <c r="G253">
        <v>1020</v>
      </c>
      <c r="H253">
        <v>1</v>
      </c>
      <c r="I253" t="s">
        <v>81</v>
      </c>
      <c r="J253">
        <v>0</v>
      </c>
      <c r="K253">
        <v>1</v>
      </c>
      <c r="L253">
        <v>2</v>
      </c>
      <c r="M253">
        <v>216</v>
      </c>
      <c r="N253">
        <v>404</v>
      </c>
      <c r="O253">
        <v>7</v>
      </c>
      <c r="P253" t="s">
        <v>315</v>
      </c>
      <c r="Q253">
        <v>43</v>
      </c>
      <c r="R253">
        <v>31</v>
      </c>
      <c r="S253">
        <v>8</v>
      </c>
      <c r="T253">
        <v>34</v>
      </c>
      <c r="U253">
        <v>11</v>
      </c>
      <c r="V253">
        <v>11</v>
      </c>
      <c r="W253">
        <v>8</v>
      </c>
      <c r="X253">
        <v>89</v>
      </c>
      <c r="Y253">
        <v>146</v>
      </c>
      <c r="Z253">
        <v>4</v>
      </c>
      <c r="AA253">
        <v>2</v>
      </c>
      <c r="AB253">
        <v>3</v>
      </c>
      <c r="AC253">
        <v>1</v>
      </c>
      <c r="AD253">
        <v>0</v>
      </c>
      <c r="AE253">
        <v>0</v>
      </c>
      <c r="AF253">
        <v>0</v>
      </c>
      <c r="AK253">
        <v>3</v>
      </c>
      <c r="AL253">
        <v>0</v>
      </c>
      <c r="AM253">
        <v>0</v>
      </c>
      <c r="AN253">
        <v>1</v>
      </c>
      <c r="AT253" t="s">
        <v>100</v>
      </c>
      <c r="AU253">
        <v>6</v>
      </c>
      <c r="AV253">
        <v>401</v>
      </c>
      <c r="AW253">
        <v>401</v>
      </c>
      <c r="AX253">
        <v>598</v>
      </c>
      <c r="AZ253" t="s">
        <v>101</v>
      </c>
      <c r="BA253">
        <v>1</v>
      </c>
      <c r="BC253" t="s">
        <v>592</v>
      </c>
      <c r="BD253" s="4">
        <v>43283.363194444442</v>
      </c>
      <c r="BE253" s="4">
        <v>43283.372673611113</v>
      </c>
      <c r="BF253" s="4">
        <v>43283.372673611113</v>
      </c>
      <c r="BG253" t="s">
        <v>83</v>
      </c>
      <c r="BH253" t="s">
        <v>84</v>
      </c>
      <c r="BI253" t="s">
        <v>85</v>
      </c>
    </row>
    <row r="254" spans="1:61" x14ac:dyDescent="0.3">
      <c r="A254" t="str">
        <f>"201020C0100"</f>
        <v>201020C0100</v>
      </c>
      <c r="B254" t="s">
        <v>593</v>
      </c>
      <c r="C254">
        <v>20</v>
      </c>
      <c r="D254" t="s">
        <v>79</v>
      </c>
      <c r="E254">
        <v>2</v>
      </c>
      <c r="F254" t="s">
        <v>528</v>
      </c>
      <c r="G254">
        <v>1020</v>
      </c>
      <c r="H254">
        <v>1</v>
      </c>
      <c r="I254" t="s">
        <v>89</v>
      </c>
      <c r="J254">
        <v>0</v>
      </c>
      <c r="K254">
        <v>1</v>
      </c>
      <c r="L254">
        <v>2</v>
      </c>
      <c r="M254">
        <v>227</v>
      </c>
      <c r="N254">
        <v>404</v>
      </c>
      <c r="O254">
        <v>8</v>
      </c>
      <c r="P254">
        <v>404</v>
      </c>
      <c r="Q254">
        <v>42</v>
      </c>
      <c r="R254">
        <v>21</v>
      </c>
      <c r="S254">
        <v>4</v>
      </c>
      <c r="T254">
        <v>17</v>
      </c>
      <c r="U254">
        <v>10</v>
      </c>
      <c r="V254">
        <v>10</v>
      </c>
      <c r="W254">
        <v>5</v>
      </c>
      <c r="X254">
        <v>116</v>
      </c>
      <c r="Y254">
        <v>159</v>
      </c>
      <c r="Z254">
        <v>3</v>
      </c>
      <c r="AA254">
        <v>4</v>
      </c>
      <c r="AB254">
        <v>0</v>
      </c>
      <c r="AC254">
        <v>2</v>
      </c>
      <c r="AD254">
        <v>0</v>
      </c>
      <c r="AE254">
        <v>0</v>
      </c>
      <c r="AF254">
        <v>0</v>
      </c>
      <c r="AK254">
        <v>4</v>
      </c>
      <c r="AL254">
        <v>0</v>
      </c>
      <c r="AM254">
        <v>0</v>
      </c>
      <c r="AN254">
        <v>3</v>
      </c>
      <c r="AT254">
        <v>0</v>
      </c>
      <c r="AU254">
        <v>4</v>
      </c>
      <c r="AV254">
        <v>404</v>
      </c>
      <c r="AW254">
        <v>404</v>
      </c>
      <c r="AX254">
        <v>598</v>
      </c>
      <c r="BA254">
        <v>1</v>
      </c>
      <c r="BC254" t="s">
        <v>594</v>
      </c>
      <c r="BD254" s="4">
        <v>43283.349305555559</v>
      </c>
      <c r="BE254" s="4">
        <v>43283.361145833333</v>
      </c>
      <c r="BF254" s="4">
        <v>43283.361145833333</v>
      </c>
      <c r="BG254" t="s">
        <v>83</v>
      </c>
      <c r="BH254" t="s">
        <v>84</v>
      </c>
      <c r="BI254" t="s">
        <v>85</v>
      </c>
    </row>
    <row r="255" spans="1:61" x14ac:dyDescent="0.3">
      <c r="A255" t="str">
        <f>"201020C0200"</f>
        <v>201020C0200</v>
      </c>
      <c r="B255" t="s">
        <v>595</v>
      </c>
      <c r="C255">
        <v>20</v>
      </c>
      <c r="D255" t="s">
        <v>79</v>
      </c>
      <c r="E255">
        <v>2</v>
      </c>
      <c r="F255" t="s">
        <v>528</v>
      </c>
      <c r="G255">
        <v>1020</v>
      </c>
      <c r="H255">
        <v>2</v>
      </c>
      <c r="I255" t="s">
        <v>89</v>
      </c>
      <c r="J255">
        <v>0</v>
      </c>
      <c r="K255">
        <v>1</v>
      </c>
      <c r="L255">
        <v>2</v>
      </c>
      <c r="M255">
        <v>263</v>
      </c>
      <c r="N255">
        <v>379</v>
      </c>
      <c r="O255">
        <v>13</v>
      </c>
      <c r="P255">
        <v>383</v>
      </c>
      <c r="Q255">
        <v>36</v>
      </c>
      <c r="R255">
        <v>40</v>
      </c>
      <c r="S255">
        <v>7</v>
      </c>
      <c r="T255">
        <v>34</v>
      </c>
      <c r="U255">
        <v>12</v>
      </c>
      <c r="V255">
        <v>12</v>
      </c>
      <c r="W255">
        <v>4</v>
      </c>
      <c r="X255">
        <v>104</v>
      </c>
      <c r="Y255">
        <v>109</v>
      </c>
      <c r="Z255">
        <v>5</v>
      </c>
      <c r="AA255">
        <v>5</v>
      </c>
      <c r="AB255">
        <v>4</v>
      </c>
      <c r="AC255">
        <v>0</v>
      </c>
      <c r="AD255">
        <v>0</v>
      </c>
      <c r="AE255">
        <v>0</v>
      </c>
      <c r="AF255">
        <v>0</v>
      </c>
      <c r="AK255">
        <v>0</v>
      </c>
      <c r="AL255">
        <v>2</v>
      </c>
      <c r="AM255">
        <v>1</v>
      </c>
      <c r="AN255">
        <v>0</v>
      </c>
      <c r="AT255">
        <v>0</v>
      </c>
      <c r="AU255">
        <v>8</v>
      </c>
      <c r="AV255">
        <v>383</v>
      </c>
      <c r="AW255">
        <v>383</v>
      </c>
      <c r="AX255">
        <v>598</v>
      </c>
      <c r="BA255">
        <v>1</v>
      </c>
      <c r="BC255" t="s">
        <v>596</v>
      </c>
      <c r="BD255" s="4">
        <v>43283.350694444445</v>
      </c>
      <c r="BE255" s="4">
        <v>43283.362476851849</v>
      </c>
      <c r="BF255" s="4">
        <v>43283.362476851849</v>
      </c>
      <c r="BG255" t="s">
        <v>83</v>
      </c>
      <c r="BH255" t="s">
        <v>84</v>
      </c>
      <c r="BI255" t="s">
        <v>85</v>
      </c>
    </row>
    <row r="256" spans="1:61" x14ac:dyDescent="0.3">
      <c r="A256" t="str">
        <f>"201021B0100"</f>
        <v>201021B0100</v>
      </c>
      <c r="B256" t="s">
        <v>597</v>
      </c>
      <c r="C256">
        <v>20</v>
      </c>
      <c r="D256" t="s">
        <v>79</v>
      </c>
      <c r="E256">
        <v>2</v>
      </c>
      <c r="F256" t="s">
        <v>528</v>
      </c>
      <c r="G256">
        <v>1021</v>
      </c>
      <c r="H256">
        <v>1</v>
      </c>
      <c r="I256" t="s">
        <v>81</v>
      </c>
      <c r="J256">
        <v>0</v>
      </c>
      <c r="K256">
        <v>1</v>
      </c>
      <c r="L256">
        <v>2</v>
      </c>
      <c r="M256">
        <v>185</v>
      </c>
      <c r="N256">
        <v>7</v>
      </c>
      <c r="O256">
        <v>7</v>
      </c>
      <c r="P256">
        <v>334</v>
      </c>
      <c r="Q256">
        <v>27</v>
      </c>
      <c r="R256">
        <v>32</v>
      </c>
      <c r="S256">
        <v>8</v>
      </c>
      <c r="T256">
        <v>26</v>
      </c>
      <c r="U256">
        <v>13</v>
      </c>
      <c r="V256">
        <v>10</v>
      </c>
      <c r="W256">
        <v>2</v>
      </c>
      <c r="X256">
        <v>87</v>
      </c>
      <c r="Y256">
        <v>106</v>
      </c>
      <c r="Z256">
        <v>6</v>
      </c>
      <c r="AA256">
        <v>4</v>
      </c>
      <c r="AB256">
        <v>1</v>
      </c>
      <c r="AC256">
        <v>0</v>
      </c>
      <c r="AD256">
        <v>1</v>
      </c>
      <c r="AE256">
        <v>0</v>
      </c>
      <c r="AF256">
        <v>0</v>
      </c>
      <c r="AK256">
        <v>3</v>
      </c>
      <c r="AL256">
        <v>1</v>
      </c>
      <c r="AM256">
        <v>0</v>
      </c>
      <c r="AN256">
        <v>4</v>
      </c>
      <c r="AT256">
        <v>0</v>
      </c>
      <c r="AU256">
        <v>3</v>
      </c>
      <c r="AV256">
        <v>334</v>
      </c>
      <c r="AW256">
        <v>334</v>
      </c>
      <c r="AX256">
        <v>496</v>
      </c>
      <c r="BA256">
        <v>1</v>
      </c>
      <c r="BC256" t="s">
        <v>598</v>
      </c>
      <c r="BD256" s="4">
        <v>43283.271527777775</v>
      </c>
      <c r="BE256" s="4">
        <v>43283.297951388886</v>
      </c>
      <c r="BF256" s="4">
        <v>43283.297951388886</v>
      </c>
      <c r="BG256" t="s">
        <v>83</v>
      </c>
      <c r="BH256" t="s">
        <v>84</v>
      </c>
      <c r="BI256" t="s">
        <v>85</v>
      </c>
    </row>
    <row r="257" spans="1:61" x14ac:dyDescent="0.3">
      <c r="A257" t="str">
        <f>"201021C0100"</f>
        <v>201021C0100</v>
      </c>
      <c r="B257" t="s">
        <v>599</v>
      </c>
      <c r="C257">
        <v>20</v>
      </c>
      <c r="D257" t="s">
        <v>79</v>
      </c>
      <c r="E257">
        <v>2</v>
      </c>
      <c r="F257" t="s">
        <v>528</v>
      </c>
      <c r="G257">
        <v>1021</v>
      </c>
      <c r="H257">
        <v>1</v>
      </c>
      <c r="I257" t="s">
        <v>89</v>
      </c>
      <c r="J257">
        <v>0</v>
      </c>
      <c r="K257">
        <v>1</v>
      </c>
      <c r="L257">
        <v>2</v>
      </c>
      <c r="M257">
        <v>166</v>
      </c>
      <c r="N257">
        <v>351</v>
      </c>
      <c r="O257">
        <v>7</v>
      </c>
      <c r="P257">
        <v>352</v>
      </c>
      <c r="Q257">
        <v>24</v>
      </c>
      <c r="R257">
        <v>28</v>
      </c>
      <c r="S257">
        <v>6</v>
      </c>
      <c r="T257">
        <v>22</v>
      </c>
      <c r="U257">
        <v>7</v>
      </c>
      <c r="V257">
        <v>7</v>
      </c>
      <c r="W257">
        <v>4</v>
      </c>
      <c r="X257">
        <v>105</v>
      </c>
      <c r="Y257">
        <v>113</v>
      </c>
      <c r="Z257">
        <v>10</v>
      </c>
      <c r="AA257">
        <v>2</v>
      </c>
      <c r="AB257">
        <v>1</v>
      </c>
      <c r="AC257">
        <v>2</v>
      </c>
      <c r="AD257">
        <v>0</v>
      </c>
      <c r="AE257">
        <v>0</v>
      </c>
      <c r="AF257">
        <v>0</v>
      </c>
      <c r="AK257">
        <v>3</v>
      </c>
      <c r="AL257">
        <v>1</v>
      </c>
      <c r="AM257">
        <v>0</v>
      </c>
      <c r="AN257">
        <v>2</v>
      </c>
      <c r="AT257">
        <v>0</v>
      </c>
      <c r="AU257">
        <v>15</v>
      </c>
      <c r="AV257">
        <v>352</v>
      </c>
      <c r="AW257">
        <v>352</v>
      </c>
      <c r="AX257">
        <v>495</v>
      </c>
      <c r="BA257">
        <v>1</v>
      </c>
      <c r="BC257" t="s">
        <v>600</v>
      </c>
      <c r="BD257" s="4">
        <v>43283.274305555555</v>
      </c>
      <c r="BE257" s="4">
        <v>43283.302337962959</v>
      </c>
      <c r="BF257" s="4">
        <v>43283.302337962959</v>
      </c>
      <c r="BG257" t="s">
        <v>83</v>
      </c>
      <c r="BH257" t="s">
        <v>84</v>
      </c>
      <c r="BI257" t="s">
        <v>85</v>
      </c>
    </row>
    <row r="258" spans="1:61" x14ac:dyDescent="0.3">
      <c r="A258" t="str">
        <f>"201022B0100"</f>
        <v>201022B0100</v>
      </c>
      <c r="B258" t="s">
        <v>601</v>
      </c>
      <c r="C258">
        <v>20</v>
      </c>
      <c r="D258" t="s">
        <v>79</v>
      </c>
      <c r="E258">
        <v>2</v>
      </c>
      <c r="F258" t="s">
        <v>528</v>
      </c>
      <c r="G258">
        <v>1022</v>
      </c>
      <c r="H258">
        <v>1</v>
      </c>
      <c r="I258" t="s">
        <v>81</v>
      </c>
      <c r="J258">
        <v>0</v>
      </c>
      <c r="K258">
        <v>1</v>
      </c>
      <c r="L258">
        <v>2</v>
      </c>
      <c r="M258">
        <v>222</v>
      </c>
      <c r="N258">
        <v>385</v>
      </c>
      <c r="O258">
        <v>6</v>
      </c>
      <c r="P258">
        <v>381</v>
      </c>
      <c r="Q258">
        <v>26</v>
      </c>
      <c r="R258">
        <v>38</v>
      </c>
      <c r="S258">
        <v>4</v>
      </c>
      <c r="T258">
        <v>15</v>
      </c>
      <c r="U258">
        <v>5</v>
      </c>
      <c r="V258">
        <v>10</v>
      </c>
      <c r="W258">
        <v>3</v>
      </c>
      <c r="X258">
        <v>129</v>
      </c>
      <c r="Y258">
        <v>127</v>
      </c>
      <c r="Z258">
        <v>4</v>
      </c>
      <c r="AA258">
        <v>0</v>
      </c>
      <c r="AB258">
        <v>0</v>
      </c>
      <c r="AC258">
        <v>0</v>
      </c>
      <c r="AD258">
        <v>1</v>
      </c>
      <c r="AE258">
        <v>0</v>
      </c>
      <c r="AF258">
        <v>0</v>
      </c>
      <c r="AK258">
        <v>3</v>
      </c>
      <c r="AL258">
        <v>2</v>
      </c>
      <c r="AM258">
        <v>0</v>
      </c>
      <c r="AN258">
        <v>0</v>
      </c>
      <c r="AT258">
        <v>0</v>
      </c>
      <c r="AU258">
        <v>14</v>
      </c>
      <c r="AV258">
        <v>381</v>
      </c>
      <c r="AW258">
        <v>381</v>
      </c>
      <c r="AX258">
        <v>584</v>
      </c>
      <c r="BA258">
        <v>1</v>
      </c>
      <c r="BC258" t="s">
        <v>602</v>
      </c>
      <c r="BD258" s="4">
        <v>43283.267361111109</v>
      </c>
      <c r="BE258" s="4">
        <v>43283.29378472222</v>
      </c>
      <c r="BF258" s="4">
        <v>43283.29378472222</v>
      </c>
      <c r="BG258" t="s">
        <v>83</v>
      </c>
      <c r="BH258" t="s">
        <v>84</v>
      </c>
      <c r="BI258" t="s">
        <v>85</v>
      </c>
    </row>
    <row r="259" spans="1:61" x14ac:dyDescent="0.3">
      <c r="A259" t="str">
        <f>"201022C0100"</f>
        <v>201022C0100</v>
      </c>
      <c r="B259" t="s">
        <v>603</v>
      </c>
      <c r="C259">
        <v>20</v>
      </c>
      <c r="D259" t="s">
        <v>79</v>
      </c>
      <c r="E259">
        <v>2</v>
      </c>
      <c r="F259" t="s">
        <v>528</v>
      </c>
      <c r="G259">
        <v>1022</v>
      </c>
      <c r="H259">
        <v>1</v>
      </c>
      <c r="I259" t="s">
        <v>89</v>
      </c>
      <c r="J259">
        <v>0</v>
      </c>
      <c r="K259">
        <v>1</v>
      </c>
      <c r="L259">
        <v>2</v>
      </c>
      <c r="M259">
        <v>228</v>
      </c>
      <c r="N259">
        <v>376</v>
      </c>
      <c r="O259">
        <v>7</v>
      </c>
      <c r="P259">
        <v>376</v>
      </c>
      <c r="Q259">
        <v>19</v>
      </c>
      <c r="R259">
        <v>27</v>
      </c>
      <c r="S259">
        <v>14</v>
      </c>
      <c r="T259">
        <v>12</v>
      </c>
      <c r="U259">
        <v>11</v>
      </c>
      <c r="V259">
        <v>13</v>
      </c>
      <c r="W259">
        <v>2</v>
      </c>
      <c r="X259">
        <v>131</v>
      </c>
      <c r="Y259">
        <v>134</v>
      </c>
      <c r="Z259">
        <v>5</v>
      </c>
      <c r="AA259">
        <v>0</v>
      </c>
      <c r="AB259">
        <v>1</v>
      </c>
      <c r="AC259">
        <v>0</v>
      </c>
      <c r="AD259">
        <v>0</v>
      </c>
      <c r="AE259">
        <v>0</v>
      </c>
      <c r="AF259">
        <v>0</v>
      </c>
      <c r="AK259">
        <v>0</v>
      </c>
      <c r="AL259">
        <v>1</v>
      </c>
      <c r="AM259">
        <v>0</v>
      </c>
      <c r="AN259">
        <v>0</v>
      </c>
      <c r="AT259">
        <v>0</v>
      </c>
      <c r="AU259">
        <v>6</v>
      </c>
      <c r="AV259">
        <v>376</v>
      </c>
      <c r="AW259">
        <v>376</v>
      </c>
      <c r="AX259">
        <v>583</v>
      </c>
      <c r="BA259">
        <v>1</v>
      </c>
      <c r="BC259" t="s">
        <v>604</v>
      </c>
      <c r="BD259" s="4">
        <v>43283.268750000003</v>
      </c>
      <c r="BE259" s="4">
        <v>43283.296041666668</v>
      </c>
      <c r="BF259" s="4">
        <v>43283.296041666668</v>
      </c>
      <c r="BG259" t="s">
        <v>83</v>
      </c>
      <c r="BH259" t="s">
        <v>84</v>
      </c>
      <c r="BI259" t="s">
        <v>85</v>
      </c>
    </row>
    <row r="260" spans="1:61" x14ac:dyDescent="0.3">
      <c r="A260" t="str">
        <f>"201022C0200"</f>
        <v>201022C0200</v>
      </c>
      <c r="B260" t="s">
        <v>605</v>
      </c>
      <c r="C260">
        <v>20</v>
      </c>
      <c r="D260" t="s">
        <v>79</v>
      </c>
      <c r="E260">
        <v>2</v>
      </c>
      <c r="F260" t="s">
        <v>528</v>
      </c>
      <c r="G260">
        <v>1022</v>
      </c>
      <c r="H260">
        <v>2</v>
      </c>
      <c r="I260" t="s">
        <v>89</v>
      </c>
      <c r="J260">
        <v>0</v>
      </c>
      <c r="K260">
        <v>1</v>
      </c>
      <c r="L260">
        <v>2</v>
      </c>
      <c r="M260">
        <v>219</v>
      </c>
      <c r="N260">
        <v>385</v>
      </c>
      <c r="O260">
        <v>7</v>
      </c>
      <c r="P260">
        <v>390</v>
      </c>
      <c r="Q260">
        <v>27</v>
      </c>
      <c r="R260">
        <v>31</v>
      </c>
      <c r="S260">
        <v>15</v>
      </c>
      <c r="T260">
        <v>21</v>
      </c>
      <c r="U260">
        <v>15</v>
      </c>
      <c r="V260">
        <v>16</v>
      </c>
      <c r="W260">
        <v>3</v>
      </c>
      <c r="X260">
        <v>105</v>
      </c>
      <c r="Y260">
        <v>131</v>
      </c>
      <c r="Z260">
        <v>6</v>
      </c>
      <c r="AA260">
        <v>1</v>
      </c>
      <c r="AB260">
        <v>1</v>
      </c>
      <c r="AC260">
        <v>0</v>
      </c>
      <c r="AD260">
        <v>0</v>
      </c>
      <c r="AE260">
        <v>0</v>
      </c>
      <c r="AF260">
        <v>0</v>
      </c>
      <c r="AK260">
        <v>4</v>
      </c>
      <c r="AL260">
        <v>1</v>
      </c>
      <c r="AM260">
        <v>0</v>
      </c>
      <c r="AN260">
        <v>0</v>
      </c>
      <c r="AT260">
        <v>0</v>
      </c>
      <c r="AU260">
        <v>13</v>
      </c>
      <c r="AV260">
        <v>390</v>
      </c>
      <c r="AW260">
        <v>390</v>
      </c>
      <c r="AX260">
        <v>583</v>
      </c>
      <c r="BA260">
        <v>1</v>
      </c>
      <c r="BC260" t="s">
        <v>606</v>
      </c>
      <c r="BD260" s="4">
        <v>43283.269444444442</v>
      </c>
      <c r="BE260" s="4">
        <v>43283.295405092591</v>
      </c>
      <c r="BF260" s="4">
        <v>43283.295405092591</v>
      </c>
      <c r="BG260" t="s">
        <v>83</v>
      </c>
      <c r="BH260" t="s">
        <v>84</v>
      </c>
      <c r="BI260" t="s">
        <v>85</v>
      </c>
    </row>
    <row r="261" spans="1:61" x14ac:dyDescent="0.3">
      <c r="A261" t="str">
        <f>"201023B0100"</f>
        <v>201023B0100</v>
      </c>
      <c r="B261" t="s">
        <v>607</v>
      </c>
      <c r="C261">
        <v>20</v>
      </c>
      <c r="D261" t="s">
        <v>79</v>
      </c>
      <c r="E261">
        <v>2</v>
      </c>
      <c r="F261" t="s">
        <v>528</v>
      </c>
      <c r="G261">
        <v>1023</v>
      </c>
      <c r="H261">
        <v>1</v>
      </c>
      <c r="I261" t="s">
        <v>81</v>
      </c>
      <c r="J261">
        <v>0</v>
      </c>
      <c r="K261">
        <v>1</v>
      </c>
      <c r="L261">
        <v>2</v>
      </c>
      <c r="AX261">
        <v>710</v>
      </c>
      <c r="AZ261" t="s">
        <v>156</v>
      </c>
      <c r="BA261">
        <v>0</v>
      </c>
      <c r="BC261" t="s">
        <v>608</v>
      </c>
      <c r="BD261" s="4">
        <v>43283.515277777777</v>
      </c>
      <c r="BE261" s="4">
        <v>43283.516967592594</v>
      </c>
      <c r="BF261" s="4">
        <v>43283.516967592594</v>
      </c>
      <c r="BG261" t="s">
        <v>83</v>
      </c>
      <c r="BH261" t="s">
        <v>84</v>
      </c>
      <c r="BI261" t="s">
        <v>85</v>
      </c>
    </row>
    <row r="262" spans="1:61" x14ac:dyDescent="0.3">
      <c r="A262" t="str">
        <f>"201023C0100"</f>
        <v>201023C0100</v>
      </c>
      <c r="B262" t="s">
        <v>609</v>
      </c>
      <c r="C262">
        <v>20</v>
      </c>
      <c r="D262" t="s">
        <v>79</v>
      </c>
      <c r="E262">
        <v>2</v>
      </c>
      <c r="F262" t="s">
        <v>528</v>
      </c>
      <c r="G262">
        <v>1023</v>
      </c>
      <c r="H262">
        <v>1</v>
      </c>
      <c r="I262" t="s">
        <v>89</v>
      </c>
      <c r="J262">
        <v>0</v>
      </c>
      <c r="K262">
        <v>1</v>
      </c>
      <c r="L262">
        <v>2</v>
      </c>
      <c r="AX262">
        <v>709</v>
      </c>
      <c r="AZ262" t="s">
        <v>156</v>
      </c>
      <c r="BA262">
        <v>0</v>
      </c>
      <c r="BC262" t="s">
        <v>610</v>
      </c>
      <c r="BD262" s="4">
        <v>43283.515972222223</v>
      </c>
      <c r="BE262" s="4">
        <v>43283.517800925925</v>
      </c>
      <c r="BF262" s="4">
        <v>43283.517800925925</v>
      </c>
      <c r="BG262" t="s">
        <v>83</v>
      </c>
      <c r="BH262" t="s">
        <v>84</v>
      </c>
      <c r="BI262" t="s">
        <v>85</v>
      </c>
    </row>
    <row r="263" spans="1:61" x14ac:dyDescent="0.3">
      <c r="A263" t="str">
        <f>"201024B0100"</f>
        <v>201024B0100</v>
      </c>
      <c r="B263" t="s">
        <v>611</v>
      </c>
      <c r="C263">
        <v>20</v>
      </c>
      <c r="D263" t="s">
        <v>79</v>
      </c>
      <c r="E263">
        <v>2</v>
      </c>
      <c r="F263" t="s">
        <v>528</v>
      </c>
      <c r="G263">
        <v>1024</v>
      </c>
      <c r="H263">
        <v>1</v>
      </c>
      <c r="I263" t="s">
        <v>81</v>
      </c>
      <c r="J263">
        <v>0</v>
      </c>
      <c r="K263">
        <v>1</v>
      </c>
      <c r="L263">
        <v>2</v>
      </c>
      <c r="M263" t="s">
        <v>100</v>
      </c>
      <c r="N263">
        <v>470</v>
      </c>
      <c r="O263">
        <v>10</v>
      </c>
      <c r="P263">
        <v>470</v>
      </c>
      <c r="Q263">
        <v>28</v>
      </c>
      <c r="R263">
        <v>22</v>
      </c>
      <c r="S263">
        <v>4</v>
      </c>
      <c r="T263">
        <v>53</v>
      </c>
      <c r="U263">
        <v>19</v>
      </c>
      <c r="V263">
        <v>17</v>
      </c>
      <c r="W263">
        <v>6</v>
      </c>
      <c r="X263">
        <v>92</v>
      </c>
      <c r="Y263">
        <v>190</v>
      </c>
      <c r="Z263">
        <v>9</v>
      </c>
      <c r="AA263">
        <v>2</v>
      </c>
      <c r="AB263">
        <v>1</v>
      </c>
      <c r="AC263">
        <v>1</v>
      </c>
      <c r="AD263">
        <v>0</v>
      </c>
      <c r="AE263">
        <v>0</v>
      </c>
      <c r="AF263">
        <v>0</v>
      </c>
      <c r="AK263">
        <v>4</v>
      </c>
      <c r="AL263">
        <v>0</v>
      </c>
      <c r="AM263">
        <v>0</v>
      </c>
      <c r="AN263">
        <v>2</v>
      </c>
      <c r="AT263" t="s">
        <v>100</v>
      </c>
      <c r="AU263">
        <v>20</v>
      </c>
      <c r="AV263">
        <v>470</v>
      </c>
      <c r="AW263">
        <v>470</v>
      </c>
      <c r="AX263">
        <v>684</v>
      </c>
      <c r="AZ263" t="s">
        <v>101</v>
      </c>
      <c r="BA263">
        <v>1</v>
      </c>
      <c r="BC263" t="s">
        <v>612</v>
      </c>
      <c r="BD263" s="4">
        <v>43283.237500000003</v>
      </c>
      <c r="BE263" s="4">
        <v>43283.261041666665</v>
      </c>
      <c r="BF263" s="4">
        <v>43283.261041666665</v>
      </c>
      <c r="BG263" t="s">
        <v>83</v>
      </c>
      <c r="BH263" t="s">
        <v>84</v>
      </c>
      <c r="BI263" t="s">
        <v>85</v>
      </c>
    </row>
    <row r="264" spans="1:61" x14ac:dyDescent="0.3">
      <c r="A264" t="str">
        <f>"201024C0100"</f>
        <v>201024C0100</v>
      </c>
      <c r="B264" t="s">
        <v>613</v>
      </c>
      <c r="C264">
        <v>20</v>
      </c>
      <c r="D264" t="s">
        <v>79</v>
      </c>
      <c r="E264">
        <v>2</v>
      </c>
      <c r="F264" t="s">
        <v>528</v>
      </c>
      <c r="G264">
        <v>1024</v>
      </c>
      <c r="H264">
        <v>1</v>
      </c>
      <c r="I264" t="s">
        <v>89</v>
      </c>
      <c r="J264">
        <v>0</v>
      </c>
      <c r="K264">
        <v>1</v>
      </c>
      <c r="L264">
        <v>2</v>
      </c>
      <c r="M264">
        <v>234</v>
      </c>
      <c r="N264">
        <v>472</v>
      </c>
      <c r="O264">
        <v>7</v>
      </c>
      <c r="P264">
        <v>470</v>
      </c>
      <c r="Q264">
        <v>35</v>
      </c>
      <c r="R264">
        <v>29</v>
      </c>
      <c r="S264">
        <v>11</v>
      </c>
      <c r="T264">
        <v>53</v>
      </c>
      <c r="U264">
        <v>15</v>
      </c>
      <c r="V264">
        <v>20</v>
      </c>
      <c r="W264">
        <v>5</v>
      </c>
      <c r="X264">
        <v>90</v>
      </c>
      <c r="Y264">
        <v>192</v>
      </c>
      <c r="Z264">
        <v>6</v>
      </c>
      <c r="AA264">
        <v>0</v>
      </c>
      <c r="AB264">
        <v>1</v>
      </c>
      <c r="AC264">
        <v>0</v>
      </c>
      <c r="AD264">
        <v>0</v>
      </c>
      <c r="AE264">
        <v>0</v>
      </c>
      <c r="AF264">
        <v>0</v>
      </c>
      <c r="AK264">
        <v>2</v>
      </c>
      <c r="AL264">
        <v>0</v>
      </c>
      <c r="AM264">
        <v>1</v>
      </c>
      <c r="AN264">
        <v>4</v>
      </c>
      <c r="AT264">
        <v>0</v>
      </c>
      <c r="AU264">
        <v>6</v>
      </c>
      <c r="AV264">
        <v>470</v>
      </c>
      <c r="AW264">
        <v>470</v>
      </c>
      <c r="AX264">
        <v>683</v>
      </c>
      <c r="BA264">
        <v>1</v>
      </c>
      <c r="BC264" t="s">
        <v>614</v>
      </c>
      <c r="BD264" s="4">
        <v>43283.240277777775</v>
      </c>
      <c r="BE264" s="4">
        <v>43283.264120370368</v>
      </c>
      <c r="BF264" s="4">
        <v>43283.264120370368</v>
      </c>
      <c r="BG264" t="s">
        <v>83</v>
      </c>
      <c r="BH264" t="s">
        <v>84</v>
      </c>
      <c r="BI264" t="s">
        <v>85</v>
      </c>
    </row>
    <row r="265" spans="1:61" x14ac:dyDescent="0.3">
      <c r="A265" t="str">
        <f>"201025B0100"</f>
        <v>201025B0100</v>
      </c>
      <c r="B265" t="s">
        <v>615</v>
      </c>
      <c r="C265">
        <v>20</v>
      </c>
      <c r="D265" t="s">
        <v>79</v>
      </c>
      <c r="E265">
        <v>2</v>
      </c>
      <c r="F265" t="s">
        <v>528</v>
      </c>
      <c r="G265">
        <v>1025</v>
      </c>
      <c r="H265">
        <v>1</v>
      </c>
      <c r="I265" t="s">
        <v>81</v>
      </c>
      <c r="J265">
        <v>0</v>
      </c>
      <c r="K265">
        <v>1</v>
      </c>
      <c r="L265">
        <v>2</v>
      </c>
      <c r="M265">
        <v>197</v>
      </c>
      <c r="N265">
        <v>411</v>
      </c>
      <c r="O265">
        <v>7</v>
      </c>
      <c r="P265">
        <v>408</v>
      </c>
      <c r="Q265">
        <v>15</v>
      </c>
      <c r="R265">
        <v>32</v>
      </c>
      <c r="S265">
        <v>15</v>
      </c>
      <c r="T265">
        <v>14</v>
      </c>
      <c r="U265">
        <v>9</v>
      </c>
      <c r="V265">
        <v>11</v>
      </c>
      <c r="W265">
        <v>5</v>
      </c>
      <c r="X265">
        <v>136</v>
      </c>
      <c r="Y265">
        <v>143</v>
      </c>
      <c r="Z265">
        <v>11</v>
      </c>
      <c r="AA265">
        <v>1</v>
      </c>
      <c r="AB265">
        <v>2</v>
      </c>
      <c r="AC265">
        <v>1</v>
      </c>
      <c r="AD265">
        <v>0</v>
      </c>
      <c r="AE265">
        <v>0</v>
      </c>
      <c r="AF265">
        <v>0</v>
      </c>
      <c r="AK265">
        <v>1</v>
      </c>
      <c r="AL265">
        <v>0</v>
      </c>
      <c r="AM265">
        <v>0</v>
      </c>
      <c r="AN265">
        <v>0</v>
      </c>
      <c r="AT265">
        <v>0</v>
      </c>
      <c r="AU265">
        <v>12</v>
      </c>
      <c r="AV265">
        <v>408</v>
      </c>
      <c r="AW265">
        <v>408</v>
      </c>
      <c r="AX265">
        <v>582</v>
      </c>
      <c r="BA265">
        <v>1</v>
      </c>
      <c r="BC265" t="s">
        <v>616</v>
      </c>
      <c r="BD265" s="4">
        <v>43283.136111111111</v>
      </c>
      <c r="BE265" s="4">
        <v>43283.140532407408</v>
      </c>
      <c r="BF265" s="4">
        <v>43283.140532407408</v>
      </c>
      <c r="BG265" t="s">
        <v>83</v>
      </c>
      <c r="BH265" t="s">
        <v>84</v>
      </c>
      <c r="BI265" t="s">
        <v>548</v>
      </c>
    </row>
    <row r="266" spans="1:61" x14ac:dyDescent="0.3">
      <c r="A266" t="str">
        <f>"201025C0100"</f>
        <v>201025C0100</v>
      </c>
      <c r="B266" t="s">
        <v>617</v>
      </c>
      <c r="C266">
        <v>20</v>
      </c>
      <c r="D266" t="s">
        <v>79</v>
      </c>
      <c r="E266">
        <v>2</v>
      </c>
      <c r="F266" t="s">
        <v>528</v>
      </c>
      <c r="G266">
        <v>1025</v>
      </c>
      <c r="H266">
        <v>1</v>
      </c>
      <c r="I266" t="s">
        <v>89</v>
      </c>
      <c r="J266">
        <v>0</v>
      </c>
      <c r="K266">
        <v>1</v>
      </c>
      <c r="L266">
        <v>2</v>
      </c>
      <c r="M266">
        <v>185</v>
      </c>
      <c r="N266">
        <v>418</v>
      </c>
      <c r="O266">
        <v>8</v>
      </c>
      <c r="P266">
        <v>418</v>
      </c>
      <c r="Q266">
        <v>29</v>
      </c>
      <c r="R266">
        <v>36</v>
      </c>
      <c r="S266">
        <v>9</v>
      </c>
      <c r="T266">
        <v>22</v>
      </c>
      <c r="U266">
        <v>12</v>
      </c>
      <c r="V266">
        <v>7</v>
      </c>
      <c r="W266">
        <v>3</v>
      </c>
      <c r="X266">
        <v>130</v>
      </c>
      <c r="Y266">
        <v>147</v>
      </c>
      <c r="Z266">
        <v>8</v>
      </c>
      <c r="AA266">
        <v>2</v>
      </c>
      <c r="AB266">
        <v>1</v>
      </c>
      <c r="AC266">
        <v>0</v>
      </c>
      <c r="AD266">
        <v>1</v>
      </c>
      <c r="AE266">
        <v>0</v>
      </c>
      <c r="AF266">
        <v>0</v>
      </c>
      <c r="AK266">
        <v>3</v>
      </c>
      <c r="AL266">
        <v>2</v>
      </c>
      <c r="AM266">
        <v>0</v>
      </c>
      <c r="AN266">
        <v>1</v>
      </c>
      <c r="AT266">
        <v>0</v>
      </c>
      <c r="AU266">
        <v>7</v>
      </c>
      <c r="AV266">
        <v>419</v>
      </c>
      <c r="AW266">
        <v>420</v>
      </c>
      <c r="AX266">
        <v>582</v>
      </c>
      <c r="BA266">
        <v>1</v>
      </c>
      <c r="BC266" t="s">
        <v>618</v>
      </c>
      <c r="BD266" s="4">
        <v>43283.136805555558</v>
      </c>
      <c r="BE266" s="4">
        <v>43283.143287037034</v>
      </c>
      <c r="BF266" s="4">
        <v>43283.143287037034</v>
      </c>
      <c r="BG266" t="s">
        <v>83</v>
      </c>
      <c r="BH266" t="s">
        <v>84</v>
      </c>
      <c r="BI266" t="s">
        <v>85</v>
      </c>
    </row>
    <row r="267" spans="1:61" x14ac:dyDescent="0.3">
      <c r="A267" t="str">
        <f>"201026B0100"</f>
        <v>201026B0100</v>
      </c>
      <c r="B267" t="s">
        <v>619</v>
      </c>
      <c r="C267">
        <v>20</v>
      </c>
      <c r="D267" t="s">
        <v>79</v>
      </c>
      <c r="E267">
        <v>2</v>
      </c>
      <c r="F267" t="s">
        <v>528</v>
      </c>
      <c r="G267">
        <v>1026</v>
      </c>
      <c r="H267">
        <v>1</v>
      </c>
      <c r="I267" t="s">
        <v>81</v>
      </c>
      <c r="J267">
        <v>0</v>
      </c>
      <c r="K267">
        <v>1</v>
      </c>
      <c r="L267">
        <v>2</v>
      </c>
      <c r="M267">
        <v>125</v>
      </c>
      <c r="N267">
        <v>279</v>
      </c>
      <c r="O267">
        <v>8</v>
      </c>
      <c r="P267">
        <v>279</v>
      </c>
      <c r="Q267">
        <v>8</v>
      </c>
      <c r="R267">
        <v>10</v>
      </c>
      <c r="S267">
        <v>3</v>
      </c>
      <c r="T267">
        <v>35</v>
      </c>
      <c r="U267">
        <v>9</v>
      </c>
      <c r="V267">
        <v>4</v>
      </c>
      <c r="W267">
        <v>1</v>
      </c>
      <c r="X267">
        <v>117</v>
      </c>
      <c r="Y267">
        <v>77</v>
      </c>
      <c r="Z267">
        <v>5</v>
      </c>
      <c r="AA267">
        <v>1</v>
      </c>
      <c r="AB267">
        <v>0</v>
      </c>
      <c r="AC267">
        <v>0</v>
      </c>
      <c r="AD267">
        <v>0</v>
      </c>
      <c r="AE267">
        <v>0</v>
      </c>
      <c r="AF267">
        <v>0</v>
      </c>
      <c r="AK267">
        <v>0</v>
      </c>
      <c r="AL267">
        <v>0</v>
      </c>
      <c r="AM267">
        <v>0</v>
      </c>
      <c r="AN267">
        <v>0</v>
      </c>
      <c r="AT267">
        <v>0</v>
      </c>
      <c r="AU267">
        <v>9</v>
      </c>
      <c r="AV267">
        <v>279</v>
      </c>
      <c r="AW267">
        <v>279</v>
      </c>
      <c r="AX267">
        <v>381</v>
      </c>
      <c r="BA267">
        <v>1</v>
      </c>
      <c r="BC267" t="s">
        <v>620</v>
      </c>
      <c r="BD267" s="4">
        <v>43283.076388888891</v>
      </c>
      <c r="BE267" s="4">
        <v>43283.082951388889</v>
      </c>
      <c r="BF267" s="4">
        <v>43283.082951388889</v>
      </c>
      <c r="BG267" t="s">
        <v>83</v>
      </c>
      <c r="BH267" t="s">
        <v>84</v>
      </c>
      <c r="BI267" t="s">
        <v>85</v>
      </c>
    </row>
    <row r="268" spans="1:61" x14ac:dyDescent="0.3">
      <c r="A268" t="str">
        <f>"201026C0100"</f>
        <v>201026C0100</v>
      </c>
      <c r="B268" t="s">
        <v>621</v>
      </c>
      <c r="C268">
        <v>20</v>
      </c>
      <c r="D268" t="s">
        <v>79</v>
      </c>
      <c r="E268">
        <v>2</v>
      </c>
      <c r="F268" t="s">
        <v>528</v>
      </c>
      <c r="G268">
        <v>1026</v>
      </c>
      <c r="H268">
        <v>1</v>
      </c>
      <c r="I268" t="s">
        <v>89</v>
      </c>
      <c r="J268">
        <v>0</v>
      </c>
      <c r="K268">
        <v>1</v>
      </c>
      <c r="L268">
        <v>2</v>
      </c>
      <c r="M268">
        <v>150</v>
      </c>
      <c r="N268">
        <v>253</v>
      </c>
      <c r="O268">
        <v>12</v>
      </c>
      <c r="P268">
        <v>253</v>
      </c>
      <c r="Q268">
        <v>10</v>
      </c>
      <c r="R268">
        <v>10</v>
      </c>
      <c r="S268">
        <v>14</v>
      </c>
      <c r="T268">
        <v>23</v>
      </c>
      <c r="U268">
        <v>6</v>
      </c>
      <c r="V268">
        <v>3</v>
      </c>
      <c r="W268">
        <v>2</v>
      </c>
      <c r="X268">
        <v>99</v>
      </c>
      <c r="Y268">
        <v>72</v>
      </c>
      <c r="Z268">
        <v>5</v>
      </c>
      <c r="AA268">
        <v>0</v>
      </c>
      <c r="AB268">
        <v>1</v>
      </c>
      <c r="AC268">
        <v>0</v>
      </c>
      <c r="AD268">
        <v>0</v>
      </c>
      <c r="AE268">
        <v>0</v>
      </c>
      <c r="AF268">
        <v>0</v>
      </c>
      <c r="AK268">
        <v>1</v>
      </c>
      <c r="AL268">
        <v>0</v>
      </c>
      <c r="AM268">
        <v>0</v>
      </c>
      <c r="AN268">
        <v>0</v>
      </c>
      <c r="AT268">
        <v>0</v>
      </c>
      <c r="AU268">
        <v>7</v>
      </c>
      <c r="AV268">
        <v>253</v>
      </c>
      <c r="AW268">
        <v>253</v>
      </c>
      <c r="AX268">
        <v>380</v>
      </c>
      <c r="BA268">
        <v>1</v>
      </c>
      <c r="BC268" t="s">
        <v>622</v>
      </c>
      <c r="BD268" s="4">
        <v>43283.078472222223</v>
      </c>
      <c r="BE268" s="4">
        <v>43283.081828703704</v>
      </c>
      <c r="BF268" s="4">
        <v>43283.081828703704</v>
      </c>
      <c r="BG268" t="s">
        <v>83</v>
      </c>
      <c r="BH268" t="s">
        <v>84</v>
      </c>
      <c r="BI268" t="s">
        <v>85</v>
      </c>
    </row>
    <row r="269" spans="1:61" x14ac:dyDescent="0.3">
      <c r="A269" t="str">
        <f>"201027B0100"</f>
        <v>201027B0100</v>
      </c>
      <c r="B269" t="s">
        <v>623</v>
      </c>
      <c r="C269">
        <v>20</v>
      </c>
      <c r="D269" t="s">
        <v>79</v>
      </c>
      <c r="E269">
        <v>2</v>
      </c>
      <c r="F269" t="s">
        <v>528</v>
      </c>
      <c r="G269">
        <v>1027</v>
      </c>
      <c r="H269">
        <v>1</v>
      </c>
      <c r="I269" t="s">
        <v>81</v>
      </c>
      <c r="J269">
        <v>0</v>
      </c>
      <c r="K269">
        <v>1</v>
      </c>
      <c r="L269">
        <v>2</v>
      </c>
      <c r="M269">
        <v>145</v>
      </c>
      <c r="N269">
        <v>321</v>
      </c>
      <c r="O269">
        <v>0</v>
      </c>
      <c r="P269">
        <v>321</v>
      </c>
      <c r="Q269">
        <v>10</v>
      </c>
      <c r="R269">
        <v>12</v>
      </c>
      <c r="S269">
        <v>5</v>
      </c>
      <c r="T269">
        <v>36</v>
      </c>
      <c r="U269">
        <v>6</v>
      </c>
      <c r="V269">
        <v>7</v>
      </c>
      <c r="W269">
        <v>4</v>
      </c>
      <c r="X269">
        <v>116</v>
      </c>
      <c r="Y269">
        <v>101</v>
      </c>
      <c r="Z269">
        <v>6</v>
      </c>
      <c r="AA269">
        <v>0</v>
      </c>
      <c r="AB269">
        <v>0</v>
      </c>
      <c r="AC269">
        <v>1</v>
      </c>
      <c r="AD269">
        <v>0</v>
      </c>
      <c r="AE269">
        <v>0</v>
      </c>
      <c r="AF269">
        <v>0</v>
      </c>
      <c r="AK269">
        <v>1</v>
      </c>
      <c r="AL269">
        <v>1</v>
      </c>
      <c r="AM269">
        <v>2</v>
      </c>
      <c r="AN269">
        <v>0</v>
      </c>
      <c r="AT269">
        <v>0</v>
      </c>
      <c r="AU269">
        <v>13</v>
      </c>
      <c r="AV269">
        <v>321</v>
      </c>
      <c r="AW269">
        <v>321</v>
      </c>
      <c r="AX269">
        <v>443</v>
      </c>
      <c r="BA269">
        <v>1</v>
      </c>
      <c r="BC269" t="s">
        <v>624</v>
      </c>
      <c r="BD269" s="4">
        <v>43283.149305555555</v>
      </c>
      <c r="BE269" s="4">
        <v>43283.158402777779</v>
      </c>
      <c r="BF269" s="4">
        <v>43283.158402777779</v>
      </c>
      <c r="BG269" t="s">
        <v>83</v>
      </c>
      <c r="BH269" t="s">
        <v>84</v>
      </c>
      <c r="BI269" t="s">
        <v>85</v>
      </c>
    </row>
    <row r="270" spans="1:61" x14ac:dyDescent="0.3">
      <c r="A270" t="str">
        <f>"201027C0100"</f>
        <v>201027C0100</v>
      </c>
      <c r="B270" t="s">
        <v>625</v>
      </c>
      <c r="C270">
        <v>20</v>
      </c>
      <c r="D270" t="s">
        <v>79</v>
      </c>
      <c r="E270">
        <v>2</v>
      </c>
      <c r="F270" t="s">
        <v>528</v>
      </c>
      <c r="G270">
        <v>1027</v>
      </c>
      <c r="H270">
        <v>1</v>
      </c>
      <c r="I270" t="s">
        <v>89</v>
      </c>
      <c r="J270">
        <v>0</v>
      </c>
      <c r="K270">
        <v>1</v>
      </c>
      <c r="L270">
        <v>2</v>
      </c>
      <c r="M270">
        <v>165</v>
      </c>
      <c r="N270">
        <v>301</v>
      </c>
      <c r="O270">
        <v>7</v>
      </c>
      <c r="P270">
        <v>301</v>
      </c>
      <c r="Q270">
        <v>17</v>
      </c>
      <c r="R270">
        <v>18</v>
      </c>
      <c r="S270">
        <v>5</v>
      </c>
      <c r="T270">
        <v>32</v>
      </c>
      <c r="U270">
        <v>5</v>
      </c>
      <c r="V270">
        <v>6</v>
      </c>
      <c r="W270">
        <v>1</v>
      </c>
      <c r="X270">
        <v>90</v>
      </c>
      <c r="Y270">
        <v>102</v>
      </c>
      <c r="Z270">
        <v>9</v>
      </c>
      <c r="AA270">
        <v>1</v>
      </c>
      <c r="AB270">
        <v>0</v>
      </c>
      <c r="AC270">
        <v>0</v>
      </c>
      <c r="AD270">
        <v>0</v>
      </c>
      <c r="AE270">
        <v>0</v>
      </c>
      <c r="AF270">
        <v>0</v>
      </c>
      <c r="AK270">
        <v>1</v>
      </c>
      <c r="AL270">
        <v>3</v>
      </c>
      <c r="AM270">
        <v>0</v>
      </c>
      <c r="AN270">
        <v>0</v>
      </c>
      <c r="AT270">
        <v>0</v>
      </c>
      <c r="AU270">
        <v>11</v>
      </c>
      <c r="AV270">
        <v>301</v>
      </c>
      <c r="AW270">
        <v>301</v>
      </c>
      <c r="AX270">
        <v>443</v>
      </c>
      <c r="BA270">
        <v>1</v>
      </c>
      <c r="BC270" t="s">
        <v>626</v>
      </c>
      <c r="BD270" s="4">
        <v>43283.150694444441</v>
      </c>
      <c r="BE270" s="4">
        <v>43283.159768518519</v>
      </c>
      <c r="BF270" s="4">
        <v>43283.159768518519</v>
      </c>
      <c r="BG270" t="s">
        <v>83</v>
      </c>
      <c r="BH270" t="s">
        <v>84</v>
      </c>
      <c r="BI270" t="s">
        <v>85</v>
      </c>
    </row>
    <row r="271" spans="1:61" x14ac:dyDescent="0.3">
      <c r="A271" t="str">
        <f>"201028B0100"</f>
        <v>201028B0100</v>
      </c>
      <c r="B271" t="s">
        <v>627</v>
      </c>
      <c r="C271">
        <v>20</v>
      </c>
      <c r="D271" t="s">
        <v>79</v>
      </c>
      <c r="E271">
        <v>2</v>
      </c>
      <c r="F271" t="s">
        <v>528</v>
      </c>
      <c r="G271">
        <v>1028</v>
      </c>
      <c r="H271">
        <v>1</v>
      </c>
      <c r="I271" t="s">
        <v>81</v>
      </c>
      <c r="J271">
        <v>0</v>
      </c>
      <c r="K271">
        <v>1</v>
      </c>
      <c r="L271">
        <v>2</v>
      </c>
      <c r="M271">
        <v>205</v>
      </c>
      <c r="N271">
        <v>378</v>
      </c>
      <c r="O271">
        <v>10</v>
      </c>
      <c r="P271">
        <v>378</v>
      </c>
      <c r="Q271">
        <v>35</v>
      </c>
      <c r="R271">
        <v>36</v>
      </c>
      <c r="S271">
        <v>10</v>
      </c>
      <c r="T271">
        <v>31</v>
      </c>
      <c r="U271">
        <v>6</v>
      </c>
      <c r="V271">
        <v>13</v>
      </c>
      <c r="W271">
        <v>4</v>
      </c>
      <c r="X271">
        <v>80</v>
      </c>
      <c r="Y271">
        <v>138</v>
      </c>
      <c r="Z271">
        <v>6</v>
      </c>
      <c r="AA271">
        <v>0</v>
      </c>
      <c r="AB271">
        <v>3</v>
      </c>
      <c r="AC271">
        <v>2</v>
      </c>
      <c r="AD271">
        <v>0</v>
      </c>
      <c r="AE271">
        <v>0</v>
      </c>
      <c r="AF271">
        <v>0</v>
      </c>
      <c r="AK271">
        <v>0</v>
      </c>
      <c r="AL271">
        <v>2</v>
      </c>
      <c r="AM271">
        <v>1</v>
      </c>
      <c r="AN271">
        <v>0</v>
      </c>
      <c r="AT271">
        <v>0</v>
      </c>
      <c r="AU271">
        <v>11</v>
      </c>
      <c r="AV271">
        <v>378</v>
      </c>
      <c r="AW271">
        <v>378</v>
      </c>
      <c r="AX271">
        <v>560</v>
      </c>
      <c r="BA271">
        <v>1</v>
      </c>
      <c r="BC271" t="s">
        <v>628</v>
      </c>
      <c r="BD271" s="4">
        <v>43283.152083333334</v>
      </c>
      <c r="BE271" s="4">
        <v>43283.164050925923</v>
      </c>
      <c r="BF271" s="4">
        <v>43283.164050925923</v>
      </c>
      <c r="BG271" t="s">
        <v>83</v>
      </c>
      <c r="BH271" t="s">
        <v>84</v>
      </c>
      <c r="BI271" t="s">
        <v>85</v>
      </c>
    </row>
    <row r="272" spans="1:61" x14ac:dyDescent="0.3">
      <c r="A272" t="str">
        <f>"201028C0100"</f>
        <v>201028C0100</v>
      </c>
      <c r="B272" t="s">
        <v>629</v>
      </c>
      <c r="C272">
        <v>20</v>
      </c>
      <c r="D272" t="s">
        <v>79</v>
      </c>
      <c r="E272">
        <v>2</v>
      </c>
      <c r="F272" t="s">
        <v>528</v>
      </c>
      <c r="G272">
        <v>1028</v>
      </c>
      <c r="H272">
        <v>1</v>
      </c>
      <c r="I272" t="s">
        <v>89</v>
      </c>
      <c r="J272">
        <v>0</v>
      </c>
      <c r="K272">
        <v>1</v>
      </c>
      <c r="L272">
        <v>2</v>
      </c>
      <c r="M272">
        <v>180</v>
      </c>
      <c r="N272">
        <v>397</v>
      </c>
      <c r="O272">
        <v>14</v>
      </c>
      <c r="P272">
        <v>397</v>
      </c>
      <c r="Q272">
        <v>24</v>
      </c>
      <c r="R272">
        <v>51</v>
      </c>
      <c r="S272">
        <v>7</v>
      </c>
      <c r="T272">
        <v>37</v>
      </c>
      <c r="U272">
        <v>12</v>
      </c>
      <c r="V272">
        <v>6</v>
      </c>
      <c r="W272">
        <v>4</v>
      </c>
      <c r="X272">
        <v>86</v>
      </c>
      <c r="Y272">
        <v>136</v>
      </c>
      <c r="Z272">
        <v>11</v>
      </c>
      <c r="AA272">
        <v>0</v>
      </c>
      <c r="AB272">
        <v>1</v>
      </c>
      <c r="AC272">
        <v>1</v>
      </c>
      <c r="AD272">
        <v>0</v>
      </c>
      <c r="AE272">
        <v>0</v>
      </c>
      <c r="AF272">
        <v>0</v>
      </c>
      <c r="AK272">
        <v>5</v>
      </c>
      <c r="AL272">
        <v>0</v>
      </c>
      <c r="AM272">
        <v>0</v>
      </c>
      <c r="AN272">
        <v>1</v>
      </c>
      <c r="AT272">
        <v>0</v>
      </c>
      <c r="AU272">
        <v>14</v>
      </c>
      <c r="AV272">
        <v>397</v>
      </c>
      <c r="AW272">
        <v>396</v>
      </c>
      <c r="AX272">
        <v>560</v>
      </c>
      <c r="BA272">
        <v>1</v>
      </c>
      <c r="BC272" t="s">
        <v>630</v>
      </c>
      <c r="BD272" s="4">
        <v>43283.15347222222</v>
      </c>
      <c r="BE272" s="4">
        <v>43283.176539351851</v>
      </c>
      <c r="BF272" s="4">
        <v>43283.176539351851</v>
      </c>
      <c r="BG272" t="s">
        <v>83</v>
      </c>
      <c r="BH272" t="s">
        <v>84</v>
      </c>
      <c r="BI272" t="s">
        <v>85</v>
      </c>
    </row>
    <row r="273" spans="1:61" x14ac:dyDescent="0.3">
      <c r="A273" t="str">
        <f>"201029B0100"</f>
        <v>201029B0100</v>
      </c>
      <c r="B273" t="s">
        <v>631</v>
      </c>
      <c r="C273">
        <v>20</v>
      </c>
      <c r="D273" t="s">
        <v>79</v>
      </c>
      <c r="E273">
        <v>2</v>
      </c>
      <c r="F273" t="s">
        <v>528</v>
      </c>
      <c r="G273">
        <v>1029</v>
      </c>
      <c r="H273">
        <v>1</v>
      </c>
      <c r="I273" t="s">
        <v>81</v>
      </c>
      <c r="J273">
        <v>0</v>
      </c>
      <c r="K273">
        <v>1</v>
      </c>
      <c r="L273">
        <v>2</v>
      </c>
      <c r="M273">
        <v>180</v>
      </c>
      <c r="N273">
        <v>385</v>
      </c>
      <c r="O273">
        <v>11</v>
      </c>
      <c r="P273" t="s">
        <v>100</v>
      </c>
      <c r="Q273">
        <v>29</v>
      </c>
      <c r="R273">
        <v>58</v>
      </c>
      <c r="S273">
        <v>7</v>
      </c>
      <c r="T273">
        <v>47</v>
      </c>
      <c r="U273">
        <v>10</v>
      </c>
      <c r="V273">
        <v>17</v>
      </c>
      <c r="W273">
        <v>4</v>
      </c>
      <c r="X273">
        <v>69</v>
      </c>
      <c r="Y273">
        <v>117</v>
      </c>
      <c r="Z273">
        <v>4</v>
      </c>
      <c r="AA273">
        <v>3</v>
      </c>
      <c r="AB273">
        <v>1</v>
      </c>
      <c r="AC273">
        <v>2</v>
      </c>
      <c r="AD273">
        <v>0</v>
      </c>
      <c r="AE273">
        <v>0</v>
      </c>
      <c r="AF273">
        <v>0</v>
      </c>
      <c r="AK273">
        <v>7</v>
      </c>
      <c r="AL273">
        <v>0</v>
      </c>
      <c r="AM273">
        <v>0</v>
      </c>
      <c r="AN273">
        <v>0</v>
      </c>
      <c r="AT273" t="s">
        <v>100</v>
      </c>
      <c r="AU273">
        <v>4</v>
      </c>
      <c r="AV273">
        <v>379</v>
      </c>
      <c r="AW273">
        <v>379</v>
      </c>
      <c r="AX273">
        <v>544</v>
      </c>
      <c r="AZ273" t="s">
        <v>101</v>
      </c>
      <c r="BA273">
        <v>1</v>
      </c>
      <c r="BC273" t="s">
        <v>632</v>
      </c>
      <c r="BD273" s="4">
        <v>43283.385416666664</v>
      </c>
      <c r="BE273" s="4">
        <v>43283.388564814813</v>
      </c>
      <c r="BF273" s="4">
        <v>43283.388564814813</v>
      </c>
      <c r="BG273" t="s">
        <v>83</v>
      </c>
      <c r="BH273" t="s">
        <v>84</v>
      </c>
      <c r="BI273" t="s">
        <v>85</v>
      </c>
    </row>
    <row r="274" spans="1:61" x14ac:dyDescent="0.3">
      <c r="A274" t="str">
        <f>"201029C0100"</f>
        <v>201029C0100</v>
      </c>
      <c r="B274" t="s">
        <v>633</v>
      </c>
      <c r="C274">
        <v>20</v>
      </c>
      <c r="D274" t="s">
        <v>79</v>
      </c>
      <c r="E274">
        <v>2</v>
      </c>
      <c r="F274" t="s">
        <v>528</v>
      </c>
      <c r="G274">
        <v>1029</v>
      </c>
      <c r="H274">
        <v>1</v>
      </c>
      <c r="I274" t="s">
        <v>89</v>
      </c>
      <c r="J274">
        <v>0</v>
      </c>
      <c r="K274">
        <v>1</v>
      </c>
      <c r="L274">
        <v>2</v>
      </c>
      <c r="M274">
        <v>192</v>
      </c>
      <c r="N274">
        <v>376</v>
      </c>
      <c r="O274">
        <v>14</v>
      </c>
      <c r="P274">
        <v>382</v>
      </c>
      <c r="Q274">
        <v>25</v>
      </c>
      <c r="R274">
        <v>49</v>
      </c>
      <c r="S274">
        <v>19</v>
      </c>
      <c r="T274">
        <v>37</v>
      </c>
      <c r="U274">
        <v>7</v>
      </c>
      <c r="V274">
        <v>8</v>
      </c>
      <c r="W274">
        <v>4</v>
      </c>
      <c r="X274">
        <v>81</v>
      </c>
      <c r="Y274">
        <v>125</v>
      </c>
      <c r="Z274">
        <v>6</v>
      </c>
      <c r="AA274">
        <v>1</v>
      </c>
      <c r="AB274">
        <v>1</v>
      </c>
      <c r="AC274">
        <v>1</v>
      </c>
      <c r="AD274" t="s">
        <v>100</v>
      </c>
      <c r="AE274">
        <v>1</v>
      </c>
      <c r="AF274" t="s">
        <v>100</v>
      </c>
      <c r="AK274">
        <v>5</v>
      </c>
      <c r="AL274" t="s">
        <v>100</v>
      </c>
      <c r="AM274" t="s">
        <v>100</v>
      </c>
      <c r="AN274" t="s">
        <v>100</v>
      </c>
      <c r="AT274" t="s">
        <v>100</v>
      </c>
      <c r="AU274">
        <v>12</v>
      </c>
      <c r="AV274">
        <v>382</v>
      </c>
      <c r="AW274">
        <v>382</v>
      </c>
      <c r="AX274">
        <v>544</v>
      </c>
      <c r="AZ274" t="s">
        <v>101</v>
      </c>
      <c r="BA274">
        <v>1</v>
      </c>
      <c r="BC274" t="s">
        <v>634</v>
      </c>
      <c r="BD274" s="4">
        <v>43283.386805555558</v>
      </c>
      <c r="BE274" s="4">
        <v>43283.389872685184</v>
      </c>
      <c r="BF274" s="4">
        <v>43283.389872685184</v>
      </c>
      <c r="BG274" t="s">
        <v>83</v>
      </c>
      <c r="BH274" t="s">
        <v>84</v>
      </c>
      <c r="BI274" t="s">
        <v>85</v>
      </c>
    </row>
    <row r="275" spans="1:61" x14ac:dyDescent="0.3">
      <c r="A275" t="str">
        <f>"201030B0100"</f>
        <v>201030B0100</v>
      </c>
      <c r="B275" t="s">
        <v>635</v>
      </c>
      <c r="C275">
        <v>20</v>
      </c>
      <c r="D275" t="s">
        <v>79</v>
      </c>
      <c r="E275">
        <v>2</v>
      </c>
      <c r="F275" t="s">
        <v>528</v>
      </c>
      <c r="G275">
        <v>1030</v>
      </c>
      <c r="H275">
        <v>1</v>
      </c>
      <c r="I275" t="s">
        <v>81</v>
      </c>
      <c r="J275">
        <v>0</v>
      </c>
      <c r="K275">
        <v>1</v>
      </c>
      <c r="L275">
        <v>2</v>
      </c>
      <c r="M275">
        <v>170</v>
      </c>
      <c r="N275">
        <v>267</v>
      </c>
      <c r="O275">
        <v>13</v>
      </c>
      <c r="P275" t="s">
        <v>100</v>
      </c>
      <c r="Q275">
        <v>26</v>
      </c>
      <c r="R275">
        <v>16</v>
      </c>
      <c r="S275">
        <v>3</v>
      </c>
      <c r="T275">
        <v>7</v>
      </c>
      <c r="U275">
        <v>12</v>
      </c>
      <c r="V275">
        <v>3</v>
      </c>
      <c r="W275">
        <v>2</v>
      </c>
      <c r="X275">
        <v>87</v>
      </c>
      <c r="Y275">
        <v>87</v>
      </c>
      <c r="Z275">
        <v>5</v>
      </c>
      <c r="AA275">
        <v>1</v>
      </c>
      <c r="AB275">
        <v>3</v>
      </c>
      <c r="AC275">
        <v>1</v>
      </c>
      <c r="AD275" t="s">
        <v>100</v>
      </c>
      <c r="AE275" t="s">
        <v>100</v>
      </c>
      <c r="AF275" t="s">
        <v>100</v>
      </c>
      <c r="AK275">
        <v>1</v>
      </c>
      <c r="AL275">
        <v>3</v>
      </c>
      <c r="AM275" t="s">
        <v>100</v>
      </c>
      <c r="AN275" t="s">
        <v>100</v>
      </c>
      <c r="AT275" t="s">
        <v>100</v>
      </c>
      <c r="AU275">
        <v>7</v>
      </c>
      <c r="AV275">
        <v>264</v>
      </c>
      <c r="AW275">
        <v>264</v>
      </c>
      <c r="AX275">
        <v>414</v>
      </c>
      <c r="AZ275" t="s">
        <v>101</v>
      </c>
      <c r="BA275">
        <v>1</v>
      </c>
      <c r="BC275" t="s">
        <v>636</v>
      </c>
      <c r="BD275" s="4">
        <v>43283.158333333333</v>
      </c>
      <c r="BE275" s="4">
        <v>43283.181354166663</v>
      </c>
      <c r="BF275" s="4">
        <v>43283.181354166663</v>
      </c>
      <c r="BG275" t="s">
        <v>83</v>
      </c>
      <c r="BH275" t="s">
        <v>84</v>
      </c>
      <c r="BI275" t="s">
        <v>85</v>
      </c>
    </row>
    <row r="276" spans="1:61" x14ac:dyDescent="0.3">
      <c r="A276" t="str">
        <f>"201030C0100"</f>
        <v>201030C0100</v>
      </c>
      <c r="B276" t="s">
        <v>637</v>
      </c>
      <c r="C276">
        <v>20</v>
      </c>
      <c r="D276" t="s">
        <v>79</v>
      </c>
      <c r="E276">
        <v>2</v>
      </c>
      <c r="F276" t="s">
        <v>528</v>
      </c>
      <c r="G276">
        <v>1030</v>
      </c>
      <c r="H276">
        <v>1</v>
      </c>
      <c r="I276" t="s">
        <v>89</v>
      </c>
      <c r="J276">
        <v>0</v>
      </c>
      <c r="K276">
        <v>1</v>
      </c>
      <c r="L276">
        <v>2</v>
      </c>
      <c r="M276">
        <v>154</v>
      </c>
      <c r="N276">
        <v>281</v>
      </c>
      <c r="O276">
        <v>13</v>
      </c>
      <c r="P276">
        <v>281</v>
      </c>
      <c r="Q276">
        <v>32</v>
      </c>
      <c r="R276">
        <v>34</v>
      </c>
      <c r="S276">
        <v>5</v>
      </c>
      <c r="T276">
        <v>15</v>
      </c>
      <c r="U276">
        <v>13</v>
      </c>
      <c r="V276">
        <v>6</v>
      </c>
      <c r="W276">
        <v>2</v>
      </c>
      <c r="X276">
        <v>82</v>
      </c>
      <c r="Y276">
        <v>81</v>
      </c>
      <c r="Z276">
        <v>2</v>
      </c>
      <c r="AA276">
        <v>1</v>
      </c>
      <c r="AB276">
        <v>0</v>
      </c>
      <c r="AC276">
        <v>0</v>
      </c>
      <c r="AD276">
        <v>0</v>
      </c>
      <c r="AE276">
        <v>0</v>
      </c>
      <c r="AF276">
        <v>0</v>
      </c>
      <c r="AK276">
        <v>1</v>
      </c>
      <c r="AL276">
        <v>0</v>
      </c>
      <c r="AM276">
        <v>0</v>
      </c>
      <c r="AN276">
        <v>0</v>
      </c>
      <c r="AT276">
        <v>0</v>
      </c>
      <c r="AU276">
        <v>7</v>
      </c>
      <c r="AV276">
        <v>281</v>
      </c>
      <c r="AW276">
        <v>281</v>
      </c>
      <c r="AX276">
        <v>413</v>
      </c>
      <c r="BA276">
        <v>1</v>
      </c>
      <c r="BC276" t="s">
        <v>638</v>
      </c>
      <c r="BD276" s="4">
        <v>43283.133333333331</v>
      </c>
      <c r="BE276" s="4">
        <v>43283.137789351851</v>
      </c>
      <c r="BF276" s="4">
        <v>43283.137789351851</v>
      </c>
      <c r="BG276" t="s">
        <v>83</v>
      </c>
      <c r="BH276" t="s">
        <v>84</v>
      </c>
      <c r="BI276" t="s">
        <v>85</v>
      </c>
    </row>
    <row r="277" spans="1:61" x14ac:dyDescent="0.3">
      <c r="A277" t="str">
        <f>"201030S0100"</f>
        <v>201030S0100</v>
      </c>
      <c r="B277" t="s">
        <v>639</v>
      </c>
      <c r="C277">
        <v>20</v>
      </c>
      <c r="D277" t="s">
        <v>79</v>
      </c>
      <c r="E277">
        <v>2</v>
      </c>
      <c r="F277" t="s">
        <v>528</v>
      </c>
      <c r="G277">
        <v>1030</v>
      </c>
      <c r="H277">
        <v>1</v>
      </c>
      <c r="I277" t="s">
        <v>104</v>
      </c>
      <c r="J277">
        <v>0</v>
      </c>
      <c r="K277">
        <v>1</v>
      </c>
      <c r="L277">
        <v>3</v>
      </c>
      <c r="AX277">
        <v>0</v>
      </c>
      <c r="AZ277" t="s">
        <v>156</v>
      </c>
      <c r="BA277">
        <v>0</v>
      </c>
      <c r="BC277" t="s">
        <v>640</v>
      </c>
      <c r="BD277" s="4">
        <v>43283.576388888891</v>
      </c>
      <c r="BE277" s="4">
        <v>43283.579594907409</v>
      </c>
      <c r="BF277" s="4">
        <v>43283.579594907409</v>
      </c>
      <c r="BG277" t="s">
        <v>83</v>
      </c>
      <c r="BH277" t="s">
        <v>84</v>
      </c>
      <c r="BI277" t="s">
        <v>85</v>
      </c>
    </row>
    <row r="278" spans="1:61" x14ac:dyDescent="0.3">
      <c r="A278" t="str">
        <f>"201030S0200"</f>
        <v>201030S0200</v>
      </c>
      <c r="B278" t="s">
        <v>641</v>
      </c>
      <c r="C278">
        <v>20</v>
      </c>
      <c r="D278" t="s">
        <v>79</v>
      </c>
      <c r="E278">
        <v>2</v>
      </c>
      <c r="F278" t="s">
        <v>528</v>
      </c>
      <c r="G278">
        <v>1030</v>
      </c>
      <c r="H278">
        <v>2</v>
      </c>
      <c r="I278" t="s">
        <v>104</v>
      </c>
      <c r="J278">
        <v>0</v>
      </c>
      <c r="K278">
        <v>1</v>
      </c>
      <c r="L278">
        <v>3</v>
      </c>
      <c r="M278">
        <v>718</v>
      </c>
      <c r="N278">
        <v>53</v>
      </c>
      <c r="O278">
        <v>0</v>
      </c>
      <c r="P278">
        <v>366</v>
      </c>
      <c r="Q278">
        <v>13</v>
      </c>
      <c r="R278">
        <v>31</v>
      </c>
      <c r="S278">
        <v>6</v>
      </c>
      <c r="T278">
        <v>18</v>
      </c>
      <c r="U278">
        <v>5</v>
      </c>
      <c r="V278">
        <v>6</v>
      </c>
      <c r="W278">
        <v>3</v>
      </c>
      <c r="X278">
        <v>44</v>
      </c>
      <c r="Y278">
        <v>218</v>
      </c>
      <c r="Z278">
        <v>7</v>
      </c>
      <c r="AA278">
        <v>2</v>
      </c>
      <c r="AB278">
        <v>1</v>
      </c>
      <c r="AC278">
        <v>0</v>
      </c>
      <c r="AD278">
        <v>0</v>
      </c>
      <c r="AE278">
        <v>0</v>
      </c>
      <c r="AF278">
        <v>0</v>
      </c>
      <c r="AK278">
        <v>0</v>
      </c>
      <c r="AL278">
        <v>0</v>
      </c>
      <c r="AM278">
        <v>0</v>
      </c>
      <c r="AN278">
        <v>0</v>
      </c>
      <c r="AT278">
        <v>0</v>
      </c>
      <c r="AU278">
        <v>0</v>
      </c>
      <c r="AV278">
        <v>0</v>
      </c>
      <c r="AW278">
        <v>354</v>
      </c>
      <c r="AX278">
        <v>0</v>
      </c>
      <c r="BA278">
        <v>1</v>
      </c>
      <c r="BC278" t="s">
        <v>642</v>
      </c>
      <c r="BD278" s="4">
        <v>43283.019444444442</v>
      </c>
      <c r="BE278" s="4">
        <v>43283.516018518516</v>
      </c>
      <c r="BF278" s="4">
        <v>43283.516018518516</v>
      </c>
      <c r="BG278" t="s">
        <v>83</v>
      </c>
      <c r="BH278" t="s">
        <v>84</v>
      </c>
      <c r="BI278" t="s">
        <v>85</v>
      </c>
    </row>
    <row r="279" spans="1:61" x14ac:dyDescent="0.3">
      <c r="A279" t="str">
        <f>"201031B0100"</f>
        <v>201031B0100</v>
      </c>
      <c r="B279" t="s">
        <v>643</v>
      </c>
      <c r="C279">
        <v>20</v>
      </c>
      <c r="D279" t="s">
        <v>79</v>
      </c>
      <c r="E279">
        <v>2</v>
      </c>
      <c r="F279" t="s">
        <v>528</v>
      </c>
      <c r="G279">
        <v>1031</v>
      </c>
      <c r="H279">
        <v>1</v>
      </c>
      <c r="I279" t="s">
        <v>81</v>
      </c>
      <c r="J279">
        <v>0</v>
      </c>
      <c r="K279">
        <v>1</v>
      </c>
      <c r="L279">
        <v>2</v>
      </c>
      <c r="M279">
        <v>204</v>
      </c>
      <c r="N279">
        <v>389</v>
      </c>
      <c r="O279">
        <v>6</v>
      </c>
      <c r="P279">
        <v>386</v>
      </c>
      <c r="Q279">
        <v>54</v>
      </c>
      <c r="R279">
        <v>46</v>
      </c>
      <c r="S279">
        <v>4</v>
      </c>
      <c r="T279">
        <v>25</v>
      </c>
      <c r="U279">
        <v>10</v>
      </c>
      <c r="V279">
        <v>9</v>
      </c>
      <c r="W279">
        <v>4</v>
      </c>
      <c r="X279">
        <v>87</v>
      </c>
      <c r="Y279">
        <v>117</v>
      </c>
      <c r="Z279">
        <v>13</v>
      </c>
      <c r="AA279">
        <v>1</v>
      </c>
      <c r="AB279">
        <v>2</v>
      </c>
      <c r="AC279">
        <v>3</v>
      </c>
      <c r="AD279">
        <v>0</v>
      </c>
      <c r="AE279">
        <v>0</v>
      </c>
      <c r="AF279">
        <v>0</v>
      </c>
      <c r="AK279">
        <v>1</v>
      </c>
      <c r="AL279">
        <v>1</v>
      </c>
      <c r="AM279">
        <v>0</v>
      </c>
      <c r="AN279">
        <v>0</v>
      </c>
      <c r="AT279">
        <v>0</v>
      </c>
      <c r="AU279">
        <v>9</v>
      </c>
      <c r="AV279">
        <v>386</v>
      </c>
      <c r="AW279">
        <v>386</v>
      </c>
      <c r="AX279">
        <v>570</v>
      </c>
      <c r="BA279">
        <v>1</v>
      </c>
      <c r="BC279" t="s">
        <v>644</v>
      </c>
      <c r="BD279" s="4">
        <v>43283.1875</v>
      </c>
      <c r="BE279" s="4">
        <v>43283.205428240741</v>
      </c>
      <c r="BF279" s="4">
        <v>43283.205428240741</v>
      </c>
      <c r="BG279" t="s">
        <v>83</v>
      </c>
      <c r="BH279" t="s">
        <v>84</v>
      </c>
      <c r="BI279" t="s">
        <v>85</v>
      </c>
    </row>
    <row r="280" spans="1:61" x14ac:dyDescent="0.3">
      <c r="A280" t="str">
        <f>"201031C0100"</f>
        <v>201031C0100</v>
      </c>
      <c r="B280" t="s">
        <v>645</v>
      </c>
      <c r="C280">
        <v>20</v>
      </c>
      <c r="D280" t="s">
        <v>79</v>
      </c>
      <c r="E280">
        <v>2</v>
      </c>
      <c r="F280" t="s">
        <v>528</v>
      </c>
      <c r="G280">
        <v>1031</v>
      </c>
      <c r="H280">
        <v>1</v>
      </c>
      <c r="I280" t="s">
        <v>89</v>
      </c>
      <c r="J280">
        <v>0</v>
      </c>
      <c r="K280">
        <v>1</v>
      </c>
      <c r="L280">
        <v>2</v>
      </c>
      <c r="M280">
        <v>175</v>
      </c>
      <c r="N280" t="s">
        <v>100</v>
      </c>
      <c r="O280">
        <v>12</v>
      </c>
      <c r="P280">
        <v>429</v>
      </c>
      <c r="Q280">
        <v>55</v>
      </c>
      <c r="R280">
        <v>46</v>
      </c>
      <c r="S280">
        <v>12</v>
      </c>
      <c r="T280">
        <v>27</v>
      </c>
      <c r="U280">
        <v>10</v>
      </c>
      <c r="V280">
        <v>5</v>
      </c>
      <c r="W280">
        <v>2</v>
      </c>
      <c r="X280">
        <v>91</v>
      </c>
      <c r="Y280">
        <v>140</v>
      </c>
      <c r="Z280">
        <v>7</v>
      </c>
      <c r="AA280">
        <v>3</v>
      </c>
      <c r="AB280">
        <v>4</v>
      </c>
      <c r="AC280">
        <v>1</v>
      </c>
      <c r="AD280">
        <v>1</v>
      </c>
      <c r="AE280">
        <v>0</v>
      </c>
      <c r="AF280">
        <v>0</v>
      </c>
      <c r="AK280">
        <v>3</v>
      </c>
      <c r="AL280">
        <v>0</v>
      </c>
      <c r="AM280">
        <v>0</v>
      </c>
      <c r="AN280">
        <v>0</v>
      </c>
      <c r="AT280">
        <v>0</v>
      </c>
      <c r="AU280">
        <v>13</v>
      </c>
      <c r="AV280">
        <v>417</v>
      </c>
      <c r="AW280">
        <v>420</v>
      </c>
      <c r="AX280">
        <v>570</v>
      </c>
      <c r="BA280">
        <v>1</v>
      </c>
      <c r="BC280" t="s">
        <v>646</v>
      </c>
      <c r="BD280" s="4">
        <v>43283.188194444447</v>
      </c>
      <c r="BE280" s="4">
        <v>43283.208055555559</v>
      </c>
      <c r="BF280" s="4">
        <v>43283.208055555559</v>
      </c>
      <c r="BG280" t="s">
        <v>83</v>
      </c>
      <c r="BH280" t="s">
        <v>84</v>
      </c>
      <c r="BI280" t="s">
        <v>85</v>
      </c>
    </row>
    <row r="281" spans="1:61" x14ac:dyDescent="0.3">
      <c r="A281" t="str">
        <f>"201032B0100"</f>
        <v>201032B0100</v>
      </c>
      <c r="B281" t="s">
        <v>647</v>
      </c>
      <c r="C281">
        <v>20</v>
      </c>
      <c r="D281" t="s">
        <v>79</v>
      </c>
      <c r="E281">
        <v>2</v>
      </c>
      <c r="F281" t="s">
        <v>528</v>
      </c>
      <c r="G281">
        <v>1032</v>
      </c>
      <c r="H281">
        <v>1</v>
      </c>
      <c r="I281" t="s">
        <v>81</v>
      </c>
      <c r="J281">
        <v>0</v>
      </c>
      <c r="K281">
        <v>1</v>
      </c>
      <c r="L281">
        <v>2</v>
      </c>
      <c r="M281">
        <v>139</v>
      </c>
      <c r="N281">
        <v>291</v>
      </c>
      <c r="O281">
        <v>5</v>
      </c>
      <c r="P281">
        <v>291</v>
      </c>
      <c r="Q281">
        <v>15</v>
      </c>
      <c r="R281">
        <v>36</v>
      </c>
      <c r="S281">
        <v>3</v>
      </c>
      <c r="T281">
        <v>19</v>
      </c>
      <c r="U281">
        <v>13</v>
      </c>
      <c r="V281">
        <v>3</v>
      </c>
      <c r="W281">
        <v>0</v>
      </c>
      <c r="X281">
        <v>72</v>
      </c>
      <c r="Y281">
        <v>105</v>
      </c>
      <c r="Z281">
        <v>12</v>
      </c>
      <c r="AA281">
        <v>1</v>
      </c>
      <c r="AB281">
        <v>0</v>
      </c>
      <c r="AC281">
        <v>1</v>
      </c>
      <c r="AD281">
        <v>1</v>
      </c>
      <c r="AE281">
        <v>0</v>
      </c>
      <c r="AF281">
        <v>0</v>
      </c>
      <c r="AK281">
        <v>0</v>
      </c>
      <c r="AL281">
        <v>1</v>
      </c>
      <c r="AM281">
        <v>0</v>
      </c>
      <c r="AN281">
        <v>0</v>
      </c>
      <c r="AT281">
        <v>0</v>
      </c>
      <c r="AU281">
        <v>9</v>
      </c>
      <c r="AV281">
        <v>291</v>
      </c>
      <c r="AW281">
        <v>291</v>
      </c>
      <c r="AX281">
        <v>407</v>
      </c>
      <c r="BA281">
        <v>1</v>
      </c>
      <c r="BC281" t="s">
        <v>648</v>
      </c>
      <c r="BD281" s="4">
        <v>43283.05972222222</v>
      </c>
      <c r="BE281" s="4">
        <v>43283.064814814818</v>
      </c>
      <c r="BF281" s="4">
        <v>43283.064814814818</v>
      </c>
      <c r="BG281" t="s">
        <v>83</v>
      </c>
      <c r="BH281" t="s">
        <v>84</v>
      </c>
      <c r="BI281" t="s">
        <v>85</v>
      </c>
    </row>
    <row r="282" spans="1:61" x14ac:dyDescent="0.3">
      <c r="A282" t="str">
        <f>"201032C0100"</f>
        <v>201032C0100</v>
      </c>
      <c r="B282" t="s">
        <v>649</v>
      </c>
      <c r="C282">
        <v>20</v>
      </c>
      <c r="D282" t="s">
        <v>79</v>
      </c>
      <c r="E282">
        <v>2</v>
      </c>
      <c r="F282" t="s">
        <v>528</v>
      </c>
      <c r="G282">
        <v>1032</v>
      </c>
      <c r="H282">
        <v>1</v>
      </c>
      <c r="I282" t="s">
        <v>89</v>
      </c>
      <c r="J282">
        <v>0</v>
      </c>
      <c r="K282">
        <v>1</v>
      </c>
      <c r="L282">
        <v>2</v>
      </c>
      <c r="M282">
        <v>149</v>
      </c>
      <c r="N282">
        <v>282</v>
      </c>
      <c r="O282">
        <v>7</v>
      </c>
      <c r="P282">
        <v>282</v>
      </c>
      <c r="Q282">
        <v>20</v>
      </c>
      <c r="R282">
        <v>30</v>
      </c>
      <c r="S282">
        <v>5</v>
      </c>
      <c r="T282">
        <v>10</v>
      </c>
      <c r="U282">
        <v>12</v>
      </c>
      <c r="V282">
        <v>8</v>
      </c>
      <c r="W282">
        <v>1</v>
      </c>
      <c r="X282">
        <v>80</v>
      </c>
      <c r="Y282">
        <v>95</v>
      </c>
      <c r="Z282">
        <v>6</v>
      </c>
      <c r="AA282">
        <v>0</v>
      </c>
      <c r="AB282">
        <v>1</v>
      </c>
      <c r="AC282">
        <v>1</v>
      </c>
      <c r="AD282">
        <v>0</v>
      </c>
      <c r="AE282">
        <v>0</v>
      </c>
      <c r="AF282">
        <v>0</v>
      </c>
      <c r="AK282">
        <v>1</v>
      </c>
      <c r="AL282">
        <v>0</v>
      </c>
      <c r="AM282">
        <v>0</v>
      </c>
      <c r="AN282">
        <v>0</v>
      </c>
      <c r="AT282">
        <v>1</v>
      </c>
      <c r="AU282">
        <v>11</v>
      </c>
      <c r="AV282">
        <v>282</v>
      </c>
      <c r="AW282">
        <v>282</v>
      </c>
      <c r="AX282">
        <v>407</v>
      </c>
      <c r="BA282">
        <v>1</v>
      </c>
      <c r="BC282" t="s">
        <v>650</v>
      </c>
      <c r="BD282" s="4">
        <v>43283.038888888892</v>
      </c>
      <c r="BE282" s="4">
        <v>43283.04587962963</v>
      </c>
      <c r="BF282" s="4">
        <v>43283.04587962963</v>
      </c>
      <c r="BG282" t="s">
        <v>83</v>
      </c>
      <c r="BH282" t="s">
        <v>84</v>
      </c>
      <c r="BI282" t="s">
        <v>85</v>
      </c>
    </row>
    <row r="283" spans="1:61" x14ac:dyDescent="0.3">
      <c r="A283" t="str">
        <f>"201033B0100"</f>
        <v>201033B0100</v>
      </c>
      <c r="B283" t="s">
        <v>651</v>
      </c>
      <c r="C283">
        <v>20</v>
      </c>
      <c r="D283" t="s">
        <v>79</v>
      </c>
      <c r="E283">
        <v>2</v>
      </c>
      <c r="F283" t="s">
        <v>528</v>
      </c>
      <c r="G283">
        <v>1033</v>
      </c>
      <c r="H283">
        <v>1</v>
      </c>
      <c r="I283" t="s">
        <v>81</v>
      </c>
      <c r="J283">
        <v>0</v>
      </c>
      <c r="K283">
        <v>1</v>
      </c>
      <c r="L283">
        <v>2</v>
      </c>
      <c r="M283">
        <v>249</v>
      </c>
      <c r="N283">
        <v>455</v>
      </c>
      <c r="O283">
        <v>6</v>
      </c>
      <c r="P283">
        <v>454</v>
      </c>
      <c r="Q283">
        <v>22</v>
      </c>
      <c r="R283">
        <v>20</v>
      </c>
      <c r="S283">
        <v>4</v>
      </c>
      <c r="T283">
        <v>30</v>
      </c>
      <c r="U283">
        <v>11</v>
      </c>
      <c r="V283">
        <v>10</v>
      </c>
      <c r="W283">
        <v>4</v>
      </c>
      <c r="X283">
        <v>121</v>
      </c>
      <c r="Y283">
        <v>189</v>
      </c>
      <c r="Z283">
        <v>11</v>
      </c>
      <c r="AA283">
        <v>2</v>
      </c>
      <c r="AB283">
        <v>1</v>
      </c>
      <c r="AC283">
        <v>1</v>
      </c>
      <c r="AD283">
        <v>0</v>
      </c>
      <c r="AE283">
        <v>1</v>
      </c>
      <c r="AF283">
        <v>0</v>
      </c>
      <c r="AK283">
        <v>4</v>
      </c>
      <c r="AL283">
        <v>1</v>
      </c>
      <c r="AM283">
        <v>0</v>
      </c>
      <c r="AN283">
        <v>1</v>
      </c>
      <c r="AT283">
        <v>0</v>
      </c>
      <c r="AU283">
        <v>21</v>
      </c>
      <c r="AV283">
        <v>454</v>
      </c>
      <c r="AW283">
        <v>454</v>
      </c>
      <c r="AX283">
        <v>681</v>
      </c>
      <c r="BA283">
        <v>1</v>
      </c>
      <c r="BC283" t="s">
        <v>652</v>
      </c>
      <c r="BD283" s="4">
        <v>43283.347222222219</v>
      </c>
      <c r="BE283" s="4">
        <v>43283.359618055554</v>
      </c>
      <c r="BF283" s="4">
        <v>43283.359618055554</v>
      </c>
      <c r="BG283" t="s">
        <v>83</v>
      </c>
      <c r="BH283" t="s">
        <v>84</v>
      </c>
      <c r="BI283" t="s">
        <v>85</v>
      </c>
    </row>
    <row r="284" spans="1:61" x14ac:dyDescent="0.3">
      <c r="A284" t="str">
        <f>"201033C0100"</f>
        <v>201033C0100</v>
      </c>
      <c r="B284" t="s">
        <v>653</v>
      </c>
      <c r="C284">
        <v>20</v>
      </c>
      <c r="D284" t="s">
        <v>79</v>
      </c>
      <c r="E284">
        <v>2</v>
      </c>
      <c r="F284" t="s">
        <v>528</v>
      </c>
      <c r="G284">
        <v>1033</v>
      </c>
      <c r="H284">
        <v>1</v>
      </c>
      <c r="I284" t="s">
        <v>89</v>
      </c>
      <c r="J284">
        <v>0</v>
      </c>
      <c r="K284">
        <v>1</v>
      </c>
      <c r="L284">
        <v>2</v>
      </c>
      <c r="M284">
        <v>249</v>
      </c>
      <c r="N284">
        <v>458</v>
      </c>
      <c r="O284">
        <v>0</v>
      </c>
      <c r="P284">
        <v>454</v>
      </c>
      <c r="Q284">
        <v>32</v>
      </c>
      <c r="R284">
        <v>19</v>
      </c>
      <c r="S284">
        <v>8</v>
      </c>
      <c r="T284">
        <v>22</v>
      </c>
      <c r="U284">
        <v>11</v>
      </c>
      <c r="V284">
        <v>22</v>
      </c>
      <c r="W284">
        <v>1</v>
      </c>
      <c r="X284">
        <v>118</v>
      </c>
      <c r="Y284">
        <v>192</v>
      </c>
      <c r="Z284">
        <v>3</v>
      </c>
      <c r="AA284">
        <v>1</v>
      </c>
      <c r="AB284">
        <v>2</v>
      </c>
      <c r="AC284">
        <v>1</v>
      </c>
      <c r="AD284">
        <v>0</v>
      </c>
      <c r="AE284">
        <v>0</v>
      </c>
      <c r="AF284">
        <v>0</v>
      </c>
      <c r="AK284">
        <v>3</v>
      </c>
      <c r="AL284">
        <v>4</v>
      </c>
      <c r="AM284">
        <v>0</v>
      </c>
      <c r="AN284">
        <v>2</v>
      </c>
      <c r="AT284">
        <v>0</v>
      </c>
      <c r="AU284">
        <v>13</v>
      </c>
      <c r="AV284">
        <v>454</v>
      </c>
      <c r="AW284">
        <v>454</v>
      </c>
      <c r="AX284">
        <v>680</v>
      </c>
      <c r="BA284">
        <v>1</v>
      </c>
      <c r="BC284" t="s">
        <v>654</v>
      </c>
      <c r="BD284" s="4">
        <v>43283.357638888891</v>
      </c>
      <c r="BE284" s="4">
        <v>43283.369560185187</v>
      </c>
      <c r="BF284" s="4">
        <v>43283.369560185187</v>
      </c>
      <c r="BG284" t="s">
        <v>83</v>
      </c>
      <c r="BH284" t="s">
        <v>84</v>
      </c>
      <c r="BI284" t="s">
        <v>85</v>
      </c>
    </row>
    <row r="285" spans="1:61" x14ac:dyDescent="0.3">
      <c r="A285" t="str">
        <f>"201034B0100"</f>
        <v>201034B0100</v>
      </c>
      <c r="B285" t="s">
        <v>655</v>
      </c>
      <c r="C285">
        <v>20</v>
      </c>
      <c r="D285" t="s">
        <v>79</v>
      </c>
      <c r="E285">
        <v>2</v>
      </c>
      <c r="F285" t="s">
        <v>528</v>
      </c>
      <c r="G285">
        <v>1034</v>
      </c>
      <c r="H285">
        <v>1</v>
      </c>
      <c r="I285" t="s">
        <v>81</v>
      </c>
      <c r="J285">
        <v>0</v>
      </c>
      <c r="K285">
        <v>2</v>
      </c>
      <c r="L285">
        <v>2</v>
      </c>
      <c r="M285">
        <v>192</v>
      </c>
      <c r="N285">
        <v>385</v>
      </c>
      <c r="O285">
        <v>8</v>
      </c>
      <c r="P285" t="s">
        <v>100</v>
      </c>
      <c r="Q285">
        <v>17</v>
      </c>
      <c r="R285">
        <v>28</v>
      </c>
      <c r="S285">
        <v>2</v>
      </c>
      <c r="T285">
        <v>19</v>
      </c>
      <c r="U285">
        <v>18</v>
      </c>
      <c r="V285">
        <v>8</v>
      </c>
      <c r="W285">
        <v>3</v>
      </c>
      <c r="X285">
        <v>83</v>
      </c>
      <c r="Y285">
        <v>177</v>
      </c>
      <c r="Z285">
        <v>13</v>
      </c>
      <c r="AA285">
        <v>2</v>
      </c>
      <c r="AB285">
        <v>1</v>
      </c>
      <c r="AC285">
        <v>1</v>
      </c>
      <c r="AD285">
        <v>0</v>
      </c>
      <c r="AE285">
        <v>0</v>
      </c>
      <c r="AF285">
        <v>0</v>
      </c>
      <c r="AK285">
        <v>9</v>
      </c>
      <c r="AL285">
        <v>1</v>
      </c>
      <c r="AM285">
        <v>0</v>
      </c>
      <c r="AN285">
        <v>0</v>
      </c>
      <c r="AT285">
        <v>0</v>
      </c>
      <c r="AU285">
        <v>3</v>
      </c>
      <c r="AV285">
        <v>385</v>
      </c>
      <c r="AW285">
        <v>385</v>
      </c>
      <c r="AX285">
        <v>554</v>
      </c>
      <c r="BA285">
        <v>1</v>
      </c>
      <c r="BC285" t="s">
        <v>656</v>
      </c>
      <c r="BD285" s="4">
        <v>43283.099305555559</v>
      </c>
      <c r="BE285" s="4">
        <v>43283.108842592592</v>
      </c>
      <c r="BF285" s="4">
        <v>43283.108842592592</v>
      </c>
      <c r="BG285" t="s">
        <v>83</v>
      </c>
      <c r="BH285" t="s">
        <v>84</v>
      </c>
      <c r="BI285" t="s">
        <v>85</v>
      </c>
    </row>
    <row r="286" spans="1:61" x14ac:dyDescent="0.3">
      <c r="A286" t="str">
        <f>"201034C0100"</f>
        <v>201034C0100</v>
      </c>
      <c r="B286" t="s">
        <v>657</v>
      </c>
      <c r="C286">
        <v>20</v>
      </c>
      <c r="D286" t="s">
        <v>79</v>
      </c>
      <c r="E286">
        <v>2</v>
      </c>
      <c r="F286" t="s">
        <v>528</v>
      </c>
      <c r="G286">
        <v>1034</v>
      </c>
      <c r="H286">
        <v>1</v>
      </c>
      <c r="I286" t="s">
        <v>89</v>
      </c>
      <c r="J286">
        <v>0</v>
      </c>
      <c r="K286">
        <v>2</v>
      </c>
      <c r="L286">
        <v>2</v>
      </c>
      <c r="M286">
        <v>179</v>
      </c>
      <c r="N286">
        <v>397</v>
      </c>
      <c r="O286">
        <v>14</v>
      </c>
      <c r="P286">
        <v>397</v>
      </c>
      <c r="Q286">
        <v>26</v>
      </c>
      <c r="R286">
        <v>28</v>
      </c>
      <c r="S286">
        <v>1</v>
      </c>
      <c r="T286">
        <v>13</v>
      </c>
      <c r="U286">
        <v>17</v>
      </c>
      <c r="V286">
        <v>9</v>
      </c>
      <c r="W286">
        <v>4</v>
      </c>
      <c r="X286">
        <v>72</v>
      </c>
      <c r="Y286">
        <v>187</v>
      </c>
      <c r="Z286">
        <v>16</v>
      </c>
      <c r="AA286">
        <v>2</v>
      </c>
      <c r="AB286">
        <v>2</v>
      </c>
      <c r="AC286">
        <v>0</v>
      </c>
      <c r="AD286">
        <v>0</v>
      </c>
      <c r="AE286">
        <v>0</v>
      </c>
      <c r="AF286">
        <v>0</v>
      </c>
      <c r="AK286">
        <v>4</v>
      </c>
      <c r="AL286">
        <v>1</v>
      </c>
      <c r="AM286">
        <v>0</v>
      </c>
      <c r="AN286">
        <v>3</v>
      </c>
      <c r="AT286">
        <v>0</v>
      </c>
      <c r="AU286">
        <v>12</v>
      </c>
      <c r="AV286">
        <v>397</v>
      </c>
      <c r="AW286">
        <v>397</v>
      </c>
      <c r="AX286">
        <v>553</v>
      </c>
      <c r="BA286">
        <v>1</v>
      </c>
      <c r="BC286" t="s">
        <v>658</v>
      </c>
      <c r="BD286" s="4">
        <v>43283.100694444445</v>
      </c>
      <c r="BE286" s="4">
        <v>43283.104618055557</v>
      </c>
      <c r="BF286" s="4">
        <v>43283.104618055557</v>
      </c>
      <c r="BG286" t="s">
        <v>83</v>
      </c>
      <c r="BH286" t="s">
        <v>84</v>
      </c>
      <c r="BI286" t="s">
        <v>85</v>
      </c>
    </row>
    <row r="287" spans="1:61" x14ac:dyDescent="0.3">
      <c r="A287" t="str">
        <f>"201034C0200"</f>
        <v>201034C0200</v>
      </c>
      <c r="B287" t="s">
        <v>659</v>
      </c>
      <c r="C287">
        <v>20</v>
      </c>
      <c r="D287" t="s">
        <v>79</v>
      </c>
      <c r="E287">
        <v>2</v>
      </c>
      <c r="F287" t="s">
        <v>528</v>
      </c>
      <c r="G287">
        <v>1034</v>
      </c>
      <c r="H287">
        <v>2</v>
      </c>
      <c r="I287" t="s">
        <v>89</v>
      </c>
      <c r="J287">
        <v>0</v>
      </c>
      <c r="K287">
        <v>2</v>
      </c>
      <c r="L287">
        <v>2</v>
      </c>
      <c r="M287">
        <v>192</v>
      </c>
      <c r="N287">
        <v>383</v>
      </c>
      <c r="O287">
        <v>16</v>
      </c>
      <c r="P287">
        <v>383</v>
      </c>
      <c r="Q287">
        <v>28</v>
      </c>
      <c r="R287">
        <v>20</v>
      </c>
      <c r="S287">
        <v>6</v>
      </c>
      <c r="T287">
        <v>8</v>
      </c>
      <c r="U287">
        <v>14</v>
      </c>
      <c r="V287">
        <v>9</v>
      </c>
      <c r="W287">
        <v>7</v>
      </c>
      <c r="X287">
        <v>69</v>
      </c>
      <c r="Y287">
        <v>186</v>
      </c>
      <c r="Z287">
        <v>15</v>
      </c>
      <c r="AA287">
        <v>2</v>
      </c>
      <c r="AB287">
        <v>1</v>
      </c>
      <c r="AC287">
        <v>0</v>
      </c>
      <c r="AD287">
        <v>0</v>
      </c>
      <c r="AE287">
        <v>0</v>
      </c>
      <c r="AF287">
        <v>0</v>
      </c>
      <c r="AK287">
        <v>3</v>
      </c>
      <c r="AL287">
        <v>1</v>
      </c>
      <c r="AM287">
        <v>0</v>
      </c>
      <c r="AN287">
        <v>1</v>
      </c>
      <c r="AT287">
        <v>0</v>
      </c>
      <c r="AU287">
        <v>13</v>
      </c>
      <c r="AV287">
        <v>383</v>
      </c>
      <c r="AW287">
        <v>383</v>
      </c>
      <c r="AX287">
        <v>553</v>
      </c>
      <c r="BA287">
        <v>1</v>
      </c>
      <c r="BC287" t="s">
        <v>660</v>
      </c>
      <c r="BD287" s="4">
        <v>43283.097222222219</v>
      </c>
      <c r="BE287" s="4">
        <v>43283.101643518516</v>
      </c>
      <c r="BF287" s="4">
        <v>43283.101643518516</v>
      </c>
      <c r="BG287" t="s">
        <v>83</v>
      </c>
      <c r="BH287" t="s">
        <v>84</v>
      </c>
      <c r="BI287" t="s">
        <v>85</v>
      </c>
    </row>
    <row r="288" spans="1:61" x14ac:dyDescent="0.3">
      <c r="A288" t="str">
        <f>"201034E0100"</f>
        <v>201034E0100</v>
      </c>
      <c r="B288" s="2" t="s">
        <v>661</v>
      </c>
      <c r="C288">
        <v>20</v>
      </c>
      <c r="D288" t="s">
        <v>79</v>
      </c>
      <c r="E288">
        <v>2</v>
      </c>
      <c r="F288" t="s">
        <v>528</v>
      </c>
      <c r="G288">
        <v>1034</v>
      </c>
      <c r="H288">
        <v>1</v>
      </c>
      <c r="I288" t="s">
        <v>145</v>
      </c>
      <c r="J288">
        <v>0</v>
      </c>
      <c r="K288">
        <v>2</v>
      </c>
      <c r="L288">
        <v>2</v>
      </c>
      <c r="M288" t="s">
        <v>100</v>
      </c>
      <c r="N288">
        <v>370</v>
      </c>
      <c r="O288">
        <v>5</v>
      </c>
      <c r="P288">
        <v>366</v>
      </c>
      <c r="Q288">
        <v>26</v>
      </c>
      <c r="R288">
        <v>13</v>
      </c>
      <c r="S288">
        <v>12</v>
      </c>
      <c r="T288">
        <v>12</v>
      </c>
      <c r="U288">
        <v>8</v>
      </c>
      <c r="V288">
        <v>6</v>
      </c>
      <c r="W288">
        <v>3</v>
      </c>
      <c r="X288">
        <v>107</v>
      </c>
      <c r="Y288">
        <v>145</v>
      </c>
      <c r="Z288">
        <v>6</v>
      </c>
      <c r="AA288">
        <v>2</v>
      </c>
      <c r="AB288">
        <v>1</v>
      </c>
      <c r="AC288">
        <v>1</v>
      </c>
      <c r="AD288">
        <v>0</v>
      </c>
      <c r="AE288">
        <v>1</v>
      </c>
      <c r="AF288">
        <v>0</v>
      </c>
      <c r="AK288">
        <v>8</v>
      </c>
      <c r="AL288">
        <v>2</v>
      </c>
      <c r="AM288">
        <v>0</v>
      </c>
      <c r="AN288">
        <v>2</v>
      </c>
      <c r="AT288" t="s">
        <v>100</v>
      </c>
      <c r="AU288">
        <v>11</v>
      </c>
      <c r="AV288" t="s">
        <v>100</v>
      </c>
      <c r="AW288">
        <v>366</v>
      </c>
      <c r="AX288">
        <v>591</v>
      </c>
      <c r="AZ288" t="s">
        <v>101</v>
      </c>
      <c r="BA288">
        <v>1</v>
      </c>
      <c r="BC288" t="s">
        <v>662</v>
      </c>
      <c r="BD288" s="4">
        <v>43283.288194444445</v>
      </c>
      <c r="BE288" s="4">
        <v>43283.314849537041</v>
      </c>
      <c r="BF288" s="4">
        <v>43283.314849537041</v>
      </c>
      <c r="BG288" t="s">
        <v>83</v>
      </c>
      <c r="BH288" t="s">
        <v>84</v>
      </c>
      <c r="BI288" t="s">
        <v>85</v>
      </c>
    </row>
    <row r="289" spans="1:61" x14ac:dyDescent="0.3">
      <c r="A289" t="str">
        <f>"201034E0101"</f>
        <v>201034E0101</v>
      </c>
      <c r="B289" s="2" t="s">
        <v>663</v>
      </c>
      <c r="C289">
        <v>20</v>
      </c>
      <c r="D289" t="s">
        <v>79</v>
      </c>
      <c r="E289">
        <v>2</v>
      </c>
      <c r="F289" t="s">
        <v>528</v>
      </c>
      <c r="G289">
        <v>1034</v>
      </c>
      <c r="H289">
        <v>1</v>
      </c>
      <c r="I289" t="s">
        <v>145</v>
      </c>
      <c r="J289">
        <v>1</v>
      </c>
      <c r="K289">
        <v>2</v>
      </c>
      <c r="L289">
        <v>2</v>
      </c>
      <c r="M289">
        <v>237</v>
      </c>
      <c r="N289">
        <v>375</v>
      </c>
      <c r="O289">
        <v>8</v>
      </c>
      <c r="P289">
        <v>360</v>
      </c>
      <c r="Q289">
        <v>28</v>
      </c>
      <c r="R289">
        <v>17</v>
      </c>
      <c r="S289">
        <v>8</v>
      </c>
      <c r="T289">
        <v>27</v>
      </c>
      <c r="U289">
        <v>13</v>
      </c>
      <c r="V289">
        <v>11</v>
      </c>
      <c r="W289">
        <v>2</v>
      </c>
      <c r="X289">
        <v>105</v>
      </c>
      <c r="Y289">
        <v>131</v>
      </c>
      <c r="Z289">
        <v>10</v>
      </c>
      <c r="AA289">
        <v>1</v>
      </c>
      <c r="AB289">
        <v>2</v>
      </c>
      <c r="AC289">
        <v>0</v>
      </c>
      <c r="AD289">
        <v>0</v>
      </c>
      <c r="AE289">
        <v>0</v>
      </c>
      <c r="AF289">
        <v>0</v>
      </c>
      <c r="AK289">
        <v>2</v>
      </c>
      <c r="AL289">
        <v>1</v>
      </c>
      <c r="AM289">
        <v>0</v>
      </c>
      <c r="AN289">
        <v>2</v>
      </c>
      <c r="AT289">
        <v>0</v>
      </c>
      <c r="AU289">
        <v>19</v>
      </c>
      <c r="AV289">
        <v>379</v>
      </c>
      <c r="AW289">
        <v>379</v>
      </c>
      <c r="AX289">
        <v>591</v>
      </c>
      <c r="BA289">
        <v>1</v>
      </c>
      <c r="BC289" t="s">
        <v>664</v>
      </c>
      <c r="BD289" s="4">
        <v>43283.288194444445</v>
      </c>
      <c r="BE289" s="4">
        <v>43283.318530092591</v>
      </c>
      <c r="BF289" s="4">
        <v>43283.318530092591</v>
      </c>
      <c r="BG289" t="s">
        <v>83</v>
      </c>
      <c r="BH289" t="s">
        <v>84</v>
      </c>
      <c r="BI289" t="s">
        <v>85</v>
      </c>
    </row>
    <row r="290" spans="1:61" x14ac:dyDescent="0.3">
      <c r="A290" t="str">
        <f>"201034E0102"</f>
        <v>201034E0102</v>
      </c>
      <c r="B290" s="2" t="s">
        <v>665</v>
      </c>
      <c r="C290">
        <v>20</v>
      </c>
      <c r="D290" t="s">
        <v>79</v>
      </c>
      <c r="E290">
        <v>2</v>
      </c>
      <c r="F290" t="s">
        <v>528</v>
      </c>
      <c r="G290">
        <v>1034</v>
      </c>
      <c r="H290">
        <v>1</v>
      </c>
      <c r="I290" t="s">
        <v>145</v>
      </c>
      <c r="J290">
        <v>2</v>
      </c>
      <c r="K290">
        <v>2</v>
      </c>
      <c r="L290">
        <v>2</v>
      </c>
      <c r="M290">
        <v>227</v>
      </c>
      <c r="N290">
        <v>381</v>
      </c>
      <c r="O290">
        <v>11</v>
      </c>
      <c r="P290">
        <v>381</v>
      </c>
      <c r="Q290">
        <v>20</v>
      </c>
      <c r="R290">
        <v>16</v>
      </c>
      <c r="S290">
        <v>11</v>
      </c>
      <c r="T290">
        <v>19</v>
      </c>
      <c r="U290">
        <v>9</v>
      </c>
      <c r="V290">
        <v>10</v>
      </c>
      <c r="W290">
        <v>1</v>
      </c>
      <c r="X290">
        <v>94</v>
      </c>
      <c r="Y290">
        <v>153</v>
      </c>
      <c r="Z290">
        <v>8</v>
      </c>
      <c r="AA290">
        <v>1</v>
      </c>
      <c r="AB290">
        <v>0</v>
      </c>
      <c r="AC290">
        <v>0</v>
      </c>
      <c r="AD290">
        <v>1</v>
      </c>
      <c r="AE290">
        <v>0</v>
      </c>
      <c r="AF290">
        <v>0</v>
      </c>
      <c r="AK290">
        <v>9</v>
      </c>
      <c r="AL290">
        <v>1</v>
      </c>
      <c r="AM290">
        <v>0</v>
      </c>
      <c r="AN290">
        <v>3</v>
      </c>
      <c r="AT290">
        <v>0</v>
      </c>
      <c r="AU290">
        <v>25</v>
      </c>
      <c r="AV290">
        <v>381</v>
      </c>
      <c r="AW290">
        <v>381</v>
      </c>
      <c r="AX290">
        <v>590</v>
      </c>
      <c r="BA290">
        <v>1</v>
      </c>
      <c r="BC290" t="s">
        <v>666</v>
      </c>
      <c r="BD290" s="4">
        <v>43283.290277777778</v>
      </c>
      <c r="BE290" s="4">
        <v>43283.317025462966</v>
      </c>
      <c r="BF290" s="4">
        <v>43283.317025462966</v>
      </c>
      <c r="BG290" t="s">
        <v>83</v>
      </c>
      <c r="BH290" t="s">
        <v>84</v>
      </c>
      <c r="BI290" t="s">
        <v>85</v>
      </c>
    </row>
    <row r="291" spans="1:61" x14ac:dyDescent="0.3">
      <c r="A291" t="str">
        <f>"201034E0103"</f>
        <v>201034E0103</v>
      </c>
      <c r="B291" s="2" t="s">
        <v>667</v>
      </c>
      <c r="C291">
        <v>20</v>
      </c>
      <c r="D291" t="s">
        <v>79</v>
      </c>
      <c r="E291">
        <v>2</v>
      </c>
      <c r="F291" t="s">
        <v>528</v>
      </c>
      <c r="G291">
        <v>1034</v>
      </c>
      <c r="H291">
        <v>1</v>
      </c>
      <c r="I291" t="s">
        <v>145</v>
      </c>
      <c r="J291">
        <v>3</v>
      </c>
      <c r="K291">
        <v>2</v>
      </c>
      <c r="L291">
        <v>2</v>
      </c>
      <c r="M291">
        <v>228</v>
      </c>
      <c r="N291">
        <v>386</v>
      </c>
      <c r="O291">
        <v>14</v>
      </c>
      <c r="P291">
        <v>391</v>
      </c>
      <c r="Q291">
        <v>12</v>
      </c>
      <c r="R291">
        <v>26</v>
      </c>
      <c r="S291">
        <v>5</v>
      </c>
      <c r="T291">
        <v>21</v>
      </c>
      <c r="U291">
        <v>10</v>
      </c>
      <c r="V291">
        <v>9</v>
      </c>
      <c r="W291">
        <v>3</v>
      </c>
      <c r="X291">
        <v>103</v>
      </c>
      <c r="Y291">
        <v>162</v>
      </c>
      <c r="Z291">
        <v>13</v>
      </c>
      <c r="AA291">
        <v>2</v>
      </c>
      <c r="AB291">
        <v>3</v>
      </c>
      <c r="AC291">
        <v>0</v>
      </c>
      <c r="AD291">
        <v>2</v>
      </c>
      <c r="AE291">
        <v>0</v>
      </c>
      <c r="AF291">
        <v>0</v>
      </c>
      <c r="AK291">
        <v>3</v>
      </c>
      <c r="AL291">
        <v>1</v>
      </c>
      <c r="AM291">
        <v>1</v>
      </c>
      <c r="AN291">
        <v>0</v>
      </c>
      <c r="AT291">
        <v>0</v>
      </c>
      <c r="AU291">
        <v>15</v>
      </c>
      <c r="AV291">
        <v>391</v>
      </c>
      <c r="AW291">
        <v>391</v>
      </c>
      <c r="AX291">
        <v>590</v>
      </c>
      <c r="BA291">
        <v>1</v>
      </c>
      <c r="BC291" t="s">
        <v>668</v>
      </c>
      <c r="BD291" s="4">
        <v>43283.29583333333</v>
      </c>
      <c r="BE291" s="4">
        <v>43283.321967592594</v>
      </c>
      <c r="BF291" s="4">
        <v>43283.321967592594</v>
      </c>
      <c r="BG291" t="s">
        <v>83</v>
      </c>
      <c r="BH291" t="s">
        <v>84</v>
      </c>
      <c r="BI291" t="s">
        <v>85</v>
      </c>
    </row>
    <row r="292" spans="1:61" x14ac:dyDescent="0.3">
      <c r="A292" t="str">
        <f>"201035B0100"</f>
        <v>201035B0100</v>
      </c>
      <c r="B292" t="s">
        <v>669</v>
      </c>
      <c r="C292">
        <v>20</v>
      </c>
      <c r="D292" t="s">
        <v>79</v>
      </c>
      <c r="E292">
        <v>2</v>
      </c>
      <c r="F292" t="s">
        <v>528</v>
      </c>
      <c r="G292">
        <v>1035</v>
      </c>
      <c r="H292">
        <v>1</v>
      </c>
      <c r="I292" t="s">
        <v>81</v>
      </c>
      <c r="J292">
        <v>0</v>
      </c>
      <c r="K292">
        <v>1</v>
      </c>
      <c r="L292">
        <v>2</v>
      </c>
      <c r="M292">
        <v>171</v>
      </c>
      <c r="N292">
        <v>366</v>
      </c>
      <c r="O292">
        <v>2</v>
      </c>
      <c r="P292">
        <v>366</v>
      </c>
      <c r="Q292">
        <v>26</v>
      </c>
      <c r="R292">
        <v>27</v>
      </c>
      <c r="S292">
        <v>5</v>
      </c>
      <c r="T292">
        <v>16</v>
      </c>
      <c r="U292">
        <v>7</v>
      </c>
      <c r="V292">
        <v>7</v>
      </c>
      <c r="W292">
        <v>4</v>
      </c>
      <c r="X292">
        <v>118</v>
      </c>
      <c r="Y292">
        <v>133</v>
      </c>
      <c r="Z292">
        <v>6</v>
      </c>
      <c r="AA292">
        <v>0</v>
      </c>
      <c r="AB292">
        <v>0</v>
      </c>
      <c r="AC292">
        <v>1</v>
      </c>
      <c r="AD292">
        <v>0</v>
      </c>
      <c r="AE292">
        <v>0</v>
      </c>
      <c r="AF292">
        <v>0</v>
      </c>
      <c r="AK292">
        <v>5</v>
      </c>
      <c r="AL292">
        <v>0</v>
      </c>
      <c r="AM292">
        <v>0</v>
      </c>
      <c r="AN292">
        <v>0</v>
      </c>
      <c r="AT292" t="s">
        <v>100</v>
      </c>
      <c r="AU292">
        <v>9</v>
      </c>
      <c r="AV292">
        <v>366</v>
      </c>
      <c r="AW292">
        <v>364</v>
      </c>
      <c r="AX292">
        <v>514</v>
      </c>
      <c r="AZ292" t="s">
        <v>101</v>
      </c>
      <c r="BA292">
        <v>1</v>
      </c>
      <c r="BC292" t="s">
        <v>670</v>
      </c>
      <c r="BD292" s="4">
        <v>43283.138194444444</v>
      </c>
      <c r="BE292" s="4">
        <v>43283.14303240741</v>
      </c>
      <c r="BF292" s="4">
        <v>43283.14303240741</v>
      </c>
      <c r="BG292" t="s">
        <v>83</v>
      </c>
      <c r="BH292" t="s">
        <v>84</v>
      </c>
      <c r="BI292" t="s">
        <v>85</v>
      </c>
    </row>
    <row r="293" spans="1:61" x14ac:dyDescent="0.3">
      <c r="A293" t="str">
        <f>"201035C0100"</f>
        <v>201035C0100</v>
      </c>
      <c r="B293" t="s">
        <v>671</v>
      </c>
      <c r="C293">
        <v>20</v>
      </c>
      <c r="D293" t="s">
        <v>79</v>
      </c>
      <c r="E293">
        <v>2</v>
      </c>
      <c r="F293" t="s">
        <v>528</v>
      </c>
      <c r="G293">
        <v>1035</v>
      </c>
      <c r="H293">
        <v>1</v>
      </c>
      <c r="I293" t="s">
        <v>89</v>
      </c>
      <c r="J293">
        <v>0</v>
      </c>
      <c r="K293">
        <v>1</v>
      </c>
      <c r="L293">
        <v>2</v>
      </c>
      <c r="M293">
        <v>191</v>
      </c>
      <c r="N293">
        <v>343</v>
      </c>
      <c r="O293">
        <v>0</v>
      </c>
      <c r="P293">
        <v>343</v>
      </c>
      <c r="Q293">
        <v>16</v>
      </c>
      <c r="R293">
        <v>15</v>
      </c>
      <c r="S293">
        <v>4</v>
      </c>
      <c r="T293">
        <v>8</v>
      </c>
      <c r="U293">
        <v>12</v>
      </c>
      <c r="V293">
        <v>6</v>
      </c>
      <c r="W293">
        <v>0</v>
      </c>
      <c r="X293">
        <v>102</v>
      </c>
      <c r="Y293">
        <v>150</v>
      </c>
      <c r="Z293">
        <v>7</v>
      </c>
      <c r="AA293">
        <v>2</v>
      </c>
      <c r="AB293">
        <v>0</v>
      </c>
      <c r="AC293">
        <v>0</v>
      </c>
      <c r="AD293">
        <v>0</v>
      </c>
      <c r="AE293">
        <v>0</v>
      </c>
      <c r="AF293">
        <v>0</v>
      </c>
      <c r="AK293">
        <v>6</v>
      </c>
      <c r="AL293">
        <v>3</v>
      </c>
      <c r="AM293">
        <v>1</v>
      </c>
      <c r="AN293">
        <v>1</v>
      </c>
      <c r="AT293" t="s">
        <v>100</v>
      </c>
      <c r="AU293">
        <v>10</v>
      </c>
      <c r="AV293">
        <v>343</v>
      </c>
      <c r="AW293">
        <v>343</v>
      </c>
      <c r="AX293">
        <v>514</v>
      </c>
      <c r="AZ293" t="s">
        <v>101</v>
      </c>
      <c r="BA293">
        <v>1</v>
      </c>
      <c r="BC293" t="s">
        <v>672</v>
      </c>
      <c r="BD293" s="4">
        <v>43283.140277777777</v>
      </c>
      <c r="BE293" s="4">
        <v>43283.144444444442</v>
      </c>
      <c r="BF293" s="4">
        <v>43283.144444444442</v>
      </c>
      <c r="BG293" t="s">
        <v>83</v>
      </c>
      <c r="BH293" t="s">
        <v>84</v>
      </c>
      <c r="BI293" t="s">
        <v>85</v>
      </c>
    </row>
    <row r="294" spans="1:61" x14ac:dyDescent="0.3">
      <c r="A294" t="str">
        <f>"201035C0200"</f>
        <v>201035C0200</v>
      </c>
      <c r="B294" t="s">
        <v>673</v>
      </c>
      <c r="C294">
        <v>20</v>
      </c>
      <c r="D294" t="s">
        <v>79</v>
      </c>
      <c r="E294">
        <v>2</v>
      </c>
      <c r="F294" t="s">
        <v>528</v>
      </c>
      <c r="G294">
        <v>1035</v>
      </c>
      <c r="H294">
        <v>2</v>
      </c>
      <c r="I294" t="s">
        <v>89</v>
      </c>
      <c r="J294">
        <v>0</v>
      </c>
      <c r="K294">
        <v>1</v>
      </c>
      <c r="L294">
        <v>2</v>
      </c>
      <c r="M294">
        <v>165</v>
      </c>
      <c r="N294">
        <v>371</v>
      </c>
      <c r="O294">
        <v>4</v>
      </c>
      <c r="P294">
        <v>371</v>
      </c>
      <c r="Q294">
        <v>20</v>
      </c>
      <c r="R294">
        <v>19</v>
      </c>
      <c r="S294">
        <v>6</v>
      </c>
      <c r="T294">
        <v>11</v>
      </c>
      <c r="U294">
        <v>8</v>
      </c>
      <c r="V294">
        <v>12</v>
      </c>
      <c r="W294">
        <v>2</v>
      </c>
      <c r="X294">
        <v>122</v>
      </c>
      <c r="Y294">
        <v>138</v>
      </c>
      <c r="Z294">
        <v>10</v>
      </c>
      <c r="AA294">
        <v>1</v>
      </c>
      <c r="AB294">
        <v>2</v>
      </c>
      <c r="AC294">
        <v>1</v>
      </c>
      <c r="AD294">
        <v>1</v>
      </c>
      <c r="AE294">
        <v>0</v>
      </c>
      <c r="AF294">
        <v>1</v>
      </c>
      <c r="AK294">
        <v>3</v>
      </c>
      <c r="AL294">
        <v>1</v>
      </c>
      <c r="AM294">
        <v>0</v>
      </c>
      <c r="AN294">
        <v>2</v>
      </c>
      <c r="AT294">
        <v>0</v>
      </c>
      <c r="AU294">
        <v>10</v>
      </c>
      <c r="AV294">
        <v>371</v>
      </c>
      <c r="AW294">
        <v>370</v>
      </c>
      <c r="AX294">
        <v>513</v>
      </c>
      <c r="BA294">
        <v>1</v>
      </c>
      <c r="BC294" t="s">
        <v>674</v>
      </c>
      <c r="BD294" s="4">
        <v>43283.14166666667</v>
      </c>
      <c r="BE294" s="4">
        <v>43283.145266203705</v>
      </c>
      <c r="BF294" s="4">
        <v>43283.145266203705</v>
      </c>
      <c r="BG294" t="s">
        <v>83</v>
      </c>
      <c r="BH294" t="s">
        <v>84</v>
      </c>
      <c r="BI294" t="s">
        <v>85</v>
      </c>
    </row>
    <row r="295" spans="1:61" x14ac:dyDescent="0.3">
      <c r="A295" t="str">
        <f>"201036B0100"</f>
        <v>201036B0100</v>
      </c>
      <c r="B295" t="s">
        <v>675</v>
      </c>
      <c r="C295">
        <v>20</v>
      </c>
      <c r="D295" t="s">
        <v>79</v>
      </c>
      <c r="E295">
        <v>2</v>
      </c>
      <c r="F295" t="s">
        <v>528</v>
      </c>
      <c r="G295">
        <v>1036</v>
      </c>
      <c r="H295">
        <v>1</v>
      </c>
      <c r="I295" t="s">
        <v>81</v>
      </c>
      <c r="J295">
        <v>0</v>
      </c>
      <c r="K295">
        <v>1</v>
      </c>
      <c r="L295">
        <v>2</v>
      </c>
      <c r="M295">
        <v>192</v>
      </c>
      <c r="N295">
        <v>337</v>
      </c>
      <c r="O295">
        <v>8</v>
      </c>
      <c r="P295">
        <v>337</v>
      </c>
      <c r="Q295">
        <v>27</v>
      </c>
      <c r="R295">
        <v>28</v>
      </c>
      <c r="S295">
        <v>8</v>
      </c>
      <c r="T295">
        <v>11</v>
      </c>
      <c r="U295">
        <v>10</v>
      </c>
      <c r="V295">
        <v>9</v>
      </c>
      <c r="W295">
        <v>1</v>
      </c>
      <c r="X295">
        <v>94</v>
      </c>
      <c r="Y295">
        <v>129</v>
      </c>
      <c r="Z295">
        <v>8</v>
      </c>
      <c r="AA295">
        <v>1</v>
      </c>
      <c r="AB295">
        <v>1</v>
      </c>
      <c r="AC295">
        <v>0</v>
      </c>
      <c r="AD295">
        <v>0</v>
      </c>
      <c r="AE295">
        <v>0</v>
      </c>
      <c r="AF295">
        <v>0</v>
      </c>
      <c r="AK295">
        <v>2</v>
      </c>
      <c r="AL295">
        <v>1</v>
      </c>
      <c r="AM295">
        <v>0</v>
      </c>
      <c r="AN295">
        <v>2</v>
      </c>
      <c r="AT295" t="s">
        <v>100</v>
      </c>
      <c r="AU295">
        <v>5</v>
      </c>
      <c r="AV295">
        <v>337</v>
      </c>
      <c r="AW295">
        <v>337</v>
      </c>
      <c r="AX295">
        <v>507</v>
      </c>
      <c r="AZ295" t="s">
        <v>101</v>
      </c>
      <c r="BA295">
        <v>1</v>
      </c>
      <c r="BC295" t="s">
        <v>676</v>
      </c>
      <c r="BD295" s="4">
        <v>43283.29791666667</v>
      </c>
      <c r="BE295" s="4">
        <v>43283.324456018519</v>
      </c>
      <c r="BF295" s="4">
        <v>43283.324456018519</v>
      </c>
      <c r="BG295" t="s">
        <v>83</v>
      </c>
      <c r="BH295" t="s">
        <v>84</v>
      </c>
      <c r="BI295" t="s">
        <v>85</v>
      </c>
    </row>
    <row r="296" spans="1:61" x14ac:dyDescent="0.3">
      <c r="A296" t="str">
        <f>"201036C0100"</f>
        <v>201036C0100</v>
      </c>
      <c r="B296" t="s">
        <v>677</v>
      </c>
      <c r="C296">
        <v>20</v>
      </c>
      <c r="D296" t="s">
        <v>79</v>
      </c>
      <c r="E296">
        <v>2</v>
      </c>
      <c r="F296" t="s">
        <v>528</v>
      </c>
      <c r="G296">
        <v>1036</v>
      </c>
      <c r="H296">
        <v>1</v>
      </c>
      <c r="I296" t="s">
        <v>89</v>
      </c>
      <c r="J296">
        <v>0</v>
      </c>
      <c r="K296">
        <v>1</v>
      </c>
      <c r="L296">
        <v>2</v>
      </c>
      <c r="M296">
        <v>199</v>
      </c>
      <c r="N296">
        <v>331</v>
      </c>
      <c r="O296">
        <v>6</v>
      </c>
      <c r="P296" t="s">
        <v>100</v>
      </c>
      <c r="Q296">
        <v>18</v>
      </c>
      <c r="R296">
        <v>35</v>
      </c>
      <c r="S296">
        <v>6</v>
      </c>
      <c r="T296">
        <v>12</v>
      </c>
      <c r="U296">
        <v>13</v>
      </c>
      <c r="V296">
        <v>4</v>
      </c>
      <c r="W296">
        <v>2</v>
      </c>
      <c r="X296">
        <v>95</v>
      </c>
      <c r="Y296">
        <v>114</v>
      </c>
      <c r="Z296">
        <v>11</v>
      </c>
      <c r="AA296">
        <v>2</v>
      </c>
      <c r="AB296">
        <v>0</v>
      </c>
      <c r="AC296">
        <v>0</v>
      </c>
      <c r="AD296">
        <v>0</v>
      </c>
      <c r="AE296">
        <v>0</v>
      </c>
      <c r="AF296">
        <v>0</v>
      </c>
      <c r="AK296">
        <v>1</v>
      </c>
      <c r="AL296">
        <v>0</v>
      </c>
      <c r="AM296">
        <v>0</v>
      </c>
      <c r="AN296">
        <v>1</v>
      </c>
      <c r="AT296">
        <v>0</v>
      </c>
      <c r="AU296">
        <v>11</v>
      </c>
      <c r="AV296">
        <v>325</v>
      </c>
      <c r="AW296">
        <v>325</v>
      </c>
      <c r="AX296">
        <v>507</v>
      </c>
      <c r="BA296">
        <v>1</v>
      </c>
      <c r="BC296" t="s">
        <v>678</v>
      </c>
      <c r="BD296" s="4">
        <v>43283.302777777775</v>
      </c>
      <c r="BE296" s="4">
        <v>43283.327708333331</v>
      </c>
      <c r="BF296" s="4">
        <v>43283.327708333331</v>
      </c>
      <c r="BG296" t="s">
        <v>83</v>
      </c>
      <c r="BH296" t="s">
        <v>84</v>
      </c>
      <c r="BI296" t="s">
        <v>85</v>
      </c>
    </row>
    <row r="297" spans="1:61" x14ac:dyDescent="0.3">
      <c r="A297" t="str">
        <f>"201036C0200"</f>
        <v>201036C0200</v>
      </c>
      <c r="B297" t="s">
        <v>679</v>
      </c>
      <c r="C297">
        <v>20</v>
      </c>
      <c r="D297" t="s">
        <v>79</v>
      </c>
      <c r="E297">
        <v>2</v>
      </c>
      <c r="F297" t="s">
        <v>528</v>
      </c>
      <c r="G297">
        <v>1036</v>
      </c>
      <c r="H297">
        <v>2</v>
      </c>
      <c r="I297" t="s">
        <v>89</v>
      </c>
      <c r="J297">
        <v>0</v>
      </c>
      <c r="K297">
        <v>1</v>
      </c>
      <c r="L297">
        <v>2</v>
      </c>
      <c r="M297" t="s">
        <v>100</v>
      </c>
      <c r="N297" t="s">
        <v>100</v>
      </c>
      <c r="O297" t="s">
        <v>100</v>
      </c>
      <c r="P297" t="s">
        <v>100</v>
      </c>
      <c r="Q297">
        <v>17</v>
      </c>
      <c r="R297">
        <v>44</v>
      </c>
      <c r="S297">
        <v>4</v>
      </c>
      <c r="T297">
        <v>11</v>
      </c>
      <c r="U297">
        <v>11</v>
      </c>
      <c r="V297">
        <v>6</v>
      </c>
      <c r="W297">
        <v>1</v>
      </c>
      <c r="X297">
        <v>99</v>
      </c>
      <c r="Y297">
        <v>124</v>
      </c>
      <c r="Z297">
        <v>5</v>
      </c>
      <c r="AA297">
        <v>1</v>
      </c>
      <c r="AB297">
        <v>0</v>
      </c>
      <c r="AC297">
        <v>0</v>
      </c>
      <c r="AD297">
        <v>0</v>
      </c>
      <c r="AE297">
        <v>0</v>
      </c>
      <c r="AF297">
        <v>0</v>
      </c>
      <c r="AK297">
        <v>1</v>
      </c>
      <c r="AL297">
        <v>1</v>
      </c>
      <c r="AM297">
        <v>0</v>
      </c>
      <c r="AN297">
        <v>1</v>
      </c>
      <c r="AT297">
        <v>0</v>
      </c>
      <c r="AU297">
        <v>11</v>
      </c>
      <c r="AV297">
        <v>337</v>
      </c>
      <c r="AW297">
        <v>337</v>
      </c>
      <c r="AX297">
        <v>506</v>
      </c>
      <c r="BA297">
        <v>1</v>
      </c>
      <c r="BC297" t="s">
        <v>680</v>
      </c>
      <c r="BD297" s="4">
        <v>43283.34652777778</v>
      </c>
      <c r="BE297" s="4">
        <v>43283.360891203702</v>
      </c>
      <c r="BF297" s="4">
        <v>43283.360891203702</v>
      </c>
      <c r="BG297" t="s">
        <v>83</v>
      </c>
      <c r="BH297" t="s">
        <v>84</v>
      </c>
      <c r="BI297" t="s">
        <v>85</v>
      </c>
    </row>
    <row r="298" spans="1:61" x14ac:dyDescent="0.3">
      <c r="A298" t="str">
        <f>"201037B0100"</f>
        <v>201037B0100</v>
      </c>
      <c r="B298" t="s">
        <v>681</v>
      </c>
      <c r="C298">
        <v>20</v>
      </c>
      <c r="D298" t="s">
        <v>79</v>
      </c>
      <c r="E298">
        <v>2</v>
      </c>
      <c r="F298" t="s">
        <v>528</v>
      </c>
      <c r="G298">
        <v>1037</v>
      </c>
      <c r="H298">
        <v>1</v>
      </c>
      <c r="I298" t="s">
        <v>81</v>
      </c>
      <c r="J298">
        <v>0</v>
      </c>
      <c r="K298">
        <v>1</v>
      </c>
      <c r="L298">
        <v>2</v>
      </c>
      <c r="M298">
        <v>244</v>
      </c>
      <c r="N298">
        <v>509</v>
      </c>
      <c r="O298">
        <v>1</v>
      </c>
      <c r="P298">
        <v>509</v>
      </c>
      <c r="Q298">
        <v>25</v>
      </c>
      <c r="R298">
        <v>12</v>
      </c>
      <c r="S298">
        <v>9</v>
      </c>
      <c r="T298">
        <v>19</v>
      </c>
      <c r="U298">
        <v>15</v>
      </c>
      <c r="V298">
        <v>16</v>
      </c>
      <c r="W298">
        <v>6</v>
      </c>
      <c r="X298">
        <v>164</v>
      </c>
      <c r="Y298">
        <v>195</v>
      </c>
      <c r="Z298">
        <v>12</v>
      </c>
      <c r="AA298">
        <v>2</v>
      </c>
      <c r="AB298" t="s">
        <v>100</v>
      </c>
      <c r="AC298">
        <v>1</v>
      </c>
      <c r="AD298" t="s">
        <v>100</v>
      </c>
      <c r="AE298" t="s">
        <v>100</v>
      </c>
      <c r="AF298" t="s">
        <v>100</v>
      </c>
      <c r="AK298">
        <v>3</v>
      </c>
      <c r="AL298">
        <v>1</v>
      </c>
      <c r="AM298" t="s">
        <v>100</v>
      </c>
      <c r="AN298" t="s">
        <v>100</v>
      </c>
      <c r="AT298" t="s">
        <v>100</v>
      </c>
      <c r="AU298">
        <v>29</v>
      </c>
      <c r="AV298">
        <v>509</v>
      </c>
      <c r="AW298">
        <v>509</v>
      </c>
      <c r="AX298">
        <v>730</v>
      </c>
      <c r="AZ298" t="s">
        <v>101</v>
      </c>
      <c r="BA298">
        <v>1</v>
      </c>
      <c r="BC298" t="s">
        <v>682</v>
      </c>
      <c r="BD298" s="4">
        <v>43283.257638888892</v>
      </c>
      <c r="BE298" s="4">
        <v>43283.284270833334</v>
      </c>
      <c r="BF298" s="4">
        <v>43283.284270833334</v>
      </c>
      <c r="BG298" t="s">
        <v>83</v>
      </c>
      <c r="BH298" t="s">
        <v>84</v>
      </c>
      <c r="BI298" t="s">
        <v>85</v>
      </c>
    </row>
    <row r="299" spans="1:61" x14ac:dyDescent="0.3">
      <c r="A299" t="str">
        <f>"201037C0100"</f>
        <v>201037C0100</v>
      </c>
      <c r="B299" t="s">
        <v>683</v>
      </c>
      <c r="C299">
        <v>20</v>
      </c>
      <c r="D299" t="s">
        <v>79</v>
      </c>
      <c r="E299">
        <v>2</v>
      </c>
      <c r="F299" t="s">
        <v>528</v>
      </c>
      <c r="G299">
        <v>1037</v>
      </c>
      <c r="H299">
        <v>1</v>
      </c>
      <c r="I299" t="s">
        <v>89</v>
      </c>
      <c r="J299">
        <v>0</v>
      </c>
      <c r="K299">
        <v>1</v>
      </c>
      <c r="L299">
        <v>2</v>
      </c>
      <c r="M299">
        <v>253</v>
      </c>
      <c r="N299">
        <v>500</v>
      </c>
      <c r="O299">
        <v>5</v>
      </c>
      <c r="P299">
        <v>500</v>
      </c>
      <c r="Q299">
        <v>21</v>
      </c>
      <c r="R299">
        <v>18</v>
      </c>
      <c r="S299">
        <v>4</v>
      </c>
      <c r="T299">
        <v>21</v>
      </c>
      <c r="U299">
        <v>14</v>
      </c>
      <c r="V299">
        <v>14</v>
      </c>
      <c r="W299">
        <v>4</v>
      </c>
      <c r="X299">
        <v>153</v>
      </c>
      <c r="Y299">
        <v>217</v>
      </c>
      <c r="Z299">
        <v>4</v>
      </c>
      <c r="AA299">
        <v>1</v>
      </c>
      <c r="AB299">
        <v>1</v>
      </c>
      <c r="AC299">
        <v>3</v>
      </c>
      <c r="AD299">
        <v>0</v>
      </c>
      <c r="AE299">
        <v>0</v>
      </c>
      <c r="AF299">
        <v>0</v>
      </c>
      <c r="AK299">
        <v>5</v>
      </c>
      <c r="AL299">
        <v>0</v>
      </c>
      <c r="AM299">
        <v>0</v>
      </c>
      <c r="AN299">
        <v>0</v>
      </c>
      <c r="AT299">
        <v>0</v>
      </c>
      <c r="AU299">
        <v>20</v>
      </c>
      <c r="AV299">
        <v>500</v>
      </c>
      <c r="AW299">
        <v>500</v>
      </c>
      <c r="AX299">
        <v>730</v>
      </c>
      <c r="BA299">
        <v>1</v>
      </c>
      <c r="BC299" t="s">
        <v>684</v>
      </c>
      <c r="BD299" s="4">
        <v>43283.258333333331</v>
      </c>
      <c r="BE299" s="4">
        <v>43283.285115740742</v>
      </c>
      <c r="BF299" s="4">
        <v>43283.285115740742</v>
      </c>
      <c r="BG299" t="s">
        <v>83</v>
      </c>
      <c r="BH299" t="s">
        <v>84</v>
      </c>
      <c r="BI299" t="s">
        <v>85</v>
      </c>
    </row>
    <row r="300" spans="1:61" x14ac:dyDescent="0.3">
      <c r="A300" t="str">
        <f>"201038B0100"</f>
        <v>201038B0100</v>
      </c>
      <c r="B300" t="s">
        <v>685</v>
      </c>
      <c r="C300">
        <v>20</v>
      </c>
      <c r="D300" t="s">
        <v>79</v>
      </c>
      <c r="E300">
        <v>2</v>
      </c>
      <c r="F300" t="s">
        <v>528</v>
      </c>
      <c r="G300">
        <v>1038</v>
      </c>
      <c r="H300">
        <v>1</v>
      </c>
      <c r="I300" t="s">
        <v>81</v>
      </c>
      <c r="J300">
        <v>0</v>
      </c>
      <c r="K300">
        <v>1</v>
      </c>
      <c r="L300">
        <v>2</v>
      </c>
      <c r="M300">
        <v>195</v>
      </c>
      <c r="N300">
        <v>382</v>
      </c>
      <c r="O300">
        <v>13</v>
      </c>
      <c r="P300">
        <v>384</v>
      </c>
      <c r="Q300">
        <v>20</v>
      </c>
      <c r="R300">
        <v>14</v>
      </c>
      <c r="S300">
        <v>5</v>
      </c>
      <c r="T300">
        <v>14</v>
      </c>
      <c r="U300">
        <v>15</v>
      </c>
      <c r="V300">
        <v>11</v>
      </c>
      <c r="W300">
        <v>0</v>
      </c>
      <c r="X300">
        <v>135</v>
      </c>
      <c r="Y300">
        <v>142</v>
      </c>
      <c r="Z300">
        <v>6</v>
      </c>
      <c r="AA300">
        <v>1</v>
      </c>
      <c r="AB300">
        <v>0</v>
      </c>
      <c r="AC300">
        <v>0</v>
      </c>
      <c r="AD300">
        <v>2</v>
      </c>
      <c r="AE300">
        <v>0</v>
      </c>
      <c r="AF300">
        <v>0</v>
      </c>
      <c r="AK300">
        <v>7</v>
      </c>
      <c r="AL300">
        <v>2</v>
      </c>
      <c r="AM300">
        <v>0</v>
      </c>
      <c r="AN300">
        <v>1</v>
      </c>
      <c r="AT300">
        <v>0</v>
      </c>
      <c r="AU300">
        <v>9</v>
      </c>
      <c r="AV300">
        <v>384</v>
      </c>
      <c r="AW300">
        <v>384</v>
      </c>
      <c r="AX300">
        <v>554</v>
      </c>
      <c r="BA300">
        <v>1</v>
      </c>
      <c r="BC300" s="2" t="s">
        <v>686</v>
      </c>
      <c r="BD300" s="4">
        <v>43283.25277777778</v>
      </c>
      <c r="BE300" s="4">
        <v>43283.279479166667</v>
      </c>
      <c r="BF300" s="4">
        <v>43283.279479166667</v>
      </c>
      <c r="BG300" t="s">
        <v>83</v>
      </c>
      <c r="BH300" t="s">
        <v>84</v>
      </c>
      <c r="BI300" t="s">
        <v>85</v>
      </c>
    </row>
    <row r="301" spans="1:61" x14ac:dyDescent="0.3">
      <c r="A301" t="str">
        <f>"201038C0100"</f>
        <v>201038C0100</v>
      </c>
      <c r="B301" t="s">
        <v>687</v>
      </c>
      <c r="C301">
        <v>20</v>
      </c>
      <c r="D301" t="s">
        <v>79</v>
      </c>
      <c r="E301">
        <v>2</v>
      </c>
      <c r="F301" t="s">
        <v>528</v>
      </c>
      <c r="G301">
        <v>1038</v>
      </c>
      <c r="H301">
        <v>1</v>
      </c>
      <c r="I301" t="s">
        <v>89</v>
      </c>
      <c r="J301">
        <v>0</v>
      </c>
      <c r="K301">
        <v>1</v>
      </c>
      <c r="L301">
        <v>2</v>
      </c>
      <c r="M301">
        <v>192</v>
      </c>
      <c r="N301">
        <v>382</v>
      </c>
      <c r="O301">
        <v>12</v>
      </c>
      <c r="P301">
        <v>0</v>
      </c>
      <c r="Q301">
        <v>25</v>
      </c>
      <c r="R301">
        <v>20</v>
      </c>
      <c r="S301">
        <v>9</v>
      </c>
      <c r="T301">
        <v>9</v>
      </c>
      <c r="U301">
        <v>6</v>
      </c>
      <c r="V301">
        <v>10</v>
      </c>
      <c r="W301">
        <v>1</v>
      </c>
      <c r="X301">
        <v>129</v>
      </c>
      <c r="Y301">
        <v>148</v>
      </c>
      <c r="Z301">
        <v>5</v>
      </c>
      <c r="AA301">
        <v>0</v>
      </c>
      <c r="AB301">
        <v>0</v>
      </c>
      <c r="AC301">
        <v>2</v>
      </c>
      <c r="AD301">
        <v>0</v>
      </c>
      <c r="AE301">
        <v>1</v>
      </c>
      <c r="AF301">
        <v>0</v>
      </c>
      <c r="AK301">
        <v>1</v>
      </c>
      <c r="AL301">
        <v>1</v>
      </c>
      <c r="AM301">
        <v>0</v>
      </c>
      <c r="AN301">
        <v>1</v>
      </c>
      <c r="AT301">
        <v>0</v>
      </c>
      <c r="AU301">
        <v>9</v>
      </c>
      <c r="AV301">
        <v>377</v>
      </c>
      <c r="AW301">
        <v>377</v>
      </c>
      <c r="AX301">
        <v>554</v>
      </c>
      <c r="BA301">
        <v>1</v>
      </c>
      <c r="BC301" t="s">
        <v>688</v>
      </c>
      <c r="BD301" s="4">
        <v>43283.254166666666</v>
      </c>
      <c r="BE301" s="4">
        <v>43283.280439814815</v>
      </c>
      <c r="BF301" s="4">
        <v>43283.280439814815</v>
      </c>
      <c r="BG301" t="s">
        <v>83</v>
      </c>
      <c r="BH301" t="s">
        <v>84</v>
      </c>
      <c r="BI301" t="s">
        <v>85</v>
      </c>
    </row>
    <row r="302" spans="1:61" x14ac:dyDescent="0.3">
      <c r="A302" t="str">
        <f>"201038C0200"</f>
        <v>201038C0200</v>
      </c>
      <c r="B302" t="s">
        <v>689</v>
      </c>
      <c r="C302">
        <v>20</v>
      </c>
      <c r="D302" t="s">
        <v>79</v>
      </c>
      <c r="E302">
        <v>2</v>
      </c>
      <c r="F302" t="s">
        <v>528</v>
      </c>
      <c r="G302">
        <v>1038</v>
      </c>
      <c r="H302">
        <v>2</v>
      </c>
      <c r="I302" t="s">
        <v>89</v>
      </c>
      <c r="J302">
        <v>0</v>
      </c>
      <c r="K302">
        <v>1</v>
      </c>
      <c r="L302">
        <v>2</v>
      </c>
      <c r="M302">
        <v>179</v>
      </c>
      <c r="N302">
        <v>396</v>
      </c>
      <c r="O302">
        <v>8</v>
      </c>
      <c r="P302">
        <v>398</v>
      </c>
      <c r="Q302">
        <v>24</v>
      </c>
      <c r="R302">
        <v>20</v>
      </c>
      <c r="S302">
        <v>10</v>
      </c>
      <c r="T302">
        <v>21</v>
      </c>
      <c r="U302">
        <v>20</v>
      </c>
      <c r="V302">
        <v>10</v>
      </c>
      <c r="W302">
        <v>0</v>
      </c>
      <c r="X302">
        <v>118</v>
      </c>
      <c r="Y302">
        <v>147</v>
      </c>
      <c r="Z302">
        <v>5</v>
      </c>
      <c r="AA302">
        <v>5</v>
      </c>
      <c r="AB302">
        <v>1</v>
      </c>
      <c r="AC302">
        <v>0</v>
      </c>
      <c r="AD302">
        <v>0</v>
      </c>
      <c r="AE302">
        <v>0</v>
      </c>
      <c r="AF302">
        <v>0</v>
      </c>
      <c r="AK302">
        <v>4</v>
      </c>
      <c r="AL302">
        <v>1</v>
      </c>
      <c r="AM302">
        <v>0</v>
      </c>
      <c r="AN302">
        <v>1</v>
      </c>
      <c r="AT302">
        <v>0</v>
      </c>
      <c r="AU302">
        <v>14</v>
      </c>
      <c r="AV302" t="s">
        <v>100</v>
      </c>
      <c r="AW302">
        <v>401</v>
      </c>
      <c r="AX302">
        <v>553</v>
      </c>
      <c r="BA302">
        <v>1</v>
      </c>
      <c r="BC302" t="s">
        <v>690</v>
      </c>
      <c r="BD302" s="4">
        <v>43283.254861111112</v>
      </c>
      <c r="BE302" s="4">
        <v>43283.28162037037</v>
      </c>
      <c r="BF302" s="4">
        <v>43283.28162037037</v>
      </c>
      <c r="BG302" t="s">
        <v>83</v>
      </c>
      <c r="BH302" t="s">
        <v>84</v>
      </c>
      <c r="BI302" t="s">
        <v>85</v>
      </c>
    </row>
    <row r="303" spans="1:61" x14ac:dyDescent="0.3">
      <c r="A303" t="str">
        <f>"201039B0100"</f>
        <v>201039B0100</v>
      </c>
      <c r="B303" t="s">
        <v>691</v>
      </c>
      <c r="C303">
        <v>20</v>
      </c>
      <c r="D303" t="s">
        <v>79</v>
      </c>
      <c r="E303">
        <v>2</v>
      </c>
      <c r="F303" t="s">
        <v>528</v>
      </c>
      <c r="G303">
        <v>1039</v>
      </c>
      <c r="H303">
        <v>1</v>
      </c>
      <c r="I303" t="s">
        <v>81</v>
      </c>
      <c r="J303">
        <v>0</v>
      </c>
      <c r="K303">
        <v>1</v>
      </c>
      <c r="L303">
        <v>2</v>
      </c>
      <c r="M303">
        <v>181</v>
      </c>
      <c r="N303">
        <v>365</v>
      </c>
      <c r="O303">
        <v>10</v>
      </c>
      <c r="P303">
        <v>367</v>
      </c>
      <c r="Q303">
        <v>21</v>
      </c>
      <c r="R303">
        <v>15</v>
      </c>
      <c r="S303">
        <v>5</v>
      </c>
      <c r="T303">
        <v>28</v>
      </c>
      <c r="U303">
        <v>7</v>
      </c>
      <c r="V303">
        <v>9</v>
      </c>
      <c r="W303">
        <v>1</v>
      </c>
      <c r="X303">
        <v>131</v>
      </c>
      <c r="Y303">
        <v>121</v>
      </c>
      <c r="Z303">
        <v>8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K303">
        <v>1</v>
      </c>
      <c r="AL303">
        <v>1</v>
      </c>
      <c r="AM303">
        <v>0</v>
      </c>
      <c r="AN303">
        <v>0</v>
      </c>
      <c r="AT303">
        <v>0</v>
      </c>
      <c r="AU303">
        <v>19</v>
      </c>
      <c r="AV303">
        <v>367</v>
      </c>
      <c r="AW303">
        <v>367</v>
      </c>
      <c r="AX303">
        <v>523</v>
      </c>
      <c r="BA303">
        <v>1</v>
      </c>
      <c r="BC303" t="s">
        <v>692</v>
      </c>
      <c r="BD303" s="4">
        <v>43283.241666666669</v>
      </c>
      <c r="BE303" s="4">
        <v>43283.265416666669</v>
      </c>
      <c r="BF303" s="4">
        <v>43283.265416666669</v>
      </c>
      <c r="BG303" t="s">
        <v>83</v>
      </c>
      <c r="BH303" t="s">
        <v>84</v>
      </c>
      <c r="BI303" t="s">
        <v>85</v>
      </c>
    </row>
    <row r="304" spans="1:61" x14ac:dyDescent="0.3">
      <c r="A304" t="str">
        <f>"201039C0100"</f>
        <v>201039C0100</v>
      </c>
      <c r="B304" t="s">
        <v>693</v>
      </c>
      <c r="C304">
        <v>20</v>
      </c>
      <c r="D304" t="s">
        <v>79</v>
      </c>
      <c r="E304">
        <v>2</v>
      </c>
      <c r="F304" t="s">
        <v>528</v>
      </c>
      <c r="G304">
        <v>1039</v>
      </c>
      <c r="H304">
        <v>1</v>
      </c>
      <c r="I304" t="s">
        <v>89</v>
      </c>
      <c r="J304">
        <v>0</v>
      </c>
      <c r="K304">
        <v>1</v>
      </c>
      <c r="L304">
        <v>2</v>
      </c>
      <c r="M304">
        <v>169</v>
      </c>
      <c r="N304">
        <v>375</v>
      </c>
      <c r="O304">
        <v>5</v>
      </c>
      <c r="P304">
        <v>376</v>
      </c>
      <c r="Q304">
        <v>21</v>
      </c>
      <c r="R304">
        <v>28</v>
      </c>
      <c r="S304">
        <v>4</v>
      </c>
      <c r="T304">
        <v>19</v>
      </c>
      <c r="U304">
        <v>11</v>
      </c>
      <c r="V304">
        <v>6</v>
      </c>
      <c r="W304">
        <v>1</v>
      </c>
      <c r="X304">
        <v>126</v>
      </c>
      <c r="Y304">
        <v>122</v>
      </c>
      <c r="Z304">
        <v>7</v>
      </c>
      <c r="AA304">
        <v>3</v>
      </c>
      <c r="AB304">
        <v>0</v>
      </c>
      <c r="AC304">
        <v>0</v>
      </c>
      <c r="AD304">
        <v>0</v>
      </c>
      <c r="AE304">
        <v>0</v>
      </c>
      <c r="AF304">
        <v>0</v>
      </c>
      <c r="AK304">
        <v>3</v>
      </c>
      <c r="AL304">
        <v>0</v>
      </c>
      <c r="AM304">
        <v>0</v>
      </c>
      <c r="AN304">
        <v>0</v>
      </c>
      <c r="AT304">
        <v>0</v>
      </c>
      <c r="AU304">
        <v>25</v>
      </c>
      <c r="AV304">
        <v>376</v>
      </c>
      <c r="AW304">
        <v>376</v>
      </c>
      <c r="AX304">
        <v>522</v>
      </c>
      <c r="BA304">
        <v>1</v>
      </c>
      <c r="BC304" t="s">
        <v>694</v>
      </c>
      <c r="BD304" s="4">
        <v>43283.243750000001</v>
      </c>
      <c r="BE304" s="4">
        <v>43283.267546296294</v>
      </c>
      <c r="BF304" s="4">
        <v>43283.267546296294</v>
      </c>
      <c r="BG304" t="s">
        <v>83</v>
      </c>
      <c r="BH304" t="s">
        <v>84</v>
      </c>
      <c r="BI304" t="s">
        <v>85</v>
      </c>
    </row>
    <row r="305" spans="1:61" x14ac:dyDescent="0.3">
      <c r="A305" t="str">
        <f>"201039C0200"</f>
        <v>201039C0200</v>
      </c>
      <c r="B305" t="s">
        <v>695</v>
      </c>
      <c r="C305">
        <v>20</v>
      </c>
      <c r="D305" t="s">
        <v>79</v>
      </c>
      <c r="E305">
        <v>2</v>
      </c>
      <c r="F305" t="s">
        <v>528</v>
      </c>
      <c r="G305">
        <v>1039</v>
      </c>
      <c r="H305">
        <v>2</v>
      </c>
      <c r="I305" t="s">
        <v>89</v>
      </c>
      <c r="J305">
        <v>0</v>
      </c>
      <c r="K305">
        <v>1</v>
      </c>
      <c r="L305">
        <v>2</v>
      </c>
      <c r="M305">
        <v>187</v>
      </c>
      <c r="N305">
        <v>357</v>
      </c>
      <c r="O305">
        <v>5</v>
      </c>
      <c r="P305">
        <v>357</v>
      </c>
      <c r="Q305">
        <v>14</v>
      </c>
      <c r="R305">
        <v>12</v>
      </c>
      <c r="S305">
        <v>7</v>
      </c>
      <c r="T305">
        <v>21</v>
      </c>
      <c r="U305">
        <v>9</v>
      </c>
      <c r="V305">
        <v>14</v>
      </c>
      <c r="W305">
        <v>3</v>
      </c>
      <c r="X305">
        <v>133</v>
      </c>
      <c r="Y305">
        <v>120</v>
      </c>
      <c r="Z305">
        <v>2</v>
      </c>
      <c r="AA305">
        <v>1</v>
      </c>
      <c r="AB305">
        <v>3</v>
      </c>
      <c r="AC305">
        <v>0</v>
      </c>
      <c r="AD305">
        <v>0</v>
      </c>
      <c r="AE305">
        <v>0</v>
      </c>
      <c r="AF305">
        <v>0</v>
      </c>
      <c r="AK305">
        <v>7</v>
      </c>
      <c r="AL305">
        <v>0</v>
      </c>
      <c r="AM305">
        <v>0</v>
      </c>
      <c r="AN305">
        <v>0</v>
      </c>
      <c r="AT305">
        <v>0</v>
      </c>
      <c r="AU305">
        <v>11</v>
      </c>
      <c r="AV305">
        <v>357</v>
      </c>
      <c r="AW305">
        <v>357</v>
      </c>
      <c r="AX305">
        <v>522</v>
      </c>
      <c r="BA305">
        <v>1</v>
      </c>
      <c r="BC305" t="s">
        <v>696</v>
      </c>
      <c r="BD305" s="4">
        <v>43283.245833333334</v>
      </c>
      <c r="BE305" s="4">
        <v>43283.273414351854</v>
      </c>
      <c r="BF305" s="4">
        <v>43283.273414351854</v>
      </c>
      <c r="BG305" t="s">
        <v>83</v>
      </c>
      <c r="BH305" t="s">
        <v>84</v>
      </c>
      <c r="BI305" t="s">
        <v>85</v>
      </c>
    </row>
    <row r="306" spans="1:61" x14ac:dyDescent="0.3">
      <c r="A306" t="str">
        <f>"201040B0100"</f>
        <v>201040B0100</v>
      </c>
      <c r="B306" t="s">
        <v>697</v>
      </c>
      <c r="C306">
        <v>20</v>
      </c>
      <c r="D306" t="s">
        <v>79</v>
      </c>
      <c r="E306">
        <v>2</v>
      </c>
      <c r="F306" t="s">
        <v>528</v>
      </c>
      <c r="G306">
        <v>1040</v>
      </c>
      <c r="H306">
        <v>1</v>
      </c>
      <c r="I306" t="s">
        <v>81</v>
      </c>
      <c r="J306">
        <v>0</v>
      </c>
      <c r="K306">
        <v>1</v>
      </c>
      <c r="L306">
        <v>2</v>
      </c>
      <c r="M306">
        <v>189</v>
      </c>
      <c r="N306">
        <v>432</v>
      </c>
      <c r="O306">
        <v>8</v>
      </c>
      <c r="P306" t="s">
        <v>315</v>
      </c>
      <c r="Q306">
        <v>16</v>
      </c>
      <c r="R306">
        <v>21</v>
      </c>
      <c r="S306">
        <v>6</v>
      </c>
      <c r="T306">
        <v>24</v>
      </c>
      <c r="U306">
        <v>9</v>
      </c>
      <c r="V306">
        <v>8</v>
      </c>
      <c r="W306">
        <v>1</v>
      </c>
      <c r="X306">
        <v>132</v>
      </c>
      <c r="Y306">
        <v>180</v>
      </c>
      <c r="Z306">
        <v>9</v>
      </c>
      <c r="AA306">
        <v>2</v>
      </c>
      <c r="AB306">
        <v>1</v>
      </c>
      <c r="AC306">
        <v>0</v>
      </c>
      <c r="AD306">
        <v>0</v>
      </c>
      <c r="AE306">
        <v>0</v>
      </c>
      <c r="AF306">
        <v>0</v>
      </c>
      <c r="AK306">
        <v>0</v>
      </c>
      <c r="AL306">
        <v>4</v>
      </c>
      <c r="AM306">
        <v>1</v>
      </c>
      <c r="AN306">
        <v>0</v>
      </c>
      <c r="AT306">
        <v>0</v>
      </c>
      <c r="AU306">
        <v>17</v>
      </c>
      <c r="AV306">
        <v>433</v>
      </c>
      <c r="AW306">
        <v>431</v>
      </c>
      <c r="AX306">
        <v>599</v>
      </c>
      <c r="BA306">
        <v>1</v>
      </c>
      <c r="BC306" t="s">
        <v>698</v>
      </c>
      <c r="BD306" s="4">
        <v>43283.250694444447</v>
      </c>
      <c r="BE306" s="4">
        <v>43283.274710648147</v>
      </c>
      <c r="BF306" s="4">
        <v>43283.274710648147</v>
      </c>
      <c r="BG306" t="s">
        <v>83</v>
      </c>
      <c r="BH306" t="s">
        <v>84</v>
      </c>
      <c r="BI306" t="s">
        <v>85</v>
      </c>
    </row>
    <row r="307" spans="1:61" x14ac:dyDescent="0.3">
      <c r="A307" t="str">
        <f>"201041B0100"</f>
        <v>201041B0100</v>
      </c>
      <c r="B307" t="s">
        <v>699</v>
      </c>
      <c r="C307">
        <v>20</v>
      </c>
      <c r="D307" t="s">
        <v>79</v>
      </c>
      <c r="E307">
        <v>2</v>
      </c>
      <c r="F307" t="s">
        <v>528</v>
      </c>
      <c r="G307">
        <v>1041</v>
      </c>
      <c r="H307">
        <v>1</v>
      </c>
      <c r="I307" t="s">
        <v>81</v>
      </c>
      <c r="J307">
        <v>0</v>
      </c>
      <c r="K307">
        <v>1</v>
      </c>
      <c r="L307">
        <v>2</v>
      </c>
      <c r="M307">
        <v>218</v>
      </c>
      <c r="N307">
        <v>419</v>
      </c>
      <c r="O307">
        <v>10</v>
      </c>
      <c r="P307">
        <v>418</v>
      </c>
      <c r="Q307">
        <v>23</v>
      </c>
      <c r="R307">
        <v>35</v>
      </c>
      <c r="S307">
        <v>7</v>
      </c>
      <c r="T307">
        <v>52</v>
      </c>
      <c r="U307">
        <v>10</v>
      </c>
      <c r="V307">
        <v>8</v>
      </c>
      <c r="W307">
        <v>4</v>
      </c>
      <c r="X307">
        <v>105</v>
      </c>
      <c r="Y307">
        <v>147</v>
      </c>
      <c r="Z307">
        <v>5</v>
      </c>
      <c r="AA307">
        <v>3</v>
      </c>
      <c r="AB307">
        <v>0</v>
      </c>
      <c r="AC307">
        <v>0</v>
      </c>
      <c r="AD307">
        <v>0</v>
      </c>
      <c r="AE307">
        <v>0</v>
      </c>
      <c r="AF307">
        <v>0</v>
      </c>
      <c r="AK307">
        <v>0</v>
      </c>
      <c r="AL307">
        <v>1</v>
      </c>
      <c r="AM307">
        <v>0</v>
      </c>
      <c r="AN307">
        <v>0</v>
      </c>
      <c r="AT307">
        <v>0</v>
      </c>
      <c r="AU307">
        <v>16</v>
      </c>
      <c r="AV307">
        <v>418</v>
      </c>
      <c r="AW307">
        <v>416</v>
      </c>
      <c r="AX307">
        <v>614</v>
      </c>
      <c r="BA307">
        <v>1</v>
      </c>
      <c r="BC307" t="s">
        <v>700</v>
      </c>
      <c r="BD307" s="4">
        <v>43283.084027777775</v>
      </c>
      <c r="BE307" s="4">
        <v>43283.09207175926</v>
      </c>
      <c r="BF307" s="4">
        <v>43283.09207175926</v>
      </c>
      <c r="BG307" t="s">
        <v>83</v>
      </c>
      <c r="BH307" t="s">
        <v>84</v>
      </c>
      <c r="BI307" t="s">
        <v>85</v>
      </c>
    </row>
    <row r="308" spans="1:61" x14ac:dyDescent="0.3">
      <c r="A308" t="str">
        <f>"201042B0100"</f>
        <v>201042B0100</v>
      </c>
      <c r="B308" t="s">
        <v>701</v>
      </c>
      <c r="C308">
        <v>20</v>
      </c>
      <c r="D308" t="s">
        <v>79</v>
      </c>
      <c r="E308">
        <v>2</v>
      </c>
      <c r="F308" t="s">
        <v>528</v>
      </c>
      <c r="G308">
        <v>1042</v>
      </c>
      <c r="H308">
        <v>1</v>
      </c>
      <c r="I308" t="s">
        <v>81</v>
      </c>
      <c r="J308">
        <v>0</v>
      </c>
      <c r="K308">
        <v>2</v>
      </c>
      <c r="L308">
        <v>2</v>
      </c>
      <c r="M308">
        <v>209</v>
      </c>
      <c r="N308">
        <v>456</v>
      </c>
      <c r="O308">
        <v>11</v>
      </c>
      <c r="P308">
        <v>458</v>
      </c>
      <c r="Q308">
        <v>24</v>
      </c>
      <c r="R308">
        <v>23</v>
      </c>
      <c r="S308">
        <v>9</v>
      </c>
      <c r="T308">
        <v>20</v>
      </c>
      <c r="U308">
        <v>22</v>
      </c>
      <c r="V308">
        <v>9</v>
      </c>
      <c r="W308">
        <v>3</v>
      </c>
      <c r="X308">
        <v>148</v>
      </c>
      <c r="Y308">
        <v>158</v>
      </c>
      <c r="Z308">
        <v>7</v>
      </c>
      <c r="AA308">
        <v>2</v>
      </c>
      <c r="AB308" t="s">
        <v>100</v>
      </c>
      <c r="AC308" t="s">
        <v>100</v>
      </c>
      <c r="AD308" t="s">
        <v>100</v>
      </c>
      <c r="AE308" t="s">
        <v>100</v>
      </c>
      <c r="AF308" t="s">
        <v>100</v>
      </c>
      <c r="AK308">
        <v>6</v>
      </c>
      <c r="AL308">
        <v>2</v>
      </c>
      <c r="AM308">
        <v>1</v>
      </c>
      <c r="AN308">
        <v>1</v>
      </c>
      <c r="AT308" t="s">
        <v>100</v>
      </c>
      <c r="AU308">
        <v>23</v>
      </c>
      <c r="AV308">
        <v>458</v>
      </c>
      <c r="AW308">
        <v>458</v>
      </c>
      <c r="AX308">
        <v>645</v>
      </c>
      <c r="AZ308" t="s">
        <v>101</v>
      </c>
      <c r="BA308">
        <v>1</v>
      </c>
      <c r="BC308" t="s">
        <v>702</v>
      </c>
      <c r="BD308" s="4">
        <v>43283.398611111108</v>
      </c>
      <c r="BE308" s="4">
        <v>43283.402037037034</v>
      </c>
      <c r="BF308" s="4">
        <v>43283.402037037034</v>
      </c>
      <c r="BG308" t="s">
        <v>83</v>
      </c>
      <c r="BH308" t="s">
        <v>84</v>
      </c>
      <c r="BI308" t="s">
        <v>85</v>
      </c>
    </row>
    <row r="309" spans="1:61" x14ac:dyDescent="0.3">
      <c r="A309" t="str">
        <f>"201042C0100"</f>
        <v>201042C0100</v>
      </c>
      <c r="B309" t="s">
        <v>703</v>
      </c>
      <c r="C309">
        <v>20</v>
      </c>
      <c r="D309" t="s">
        <v>79</v>
      </c>
      <c r="E309">
        <v>2</v>
      </c>
      <c r="F309" t="s">
        <v>528</v>
      </c>
      <c r="G309">
        <v>1042</v>
      </c>
      <c r="H309">
        <v>1</v>
      </c>
      <c r="I309" t="s">
        <v>89</v>
      </c>
      <c r="J309">
        <v>0</v>
      </c>
      <c r="K309">
        <v>2</v>
      </c>
      <c r="L309">
        <v>2</v>
      </c>
      <c r="M309">
        <v>241</v>
      </c>
      <c r="N309">
        <v>427</v>
      </c>
      <c r="O309">
        <v>5</v>
      </c>
      <c r="P309">
        <v>427</v>
      </c>
      <c r="Q309">
        <v>17</v>
      </c>
      <c r="R309">
        <v>25</v>
      </c>
      <c r="S309">
        <v>3</v>
      </c>
      <c r="T309">
        <v>24</v>
      </c>
      <c r="U309">
        <v>15</v>
      </c>
      <c r="V309">
        <v>14</v>
      </c>
      <c r="W309">
        <v>5</v>
      </c>
      <c r="X309">
        <v>106</v>
      </c>
      <c r="Y309">
        <v>191</v>
      </c>
      <c r="Z309">
        <v>5</v>
      </c>
      <c r="AA309">
        <v>1</v>
      </c>
      <c r="AB309">
        <v>1</v>
      </c>
      <c r="AC309" t="s">
        <v>100</v>
      </c>
      <c r="AD309">
        <v>1</v>
      </c>
      <c r="AE309" t="s">
        <v>100</v>
      </c>
      <c r="AF309" t="s">
        <v>100</v>
      </c>
      <c r="AK309">
        <v>6</v>
      </c>
      <c r="AL309">
        <v>1</v>
      </c>
      <c r="AM309" t="s">
        <v>100</v>
      </c>
      <c r="AN309" t="s">
        <v>100</v>
      </c>
      <c r="AT309" t="s">
        <v>100</v>
      </c>
      <c r="AU309">
        <v>12</v>
      </c>
      <c r="AV309">
        <v>427</v>
      </c>
      <c r="AW309">
        <v>427</v>
      </c>
      <c r="AX309">
        <v>645</v>
      </c>
      <c r="AZ309" t="s">
        <v>101</v>
      </c>
      <c r="BA309">
        <v>1</v>
      </c>
      <c r="BC309" t="s">
        <v>704</v>
      </c>
      <c r="BD309" s="4">
        <v>43283.4</v>
      </c>
      <c r="BE309" s="4">
        <v>43283.404097222221</v>
      </c>
      <c r="BF309" s="4">
        <v>43283.404097222221</v>
      </c>
      <c r="BG309" t="s">
        <v>83</v>
      </c>
      <c r="BH309" t="s">
        <v>84</v>
      </c>
      <c r="BI309" t="s">
        <v>85</v>
      </c>
    </row>
    <row r="310" spans="1:61" x14ac:dyDescent="0.3">
      <c r="A310" t="str">
        <f>"201042C0200"</f>
        <v>201042C0200</v>
      </c>
      <c r="B310" t="s">
        <v>705</v>
      </c>
      <c r="C310">
        <v>20</v>
      </c>
      <c r="D310" t="s">
        <v>79</v>
      </c>
      <c r="E310">
        <v>2</v>
      </c>
      <c r="F310" t="s">
        <v>528</v>
      </c>
      <c r="G310">
        <v>1042</v>
      </c>
      <c r="H310">
        <v>2</v>
      </c>
      <c r="I310" t="s">
        <v>89</v>
      </c>
      <c r="J310">
        <v>0</v>
      </c>
      <c r="K310">
        <v>2</v>
      </c>
      <c r="L310">
        <v>2</v>
      </c>
      <c r="M310">
        <v>244</v>
      </c>
      <c r="N310">
        <v>425</v>
      </c>
      <c r="O310">
        <v>4</v>
      </c>
      <c r="P310">
        <v>416</v>
      </c>
      <c r="Q310">
        <v>16</v>
      </c>
      <c r="R310">
        <v>16</v>
      </c>
      <c r="S310">
        <v>11</v>
      </c>
      <c r="T310">
        <v>28</v>
      </c>
      <c r="U310">
        <v>12</v>
      </c>
      <c r="V310">
        <v>10</v>
      </c>
      <c r="W310">
        <v>0</v>
      </c>
      <c r="X310">
        <v>124</v>
      </c>
      <c r="Y310">
        <v>153</v>
      </c>
      <c r="Z310">
        <v>11</v>
      </c>
      <c r="AA310">
        <v>0</v>
      </c>
      <c r="AB310">
        <v>2</v>
      </c>
      <c r="AC310">
        <v>0</v>
      </c>
      <c r="AD310">
        <v>0</v>
      </c>
      <c r="AE310">
        <v>1</v>
      </c>
      <c r="AF310">
        <v>0</v>
      </c>
      <c r="AK310">
        <v>8</v>
      </c>
      <c r="AL310">
        <v>0</v>
      </c>
      <c r="AM310">
        <v>0</v>
      </c>
      <c r="AN310">
        <v>3</v>
      </c>
      <c r="AT310">
        <v>0</v>
      </c>
      <c r="AU310">
        <v>20</v>
      </c>
      <c r="AV310">
        <v>416</v>
      </c>
      <c r="AW310">
        <v>415</v>
      </c>
      <c r="AX310">
        <v>645</v>
      </c>
      <c r="BA310">
        <v>1</v>
      </c>
      <c r="BC310" t="s">
        <v>706</v>
      </c>
      <c r="BD310" s="4">
        <v>43283.400694444441</v>
      </c>
      <c r="BE310" s="4">
        <v>43283.405034722222</v>
      </c>
      <c r="BF310" s="4">
        <v>43283.405034722222</v>
      </c>
      <c r="BG310" t="s">
        <v>83</v>
      </c>
      <c r="BH310" t="s">
        <v>84</v>
      </c>
      <c r="BI310" t="s">
        <v>85</v>
      </c>
    </row>
    <row r="311" spans="1:61" x14ac:dyDescent="0.3">
      <c r="A311" t="str">
        <f>"201042C0300"</f>
        <v>201042C0300</v>
      </c>
      <c r="B311" t="s">
        <v>707</v>
      </c>
      <c r="C311">
        <v>20</v>
      </c>
      <c r="D311" t="s">
        <v>79</v>
      </c>
      <c r="E311">
        <v>2</v>
      </c>
      <c r="F311" t="s">
        <v>528</v>
      </c>
      <c r="G311">
        <v>1042</v>
      </c>
      <c r="H311">
        <v>3</v>
      </c>
      <c r="I311" t="s">
        <v>89</v>
      </c>
      <c r="J311">
        <v>0</v>
      </c>
      <c r="K311">
        <v>2</v>
      </c>
      <c r="L311">
        <v>2</v>
      </c>
      <c r="M311">
        <v>224</v>
      </c>
      <c r="N311">
        <v>444</v>
      </c>
      <c r="O311">
        <v>2</v>
      </c>
      <c r="P311">
        <v>444</v>
      </c>
      <c r="Q311">
        <v>20</v>
      </c>
      <c r="R311">
        <v>23</v>
      </c>
      <c r="S311">
        <v>5</v>
      </c>
      <c r="T311">
        <v>25</v>
      </c>
      <c r="U311">
        <v>23</v>
      </c>
      <c r="V311">
        <v>7</v>
      </c>
      <c r="W311">
        <v>1</v>
      </c>
      <c r="X311">
        <v>125</v>
      </c>
      <c r="Y311">
        <v>177</v>
      </c>
      <c r="Z311">
        <v>13</v>
      </c>
      <c r="AA311">
        <v>0</v>
      </c>
      <c r="AB311">
        <v>1</v>
      </c>
      <c r="AC311">
        <v>1</v>
      </c>
      <c r="AD311">
        <v>0</v>
      </c>
      <c r="AE311">
        <v>0</v>
      </c>
      <c r="AF311">
        <v>0</v>
      </c>
      <c r="AK311">
        <v>1</v>
      </c>
      <c r="AL311">
        <v>0</v>
      </c>
      <c r="AM311">
        <v>0</v>
      </c>
      <c r="AN311">
        <v>3</v>
      </c>
      <c r="AT311" t="s">
        <v>100</v>
      </c>
      <c r="AU311">
        <v>19</v>
      </c>
      <c r="AV311" t="s">
        <v>100</v>
      </c>
      <c r="AW311">
        <v>444</v>
      </c>
      <c r="AX311">
        <v>645</v>
      </c>
      <c r="AZ311" t="s">
        <v>101</v>
      </c>
      <c r="BA311">
        <v>1</v>
      </c>
      <c r="BC311" t="s">
        <v>708</v>
      </c>
      <c r="BD311" s="4">
        <v>43283.402083333334</v>
      </c>
      <c r="BE311" s="4">
        <v>43283.407199074078</v>
      </c>
      <c r="BF311" s="4">
        <v>43283.407199074078</v>
      </c>
      <c r="BG311" t="s">
        <v>83</v>
      </c>
      <c r="BH311" t="s">
        <v>84</v>
      </c>
      <c r="BI311" t="s">
        <v>85</v>
      </c>
    </row>
    <row r="312" spans="1:61" x14ac:dyDescent="0.3">
      <c r="A312" t="str">
        <f>"201042C0400"</f>
        <v>201042C0400</v>
      </c>
      <c r="B312" t="s">
        <v>709</v>
      </c>
      <c r="C312">
        <v>20</v>
      </c>
      <c r="D312" t="s">
        <v>79</v>
      </c>
      <c r="E312">
        <v>2</v>
      </c>
      <c r="F312" t="s">
        <v>528</v>
      </c>
      <c r="G312">
        <v>1042</v>
      </c>
      <c r="H312">
        <v>4</v>
      </c>
      <c r="I312" t="s">
        <v>89</v>
      </c>
      <c r="J312">
        <v>0</v>
      </c>
      <c r="K312">
        <v>2</v>
      </c>
      <c r="L312">
        <v>2</v>
      </c>
      <c r="M312">
        <v>213</v>
      </c>
      <c r="N312">
        <v>455</v>
      </c>
      <c r="O312">
        <v>9</v>
      </c>
      <c r="P312">
        <v>462</v>
      </c>
      <c r="Q312">
        <v>23</v>
      </c>
      <c r="R312">
        <v>22</v>
      </c>
      <c r="S312">
        <v>8</v>
      </c>
      <c r="T312">
        <v>25</v>
      </c>
      <c r="U312">
        <v>13</v>
      </c>
      <c r="V312">
        <v>8</v>
      </c>
      <c r="W312">
        <v>1</v>
      </c>
      <c r="X312">
        <v>147</v>
      </c>
      <c r="Y312">
        <v>176</v>
      </c>
      <c r="Z312">
        <v>6</v>
      </c>
      <c r="AA312">
        <v>1</v>
      </c>
      <c r="AB312">
        <v>2</v>
      </c>
      <c r="AC312">
        <v>0</v>
      </c>
      <c r="AD312">
        <v>0</v>
      </c>
      <c r="AE312">
        <v>0</v>
      </c>
      <c r="AF312">
        <v>0</v>
      </c>
      <c r="AK312">
        <v>5</v>
      </c>
      <c r="AL312">
        <v>1</v>
      </c>
      <c r="AM312">
        <v>2</v>
      </c>
      <c r="AN312">
        <v>0</v>
      </c>
      <c r="AT312" t="s">
        <v>315</v>
      </c>
      <c r="AU312">
        <v>22</v>
      </c>
      <c r="AV312">
        <v>462</v>
      </c>
      <c r="AW312">
        <v>462</v>
      </c>
      <c r="AX312">
        <v>645</v>
      </c>
      <c r="AZ312" t="s">
        <v>101</v>
      </c>
      <c r="BA312">
        <v>1</v>
      </c>
      <c r="BC312" t="s">
        <v>710</v>
      </c>
      <c r="BD312" s="4">
        <v>43283.40347222222</v>
      </c>
      <c r="BE312" s="4">
        <v>43283.416006944448</v>
      </c>
      <c r="BF312" s="4">
        <v>43283.416006944448</v>
      </c>
      <c r="BG312" t="s">
        <v>83</v>
      </c>
      <c r="BH312" t="s">
        <v>84</v>
      </c>
      <c r="BI312" t="s">
        <v>85</v>
      </c>
    </row>
    <row r="313" spans="1:61" x14ac:dyDescent="0.3">
      <c r="A313" t="str">
        <f>"201042C0500"</f>
        <v>201042C0500</v>
      </c>
      <c r="B313" t="s">
        <v>711</v>
      </c>
      <c r="C313">
        <v>20</v>
      </c>
      <c r="D313" t="s">
        <v>79</v>
      </c>
      <c r="E313">
        <v>2</v>
      </c>
      <c r="F313" t="s">
        <v>528</v>
      </c>
      <c r="G313">
        <v>1042</v>
      </c>
      <c r="H313">
        <v>5</v>
      </c>
      <c r="I313" t="s">
        <v>89</v>
      </c>
      <c r="J313">
        <v>0</v>
      </c>
      <c r="K313">
        <v>2</v>
      </c>
      <c r="L313">
        <v>2</v>
      </c>
      <c r="M313">
        <v>218</v>
      </c>
      <c r="N313">
        <v>449</v>
      </c>
      <c r="O313">
        <v>12</v>
      </c>
      <c r="P313">
        <v>449</v>
      </c>
      <c r="Q313">
        <v>18</v>
      </c>
      <c r="R313">
        <v>27</v>
      </c>
      <c r="S313">
        <v>8</v>
      </c>
      <c r="T313">
        <v>29</v>
      </c>
      <c r="U313">
        <v>16</v>
      </c>
      <c r="V313">
        <v>5</v>
      </c>
      <c r="W313">
        <v>2</v>
      </c>
      <c r="X313">
        <v>146</v>
      </c>
      <c r="Y313">
        <v>166</v>
      </c>
      <c r="Z313">
        <v>15</v>
      </c>
      <c r="AA313">
        <v>1</v>
      </c>
      <c r="AB313">
        <v>0</v>
      </c>
      <c r="AC313">
        <v>0</v>
      </c>
      <c r="AD313">
        <v>0</v>
      </c>
      <c r="AE313">
        <v>0</v>
      </c>
      <c r="AF313">
        <v>1</v>
      </c>
      <c r="AK313">
        <v>6</v>
      </c>
      <c r="AL313">
        <v>2</v>
      </c>
      <c r="AM313">
        <v>0</v>
      </c>
      <c r="AN313">
        <v>1</v>
      </c>
      <c r="AT313">
        <v>0</v>
      </c>
      <c r="AU313">
        <v>6</v>
      </c>
      <c r="AV313">
        <v>449</v>
      </c>
      <c r="AW313">
        <v>449</v>
      </c>
      <c r="AX313">
        <v>645</v>
      </c>
      <c r="BA313">
        <v>1</v>
      </c>
      <c r="BC313" t="s">
        <v>712</v>
      </c>
      <c r="BD313" s="4">
        <v>43283.404166666667</v>
      </c>
      <c r="BE313" s="4">
        <v>43283.408993055556</v>
      </c>
      <c r="BF313" s="4">
        <v>43283.408993055556</v>
      </c>
      <c r="BG313" t="s">
        <v>83</v>
      </c>
      <c r="BH313" t="s">
        <v>84</v>
      </c>
      <c r="BI313" t="s">
        <v>85</v>
      </c>
    </row>
    <row r="314" spans="1:61" x14ac:dyDescent="0.3">
      <c r="A314" t="str">
        <f>"201042C0600"</f>
        <v>201042C0600</v>
      </c>
      <c r="B314" t="s">
        <v>713</v>
      </c>
      <c r="C314">
        <v>20</v>
      </c>
      <c r="D314" t="s">
        <v>79</v>
      </c>
      <c r="E314">
        <v>2</v>
      </c>
      <c r="F314" t="s">
        <v>528</v>
      </c>
      <c r="G314">
        <v>1042</v>
      </c>
      <c r="H314">
        <v>6</v>
      </c>
      <c r="I314" t="s">
        <v>89</v>
      </c>
      <c r="J314">
        <v>0</v>
      </c>
      <c r="K314">
        <v>2</v>
      </c>
      <c r="L314">
        <v>2</v>
      </c>
      <c r="M314">
        <v>226</v>
      </c>
      <c r="N314">
        <v>439</v>
      </c>
      <c r="O314">
        <v>430</v>
      </c>
      <c r="P314">
        <v>438</v>
      </c>
      <c r="Q314">
        <v>21</v>
      </c>
      <c r="R314">
        <v>25</v>
      </c>
      <c r="S314">
        <v>4</v>
      </c>
      <c r="T314">
        <v>24</v>
      </c>
      <c r="U314">
        <v>16</v>
      </c>
      <c r="V314">
        <v>9</v>
      </c>
      <c r="W314">
        <v>0</v>
      </c>
      <c r="X314">
        <v>163</v>
      </c>
      <c r="Y314">
        <v>140</v>
      </c>
      <c r="Z314">
        <v>12</v>
      </c>
      <c r="AA314">
        <v>1</v>
      </c>
      <c r="AB314">
        <v>1</v>
      </c>
      <c r="AC314">
        <v>2</v>
      </c>
      <c r="AD314">
        <v>0</v>
      </c>
      <c r="AE314">
        <v>0</v>
      </c>
      <c r="AF314">
        <v>0</v>
      </c>
      <c r="AK314">
        <v>2</v>
      </c>
      <c r="AL314">
        <v>3</v>
      </c>
      <c r="AM314">
        <v>0</v>
      </c>
      <c r="AN314">
        <v>0</v>
      </c>
      <c r="AT314">
        <v>0</v>
      </c>
      <c r="AU314">
        <v>15</v>
      </c>
      <c r="AV314">
        <v>438</v>
      </c>
      <c r="AW314">
        <v>438</v>
      </c>
      <c r="AX314">
        <v>644</v>
      </c>
      <c r="BA314">
        <v>1</v>
      </c>
      <c r="BC314" t="s">
        <v>714</v>
      </c>
      <c r="BD314" s="4">
        <v>43283.405555555553</v>
      </c>
      <c r="BE314" s="4">
        <v>43283.410173611112</v>
      </c>
      <c r="BF314" s="4">
        <v>43283.410173611112</v>
      </c>
      <c r="BG314" t="s">
        <v>83</v>
      </c>
      <c r="BH314" t="s">
        <v>84</v>
      </c>
      <c r="BI314" t="s">
        <v>85</v>
      </c>
    </row>
    <row r="315" spans="1:61" x14ac:dyDescent="0.3">
      <c r="A315" t="str">
        <f>"201042E0100"</f>
        <v>201042E0100</v>
      </c>
      <c r="B315" s="2" t="s">
        <v>715</v>
      </c>
      <c r="C315">
        <v>20</v>
      </c>
      <c r="D315" t="s">
        <v>79</v>
      </c>
      <c r="E315">
        <v>2</v>
      </c>
      <c r="F315" t="s">
        <v>528</v>
      </c>
      <c r="G315">
        <v>1042</v>
      </c>
      <c r="H315">
        <v>1</v>
      </c>
      <c r="I315" t="s">
        <v>145</v>
      </c>
      <c r="J315">
        <v>0</v>
      </c>
      <c r="K315">
        <v>2</v>
      </c>
      <c r="L315">
        <v>2</v>
      </c>
      <c r="M315">
        <v>237</v>
      </c>
      <c r="N315">
        <v>441</v>
      </c>
      <c r="O315" t="s">
        <v>100</v>
      </c>
      <c r="P315">
        <v>420</v>
      </c>
      <c r="Q315">
        <v>22</v>
      </c>
      <c r="R315">
        <v>10</v>
      </c>
      <c r="S315">
        <v>9</v>
      </c>
      <c r="T315">
        <v>63</v>
      </c>
      <c r="U315">
        <v>10</v>
      </c>
      <c r="V315">
        <v>6</v>
      </c>
      <c r="W315" t="s">
        <v>100</v>
      </c>
      <c r="X315">
        <v>171</v>
      </c>
      <c r="Y315">
        <v>114</v>
      </c>
      <c r="Z315">
        <v>5</v>
      </c>
      <c r="AA315">
        <v>1</v>
      </c>
      <c r="AB315">
        <v>1</v>
      </c>
      <c r="AC315">
        <v>0</v>
      </c>
      <c r="AD315">
        <v>0</v>
      </c>
      <c r="AE315">
        <v>0</v>
      </c>
      <c r="AF315">
        <v>0</v>
      </c>
      <c r="AK315">
        <v>0</v>
      </c>
      <c r="AL315">
        <v>0</v>
      </c>
      <c r="AM315">
        <v>0</v>
      </c>
      <c r="AN315">
        <v>0</v>
      </c>
      <c r="AT315">
        <v>0</v>
      </c>
      <c r="AU315">
        <v>18</v>
      </c>
      <c r="AV315" t="s">
        <v>315</v>
      </c>
      <c r="AW315">
        <v>430</v>
      </c>
      <c r="AX315">
        <v>628</v>
      </c>
      <c r="AZ315" t="s">
        <v>101</v>
      </c>
      <c r="BA315">
        <v>1</v>
      </c>
      <c r="BC315" t="s">
        <v>716</v>
      </c>
      <c r="BD315" s="4">
        <v>43283.163888888892</v>
      </c>
      <c r="BE315" s="4">
        <v>43283.184444444443</v>
      </c>
      <c r="BF315" s="4">
        <v>43283.184444444443</v>
      </c>
      <c r="BG315" t="s">
        <v>83</v>
      </c>
      <c r="BH315" t="s">
        <v>84</v>
      </c>
      <c r="BI315" t="s">
        <v>85</v>
      </c>
    </row>
    <row r="316" spans="1:61" x14ac:dyDescent="0.3">
      <c r="A316" t="str">
        <f>"201042E0101"</f>
        <v>201042E0101</v>
      </c>
      <c r="B316" s="2" t="s">
        <v>717</v>
      </c>
      <c r="C316">
        <v>20</v>
      </c>
      <c r="D316" t="s">
        <v>79</v>
      </c>
      <c r="E316">
        <v>2</v>
      </c>
      <c r="F316" t="s">
        <v>528</v>
      </c>
      <c r="G316">
        <v>1042</v>
      </c>
      <c r="H316">
        <v>1</v>
      </c>
      <c r="I316" t="s">
        <v>145</v>
      </c>
      <c r="J316">
        <v>1</v>
      </c>
      <c r="K316">
        <v>2</v>
      </c>
      <c r="L316">
        <v>2</v>
      </c>
      <c r="M316">
        <v>237</v>
      </c>
      <c r="N316">
        <v>414</v>
      </c>
      <c r="O316">
        <v>4</v>
      </c>
      <c r="P316">
        <v>416</v>
      </c>
      <c r="Q316">
        <v>19</v>
      </c>
      <c r="R316">
        <v>8</v>
      </c>
      <c r="S316">
        <v>5</v>
      </c>
      <c r="T316">
        <v>45</v>
      </c>
      <c r="U316">
        <v>19</v>
      </c>
      <c r="V316">
        <v>10</v>
      </c>
      <c r="W316">
        <v>1</v>
      </c>
      <c r="X316">
        <v>153</v>
      </c>
      <c r="Y316">
        <v>113</v>
      </c>
      <c r="Z316">
        <v>13</v>
      </c>
      <c r="AA316">
        <v>0</v>
      </c>
      <c r="AB316">
        <v>1</v>
      </c>
      <c r="AC316">
        <v>1</v>
      </c>
      <c r="AD316">
        <v>1</v>
      </c>
      <c r="AE316">
        <v>1</v>
      </c>
      <c r="AF316">
        <v>0</v>
      </c>
      <c r="AK316">
        <v>4</v>
      </c>
      <c r="AL316">
        <v>0</v>
      </c>
      <c r="AM316">
        <v>1</v>
      </c>
      <c r="AN316">
        <v>3</v>
      </c>
      <c r="AT316" t="s">
        <v>100</v>
      </c>
      <c r="AU316">
        <v>18</v>
      </c>
      <c r="AV316">
        <v>416</v>
      </c>
      <c r="AW316">
        <v>416</v>
      </c>
      <c r="AX316">
        <v>628</v>
      </c>
      <c r="AZ316" t="s">
        <v>101</v>
      </c>
      <c r="BA316">
        <v>1</v>
      </c>
      <c r="BC316" t="s">
        <v>718</v>
      </c>
      <c r="BD316" s="4">
        <v>43283.164583333331</v>
      </c>
      <c r="BE316" s="4">
        <v>43283.190960648149</v>
      </c>
      <c r="BF316" s="4">
        <v>43283.190960648149</v>
      </c>
      <c r="BG316" t="s">
        <v>83</v>
      </c>
      <c r="BH316" t="s">
        <v>84</v>
      </c>
      <c r="BI316" t="s">
        <v>85</v>
      </c>
    </row>
    <row r="317" spans="1:61" x14ac:dyDescent="0.3">
      <c r="A317" t="str">
        <f>"201042E0102"</f>
        <v>201042E0102</v>
      </c>
      <c r="B317" s="2" t="s">
        <v>719</v>
      </c>
      <c r="C317">
        <v>20</v>
      </c>
      <c r="D317" t="s">
        <v>79</v>
      </c>
      <c r="E317">
        <v>2</v>
      </c>
      <c r="F317" t="s">
        <v>528</v>
      </c>
      <c r="G317">
        <v>1042</v>
      </c>
      <c r="H317">
        <v>1</v>
      </c>
      <c r="I317" t="s">
        <v>145</v>
      </c>
      <c r="J317">
        <v>2</v>
      </c>
      <c r="K317">
        <v>2</v>
      </c>
      <c r="L317">
        <v>2</v>
      </c>
      <c r="M317">
        <v>233</v>
      </c>
      <c r="N317">
        <v>417</v>
      </c>
      <c r="O317">
        <v>5</v>
      </c>
      <c r="P317">
        <v>418</v>
      </c>
      <c r="Q317">
        <v>35</v>
      </c>
      <c r="R317">
        <v>10</v>
      </c>
      <c r="S317">
        <v>4</v>
      </c>
      <c r="T317">
        <v>27</v>
      </c>
      <c r="U317">
        <v>16</v>
      </c>
      <c r="V317">
        <v>16</v>
      </c>
      <c r="W317">
        <v>1</v>
      </c>
      <c r="X317">
        <v>157</v>
      </c>
      <c r="Y317">
        <v>123</v>
      </c>
      <c r="Z317">
        <v>5</v>
      </c>
      <c r="AA317">
        <v>1</v>
      </c>
      <c r="AB317">
        <v>2</v>
      </c>
      <c r="AC317">
        <v>0</v>
      </c>
      <c r="AD317">
        <v>0</v>
      </c>
      <c r="AE317">
        <v>0</v>
      </c>
      <c r="AF317">
        <v>0</v>
      </c>
      <c r="AK317">
        <v>0</v>
      </c>
      <c r="AL317">
        <v>0</v>
      </c>
      <c r="AM317">
        <v>0</v>
      </c>
      <c r="AN317">
        <v>2</v>
      </c>
      <c r="AT317">
        <v>0</v>
      </c>
      <c r="AU317">
        <v>19</v>
      </c>
      <c r="AV317">
        <v>418</v>
      </c>
      <c r="AW317">
        <v>418</v>
      </c>
      <c r="AX317">
        <v>627</v>
      </c>
      <c r="BA317">
        <v>1</v>
      </c>
      <c r="BC317" t="s">
        <v>720</v>
      </c>
      <c r="BD317" s="4">
        <v>43283.165972222225</v>
      </c>
      <c r="BE317" s="4">
        <v>43283.177743055552</v>
      </c>
      <c r="BF317" s="4">
        <v>43283.177743055552</v>
      </c>
      <c r="BG317" t="s">
        <v>83</v>
      </c>
      <c r="BH317" t="s">
        <v>84</v>
      </c>
      <c r="BI317" t="s">
        <v>85</v>
      </c>
    </row>
    <row r="318" spans="1:61" x14ac:dyDescent="0.3">
      <c r="A318" t="str">
        <f>"201043B0100"</f>
        <v>201043B0100</v>
      </c>
      <c r="B318" t="s">
        <v>721</v>
      </c>
      <c r="C318">
        <v>20</v>
      </c>
      <c r="D318" t="s">
        <v>79</v>
      </c>
      <c r="E318">
        <v>2</v>
      </c>
      <c r="F318" t="s">
        <v>528</v>
      </c>
      <c r="G318">
        <v>1043</v>
      </c>
      <c r="H318">
        <v>1</v>
      </c>
      <c r="I318" t="s">
        <v>81</v>
      </c>
      <c r="J318">
        <v>0</v>
      </c>
      <c r="K318">
        <v>1</v>
      </c>
      <c r="L318">
        <v>2</v>
      </c>
      <c r="AX318">
        <v>520</v>
      </c>
      <c r="AZ318" t="s">
        <v>156</v>
      </c>
      <c r="BA318">
        <v>0</v>
      </c>
      <c r="BC318" t="s">
        <v>722</v>
      </c>
      <c r="BD318" s="4">
        <v>43283.525000000001</v>
      </c>
      <c r="BE318" s="4">
        <v>43283.526956018519</v>
      </c>
      <c r="BF318" s="4">
        <v>43283.526956018519</v>
      </c>
      <c r="BG318" t="s">
        <v>83</v>
      </c>
      <c r="BH318" t="s">
        <v>84</v>
      </c>
      <c r="BI318" t="s">
        <v>85</v>
      </c>
    </row>
    <row r="319" spans="1:61" x14ac:dyDescent="0.3">
      <c r="A319" t="str">
        <f>"201043C0100"</f>
        <v>201043C0100</v>
      </c>
      <c r="B319" t="s">
        <v>723</v>
      </c>
      <c r="C319">
        <v>20</v>
      </c>
      <c r="D319" t="s">
        <v>79</v>
      </c>
      <c r="E319">
        <v>2</v>
      </c>
      <c r="F319" t="s">
        <v>528</v>
      </c>
      <c r="G319">
        <v>1043</v>
      </c>
      <c r="H319">
        <v>1</v>
      </c>
      <c r="I319" t="s">
        <v>89</v>
      </c>
      <c r="J319">
        <v>0</v>
      </c>
      <c r="K319">
        <v>1</v>
      </c>
      <c r="L319">
        <v>2</v>
      </c>
      <c r="M319">
        <v>174</v>
      </c>
      <c r="N319">
        <v>381</v>
      </c>
      <c r="O319">
        <v>8</v>
      </c>
      <c r="P319">
        <v>355</v>
      </c>
      <c r="Q319">
        <v>22</v>
      </c>
      <c r="R319">
        <v>17</v>
      </c>
      <c r="S319">
        <v>7</v>
      </c>
      <c r="T319">
        <v>18</v>
      </c>
      <c r="U319">
        <v>8</v>
      </c>
      <c r="V319">
        <v>2</v>
      </c>
      <c r="W319">
        <v>4</v>
      </c>
      <c r="X319">
        <v>88</v>
      </c>
      <c r="Y319">
        <v>170</v>
      </c>
      <c r="Z319">
        <v>10</v>
      </c>
      <c r="AA319">
        <v>1</v>
      </c>
      <c r="AB319">
        <v>2</v>
      </c>
      <c r="AC319">
        <v>0</v>
      </c>
      <c r="AD319">
        <v>0</v>
      </c>
      <c r="AE319">
        <v>0</v>
      </c>
      <c r="AF319">
        <v>0</v>
      </c>
      <c r="AK319">
        <v>1</v>
      </c>
      <c r="AL319">
        <v>0</v>
      </c>
      <c r="AM319">
        <v>0</v>
      </c>
      <c r="AN319">
        <v>0</v>
      </c>
      <c r="AT319">
        <v>0</v>
      </c>
      <c r="AU319">
        <v>5</v>
      </c>
      <c r="AV319">
        <v>355</v>
      </c>
      <c r="AW319">
        <v>355</v>
      </c>
      <c r="AX319">
        <v>519</v>
      </c>
      <c r="BA319">
        <v>1</v>
      </c>
      <c r="BC319" t="s">
        <v>724</v>
      </c>
      <c r="BD319" s="4">
        <v>43283.246527777781</v>
      </c>
      <c r="BE319" s="4">
        <v>43283.271585648145</v>
      </c>
      <c r="BF319" s="4">
        <v>43283.271585648145</v>
      </c>
      <c r="BG319" t="s">
        <v>83</v>
      </c>
      <c r="BH319" t="s">
        <v>84</v>
      </c>
      <c r="BI319" t="s">
        <v>85</v>
      </c>
    </row>
    <row r="320" spans="1:61" x14ac:dyDescent="0.3">
      <c r="A320" t="str">
        <f>"201043C0200"</f>
        <v>201043C0200</v>
      </c>
      <c r="B320" t="s">
        <v>725</v>
      </c>
      <c r="C320">
        <v>20</v>
      </c>
      <c r="D320" t="s">
        <v>79</v>
      </c>
      <c r="E320">
        <v>2</v>
      </c>
      <c r="F320" t="s">
        <v>528</v>
      </c>
      <c r="G320">
        <v>1043</v>
      </c>
      <c r="H320">
        <v>2</v>
      </c>
      <c r="I320" t="s">
        <v>89</v>
      </c>
      <c r="J320">
        <v>0</v>
      </c>
      <c r="K320">
        <v>1</v>
      </c>
      <c r="L320">
        <v>2</v>
      </c>
      <c r="M320">
        <v>177</v>
      </c>
      <c r="N320">
        <v>364</v>
      </c>
      <c r="O320">
        <v>5</v>
      </c>
      <c r="P320">
        <v>0</v>
      </c>
      <c r="Q320">
        <v>22</v>
      </c>
      <c r="R320">
        <v>13</v>
      </c>
      <c r="S320">
        <v>3</v>
      </c>
      <c r="T320">
        <v>16</v>
      </c>
      <c r="U320">
        <v>8</v>
      </c>
      <c r="V320">
        <v>12</v>
      </c>
      <c r="W320">
        <v>3</v>
      </c>
      <c r="X320">
        <v>113</v>
      </c>
      <c r="Y320">
        <v>138</v>
      </c>
      <c r="Z320">
        <v>15</v>
      </c>
      <c r="AA320">
        <v>0</v>
      </c>
      <c r="AB320">
        <v>3</v>
      </c>
      <c r="AC320">
        <v>2</v>
      </c>
      <c r="AD320">
        <v>0</v>
      </c>
      <c r="AE320">
        <v>0</v>
      </c>
      <c r="AF320">
        <v>0</v>
      </c>
      <c r="AK320">
        <v>1</v>
      </c>
      <c r="AL320">
        <v>0</v>
      </c>
      <c r="AM320">
        <v>1</v>
      </c>
      <c r="AN320">
        <v>0</v>
      </c>
      <c r="AT320">
        <v>0</v>
      </c>
      <c r="AU320">
        <v>13</v>
      </c>
      <c r="AV320">
        <v>364</v>
      </c>
      <c r="AW320">
        <v>363</v>
      </c>
      <c r="AX320">
        <v>519</v>
      </c>
      <c r="BA320">
        <v>1</v>
      </c>
      <c r="BC320" t="s">
        <v>726</v>
      </c>
      <c r="BD320" s="4">
        <v>43283.248611111114</v>
      </c>
      <c r="BE320" s="4">
        <v>43283.286076388889</v>
      </c>
      <c r="BF320" s="4">
        <v>43283.286076388889</v>
      </c>
      <c r="BG320" t="s">
        <v>83</v>
      </c>
      <c r="BH320" t="s">
        <v>84</v>
      </c>
      <c r="BI320" t="s">
        <v>85</v>
      </c>
    </row>
    <row r="321" spans="1:61" x14ac:dyDescent="0.3">
      <c r="A321" t="str">
        <f>"201044B0100"</f>
        <v>201044B0100</v>
      </c>
      <c r="B321" t="s">
        <v>727</v>
      </c>
      <c r="C321">
        <v>20</v>
      </c>
      <c r="D321" t="s">
        <v>79</v>
      </c>
      <c r="E321">
        <v>2</v>
      </c>
      <c r="F321" t="s">
        <v>528</v>
      </c>
      <c r="G321">
        <v>1044</v>
      </c>
      <c r="H321">
        <v>1</v>
      </c>
      <c r="I321" t="s">
        <v>81</v>
      </c>
      <c r="J321">
        <v>0</v>
      </c>
      <c r="K321">
        <v>1</v>
      </c>
      <c r="L321">
        <v>2</v>
      </c>
      <c r="M321">
        <v>225</v>
      </c>
      <c r="N321">
        <v>508</v>
      </c>
      <c r="O321">
        <v>0</v>
      </c>
      <c r="P321">
        <v>508</v>
      </c>
      <c r="Q321">
        <v>11</v>
      </c>
      <c r="R321">
        <v>16</v>
      </c>
      <c r="S321">
        <v>5</v>
      </c>
      <c r="T321">
        <v>18</v>
      </c>
      <c r="U321">
        <v>17</v>
      </c>
      <c r="V321">
        <v>7</v>
      </c>
      <c r="W321">
        <v>0</v>
      </c>
      <c r="X321">
        <v>207</v>
      </c>
      <c r="Y321">
        <v>179</v>
      </c>
      <c r="Z321">
        <v>12</v>
      </c>
      <c r="AA321">
        <v>1</v>
      </c>
      <c r="AB321">
        <v>3</v>
      </c>
      <c r="AC321">
        <v>2</v>
      </c>
      <c r="AD321">
        <v>0</v>
      </c>
      <c r="AE321">
        <v>0</v>
      </c>
      <c r="AF321">
        <v>0</v>
      </c>
      <c r="AK321">
        <v>5</v>
      </c>
      <c r="AL321">
        <v>0</v>
      </c>
      <c r="AM321">
        <v>0</v>
      </c>
      <c r="AN321">
        <v>3</v>
      </c>
      <c r="AT321" t="s">
        <v>100</v>
      </c>
      <c r="AU321">
        <v>22</v>
      </c>
      <c r="AV321">
        <v>508</v>
      </c>
      <c r="AW321">
        <v>508</v>
      </c>
      <c r="AX321">
        <v>710</v>
      </c>
      <c r="AZ321" t="s">
        <v>101</v>
      </c>
      <c r="BA321">
        <v>1</v>
      </c>
      <c r="BC321" t="s">
        <v>728</v>
      </c>
      <c r="BD321" s="4">
        <v>43283.152928240743</v>
      </c>
      <c r="BE321" s="4">
        <v>43283.161053240743</v>
      </c>
      <c r="BF321" s="4">
        <v>43283.161053240743</v>
      </c>
      <c r="BG321" t="s">
        <v>373</v>
      </c>
      <c r="BH321" t="s">
        <v>374</v>
      </c>
      <c r="BI321" t="s">
        <v>85</v>
      </c>
    </row>
    <row r="322" spans="1:61" x14ac:dyDescent="0.3">
      <c r="A322" t="str">
        <f>"201044C0100"</f>
        <v>201044C0100</v>
      </c>
      <c r="B322" t="s">
        <v>729</v>
      </c>
      <c r="C322">
        <v>20</v>
      </c>
      <c r="D322" t="s">
        <v>79</v>
      </c>
      <c r="E322">
        <v>2</v>
      </c>
      <c r="F322" t="s">
        <v>528</v>
      </c>
      <c r="G322">
        <v>1044</v>
      </c>
      <c r="H322">
        <v>1</v>
      </c>
      <c r="I322" t="s">
        <v>89</v>
      </c>
      <c r="J322">
        <v>0</v>
      </c>
      <c r="K322">
        <v>1</v>
      </c>
      <c r="L322">
        <v>2</v>
      </c>
      <c r="M322">
        <v>238</v>
      </c>
      <c r="N322">
        <v>494</v>
      </c>
      <c r="O322">
        <v>492</v>
      </c>
      <c r="P322">
        <v>494</v>
      </c>
      <c r="Q322">
        <v>19</v>
      </c>
      <c r="R322">
        <v>24</v>
      </c>
      <c r="S322">
        <v>4</v>
      </c>
      <c r="T322">
        <v>13</v>
      </c>
      <c r="U322">
        <v>24</v>
      </c>
      <c r="V322">
        <v>5</v>
      </c>
      <c r="W322">
        <v>2</v>
      </c>
      <c r="X322">
        <v>136</v>
      </c>
      <c r="Y322">
        <v>213</v>
      </c>
      <c r="Z322">
        <v>11</v>
      </c>
      <c r="AA322">
        <v>3</v>
      </c>
      <c r="AB322">
        <v>1</v>
      </c>
      <c r="AC322">
        <v>0</v>
      </c>
      <c r="AD322">
        <v>0</v>
      </c>
      <c r="AE322">
        <v>1</v>
      </c>
      <c r="AF322">
        <v>0</v>
      </c>
      <c r="AK322">
        <v>10</v>
      </c>
      <c r="AL322">
        <v>0</v>
      </c>
      <c r="AM322">
        <v>0</v>
      </c>
      <c r="AN322">
        <v>3</v>
      </c>
      <c r="AT322">
        <v>0</v>
      </c>
      <c r="AU322">
        <v>25</v>
      </c>
      <c r="AV322">
        <v>494</v>
      </c>
      <c r="AW322">
        <v>494</v>
      </c>
      <c r="AX322">
        <v>709</v>
      </c>
      <c r="BA322">
        <v>1</v>
      </c>
      <c r="BC322" t="s">
        <v>730</v>
      </c>
      <c r="BD322" s="4">
        <v>43283.19394675926</v>
      </c>
      <c r="BE322" s="4">
        <v>43283.210520833331</v>
      </c>
      <c r="BF322" s="4">
        <v>43283.210520833331</v>
      </c>
      <c r="BG322" t="s">
        <v>373</v>
      </c>
      <c r="BH322" t="s">
        <v>374</v>
      </c>
      <c r="BI322" t="s">
        <v>85</v>
      </c>
    </row>
    <row r="323" spans="1:61" x14ac:dyDescent="0.3">
      <c r="A323" t="str">
        <f>"201045B0100"</f>
        <v>201045B0100</v>
      </c>
      <c r="B323" t="s">
        <v>731</v>
      </c>
      <c r="C323">
        <v>20</v>
      </c>
      <c r="D323" t="s">
        <v>79</v>
      </c>
      <c r="E323">
        <v>2</v>
      </c>
      <c r="F323" t="s">
        <v>528</v>
      </c>
      <c r="G323">
        <v>1045</v>
      </c>
      <c r="H323">
        <v>1</v>
      </c>
      <c r="I323" t="s">
        <v>81</v>
      </c>
      <c r="J323">
        <v>0</v>
      </c>
      <c r="K323">
        <v>1</v>
      </c>
      <c r="L323">
        <v>2</v>
      </c>
      <c r="M323">
        <v>234</v>
      </c>
      <c r="N323">
        <v>446</v>
      </c>
      <c r="O323">
        <v>3</v>
      </c>
      <c r="P323">
        <v>446</v>
      </c>
      <c r="Q323">
        <v>12</v>
      </c>
      <c r="R323">
        <v>25</v>
      </c>
      <c r="S323">
        <v>6</v>
      </c>
      <c r="T323">
        <v>17</v>
      </c>
      <c r="U323">
        <v>11</v>
      </c>
      <c r="V323">
        <v>8</v>
      </c>
      <c r="W323">
        <v>0</v>
      </c>
      <c r="X323">
        <v>123</v>
      </c>
      <c r="Y323">
        <v>211</v>
      </c>
      <c r="Z323">
        <v>12</v>
      </c>
      <c r="AA323">
        <v>3</v>
      </c>
      <c r="AB323">
        <v>1</v>
      </c>
      <c r="AC323">
        <v>0</v>
      </c>
      <c r="AD323">
        <v>0</v>
      </c>
      <c r="AE323">
        <v>0</v>
      </c>
      <c r="AF323">
        <v>0</v>
      </c>
      <c r="AK323">
        <v>4</v>
      </c>
      <c r="AL323">
        <v>0</v>
      </c>
      <c r="AM323">
        <v>0</v>
      </c>
      <c r="AN323">
        <v>1</v>
      </c>
      <c r="AT323">
        <v>0</v>
      </c>
      <c r="AU323">
        <v>12</v>
      </c>
      <c r="AV323">
        <v>446</v>
      </c>
      <c r="AW323">
        <v>446</v>
      </c>
      <c r="AX323">
        <v>657</v>
      </c>
      <c r="BA323">
        <v>1</v>
      </c>
      <c r="BC323" t="s">
        <v>732</v>
      </c>
      <c r="BD323" s="4">
        <v>43283.162557870368</v>
      </c>
      <c r="BE323" s="4">
        <v>43283.172060185185</v>
      </c>
      <c r="BF323" s="4">
        <v>43283.172060185185</v>
      </c>
      <c r="BG323" t="s">
        <v>373</v>
      </c>
      <c r="BH323" t="s">
        <v>374</v>
      </c>
      <c r="BI323" t="s">
        <v>85</v>
      </c>
    </row>
    <row r="324" spans="1:61" x14ac:dyDescent="0.3">
      <c r="A324" t="str">
        <f>"201045C0100"</f>
        <v>201045C0100</v>
      </c>
      <c r="B324" t="s">
        <v>733</v>
      </c>
      <c r="C324">
        <v>20</v>
      </c>
      <c r="D324" t="s">
        <v>79</v>
      </c>
      <c r="E324">
        <v>2</v>
      </c>
      <c r="F324" t="s">
        <v>528</v>
      </c>
      <c r="G324">
        <v>1045</v>
      </c>
      <c r="H324">
        <v>1</v>
      </c>
      <c r="I324" t="s">
        <v>89</v>
      </c>
      <c r="J324">
        <v>0</v>
      </c>
      <c r="K324">
        <v>1</v>
      </c>
      <c r="L324">
        <v>2</v>
      </c>
      <c r="M324">
        <v>191</v>
      </c>
      <c r="N324">
        <v>489</v>
      </c>
      <c r="O324">
        <v>1</v>
      </c>
      <c r="P324">
        <v>489</v>
      </c>
      <c r="Q324">
        <v>15</v>
      </c>
      <c r="R324">
        <v>26</v>
      </c>
      <c r="S324">
        <v>7</v>
      </c>
      <c r="T324">
        <v>19</v>
      </c>
      <c r="U324">
        <v>11</v>
      </c>
      <c r="V324">
        <v>12</v>
      </c>
      <c r="W324">
        <v>2</v>
      </c>
      <c r="X324">
        <v>127</v>
      </c>
      <c r="Y324">
        <v>225</v>
      </c>
      <c r="Z324">
        <v>9</v>
      </c>
      <c r="AA324">
        <v>1</v>
      </c>
      <c r="AB324">
        <v>0</v>
      </c>
      <c r="AC324">
        <v>0</v>
      </c>
      <c r="AD324">
        <v>0</v>
      </c>
      <c r="AE324">
        <v>0</v>
      </c>
      <c r="AF324">
        <v>0</v>
      </c>
      <c r="AK324">
        <v>6</v>
      </c>
      <c r="AL324">
        <v>2</v>
      </c>
      <c r="AM324">
        <v>0</v>
      </c>
      <c r="AN324">
        <v>1</v>
      </c>
      <c r="AT324">
        <v>0</v>
      </c>
      <c r="AU324">
        <v>26</v>
      </c>
      <c r="AV324">
        <v>489</v>
      </c>
      <c r="AW324">
        <v>489</v>
      </c>
      <c r="AX324">
        <v>657</v>
      </c>
      <c r="BA324">
        <v>1</v>
      </c>
      <c r="BC324" t="s">
        <v>734</v>
      </c>
      <c r="BD324" s="4">
        <v>43283.167395833334</v>
      </c>
      <c r="BE324" s="4">
        <v>43283.178263888891</v>
      </c>
      <c r="BF324" s="4">
        <v>43283.178263888891</v>
      </c>
      <c r="BG324" t="s">
        <v>373</v>
      </c>
      <c r="BH324" t="s">
        <v>374</v>
      </c>
      <c r="BI324" t="s">
        <v>85</v>
      </c>
    </row>
    <row r="325" spans="1:61" x14ac:dyDescent="0.3">
      <c r="A325" t="str">
        <f>"201046B0100"</f>
        <v>201046B0100</v>
      </c>
      <c r="B325" t="s">
        <v>735</v>
      </c>
      <c r="C325">
        <v>20</v>
      </c>
      <c r="D325" t="s">
        <v>79</v>
      </c>
      <c r="E325">
        <v>2</v>
      </c>
      <c r="F325" t="s">
        <v>528</v>
      </c>
      <c r="G325">
        <v>1046</v>
      </c>
      <c r="H325">
        <v>1</v>
      </c>
      <c r="I325" t="s">
        <v>81</v>
      </c>
      <c r="J325">
        <v>0</v>
      </c>
      <c r="K325">
        <v>1</v>
      </c>
      <c r="L325">
        <v>2</v>
      </c>
      <c r="M325">
        <v>142</v>
      </c>
      <c r="N325" t="s">
        <v>100</v>
      </c>
      <c r="O325" t="s">
        <v>100</v>
      </c>
      <c r="P325" t="s">
        <v>100</v>
      </c>
      <c r="Q325">
        <v>9</v>
      </c>
      <c r="R325">
        <v>30</v>
      </c>
      <c r="S325">
        <v>12</v>
      </c>
      <c r="T325">
        <v>30</v>
      </c>
      <c r="U325">
        <v>6</v>
      </c>
      <c r="V325">
        <v>3</v>
      </c>
      <c r="W325">
        <v>0</v>
      </c>
      <c r="X325">
        <v>73</v>
      </c>
      <c r="Y325">
        <v>94</v>
      </c>
      <c r="Z325">
        <v>22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K325">
        <v>7</v>
      </c>
      <c r="AL325">
        <v>0</v>
      </c>
      <c r="AM325">
        <v>0</v>
      </c>
      <c r="AN325">
        <v>0</v>
      </c>
      <c r="AT325" t="s">
        <v>100</v>
      </c>
      <c r="AU325">
        <v>13</v>
      </c>
      <c r="AV325">
        <v>299</v>
      </c>
      <c r="AW325">
        <v>299</v>
      </c>
      <c r="AX325">
        <v>418</v>
      </c>
      <c r="AZ325" t="s">
        <v>101</v>
      </c>
      <c r="BA325">
        <v>1</v>
      </c>
      <c r="BC325" t="s">
        <v>736</v>
      </c>
      <c r="BD325" s="4">
        <v>43283.438194444447</v>
      </c>
      <c r="BE325" s="4">
        <v>43283.442129629628</v>
      </c>
      <c r="BF325" s="4">
        <v>43283.442129629628</v>
      </c>
      <c r="BG325" t="s">
        <v>83</v>
      </c>
      <c r="BH325" t="s">
        <v>84</v>
      </c>
      <c r="BI325" t="s">
        <v>85</v>
      </c>
    </row>
    <row r="326" spans="1:61" x14ac:dyDescent="0.3">
      <c r="A326" t="str">
        <f>"201046C0100"</f>
        <v>201046C0100</v>
      </c>
      <c r="B326" t="s">
        <v>737</v>
      </c>
      <c r="C326">
        <v>20</v>
      </c>
      <c r="D326" t="s">
        <v>79</v>
      </c>
      <c r="E326">
        <v>2</v>
      </c>
      <c r="F326" t="s">
        <v>528</v>
      </c>
      <c r="G326">
        <v>1046</v>
      </c>
      <c r="H326">
        <v>1</v>
      </c>
      <c r="I326" t="s">
        <v>89</v>
      </c>
      <c r="J326">
        <v>0</v>
      </c>
      <c r="K326">
        <v>1</v>
      </c>
      <c r="L326">
        <v>2</v>
      </c>
      <c r="M326">
        <v>153</v>
      </c>
      <c r="N326">
        <v>288</v>
      </c>
      <c r="O326">
        <v>2</v>
      </c>
      <c r="P326">
        <v>288</v>
      </c>
      <c r="Q326">
        <v>16</v>
      </c>
      <c r="R326">
        <v>27</v>
      </c>
      <c r="S326">
        <v>9</v>
      </c>
      <c r="T326">
        <v>16</v>
      </c>
      <c r="U326">
        <v>10</v>
      </c>
      <c r="V326">
        <v>2</v>
      </c>
      <c r="W326">
        <v>0</v>
      </c>
      <c r="X326" t="s">
        <v>315</v>
      </c>
      <c r="Y326">
        <v>111</v>
      </c>
      <c r="Z326">
        <v>20</v>
      </c>
      <c r="AA326">
        <v>0</v>
      </c>
      <c r="AB326">
        <v>4</v>
      </c>
      <c r="AC326">
        <v>0</v>
      </c>
      <c r="AD326">
        <v>1</v>
      </c>
      <c r="AE326">
        <v>0</v>
      </c>
      <c r="AF326">
        <v>0</v>
      </c>
      <c r="AK326">
        <v>2</v>
      </c>
      <c r="AL326">
        <v>0</v>
      </c>
      <c r="AM326">
        <v>0</v>
      </c>
      <c r="AN326">
        <v>2</v>
      </c>
      <c r="AT326" t="s">
        <v>100</v>
      </c>
      <c r="AU326">
        <v>9</v>
      </c>
      <c r="AV326" t="s">
        <v>315</v>
      </c>
      <c r="AW326">
        <v>229</v>
      </c>
      <c r="AX326">
        <v>417</v>
      </c>
      <c r="AZ326" t="s">
        <v>101</v>
      </c>
      <c r="BA326">
        <v>1</v>
      </c>
      <c r="BC326" t="s">
        <v>738</v>
      </c>
      <c r="BD326" s="4">
        <v>43283.438888888886</v>
      </c>
      <c r="BE326" s="4">
        <v>43283.444224537037</v>
      </c>
      <c r="BF326" s="4">
        <v>43283.444224537037</v>
      </c>
      <c r="BG326" t="s">
        <v>83</v>
      </c>
      <c r="BH326" t="s">
        <v>84</v>
      </c>
      <c r="BI326" t="s">
        <v>85</v>
      </c>
    </row>
    <row r="327" spans="1:61" x14ac:dyDescent="0.3">
      <c r="A327" t="str">
        <f>"201047B0100"</f>
        <v>201047B0100</v>
      </c>
      <c r="B327" t="s">
        <v>739</v>
      </c>
      <c r="C327">
        <v>20</v>
      </c>
      <c r="D327" t="s">
        <v>79</v>
      </c>
      <c r="E327">
        <v>2</v>
      </c>
      <c r="F327" t="s">
        <v>528</v>
      </c>
      <c r="G327">
        <v>1047</v>
      </c>
      <c r="H327">
        <v>1</v>
      </c>
      <c r="I327" t="s">
        <v>81</v>
      </c>
      <c r="J327">
        <v>0</v>
      </c>
      <c r="K327">
        <v>1</v>
      </c>
      <c r="L327">
        <v>2</v>
      </c>
      <c r="M327">
        <v>230</v>
      </c>
      <c r="N327">
        <v>513</v>
      </c>
      <c r="O327">
        <v>1</v>
      </c>
      <c r="P327">
        <v>513</v>
      </c>
      <c r="Q327">
        <v>32</v>
      </c>
      <c r="R327">
        <v>29</v>
      </c>
      <c r="S327">
        <v>10</v>
      </c>
      <c r="T327">
        <v>28</v>
      </c>
      <c r="U327">
        <v>13</v>
      </c>
      <c r="V327">
        <v>9</v>
      </c>
      <c r="W327">
        <v>2</v>
      </c>
      <c r="X327">
        <v>100</v>
      </c>
      <c r="Y327">
        <v>225</v>
      </c>
      <c r="Z327">
        <v>22</v>
      </c>
      <c r="AA327">
        <v>5</v>
      </c>
      <c r="AB327">
        <v>2</v>
      </c>
      <c r="AC327">
        <v>2</v>
      </c>
      <c r="AD327">
        <v>0</v>
      </c>
      <c r="AE327">
        <v>0</v>
      </c>
      <c r="AF327">
        <v>0</v>
      </c>
      <c r="AK327">
        <v>1</v>
      </c>
      <c r="AL327">
        <v>2</v>
      </c>
      <c r="AM327">
        <v>0</v>
      </c>
      <c r="AN327">
        <v>0</v>
      </c>
      <c r="AT327">
        <v>0</v>
      </c>
      <c r="AU327">
        <v>31</v>
      </c>
      <c r="AV327">
        <v>513</v>
      </c>
      <c r="AW327">
        <v>513</v>
      </c>
      <c r="AX327">
        <v>721</v>
      </c>
      <c r="BA327">
        <v>1</v>
      </c>
      <c r="BC327" t="s">
        <v>740</v>
      </c>
      <c r="BD327" s="4">
        <v>43283.453472222223</v>
      </c>
      <c r="BE327" s="4">
        <v>43283.461828703701</v>
      </c>
      <c r="BF327" s="4">
        <v>43283.461828703701</v>
      </c>
      <c r="BG327" t="s">
        <v>83</v>
      </c>
      <c r="BH327" t="s">
        <v>84</v>
      </c>
      <c r="BI327" t="s">
        <v>85</v>
      </c>
    </row>
    <row r="328" spans="1:61" x14ac:dyDescent="0.3">
      <c r="A328" t="str">
        <f>"201048B0100"</f>
        <v>201048B0100</v>
      </c>
      <c r="B328" t="s">
        <v>741</v>
      </c>
      <c r="C328">
        <v>20</v>
      </c>
      <c r="D328" t="s">
        <v>79</v>
      </c>
      <c r="E328">
        <v>2</v>
      </c>
      <c r="F328" t="s">
        <v>528</v>
      </c>
      <c r="G328">
        <v>1048</v>
      </c>
      <c r="H328">
        <v>1</v>
      </c>
      <c r="I328" t="s">
        <v>81</v>
      </c>
      <c r="J328">
        <v>0</v>
      </c>
      <c r="K328">
        <v>2</v>
      </c>
      <c r="L328">
        <v>2</v>
      </c>
      <c r="M328">
        <v>194</v>
      </c>
      <c r="N328">
        <v>479</v>
      </c>
      <c r="O328">
        <v>5</v>
      </c>
      <c r="P328">
        <v>474</v>
      </c>
      <c r="Q328">
        <v>15</v>
      </c>
      <c r="R328">
        <v>23</v>
      </c>
      <c r="S328">
        <v>19</v>
      </c>
      <c r="T328">
        <v>22</v>
      </c>
      <c r="U328">
        <v>16</v>
      </c>
      <c r="V328">
        <v>10</v>
      </c>
      <c r="W328">
        <v>0</v>
      </c>
      <c r="X328">
        <v>120</v>
      </c>
      <c r="Y328">
        <v>216</v>
      </c>
      <c r="Z328">
        <v>5</v>
      </c>
      <c r="AA328">
        <v>2</v>
      </c>
      <c r="AB328">
        <v>3</v>
      </c>
      <c r="AC328">
        <v>0</v>
      </c>
      <c r="AD328">
        <v>0</v>
      </c>
      <c r="AE328">
        <v>0</v>
      </c>
      <c r="AF328">
        <v>0</v>
      </c>
      <c r="AK328">
        <v>8</v>
      </c>
      <c r="AL328">
        <v>1</v>
      </c>
      <c r="AM328">
        <v>0</v>
      </c>
      <c r="AN328">
        <v>1</v>
      </c>
      <c r="AT328">
        <v>0</v>
      </c>
      <c r="AU328">
        <v>13</v>
      </c>
      <c r="AV328">
        <v>474</v>
      </c>
      <c r="AW328">
        <v>474</v>
      </c>
      <c r="AX328">
        <v>645</v>
      </c>
      <c r="BA328">
        <v>1</v>
      </c>
      <c r="BC328" t="s">
        <v>742</v>
      </c>
      <c r="BD328" s="4">
        <v>43283.433333333334</v>
      </c>
      <c r="BE328" s="4">
        <v>43283.436435185184</v>
      </c>
      <c r="BF328" s="4">
        <v>43283.436435185184</v>
      </c>
      <c r="BG328" t="s">
        <v>83</v>
      </c>
      <c r="BH328" t="s">
        <v>84</v>
      </c>
      <c r="BI328" t="s">
        <v>85</v>
      </c>
    </row>
    <row r="329" spans="1:61" x14ac:dyDescent="0.3">
      <c r="A329" t="str">
        <f>"201048C0100"</f>
        <v>201048C0100</v>
      </c>
      <c r="B329" t="s">
        <v>743</v>
      </c>
      <c r="C329">
        <v>20</v>
      </c>
      <c r="D329" t="s">
        <v>79</v>
      </c>
      <c r="E329">
        <v>2</v>
      </c>
      <c r="F329" t="s">
        <v>528</v>
      </c>
      <c r="G329">
        <v>1048</v>
      </c>
      <c r="H329">
        <v>1</v>
      </c>
      <c r="I329" t="s">
        <v>89</v>
      </c>
      <c r="J329">
        <v>0</v>
      </c>
      <c r="K329">
        <v>2</v>
      </c>
      <c r="L329">
        <v>2</v>
      </c>
      <c r="M329">
        <v>188</v>
      </c>
      <c r="N329">
        <v>479</v>
      </c>
      <c r="O329">
        <v>1</v>
      </c>
      <c r="P329" t="s">
        <v>100</v>
      </c>
      <c r="Q329">
        <v>25</v>
      </c>
      <c r="R329">
        <v>29</v>
      </c>
      <c r="S329">
        <v>13</v>
      </c>
      <c r="T329">
        <v>32</v>
      </c>
      <c r="U329">
        <v>23</v>
      </c>
      <c r="V329">
        <v>7</v>
      </c>
      <c r="W329">
        <v>1</v>
      </c>
      <c r="X329">
        <v>106</v>
      </c>
      <c r="Y329">
        <v>204</v>
      </c>
      <c r="Z329">
        <v>8</v>
      </c>
      <c r="AA329">
        <v>0</v>
      </c>
      <c r="AB329">
        <v>1</v>
      </c>
      <c r="AC329">
        <v>0</v>
      </c>
      <c r="AD329">
        <v>0</v>
      </c>
      <c r="AE329">
        <v>0</v>
      </c>
      <c r="AF329">
        <v>0</v>
      </c>
      <c r="AK329">
        <v>1</v>
      </c>
      <c r="AL329">
        <v>1</v>
      </c>
      <c r="AM329">
        <v>0</v>
      </c>
      <c r="AN329">
        <v>0</v>
      </c>
      <c r="AT329">
        <v>1</v>
      </c>
      <c r="AU329">
        <v>28</v>
      </c>
      <c r="AV329">
        <v>180</v>
      </c>
      <c r="AW329">
        <v>480</v>
      </c>
      <c r="AX329">
        <v>645</v>
      </c>
      <c r="BA329">
        <v>1</v>
      </c>
      <c r="BC329" t="s">
        <v>744</v>
      </c>
      <c r="BD329" s="4">
        <v>43283.434027777781</v>
      </c>
      <c r="BE329" s="4">
        <v>43283.438055555554</v>
      </c>
      <c r="BF329" s="4">
        <v>43283.438055555554</v>
      </c>
      <c r="BG329" t="s">
        <v>83</v>
      </c>
      <c r="BH329" t="s">
        <v>84</v>
      </c>
      <c r="BI329" t="s">
        <v>85</v>
      </c>
    </row>
    <row r="330" spans="1:61" x14ac:dyDescent="0.3">
      <c r="A330" t="str">
        <f>"201048E0100"</f>
        <v>201048E0100</v>
      </c>
      <c r="B330" s="2" t="s">
        <v>745</v>
      </c>
      <c r="C330">
        <v>20</v>
      </c>
      <c r="D330" t="s">
        <v>79</v>
      </c>
      <c r="E330">
        <v>2</v>
      </c>
      <c r="F330" t="s">
        <v>528</v>
      </c>
      <c r="G330">
        <v>1048</v>
      </c>
      <c r="H330">
        <v>1</v>
      </c>
      <c r="I330" t="s">
        <v>145</v>
      </c>
      <c r="J330">
        <v>0</v>
      </c>
      <c r="K330">
        <v>2</v>
      </c>
      <c r="L330">
        <v>2</v>
      </c>
      <c r="M330">
        <v>101</v>
      </c>
      <c r="N330">
        <v>276</v>
      </c>
      <c r="O330">
        <v>3</v>
      </c>
      <c r="P330">
        <v>0</v>
      </c>
      <c r="Q330">
        <v>11</v>
      </c>
      <c r="R330">
        <v>33</v>
      </c>
      <c r="S330">
        <v>3</v>
      </c>
      <c r="T330">
        <v>32</v>
      </c>
      <c r="U330">
        <v>3</v>
      </c>
      <c r="V330">
        <v>1</v>
      </c>
      <c r="W330">
        <v>1</v>
      </c>
      <c r="X330">
        <v>140</v>
      </c>
      <c r="Y330">
        <v>28</v>
      </c>
      <c r="Z330">
        <v>5</v>
      </c>
      <c r="AA330">
        <v>5</v>
      </c>
      <c r="AB330">
        <v>0</v>
      </c>
      <c r="AC330" t="s">
        <v>100</v>
      </c>
      <c r="AD330" t="s">
        <v>100</v>
      </c>
      <c r="AE330" t="s">
        <v>100</v>
      </c>
      <c r="AF330" t="s">
        <v>100</v>
      </c>
      <c r="AK330">
        <v>1</v>
      </c>
      <c r="AL330">
        <v>1</v>
      </c>
      <c r="AM330" t="s">
        <v>100</v>
      </c>
      <c r="AN330" t="s">
        <v>100</v>
      </c>
      <c r="AT330" t="s">
        <v>100</v>
      </c>
      <c r="AU330">
        <v>12</v>
      </c>
      <c r="AV330">
        <v>276</v>
      </c>
      <c r="AW330">
        <v>276</v>
      </c>
      <c r="AX330">
        <v>354</v>
      </c>
      <c r="AZ330" t="s">
        <v>101</v>
      </c>
      <c r="BA330">
        <v>1</v>
      </c>
      <c r="BC330" t="s">
        <v>746</v>
      </c>
      <c r="BD330" s="4">
        <v>43283.20208333333</v>
      </c>
      <c r="BE330" s="4">
        <v>43283.218611111108</v>
      </c>
      <c r="BF330" s="4">
        <v>43283.218611111108</v>
      </c>
      <c r="BG330" t="s">
        <v>83</v>
      </c>
      <c r="BH330" t="s">
        <v>84</v>
      </c>
      <c r="BI330" t="s">
        <v>85</v>
      </c>
    </row>
    <row r="331" spans="1:61" x14ac:dyDescent="0.3">
      <c r="A331" t="str">
        <f>"201048E0200"</f>
        <v>201048E0200</v>
      </c>
      <c r="B331" s="2" t="s">
        <v>747</v>
      </c>
      <c r="C331">
        <v>20</v>
      </c>
      <c r="D331" t="s">
        <v>79</v>
      </c>
      <c r="E331">
        <v>2</v>
      </c>
      <c r="F331" t="s">
        <v>528</v>
      </c>
      <c r="G331">
        <v>1048</v>
      </c>
      <c r="H331">
        <v>2</v>
      </c>
      <c r="I331" t="s">
        <v>145</v>
      </c>
      <c r="J331">
        <v>0</v>
      </c>
      <c r="K331">
        <v>2</v>
      </c>
      <c r="L331">
        <v>2</v>
      </c>
      <c r="M331" t="s">
        <v>100</v>
      </c>
      <c r="N331" t="s">
        <v>100</v>
      </c>
      <c r="O331" t="s">
        <v>100</v>
      </c>
      <c r="P331" t="s">
        <v>100</v>
      </c>
      <c r="Q331">
        <v>19</v>
      </c>
      <c r="R331">
        <v>52</v>
      </c>
      <c r="S331">
        <v>1</v>
      </c>
      <c r="T331">
        <v>10</v>
      </c>
      <c r="U331">
        <v>20</v>
      </c>
      <c r="V331">
        <v>15</v>
      </c>
      <c r="W331">
        <v>0</v>
      </c>
      <c r="X331">
        <v>80</v>
      </c>
      <c r="Y331">
        <v>141</v>
      </c>
      <c r="Z331">
        <v>4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K331">
        <v>4</v>
      </c>
      <c r="AL331">
        <v>0</v>
      </c>
      <c r="AM331">
        <v>0</v>
      </c>
      <c r="AN331">
        <v>2</v>
      </c>
      <c r="AT331">
        <v>0</v>
      </c>
      <c r="AU331">
        <v>13</v>
      </c>
      <c r="AV331">
        <v>361</v>
      </c>
      <c r="AW331">
        <v>361</v>
      </c>
      <c r="AX331">
        <v>496</v>
      </c>
      <c r="BA331">
        <v>1</v>
      </c>
      <c r="BC331" t="s">
        <v>748</v>
      </c>
      <c r="BD331" s="4">
        <v>43283.205555555556</v>
      </c>
      <c r="BE331" s="4">
        <v>43283.22142361111</v>
      </c>
      <c r="BF331" s="4">
        <v>43283.22142361111</v>
      </c>
      <c r="BG331" t="s">
        <v>83</v>
      </c>
      <c r="BH331" t="s">
        <v>84</v>
      </c>
      <c r="BI331" t="s">
        <v>85</v>
      </c>
    </row>
    <row r="332" spans="1:61" x14ac:dyDescent="0.3">
      <c r="A332" t="str">
        <f>"201048E0300"</f>
        <v>201048E0300</v>
      </c>
      <c r="B332" s="2" t="s">
        <v>749</v>
      </c>
      <c r="C332">
        <v>20</v>
      </c>
      <c r="D332" t="s">
        <v>79</v>
      </c>
      <c r="E332">
        <v>2</v>
      </c>
      <c r="F332" t="s">
        <v>528</v>
      </c>
      <c r="G332">
        <v>1048</v>
      </c>
      <c r="H332">
        <v>3</v>
      </c>
      <c r="I332" t="s">
        <v>145</v>
      </c>
      <c r="J332">
        <v>0</v>
      </c>
      <c r="K332">
        <v>2</v>
      </c>
      <c r="L332">
        <v>2</v>
      </c>
      <c r="M332">
        <v>164</v>
      </c>
      <c r="N332">
        <v>378</v>
      </c>
      <c r="O332">
        <v>2</v>
      </c>
      <c r="P332">
        <v>378</v>
      </c>
      <c r="Q332">
        <v>8</v>
      </c>
      <c r="R332">
        <v>18</v>
      </c>
      <c r="S332">
        <v>2</v>
      </c>
      <c r="T332">
        <v>17</v>
      </c>
      <c r="U332">
        <v>17</v>
      </c>
      <c r="V332">
        <v>6</v>
      </c>
      <c r="W332">
        <v>0</v>
      </c>
      <c r="X332">
        <v>189</v>
      </c>
      <c r="Y332">
        <v>95</v>
      </c>
      <c r="Z332">
        <v>5</v>
      </c>
      <c r="AA332">
        <v>0</v>
      </c>
      <c r="AB332">
        <v>1</v>
      </c>
      <c r="AC332">
        <v>1</v>
      </c>
      <c r="AD332">
        <v>0</v>
      </c>
      <c r="AE332">
        <v>0</v>
      </c>
      <c r="AF332">
        <v>0</v>
      </c>
      <c r="AK332">
        <v>0</v>
      </c>
      <c r="AL332">
        <v>1</v>
      </c>
      <c r="AM332">
        <v>0</v>
      </c>
      <c r="AN332">
        <v>0</v>
      </c>
      <c r="AT332">
        <v>0</v>
      </c>
      <c r="AU332">
        <v>18</v>
      </c>
      <c r="AV332" t="s">
        <v>315</v>
      </c>
      <c r="AW332">
        <v>378</v>
      </c>
      <c r="AX332">
        <v>519</v>
      </c>
      <c r="BA332">
        <v>1</v>
      </c>
      <c r="BC332" t="s">
        <v>750</v>
      </c>
      <c r="BD332" s="4">
        <v>43283.209027777775</v>
      </c>
      <c r="BE332" s="4">
        <v>43283.23159722222</v>
      </c>
      <c r="BF332" s="4">
        <v>43283.23159722222</v>
      </c>
      <c r="BG332" t="s">
        <v>83</v>
      </c>
      <c r="BH332" t="s">
        <v>84</v>
      </c>
      <c r="BI332" t="s">
        <v>85</v>
      </c>
    </row>
    <row r="333" spans="1:61" x14ac:dyDescent="0.3">
      <c r="A333" t="str">
        <f>"201049B0100"</f>
        <v>201049B0100</v>
      </c>
      <c r="B333" t="s">
        <v>751</v>
      </c>
      <c r="C333">
        <v>20</v>
      </c>
      <c r="D333" t="s">
        <v>79</v>
      </c>
      <c r="E333">
        <v>2</v>
      </c>
      <c r="F333" t="s">
        <v>528</v>
      </c>
      <c r="G333">
        <v>1049</v>
      </c>
      <c r="H333">
        <v>1</v>
      </c>
      <c r="I333" t="s">
        <v>81</v>
      </c>
      <c r="J333">
        <v>0</v>
      </c>
      <c r="K333">
        <v>2</v>
      </c>
      <c r="L333">
        <v>2</v>
      </c>
      <c r="M333">
        <v>194</v>
      </c>
      <c r="N333">
        <v>317</v>
      </c>
      <c r="O333">
        <v>6</v>
      </c>
      <c r="P333">
        <v>317</v>
      </c>
      <c r="Q333">
        <v>11</v>
      </c>
      <c r="R333">
        <v>25</v>
      </c>
      <c r="S333">
        <v>13</v>
      </c>
      <c r="T333">
        <v>48</v>
      </c>
      <c r="U333">
        <v>8</v>
      </c>
      <c r="V333">
        <v>8</v>
      </c>
      <c r="W333">
        <v>0</v>
      </c>
      <c r="X333">
        <v>54</v>
      </c>
      <c r="Y333">
        <v>109</v>
      </c>
      <c r="Z333">
        <v>5</v>
      </c>
      <c r="AA333">
        <v>0</v>
      </c>
      <c r="AB333">
        <v>1</v>
      </c>
      <c r="AC333">
        <v>0</v>
      </c>
      <c r="AD333">
        <v>0</v>
      </c>
      <c r="AE333">
        <v>0</v>
      </c>
      <c r="AF333">
        <v>0</v>
      </c>
      <c r="AK333">
        <v>3</v>
      </c>
      <c r="AL333">
        <v>1</v>
      </c>
      <c r="AM333">
        <v>0</v>
      </c>
      <c r="AN333">
        <v>4</v>
      </c>
      <c r="AT333">
        <v>0</v>
      </c>
      <c r="AU333">
        <v>27</v>
      </c>
      <c r="AV333">
        <v>317</v>
      </c>
      <c r="AW333">
        <v>317</v>
      </c>
      <c r="AX333">
        <v>488</v>
      </c>
      <c r="BA333">
        <v>1</v>
      </c>
      <c r="BC333" t="s">
        <v>752</v>
      </c>
      <c r="BD333" s="4">
        <v>43283.352083333331</v>
      </c>
      <c r="BE333" s="4">
        <v>43283.385844907411</v>
      </c>
      <c r="BF333" s="4">
        <v>43283.385844907411</v>
      </c>
      <c r="BG333" t="s">
        <v>83</v>
      </c>
      <c r="BH333" t="s">
        <v>84</v>
      </c>
      <c r="BI333" t="s">
        <v>85</v>
      </c>
    </row>
    <row r="334" spans="1:61" x14ac:dyDescent="0.3">
      <c r="A334" t="str">
        <f>"201051B0100"</f>
        <v>201051B0100</v>
      </c>
      <c r="B334" t="s">
        <v>753</v>
      </c>
      <c r="C334">
        <v>20</v>
      </c>
      <c r="D334" t="s">
        <v>79</v>
      </c>
      <c r="E334">
        <v>2</v>
      </c>
      <c r="F334" t="s">
        <v>528</v>
      </c>
      <c r="G334">
        <v>1051</v>
      </c>
      <c r="H334">
        <v>1</v>
      </c>
      <c r="I334" t="s">
        <v>81</v>
      </c>
      <c r="J334">
        <v>0</v>
      </c>
      <c r="K334">
        <v>2</v>
      </c>
      <c r="L334">
        <v>2</v>
      </c>
      <c r="M334">
        <v>166</v>
      </c>
      <c r="N334">
        <v>284</v>
      </c>
      <c r="O334">
        <v>9</v>
      </c>
      <c r="P334">
        <v>284</v>
      </c>
      <c r="Q334">
        <v>11</v>
      </c>
      <c r="R334">
        <v>9</v>
      </c>
      <c r="S334">
        <v>10</v>
      </c>
      <c r="T334">
        <v>25</v>
      </c>
      <c r="U334">
        <v>4</v>
      </c>
      <c r="V334">
        <v>1</v>
      </c>
      <c r="W334">
        <v>1</v>
      </c>
      <c r="X334">
        <v>47</v>
      </c>
      <c r="Y334">
        <v>143</v>
      </c>
      <c r="Z334">
        <v>6</v>
      </c>
      <c r="AA334">
        <v>1</v>
      </c>
      <c r="AB334">
        <v>0</v>
      </c>
      <c r="AC334">
        <v>0</v>
      </c>
      <c r="AD334">
        <v>0</v>
      </c>
      <c r="AE334">
        <v>0</v>
      </c>
      <c r="AF334">
        <v>0</v>
      </c>
      <c r="AK334">
        <v>2</v>
      </c>
      <c r="AL334">
        <v>0</v>
      </c>
      <c r="AM334">
        <v>0</v>
      </c>
      <c r="AN334">
        <v>0</v>
      </c>
      <c r="AT334" t="s">
        <v>100</v>
      </c>
      <c r="AU334">
        <v>24</v>
      </c>
      <c r="AV334">
        <v>284</v>
      </c>
      <c r="AW334">
        <v>284</v>
      </c>
      <c r="AX334">
        <v>427</v>
      </c>
      <c r="AZ334" t="s">
        <v>101</v>
      </c>
      <c r="BA334">
        <v>1</v>
      </c>
      <c r="BC334" t="s">
        <v>754</v>
      </c>
      <c r="BD334" s="4">
        <v>43283.353472222225</v>
      </c>
      <c r="BE334" s="4">
        <v>43283.368113425924</v>
      </c>
      <c r="BF334" s="4">
        <v>43283.368113425924</v>
      </c>
      <c r="BG334" t="s">
        <v>83</v>
      </c>
      <c r="BH334" t="s">
        <v>84</v>
      </c>
      <c r="BI334" t="s">
        <v>85</v>
      </c>
    </row>
    <row r="335" spans="1:61" x14ac:dyDescent="0.3">
      <c r="A335" t="str">
        <f>"201051C0100"</f>
        <v>201051C0100</v>
      </c>
      <c r="B335" t="s">
        <v>755</v>
      </c>
      <c r="C335">
        <v>20</v>
      </c>
      <c r="D335" t="s">
        <v>79</v>
      </c>
      <c r="E335">
        <v>2</v>
      </c>
      <c r="F335" t="s">
        <v>528</v>
      </c>
      <c r="G335">
        <v>1051</v>
      </c>
      <c r="H335">
        <v>1</v>
      </c>
      <c r="I335" t="s">
        <v>89</v>
      </c>
      <c r="J335">
        <v>0</v>
      </c>
      <c r="K335">
        <v>2</v>
      </c>
      <c r="L335">
        <v>2</v>
      </c>
      <c r="M335">
        <v>182</v>
      </c>
      <c r="N335">
        <v>268</v>
      </c>
      <c r="O335">
        <v>3</v>
      </c>
      <c r="P335" t="s">
        <v>100</v>
      </c>
      <c r="Q335">
        <v>10</v>
      </c>
      <c r="R335">
        <v>14</v>
      </c>
      <c r="S335">
        <v>18</v>
      </c>
      <c r="T335">
        <v>25</v>
      </c>
      <c r="U335">
        <v>11</v>
      </c>
      <c r="V335">
        <v>8</v>
      </c>
      <c r="W335">
        <v>0</v>
      </c>
      <c r="X335">
        <v>36</v>
      </c>
      <c r="Y335">
        <v>123</v>
      </c>
      <c r="Z335">
        <v>4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K335">
        <v>0</v>
      </c>
      <c r="AL335">
        <v>1</v>
      </c>
      <c r="AM335">
        <v>0</v>
      </c>
      <c r="AN335">
        <v>2</v>
      </c>
      <c r="AT335">
        <v>0</v>
      </c>
      <c r="AU335">
        <v>17</v>
      </c>
      <c r="AV335">
        <v>268</v>
      </c>
      <c r="AW335">
        <v>269</v>
      </c>
      <c r="AX335">
        <v>427</v>
      </c>
      <c r="BA335">
        <v>1</v>
      </c>
      <c r="BC335" t="s">
        <v>756</v>
      </c>
      <c r="BD335" s="4">
        <v>43283.293055555558</v>
      </c>
      <c r="BE335" s="4">
        <v>43283.319155092591</v>
      </c>
      <c r="BF335" s="4">
        <v>43283.319155092591</v>
      </c>
      <c r="BG335" t="s">
        <v>83</v>
      </c>
      <c r="BH335" t="s">
        <v>84</v>
      </c>
      <c r="BI335" t="s">
        <v>85</v>
      </c>
    </row>
    <row r="336" spans="1:61" x14ac:dyDescent="0.3">
      <c r="A336" t="str">
        <f>"201051E0100"</f>
        <v>201051E0100</v>
      </c>
      <c r="B336" s="2" t="s">
        <v>757</v>
      </c>
      <c r="C336">
        <v>20</v>
      </c>
      <c r="D336" t="s">
        <v>79</v>
      </c>
      <c r="E336">
        <v>2</v>
      </c>
      <c r="F336" t="s">
        <v>528</v>
      </c>
      <c r="G336">
        <v>1051</v>
      </c>
      <c r="H336">
        <v>1</v>
      </c>
      <c r="I336" t="s">
        <v>145</v>
      </c>
      <c r="J336">
        <v>0</v>
      </c>
      <c r="K336">
        <v>2</v>
      </c>
      <c r="L336">
        <v>2</v>
      </c>
      <c r="M336">
        <v>62</v>
      </c>
      <c r="N336">
        <v>181</v>
      </c>
      <c r="O336">
        <v>2</v>
      </c>
      <c r="P336">
        <v>181</v>
      </c>
      <c r="Q336">
        <v>12</v>
      </c>
      <c r="R336">
        <v>6</v>
      </c>
      <c r="S336">
        <v>5</v>
      </c>
      <c r="T336">
        <v>4</v>
      </c>
      <c r="U336">
        <v>7</v>
      </c>
      <c r="V336">
        <v>5</v>
      </c>
      <c r="W336">
        <v>1</v>
      </c>
      <c r="X336">
        <v>49</v>
      </c>
      <c r="Y336">
        <v>70</v>
      </c>
      <c r="Z336">
        <v>5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K336">
        <v>2</v>
      </c>
      <c r="AL336">
        <v>1</v>
      </c>
      <c r="AM336">
        <v>0</v>
      </c>
      <c r="AN336">
        <v>1</v>
      </c>
      <c r="AT336">
        <v>0</v>
      </c>
      <c r="AU336">
        <v>13</v>
      </c>
      <c r="AV336">
        <v>181</v>
      </c>
      <c r="AW336">
        <v>181</v>
      </c>
      <c r="AX336">
        <v>220</v>
      </c>
      <c r="BA336">
        <v>1</v>
      </c>
      <c r="BC336" t="s">
        <v>758</v>
      </c>
      <c r="BD336" s="4">
        <v>43283.199999999997</v>
      </c>
      <c r="BE336" s="4">
        <v>43283.216145833336</v>
      </c>
      <c r="BF336" s="4">
        <v>43283.216145833336</v>
      </c>
      <c r="BG336" t="s">
        <v>83</v>
      </c>
      <c r="BH336" t="s">
        <v>84</v>
      </c>
      <c r="BI336" t="s">
        <v>85</v>
      </c>
    </row>
    <row r="337" spans="1:61" x14ac:dyDescent="0.3">
      <c r="A337" t="str">
        <f>"201051E0200"</f>
        <v>201051E0200</v>
      </c>
      <c r="B337" s="2" t="s">
        <v>759</v>
      </c>
      <c r="C337">
        <v>20</v>
      </c>
      <c r="D337" t="s">
        <v>79</v>
      </c>
      <c r="E337">
        <v>2</v>
      </c>
      <c r="F337" t="s">
        <v>528</v>
      </c>
      <c r="G337">
        <v>1051</v>
      </c>
      <c r="H337">
        <v>2</v>
      </c>
      <c r="I337" t="s">
        <v>145</v>
      </c>
      <c r="J337">
        <v>0</v>
      </c>
      <c r="K337">
        <v>2</v>
      </c>
      <c r="L337">
        <v>2</v>
      </c>
      <c r="M337">
        <v>106</v>
      </c>
      <c r="N337">
        <v>223</v>
      </c>
      <c r="O337">
        <v>3</v>
      </c>
      <c r="P337">
        <v>223</v>
      </c>
      <c r="Q337">
        <v>1</v>
      </c>
      <c r="R337">
        <v>12</v>
      </c>
      <c r="S337">
        <v>4</v>
      </c>
      <c r="T337">
        <v>25</v>
      </c>
      <c r="U337">
        <v>9</v>
      </c>
      <c r="V337">
        <v>4</v>
      </c>
      <c r="W337">
        <v>0</v>
      </c>
      <c r="X337">
        <v>92</v>
      </c>
      <c r="Y337">
        <v>55</v>
      </c>
      <c r="Z337">
        <v>5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K337">
        <v>1</v>
      </c>
      <c r="AL337">
        <v>0</v>
      </c>
      <c r="AM337">
        <v>0</v>
      </c>
      <c r="AN337">
        <v>0</v>
      </c>
      <c r="AT337">
        <v>0</v>
      </c>
      <c r="AU337">
        <v>15</v>
      </c>
      <c r="AV337">
        <v>223</v>
      </c>
      <c r="AW337">
        <v>223</v>
      </c>
      <c r="AX337">
        <v>306</v>
      </c>
      <c r="BA337">
        <v>1</v>
      </c>
      <c r="BC337" t="s">
        <v>760</v>
      </c>
      <c r="BD337" s="4">
        <v>43283.354166666664</v>
      </c>
      <c r="BE337" s="4">
        <v>43283.367407407408</v>
      </c>
      <c r="BF337" s="4">
        <v>43283.367407407408</v>
      </c>
      <c r="BG337" t="s">
        <v>83</v>
      </c>
      <c r="BH337" t="s">
        <v>84</v>
      </c>
      <c r="BI337" t="s">
        <v>85</v>
      </c>
    </row>
    <row r="338" spans="1:61" x14ac:dyDescent="0.3">
      <c r="A338" t="str">
        <f>"201052B0100"</f>
        <v>201052B0100</v>
      </c>
      <c r="B338" t="s">
        <v>761</v>
      </c>
      <c r="C338">
        <v>20</v>
      </c>
      <c r="D338" t="s">
        <v>79</v>
      </c>
      <c r="E338">
        <v>2</v>
      </c>
      <c r="F338" t="s">
        <v>528</v>
      </c>
      <c r="G338">
        <v>1052</v>
      </c>
      <c r="H338">
        <v>1</v>
      </c>
      <c r="I338" t="s">
        <v>81</v>
      </c>
      <c r="J338">
        <v>0</v>
      </c>
      <c r="K338">
        <v>1</v>
      </c>
      <c r="L338">
        <v>2</v>
      </c>
      <c r="M338">
        <v>305</v>
      </c>
      <c r="N338">
        <v>468</v>
      </c>
      <c r="O338">
        <v>4</v>
      </c>
      <c r="P338">
        <v>485</v>
      </c>
      <c r="Q338">
        <v>22</v>
      </c>
      <c r="R338">
        <v>25</v>
      </c>
      <c r="S338">
        <v>9</v>
      </c>
      <c r="T338">
        <v>26</v>
      </c>
      <c r="U338">
        <v>12</v>
      </c>
      <c r="V338">
        <v>7</v>
      </c>
      <c r="W338">
        <v>3</v>
      </c>
      <c r="X338">
        <v>180</v>
      </c>
      <c r="Y338">
        <v>175</v>
      </c>
      <c r="Z338">
        <v>6</v>
      </c>
      <c r="AA338">
        <v>0</v>
      </c>
      <c r="AB338">
        <v>2</v>
      </c>
      <c r="AC338">
        <v>0</v>
      </c>
      <c r="AD338">
        <v>0</v>
      </c>
      <c r="AE338">
        <v>0</v>
      </c>
      <c r="AF338">
        <v>0</v>
      </c>
      <c r="AK338">
        <v>1</v>
      </c>
      <c r="AL338">
        <v>1</v>
      </c>
      <c r="AM338">
        <v>1</v>
      </c>
      <c r="AN338">
        <v>2</v>
      </c>
      <c r="AT338">
        <v>0</v>
      </c>
      <c r="AU338">
        <v>13</v>
      </c>
      <c r="AV338">
        <v>485</v>
      </c>
      <c r="AW338">
        <v>485</v>
      </c>
      <c r="AX338">
        <v>750</v>
      </c>
      <c r="BA338">
        <v>1</v>
      </c>
      <c r="BC338" t="s">
        <v>762</v>
      </c>
      <c r="BD338" s="4">
        <v>43283.277777777781</v>
      </c>
      <c r="BE338" s="4">
        <v>43283.322453703702</v>
      </c>
      <c r="BF338" s="4">
        <v>43283.322453703702</v>
      </c>
      <c r="BG338" t="s">
        <v>83</v>
      </c>
      <c r="BH338" t="s">
        <v>84</v>
      </c>
      <c r="BI338" t="s">
        <v>85</v>
      </c>
    </row>
    <row r="339" spans="1:61" x14ac:dyDescent="0.3">
      <c r="A339" t="str">
        <f>"201052C0100"</f>
        <v>201052C0100</v>
      </c>
      <c r="B339" t="s">
        <v>763</v>
      </c>
      <c r="C339">
        <v>20</v>
      </c>
      <c r="D339" t="s">
        <v>79</v>
      </c>
      <c r="E339">
        <v>2</v>
      </c>
      <c r="F339" t="s">
        <v>528</v>
      </c>
      <c r="G339">
        <v>1052</v>
      </c>
      <c r="H339">
        <v>1</v>
      </c>
      <c r="I339" t="s">
        <v>89</v>
      </c>
      <c r="J339">
        <v>0</v>
      </c>
      <c r="K339">
        <v>1</v>
      </c>
      <c r="L339">
        <v>2</v>
      </c>
      <c r="AX339">
        <v>750</v>
      </c>
      <c r="AZ339" t="s">
        <v>156</v>
      </c>
      <c r="BA339">
        <v>0</v>
      </c>
      <c r="BC339" t="s">
        <v>764</v>
      </c>
      <c r="BD339" s="4">
        <v>43283.452777777777</v>
      </c>
      <c r="BE339" s="4">
        <v>43283.518055555556</v>
      </c>
      <c r="BF339" s="4">
        <v>43283.518055555556</v>
      </c>
      <c r="BG339" t="s">
        <v>83</v>
      </c>
      <c r="BH339" t="s">
        <v>84</v>
      </c>
      <c r="BI339" t="s">
        <v>85</v>
      </c>
    </row>
    <row r="340" spans="1:61" x14ac:dyDescent="0.3">
      <c r="A340" t="str">
        <f>"201052C0200"</f>
        <v>201052C0200</v>
      </c>
      <c r="B340" t="s">
        <v>765</v>
      </c>
      <c r="C340">
        <v>20</v>
      </c>
      <c r="D340" t="s">
        <v>79</v>
      </c>
      <c r="E340">
        <v>2</v>
      </c>
      <c r="F340" t="s">
        <v>528</v>
      </c>
      <c r="G340">
        <v>1052</v>
      </c>
      <c r="H340">
        <v>2</v>
      </c>
      <c r="I340" t="s">
        <v>89</v>
      </c>
      <c r="J340">
        <v>0</v>
      </c>
      <c r="K340">
        <v>1</v>
      </c>
      <c r="L340">
        <v>2</v>
      </c>
      <c r="M340">
        <v>301</v>
      </c>
      <c r="N340">
        <v>471</v>
      </c>
      <c r="O340">
        <v>8</v>
      </c>
      <c r="P340">
        <v>468</v>
      </c>
      <c r="Q340">
        <v>19</v>
      </c>
      <c r="R340">
        <v>29</v>
      </c>
      <c r="S340">
        <v>12</v>
      </c>
      <c r="T340">
        <v>22</v>
      </c>
      <c r="U340">
        <v>14</v>
      </c>
      <c r="V340">
        <v>15</v>
      </c>
      <c r="W340">
        <v>3</v>
      </c>
      <c r="X340">
        <v>161</v>
      </c>
      <c r="Y340">
        <v>165</v>
      </c>
      <c r="Z340">
        <v>4</v>
      </c>
      <c r="AA340">
        <v>0</v>
      </c>
      <c r="AB340">
        <v>0</v>
      </c>
      <c r="AC340">
        <v>1</v>
      </c>
      <c r="AD340">
        <v>1</v>
      </c>
      <c r="AE340">
        <v>1</v>
      </c>
      <c r="AF340">
        <v>0</v>
      </c>
      <c r="AK340">
        <v>5</v>
      </c>
      <c r="AL340">
        <v>0</v>
      </c>
      <c r="AM340">
        <v>0</v>
      </c>
      <c r="AN340">
        <v>0</v>
      </c>
      <c r="AT340">
        <v>0</v>
      </c>
      <c r="AU340">
        <v>23</v>
      </c>
      <c r="AV340">
        <v>522</v>
      </c>
      <c r="AW340">
        <v>475</v>
      </c>
      <c r="AX340">
        <v>749</v>
      </c>
      <c r="BA340">
        <v>1</v>
      </c>
      <c r="BC340" t="s">
        <v>766</v>
      </c>
      <c r="BD340" s="4">
        <v>43283.28125</v>
      </c>
      <c r="BE340" s="4">
        <v>43283.30909722222</v>
      </c>
      <c r="BF340" s="4">
        <v>43283.30909722222</v>
      </c>
      <c r="BG340" t="s">
        <v>83</v>
      </c>
      <c r="BH340" t="s">
        <v>84</v>
      </c>
      <c r="BI340" t="s">
        <v>85</v>
      </c>
    </row>
    <row r="341" spans="1:61" x14ac:dyDescent="0.3">
      <c r="A341" t="str">
        <f>"201052C0300"</f>
        <v>201052C0300</v>
      </c>
      <c r="B341" t="s">
        <v>767</v>
      </c>
      <c r="C341">
        <v>20</v>
      </c>
      <c r="D341" t="s">
        <v>79</v>
      </c>
      <c r="E341">
        <v>2</v>
      </c>
      <c r="F341" t="s">
        <v>528</v>
      </c>
      <c r="G341">
        <v>1052</v>
      </c>
      <c r="H341">
        <v>3</v>
      </c>
      <c r="I341" t="s">
        <v>89</v>
      </c>
      <c r="J341">
        <v>0</v>
      </c>
      <c r="K341">
        <v>1</v>
      </c>
      <c r="L341">
        <v>2</v>
      </c>
      <c r="AX341">
        <v>749</v>
      </c>
      <c r="AZ341" t="s">
        <v>156</v>
      </c>
      <c r="BA341">
        <v>0</v>
      </c>
      <c r="BC341" t="s">
        <v>768</v>
      </c>
      <c r="BD341" s="4">
        <v>43283.526388888888</v>
      </c>
      <c r="BE341" s="4">
        <v>43283.529328703706</v>
      </c>
      <c r="BF341" s="4">
        <v>43283.529328703706</v>
      </c>
      <c r="BG341" t="s">
        <v>83</v>
      </c>
      <c r="BH341" t="s">
        <v>84</v>
      </c>
      <c r="BI341" t="s">
        <v>85</v>
      </c>
    </row>
    <row r="342" spans="1:61" x14ac:dyDescent="0.3">
      <c r="A342" t="str">
        <f>"201053B0100"</f>
        <v>201053B0100</v>
      </c>
      <c r="B342" t="s">
        <v>769</v>
      </c>
      <c r="C342">
        <v>20</v>
      </c>
      <c r="D342" t="s">
        <v>79</v>
      </c>
      <c r="E342">
        <v>2</v>
      </c>
      <c r="F342" t="s">
        <v>528</v>
      </c>
      <c r="G342">
        <v>1053</v>
      </c>
      <c r="H342">
        <v>1</v>
      </c>
      <c r="I342" t="s">
        <v>81</v>
      </c>
      <c r="J342">
        <v>0</v>
      </c>
      <c r="K342">
        <v>1</v>
      </c>
      <c r="L342">
        <v>2</v>
      </c>
      <c r="M342">
        <v>255</v>
      </c>
      <c r="N342">
        <v>463</v>
      </c>
      <c r="O342">
        <v>9</v>
      </c>
      <c r="P342">
        <v>464</v>
      </c>
      <c r="Q342">
        <v>9</v>
      </c>
      <c r="R342">
        <v>23</v>
      </c>
      <c r="S342">
        <v>13</v>
      </c>
      <c r="T342">
        <v>19</v>
      </c>
      <c r="U342">
        <v>19</v>
      </c>
      <c r="V342">
        <v>6</v>
      </c>
      <c r="W342">
        <v>13</v>
      </c>
      <c r="X342">
        <v>151</v>
      </c>
      <c r="Y342">
        <v>175</v>
      </c>
      <c r="Z342">
        <v>3</v>
      </c>
      <c r="AA342">
        <v>1</v>
      </c>
      <c r="AB342">
        <v>0</v>
      </c>
      <c r="AC342">
        <v>0</v>
      </c>
      <c r="AD342">
        <v>0</v>
      </c>
      <c r="AE342">
        <v>0</v>
      </c>
      <c r="AF342">
        <v>0</v>
      </c>
      <c r="AK342">
        <v>5</v>
      </c>
      <c r="AL342">
        <v>4</v>
      </c>
      <c r="AM342">
        <v>0</v>
      </c>
      <c r="AN342">
        <v>0</v>
      </c>
      <c r="AT342">
        <v>0</v>
      </c>
      <c r="AU342">
        <v>23</v>
      </c>
      <c r="AV342">
        <v>464</v>
      </c>
      <c r="AW342">
        <v>464</v>
      </c>
      <c r="AX342">
        <v>697</v>
      </c>
      <c r="BA342">
        <v>1</v>
      </c>
      <c r="BC342" t="s">
        <v>770</v>
      </c>
      <c r="BD342" s="4">
        <v>43283.406944444447</v>
      </c>
      <c r="BE342" s="4">
        <v>43283.410370370373</v>
      </c>
      <c r="BF342" s="4">
        <v>43283.410370370373</v>
      </c>
      <c r="BG342" t="s">
        <v>83</v>
      </c>
      <c r="BH342" t="s">
        <v>84</v>
      </c>
      <c r="BI342" t="s">
        <v>85</v>
      </c>
    </row>
    <row r="343" spans="1:61" x14ac:dyDescent="0.3">
      <c r="A343" t="str">
        <f>"201053C0100"</f>
        <v>201053C0100</v>
      </c>
      <c r="B343" t="s">
        <v>771</v>
      </c>
      <c r="C343">
        <v>20</v>
      </c>
      <c r="D343" t="s">
        <v>79</v>
      </c>
      <c r="E343">
        <v>2</v>
      </c>
      <c r="F343" t="s">
        <v>528</v>
      </c>
      <c r="G343">
        <v>1053</v>
      </c>
      <c r="H343">
        <v>1</v>
      </c>
      <c r="I343" t="s">
        <v>89</v>
      </c>
      <c r="J343">
        <v>0</v>
      </c>
      <c r="K343">
        <v>1</v>
      </c>
      <c r="L343">
        <v>2</v>
      </c>
      <c r="M343">
        <v>289</v>
      </c>
      <c r="N343">
        <v>436</v>
      </c>
      <c r="O343">
        <v>16</v>
      </c>
      <c r="P343">
        <v>436</v>
      </c>
      <c r="Q343">
        <v>18</v>
      </c>
      <c r="R343">
        <v>16</v>
      </c>
      <c r="S343">
        <v>7</v>
      </c>
      <c r="T343">
        <v>17</v>
      </c>
      <c r="U343">
        <v>19</v>
      </c>
      <c r="V343">
        <v>7</v>
      </c>
      <c r="W343">
        <v>2</v>
      </c>
      <c r="X343">
        <v>153</v>
      </c>
      <c r="Y343">
        <v>160</v>
      </c>
      <c r="Z343">
        <v>7</v>
      </c>
      <c r="AA343">
        <v>1</v>
      </c>
      <c r="AB343">
        <v>1</v>
      </c>
      <c r="AC343">
        <v>1</v>
      </c>
      <c r="AD343">
        <v>0</v>
      </c>
      <c r="AE343">
        <v>0</v>
      </c>
      <c r="AF343">
        <v>0</v>
      </c>
      <c r="AK343">
        <v>5</v>
      </c>
      <c r="AL343">
        <v>4</v>
      </c>
      <c r="AM343">
        <v>0</v>
      </c>
      <c r="AN343">
        <v>0</v>
      </c>
      <c r="AT343">
        <v>0</v>
      </c>
      <c r="AU343">
        <v>18</v>
      </c>
      <c r="AV343">
        <v>436</v>
      </c>
      <c r="AW343">
        <v>436</v>
      </c>
      <c r="AX343">
        <v>697</v>
      </c>
      <c r="BA343">
        <v>1</v>
      </c>
      <c r="BC343" t="s">
        <v>772</v>
      </c>
      <c r="BD343" s="4">
        <v>43283.408333333333</v>
      </c>
      <c r="BE343" s="4">
        <v>43283.412847222222</v>
      </c>
      <c r="BF343" s="4">
        <v>43283.412847222222</v>
      </c>
      <c r="BG343" t="s">
        <v>83</v>
      </c>
      <c r="BH343" t="s">
        <v>84</v>
      </c>
      <c r="BI343" t="s">
        <v>85</v>
      </c>
    </row>
    <row r="344" spans="1:61" x14ac:dyDescent="0.3">
      <c r="A344" t="str">
        <f>"201053C0200"</f>
        <v>201053C0200</v>
      </c>
      <c r="B344" t="s">
        <v>773</v>
      </c>
      <c r="C344">
        <v>20</v>
      </c>
      <c r="D344" t="s">
        <v>79</v>
      </c>
      <c r="E344">
        <v>2</v>
      </c>
      <c r="F344" t="s">
        <v>528</v>
      </c>
      <c r="G344">
        <v>1053</v>
      </c>
      <c r="H344">
        <v>2</v>
      </c>
      <c r="I344" t="s">
        <v>89</v>
      </c>
      <c r="J344">
        <v>0</v>
      </c>
      <c r="K344">
        <v>1</v>
      </c>
      <c r="L344">
        <v>2</v>
      </c>
      <c r="M344">
        <v>260</v>
      </c>
      <c r="N344">
        <v>459</v>
      </c>
      <c r="O344">
        <v>4</v>
      </c>
      <c r="P344">
        <v>455</v>
      </c>
      <c r="Q344">
        <v>16</v>
      </c>
      <c r="R344">
        <v>20</v>
      </c>
      <c r="S344">
        <v>15</v>
      </c>
      <c r="T344">
        <v>26</v>
      </c>
      <c r="U344">
        <v>15</v>
      </c>
      <c r="V344">
        <v>9</v>
      </c>
      <c r="W344">
        <v>4</v>
      </c>
      <c r="X344">
        <v>135</v>
      </c>
      <c r="Y344">
        <v>169</v>
      </c>
      <c r="Z344">
        <v>13</v>
      </c>
      <c r="AA344">
        <v>2</v>
      </c>
      <c r="AB344">
        <v>0</v>
      </c>
      <c r="AC344">
        <v>1</v>
      </c>
      <c r="AD344">
        <v>0</v>
      </c>
      <c r="AE344">
        <v>1</v>
      </c>
      <c r="AF344">
        <v>0</v>
      </c>
      <c r="AK344">
        <v>5</v>
      </c>
      <c r="AL344">
        <v>4</v>
      </c>
      <c r="AM344">
        <v>0</v>
      </c>
      <c r="AN344">
        <v>2</v>
      </c>
      <c r="AT344">
        <v>0</v>
      </c>
      <c r="AU344">
        <v>18</v>
      </c>
      <c r="AV344">
        <v>455</v>
      </c>
      <c r="AW344">
        <v>455</v>
      </c>
      <c r="AX344">
        <v>696</v>
      </c>
      <c r="BA344">
        <v>1</v>
      </c>
      <c r="BC344" t="s">
        <v>774</v>
      </c>
      <c r="BD344" s="4">
        <v>43283.410416666666</v>
      </c>
      <c r="BE344" s="4">
        <v>43283.412719907406</v>
      </c>
      <c r="BF344" s="4">
        <v>43283.412719907406</v>
      </c>
      <c r="BG344" t="s">
        <v>83</v>
      </c>
      <c r="BH344" t="s">
        <v>84</v>
      </c>
      <c r="BI344" t="s">
        <v>85</v>
      </c>
    </row>
    <row r="345" spans="1:61" x14ac:dyDescent="0.3">
      <c r="A345" t="str">
        <f>"201053C0300"</f>
        <v>201053C0300</v>
      </c>
      <c r="B345" t="s">
        <v>775</v>
      </c>
      <c r="C345">
        <v>20</v>
      </c>
      <c r="D345" t="s">
        <v>79</v>
      </c>
      <c r="E345">
        <v>2</v>
      </c>
      <c r="F345" t="s">
        <v>528</v>
      </c>
      <c r="G345">
        <v>1053</v>
      </c>
      <c r="H345">
        <v>3</v>
      </c>
      <c r="I345" t="s">
        <v>89</v>
      </c>
      <c r="J345">
        <v>0</v>
      </c>
      <c r="K345">
        <v>1</v>
      </c>
      <c r="L345">
        <v>2</v>
      </c>
      <c r="M345">
        <v>290</v>
      </c>
      <c r="N345">
        <v>429</v>
      </c>
      <c r="O345">
        <v>1</v>
      </c>
      <c r="P345" t="s">
        <v>100</v>
      </c>
      <c r="Q345">
        <v>9</v>
      </c>
      <c r="R345">
        <v>26</v>
      </c>
      <c r="S345">
        <v>9</v>
      </c>
      <c r="T345">
        <v>32</v>
      </c>
      <c r="U345">
        <v>15</v>
      </c>
      <c r="V345">
        <v>10</v>
      </c>
      <c r="W345">
        <v>1</v>
      </c>
      <c r="X345">
        <v>162</v>
      </c>
      <c r="Y345">
        <v>135</v>
      </c>
      <c r="Z345">
        <v>3</v>
      </c>
      <c r="AA345">
        <v>0</v>
      </c>
      <c r="AB345">
        <v>1</v>
      </c>
      <c r="AC345">
        <v>0</v>
      </c>
      <c r="AD345">
        <v>0</v>
      </c>
      <c r="AE345">
        <v>1</v>
      </c>
      <c r="AF345">
        <v>1</v>
      </c>
      <c r="AK345">
        <v>3</v>
      </c>
      <c r="AL345">
        <v>3</v>
      </c>
      <c r="AM345">
        <v>0</v>
      </c>
      <c r="AN345">
        <v>0</v>
      </c>
      <c r="AT345">
        <v>0</v>
      </c>
      <c r="AU345">
        <v>16</v>
      </c>
      <c r="AV345" t="s">
        <v>100</v>
      </c>
      <c r="AW345">
        <v>427</v>
      </c>
      <c r="AX345">
        <v>696</v>
      </c>
      <c r="BA345">
        <v>1</v>
      </c>
      <c r="BC345" t="s">
        <v>776</v>
      </c>
      <c r="BD345" s="4">
        <v>43283.411111111112</v>
      </c>
      <c r="BE345" s="4">
        <v>43283.41678240741</v>
      </c>
      <c r="BF345" s="4">
        <v>43283.41678240741</v>
      </c>
      <c r="BG345" t="s">
        <v>83</v>
      </c>
      <c r="BH345" t="s">
        <v>84</v>
      </c>
      <c r="BI345" t="s">
        <v>85</v>
      </c>
    </row>
    <row r="346" spans="1:61" x14ac:dyDescent="0.3">
      <c r="A346" t="str">
        <f>"201053E0100"</f>
        <v>201053E0100</v>
      </c>
      <c r="B346" s="2" t="s">
        <v>777</v>
      </c>
      <c r="C346">
        <v>20</v>
      </c>
      <c r="D346" t="s">
        <v>79</v>
      </c>
      <c r="E346">
        <v>2</v>
      </c>
      <c r="F346" t="s">
        <v>528</v>
      </c>
      <c r="G346">
        <v>1053</v>
      </c>
      <c r="H346">
        <v>1</v>
      </c>
      <c r="I346" t="s">
        <v>145</v>
      </c>
      <c r="J346">
        <v>0</v>
      </c>
      <c r="K346">
        <v>1</v>
      </c>
      <c r="L346">
        <v>2</v>
      </c>
      <c r="M346">
        <v>287</v>
      </c>
      <c r="N346">
        <v>399</v>
      </c>
      <c r="O346">
        <v>15</v>
      </c>
      <c r="P346">
        <v>381</v>
      </c>
      <c r="Q346">
        <v>19</v>
      </c>
      <c r="R346">
        <v>9</v>
      </c>
      <c r="S346">
        <v>8</v>
      </c>
      <c r="T346">
        <v>19</v>
      </c>
      <c r="U346">
        <v>17</v>
      </c>
      <c r="V346">
        <v>7</v>
      </c>
      <c r="W346">
        <v>6</v>
      </c>
      <c r="X346">
        <v>126</v>
      </c>
      <c r="Y346">
        <v>147</v>
      </c>
      <c r="Z346">
        <v>2</v>
      </c>
      <c r="AA346">
        <v>0</v>
      </c>
      <c r="AB346">
        <v>0</v>
      </c>
      <c r="AC346">
        <v>1</v>
      </c>
      <c r="AD346">
        <v>1</v>
      </c>
      <c r="AE346">
        <v>0</v>
      </c>
      <c r="AF346">
        <v>0</v>
      </c>
      <c r="AK346">
        <v>5</v>
      </c>
      <c r="AL346">
        <v>0</v>
      </c>
      <c r="AM346">
        <v>0</v>
      </c>
      <c r="AN346">
        <v>1</v>
      </c>
      <c r="AT346">
        <v>0</v>
      </c>
      <c r="AU346">
        <v>13</v>
      </c>
      <c r="AV346">
        <v>381</v>
      </c>
      <c r="AW346">
        <v>381</v>
      </c>
      <c r="AX346">
        <v>663</v>
      </c>
      <c r="BA346">
        <v>1</v>
      </c>
      <c r="BC346" t="s">
        <v>778</v>
      </c>
      <c r="BD346" s="4">
        <v>43283.412499999999</v>
      </c>
      <c r="BE346" s="4">
        <v>43283.416354166664</v>
      </c>
      <c r="BF346" s="4">
        <v>43283.416354166664</v>
      </c>
      <c r="BG346" t="s">
        <v>83</v>
      </c>
      <c r="BH346" t="s">
        <v>84</v>
      </c>
      <c r="BI346" t="s">
        <v>85</v>
      </c>
    </row>
    <row r="347" spans="1:61" x14ac:dyDescent="0.3">
      <c r="A347" t="str">
        <f>"201053E0101"</f>
        <v>201053E0101</v>
      </c>
      <c r="B347" s="2" t="s">
        <v>779</v>
      </c>
      <c r="C347">
        <v>20</v>
      </c>
      <c r="D347" t="s">
        <v>79</v>
      </c>
      <c r="E347">
        <v>2</v>
      </c>
      <c r="F347" t="s">
        <v>528</v>
      </c>
      <c r="G347">
        <v>1053</v>
      </c>
      <c r="H347">
        <v>1</v>
      </c>
      <c r="I347" t="s">
        <v>145</v>
      </c>
      <c r="J347">
        <v>1</v>
      </c>
      <c r="K347">
        <v>1</v>
      </c>
      <c r="L347">
        <v>2</v>
      </c>
      <c r="M347">
        <v>240</v>
      </c>
      <c r="N347">
        <v>685</v>
      </c>
      <c r="O347">
        <v>16</v>
      </c>
      <c r="P347">
        <v>445</v>
      </c>
      <c r="Q347">
        <v>18</v>
      </c>
      <c r="R347">
        <v>26</v>
      </c>
      <c r="S347">
        <v>9</v>
      </c>
      <c r="T347">
        <v>15</v>
      </c>
      <c r="U347">
        <v>11</v>
      </c>
      <c r="V347">
        <v>10</v>
      </c>
      <c r="W347">
        <v>3</v>
      </c>
      <c r="X347">
        <v>161</v>
      </c>
      <c r="Y347">
        <v>187</v>
      </c>
      <c r="Z347">
        <v>5</v>
      </c>
      <c r="AA347">
        <v>1</v>
      </c>
      <c r="AB347">
        <v>1</v>
      </c>
      <c r="AC347">
        <v>0</v>
      </c>
      <c r="AD347">
        <v>0</v>
      </c>
      <c r="AE347">
        <v>0</v>
      </c>
      <c r="AF347">
        <v>0</v>
      </c>
      <c r="AK347">
        <v>3</v>
      </c>
      <c r="AL347">
        <v>0</v>
      </c>
      <c r="AM347">
        <v>0</v>
      </c>
      <c r="AN347">
        <v>0</v>
      </c>
      <c r="AT347" t="s">
        <v>100</v>
      </c>
      <c r="AU347">
        <v>14</v>
      </c>
      <c r="AV347">
        <v>464</v>
      </c>
      <c r="AW347">
        <v>464</v>
      </c>
      <c r="AX347">
        <v>662</v>
      </c>
      <c r="AZ347" t="s">
        <v>101</v>
      </c>
      <c r="BA347">
        <v>1</v>
      </c>
      <c r="BC347" s="2" t="s">
        <v>780</v>
      </c>
      <c r="BD347" s="4">
        <v>43283.413888888892</v>
      </c>
      <c r="BE347" s="4">
        <v>43283.418425925927</v>
      </c>
      <c r="BF347" s="4">
        <v>43283.418425925927</v>
      </c>
      <c r="BG347" t="s">
        <v>83</v>
      </c>
      <c r="BH347" t="s">
        <v>84</v>
      </c>
      <c r="BI347" t="s">
        <v>85</v>
      </c>
    </row>
    <row r="348" spans="1:61" x14ac:dyDescent="0.3">
      <c r="A348" t="str">
        <f>"201054B0100"</f>
        <v>201054B0100</v>
      </c>
      <c r="B348" t="s">
        <v>781</v>
      </c>
      <c r="C348">
        <v>20</v>
      </c>
      <c r="D348" t="s">
        <v>79</v>
      </c>
      <c r="E348">
        <v>2</v>
      </c>
      <c r="F348" t="s">
        <v>528</v>
      </c>
      <c r="G348">
        <v>1054</v>
      </c>
      <c r="H348">
        <v>1</v>
      </c>
      <c r="I348" t="s">
        <v>81</v>
      </c>
      <c r="J348">
        <v>0</v>
      </c>
      <c r="K348">
        <v>2</v>
      </c>
      <c r="L348">
        <v>2</v>
      </c>
      <c r="M348">
        <v>218</v>
      </c>
      <c r="N348">
        <v>457</v>
      </c>
      <c r="O348">
        <v>4</v>
      </c>
      <c r="P348">
        <v>457</v>
      </c>
      <c r="Q348">
        <v>28</v>
      </c>
      <c r="R348">
        <v>20</v>
      </c>
      <c r="S348">
        <v>10</v>
      </c>
      <c r="T348">
        <v>18</v>
      </c>
      <c r="U348">
        <v>8</v>
      </c>
      <c r="V348">
        <v>7</v>
      </c>
      <c r="W348">
        <v>1</v>
      </c>
      <c r="X348">
        <v>167</v>
      </c>
      <c r="Y348">
        <v>173</v>
      </c>
      <c r="Z348">
        <v>7</v>
      </c>
      <c r="AA348">
        <v>0</v>
      </c>
      <c r="AB348">
        <v>0</v>
      </c>
      <c r="AC348">
        <v>2</v>
      </c>
      <c r="AD348">
        <v>5</v>
      </c>
      <c r="AE348">
        <v>0</v>
      </c>
      <c r="AF348">
        <v>0</v>
      </c>
      <c r="AK348">
        <v>0</v>
      </c>
      <c r="AL348">
        <v>1</v>
      </c>
      <c r="AM348">
        <v>0</v>
      </c>
      <c r="AN348">
        <v>1</v>
      </c>
      <c r="AT348" t="s">
        <v>100</v>
      </c>
      <c r="AU348">
        <v>9</v>
      </c>
      <c r="AV348">
        <v>457</v>
      </c>
      <c r="AW348">
        <v>457</v>
      </c>
      <c r="AX348">
        <v>652</v>
      </c>
      <c r="AZ348" t="s">
        <v>101</v>
      </c>
      <c r="BA348">
        <v>1</v>
      </c>
      <c r="BC348" t="s">
        <v>782</v>
      </c>
      <c r="BD348" s="4">
        <v>43283.295138888891</v>
      </c>
      <c r="BE348" s="4">
        <v>43283.321192129632</v>
      </c>
      <c r="BF348" s="4">
        <v>43283.321192129632</v>
      </c>
      <c r="BG348" t="s">
        <v>83</v>
      </c>
      <c r="BH348" t="s">
        <v>84</v>
      </c>
      <c r="BI348" t="s">
        <v>85</v>
      </c>
    </row>
    <row r="349" spans="1:61" x14ac:dyDescent="0.3">
      <c r="A349" t="str">
        <f>"201054C0100"</f>
        <v>201054C0100</v>
      </c>
      <c r="B349" t="s">
        <v>783</v>
      </c>
      <c r="C349">
        <v>20</v>
      </c>
      <c r="D349" t="s">
        <v>79</v>
      </c>
      <c r="E349">
        <v>2</v>
      </c>
      <c r="F349" t="s">
        <v>528</v>
      </c>
      <c r="G349">
        <v>1054</v>
      </c>
      <c r="H349">
        <v>1</v>
      </c>
      <c r="I349" t="s">
        <v>89</v>
      </c>
      <c r="J349">
        <v>0</v>
      </c>
      <c r="K349">
        <v>2</v>
      </c>
      <c r="L349">
        <v>2</v>
      </c>
      <c r="M349">
        <v>205</v>
      </c>
      <c r="N349">
        <v>470</v>
      </c>
      <c r="O349">
        <v>5</v>
      </c>
      <c r="P349">
        <v>470</v>
      </c>
      <c r="Q349">
        <v>31</v>
      </c>
      <c r="R349">
        <v>16</v>
      </c>
      <c r="S349">
        <v>11</v>
      </c>
      <c r="T349">
        <v>16</v>
      </c>
      <c r="U349">
        <v>11</v>
      </c>
      <c r="V349">
        <v>5</v>
      </c>
      <c r="W349">
        <v>2</v>
      </c>
      <c r="X349">
        <v>144</v>
      </c>
      <c r="Y349">
        <v>205</v>
      </c>
      <c r="Z349">
        <v>11</v>
      </c>
      <c r="AA349">
        <v>0</v>
      </c>
      <c r="AB349">
        <v>0</v>
      </c>
      <c r="AC349">
        <v>1</v>
      </c>
      <c r="AD349">
        <v>2</v>
      </c>
      <c r="AE349">
        <v>0</v>
      </c>
      <c r="AF349">
        <v>0</v>
      </c>
      <c r="AK349">
        <v>4</v>
      </c>
      <c r="AL349">
        <v>3</v>
      </c>
      <c r="AM349">
        <v>0</v>
      </c>
      <c r="AN349">
        <v>0</v>
      </c>
      <c r="AT349">
        <v>0</v>
      </c>
      <c r="AU349">
        <v>8</v>
      </c>
      <c r="AV349">
        <v>470</v>
      </c>
      <c r="AW349">
        <v>470</v>
      </c>
      <c r="AX349">
        <v>652</v>
      </c>
      <c r="BA349">
        <v>1</v>
      </c>
      <c r="BC349" t="s">
        <v>784</v>
      </c>
      <c r="BD349" s="4">
        <v>43283.365972222222</v>
      </c>
      <c r="BE349" s="4">
        <v>43283.376759259256</v>
      </c>
      <c r="BF349" s="4">
        <v>43283.376759259256</v>
      </c>
      <c r="BG349" t="s">
        <v>83</v>
      </c>
      <c r="BH349" t="s">
        <v>84</v>
      </c>
      <c r="BI349" t="s">
        <v>85</v>
      </c>
    </row>
    <row r="350" spans="1:61" x14ac:dyDescent="0.3">
      <c r="A350" t="str">
        <f>"201054C0200"</f>
        <v>201054C0200</v>
      </c>
      <c r="B350" t="s">
        <v>785</v>
      </c>
      <c r="C350">
        <v>20</v>
      </c>
      <c r="D350" t="s">
        <v>79</v>
      </c>
      <c r="E350">
        <v>2</v>
      </c>
      <c r="F350" t="s">
        <v>528</v>
      </c>
      <c r="G350">
        <v>1054</v>
      </c>
      <c r="H350">
        <v>2</v>
      </c>
      <c r="I350" t="s">
        <v>89</v>
      </c>
      <c r="J350">
        <v>0</v>
      </c>
      <c r="K350">
        <v>2</v>
      </c>
      <c r="L350">
        <v>2</v>
      </c>
      <c r="M350">
        <v>243</v>
      </c>
      <c r="N350">
        <v>432</v>
      </c>
      <c r="O350">
        <v>2</v>
      </c>
      <c r="P350">
        <v>432</v>
      </c>
      <c r="Q350">
        <v>21</v>
      </c>
      <c r="R350">
        <v>17</v>
      </c>
      <c r="S350">
        <v>7</v>
      </c>
      <c r="T350">
        <v>19</v>
      </c>
      <c r="U350">
        <v>3</v>
      </c>
      <c r="V350">
        <v>14</v>
      </c>
      <c r="W350">
        <v>1</v>
      </c>
      <c r="X350">
        <v>150</v>
      </c>
      <c r="Y350">
        <v>169</v>
      </c>
      <c r="Z350">
        <v>8</v>
      </c>
      <c r="AA350">
        <v>1</v>
      </c>
      <c r="AB350">
        <v>2</v>
      </c>
      <c r="AC350">
        <v>1</v>
      </c>
      <c r="AD350">
        <v>0</v>
      </c>
      <c r="AE350">
        <v>1</v>
      </c>
      <c r="AF350">
        <v>0</v>
      </c>
      <c r="AK350">
        <v>2</v>
      </c>
      <c r="AL350">
        <v>1</v>
      </c>
      <c r="AM350">
        <v>0</v>
      </c>
      <c r="AN350">
        <v>2</v>
      </c>
      <c r="AT350">
        <v>0</v>
      </c>
      <c r="AU350">
        <v>13</v>
      </c>
      <c r="AV350">
        <v>432</v>
      </c>
      <c r="AW350">
        <v>432</v>
      </c>
      <c r="AX350">
        <v>652</v>
      </c>
      <c r="BA350">
        <v>1</v>
      </c>
      <c r="BC350" t="s">
        <v>786</v>
      </c>
      <c r="BD350" s="4">
        <v>43283.368750000001</v>
      </c>
      <c r="BE350" s="4">
        <v>43283.393425925926</v>
      </c>
      <c r="BF350" s="4">
        <v>43283.393425925926</v>
      </c>
      <c r="BG350" t="s">
        <v>83</v>
      </c>
      <c r="BH350" t="s">
        <v>84</v>
      </c>
      <c r="BI350" t="s">
        <v>85</v>
      </c>
    </row>
    <row r="351" spans="1:61" x14ac:dyDescent="0.3">
      <c r="A351" t="str">
        <f>"201054C0300"</f>
        <v>201054C0300</v>
      </c>
      <c r="B351" t="s">
        <v>787</v>
      </c>
      <c r="C351">
        <v>20</v>
      </c>
      <c r="D351" t="s">
        <v>79</v>
      </c>
      <c r="E351">
        <v>2</v>
      </c>
      <c r="F351" t="s">
        <v>528</v>
      </c>
      <c r="G351">
        <v>1054</v>
      </c>
      <c r="H351">
        <v>3</v>
      </c>
      <c r="I351" t="s">
        <v>89</v>
      </c>
      <c r="J351">
        <v>0</v>
      </c>
      <c r="K351">
        <v>2</v>
      </c>
      <c r="L351">
        <v>2</v>
      </c>
      <c r="M351">
        <v>233</v>
      </c>
      <c r="N351">
        <v>441</v>
      </c>
      <c r="O351">
        <v>6</v>
      </c>
      <c r="P351">
        <v>441</v>
      </c>
      <c r="Q351">
        <v>21</v>
      </c>
      <c r="R351">
        <v>17</v>
      </c>
      <c r="S351">
        <v>6</v>
      </c>
      <c r="T351">
        <v>12</v>
      </c>
      <c r="U351">
        <v>9</v>
      </c>
      <c r="V351">
        <v>9</v>
      </c>
      <c r="W351">
        <v>4</v>
      </c>
      <c r="X351">
        <v>155</v>
      </c>
      <c r="Y351">
        <v>182</v>
      </c>
      <c r="Z351">
        <v>14</v>
      </c>
      <c r="AA351">
        <v>0</v>
      </c>
      <c r="AB351">
        <v>1</v>
      </c>
      <c r="AC351">
        <v>1</v>
      </c>
      <c r="AD351">
        <v>1</v>
      </c>
      <c r="AE351">
        <v>0</v>
      </c>
      <c r="AF351">
        <v>0</v>
      </c>
      <c r="AK351">
        <v>1</v>
      </c>
      <c r="AL351">
        <v>1</v>
      </c>
      <c r="AM351">
        <v>0</v>
      </c>
      <c r="AN351">
        <v>2</v>
      </c>
      <c r="AT351" t="s">
        <v>100</v>
      </c>
      <c r="AU351" t="s">
        <v>100</v>
      </c>
      <c r="AV351">
        <v>441</v>
      </c>
      <c r="AW351">
        <v>436</v>
      </c>
      <c r="AX351">
        <v>651</v>
      </c>
      <c r="AZ351" t="s">
        <v>101</v>
      </c>
      <c r="BA351">
        <v>1</v>
      </c>
      <c r="BC351" t="s">
        <v>788</v>
      </c>
      <c r="BD351" s="4">
        <v>43283.372916666667</v>
      </c>
      <c r="BE351" s="4">
        <v>43283.378506944442</v>
      </c>
      <c r="BF351" s="4">
        <v>43283.378506944442</v>
      </c>
      <c r="BG351" t="s">
        <v>83</v>
      </c>
      <c r="BH351" t="s">
        <v>84</v>
      </c>
      <c r="BI351" t="s">
        <v>85</v>
      </c>
    </row>
    <row r="352" spans="1:61" x14ac:dyDescent="0.3">
      <c r="A352" t="str">
        <f>"201054E0100"</f>
        <v>201054E0100</v>
      </c>
      <c r="B352" s="2" t="s">
        <v>789</v>
      </c>
      <c r="C352">
        <v>20</v>
      </c>
      <c r="D352" t="s">
        <v>79</v>
      </c>
      <c r="E352">
        <v>2</v>
      </c>
      <c r="F352" t="s">
        <v>528</v>
      </c>
      <c r="G352">
        <v>1054</v>
      </c>
      <c r="H352">
        <v>1</v>
      </c>
      <c r="I352" t="s">
        <v>145</v>
      </c>
      <c r="J352">
        <v>0</v>
      </c>
      <c r="K352">
        <v>2</v>
      </c>
      <c r="L352">
        <v>2</v>
      </c>
      <c r="M352">
        <v>141</v>
      </c>
      <c r="N352">
        <v>280</v>
      </c>
      <c r="O352">
        <v>8</v>
      </c>
      <c r="P352">
        <v>280</v>
      </c>
      <c r="Q352">
        <v>11</v>
      </c>
      <c r="R352">
        <v>11</v>
      </c>
      <c r="S352">
        <v>9</v>
      </c>
      <c r="T352">
        <v>13</v>
      </c>
      <c r="U352">
        <v>19</v>
      </c>
      <c r="V352">
        <v>18</v>
      </c>
      <c r="W352">
        <v>1</v>
      </c>
      <c r="X352">
        <v>101</v>
      </c>
      <c r="Y352">
        <v>84</v>
      </c>
      <c r="Z352">
        <v>5</v>
      </c>
      <c r="AA352">
        <v>0</v>
      </c>
      <c r="AB352">
        <v>1</v>
      </c>
      <c r="AC352">
        <v>0</v>
      </c>
      <c r="AD352">
        <v>0</v>
      </c>
      <c r="AE352">
        <v>1</v>
      </c>
      <c r="AF352">
        <v>0</v>
      </c>
      <c r="AK352">
        <v>3</v>
      </c>
      <c r="AL352">
        <v>1</v>
      </c>
      <c r="AM352">
        <v>0</v>
      </c>
      <c r="AN352">
        <v>1</v>
      </c>
      <c r="AT352">
        <v>0</v>
      </c>
      <c r="AU352">
        <v>11</v>
      </c>
      <c r="AV352">
        <v>280</v>
      </c>
      <c r="AW352">
        <v>290</v>
      </c>
      <c r="AX352">
        <v>399</v>
      </c>
      <c r="BA352">
        <v>1</v>
      </c>
      <c r="BC352" t="s">
        <v>790</v>
      </c>
      <c r="BD352" s="4">
        <v>43283.10833333333</v>
      </c>
      <c r="BE352" s="4">
        <v>43283.115208333336</v>
      </c>
      <c r="BF352" s="4">
        <v>43283.115208333336</v>
      </c>
      <c r="BG352" t="s">
        <v>83</v>
      </c>
      <c r="BH352" t="s">
        <v>84</v>
      </c>
      <c r="BI352" t="s">
        <v>85</v>
      </c>
    </row>
    <row r="353" spans="1:61" x14ac:dyDescent="0.3">
      <c r="A353" t="str">
        <f>"201054E0101"</f>
        <v>201054E0101</v>
      </c>
      <c r="B353" s="2" t="s">
        <v>791</v>
      </c>
      <c r="C353">
        <v>20</v>
      </c>
      <c r="D353" t="s">
        <v>79</v>
      </c>
      <c r="E353">
        <v>2</v>
      </c>
      <c r="F353" t="s">
        <v>528</v>
      </c>
      <c r="G353">
        <v>1054</v>
      </c>
      <c r="H353">
        <v>1</v>
      </c>
      <c r="I353" t="s">
        <v>145</v>
      </c>
      <c r="J353">
        <v>1</v>
      </c>
      <c r="K353">
        <v>2</v>
      </c>
      <c r="L353">
        <v>2</v>
      </c>
      <c r="M353">
        <v>128</v>
      </c>
      <c r="N353">
        <v>294</v>
      </c>
      <c r="O353">
        <v>9</v>
      </c>
      <c r="P353">
        <v>298</v>
      </c>
      <c r="Q353">
        <v>15</v>
      </c>
      <c r="R353">
        <v>15</v>
      </c>
      <c r="S353">
        <v>8</v>
      </c>
      <c r="T353">
        <v>16</v>
      </c>
      <c r="U353">
        <v>13</v>
      </c>
      <c r="V353">
        <v>8</v>
      </c>
      <c r="W353">
        <v>4</v>
      </c>
      <c r="X353">
        <v>114</v>
      </c>
      <c r="Y353">
        <v>74</v>
      </c>
      <c r="Z353">
        <v>8</v>
      </c>
      <c r="AA353">
        <v>0</v>
      </c>
      <c r="AB353">
        <v>0</v>
      </c>
      <c r="AC353">
        <v>1</v>
      </c>
      <c r="AD353">
        <v>0</v>
      </c>
      <c r="AE353">
        <v>2</v>
      </c>
      <c r="AF353">
        <v>0</v>
      </c>
      <c r="AK353">
        <v>0</v>
      </c>
      <c r="AL353">
        <v>0</v>
      </c>
      <c r="AM353">
        <v>0</v>
      </c>
      <c r="AN353">
        <v>1</v>
      </c>
      <c r="AT353">
        <v>0</v>
      </c>
      <c r="AU353">
        <v>19</v>
      </c>
      <c r="AV353" t="s">
        <v>100</v>
      </c>
      <c r="AW353">
        <v>298</v>
      </c>
      <c r="AX353">
        <v>399</v>
      </c>
      <c r="BA353">
        <v>1</v>
      </c>
      <c r="BC353" t="s">
        <v>792</v>
      </c>
      <c r="BD353" s="4">
        <v>43283.106249999997</v>
      </c>
      <c r="BE353" s="4">
        <v>43283.120254629626</v>
      </c>
      <c r="BF353" s="4">
        <v>43283.120254629626</v>
      </c>
      <c r="BG353" t="s">
        <v>83</v>
      </c>
      <c r="BH353" t="s">
        <v>84</v>
      </c>
      <c r="BI353" t="s">
        <v>85</v>
      </c>
    </row>
    <row r="354" spans="1:61" x14ac:dyDescent="0.3">
      <c r="A354" t="str">
        <f>"201055B0100"</f>
        <v>201055B0100</v>
      </c>
      <c r="B354" t="s">
        <v>793</v>
      </c>
      <c r="C354">
        <v>20</v>
      </c>
      <c r="D354" t="s">
        <v>79</v>
      </c>
      <c r="E354">
        <v>2</v>
      </c>
      <c r="F354" t="s">
        <v>528</v>
      </c>
      <c r="G354">
        <v>1055</v>
      </c>
      <c r="H354">
        <v>1</v>
      </c>
      <c r="I354" t="s">
        <v>81</v>
      </c>
      <c r="J354">
        <v>0</v>
      </c>
      <c r="K354">
        <v>1</v>
      </c>
      <c r="L354">
        <v>2</v>
      </c>
      <c r="M354" t="s">
        <v>315</v>
      </c>
      <c r="N354" t="s">
        <v>315</v>
      </c>
      <c r="O354" t="s">
        <v>315</v>
      </c>
      <c r="P354" t="s">
        <v>315</v>
      </c>
      <c r="Q354" t="s">
        <v>315</v>
      </c>
      <c r="R354" t="s">
        <v>315</v>
      </c>
      <c r="S354" t="s">
        <v>315</v>
      </c>
      <c r="T354" t="s">
        <v>315</v>
      </c>
      <c r="U354" t="s">
        <v>315</v>
      </c>
      <c r="V354" t="s">
        <v>315</v>
      </c>
      <c r="W354" t="s">
        <v>315</v>
      </c>
      <c r="X354" t="s">
        <v>315</v>
      </c>
      <c r="Y354" t="s">
        <v>315</v>
      </c>
      <c r="Z354" t="s">
        <v>315</v>
      </c>
      <c r="AA354" t="s">
        <v>315</v>
      </c>
      <c r="AB354" t="s">
        <v>315</v>
      </c>
      <c r="AC354" t="s">
        <v>315</v>
      </c>
      <c r="AD354" t="s">
        <v>315</v>
      </c>
      <c r="AE354" t="s">
        <v>315</v>
      </c>
      <c r="AF354" t="s">
        <v>315</v>
      </c>
      <c r="AK354" t="s">
        <v>315</v>
      </c>
      <c r="AL354" t="s">
        <v>315</v>
      </c>
      <c r="AM354" t="s">
        <v>315</v>
      </c>
      <c r="AN354" t="s">
        <v>315</v>
      </c>
      <c r="AT354" t="s">
        <v>315</v>
      </c>
      <c r="AU354" t="s">
        <v>315</v>
      </c>
      <c r="AX354">
        <v>581</v>
      </c>
      <c r="AZ354" t="s">
        <v>794</v>
      </c>
      <c r="BA354">
        <v>0</v>
      </c>
      <c r="BC354" t="s">
        <v>795</v>
      </c>
      <c r="BD354" s="4">
        <v>43283.382638888892</v>
      </c>
      <c r="BE354" s="4">
        <v>43283.389444444445</v>
      </c>
      <c r="BF354" s="4">
        <v>43283.389444444445</v>
      </c>
      <c r="BG354" t="s">
        <v>83</v>
      </c>
      <c r="BH354" t="s">
        <v>84</v>
      </c>
      <c r="BI354" t="s">
        <v>548</v>
      </c>
    </row>
    <row r="355" spans="1:61" x14ac:dyDescent="0.3">
      <c r="A355" t="str">
        <f>"201055C0100"</f>
        <v>201055C0100</v>
      </c>
      <c r="B355" t="s">
        <v>796</v>
      </c>
      <c r="C355">
        <v>20</v>
      </c>
      <c r="D355" t="s">
        <v>79</v>
      </c>
      <c r="E355">
        <v>2</v>
      </c>
      <c r="F355" t="s">
        <v>528</v>
      </c>
      <c r="G355">
        <v>1055</v>
      </c>
      <c r="H355">
        <v>1</v>
      </c>
      <c r="I355" t="s">
        <v>89</v>
      </c>
      <c r="J355">
        <v>0</v>
      </c>
      <c r="K355">
        <v>1</v>
      </c>
      <c r="L355">
        <v>2</v>
      </c>
      <c r="M355">
        <v>207</v>
      </c>
      <c r="N355">
        <v>396</v>
      </c>
      <c r="O355">
        <v>7</v>
      </c>
      <c r="P355" t="s">
        <v>100</v>
      </c>
      <c r="Q355">
        <v>21</v>
      </c>
      <c r="R355">
        <v>34</v>
      </c>
      <c r="S355">
        <v>8</v>
      </c>
      <c r="T355">
        <v>20</v>
      </c>
      <c r="U355">
        <v>9</v>
      </c>
      <c r="V355">
        <v>3</v>
      </c>
      <c r="W355">
        <v>0</v>
      </c>
      <c r="X355">
        <v>144</v>
      </c>
      <c r="Y355">
        <v>132</v>
      </c>
      <c r="Z355">
        <v>8</v>
      </c>
      <c r="AA355">
        <v>4</v>
      </c>
      <c r="AB355">
        <v>0</v>
      </c>
      <c r="AC355">
        <v>0</v>
      </c>
      <c r="AD355">
        <v>0</v>
      </c>
      <c r="AE355">
        <v>0</v>
      </c>
      <c r="AF355">
        <v>0</v>
      </c>
      <c r="AK355">
        <v>0</v>
      </c>
      <c r="AL355">
        <v>4</v>
      </c>
      <c r="AM355">
        <v>0</v>
      </c>
      <c r="AN355">
        <v>0</v>
      </c>
      <c r="AT355">
        <v>0</v>
      </c>
      <c r="AU355">
        <v>23</v>
      </c>
      <c r="AV355">
        <v>410</v>
      </c>
      <c r="AW355">
        <v>410</v>
      </c>
      <c r="AX355">
        <v>581</v>
      </c>
      <c r="BA355">
        <v>1</v>
      </c>
      <c r="BC355" t="s">
        <v>797</v>
      </c>
      <c r="BD355" s="4">
        <v>43283.382638888892</v>
      </c>
      <c r="BE355" s="4">
        <v>43283.387037037035</v>
      </c>
      <c r="BF355" s="4">
        <v>43283.387037037035</v>
      </c>
      <c r="BG355" t="s">
        <v>83</v>
      </c>
      <c r="BH355" t="s">
        <v>84</v>
      </c>
      <c r="BI355" t="s">
        <v>85</v>
      </c>
    </row>
    <row r="356" spans="1:61" x14ac:dyDescent="0.3">
      <c r="A356" t="str">
        <f>"201055C0200"</f>
        <v>201055C0200</v>
      </c>
      <c r="B356" t="s">
        <v>798</v>
      </c>
      <c r="C356">
        <v>20</v>
      </c>
      <c r="D356" t="s">
        <v>79</v>
      </c>
      <c r="E356">
        <v>2</v>
      </c>
      <c r="F356" t="s">
        <v>528</v>
      </c>
      <c r="G356">
        <v>1055</v>
      </c>
      <c r="H356">
        <v>2</v>
      </c>
      <c r="I356" t="s">
        <v>89</v>
      </c>
      <c r="J356">
        <v>0</v>
      </c>
      <c r="K356">
        <v>1</v>
      </c>
      <c r="L356">
        <v>2</v>
      </c>
      <c r="M356">
        <v>167</v>
      </c>
      <c r="N356">
        <v>437</v>
      </c>
      <c r="O356">
        <v>9</v>
      </c>
      <c r="P356">
        <v>433</v>
      </c>
      <c r="Q356">
        <v>29</v>
      </c>
      <c r="R356">
        <v>32</v>
      </c>
      <c r="S356">
        <v>5</v>
      </c>
      <c r="T356">
        <v>16</v>
      </c>
      <c r="U356">
        <v>12</v>
      </c>
      <c r="V356">
        <v>11</v>
      </c>
      <c r="W356">
        <v>3</v>
      </c>
      <c r="X356">
        <v>131</v>
      </c>
      <c r="Y356">
        <v>155</v>
      </c>
      <c r="Z356">
        <v>11</v>
      </c>
      <c r="AA356">
        <v>0</v>
      </c>
      <c r="AB356">
        <v>2</v>
      </c>
      <c r="AC356">
        <v>2</v>
      </c>
      <c r="AD356">
        <v>0</v>
      </c>
      <c r="AE356">
        <v>0</v>
      </c>
      <c r="AF356">
        <v>0</v>
      </c>
      <c r="AK356">
        <v>6</v>
      </c>
      <c r="AL356">
        <v>0</v>
      </c>
      <c r="AM356">
        <v>0</v>
      </c>
      <c r="AN356">
        <v>2</v>
      </c>
      <c r="AT356">
        <v>0</v>
      </c>
      <c r="AU356">
        <v>16</v>
      </c>
      <c r="AV356">
        <v>433</v>
      </c>
      <c r="AW356">
        <v>433</v>
      </c>
      <c r="AX356">
        <v>581</v>
      </c>
      <c r="BA356">
        <v>1</v>
      </c>
      <c r="BC356" t="s">
        <v>799</v>
      </c>
      <c r="BD356" s="4">
        <v>43283.383333333331</v>
      </c>
      <c r="BE356" s="4">
        <v>43283.387824074074</v>
      </c>
      <c r="BF356" s="4">
        <v>43283.387824074074</v>
      </c>
      <c r="BG356" t="s">
        <v>83</v>
      </c>
      <c r="BH356" t="s">
        <v>84</v>
      </c>
      <c r="BI356" t="s">
        <v>85</v>
      </c>
    </row>
    <row r="357" spans="1:61" x14ac:dyDescent="0.3">
      <c r="A357" t="str">
        <f>"201056B0100"</f>
        <v>201056B0100</v>
      </c>
      <c r="B357" t="s">
        <v>800</v>
      </c>
      <c r="C357">
        <v>20</v>
      </c>
      <c r="D357" t="s">
        <v>79</v>
      </c>
      <c r="E357">
        <v>2</v>
      </c>
      <c r="F357" t="s">
        <v>528</v>
      </c>
      <c r="G357">
        <v>1056</v>
      </c>
      <c r="H357">
        <v>1</v>
      </c>
      <c r="I357" t="s">
        <v>81</v>
      </c>
      <c r="J357">
        <v>0</v>
      </c>
      <c r="K357">
        <v>2</v>
      </c>
      <c r="L357">
        <v>2</v>
      </c>
      <c r="M357">
        <v>292</v>
      </c>
      <c r="N357">
        <v>472</v>
      </c>
      <c r="O357">
        <v>10</v>
      </c>
      <c r="P357">
        <v>472</v>
      </c>
      <c r="Q357">
        <v>24</v>
      </c>
      <c r="R357">
        <v>49</v>
      </c>
      <c r="S357">
        <v>7</v>
      </c>
      <c r="T357">
        <v>20</v>
      </c>
      <c r="U357">
        <v>16</v>
      </c>
      <c r="V357">
        <v>14</v>
      </c>
      <c r="W357">
        <v>1</v>
      </c>
      <c r="X357">
        <v>174</v>
      </c>
      <c r="Y357">
        <v>142</v>
      </c>
      <c r="Z357">
        <v>9</v>
      </c>
      <c r="AA357">
        <v>0</v>
      </c>
      <c r="AB357">
        <v>0</v>
      </c>
      <c r="AC357">
        <v>1</v>
      </c>
      <c r="AD357">
        <v>0</v>
      </c>
      <c r="AE357">
        <v>0</v>
      </c>
      <c r="AF357">
        <v>0</v>
      </c>
      <c r="AK357">
        <v>1</v>
      </c>
      <c r="AL357">
        <v>2</v>
      </c>
      <c r="AM357">
        <v>0</v>
      </c>
      <c r="AN357">
        <v>0</v>
      </c>
      <c r="AT357">
        <v>0</v>
      </c>
      <c r="AU357">
        <v>11</v>
      </c>
      <c r="AV357">
        <v>471</v>
      </c>
      <c r="AW357">
        <v>471</v>
      </c>
      <c r="AX357">
        <v>741</v>
      </c>
      <c r="BA357">
        <v>1</v>
      </c>
      <c r="BC357" t="s">
        <v>801</v>
      </c>
      <c r="BD357" s="4">
        <v>43283.374305555553</v>
      </c>
      <c r="BE357" s="4">
        <v>43283.381168981483</v>
      </c>
      <c r="BF357" s="4">
        <v>43283.381168981483</v>
      </c>
      <c r="BG357" t="s">
        <v>83</v>
      </c>
      <c r="BH357" t="s">
        <v>84</v>
      </c>
      <c r="BI357" t="s">
        <v>85</v>
      </c>
    </row>
    <row r="358" spans="1:61" x14ac:dyDescent="0.3">
      <c r="A358" t="str">
        <f>"201056C0100"</f>
        <v>201056C0100</v>
      </c>
      <c r="B358" t="s">
        <v>802</v>
      </c>
      <c r="C358">
        <v>20</v>
      </c>
      <c r="D358" t="s">
        <v>79</v>
      </c>
      <c r="E358">
        <v>2</v>
      </c>
      <c r="F358" t="s">
        <v>528</v>
      </c>
      <c r="G358">
        <v>1056</v>
      </c>
      <c r="H358">
        <v>1</v>
      </c>
      <c r="I358" t="s">
        <v>89</v>
      </c>
      <c r="J358">
        <v>0</v>
      </c>
      <c r="K358">
        <v>2</v>
      </c>
      <c r="L358">
        <v>2</v>
      </c>
      <c r="M358" t="s">
        <v>315</v>
      </c>
      <c r="N358" t="s">
        <v>315</v>
      </c>
      <c r="O358" t="s">
        <v>315</v>
      </c>
      <c r="P358" t="s">
        <v>315</v>
      </c>
      <c r="Q358" t="s">
        <v>100</v>
      </c>
      <c r="R358" t="s">
        <v>100</v>
      </c>
      <c r="S358" t="s">
        <v>100</v>
      </c>
      <c r="T358" t="s">
        <v>100</v>
      </c>
      <c r="U358" t="s">
        <v>100</v>
      </c>
      <c r="V358" t="s">
        <v>100</v>
      </c>
      <c r="W358" t="s">
        <v>100</v>
      </c>
      <c r="X358" t="s">
        <v>315</v>
      </c>
      <c r="Y358" t="s">
        <v>315</v>
      </c>
      <c r="Z358" t="s">
        <v>315</v>
      </c>
      <c r="AA358" t="s">
        <v>315</v>
      </c>
      <c r="AB358" t="s">
        <v>315</v>
      </c>
      <c r="AC358">
        <v>1</v>
      </c>
      <c r="AD358" t="s">
        <v>315</v>
      </c>
      <c r="AE358">
        <v>0</v>
      </c>
      <c r="AF358" t="s">
        <v>315</v>
      </c>
      <c r="AK358">
        <v>2</v>
      </c>
      <c r="AL358">
        <v>2</v>
      </c>
      <c r="AM358">
        <v>2</v>
      </c>
      <c r="AN358">
        <v>0</v>
      </c>
      <c r="AT358">
        <v>0</v>
      </c>
      <c r="AU358">
        <v>20</v>
      </c>
      <c r="AV358">
        <v>493</v>
      </c>
      <c r="AW358">
        <v>27</v>
      </c>
      <c r="AX358">
        <v>741</v>
      </c>
      <c r="AZ358" t="s">
        <v>101</v>
      </c>
      <c r="BA358">
        <v>1</v>
      </c>
      <c r="BC358" t="s">
        <v>803</v>
      </c>
      <c r="BD358" s="4">
        <v>43283.379861111112</v>
      </c>
      <c r="BE358" s="4">
        <v>43283.403321759259</v>
      </c>
      <c r="BF358" s="4">
        <v>43283.403321759259</v>
      </c>
      <c r="BG358" t="s">
        <v>83</v>
      </c>
      <c r="BH358" t="s">
        <v>84</v>
      </c>
      <c r="BI358" t="s">
        <v>548</v>
      </c>
    </row>
    <row r="359" spans="1:61" x14ac:dyDescent="0.3">
      <c r="A359" t="str">
        <f>"201056C0200"</f>
        <v>201056C0200</v>
      </c>
      <c r="B359" t="s">
        <v>804</v>
      </c>
      <c r="C359">
        <v>20</v>
      </c>
      <c r="D359" t="s">
        <v>79</v>
      </c>
      <c r="E359">
        <v>2</v>
      </c>
      <c r="F359" t="s">
        <v>528</v>
      </c>
      <c r="G359">
        <v>1056</v>
      </c>
      <c r="H359">
        <v>2</v>
      </c>
      <c r="I359" t="s">
        <v>89</v>
      </c>
      <c r="J359">
        <v>0</v>
      </c>
      <c r="K359">
        <v>2</v>
      </c>
      <c r="L359">
        <v>2</v>
      </c>
      <c r="M359">
        <v>303</v>
      </c>
      <c r="N359">
        <v>468</v>
      </c>
      <c r="O359">
        <v>18</v>
      </c>
      <c r="P359">
        <v>468</v>
      </c>
      <c r="Q359">
        <v>21</v>
      </c>
      <c r="R359">
        <v>30</v>
      </c>
      <c r="S359">
        <v>5</v>
      </c>
      <c r="T359">
        <v>22</v>
      </c>
      <c r="U359">
        <v>8</v>
      </c>
      <c r="V359">
        <v>9</v>
      </c>
      <c r="W359">
        <v>2</v>
      </c>
      <c r="X359">
        <v>164</v>
      </c>
      <c r="Y359">
        <v>160</v>
      </c>
      <c r="Z359">
        <v>6</v>
      </c>
      <c r="AA359">
        <v>0</v>
      </c>
      <c r="AB359">
        <v>2</v>
      </c>
      <c r="AC359">
        <v>1</v>
      </c>
      <c r="AD359">
        <v>0</v>
      </c>
      <c r="AE359">
        <v>0</v>
      </c>
      <c r="AF359">
        <v>0</v>
      </c>
      <c r="AK359">
        <v>5</v>
      </c>
      <c r="AL359">
        <v>2</v>
      </c>
      <c r="AM359">
        <v>0</v>
      </c>
      <c r="AN359">
        <v>0</v>
      </c>
      <c r="AT359">
        <v>0</v>
      </c>
      <c r="AU359">
        <v>0</v>
      </c>
      <c r="AV359">
        <v>468</v>
      </c>
      <c r="AW359">
        <v>437</v>
      </c>
      <c r="AX359">
        <v>741</v>
      </c>
      <c r="BA359">
        <v>1</v>
      </c>
      <c r="BC359" t="s">
        <v>805</v>
      </c>
      <c r="BD359" s="4">
        <v>43283.379861111112</v>
      </c>
      <c r="BE359" s="4">
        <v>43283.385671296295</v>
      </c>
      <c r="BF359" s="4">
        <v>43283.385671296295</v>
      </c>
      <c r="BG359" t="s">
        <v>83</v>
      </c>
      <c r="BH359" t="s">
        <v>84</v>
      </c>
      <c r="BI359" t="s">
        <v>85</v>
      </c>
    </row>
    <row r="360" spans="1:61" x14ac:dyDescent="0.3">
      <c r="A360" t="str">
        <f>"201058B0100"</f>
        <v>201058B0100</v>
      </c>
      <c r="B360" t="s">
        <v>806</v>
      </c>
      <c r="C360">
        <v>20</v>
      </c>
      <c r="D360" t="s">
        <v>79</v>
      </c>
      <c r="E360">
        <v>2</v>
      </c>
      <c r="F360" t="s">
        <v>528</v>
      </c>
      <c r="G360">
        <v>1058</v>
      </c>
      <c r="H360">
        <v>1</v>
      </c>
      <c r="I360" t="s">
        <v>81</v>
      </c>
      <c r="J360">
        <v>0</v>
      </c>
      <c r="K360">
        <v>2</v>
      </c>
      <c r="L360">
        <v>2</v>
      </c>
      <c r="M360">
        <v>183</v>
      </c>
      <c r="N360">
        <v>663</v>
      </c>
      <c r="O360">
        <v>6</v>
      </c>
      <c r="P360">
        <v>465</v>
      </c>
      <c r="Q360">
        <v>20</v>
      </c>
      <c r="R360">
        <v>24</v>
      </c>
      <c r="S360">
        <v>8</v>
      </c>
      <c r="T360">
        <v>56</v>
      </c>
      <c r="U360">
        <v>17</v>
      </c>
      <c r="V360">
        <v>18</v>
      </c>
      <c r="W360">
        <v>0</v>
      </c>
      <c r="X360">
        <v>130</v>
      </c>
      <c r="Y360">
        <v>180</v>
      </c>
      <c r="Z360">
        <v>8</v>
      </c>
      <c r="AA360">
        <v>1</v>
      </c>
      <c r="AB360">
        <v>1</v>
      </c>
      <c r="AC360" t="s">
        <v>100</v>
      </c>
      <c r="AD360" t="s">
        <v>100</v>
      </c>
      <c r="AE360" t="s">
        <v>100</v>
      </c>
      <c r="AF360" t="s">
        <v>100</v>
      </c>
      <c r="AK360">
        <v>2</v>
      </c>
      <c r="AL360" t="s">
        <v>100</v>
      </c>
      <c r="AM360" t="s">
        <v>100</v>
      </c>
      <c r="AN360" t="s">
        <v>100</v>
      </c>
      <c r="AT360" t="s">
        <v>100</v>
      </c>
      <c r="AU360" t="s">
        <v>100</v>
      </c>
      <c r="AV360">
        <v>465</v>
      </c>
      <c r="AW360">
        <v>465</v>
      </c>
      <c r="AX360">
        <v>643</v>
      </c>
      <c r="AZ360" t="s">
        <v>101</v>
      </c>
      <c r="BA360">
        <v>1</v>
      </c>
      <c r="BC360" t="s">
        <v>807</v>
      </c>
      <c r="BD360" s="4">
        <v>43283.261805555558</v>
      </c>
      <c r="BE360" s="4">
        <v>43283.286307870374</v>
      </c>
      <c r="BF360" s="4">
        <v>43283.286307870374</v>
      </c>
      <c r="BG360" t="s">
        <v>83</v>
      </c>
      <c r="BH360" t="s">
        <v>84</v>
      </c>
      <c r="BI360" t="s">
        <v>85</v>
      </c>
    </row>
    <row r="361" spans="1:61" x14ac:dyDescent="0.3">
      <c r="A361" t="str">
        <f>"201058E0100"</f>
        <v>201058E0100</v>
      </c>
      <c r="B361" s="2" t="s">
        <v>808</v>
      </c>
      <c r="C361">
        <v>20</v>
      </c>
      <c r="D361" t="s">
        <v>79</v>
      </c>
      <c r="E361">
        <v>2</v>
      </c>
      <c r="F361" t="s">
        <v>528</v>
      </c>
      <c r="G361">
        <v>1058</v>
      </c>
      <c r="H361">
        <v>1</v>
      </c>
      <c r="I361" t="s">
        <v>145</v>
      </c>
      <c r="J361">
        <v>0</v>
      </c>
      <c r="K361">
        <v>2</v>
      </c>
      <c r="L361">
        <v>2</v>
      </c>
      <c r="M361">
        <v>217</v>
      </c>
      <c r="N361">
        <v>520</v>
      </c>
      <c r="O361">
        <v>2</v>
      </c>
      <c r="P361">
        <v>520</v>
      </c>
      <c r="Q361">
        <v>18</v>
      </c>
      <c r="R361">
        <v>19</v>
      </c>
      <c r="S361">
        <v>1</v>
      </c>
      <c r="T361">
        <v>52</v>
      </c>
      <c r="U361">
        <v>11</v>
      </c>
      <c r="V361">
        <v>26</v>
      </c>
      <c r="W361">
        <v>3</v>
      </c>
      <c r="X361">
        <v>212</v>
      </c>
      <c r="Y361">
        <v>122</v>
      </c>
      <c r="Z361">
        <v>8</v>
      </c>
      <c r="AA361">
        <v>0</v>
      </c>
      <c r="AB361">
        <v>0</v>
      </c>
      <c r="AC361">
        <v>0</v>
      </c>
      <c r="AD361">
        <v>0</v>
      </c>
      <c r="AE361">
        <v>1</v>
      </c>
      <c r="AF361">
        <v>0</v>
      </c>
      <c r="AK361">
        <v>4</v>
      </c>
      <c r="AL361">
        <v>3</v>
      </c>
      <c r="AM361">
        <v>1</v>
      </c>
      <c r="AN361">
        <v>1</v>
      </c>
      <c r="AT361">
        <v>0</v>
      </c>
      <c r="AU361">
        <v>38</v>
      </c>
      <c r="AV361">
        <v>520</v>
      </c>
      <c r="AW361">
        <v>520</v>
      </c>
      <c r="AX361">
        <v>714</v>
      </c>
      <c r="BA361">
        <v>1</v>
      </c>
      <c r="BC361" t="s">
        <v>809</v>
      </c>
      <c r="BD361" s="4">
        <v>43283.263194444444</v>
      </c>
      <c r="BE361" s="4">
        <v>43283.290763888886</v>
      </c>
      <c r="BF361" s="4">
        <v>43283.290763888886</v>
      </c>
      <c r="BG361" t="s">
        <v>83</v>
      </c>
      <c r="BH361" t="s">
        <v>84</v>
      </c>
      <c r="BI361" t="s">
        <v>85</v>
      </c>
    </row>
    <row r="362" spans="1:61" x14ac:dyDescent="0.3">
      <c r="A362" t="str">
        <f>"201059B0100"</f>
        <v>201059B0100</v>
      </c>
      <c r="B362" t="s">
        <v>810</v>
      </c>
      <c r="C362">
        <v>20</v>
      </c>
      <c r="D362" t="s">
        <v>79</v>
      </c>
      <c r="E362">
        <v>2</v>
      </c>
      <c r="F362" t="s">
        <v>528</v>
      </c>
      <c r="G362">
        <v>1059</v>
      </c>
      <c r="H362">
        <v>1</v>
      </c>
      <c r="I362" t="s">
        <v>81</v>
      </c>
      <c r="J362">
        <v>0</v>
      </c>
      <c r="K362">
        <v>2</v>
      </c>
      <c r="L362">
        <v>2</v>
      </c>
      <c r="AX362">
        <v>726</v>
      </c>
      <c r="AZ362" t="s">
        <v>156</v>
      </c>
      <c r="BA362">
        <v>0</v>
      </c>
      <c r="BC362" t="s">
        <v>811</v>
      </c>
      <c r="BD362" s="4">
        <v>43283.527083333334</v>
      </c>
      <c r="BE362" s="4">
        <v>43283.528113425928</v>
      </c>
      <c r="BF362" s="4">
        <v>43283.528113425928</v>
      </c>
      <c r="BG362" t="s">
        <v>83</v>
      </c>
      <c r="BH362" t="s">
        <v>84</v>
      </c>
      <c r="BI362" t="s">
        <v>85</v>
      </c>
    </row>
    <row r="363" spans="1:61" x14ac:dyDescent="0.3">
      <c r="A363" t="str">
        <f>"201060B0100"</f>
        <v>201060B0100</v>
      </c>
      <c r="B363" t="s">
        <v>812</v>
      </c>
      <c r="C363">
        <v>20</v>
      </c>
      <c r="D363" t="s">
        <v>79</v>
      </c>
      <c r="E363">
        <v>2</v>
      </c>
      <c r="F363" t="s">
        <v>528</v>
      </c>
      <c r="G363">
        <v>1060</v>
      </c>
      <c r="H363">
        <v>1</v>
      </c>
      <c r="I363" t="s">
        <v>81</v>
      </c>
      <c r="J363">
        <v>0</v>
      </c>
      <c r="K363">
        <v>1</v>
      </c>
      <c r="L363">
        <v>2</v>
      </c>
      <c r="M363">
        <v>176</v>
      </c>
      <c r="N363">
        <v>357</v>
      </c>
      <c r="O363">
        <v>357</v>
      </c>
      <c r="P363">
        <v>357</v>
      </c>
      <c r="Q363">
        <v>9</v>
      </c>
      <c r="R363">
        <v>28</v>
      </c>
      <c r="S363">
        <v>7</v>
      </c>
      <c r="T363">
        <v>21</v>
      </c>
      <c r="U363">
        <v>5</v>
      </c>
      <c r="V363">
        <v>9</v>
      </c>
      <c r="W363">
        <v>1</v>
      </c>
      <c r="X363">
        <v>99</v>
      </c>
      <c r="Y363">
        <v>130</v>
      </c>
      <c r="Z363">
        <v>24</v>
      </c>
      <c r="AA363">
        <v>3</v>
      </c>
      <c r="AB363">
        <v>0</v>
      </c>
      <c r="AC363">
        <v>1</v>
      </c>
      <c r="AD363" t="s">
        <v>315</v>
      </c>
      <c r="AE363">
        <v>0</v>
      </c>
      <c r="AF363">
        <v>0</v>
      </c>
      <c r="AK363">
        <v>1</v>
      </c>
      <c r="AL363">
        <v>1</v>
      </c>
      <c r="AM363">
        <v>0</v>
      </c>
      <c r="AN363">
        <v>2</v>
      </c>
      <c r="AT363">
        <v>0</v>
      </c>
      <c r="AU363">
        <v>16</v>
      </c>
      <c r="AV363">
        <v>357</v>
      </c>
      <c r="AW363">
        <v>357</v>
      </c>
      <c r="AX363">
        <v>510</v>
      </c>
      <c r="AZ363" t="s">
        <v>101</v>
      </c>
      <c r="BA363">
        <v>1</v>
      </c>
      <c r="BC363" t="s">
        <v>813</v>
      </c>
      <c r="BD363" s="4">
        <v>43282.948900462965</v>
      </c>
      <c r="BE363" s="4">
        <v>43282.955057870371</v>
      </c>
      <c r="BF363" s="4">
        <v>43282.955057870371</v>
      </c>
      <c r="BG363" t="s">
        <v>373</v>
      </c>
      <c r="BH363" t="s">
        <v>374</v>
      </c>
      <c r="BI363" t="s">
        <v>85</v>
      </c>
    </row>
    <row r="364" spans="1:61" x14ac:dyDescent="0.3">
      <c r="A364" t="str">
        <f>"201060C0100"</f>
        <v>201060C0100</v>
      </c>
      <c r="B364" t="s">
        <v>814</v>
      </c>
      <c r="C364">
        <v>20</v>
      </c>
      <c r="D364" t="s">
        <v>79</v>
      </c>
      <c r="E364">
        <v>2</v>
      </c>
      <c r="F364" t="s">
        <v>528</v>
      </c>
      <c r="G364">
        <v>1060</v>
      </c>
      <c r="H364">
        <v>1</v>
      </c>
      <c r="I364" t="s">
        <v>89</v>
      </c>
      <c r="J364">
        <v>0</v>
      </c>
      <c r="K364">
        <v>1</v>
      </c>
      <c r="L364">
        <v>2</v>
      </c>
      <c r="M364">
        <v>161</v>
      </c>
      <c r="N364">
        <v>532</v>
      </c>
      <c r="O364">
        <v>0</v>
      </c>
      <c r="P364">
        <v>0</v>
      </c>
      <c r="Q364">
        <v>10</v>
      </c>
      <c r="R364">
        <v>26</v>
      </c>
      <c r="S364">
        <v>18</v>
      </c>
      <c r="T364">
        <v>14</v>
      </c>
      <c r="U364">
        <v>9</v>
      </c>
      <c r="V364">
        <v>8</v>
      </c>
      <c r="W364">
        <v>0</v>
      </c>
      <c r="X364">
        <v>91</v>
      </c>
      <c r="Y364">
        <v>155</v>
      </c>
      <c r="Z364">
        <v>20</v>
      </c>
      <c r="AA364">
        <v>1</v>
      </c>
      <c r="AB364">
        <v>1</v>
      </c>
      <c r="AC364">
        <v>0</v>
      </c>
      <c r="AD364">
        <v>0</v>
      </c>
      <c r="AE364">
        <v>0</v>
      </c>
      <c r="AF364">
        <v>0</v>
      </c>
      <c r="AK364">
        <v>2</v>
      </c>
      <c r="AL364">
        <v>0</v>
      </c>
      <c r="AM364">
        <v>0</v>
      </c>
      <c r="AN364">
        <v>1</v>
      </c>
      <c r="AT364">
        <v>0</v>
      </c>
      <c r="AU364">
        <v>14</v>
      </c>
      <c r="AV364">
        <v>370</v>
      </c>
      <c r="AW364">
        <v>370</v>
      </c>
      <c r="AX364">
        <v>509</v>
      </c>
      <c r="BA364">
        <v>1</v>
      </c>
      <c r="BC364" t="s">
        <v>815</v>
      </c>
      <c r="BD364" s="4">
        <v>43283.008229166669</v>
      </c>
      <c r="BE364" s="4">
        <v>43283.012916666667</v>
      </c>
      <c r="BF364" s="4">
        <v>43283.012916666667</v>
      </c>
      <c r="BG364" t="s">
        <v>373</v>
      </c>
      <c r="BH364" t="s">
        <v>374</v>
      </c>
      <c r="BI364" t="s">
        <v>85</v>
      </c>
    </row>
    <row r="365" spans="1:61" x14ac:dyDescent="0.3">
      <c r="A365" t="str">
        <f>"201060C0200"</f>
        <v>201060C0200</v>
      </c>
      <c r="B365" t="s">
        <v>816</v>
      </c>
      <c r="C365">
        <v>20</v>
      </c>
      <c r="D365" t="s">
        <v>79</v>
      </c>
      <c r="E365">
        <v>2</v>
      </c>
      <c r="F365" t="s">
        <v>528</v>
      </c>
      <c r="G365">
        <v>1060</v>
      </c>
      <c r="H365">
        <v>2</v>
      </c>
      <c r="I365" t="s">
        <v>89</v>
      </c>
      <c r="J365">
        <v>0</v>
      </c>
      <c r="K365">
        <v>1</v>
      </c>
      <c r="L365">
        <v>2</v>
      </c>
      <c r="M365">
        <v>180</v>
      </c>
      <c r="N365">
        <v>352</v>
      </c>
      <c r="O365">
        <v>0</v>
      </c>
      <c r="P365">
        <v>352</v>
      </c>
      <c r="Q365">
        <v>8</v>
      </c>
      <c r="R365">
        <v>39</v>
      </c>
      <c r="S365">
        <v>9</v>
      </c>
      <c r="T365">
        <v>16</v>
      </c>
      <c r="U365">
        <v>8</v>
      </c>
      <c r="V365">
        <v>9</v>
      </c>
      <c r="W365">
        <v>0</v>
      </c>
      <c r="X365">
        <v>112</v>
      </c>
      <c r="Y365">
        <v>110</v>
      </c>
      <c r="Z365">
        <v>20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K365">
        <v>0</v>
      </c>
      <c r="AL365">
        <v>0</v>
      </c>
      <c r="AM365">
        <v>0</v>
      </c>
      <c r="AN365">
        <v>2</v>
      </c>
      <c r="AT365">
        <v>0</v>
      </c>
      <c r="AU365">
        <v>19</v>
      </c>
      <c r="AV365">
        <v>352</v>
      </c>
      <c r="AW365">
        <v>352</v>
      </c>
      <c r="AX365">
        <v>509</v>
      </c>
      <c r="BA365">
        <v>1</v>
      </c>
      <c r="BC365" t="s">
        <v>817</v>
      </c>
      <c r="BD365" s="4">
        <v>43283.082986111112</v>
      </c>
      <c r="BE365" s="4">
        <v>43283.086770833332</v>
      </c>
      <c r="BF365" s="4">
        <v>43283.086770833332</v>
      </c>
      <c r="BG365" t="s">
        <v>373</v>
      </c>
      <c r="BH365" t="s">
        <v>374</v>
      </c>
      <c r="BI365" t="s">
        <v>85</v>
      </c>
    </row>
    <row r="366" spans="1:61" x14ac:dyDescent="0.3">
      <c r="A366" t="str">
        <f>"201061B0100"</f>
        <v>201061B0100</v>
      </c>
      <c r="B366" t="s">
        <v>818</v>
      </c>
      <c r="C366">
        <v>20</v>
      </c>
      <c r="D366" t="s">
        <v>79</v>
      </c>
      <c r="E366">
        <v>2</v>
      </c>
      <c r="F366" t="s">
        <v>528</v>
      </c>
      <c r="G366">
        <v>1061</v>
      </c>
      <c r="H366">
        <v>1</v>
      </c>
      <c r="I366" t="s">
        <v>81</v>
      </c>
      <c r="J366">
        <v>0</v>
      </c>
      <c r="K366">
        <v>2</v>
      </c>
      <c r="L366">
        <v>2</v>
      </c>
      <c r="M366">
        <v>142</v>
      </c>
      <c r="N366">
        <v>349</v>
      </c>
      <c r="O366">
        <v>3</v>
      </c>
      <c r="P366">
        <v>349</v>
      </c>
      <c r="Q366">
        <v>3</v>
      </c>
      <c r="R366">
        <v>26</v>
      </c>
      <c r="S366">
        <v>2</v>
      </c>
      <c r="T366">
        <v>21</v>
      </c>
      <c r="U366">
        <v>7</v>
      </c>
      <c r="V366">
        <v>7</v>
      </c>
      <c r="W366">
        <v>0</v>
      </c>
      <c r="X366">
        <v>124</v>
      </c>
      <c r="Y366">
        <v>107</v>
      </c>
      <c r="Z366">
        <v>25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K366">
        <v>1</v>
      </c>
      <c r="AL366">
        <v>1</v>
      </c>
      <c r="AM366">
        <v>1</v>
      </c>
      <c r="AN366">
        <v>3</v>
      </c>
      <c r="AT366">
        <v>0</v>
      </c>
      <c r="AU366">
        <v>22</v>
      </c>
      <c r="AV366">
        <v>349</v>
      </c>
      <c r="AW366">
        <v>350</v>
      </c>
      <c r="AX366">
        <v>468</v>
      </c>
      <c r="BA366">
        <v>1</v>
      </c>
      <c r="BC366" t="s">
        <v>819</v>
      </c>
      <c r="BD366" s="4">
        <v>43283.396527777775</v>
      </c>
      <c r="BE366" s="4">
        <v>43283.399699074071</v>
      </c>
      <c r="BF366" s="4">
        <v>43283.399699074071</v>
      </c>
      <c r="BG366" t="s">
        <v>83</v>
      </c>
      <c r="BH366" t="s">
        <v>84</v>
      </c>
      <c r="BI366" t="s">
        <v>85</v>
      </c>
    </row>
    <row r="367" spans="1:61" x14ac:dyDescent="0.3">
      <c r="A367" t="str">
        <f>"201061E0100"</f>
        <v>201061E0100</v>
      </c>
      <c r="B367" s="2" t="s">
        <v>820</v>
      </c>
      <c r="C367">
        <v>20</v>
      </c>
      <c r="D367" t="s">
        <v>79</v>
      </c>
      <c r="E367">
        <v>2</v>
      </c>
      <c r="F367" t="s">
        <v>528</v>
      </c>
      <c r="G367">
        <v>1061</v>
      </c>
      <c r="H367">
        <v>1</v>
      </c>
      <c r="I367" t="s">
        <v>145</v>
      </c>
      <c r="J367">
        <v>0</v>
      </c>
      <c r="K367">
        <v>2</v>
      </c>
      <c r="L367">
        <v>2</v>
      </c>
      <c r="M367">
        <v>221</v>
      </c>
      <c r="N367">
        <v>389</v>
      </c>
      <c r="O367">
        <v>1</v>
      </c>
      <c r="P367">
        <v>389</v>
      </c>
      <c r="Q367">
        <v>8</v>
      </c>
      <c r="R367">
        <v>49</v>
      </c>
      <c r="S367">
        <v>10</v>
      </c>
      <c r="T367">
        <v>20</v>
      </c>
      <c r="U367">
        <v>20</v>
      </c>
      <c r="V367">
        <v>17</v>
      </c>
      <c r="W367">
        <v>1</v>
      </c>
      <c r="X367">
        <v>86</v>
      </c>
      <c r="Y367">
        <v>125</v>
      </c>
      <c r="Z367">
        <v>12</v>
      </c>
      <c r="AA367">
        <v>0</v>
      </c>
      <c r="AB367">
        <v>3</v>
      </c>
      <c r="AC367">
        <v>0</v>
      </c>
      <c r="AD367">
        <v>0</v>
      </c>
      <c r="AE367">
        <v>1</v>
      </c>
      <c r="AF367">
        <v>0</v>
      </c>
      <c r="AK367">
        <v>2</v>
      </c>
      <c r="AL367">
        <v>1</v>
      </c>
      <c r="AM367">
        <v>0</v>
      </c>
      <c r="AN367">
        <v>5</v>
      </c>
      <c r="AT367">
        <v>0</v>
      </c>
      <c r="AU367">
        <v>29</v>
      </c>
      <c r="AV367">
        <v>389</v>
      </c>
      <c r="AW367">
        <v>389</v>
      </c>
      <c r="AX367">
        <v>587</v>
      </c>
      <c r="BA367">
        <v>1</v>
      </c>
      <c r="BC367" t="s">
        <v>821</v>
      </c>
      <c r="BD367" s="4">
        <v>43283.397916666669</v>
      </c>
      <c r="BE367" s="4">
        <v>43283.401041666664</v>
      </c>
      <c r="BF367" s="4">
        <v>43283.401041666664</v>
      </c>
      <c r="BG367" t="s">
        <v>83</v>
      </c>
      <c r="BH367" t="s">
        <v>84</v>
      </c>
      <c r="BI367" t="s">
        <v>85</v>
      </c>
    </row>
    <row r="368" spans="1:61" x14ac:dyDescent="0.3">
      <c r="A368" t="str">
        <f>"201062B0100"</f>
        <v>201062B0100</v>
      </c>
      <c r="B368" t="s">
        <v>822</v>
      </c>
      <c r="C368">
        <v>20</v>
      </c>
      <c r="D368" t="s">
        <v>79</v>
      </c>
      <c r="E368">
        <v>2</v>
      </c>
      <c r="F368" t="s">
        <v>528</v>
      </c>
      <c r="G368">
        <v>1062</v>
      </c>
      <c r="H368">
        <v>1</v>
      </c>
      <c r="I368" t="s">
        <v>81</v>
      </c>
      <c r="J368">
        <v>0</v>
      </c>
      <c r="K368">
        <v>2</v>
      </c>
      <c r="L368">
        <v>2</v>
      </c>
      <c r="M368">
        <v>223</v>
      </c>
      <c r="N368">
        <v>452</v>
      </c>
      <c r="O368">
        <v>0</v>
      </c>
      <c r="P368">
        <v>452</v>
      </c>
      <c r="Q368">
        <v>17</v>
      </c>
      <c r="R368">
        <v>46</v>
      </c>
      <c r="S368">
        <v>10</v>
      </c>
      <c r="T368">
        <v>12</v>
      </c>
      <c r="U368">
        <v>15</v>
      </c>
      <c r="V368">
        <v>6</v>
      </c>
      <c r="W368">
        <v>0</v>
      </c>
      <c r="X368">
        <v>184</v>
      </c>
      <c r="Y368">
        <v>126</v>
      </c>
      <c r="Z368">
        <v>5</v>
      </c>
      <c r="AA368">
        <v>2</v>
      </c>
      <c r="AB368">
        <v>3</v>
      </c>
      <c r="AC368">
        <v>0</v>
      </c>
      <c r="AD368">
        <v>0</v>
      </c>
      <c r="AE368">
        <v>1</v>
      </c>
      <c r="AF368">
        <v>0</v>
      </c>
      <c r="AK368">
        <v>3</v>
      </c>
      <c r="AL368">
        <v>0</v>
      </c>
      <c r="AM368">
        <v>1</v>
      </c>
      <c r="AN368">
        <v>0</v>
      </c>
      <c r="AT368">
        <v>0</v>
      </c>
      <c r="AU368">
        <v>21</v>
      </c>
      <c r="AV368">
        <v>452</v>
      </c>
      <c r="AW368">
        <v>452</v>
      </c>
      <c r="AX368">
        <v>652</v>
      </c>
      <c r="BA368">
        <v>1</v>
      </c>
      <c r="BC368" t="s">
        <v>823</v>
      </c>
      <c r="BD368" s="4">
        <v>43283.43472222222</v>
      </c>
      <c r="BE368" s="4">
        <v>43283.43854166667</v>
      </c>
      <c r="BF368" s="4">
        <v>43283.43854166667</v>
      </c>
      <c r="BG368" t="s">
        <v>83</v>
      </c>
      <c r="BH368" t="s">
        <v>84</v>
      </c>
      <c r="BI368" t="s">
        <v>85</v>
      </c>
    </row>
    <row r="369" spans="1:61" x14ac:dyDescent="0.3">
      <c r="A369" t="str">
        <f>"201062C0100"</f>
        <v>201062C0100</v>
      </c>
      <c r="B369" t="s">
        <v>824</v>
      </c>
      <c r="C369">
        <v>20</v>
      </c>
      <c r="D369" t="s">
        <v>79</v>
      </c>
      <c r="E369">
        <v>2</v>
      </c>
      <c r="F369" t="s">
        <v>528</v>
      </c>
      <c r="G369">
        <v>1062</v>
      </c>
      <c r="H369">
        <v>1</v>
      </c>
      <c r="I369" t="s">
        <v>89</v>
      </c>
      <c r="J369">
        <v>0</v>
      </c>
      <c r="K369">
        <v>2</v>
      </c>
      <c r="L369">
        <v>2</v>
      </c>
      <c r="M369">
        <v>218</v>
      </c>
      <c r="N369">
        <v>457</v>
      </c>
      <c r="O369">
        <v>1</v>
      </c>
      <c r="P369">
        <v>457</v>
      </c>
      <c r="Q369">
        <v>12</v>
      </c>
      <c r="R369">
        <v>50</v>
      </c>
      <c r="S369">
        <v>12</v>
      </c>
      <c r="T369">
        <v>22</v>
      </c>
      <c r="U369">
        <v>14</v>
      </c>
      <c r="V369">
        <v>15</v>
      </c>
      <c r="W369">
        <v>4</v>
      </c>
      <c r="X369">
        <v>169</v>
      </c>
      <c r="Y369">
        <v>130</v>
      </c>
      <c r="Z369">
        <v>8</v>
      </c>
      <c r="AA369">
        <v>1</v>
      </c>
      <c r="AB369">
        <v>1</v>
      </c>
      <c r="AC369">
        <v>0</v>
      </c>
      <c r="AD369">
        <v>0</v>
      </c>
      <c r="AE369">
        <v>0</v>
      </c>
      <c r="AF369">
        <v>0</v>
      </c>
      <c r="AK369">
        <v>0</v>
      </c>
      <c r="AL369">
        <v>1</v>
      </c>
      <c r="AM369">
        <v>0</v>
      </c>
      <c r="AN369">
        <v>0</v>
      </c>
      <c r="AT369">
        <v>0</v>
      </c>
      <c r="AU369">
        <v>18</v>
      </c>
      <c r="AV369">
        <v>457</v>
      </c>
      <c r="AW369">
        <v>457</v>
      </c>
      <c r="AX369">
        <v>652</v>
      </c>
      <c r="BA369">
        <v>1</v>
      </c>
      <c r="BC369" t="s">
        <v>825</v>
      </c>
      <c r="BD369" s="4">
        <v>43283.436805555553</v>
      </c>
      <c r="BE369" s="4">
        <v>43283.440625000003</v>
      </c>
      <c r="BF369" s="4">
        <v>43283.440625000003</v>
      </c>
      <c r="BG369" t="s">
        <v>83</v>
      </c>
      <c r="BH369" t="s">
        <v>84</v>
      </c>
      <c r="BI369" t="s">
        <v>85</v>
      </c>
    </row>
    <row r="370" spans="1:61" x14ac:dyDescent="0.3">
      <c r="A370" t="str">
        <f>"201063B0100"</f>
        <v>201063B0100</v>
      </c>
      <c r="B370" t="s">
        <v>826</v>
      </c>
      <c r="C370">
        <v>20</v>
      </c>
      <c r="D370" t="s">
        <v>79</v>
      </c>
      <c r="E370">
        <v>2</v>
      </c>
      <c r="F370" t="s">
        <v>528</v>
      </c>
      <c r="G370">
        <v>1063</v>
      </c>
      <c r="H370">
        <v>1</v>
      </c>
      <c r="I370" t="s">
        <v>81</v>
      </c>
      <c r="J370">
        <v>0</v>
      </c>
      <c r="K370">
        <v>2</v>
      </c>
      <c r="L370">
        <v>2</v>
      </c>
      <c r="M370">
        <v>185</v>
      </c>
      <c r="N370">
        <v>523</v>
      </c>
      <c r="O370">
        <v>2</v>
      </c>
      <c r="P370">
        <v>523</v>
      </c>
      <c r="Q370">
        <v>23</v>
      </c>
      <c r="R370">
        <v>30</v>
      </c>
      <c r="S370">
        <v>4</v>
      </c>
      <c r="T370">
        <v>36</v>
      </c>
      <c r="U370">
        <v>13</v>
      </c>
      <c r="V370">
        <v>34</v>
      </c>
      <c r="W370">
        <v>0</v>
      </c>
      <c r="X370">
        <v>210</v>
      </c>
      <c r="Y370">
        <v>147</v>
      </c>
      <c r="Z370">
        <v>6</v>
      </c>
      <c r="AA370">
        <v>1</v>
      </c>
      <c r="AB370">
        <v>0</v>
      </c>
      <c r="AC370">
        <v>1</v>
      </c>
      <c r="AD370">
        <v>1</v>
      </c>
      <c r="AE370">
        <v>0</v>
      </c>
      <c r="AF370">
        <v>0</v>
      </c>
      <c r="AK370">
        <v>1</v>
      </c>
      <c r="AL370">
        <v>1</v>
      </c>
      <c r="AM370">
        <v>0</v>
      </c>
      <c r="AN370">
        <v>0</v>
      </c>
      <c r="AT370">
        <v>0</v>
      </c>
      <c r="AU370">
        <v>15</v>
      </c>
      <c r="AV370">
        <v>523</v>
      </c>
      <c r="AW370">
        <v>523</v>
      </c>
      <c r="AX370">
        <v>687</v>
      </c>
      <c r="BA370">
        <v>1</v>
      </c>
      <c r="BC370" t="s">
        <v>827</v>
      </c>
      <c r="BD370" s="4">
        <v>43283.259722222225</v>
      </c>
      <c r="BE370" s="4">
        <v>43283.286550925928</v>
      </c>
      <c r="BF370" s="4">
        <v>43283.286550925928</v>
      </c>
      <c r="BG370" t="s">
        <v>83</v>
      </c>
      <c r="BH370" t="s">
        <v>84</v>
      </c>
      <c r="BI370" t="s">
        <v>85</v>
      </c>
    </row>
    <row r="371" spans="1:61" x14ac:dyDescent="0.3">
      <c r="A371" t="str">
        <f>"201064B0100"</f>
        <v>201064B0100</v>
      </c>
      <c r="B371" t="s">
        <v>828</v>
      </c>
      <c r="C371">
        <v>20</v>
      </c>
      <c r="D371" t="s">
        <v>79</v>
      </c>
      <c r="E371">
        <v>2</v>
      </c>
      <c r="F371" t="s">
        <v>528</v>
      </c>
      <c r="G371">
        <v>1064</v>
      </c>
      <c r="H371">
        <v>1</v>
      </c>
      <c r="I371" t="s">
        <v>81</v>
      </c>
      <c r="J371">
        <v>0</v>
      </c>
      <c r="K371">
        <v>2</v>
      </c>
      <c r="L371">
        <v>2</v>
      </c>
      <c r="M371">
        <v>175</v>
      </c>
      <c r="N371">
        <v>552</v>
      </c>
      <c r="O371">
        <v>4</v>
      </c>
      <c r="P371">
        <v>548</v>
      </c>
      <c r="Q371">
        <v>43</v>
      </c>
      <c r="R371">
        <v>68</v>
      </c>
      <c r="S371">
        <v>11</v>
      </c>
      <c r="T371">
        <v>36</v>
      </c>
      <c r="U371">
        <v>16</v>
      </c>
      <c r="V371">
        <v>14</v>
      </c>
      <c r="W371">
        <v>2</v>
      </c>
      <c r="X371">
        <v>173</v>
      </c>
      <c r="Y371">
        <v>143</v>
      </c>
      <c r="Z371">
        <v>7</v>
      </c>
      <c r="AA371">
        <v>3</v>
      </c>
      <c r="AB371">
        <v>2</v>
      </c>
      <c r="AC371">
        <v>0</v>
      </c>
      <c r="AD371">
        <v>0</v>
      </c>
      <c r="AE371">
        <v>0</v>
      </c>
      <c r="AF371">
        <v>0</v>
      </c>
      <c r="AK371">
        <v>6</v>
      </c>
      <c r="AL371">
        <v>1</v>
      </c>
      <c r="AM371">
        <v>0</v>
      </c>
      <c r="AN371">
        <v>1</v>
      </c>
      <c r="AT371">
        <v>0</v>
      </c>
      <c r="AU371">
        <v>21</v>
      </c>
      <c r="AV371" t="s">
        <v>315</v>
      </c>
      <c r="AW371">
        <v>547</v>
      </c>
      <c r="AX371">
        <v>704</v>
      </c>
      <c r="BA371">
        <v>1</v>
      </c>
      <c r="BC371" t="s">
        <v>829</v>
      </c>
      <c r="BD371" s="4">
        <v>43283.210416666669</v>
      </c>
      <c r="BE371" s="4">
        <v>43283.2344212963</v>
      </c>
      <c r="BF371" s="4">
        <v>43283.2344212963</v>
      </c>
      <c r="BG371" t="s">
        <v>83</v>
      </c>
      <c r="BH371" t="s">
        <v>84</v>
      </c>
      <c r="BI371" t="s">
        <v>85</v>
      </c>
    </row>
    <row r="372" spans="1:61" x14ac:dyDescent="0.3">
      <c r="A372" t="str">
        <f>"201064E0100"</f>
        <v>201064E0100</v>
      </c>
      <c r="B372" s="2" t="s">
        <v>830</v>
      </c>
      <c r="C372">
        <v>20</v>
      </c>
      <c r="D372" t="s">
        <v>79</v>
      </c>
      <c r="E372">
        <v>2</v>
      </c>
      <c r="F372" t="s">
        <v>528</v>
      </c>
      <c r="G372">
        <v>1064</v>
      </c>
      <c r="H372">
        <v>1</v>
      </c>
      <c r="I372" t="s">
        <v>145</v>
      </c>
      <c r="J372">
        <v>0</v>
      </c>
      <c r="K372">
        <v>2</v>
      </c>
      <c r="L372">
        <v>2</v>
      </c>
      <c r="M372">
        <v>124</v>
      </c>
      <c r="N372">
        <v>367</v>
      </c>
      <c r="O372">
        <v>2</v>
      </c>
      <c r="P372">
        <v>368</v>
      </c>
      <c r="Q372">
        <v>16</v>
      </c>
      <c r="R372">
        <v>20</v>
      </c>
      <c r="S372">
        <v>6</v>
      </c>
      <c r="T372">
        <v>33</v>
      </c>
      <c r="U372">
        <v>12</v>
      </c>
      <c r="V372">
        <v>14</v>
      </c>
      <c r="W372">
        <v>0</v>
      </c>
      <c r="X372">
        <v>129</v>
      </c>
      <c r="Y372">
        <v>109</v>
      </c>
      <c r="Z372">
        <v>5</v>
      </c>
      <c r="AA372">
        <v>1</v>
      </c>
      <c r="AB372">
        <v>2</v>
      </c>
      <c r="AC372">
        <v>0</v>
      </c>
      <c r="AD372">
        <v>0</v>
      </c>
      <c r="AE372">
        <v>0</v>
      </c>
      <c r="AF372">
        <v>0</v>
      </c>
      <c r="AK372">
        <v>1</v>
      </c>
      <c r="AL372">
        <v>0</v>
      </c>
      <c r="AM372">
        <v>0</v>
      </c>
      <c r="AN372">
        <v>0</v>
      </c>
      <c r="AT372">
        <v>0</v>
      </c>
      <c r="AU372">
        <v>20</v>
      </c>
      <c r="AV372">
        <v>368</v>
      </c>
      <c r="AW372">
        <v>368</v>
      </c>
      <c r="AX372">
        <v>469</v>
      </c>
      <c r="BA372">
        <v>1</v>
      </c>
      <c r="BC372" t="s">
        <v>831</v>
      </c>
      <c r="BD372" s="4">
        <v>43283.231944444444</v>
      </c>
      <c r="BE372" s="4">
        <v>43283.253819444442</v>
      </c>
      <c r="BF372" s="4">
        <v>43283.253819444442</v>
      </c>
      <c r="BG372" t="s">
        <v>83</v>
      </c>
      <c r="BH372" t="s">
        <v>84</v>
      </c>
      <c r="BI372" t="s">
        <v>85</v>
      </c>
    </row>
    <row r="373" spans="1:61" x14ac:dyDescent="0.3">
      <c r="A373" t="str">
        <f>"201064E0101"</f>
        <v>201064E0101</v>
      </c>
      <c r="B373" s="2" t="s">
        <v>832</v>
      </c>
      <c r="C373">
        <v>20</v>
      </c>
      <c r="D373" t="s">
        <v>79</v>
      </c>
      <c r="E373">
        <v>2</v>
      </c>
      <c r="F373" t="s">
        <v>528</v>
      </c>
      <c r="G373">
        <v>1064</v>
      </c>
      <c r="H373">
        <v>1</v>
      </c>
      <c r="I373" t="s">
        <v>145</v>
      </c>
      <c r="J373">
        <v>1</v>
      </c>
      <c r="K373">
        <v>2</v>
      </c>
      <c r="L373">
        <v>2</v>
      </c>
      <c r="M373">
        <v>112</v>
      </c>
      <c r="N373">
        <v>380</v>
      </c>
      <c r="O373">
        <v>1</v>
      </c>
      <c r="P373">
        <v>0</v>
      </c>
      <c r="Q373">
        <v>27</v>
      </c>
      <c r="R373">
        <v>8</v>
      </c>
      <c r="S373">
        <v>4</v>
      </c>
      <c r="T373">
        <v>48</v>
      </c>
      <c r="U373">
        <v>14</v>
      </c>
      <c r="V373">
        <v>10</v>
      </c>
      <c r="W373">
        <v>1</v>
      </c>
      <c r="X373">
        <v>118</v>
      </c>
      <c r="Y373">
        <v>114</v>
      </c>
      <c r="Z373">
        <v>6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1</v>
      </c>
      <c r="AK373">
        <v>5</v>
      </c>
      <c r="AL373">
        <v>1</v>
      </c>
      <c r="AM373">
        <v>0</v>
      </c>
      <c r="AN373">
        <v>2</v>
      </c>
      <c r="AT373">
        <v>0</v>
      </c>
      <c r="AU373">
        <v>15</v>
      </c>
      <c r="AV373">
        <v>374</v>
      </c>
      <c r="AW373">
        <v>374</v>
      </c>
      <c r="AX373">
        <v>469</v>
      </c>
      <c r="BA373">
        <v>1</v>
      </c>
      <c r="BC373" t="s">
        <v>833</v>
      </c>
      <c r="BD373" s="4">
        <v>43283.236111111109</v>
      </c>
      <c r="BE373" s="4">
        <v>43283.259699074071</v>
      </c>
      <c r="BF373" s="4">
        <v>43283.259699074071</v>
      </c>
      <c r="BG373" t="s">
        <v>83</v>
      </c>
      <c r="BH373" t="s">
        <v>84</v>
      </c>
      <c r="BI373" t="s">
        <v>85</v>
      </c>
    </row>
    <row r="374" spans="1:61" x14ac:dyDescent="0.3">
      <c r="A374" t="str">
        <f>"201064E0200"</f>
        <v>201064E0200</v>
      </c>
      <c r="B374" s="2" t="s">
        <v>834</v>
      </c>
      <c r="C374">
        <v>20</v>
      </c>
      <c r="D374" t="s">
        <v>79</v>
      </c>
      <c r="E374">
        <v>2</v>
      </c>
      <c r="F374" t="s">
        <v>528</v>
      </c>
      <c r="G374">
        <v>1064</v>
      </c>
      <c r="H374">
        <v>2</v>
      </c>
      <c r="I374" t="s">
        <v>145</v>
      </c>
      <c r="J374">
        <v>0</v>
      </c>
      <c r="K374">
        <v>2</v>
      </c>
      <c r="L374">
        <v>2</v>
      </c>
      <c r="M374">
        <v>97</v>
      </c>
      <c r="N374">
        <v>325</v>
      </c>
      <c r="O374">
        <v>2</v>
      </c>
      <c r="P374">
        <v>325</v>
      </c>
      <c r="Q374">
        <v>46</v>
      </c>
      <c r="R374">
        <v>10</v>
      </c>
      <c r="S374">
        <v>6</v>
      </c>
      <c r="T374">
        <v>5</v>
      </c>
      <c r="U374">
        <v>2</v>
      </c>
      <c r="V374">
        <v>16</v>
      </c>
      <c r="W374">
        <v>2</v>
      </c>
      <c r="X374">
        <v>163</v>
      </c>
      <c r="Y374">
        <v>54</v>
      </c>
      <c r="Z374">
        <v>6</v>
      </c>
      <c r="AA374">
        <v>0</v>
      </c>
      <c r="AB374">
        <v>1</v>
      </c>
      <c r="AC374">
        <v>0</v>
      </c>
      <c r="AD374">
        <v>0</v>
      </c>
      <c r="AE374">
        <v>0</v>
      </c>
      <c r="AF374">
        <v>0</v>
      </c>
      <c r="AK374">
        <v>0</v>
      </c>
      <c r="AL374">
        <v>0</v>
      </c>
      <c r="AM374">
        <v>0</v>
      </c>
      <c r="AN374">
        <v>0</v>
      </c>
      <c r="AT374">
        <v>0</v>
      </c>
      <c r="AU374">
        <v>14</v>
      </c>
      <c r="AV374">
        <v>325</v>
      </c>
      <c r="AW374">
        <v>325</v>
      </c>
      <c r="AX374">
        <v>399</v>
      </c>
      <c r="BA374">
        <v>1</v>
      </c>
      <c r="BC374" t="s">
        <v>835</v>
      </c>
      <c r="BD374" s="4">
        <v>43283.234722222223</v>
      </c>
      <c r="BE374" s="4">
        <v>43283.257361111115</v>
      </c>
      <c r="BF374" s="4">
        <v>43283.257361111115</v>
      </c>
      <c r="BG374" t="s">
        <v>83</v>
      </c>
      <c r="BH374" t="s">
        <v>84</v>
      </c>
      <c r="BI374" t="s">
        <v>85</v>
      </c>
    </row>
    <row r="375" spans="1:61" x14ac:dyDescent="0.3">
      <c r="A375" t="str">
        <f>"201065B0100"</f>
        <v>201065B0100</v>
      </c>
      <c r="B375" t="s">
        <v>836</v>
      </c>
      <c r="C375">
        <v>20</v>
      </c>
      <c r="D375" t="s">
        <v>79</v>
      </c>
      <c r="E375">
        <v>2</v>
      </c>
      <c r="F375" t="s">
        <v>528</v>
      </c>
      <c r="G375">
        <v>1065</v>
      </c>
      <c r="H375">
        <v>1</v>
      </c>
      <c r="I375" t="s">
        <v>81</v>
      </c>
      <c r="J375">
        <v>0</v>
      </c>
      <c r="K375">
        <v>2</v>
      </c>
      <c r="L375">
        <v>2</v>
      </c>
      <c r="M375">
        <v>163</v>
      </c>
      <c r="N375">
        <v>301</v>
      </c>
      <c r="O375">
        <v>2</v>
      </c>
      <c r="P375">
        <v>301</v>
      </c>
      <c r="Q375">
        <v>5</v>
      </c>
      <c r="R375">
        <v>17</v>
      </c>
      <c r="S375">
        <v>2</v>
      </c>
      <c r="T375">
        <v>2</v>
      </c>
      <c r="U375">
        <v>8</v>
      </c>
      <c r="V375">
        <v>5</v>
      </c>
      <c r="W375">
        <v>2</v>
      </c>
      <c r="X375">
        <v>111</v>
      </c>
      <c r="Y375">
        <v>113</v>
      </c>
      <c r="Z375">
        <v>12</v>
      </c>
      <c r="AA375">
        <v>0</v>
      </c>
      <c r="AB375">
        <v>2</v>
      </c>
      <c r="AC375">
        <v>0</v>
      </c>
      <c r="AD375">
        <v>0</v>
      </c>
      <c r="AE375">
        <v>1</v>
      </c>
      <c r="AF375">
        <v>0</v>
      </c>
      <c r="AK375">
        <v>5</v>
      </c>
      <c r="AL375">
        <v>1</v>
      </c>
      <c r="AM375">
        <v>0</v>
      </c>
      <c r="AN375">
        <v>1</v>
      </c>
      <c r="AT375">
        <v>0</v>
      </c>
      <c r="AU375">
        <v>14</v>
      </c>
      <c r="AV375">
        <v>301</v>
      </c>
      <c r="AW375">
        <v>301</v>
      </c>
      <c r="AX375">
        <v>441</v>
      </c>
      <c r="BA375">
        <v>1</v>
      </c>
      <c r="BC375" t="s">
        <v>837</v>
      </c>
      <c r="BD375" s="4">
        <v>43283.104166666664</v>
      </c>
      <c r="BE375" s="4">
        <v>43283.107824074075</v>
      </c>
      <c r="BF375" s="4">
        <v>43283.107824074075</v>
      </c>
      <c r="BG375" t="s">
        <v>83</v>
      </c>
      <c r="BH375" t="s">
        <v>84</v>
      </c>
      <c r="BI375" t="s">
        <v>548</v>
      </c>
    </row>
    <row r="376" spans="1:61" x14ac:dyDescent="0.3">
      <c r="A376" t="str">
        <f>"201065C0100"</f>
        <v>201065C0100</v>
      </c>
      <c r="B376" t="s">
        <v>838</v>
      </c>
      <c r="C376">
        <v>20</v>
      </c>
      <c r="D376" t="s">
        <v>79</v>
      </c>
      <c r="E376">
        <v>2</v>
      </c>
      <c r="F376" t="s">
        <v>528</v>
      </c>
      <c r="G376">
        <v>1065</v>
      </c>
      <c r="H376">
        <v>1</v>
      </c>
      <c r="I376" t="s">
        <v>89</v>
      </c>
      <c r="J376">
        <v>0</v>
      </c>
      <c r="K376">
        <v>2</v>
      </c>
      <c r="L376">
        <v>2</v>
      </c>
      <c r="M376">
        <v>149</v>
      </c>
      <c r="N376">
        <v>314</v>
      </c>
      <c r="O376">
        <v>5</v>
      </c>
      <c r="P376">
        <v>314</v>
      </c>
      <c r="Q376">
        <v>17</v>
      </c>
      <c r="R376">
        <v>13</v>
      </c>
      <c r="S376">
        <v>1</v>
      </c>
      <c r="T376">
        <v>13</v>
      </c>
      <c r="U376">
        <v>6</v>
      </c>
      <c r="V376">
        <v>5</v>
      </c>
      <c r="W376">
        <v>0</v>
      </c>
      <c r="X376">
        <v>136</v>
      </c>
      <c r="Y376">
        <v>92</v>
      </c>
      <c r="Z376">
        <v>5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K376">
        <v>5</v>
      </c>
      <c r="AL376">
        <v>0</v>
      </c>
      <c r="AM376">
        <v>0</v>
      </c>
      <c r="AN376">
        <v>2</v>
      </c>
      <c r="AT376">
        <v>0</v>
      </c>
      <c r="AU376">
        <v>13</v>
      </c>
      <c r="AV376">
        <v>308</v>
      </c>
      <c r="AW376">
        <v>308</v>
      </c>
      <c r="AX376">
        <v>441</v>
      </c>
      <c r="BA376">
        <v>1</v>
      </c>
      <c r="BC376" t="s">
        <v>839</v>
      </c>
      <c r="BD376" s="4">
        <v>43283.105555555558</v>
      </c>
      <c r="BE376" s="4">
        <v>43283.111759259256</v>
      </c>
      <c r="BF376" s="4">
        <v>43283.111759259256</v>
      </c>
      <c r="BG376" t="s">
        <v>83</v>
      </c>
      <c r="BH376" t="s">
        <v>84</v>
      </c>
      <c r="BI376" t="s">
        <v>85</v>
      </c>
    </row>
    <row r="377" spans="1:61" x14ac:dyDescent="0.3">
      <c r="A377" t="str">
        <f>"201065E0100"</f>
        <v>201065E0100</v>
      </c>
      <c r="B377" s="2" t="s">
        <v>840</v>
      </c>
      <c r="C377">
        <v>20</v>
      </c>
      <c r="D377" t="s">
        <v>79</v>
      </c>
      <c r="E377">
        <v>2</v>
      </c>
      <c r="F377" t="s">
        <v>528</v>
      </c>
      <c r="G377">
        <v>1065</v>
      </c>
      <c r="H377">
        <v>1</v>
      </c>
      <c r="I377" t="s">
        <v>145</v>
      </c>
      <c r="J377">
        <v>0</v>
      </c>
      <c r="K377">
        <v>2</v>
      </c>
      <c r="L377">
        <v>2</v>
      </c>
      <c r="M377">
        <v>82</v>
      </c>
      <c r="N377">
        <v>291</v>
      </c>
      <c r="O377">
        <v>3</v>
      </c>
      <c r="P377" t="s">
        <v>100</v>
      </c>
      <c r="Q377">
        <v>2</v>
      </c>
      <c r="R377">
        <v>4</v>
      </c>
      <c r="S377">
        <v>2</v>
      </c>
      <c r="T377">
        <v>14</v>
      </c>
      <c r="U377">
        <v>6</v>
      </c>
      <c r="V377">
        <v>0</v>
      </c>
      <c r="W377">
        <v>1</v>
      </c>
      <c r="X377">
        <v>59</v>
      </c>
      <c r="Y377">
        <v>106</v>
      </c>
      <c r="Z377">
        <v>8</v>
      </c>
      <c r="AA377">
        <v>0</v>
      </c>
      <c r="AB377" t="s">
        <v>100</v>
      </c>
      <c r="AC377" t="s">
        <v>100</v>
      </c>
      <c r="AD377" t="s">
        <v>100</v>
      </c>
      <c r="AE377" t="s">
        <v>100</v>
      </c>
      <c r="AF377" t="s">
        <v>100</v>
      </c>
      <c r="AK377">
        <v>2</v>
      </c>
      <c r="AL377" t="s">
        <v>100</v>
      </c>
      <c r="AM377" t="s">
        <v>100</v>
      </c>
      <c r="AN377">
        <v>1</v>
      </c>
      <c r="AT377" t="s">
        <v>100</v>
      </c>
      <c r="AU377">
        <v>4</v>
      </c>
      <c r="AV377" t="s">
        <v>100</v>
      </c>
      <c r="AW377">
        <v>209</v>
      </c>
      <c r="AX377">
        <v>268</v>
      </c>
      <c r="AZ377" t="s">
        <v>101</v>
      </c>
      <c r="BA377">
        <v>1</v>
      </c>
      <c r="BC377" t="s">
        <v>841</v>
      </c>
      <c r="BD377" s="4">
        <v>43283.006944444445</v>
      </c>
      <c r="BE377" s="4">
        <v>43283.010381944441</v>
      </c>
      <c r="BF377" s="4">
        <v>43283.010381944441</v>
      </c>
      <c r="BG377" t="s">
        <v>83</v>
      </c>
      <c r="BH377" t="s">
        <v>84</v>
      </c>
      <c r="BI377" t="s">
        <v>85</v>
      </c>
    </row>
    <row r="378" spans="1:61" x14ac:dyDescent="0.3">
      <c r="A378" t="str">
        <f>"201065E0200"</f>
        <v>201065E0200</v>
      </c>
      <c r="B378" s="2" t="s">
        <v>842</v>
      </c>
      <c r="C378">
        <v>20</v>
      </c>
      <c r="D378" t="s">
        <v>79</v>
      </c>
      <c r="E378">
        <v>2</v>
      </c>
      <c r="F378" t="s">
        <v>528</v>
      </c>
      <c r="G378">
        <v>1065</v>
      </c>
      <c r="H378">
        <v>2</v>
      </c>
      <c r="I378" t="s">
        <v>145</v>
      </c>
      <c r="J378">
        <v>0</v>
      </c>
      <c r="K378">
        <v>2</v>
      </c>
      <c r="L378">
        <v>2</v>
      </c>
      <c r="M378" t="s">
        <v>100</v>
      </c>
      <c r="N378" t="s">
        <v>100</v>
      </c>
      <c r="O378" t="s">
        <v>100</v>
      </c>
      <c r="P378" t="s">
        <v>100</v>
      </c>
      <c r="Q378">
        <v>13</v>
      </c>
      <c r="R378">
        <v>26</v>
      </c>
      <c r="S378">
        <v>3</v>
      </c>
      <c r="T378">
        <v>24</v>
      </c>
      <c r="U378">
        <v>19</v>
      </c>
      <c r="V378">
        <v>7</v>
      </c>
      <c r="W378">
        <v>1</v>
      </c>
      <c r="X378">
        <v>169</v>
      </c>
      <c r="Y378">
        <v>90</v>
      </c>
      <c r="Z378">
        <v>6</v>
      </c>
      <c r="AA378">
        <v>1</v>
      </c>
      <c r="AB378">
        <v>2</v>
      </c>
      <c r="AC378">
        <v>2</v>
      </c>
      <c r="AD378">
        <v>0</v>
      </c>
      <c r="AE378">
        <v>0</v>
      </c>
      <c r="AF378">
        <v>0</v>
      </c>
      <c r="AK378">
        <v>2</v>
      </c>
      <c r="AL378">
        <v>1</v>
      </c>
      <c r="AM378">
        <v>1</v>
      </c>
      <c r="AN378">
        <v>1</v>
      </c>
      <c r="AT378" t="s">
        <v>100</v>
      </c>
      <c r="AU378">
        <v>20</v>
      </c>
      <c r="AV378">
        <v>388</v>
      </c>
      <c r="AW378">
        <v>388</v>
      </c>
      <c r="AX378">
        <v>528</v>
      </c>
      <c r="AZ378" t="s">
        <v>101</v>
      </c>
      <c r="BA378">
        <v>1</v>
      </c>
      <c r="BC378" s="2" t="s">
        <v>843</v>
      </c>
      <c r="BD378" s="4">
        <v>43283.093055555553</v>
      </c>
      <c r="BE378" s="4">
        <v>43283.098680555559</v>
      </c>
      <c r="BF378" s="4">
        <v>43283.098680555559</v>
      </c>
      <c r="BG378" t="s">
        <v>83</v>
      </c>
      <c r="BH378" t="s">
        <v>84</v>
      </c>
      <c r="BI378" t="s">
        <v>85</v>
      </c>
    </row>
    <row r="379" spans="1:61" x14ac:dyDescent="0.3">
      <c r="A379" t="str">
        <f>"201066B0100"</f>
        <v>201066B0100</v>
      </c>
      <c r="B379" t="s">
        <v>844</v>
      </c>
      <c r="C379">
        <v>20</v>
      </c>
      <c r="D379" t="s">
        <v>79</v>
      </c>
      <c r="E379">
        <v>2</v>
      </c>
      <c r="F379" t="s">
        <v>528</v>
      </c>
      <c r="G379">
        <v>1066</v>
      </c>
      <c r="H379">
        <v>1</v>
      </c>
      <c r="I379" t="s">
        <v>81</v>
      </c>
      <c r="J379">
        <v>0</v>
      </c>
      <c r="K379">
        <v>2</v>
      </c>
      <c r="L379">
        <v>2</v>
      </c>
      <c r="M379">
        <v>61</v>
      </c>
      <c r="N379" t="s">
        <v>315</v>
      </c>
      <c r="O379">
        <v>0</v>
      </c>
      <c r="P379" t="s">
        <v>315</v>
      </c>
      <c r="Q379">
        <v>4</v>
      </c>
      <c r="R379">
        <v>100</v>
      </c>
      <c r="S379">
        <v>0</v>
      </c>
      <c r="T379">
        <v>10</v>
      </c>
      <c r="U379">
        <v>6</v>
      </c>
      <c r="V379">
        <v>1</v>
      </c>
      <c r="W379">
        <v>0</v>
      </c>
      <c r="X379">
        <v>100</v>
      </c>
      <c r="Y379">
        <v>3</v>
      </c>
      <c r="Z379">
        <v>1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K379">
        <v>0</v>
      </c>
      <c r="AL379">
        <v>0</v>
      </c>
      <c r="AM379">
        <v>0</v>
      </c>
      <c r="AN379">
        <v>0</v>
      </c>
      <c r="AT379" t="s">
        <v>100</v>
      </c>
      <c r="AU379" t="s">
        <v>100</v>
      </c>
      <c r="AV379" t="s">
        <v>100</v>
      </c>
      <c r="AW379">
        <v>225</v>
      </c>
      <c r="AX379">
        <v>224</v>
      </c>
      <c r="AZ379" t="s">
        <v>101</v>
      </c>
      <c r="BA379">
        <v>1</v>
      </c>
      <c r="BC379" t="s">
        <v>845</v>
      </c>
      <c r="BD379" s="4">
        <v>43283.199999999997</v>
      </c>
      <c r="BE379" s="4">
        <v>43283.218182870369</v>
      </c>
      <c r="BF379" s="4">
        <v>43283.218182870369</v>
      </c>
      <c r="BG379" t="s">
        <v>83</v>
      </c>
      <c r="BH379" t="s">
        <v>84</v>
      </c>
      <c r="BI379" t="s">
        <v>548</v>
      </c>
    </row>
    <row r="380" spans="1:61" x14ac:dyDescent="0.3">
      <c r="A380" t="str">
        <f>"201066E0100"</f>
        <v>201066E0100</v>
      </c>
      <c r="B380" s="2" t="s">
        <v>846</v>
      </c>
      <c r="C380">
        <v>20</v>
      </c>
      <c r="D380" t="s">
        <v>79</v>
      </c>
      <c r="E380">
        <v>2</v>
      </c>
      <c r="F380" t="s">
        <v>528</v>
      </c>
      <c r="G380">
        <v>1066</v>
      </c>
      <c r="H380">
        <v>1</v>
      </c>
      <c r="I380" t="s">
        <v>145</v>
      </c>
      <c r="J380">
        <v>0</v>
      </c>
      <c r="K380">
        <v>2</v>
      </c>
      <c r="L380">
        <v>2</v>
      </c>
      <c r="M380">
        <v>199</v>
      </c>
      <c r="N380">
        <v>493</v>
      </c>
      <c r="O380">
        <v>1</v>
      </c>
      <c r="P380">
        <v>493</v>
      </c>
      <c r="Q380">
        <v>15</v>
      </c>
      <c r="R380">
        <v>8</v>
      </c>
      <c r="S380">
        <v>4</v>
      </c>
      <c r="T380">
        <v>43</v>
      </c>
      <c r="U380">
        <v>16</v>
      </c>
      <c r="V380">
        <v>3</v>
      </c>
      <c r="W380">
        <v>1</v>
      </c>
      <c r="X380">
        <v>173</v>
      </c>
      <c r="Y380">
        <v>193</v>
      </c>
      <c r="Z380">
        <v>7</v>
      </c>
      <c r="AA380">
        <v>0</v>
      </c>
      <c r="AB380">
        <v>1</v>
      </c>
      <c r="AC380">
        <v>0</v>
      </c>
      <c r="AD380">
        <v>1</v>
      </c>
      <c r="AE380">
        <v>0</v>
      </c>
      <c r="AF380">
        <v>0</v>
      </c>
      <c r="AK380">
        <v>3</v>
      </c>
      <c r="AL380">
        <v>1</v>
      </c>
      <c r="AM380">
        <v>0</v>
      </c>
      <c r="AN380">
        <v>1</v>
      </c>
      <c r="AT380">
        <v>0</v>
      </c>
      <c r="AU380">
        <v>23</v>
      </c>
      <c r="AV380">
        <v>493</v>
      </c>
      <c r="AW380">
        <v>493</v>
      </c>
      <c r="AX380">
        <v>669</v>
      </c>
      <c r="BA380">
        <v>1</v>
      </c>
      <c r="BC380" t="s">
        <v>847</v>
      </c>
      <c r="BD380" s="4">
        <v>43283.197222222225</v>
      </c>
      <c r="BE380" s="4">
        <v>43283.213946759257</v>
      </c>
      <c r="BF380" s="4">
        <v>43283.213946759257</v>
      </c>
      <c r="BG380" t="s">
        <v>83</v>
      </c>
      <c r="BH380" t="s">
        <v>84</v>
      </c>
      <c r="BI380" t="s">
        <v>85</v>
      </c>
    </row>
    <row r="381" spans="1:61" x14ac:dyDescent="0.3">
      <c r="A381" t="str">
        <f>"201067B0100"</f>
        <v>201067B0100</v>
      </c>
      <c r="B381" t="s">
        <v>848</v>
      </c>
      <c r="C381">
        <v>20</v>
      </c>
      <c r="D381" t="s">
        <v>79</v>
      </c>
      <c r="E381">
        <v>2</v>
      </c>
      <c r="F381" t="s">
        <v>528</v>
      </c>
      <c r="G381">
        <v>1067</v>
      </c>
      <c r="H381">
        <v>1</v>
      </c>
      <c r="I381" t="s">
        <v>81</v>
      </c>
      <c r="J381">
        <v>0</v>
      </c>
      <c r="K381">
        <v>2</v>
      </c>
      <c r="L381">
        <v>2</v>
      </c>
      <c r="M381">
        <v>115</v>
      </c>
      <c r="N381">
        <v>359</v>
      </c>
      <c r="O381">
        <v>0</v>
      </c>
      <c r="P381">
        <v>359</v>
      </c>
      <c r="Q381">
        <v>45</v>
      </c>
      <c r="R381">
        <v>16</v>
      </c>
      <c r="S381">
        <v>3</v>
      </c>
      <c r="T381">
        <v>27</v>
      </c>
      <c r="U381">
        <v>6</v>
      </c>
      <c r="V381">
        <v>8</v>
      </c>
      <c r="W381">
        <v>0</v>
      </c>
      <c r="X381">
        <v>174</v>
      </c>
      <c r="Y381">
        <v>55</v>
      </c>
      <c r="Z381">
        <v>7</v>
      </c>
      <c r="AA381">
        <v>1</v>
      </c>
      <c r="AB381">
        <v>0</v>
      </c>
      <c r="AC381">
        <v>0</v>
      </c>
      <c r="AD381">
        <v>0</v>
      </c>
      <c r="AE381">
        <v>1</v>
      </c>
      <c r="AF381">
        <v>0</v>
      </c>
      <c r="AK381">
        <v>2</v>
      </c>
      <c r="AL381">
        <v>0</v>
      </c>
      <c r="AM381">
        <v>0</v>
      </c>
      <c r="AN381">
        <v>0</v>
      </c>
      <c r="AT381">
        <v>0</v>
      </c>
      <c r="AU381">
        <v>14</v>
      </c>
      <c r="AV381">
        <v>359</v>
      </c>
      <c r="AW381">
        <v>359</v>
      </c>
      <c r="AX381">
        <v>452</v>
      </c>
      <c r="BA381">
        <v>1</v>
      </c>
      <c r="BC381" t="s">
        <v>849</v>
      </c>
      <c r="BD381" s="4">
        <v>43283.443055555559</v>
      </c>
      <c r="BE381" s="4">
        <v>43283.452974537038</v>
      </c>
      <c r="BF381" s="4">
        <v>43283.452974537038</v>
      </c>
      <c r="BG381" t="s">
        <v>83</v>
      </c>
      <c r="BH381" t="s">
        <v>84</v>
      </c>
      <c r="BI381" t="s">
        <v>85</v>
      </c>
    </row>
    <row r="382" spans="1:61" x14ac:dyDescent="0.3">
      <c r="A382" t="str">
        <f>"201067C0100"</f>
        <v>201067C0100</v>
      </c>
      <c r="B382" t="s">
        <v>850</v>
      </c>
      <c r="C382">
        <v>20</v>
      </c>
      <c r="D382" t="s">
        <v>79</v>
      </c>
      <c r="E382">
        <v>2</v>
      </c>
      <c r="F382" t="s">
        <v>528</v>
      </c>
      <c r="G382">
        <v>1067</v>
      </c>
      <c r="H382">
        <v>1</v>
      </c>
      <c r="I382" t="s">
        <v>89</v>
      </c>
      <c r="J382">
        <v>0</v>
      </c>
      <c r="K382">
        <v>2</v>
      </c>
      <c r="L382">
        <v>2</v>
      </c>
      <c r="M382">
        <v>97</v>
      </c>
      <c r="N382">
        <v>377</v>
      </c>
      <c r="O382">
        <v>0</v>
      </c>
      <c r="P382">
        <v>377</v>
      </c>
      <c r="Q382">
        <v>39</v>
      </c>
      <c r="R382">
        <v>9</v>
      </c>
      <c r="S382">
        <v>4</v>
      </c>
      <c r="T382">
        <v>34</v>
      </c>
      <c r="U382">
        <v>8</v>
      </c>
      <c r="V382">
        <v>7</v>
      </c>
      <c r="W382">
        <v>2</v>
      </c>
      <c r="X382">
        <v>206</v>
      </c>
      <c r="Y382">
        <v>53</v>
      </c>
      <c r="Z382">
        <v>3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K382">
        <v>1</v>
      </c>
      <c r="AL382">
        <v>0</v>
      </c>
      <c r="AM382">
        <v>0</v>
      </c>
      <c r="AN382">
        <v>0</v>
      </c>
      <c r="AT382">
        <v>0</v>
      </c>
      <c r="AU382">
        <v>11</v>
      </c>
      <c r="AV382">
        <v>377</v>
      </c>
      <c r="AW382">
        <v>377</v>
      </c>
      <c r="AX382">
        <v>451</v>
      </c>
      <c r="BA382">
        <v>1</v>
      </c>
      <c r="BC382" s="2" t="s">
        <v>851</v>
      </c>
      <c r="BD382" s="4">
        <v>43283.446527777778</v>
      </c>
      <c r="BE382" s="4">
        <v>43283.449675925927</v>
      </c>
      <c r="BF382" s="4">
        <v>43283.449675925927</v>
      </c>
      <c r="BG382" t="s">
        <v>83</v>
      </c>
      <c r="BH382" t="s">
        <v>84</v>
      </c>
      <c r="BI382" t="s">
        <v>85</v>
      </c>
    </row>
    <row r="383" spans="1:61" x14ac:dyDescent="0.3">
      <c r="A383" t="str">
        <f>"201068B0100"</f>
        <v>201068B0100</v>
      </c>
      <c r="B383" t="s">
        <v>852</v>
      </c>
      <c r="C383">
        <v>20</v>
      </c>
      <c r="D383" t="s">
        <v>79</v>
      </c>
      <c r="E383">
        <v>2</v>
      </c>
      <c r="F383" t="s">
        <v>528</v>
      </c>
      <c r="G383">
        <v>1068</v>
      </c>
      <c r="H383">
        <v>1</v>
      </c>
      <c r="I383" t="s">
        <v>81</v>
      </c>
      <c r="J383">
        <v>0</v>
      </c>
      <c r="K383">
        <v>2</v>
      </c>
      <c r="L383">
        <v>2</v>
      </c>
      <c r="M383" t="s">
        <v>100</v>
      </c>
      <c r="N383" t="s">
        <v>100</v>
      </c>
      <c r="O383" t="s">
        <v>100</v>
      </c>
      <c r="P383" t="s">
        <v>100</v>
      </c>
      <c r="Q383" t="s">
        <v>100</v>
      </c>
      <c r="R383" t="s">
        <v>100</v>
      </c>
      <c r="S383" t="s">
        <v>100</v>
      </c>
      <c r="T383" t="s">
        <v>100</v>
      </c>
      <c r="U383" t="s">
        <v>100</v>
      </c>
      <c r="V383" t="s">
        <v>100</v>
      </c>
      <c r="W383" t="s">
        <v>100</v>
      </c>
      <c r="X383" t="s">
        <v>100</v>
      </c>
      <c r="Y383" t="s">
        <v>100</v>
      </c>
      <c r="Z383" t="s">
        <v>100</v>
      </c>
      <c r="AA383" t="s">
        <v>100</v>
      </c>
      <c r="AB383" t="s">
        <v>100</v>
      </c>
      <c r="AC383" t="s">
        <v>100</v>
      </c>
      <c r="AD383" t="s">
        <v>100</v>
      </c>
      <c r="AE383" t="s">
        <v>100</v>
      </c>
      <c r="AF383" t="s">
        <v>100</v>
      </c>
      <c r="AK383" t="s">
        <v>100</v>
      </c>
      <c r="AL383" t="s">
        <v>100</v>
      </c>
      <c r="AM383" t="s">
        <v>100</v>
      </c>
      <c r="AN383" t="s">
        <v>100</v>
      </c>
      <c r="AT383" t="s">
        <v>100</v>
      </c>
      <c r="AU383" t="s">
        <v>100</v>
      </c>
      <c r="AX383">
        <v>576</v>
      </c>
      <c r="AZ383" t="s">
        <v>794</v>
      </c>
      <c r="BA383">
        <v>0</v>
      </c>
      <c r="BC383" s="2" t="s">
        <v>853</v>
      </c>
      <c r="BD383" s="4">
        <v>43283.265972222223</v>
      </c>
      <c r="BE383" s="4">
        <v>43283.295787037037</v>
      </c>
      <c r="BF383" s="4">
        <v>43283.295787037037</v>
      </c>
      <c r="BG383" t="s">
        <v>83</v>
      </c>
      <c r="BH383" t="s">
        <v>84</v>
      </c>
      <c r="BI383" t="s">
        <v>85</v>
      </c>
    </row>
    <row r="384" spans="1:61" x14ac:dyDescent="0.3">
      <c r="A384" t="str">
        <f>"201068C0100"</f>
        <v>201068C0100</v>
      </c>
      <c r="B384" t="s">
        <v>854</v>
      </c>
      <c r="C384">
        <v>20</v>
      </c>
      <c r="D384" t="s">
        <v>79</v>
      </c>
      <c r="E384">
        <v>2</v>
      </c>
      <c r="F384" t="s">
        <v>528</v>
      </c>
      <c r="G384">
        <v>1068</v>
      </c>
      <c r="H384">
        <v>1</v>
      </c>
      <c r="I384" t="s">
        <v>89</v>
      </c>
      <c r="J384">
        <v>0</v>
      </c>
      <c r="K384">
        <v>2</v>
      </c>
      <c r="L384">
        <v>2</v>
      </c>
      <c r="M384">
        <v>205</v>
      </c>
      <c r="N384">
        <v>393</v>
      </c>
      <c r="O384">
        <v>2</v>
      </c>
      <c r="P384" t="s">
        <v>100</v>
      </c>
      <c r="Q384">
        <v>15</v>
      </c>
      <c r="R384">
        <v>20</v>
      </c>
      <c r="S384">
        <v>11</v>
      </c>
      <c r="T384">
        <v>17</v>
      </c>
      <c r="U384">
        <v>11</v>
      </c>
      <c r="V384">
        <v>21</v>
      </c>
      <c r="W384">
        <v>3</v>
      </c>
      <c r="X384">
        <v>134</v>
      </c>
      <c r="Y384">
        <v>125</v>
      </c>
      <c r="Z384">
        <v>8</v>
      </c>
      <c r="AA384">
        <v>0</v>
      </c>
      <c r="AB384">
        <v>2</v>
      </c>
      <c r="AC384">
        <v>0</v>
      </c>
      <c r="AD384">
        <v>1</v>
      </c>
      <c r="AE384">
        <v>0</v>
      </c>
      <c r="AF384">
        <v>0</v>
      </c>
      <c r="AK384">
        <v>4</v>
      </c>
      <c r="AL384">
        <v>0</v>
      </c>
      <c r="AM384">
        <v>0</v>
      </c>
      <c r="AN384">
        <v>0</v>
      </c>
      <c r="AT384">
        <v>0</v>
      </c>
      <c r="AU384">
        <v>18</v>
      </c>
      <c r="AV384">
        <v>390</v>
      </c>
      <c r="AW384">
        <v>390</v>
      </c>
      <c r="AX384">
        <v>575</v>
      </c>
      <c r="BA384">
        <v>1</v>
      </c>
      <c r="BC384" t="s">
        <v>855</v>
      </c>
      <c r="BD384" s="4">
        <v>43283.265277777777</v>
      </c>
      <c r="BE384" s="4">
        <v>43283.291400462964</v>
      </c>
      <c r="BF384" s="4">
        <v>43283.291400462964</v>
      </c>
      <c r="BG384" t="s">
        <v>83</v>
      </c>
      <c r="BH384" t="s">
        <v>84</v>
      </c>
      <c r="BI384" t="s">
        <v>85</v>
      </c>
    </row>
    <row r="385" spans="1:61" x14ac:dyDescent="0.3">
      <c r="A385" t="str">
        <f>"201069B0100"</f>
        <v>201069B0100</v>
      </c>
      <c r="B385" t="s">
        <v>856</v>
      </c>
      <c r="C385">
        <v>20</v>
      </c>
      <c r="D385" t="s">
        <v>79</v>
      </c>
      <c r="E385">
        <v>2</v>
      </c>
      <c r="F385" t="s">
        <v>528</v>
      </c>
      <c r="G385">
        <v>1069</v>
      </c>
      <c r="H385">
        <v>1</v>
      </c>
      <c r="I385" t="s">
        <v>81</v>
      </c>
      <c r="J385">
        <v>0</v>
      </c>
      <c r="K385">
        <v>1</v>
      </c>
      <c r="L385">
        <v>2</v>
      </c>
      <c r="M385">
        <v>242</v>
      </c>
      <c r="N385">
        <v>395</v>
      </c>
      <c r="O385">
        <v>3</v>
      </c>
      <c r="P385">
        <v>395</v>
      </c>
      <c r="Q385">
        <v>26</v>
      </c>
      <c r="R385">
        <v>12</v>
      </c>
      <c r="S385">
        <v>9</v>
      </c>
      <c r="T385">
        <v>12</v>
      </c>
      <c r="U385">
        <v>9</v>
      </c>
      <c r="V385">
        <v>7</v>
      </c>
      <c r="W385">
        <v>1</v>
      </c>
      <c r="X385">
        <v>136</v>
      </c>
      <c r="Y385">
        <v>163</v>
      </c>
      <c r="Z385">
        <v>6</v>
      </c>
      <c r="AA385">
        <v>1</v>
      </c>
      <c r="AB385">
        <v>1</v>
      </c>
      <c r="AC385" t="s">
        <v>100</v>
      </c>
      <c r="AD385" t="s">
        <v>100</v>
      </c>
      <c r="AE385" t="s">
        <v>100</v>
      </c>
      <c r="AF385" t="s">
        <v>100</v>
      </c>
      <c r="AK385" t="s">
        <v>100</v>
      </c>
      <c r="AL385" t="s">
        <v>100</v>
      </c>
      <c r="AM385" t="s">
        <v>100</v>
      </c>
      <c r="AN385" t="s">
        <v>100</v>
      </c>
      <c r="AT385" t="s">
        <v>100</v>
      </c>
      <c r="AU385">
        <v>16</v>
      </c>
      <c r="AV385">
        <v>399</v>
      </c>
      <c r="AW385">
        <v>399</v>
      </c>
      <c r="AX385">
        <v>615</v>
      </c>
      <c r="AZ385" t="s">
        <v>101</v>
      </c>
      <c r="BA385">
        <v>1</v>
      </c>
      <c r="BC385" t="s">
        <v>857</v>
      </c>
      <c r="BD385" s="4">
        <v>43283.123611111114</v>
      </c>
      <c r="BE385" s="4">
        <v>43283.12809027778</v>
      </c>
      <c r="BF385" s="4">
        <v>43283.12809027778</v>
      </c>
      <c r="BG385" t="s">
        <v>83</v>
      </c>
      <c r="BH385" t="s">
        <v>84</v>
      </c>
      <c r="BI385" t="s">
        <v>85</v>
      </c>
    </row>
    <row r="386" spans="1:61" x14ac:dyDescent="0.3">
      <c r="A386" t="str">
        <f>"201069C0100"</f>
        <v>201069C0100</v>
      </c>
      <c r="B386" t="s">
        <v>858</v>
      </c>
      <c r="C386">
        <v>20</v>
      </c>
      <c r="D386" t="s">
        <v>79</v>
      </c>
      <c r="E386">
        <v>2</v>
      </c>
      <c r="F386" t="s">
        <v>528</v>
      </c>
      <c r="G386">
        <v>1069</v>
      </c>
      <c r="H386">
        <v>1</v>
      </c>
      <c r="I386" t="s">
        <v>89</v>
      </c>
      <c r="J386">
        <v>0</v>
      </c>
      <c r="K386">
        <v>1</v>
      </c>
      <c r="L386">
        <v>2</v>
      </c>
      <c r="M386">
        <v>249</v>
      </c>
      <c r="N386">
        <v>373</v>
      </c>
      <c r="O386">
        <v>5</v>
      </c>
      <c r="P386">
        <v>373</v>
      </c>
      <c r="Q386">
        <v>23</v>
      </c>
      <c r="R386">
        <v>12</v>
      </c>
      <c r="S386">
        <v>7</v>
      </c>
      <c r="T386">
        <v>13</v>
      </c>
      <c r="U386">
        <v>12</v>
      </c>
      <c r="V386">
        <v>8</v>
      </c>
      <c r="W386">
        <v>2</v>
      </c>
      <c r="X386">
        <v>127</v>
      </c>
      <c r="Y386">
        <v>143</v>
      </c>
      <c r="Z386">
        <v>12</v>
      </c>
      <c r="AA386">
        <v>1</v>
      </c>
      <c r="AB386">
        <v>0</v>
      </c>
      <c r="AC386">
        <v>0</v>
      </c>
      <c r="AD386">
        <v>0</v>
      </c>
      <c r="AE386">
        <v>0</v>
      </c>
      <c r="AF386">
        <v>0</v>
      </c>
      <c r="AK386">
        <v>4</v>
      </c>
      <c r="AL386">
        <v>0</v>
      </c>
      <c r="AM386">
        <v>0</v>
      </c>
      <c r="AN386">
        <v>2</v>
      </c>
      <c r="AT386">
        <v>0</v>
      </c>
      <c r="AU386">
        <v>15</v>
      </c>
      <c r="AV386">
        <v>381</v>
      </c>
      <c r="AW386">
        <v>381</v>
      </c>
      <c r="AX386">
        <v>614</v>
      </c>
      <c r="BA386">
        <v>1</v>
      </c>
      <c r="BC386" s="2" t="s">
        <v>859</v>
      </c>
      <c r="BD386" s="4">
        <v>43283.125694444447</v>
      </c>
      <c r="BE386" s="4">
        <v>43283.130844907406</v>
      </c>
      <c r="BF386" s="4">
        <v>43283.130844907406</v>
      </c>
      <c r="BG386" t="s">
        <v>83</v>
      </c>
      <c r="BH386" t="s">
        <v>84</v>
      </c>
      <c r="BI386" t="s">
        <v>85</v>
      </c>
    </row>
    <row r="387" spans="1:61" x14ac:dyDescent="0.3">
      <c r="A387" t="str">
        <f>"201069C0200"</f>
        <v>201069C0200</v>
      </c>
      <c r="B387" t="s">
        <v>860</v>
      </c>
      <c r="C387">
        <v>20</v>
      </c>
      <c r="D387" t="s">
        <v>79</v>
      </c>
      <c r="E387">
        <v>2</v>
      </c>
      <c r="F387" t="s">
        <v>528</v>
      </c>
      <c r="G387">
        <v>1069</v>
      </c>
      <c r="H387">
        <v>2</v>
      </c>
      <c r="I387" t="s">
        <v>89</v>
      </c>
      <c r="J387">
        <v>0</v>
      </c>
      <c r="K387">
        <v>1</v>
      </c>
      <c r="L387">
        <v>2</v>
      </c>
      <c r="AX387">
        <v>614</v>
      </c>
      <c r="AZ387" t="s">
        <v>156</v>
      </c>
      <c r="BA387">
        <v>0</v>
      </c>
      <c r="BC387" t="s">
        <v>861</v>
      </c>
      <c r="BD387" s="4">
        <v>43283.527777777781</v>
      </c>
      <c r="BE387" s="4">
        <v>43283.52920138889</v>
      </c>
      <c r="BF387" s="4">
        <v>43283.52920138889</v>
      </c>
      <c r="BG387" t="s">
        <v>83</v>
      </c>
      <c r="BH387" t="s">
        <v>84</v>
      </c>
      <c r="BI387" t="s">
        <v>85</v>
      </c>
    </row>
    <row r="388" spans="1:61" x14ac:dyDescent="0.3">
      <c r="A388" t="str">
        <f>"201069C0300"</f>
        <v>201069C0300</v>
      </c>
      <c r="B388" t="s">
        <v>862</v>
      </c>
      <c r="C388">
        <v>20</v>
      </c>
      <c r="D388" t="s">
        <v>79</v>
      </c>
      <c r="E388">
        <v>2</v>
      </c>
      <c r="F388" t="s">
        <v>528</v>
      </c>
      <c r="G388">
        <v>1069</v>
      </c>
      <c r="H388">
        <v>3</v>
      </c>
      <c r="I388" t="s">
        <v>89</v>
      </c>
      <c r="J388">
        <v>0</v>
      </c>
      <c r="K388">
        <v>1</v>
      </c>
      <c r="L388">
        <v>2</v>
      </c>
      <c r="M388">
        <v>238</v>
      </c>
      <c r="N388">
        <v>399</v>
      </c>
      <c r="O388">
        <v>8</v>
      </c>
      <c r="P388">
        <v>395</v>
      </c>
      <c r="Q388">
        <v>18</v>
      </c>
      <c r="R388">
        <v>17</v>
      </c>
      <c r="S388">
        <v>4</v>
      </c>
      <c r="T388">
        <v>17</v>
      </c>
      <c r="U388">
        <v>8</v>
      </c>
      <c r="V388">
        <v>1</v>
      </c>
      <c r="W388">
        <v>1</v>
      </c>
      <c r="X388">
        <v>162</v>
      </c>
      <c r="Y388">
        <v>138</v>
      </c>
      <c r="Z388">
        <v>10</v>
      </c>
      <c r="AA388">
        <v>1</v>
      </c>
      <c r="AB388">
        <v>2</v>
      </c>
      <c r="AC388">
        <v>0</v>
      </c>
      <c r="AD388">
        <v>0</v>
      </c>
      <c r="AE388">
        <v>0</v>
      </c>
      <c r="AF388">
        <v>0</v>
      </c>
      <c r="AK388">
        <v>5</v>
      </c>
      <c r="AL388">
        <v>0</v>
      </c>
      <c r="AM388">
        <v>0</v>
      </c>
      <c r="AN388">
        <v>0</v>
      </c>
      <c r="AT388">
        <v>0</v>
      </c>
      <c r="AU388">
        <v>11</v>
      </c>
      <c r="AV388">
        <v>395</v>
      </c>
      <c r="AW388">
        <v>395</v>
      </c>
      <c r="AX388">
        <v>614</v>
      </c>
      <c r="BA388">
        <v>1</v>
      </c>
      <c r="BC388" t="s">
        <v>863</v>
      </c>
      <c r="BD388" s="4">
        <v>43283.122916666667</v>
      </c>
      <c r="BE388" s="4">
        <v>43283.126238425924</v>
      </c>
      <c r="BF388" s="4">
        <v>43283.126238425924</v>
      </c>
      <c r="BG388" t="s">
        <v>83</v>
      </c>
      <c r="BH388" t="s">
        <v>84</v>
      </c>
      <c r="BI388" t="s">
        <v>85</v>
      </c>
    </row>
    <row r="389" spans="1:61" x14ac:dyDescent="0.3">
      <c r="A389" t="str">
        <f>"201069C0400"</f>
        <v>201069C0400</v>
      </c>
      <c r="B389" t="s">
        <v>864</v>
      </c>
      <c r="C389">
        <v>20</v>
      </c>
      <c r="D389" t="s">
        <v>79</v>
      </c>
      <c r="E389">
        <v>2</v>
      </c>
      <c r="F389" t="s">
        <v>528</v>
      </c>
      <c r="G389">
        <v>1069</v>
      </c>
      <c r="H389">
        <v>4</v>
      </c>
      <c r="I389" t="s">
        <v>89</v>
      </c>
      <c r="J389">
        <v>0</v>
      </c>
      <c r="K389">
        <v>1</v>
      </c>
      <c r="L389">
        <v>2</v>
      </c>
      <c r="M389">
        <v>253</v>
      </c>
      <c r="N389">
        <v>10</v>
      </c>
      <c r="O389">
        <v>10</v>
      </c>
      <c r="P389" t="s">
        <v>315</v>
      </c>
      <c r="Q389">
        <v>10</v>
      </c>
      <c r="R389">
        <v>14</v>
      </c>
      <c r="S389">
        <v>7</v>
      </c>
      <c r="T389">
        <v>8</v>
      </c>
      <c r="U389">
        <v>11</v>
      </c>
      <c r="V389">
        <v>12</v>
      </c>
      <c r="W389">
        <v>3</v>
      </c>
      <c r="X389">
        <v>167</v>
      </c>
      <c r="Y389">
        <v>153</v>
      </c>
      <c r="Z389">
        <v>7</v>
      </c>
      <c r="AA389">
        <v>1</v>
      </c>
      <c r="AB389">
        <v>1</v>
      </c>
      <c r="AC389" t="s">
        <v>100</v>
      </c>
      <c r="AD389" t="s">
        <v>100</v>
      </c>
      <c r="AE389" t="s">
        <v>100</v>
      </c>
      <c r="AF389" t="s">
        <v>100</v>
      </c>
      <c r="AK389" t="s">
        <v>100</v>
      </c>
      <c r="AL389" t="s">
        <v>100</v>
      </c>
      <c r="AM389" t="s">
        <v>100</v>
      </c>
      <c r="AN389" t="s">
        <v>100</v>
      </c>
      <c r="AT389" t="s">
        <v>100</v>
      </c>
      <c r="AU389">
        <v>13</v>
      </c>
      <c r="AV389">
        <v>416</v>
      </c>
      <c r="AW389">
        <v>407</v>
      </c>
      <c r="AX389">
        <v>614</v>
      </c>
      <c r="AZ389" t="s">
        <v>101</v>
      </c>
      <c r="BA389">
        <v>1</v>
      </c>
      <c r="BC389" t="s">
        <v>865</v>
      </c>
      <c r="BD389" s="4">
        <v>43283.12777777778</v>
      </c>
      <c r="BE389" s="4">
        <v>43283.131296296298</v>
      </c>
      <c r="BF389" s="4">
        <v>43283.131296296298</v>
      </c>
      <c r="BG389" t="s">
        <v>83</v>
      </c>
      <c r="BH389" t="s">
        <v>84</v>
      </c>
      <c r="BI389" t="s">
        <v>85</v>
      </c>
    </row>
    <row r="390" spans="1:61" x14ac:dyDescent="0.3">
      <c r="A390" t="str">
        <f>"201070B0100"</f>
        <v>201070B0100</v>
      </c>
      <c r="B390" t="s">
        <v>866</v>
      </c>
      <c r="C390">
        <v>20</v>
      </c>
      <c r="D390" t="s">
        <v>79</v>
      </c>
      <c r="E390">
        <v>2</v>
      </c>
      <c r="F390" t="s">
        <v>528</v>
      </c>
      <c r="G390">
        <v>1070</v>
      </c>
      <c r="H390">
        <v>1</v>
      </c>
      <c r="I390" t="s">
        <v>81</v>
      </c>
      <c r="J390">
        <v>0</v>
      </c>
      <c r="K390">
        <v>2</v>
      </c>
      <c r="L390">
        <v>2</v>
      </c>
      <c r="M390">
        <v>140</v>
      </c>
      <c r="N390">
        <v>474</v>
      </c>
      <c r="O390">
        <v>7</v>
      </c>
      <c r="P390">
        <v>474</v>
      </c>
      <c r="Q390">
        <v>26</v>
      </c>
      <c r="R390">
        <v>10</v>
      </c>
      <c r="S390">
        <v>5</v>
      </c>
      <c r="T390">
        <v>91</v>
      </c>
      <c r="U390">
        <v>16</v>
      </c>
      <c r="V390">
        <v>2</v>
      </c>
      <c r="W390">
        <v>0</v>
      </c>
      <c r="X390">
        <v>195</v>
      </c>
      <c r="Y390">
        <v>100</v>
      </c>
      <c r="Z390">
        <v>2</v>
      </c>
      <c r="AA390">
        <v>2</v>
      </c>
      <c r="AB390">
        <v>1</v>
      </c>
      <c r="AC390">
        <v>0</v>
      </c>
      <c r="AD390">
        <v>0</v>
      </c>
      <c r="AE390">
        <v>0</v>
      </c>
      <c r="AF390">
        <v>0</v>
      </c>
      <c r="AK390">
        <v>1</v>
      </c>
      <c r="AL390">
        <v>0</v>
      </c>
      <c r="AM390">
        <v>0</v>
      </c>
      <c r="AN390">
        <v>0</v>
      </c>
      <c r="AT390">
        <v>0</v>
      </c>
      <c r="AU390">
        <v>23</v>
      </c>
      <c r="AV390">
        <v>474</v>
      </c>
      <c r="AW390">
        <v>474</v>
      </c>
      <c r="AX390">
        <v>591</v>
      </c>
      <c r="BA390">
        <v>1</v>
      </c>
      <c r="BC390" t="s">
        <v>867</v>
      </c>
      <c r="BD390" s="4">
        <v>43283.155555555553</v>
      </c>
      <c r="BE390" s="4">
        <v>43283.167615740742</v>
      </c>
      <c r="BF390" s="4">
        <v>43283.167615740742</v>
      </c>
      <c r="BG390" t="s">
        <v>83</v>
      </c>
      <c r="BH390" t="s">
        <v>84</v>
      </c>
      <c r="BI390" t="s">
        <v>85</v>
      </c>
    </row>
    <row r="391" spans="1:61" x14ac:dyDescent="0.3">
      <c r="A391" t="str">
        <f>"201070E0100"</f>
        <v>201070E0100</v>
      </c>
      <c r="B391" s="2" t="s">
        <v>868</v>
      </c>
      <c r="C391">
        <v>20</v>
      </c>
      <c r="D391" t="s">
        <v>79</v>
      </c>
      <c r="E391">
        <v>2</v>
      </c>
      <c r="F391" t="s">
        <v>528</v>
      </c>
      <c r="G391">
        <v>1070</v>
      </c>
      <c r="H391">
        <v>1</v>
      </c>
      <c r="I391" t="s">
        <v>145</v>
      </c>
      <c r="J391">
        <v>0</v>
      </c>
      <c r="K391">
        <v>2</v>
      </c>
      <c r="L391">
        <v>2</v>
      </c>
      <c r="M391">
        <v>238</v>
      </c>
      <c r="N391">
        <v>556</v>
      </c>
      <c r="O391">
        <v>0</v>
      </c>
      <c r="P391">
        <v>556</v>
      </c>
      <c r="Q391">
        <v>11</v>
      </c>
      <c r="R391">
        <v>34</v>
      </c>
      <c r="S391">
        <v>3</v>
      </c>
      <c r="T391">
        <v>77</v>
      </c>
      <c r="U391">
        <v>12</v>
      </c>
      <c r="V391">
        <v>9</v>
      </c>
      <c r="W391" t="s">
        <v>100</v>
      </c>
      <c r="X391">
        <v>258</v>
      </c>
      <c r="Y391">
        <v>122</v>
      </c>
      <c r="Z391">
        <v>2</v>
      </c>
      <c r="AA391">
        <v>2</v>
      </c>
      <c r="AB391" t="s">
        <v>100</v>
      </c>
      <c r="AC391" t="s">
        <v>100</v>
      </c>
      <c r="AD391" t="s">
        <v>100</v>
      </c>
      <c r="AE391" t="s">
        <v>100</v>
      </c>
      <c r="AF391" t="s">
        <v>100</v>
      </c>
      <c r="AK391" t="s">
        <v>100</v>
      </c>
      <c r="AL391" t="s">
        <v>100</v>
      </c>
      <c r="AM391" t="s">
        <v>100</v>
      </c>
      <c r="AN391" t="s">
        <v>100</v>
      </c>
      <c r="AT391" t="s">
        <v>100</v>
      </c>
      <c r="AU391">
        <v>26</v>
      </c>
      <c r="AV391">
        <v>556</v>
      </c>
      <c r="AW391">
        <v>556</v>
      </c>
      <c r="AX391">
        <v>745</v>
      </c>
      <c r="AZ391" t="s">
        <v>101</v>
      </c>
      <c r="BA391">
        <v>1</v>
      </c>
      <c r="BC391" t="s">
        <v>869</v>
      </c>
      <c r="BD391" s="4">
        <v>43283.195833333331</v>
      </c>
      <c r="BE391" s="4">
        <v>43283.211828703701</v>
      </c>
      <c r="BF391" s="4">
        <v>43283.211828703701</v>
      </c>
      <c r="BG391" t="s">
        <v>83</v>
      </c>
      <c r="BH391" t="s">
        <v>84</v>
      </c>
      <c r="BI391" t="s">
        <v>85</v>
      </c>
    </row>
    <row r="392" spans="1:61" x14ac:dyDescent="0.3">
      <c r="A392" t="str">
        <f>"201071B0100"</f>
        <v>201071B0100</v>
      </c>
      <c r="B392" t="s">
        <v>870</v>
      </c>
      <c r="C392">
        <v>20</v>
      </c>
      <c r="D392" t="s">
        <v>79</v>
      </c>
      <c r="E392">
        <v>2</v>
      </c>
      <c r="F392" t="s">
        <v>528</v>
      </c>
      <c r="G392">
        <v>1071</v>
      </c>
      <c r="H392">
        <v>1</v>
      </c>
      <c r="I392" t="s">
        <v>81</v>
      </c>
      <c r="J392">
        <v>0</v>
      </c>
      <c r="K392">
        <v>2</v>
      </c>
      <c r="L392">
        <v>2</v>
      </c>
      <c r="M392">
        <v>148</v>
      </c>
      <c r="N392" t="s">
        <v>100</v>
      </c>
      <c r="O392">
        <v>1</v>
      </c>
      <c r="P392" t="s">
        <v>100</v>
      </c>
      <c r="Q392">
        <v>20</v>
      </c>
      <c r="R392">
        <v>24</v>
      </c>
      <c r="S392">
        <v>6</v>
      </c>
      <c r="T392">
        <v>52</v>
      </c>
      <c r="U392">
        <v>12</v>
      </c>
      <c r="V392">
        <v>11</v>
      </c>
      <c r="W392" t="s">
        <v>100</v>
      </c>
      <c r="X392">
        <v>181</v>
      </c>
      <c r="Y392">
        <v>78</v>
      </c>
      <c r="Z392">
        <v>5</v>
      </c>
      <c r="AA392">
        <v>1</v>
      </c>
      <c r="AB392" t="s">
        <v>100</v>
      </c>
      <c r="AC392" t="s">
        <v>100</v>
      </c>
      <c r="AD392" t="s">
        <v>100</v>
      </c>
      <c r="AE392" t="s">
        <v>100</v>
      </c>
      <c r="AF392" t="s">
        <v>100</v>
      </c>
      <c r="AK392">
        <v>3</v>
      </c>
      <c r="AL392" t="s">
        <v>100</v>
      </c>
      <c r="AM392" t="s">
        <v>100</v>
      </c>
      <c r="AN392">
        <v>1</v>
      </c>
      <c r="AT392" t="s">
        <v>100</v>
      </c>
      <c r="AU392">
        <v>21</v>
      </c>
      <c r="AV392">
        <v>416</v>
      </c>
      <c r="AW392">
        <v>415</v>
      </c>
      <c r="AX392">
        <v>541</v>
      </c>
      <c r="AZ392" t="s">
        <v>101</v>
      </c>
      <c r="BA392">
        <v>1</v>
      </c>
      <c r="BC392" t="s">
        <v>871</v>
      </c>
      <c r="BD392" s="4">
        <v>43283.157638888886</v>
      </c>
      <c r="BE392" s="4">
        <v>43283.167939814812</v>
      </c>
      <c r="BF392" s="4">
        <v>43283.167939814812</v>
      </c>
      <c r="BG392" t="s">
        <v>83</v>
      </c>
      <c r="BH392" t="s">
        <v>84</v>
      </c>
      <c r="BI392" t="s">
        <v>85</v>
      </c>
    </row>
    <row r="393" spans="1:61" x14ac:dyDescent="0.3">
      <c r="A393" t="str">
        <f>"201072B0100"</f>
        <v>201072B0100</v>
      </c>
      <c r="B393" t="s">
        <v>872</v>
      </c>
      <c r="C393">
        <v>20</v>
      </c>
      <c r="D393" t="s">
        <v>79</v>
      </c>
      <c r="E393">
        <v>2</v>
      </c>
      <c r="F393" t="s">
        <v>528</v>
      </c>
      <c r="G393">
        <v>1072</v>
      </c>
      <c r="H393">
        <v>1</v>
      </c>
      <c r="I393" t="s">
        <v>81</v>
      </c>
      <c r="J393">
        <v>0</v>
      </c>
      <c r="K393">
        <v>2</v>
      </c>
      <c r="L393">
        <v>2</v>
      </c>
      <c r="M393">
        <v>189</v>
      </c>
      <c r="N393">
        <v>570</v>
      </c>
      <c r="O393">
        <v>381</v>
      </c>
      <c r="P393">
        <v>381</v>
      </c>
      <c r="Q393">
        <v>8</v>
      </c>
      <c r="R393">
        <v>13</v>
      </c>
      <c r="S393">
        <v>9</v>
      </c>
      <c r="T393">
        <v>10</v>
      </c>
      <c r="U393">
        <v>8</v>
      </c>
      <c r="V393">
        <v>6</v>
      </c>
      <c r="W393">
        <v>2</v>
      </c>
      <c r="X393">
        <v>137</v>
      </c>
      <c r="Y393">
        <v>165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K393">
        <v>3</v>
      </c>
      <c r="AL393">
        <v>1</v>
      </c>
      <c r="AM393">
        <v>0</v>
      </c>
      <c r="AN393">
        <v>3</v>
      </c>
      <c r="AT393" t="s">
        <v>100</v>
      </c>
      <c r="AU393">
        <v>10</v>
      </c>
      <c r="AV393">
        <v>384</v>
      </c>
      <c r="AW393">
        <v>375</v>
      </c>
      <c r="AX393">
        <v>551</v>
      </c>
      <c r="AZ393" t="s">
        <v>101</v>
      </c>
      <c r="BA393">
        <v>1</v>
      </c>
      <c r="BC393" t="s">
        <v>873</v>
      </c>
      <c r="BD393" s="4">
        <v>43283.447222222225</v>
      </c>
      <c r="BE393" s="4">
        <v>43283.455312500002</v>
      </c>
      <c r="BF393" s="4">
        <v>43283.455312500002</v>
      </c>
      <c r="BG393" t="s">
        <v>83</v>
      </c>
      <c r="BH393" t="s">
        <v>84</v>
      </c>
      <c r="BI393" t="s">
        <v>85</v>
      </c>
    </row>
    <row r="394" spans="1:61" x14ac:dyDescent="0.3">
      <c r="A394" t="str">
        <f>"201072C0100"</f>
        <v>201072C0100</v>
      </c>
      <c r="B394" t="s">
        <v>874</v>
      </c>
      <c r="C394">
        <v>20</v>
      </c>
      <c r="D394" t="s">
        <v>79</v>
      </c>
      <c r="E394">
        <v>2</v>
      </c>
      <c r="F394" t="s">
        <v>528</v>
      </c>
      <c r="G394">
        <v>1072</v>
      </c>
      <c r="H394">
        <v>1</v>
      </c>
      <c r="I394" t="s">
        <v>89</v>
      </c>
      <c r="J394">
        <v>0</v>
      </c>
      <c r="K394">
        <v>2</v>
      </c>
      <c r="L394">
        <v>2</v>
      </c>
      <c r="M394">
        <v>205</v>
      </c>
      <c r="N394">
        <v>367</v>
      </c>
      <c r="O394">
        <v>2</v>
      </c>
      <c r="P394">
        <v>367</v>
      </c>
      <c r="Q394">
        <v>17</v>
      </c>
      <c r="R394">
        <v>16</v>
      </c>
      <c r="S394">
        <v>8</v>
      </c>
      <c r="T394">
        <v>8</v>
      </c>
      <c r="U394">
        <v>17</v>
      </c>
      <c r="V394">
        <v>8</v>
      </c>
      <c r="W394">
        <v>3</v>
      </c>
      <c r="X394">
        <v>87</v>
      </c>
      <c r="Y394">
        <v>160</v>
      </c>
      <c r="Z394">
        <v>10</v>
      </c>
      <c r="AA394">
        <v>1</v>
      </c>
      <c r="AB394">
        <v>1</v>
      </c>
      <c r="AC394">
        <v>1</v>
      </c>
      <c r="AD394" t="s">
        <v>100</v>
      </c>
      <c r="AE394" t="s">
        <v>100</v>
      </c>
      <c r="AF394" t="s">
        <v>100</v>
      </c>
      <c r="AK394">
        <v>8</v>
      </c>
      <c r="AL394">
        <v>2</v>
      </c>
      <c r="AM394" t="s">
        <v>100</v>
      </c>
      <c r="AN394" t="s">
        <v>100</v>
      </c>
      <c r="AT394" t="s">
        <v>100</v>
      </c>
      <c r="AU394">
        <v>20</v>
      </c>
      <c r="AV394">
        <v>367</v>
      </c>
      <c r="AW394">
        <v>367</v>
      </c>
      <c r="AX394">
        <v>550</v>
      </c>
      <c r="AZ394" t="s">
        <v>101</v>
      </c>
      <c r="BA394">
        <v>1</v>
      </c>
      <c r="BC394" s="2" t="s">
        <v>875</v>
      </c>
      <c r="BD394" s="4">
        <v>43283.448611111111</v>
      </c>
      <c r="BE394" s="4">
        <v>43283.452847222223</v>
      </c>
      <c r="BF394" s="4">
        <v>43283.452847222223</v>
      </c>
      <c r="BG394" t="s">
        <v>83</v>
      </c>
      <c r="BH394" t="s">
        <v>84</v>
      </c>
      <c r="BI394" t="s">
        <v>85</v>
      </c>
    </row>
    <row r="395" spans="1:61" x14ac:dyDescent="0.3">
      <c r="A395" t="str">
        <f>"201072C0200"</f>
        <v>201072C0200</v>
      </c>
      <c r="B395" t="s">
        <v>876</v>
      </c>
      <c r="C395">
        <v>20</v>
      </c>
      <c r="D395" t="s">
        <v>79</v>
      </c>
      <c r="E395">
        <v>2</v>
      </c>
      <c r="F395" t="s">
        <v>528</v>
      </c>
      <c r="G395">
        <v>1072</v>
      </c>
      <c r="H395">
        <v>2</v>
      </c>
      <c r="I395" t="s">
        <v>89</v>
      </c>
      <c r="J395">
        <v>0</v>
      </c>
      <c r="K395">
        <v>2</v>
      </c>
      <c r="L395">
        <v>2</v>
      </c>
      <c r="M395">
        <v>219</v>
      </c>
      <c r="N395">
        <v>354</v>
      </c>
      <c r="O395">
        <v>0</v>
      </c>
      <c r="P395">
        <v>354</v>
      </c>
      <c r="Q395">
        <v>17</v>
      </c>
      <c r="R395">
        <v>24</v>
      </c>
      <c r="S395">
        <v>5</v>
      </c>
      <c r="T395">
        <v>6</v>
      </c>
      <c r="U395">
        <v>14</v>
      </c>
      <c r="V395">
        <v>4</v>
      </c>
      <c r="W395">
        <v>0</v>
      </c>
      <c r="X395">
        <v>95</v>
      </c>
      <c r="Y395">
        <v>164</v>
      </c>
      <c r="Z395">
        <v>7</v>
      </c>
      <c r="AA395">
        <v>0</v>
      </c>
      <c r="AB395">
        <v>0</v>
      </c>
      <c r="AC395">
        <v>1</v>
      </c>
      <c r="AD395">
        <v>1</v>
      </c>
      <c r="AE395">
        <v>0</v>
      </c>
      <c r="AF395">
        <v>0</v>
      </c>
      <c r="AK395">
        <v>3</v>
      </c>
      <c r="AL395">
        <v>1</v>
      </c>
      <c r="AM395">
        <v>0</v>
      </c>
      <c r="AN395">
        <v>2</v>
      </c>
      <c r="AT395">
        <v>0</v>
      </c>
      <c r="AU395">
        <v>10</v>
      </c>
      <c r="AV395">
        <v>354</v>
      </c>
      <c r="AW395">
        <v>354</v>
      </c>
      <c r="AX395">
        <v>550</v>
      </c>
      <c r="BA395">
        <v>1</v>
      </c>
      <c r="BC395" t="s">
        <v>877</v>
      </c>
      <c r="BD395" s="4">
        <v>43283.449305555558</v>
      </c>
      <c r="BE395" s="4">
        <v>43283.4531712963</v>
      </c>
      <c r="BF395" s="4">
        <v>43283.4531712963</v>
      </c>
      <c r="BG395" t="s">
        <v>83</v>
      </c>
      <c r="BH395" t="s">
        <v>84</v>
      </c>
      <c r="BI395" t="s">
        <v>85</v>
      </c>
    </row>
    <row r="396" spans="1:61" x14ac:dyDescent="0.3">
      <c r="A396" t="str">
        <f>"201073B0100"</f>
        <v>201073B0100</v>
      </c>
      <c r="B396" t="s">
        <v>878</v>
      </c>
      <c r="C396">
        <v>20</v>
      </c>
      <c r="D396" t="s">
        <v>79</v>
      </c>
      <c r="E396">
        <v>2</v>
      </c>
      <c r="F396" t="s">
        <v>528</v>
      </c>
      <c r="G396">
        <v>1073</v>
      </c>
      <c r="H396">
        <v>1</v>
      </c>
      <c r="I396" t="s">
        <v>81</v>
      </c>
      <c r="J396">
        <v>0</v>
      </c>
      <c r="K396">
        <v>2</v>
      </c>
      <c r="L396">
        <v>2</v>
      </c>
      <c r="M396">
        <v>190</v>
      </c>
      <c r="N396">
        <v>510</v>
      </c>
      <c r="O396">
        <v>0</v>
      </c>
      <c r="P396">
        <v>510</v>
      </c>
      <c r="Q396">
        <v>26</v>
      </c>
      <c r="R396">
        <v>26</v>
      </c>
      <c r="S396">
        <v>10</v>
      </c>
      <c r="T396">
        <v>16</v>
      </c>
      <c r="U396">
        <v>12</v>
      </c>
      <c r="V396">
        <v>15</v>
      </c>
      <c r="W396">
        <v>1</v>
      </c>
      <c r="X396">
        <v>162</v>
      </c>
      <c r="Y396">
        <v>203</v>
      </c>
      <c r="Z396">
        <v>10</v>
      </c>
      <c r="AA396">
        <v>2</v>
      </c>
      <c r="AB396">
        <v>0</v>
      </c>
      <c r="AC396">
        <v>0</v>
      </c>
      <c r="AD396">
        <v>0</v>
      </c>
      <c r="AE396">
        <v>1</v>
      </c>
      <c r="AF396">
        <v>1</v>
      </c>
      <c r="AK396">
        <v>1</v>
      </c>
      <c r="AL396">
        <v>4</v>
      </c>
      <c r="AM396">
        <v>0</v>
      </c>
      <c r="AN396">
        <v>0</v>
      </c>
      <c r="AT396">
        <v>0</v>
      </c>
      <c r="AU396">
        <v>19</v>
      </c>
      <c r="AV396">
        <v>510</v>
      </c>
      <c r="AW396">
        <v>509</v>
      </c>
      <c r="AX396">
        <v>677</v>
      </c>
      <c r="BA396">
        <v>1</v>
      </c>
      <c r="BC396" t="s">
        <v>879</v>
      </c>
      <c r="BD396" s="4">
        <v>43283.451388888891</v>
      </c>
      <c r="BE396" s="4">
        <v>43283.456365740742</v>
      </c>
      <c r="BF396" s="4">
        <v>43283.456365740742</v>
      </c>
      <c r="BG396" t="s">
        <v>83</v>
      </c>
      <c r="BH396" t="s">
        <v>84</v>
      </c>
      <c r="BI396" t="s">
        <v>85</v>
      </c>
    </row>
    <row r="397" spans="1:61" x14ac:dyDescent="0.3">
      <c r="A397" t="str">
        <f>"201073E0100"</f>
        <v>201073E0100</v>
      </c>
      <c r="B397" s="2" t="s">
        <v>880</v>
      </c>
      <c r="C397">
        <v>20</v>
      </c>
      <c r="D397" t="s">
        <v>79</v>
      </c>
      <c r="E397">
        <v>2</v>
      </c>
      <c r="F397" t="s">
        <v>528</v>
      </c>
      <c r="G397">
        <v>1073</v>
      </c>
      <c r="H397">
        <v>1</v>
      </c>
      <c r="I397" t="s">
        <v>145</v>
      </c>
      <c r="J397">
        <v>0</v>
      </c>
      <c r="K397">
        <v>2</v>
      </c>
      <c r="L397">
        <v>2</v>
      </c>
      <c r="M397">
        <v>78</v>
      </c>
      <c r="N397">
        <v>243</v>
      </c>
      <c r="O397">
        <v>6</v>
      </c>
      <c r="P397">
        <v>243</v>
      </c>
      <c r="Q397">
        <v>10</v>
      </c>
      <c r="R397">
        <v>5</v>
      </c>
      <c r="S397">
        <v>2</v>
      </c>
      <c r="T397">
        <v>17</v>
      </c>
      <c r="U397">
        <v>9</v>
      </c>
      <c r="V397">
        <v>2</v>
      </c>
      <c r="W397">
        <v>3</v>
      </c>
      <c r="X397">
        <v>95</v>
      </c>
      <c r="Y397">
        <v>85</v>
      </c>
      <c r="Z397">
        <v>4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K397">
        <v>0</v>
      </c>
      <c r="AL397">
        <v>0</v>
      </c>
      <c r="AM397">
        <v>0</v>
      </c>
      <c r="AN397">
        <v>1</v>
      </c>
      <c r="AT397">
        <v>0</v>
      </c>
      <c r="AU397">
        <v>10</v>
      </c>
      <c r="AV397">
        <v>243</v>
      </c>
      <c r="AW397">
        <v>243</v>
      </c>
      <c r="AX397">
        <v>298</v>
      </c>
      <c r="BA397">
        <v>1</v>
      </c>
      <c r="BC397" t="s">
        <v>881</v>
      </c>
      <c r="BD397" s="4">
        <v>43283.45208333333</v>
      </c>
      <c r="BE397" s="4">
        <v>43283.455833333333</v>
      </c>
      <c r="BF397" s="4">
        <v>43283.455833333333</v>
      </c>
      <c r="BG397" t="s">
        <v>83</v>
      </c>
      <c r="BH397" t="s">
        <v>84</v>
      </c>
      <c r="BI397" t="s">
        <v>85</v>
      </c>
    </row>
    <row r="398" spans="1:61" x14ac:dyDescent="0.3">
      <c r="A398" t="str">
        <f>"201074B0100"</f>
        <v>201074B0100</v>
      </c>
      <c r="B398" t="s">
        <v>882</v>
      </c>
      <c r="C398">
        <v>20</v>
      </c>
      <c r="D398" t="s">
        <v>79</v>
      </c>
      <c r="E398">
        <v>2</v>
      </c>
      <c r="F398" t="s">
        <v>528</v>
      </c>
      <c r="G398">
        <v>1074</v>
      </c>
      <c r="H398">
        <v>1</v>
      </c>
      <c r="I398" t="s">
        <v>81</v>
      </c>
      <c r="J398">
        <v>0</v>
      </c>
      <c r="K398">
        <v>2</v>
      </c>
      <c r="L398">
        <v>2</v>
      </c>
      <c r="M398">
        <v>177</v>
      </c>
      <c r="N398" t="s">
        <v>100</v>
      </c>
      <c r="O398" t="s">
        <v>100</v>
      </c>
      <c r="P398">
        <v>352</v>
      </c>
      <c r="Q398">
        <v>15</v>
      </c>
      <c r="R398">
        <v>31</v>
      </c>
      <c r="S398">
        <v>2</v>
      </c>
      <c r="T398">
        <v>49</v>
      </c>
      <c r="U398">
        <v>17</v>
      </c>
      <c r="V398">
        <v>7</v>
      </c>
      <c r="W398">
        <v>1</v>
      </c>
      <c r="X398">
        <v>114</v>
      </c>
      <c r="Y398">
        <v>91</v>
      </c>
      <c r="Z398">
        <v>6</v>
      </c>
      <c r="AA398">
        <v>2</v>
      </c>
      <c r="AB398">
        <v>1</v>
      </c>
      <c r="AC398">
        <v>2</v>
      </c>
      <c r="AD398" t="s">
        <v>100</v>
      </c>
      <c r="AE398" t="s">
        <v>100</v>
      </c>
      <c r="AF398" t="s">
        <v>100</v>
      </c>
      <c r="AK398">
        <v>2</v>
      </c>
      <c r="AL398">
        <v>1</v>
      </c>
      <c r="AM398" t="s">
        <v>100</v>
      </c>
      <c r="AN398">
        <v>1</v>
      </c>
      <c r="AT398" t="s">
        <v>100</v>
      </c>
      <c r="AU398">
        <v>10</v>
      </c>
      <c r="AV398">
        <v>352</v>
      </c>
      <c r="AW398">
        <v>352</v>
      </c>
      <c r="AX398">
        <v>506</v>
      </c>
      <c r="AZ398" t="s">
        <v>101</v>
      </c>
      <c r="BA398">
        <v>1</v>
      </c>
      <c r="BC398" t="s">
        <v>883</v>
      </c>
      <c r="BD398" s="4">
        <v>43283.431250000001</v>
      </c>
      <c r="BE398" s="4">
        <v>43283.434895833336</v>
      </c>
      <c r="BF398" s="4">
        <v>43283.434895833336</v>
      </c>
      <c r="BG398" t="s">
        <v>83</v>
      </c>
      <c r="BH398" t="s">
        <v>84</v>
      </c>
      <c r="BI398" t="s">
        <v>85</v>
      </c>
    </row>
    <row r="399" spans="1:61" x14ac:dyDescent="0.3">
      <c r="A399" t="str">
        <f>"201074C0100"</f>
        <v>201074C0100</v>
      </c>
      <c r="B399" t="s">
        <v>884</v>
      </c>
      <c r="C399">
        <v>20</v>
      </c>
      <c r="D399" t="s">
        <v>79</v>
      </c>
      <c r="E399">
        <v>2</v>
      </c>
      <c r="F399" t="s">
        <v>528</v>
      </c>
      <c r="G399">
        <v>1074</v>
      </c>
      <c r="H399">
        <v>1</v>
      </c>
      <c r="I399" t="s">
        <v>89</v>
      </c>
      <c r="J399">
        <v>0</v>
      </c>
      <c r="K399">
        <v>2</v>
      </c>
      <c r="L399">
        <v>2</v>
      </c>
      <c r="M399">
        <v>175</v>
      </c>
      <c r="N399">
        <v>353</v>
      </c>
      <c r="O399">
        <v>2</v>
      </c>
      <c r="P399">
        <v>353</v>
      </c>
      <c r="Q399">
        <v>22</v>
      </c>
      <c r="R399">
        <v>34</v>
      </c>
      <c r="S399">
        <v>2</v>
      </c>
      <c r="T399">
        <v>36</v>
      </c>
      <c r="U399">
        <v>12</v>
      </c>
      <c r="V399">
        <v>2</v>
      </c>
      <c r="W399">
        <v>3</v>
      </c>
      <c r="X399">
        <v>110</v>
      </c>
      <c r="Y399">
        <v>88</v>
      </c>
      <c r="Z399">
        <v>9</v>
      </c>
      <c r="AA399">
        <v>1</v>
      </c>
      <c r="AB399">
        <v>0</v>
      </c>
      <c r="AC399">
        <v>0</v>
      </c>
      <c r="AD399">
        <v>0</v>
      </c>
      <c r="AE399">
        <v>0</v>
      </c>
      <c r="AF399">
        <v>0</v>
      </c>
      <c r="AK399">
        <v>5</v>
      </c>
      <c r="AL399">
        <v>1</v>
      </c>
      <c r="AM399">
        <v>0</v>
      </c>
      <c r="AN399">
        <v>3</v>
      </c>
      <c r="AT399">
        <v>0</v>
      </c>
      <c r="AU399">
        <v>25</v>
      </c>
      <c r="AV399">
        <v>353</v>
      </c>
      <c r="AW399">
        <v>353</v>
      </c>
      <c r="AX399">
        <v>505</v>
      </c>
      <c r="BA399">
        <v>1</v>
      </c>
      <c r="BC399" t="s">
        <v>885</v>
      </c>
      <c r="BD399" s="4">
        <v>43283.432638888888</v>
      </c>
      <c r="BE399" s="4">
        <v>43283.438125000001</v>
      </c>
      <c r="BF399" s="4">
        <v>43283.438125000001</v>
      </c>
      <c r="BG399" t="s">
        <v>83</v>
      </c>
      <c r="BH399" t="s">
        <v>84</v>
      </c>
      <c r="BI399" t="s">
        <v>85</v>
      </c>
    </row>
    <row r="400" spans="1:61" x14ac:dyDescent="0.3">
      <c r="A400" t="str">
        <f>"201075B0100"</f>
        <v>201075B0100</v>
      </c>
      <c r="B400" t="s">
        <v>886</v>
      </c>
      <c r="C400">
        <v>20</v>
      </c>
      <c r="D400" t="s">
        <v>79</v>
      </c>
      <c r="E400">
        <v>2</v>
      </c>
      <c r="F400" t="s">
        <v>528</v>
      </c>
      <c r="G400">
        <v>1075</v>
      </c>
      <c r="H400">
        <v>1</v>
      </c>
      <c r="I400" t="s">
        <v>81</v>
      </c>
      <c r="J400">
        <v>0</v>
      </c>
      <c r="K400">
        <v>2</v>
      </c>
      <c r="L400">
        <v>2</v>
      </c>
      <c r="M400">
        <v>156</v>
      </c>
      <c r="N400">
        <v>417</v>
      </c>
      <c r="O400">
        <v>1</v>
      </c>
      <c r="P400">
        <v>417</v>
      </c>
      <c r="Q400">
        <v>21</v>
      </c>
      <c r="R400">
        <v>19</v>
      </c>
      <c r="S400">
        <v>12</v>
      </c>
      <c r="T400">
        <v>54</v>
      </c>
      <c r="U400">
        <v>11</v>
      </c>
      <c r="V400">
        <v>11</v>
      </c>
      <c r="W400">
        <v>1</v>
      </c>
      <c r="X400">
        <v>129</v>
      </c>
      <c r="Y400">
        <v>131</v>
      </c>
      <c r="Z400">
        <v>5</v>
      </c>
      <c r="AA400">
        <v>0</v>
      </c>
      <c r="AB400">
        <v>3</v>
      </c>
      <c r="AC400">
        <v>0</v>
      </c>
      <c r="AD400">
        <v>0</v>
      </c>
      <c r="AE400">
        <v>0</v>
      </c>
      <c r="AF400">
        <v>0</v>
      </c>
      <c r="AK400">
        <v>3</v>
      </c>
      <c r="AL400">
        <v>0</v>
      </c>
      <c r="AM400">
        <v>0</v>
      </c>
      <c r="AN400">
        <v>1</v>
      </c>
      <c r="AT400">
        <v>0</v>
      </c>
      <c r="AU400">
        <v>16</v>
      </c>
      <c r="AV400">
        <v>417</v>
      </c>
      <c r="AW400">
        <v>417</v>
      </c>
      <c r="AX400">
        <v>550</v>
      </c>
      <c r="BA400">
        <v>1</v>
      </c>
      <c r="BC400" t="s">
        <v>887</v>
      </c>
      <c r="BD400" s="4">
        <v>43283.415277777778</v>
      </c>
      <c r="BE400" s="4">
        <v>43283.41983796296</v>
      </c>
      <c r="BF400" s="4">
        <v>43283.41983796296</v>
      </c>
      <c r="BG400" t="s">
        <v>83</v>
      </c>
      <c r="BH400" t="s">
        <v>84</v>
      </c>
      <c r="BI400" t="s">
        <v>85</v>
      </c>
    </row>
    <row r="401" spans="1:61" x14ac:dyDescent="0.3">
      <c r="A401" t="str">
        <f>"201075C0100"</f>
        <v>201075C0100</v>
      </c>
      <c r="B401" t="s">
        <v>888</v>
      </c>
      <c r="C401">
        <v>20</v>
      </c>
      <c r="D401" t="s">
        <v>79</v>
      </c>
      <c r="E401">
        <v>2</v>
      </c>
      <c r="F401" t="s">
        <v>528</v>
      </c>
      <c r="G401">
        <v>1075</v>
      </c>
      <c r="H401">
        <v>1</v>
      </c>
      <c r="I401" t="s">
        <v>89</v>
      </c>
      <c r="J401">
        <v>0</v>
      </c>
      <c r="K401">
        <v>2</v>
      </c>
      <c r="L401">
        <v>2</v>
      </c>
      <c r="M401">
        <v>157</v>
      </c>
      <c r="N401">
        <v>418</v>
      </c>
      <c r="O401">
        <v>3</v>
      </c>
      <c r="P401">
        <v>418</v>
      </c>
      <c r="Q401">
        <v>27</v>
      </c>
      <c r="R401">
        <v>15</v>
      </c>
      <c r="S401">
        <v>5</v>
      </c>
      <c r="T401">
        <v>52</v>
      </c>
      <c r="U401">
        <v>17</v>
      </c>
      <c r="V401">
        <v>15</v>
      </c>
      <c r="W401" t="s">
        <v>100</v>
      </c>
      <c r="X401">
        <v>117</v>
      </c>
      <c r="Y401">
        <v>143</v>
      </c>
      <c r="Z401">
        <v>0</v>
      </c>
      <c r="AA401">
        <v>2</v>
      </c>
      <c r="AB401">
        <v>2</v>
      </c>
      <c r="AC401">
        <v>1</v>
      </c>
      <c r="AD401">
        <v>0</v>
      </c>
      <c r="AE401">
        <v>0</v>
      </c>
      <c r="AF401">
        <v>1</v>
      </c>
      <c r="AK401">
        <v>4</v>
      </c>
      <c r="AL401">
        <v>1</v>
      </c>
      <c r="AM401">
        <v>0</v>
      </c>
      <c r="AN401">
        <v>2</v>
      </c>
      <c r="AT401" t="s">
        <v>100</v>
      </c>
      <c r="AU401">
        <v>13</v>
      </c>
      <c r="AV401" t="s">
        <v>100</v>
      </c>
      <c r="AW401">
        <v>417</v>
      </c>
      <c r="AX401">
        <v>549</v>
      </c>
      <c r="AZ401" t="s">
        <v>101</v>
      </c>
      <c r="BA401">
        <v>1</v>
      </c>
      <c r="BC401" t="s">
        <v>889</v>
      </c>
      <c r="BD401" s="4">
        <v>43283.415972222225</v>
      </c>
      <c r="BE401" s="4">
        <v>43283.42496527778</v>
      </c>
      <c r="BF401" s="4">
        <v>43283.42496527778</v>
      </c>
      <c r="BG401" t="s">
        <v>83</v>
      </c>
      <c r="BH401" t="s">
        <v>84</v>
      </c>
      <c r="BI401" t="s">
        <v>85</v>
      </c>
    </row>
    <row r="402" spans="1:61" x14ac:dyDescent="0.3">
      <c r="A402" t="str">
        <f>"201076B0100"</f>
        <v>201076B0100</v>
      </c>
      <c r="B402" t="s">
        <v>890</v>
      </c>
      <c r="C402">
        <v>20</v>
      </c>
      <c r="D402" t="s">
        <v>79</v>
      </c>
      <c r="E402">
        <v>2</v>
      </c>
      <c r="F402" t="s">
        <v>528</v>
      </c>
      <c r="G402">
        <v>1076</v>
      </c>
      <c r="H402">
        <v>1</v>
      </c>
      <c r="I402" t="s">
        <v>81</v>
      </c>
      <c r="J402">
        <v>0</v>
      </c>
      <c r="K402">
        <v>2</v>
      </c>
      <c r="L402">
        <v>2</v>
      </c>
      <c r="M402">
        <v>108</v>
      </c>
      <c r="N402">
        <v>286</v>
      </c>
      <c r="O402">
        <v>2</v>
      </c>
      <c r="P402">
        <v>286</v>
      </c>
      <c r="Q402">
        <v>2</v>
      </c>
      <c r="R402">
        <v>1</v>
      </c>
      <c r="S402">
        <v>3</v>
      </c>
      <c r="T402">
        <v>16</v>
      </c>
      <c r="U402">
        <v>9</v>
      </c>
      <c r="V402">
        <v>0</v>
      </c>
      <c r="W402">
        <v>1</v>
      </c>
      <c r="X402">
        <v>127</v>
      </c>
      <c r="Y402">
        <v>113</v>
      </c>
      <c r="Z402">
        <v>2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K402">
        <v>0</v>
      </c>
      <c r="AL402">
        <v>0</v>
      </c>
      <c r="AM402">
        <v>0</v>
      </c>
      <c r="AN402">
        <v>0</v>
      </c>
      <c r="AT402">
        <v>0</v>
      </c>
      <c r="AU402">
        <v>12</v>
      </c>
      <c r="AV402">
        <v>286</v>
      </c>
      <c r="AW402">
        <v>286</v>
      </c>
      <c r="AX402">
        <v>371</v>
      </c>
      <c r="BA402">
        <v>1</v>
      </c>
      <c r="BC402" s="2" t="s">
        <v>891</v>
      </c>
      <c r="BD402" s="4">
        <v>43283.284722222219</v>
      </c>
      <c r="BE402" s="4">
        <v>43283.316747685189</v>
      </c>
      <c r="BF402" s="4">
        <v>43283.316747685189</v>
      </c>
      <c r="BG402" t="s">
        <v>83</v>
      </c>
      <c r="BH402" t="s">
        <v>84</v>
      </c>
      <c r="BI402" t="s">
        <v>85</v>
      </c>
    </row>
    <row r="403" spans="1:61" x14ac:dyDescent="0.3">
      <c r="A403" t="str">
        <f>"201076E0100"</f>
        <v>201076E0100</v>
      </c>
      <c r="B403" s="2" t="s">
        <v>892</v>
      </c>
      <c r="C403">
        <v>20</v>
      </c>
      <c r="D403" t="s">
        <v>79</v>
      </c>
      <c r="E403">
        <v>2</v>
      </c>
      <c r="F403" t="s">
        <v>528</v>
      </c>
      <c r="G403">
        <v>1076</v>
      </c>
      <c r="H403">
        <v>1</v>
      </c>
      <c r="I403" t="s">
        <v>145</v>
      </c>
      <c r="J403">
        <v>0</v>
      </c>
      <c r="K403">
        <v>2</v>
      </c>
      <c r="L403">
        <v>2</v>
      </c>
      <c r="M403">
        <v>202</v>
      </c>
      <c r="N403">
        <v>449</v>
      </c>
      <c r="O403">
        <v>5</v>
      </c>
      <c r="P403">
        <v>449</v>
      </c>
      <c r="Q403">
        <v>11</v>
      </c>
      <c r="R403">
        <v>13</v>
      </c>
      <c r="S403">
        <v>6</v>
      </c>
      <c r="T403">
        <v>11</v>
      </c>
      <c r="U403">
        <v>9</v>
      </c>
      <c r="V403">
        <v>6</v>
      </c>
      <c r="W403">
        <v>0</v>
      </c>
      <c r="X403">
        <v>245</v>
      </c>
      <c r="Y403">
        <v>104</v>
      </c>
      <c r="Z403">
        <v>3</v>
      </c>
      <c r="AA403">
        <v>0</v>
      </c>
      <c r="AB403">
        <v>0</v>
      </c>
      <c r="AC403">
        <v>1</v>
      </c>
      <c r="AD403">
        <v>0</v>
      </c>
      <c r="AE403">
        <v>0</v>
      </c>
      <c r="AF403">
        <v>0</v>
      </c>
      <c r="AK403">
        <v>4</v>
      </c>
      <c r="AL403">
        <v>1</v>
      </c>
      <c r="AM403">
        <v>0</v>
      </c>
      <c r="AN403">
        <v>1</v>
      </c>
      <c r="AT403">
        <v>0</v>
      </c>
      <c r="AU403">
        <v>32</v>
      </c>
      <c r="AV403">
        <v>447</v>
      </c>
      <c r="AW403">
        <v>447</v>
      </c>
      <c r="AX403">
        <v>628</v>
      </c>
      <c r="BA403">
        <v>1</v>
      </c>
      <c r="BC403" t="s">
        <v>893</v>
      </c>
      <c r="BD403" s="4">
        <v>43283.285416666666</v>
      </c>
      <c r="BE403" s="4">
        <v>43283.312997685185</v>
      </c>
      <c r="BF403" s="4">
        <v>43283.312997685185</v>
      </c>
      <c r="BG403" t="s">
        <v>83</v>
      </c>
      <c r="BH403" t="s">
        <v>84</v>
      </c>
      <c r="BI403" t="s">
        <v>85</v>
      </c>
    </row>
    <row r="404" spans="1:61" x14ac:dyDescent="0.3">
      <c r="A404" t="str">
        <f>"201077B0100"</f>
        <v>201077B0100</v>
      </c>
      <c r="B404" t="s">
        <v>894</v>
      </c>
      <c r="C404">
        <v>20</v>
      </c>
      <c r="D404" t="s">
        <v>79</v>
      </c>
      <c r="E404">
        <v>2</v>
      </c>
      <c r="F404" t="s">
        <v>528</v>
      </c>
      <c r="G404">
        <v>1077</v>
      </c>
      <c r="H404">
        <v>1</v>
      </c>
      <c r="I404" t="s">
        <v>81</v>
      </c>
      <c r="J404">
        <v>0</v>
      </c>
      <c r="K404">
        <v>2</v>
      </c>
      <c r="L404">
        <v>2</v>
      </c>
      <c r="M404">
        <v>173</v>
      </c>
      <c r="N404">
        <v>489</v>
      </c>
      <c r="O404">
        <v>3</v>
      </c>
      <c r="P404">
        <v>490</v>
      </c>
      <c r="Q404">
        <v>21</v>
      </c>
      <c r="R404">
        <v>17</v>
      </c>
      <c r="S404">
        <v>5</v>
      </c>
      <c r="T404">
        <v>36</v>
      </c>
      <c r="U404">
        <v>24</v>
      </c>
      <c r="V404">
        <v>14</v>
      </c>
      <c r="W404">
        <v>3</v>
      </c>
      <c r="X404">
        <v>116</v>
      </c>
      <c r="Y404">
        <v>208</v>
      </c>
      <c r="Z404">
        <v>11</v>
      </c>
      <c r="AA404">
        <v>1</v>
      </c>
      <c r="AB404">
        <v>3</v>
      </c>
      <c r="AC404">
        <v>2</v>
      </c>
      <c r="AD404">
        <v>0</v>
      </c>
      <c r="AE404">
        <v>1</v>
      </c>
      <c r="AF404">
        <v>0</v>
      </c>
      <c r="AK404">
        <v>1</v>
      </c>
      <c r="AL404">
        <v>1</v>
      </c>
      <c r="AM404">
        <v>1</v>
      </c>
      <c r="AN404">
        <v>2</v>
      </c>
      <c r="AT404">
        <v>0</v>
      </c>
      <c r="AU404">
        <v>23</v>
      </c>
      <c r="AV404">
        <v>490</v>
      </c>
      <c r="AW404">
        <v>490</v>
      </c>
      <c r="AX404">
        <v>640</v>
      </c>
      <c r="BA404">
        <v>1</v>
      </c>
      <c r="BC404" t="s">
        <v>895</v>
      </c>
      <c r="BD404" s="4">
        <v>43283.152280092596</v>
      </c>
      <c r="BE404" s="4">
        <v>43283.159826388888</v>
      </c>
      <c r="BF404" s="4">
        <v>43283.159826388888</v>
      </c>
      <c r="BG404" t="s">
        <v>373</v>
      </c>
      <c r="BH404" t="s">
        <v>374</v>
      </c>
      <c r="BI404" t="s">
        <v>85</v>
      </c>
    </row>
    <row r="405" spans="1:61" x14ac:dyDescent="0.3">
      <c r="A405" t="str">
        <f>"201078B0100"</f>
        <v>201078B0100</v>
      </c>
      <c r="B405" t="s">
        <v>896</v>
      </c>
      <c r="C405">
        <v>20</v>
      </c>
      <c r="D405" t="s">
        <v>79</v>
      </c>
      <c r="E405">
        <v>2</v>
      </c>
      <c r="F405" t="s">
        <v>528</v>
      </c>
      <c r="G405">
        <v>1078</v>
      </c>
      <c r="H405">
        <v>1</v>
      </c>
      <c r="I405" t="s">
        <v>81</v>
      </c>
      <c r="J405">
        <v>0</v>
      </c>
      <c r="K405">
        <v>2</v>
      </c>
      <c r="L405">
        <v>2</v>
      </c>
      <c r="M405">
        <v>166</v>
      </c>
      <c r="N405">
        <v>548</v>
      </c>
      <c r="O405">
        <v>2</v>
      </c>
      <c r="P405">
        <v>545</v>
      </c>
      <c r="Q405">
        <v>44</v>
      </c>
      <c r="R405">
        <v>15</v>
      </c>
      <c r="S405">
        <v>4</v>
      </c>
      <c r="T405">
        <v>29</v>
      </c>
      <c r="U405">
        <v>13</v>
      </c>
      <c r="V405">
        <v>6</v>
      </c>
      <c r="W405">
        <v>2</v>
      </c>
      <c r="X405">
        <v>224</v>
      </c>
      <c r="Y405">
        <v>158</v>
      </c>
      <c r="Z405">
        <v>9</v>
      </c>
      <c r="AA405">
        <v>1</v>
      </c>
      <c r="AB405">
        <v>1</v>
      </c>
      <c r="AC405">
        <v>1</v>
      </c>
      <c r="AD405">
        <v>0</v>
      </c>
      <c r="AE405">
        <v>1</v>
      </c>
      <c r="AF405">
        <v>0</v>
      </c>
      <c r="AK405">
        <v>11</v>
      </c>
      <c r="AL405">
        <v>2</v>
      </c>
      <c r="AM405">
        <v>2</v>
      </c>
      <c r="AN405">
        <v>0</v>
      </c>
      <c r="AT405">
        <v>0</v>
      </c>
      <c r="AU405">
        <v>22</v>
      </c>
      <c r="AV405">
        <v>545</v>
      </c>
      <c r="AW405">
        <v>545</v>
      </c>
      <c r="AX405">
        <v>688</v>
      </c>
      <c r="BA405">
        <v>1</v>
      </c>
      <c r="BC405" t="s">
        <v>897</v>
      </c>
      <c r="BD405" s="4">
        <v>43283.420138888891</v>
      </c>
      <c r="BE405" s="4">
        <v>43283.423437500001</v>
      </c>
      <c r="BF405" s="4">
        <v>43283.423437500001</v>
      </c>
      <c r="BG405" t="s">
        <v>83</v>
      </c>
      <c r="BH405" t="s">
        <v>84</v>
      </c>
      <c r="BI405" t="s">
        <v>85</v>
      </c>
    </row>
    <row r="406" spans="1:61" x14ac:dyDescent="0.3">
      <c r="A406" t="str">
        <f>"201078E0100"</f>
        <v>201078E0100</v>
      </c>
      <c r="B406" s="2" t="s">
        <v>898</v>
      </c>
      <c r="C406">
        <v>20</v>
      </c>
      <c r="D406" t="s">
        <v>79</v>
      </c>
      <c r="E406">
        <v>2</v>
      </c>
      <c r="F406" t="s">
        <v>528</v>
      </c>
      <c r="G406">
        <v>1078</v>
      </c>
      <c r="H406">
        <v>1</v>
      </c>
      <c r="I406" t="s">
        <v>145</v>
      </c>
      <c r="J406">
        <v>0</v>
      </c>
      <c r="K406">
        <v>2</v>
      </c>
      <c r="L406">
        <v>2</v>
      </c>
      <c r="M406">
        <v>183</v>
      </c>
      <c r="N406">
        <v>481</v>
      </c>
      <c r="O406">
        <v>1</v>
      </c>
      <c r="P406">
        <v>481</v>
      </c>
      <c r="Q406">
        <v>21</v>
      </c>
      <c r="R406">
        <v>19</v>
      </c>
      <c r="S406">
        <v>2</v>
      </c>
      <c r="T406">
        <v>33</v>
      </c>
      <c r="U406">
        <v>8</v>
      </c>
      <c r="V406">
        <v>7</v>
      </c>
      <c r="W406">
        <v>0</v>
      </c>
      <c r="X406">
        <v>171</v>
      </c>
      <c r="Y406">
        <v>155</v>
      </c>
      <c r="Z406">
        <v>21</v>
      </c>
      <c r="AA406">
        <v>1</v>
      </c>
      <c r="AB406">
        <v>2</v>
      </c>
      <c r="AC406">
        <v>2</v>
      </c>
      <c r="AD406">
        <v>0</v>
      </c>
      <c r="AE406">
        <v>0</v>
      </c>
      <c r="AF406">
        <v>0</v>
      </c>
      <c r="AK406">
        <v>0</v>
      </c>
      <c r="AL406">
        <v>2</v>
      </c>
      <c r="AM406">
        <v>0</v>
      </c>
      <c r="AN406">
        <v>2</v>
      </c>
      <c r="AT406">
        <v>0</v>
      </c>
      <c r="AU406">
        <v>35</v>
      </c>
      <c r="AV406">
        <v>481</v>
      </c>
      <c r="AW406">
        <v>481</v>
      </c>
      <c r="AX406">
        <v>641</v>
      </c>
      <c r="BA406">
        <v>1</v>
      </c>
      <c r="BC406" t="s">
        <v>899</v>
      </c>
      <c r="BD406" s="4">
        <v>43283.422222222223</v>
      </c>
      <c r="BE406" s="4">
        <v>43283.42597222222</v>
      </c>
      <c r="BF406" s="4">
        <v>43283.42597222222</v>
      </c>
      <c r="BG406" t="s">
        <v>83</v>
      </c>
      <c r="BH406" t="s">
        <v>84</v>
      </c>
      <c r="BI406" t="s">
        <v>85</v>
      </c>
    </row>
    <row r="407" spans="1:61" x14ac:dyDescent="0.3">
      <c r="A407" t="str">
        <f>"201079B0100"</f>
        <v>201079B0100</v>
      </c>
      <c r="B407" t="s">
        <v>900</v>
      </c>
      <c r="C407">
        <v>20</v>
      </c>
      <c r="D407" t="s">
        <v>79</v>
      </c>
      <c r="E407">
        <v>2</v>
      </c>
      <c r="F407" t="s">
        <v>528</v>
      </c>
      <c r="G407">
        <v>1079</v>
      </c>
      <c r="H407">
        <v>1</v>
      </c>
      <c r="I407" t="s">
        <v>81</v>
      </c>
      <c r="J407">
        <v>0</v>
      </c>
      <c r="K407">
        <v>2</v>
      </c>
      <c r="L407">
        <v>2</v>
      </c>
      <c r="M407">
        <v>245</v>
      </c>
      <c r="N407">
        <v>330</v>
      </c>
      <c r="O407">
        <v>2</v>
      </c>
      <c r="P407">
        <v>330</v>
      </c>
      <c r="Q407">
        <v>6</v>
      </c>
      <c r="R407">
        <v>14</v>
      </c>
      <c r="S407">
        <v>2</v>
      </c>
      <c r="T407">
        <v>33</v>
      </c>
      <c r="U407">
        <v>10</v>
      </c>
      <c r="V407">
        <v>3</v>
      </c>
      <c r="W407">
        <v>0</v>
      </c>
      <c r="X407">
        <v>75</v>
      </c>
      <c r="Y407">
        <v>119</v>
      </c>
      <c r="Z407">
        <v>25</v>
      </c>
      <c r="AA407">
        <v>0</v>
      </c>
      <c r="AB407">
        <v>0</v>
      </c>
      <c r="AC407">
        <v>0</v>
      </c>
      <c r="AD407">
        <v>1</v>
      </c>
      <c r="AE407">
        <v>0</v>
      </c>
      <c r="AF407">
        <v>0</v>
      </c>
      <c r="AK407">
        <v>6</v>
      </c>
      <c r="AL407">
        <v>6</v>
      </c>
      <c r="AM407">
        <v>1</v>
      </c>
      <c r="AN407">
        <v>1</v>
      </c>
      <c r="AT407">
        <v>0</v>
      </c>
      <c r="AU407">
        <v>28</v>
      </c>
      <c r="AV407">
        <v>330</v>
      </c>
      <c r="AW407">
        <v>330</v>
      </c>
      <c r="AX407">
        <v>552</v>
      </c>
      <c r="BA407">
        <v>1</v>
      </c>
      <c r="BC407" t="s">
        <v>901</v>
      </c>
      <c r="BD407" s="4">
        <v>43283.152337962965</v>
      </c>
      <c r="BE407" s="4">
        <v>43283.164548611108</v>
      </c>
      <c r="BF407" s="4">
        <v>43283.164548611108</v>
      </c>
      <c r="BG407" t="s">
        <v>373</v>
      </c>
      <c r="BH407" t="s">
        <v>374</v>
      </c>
      <c r="BI407" t="s">
        <v>85</v>
      </c>
    </row>
    <row r="408" spans="1:61" x14ac:dyDescent="0.3">
      <c r="A408" t="str">
        <f>"201079C0100"</f>
        <v>201079C0100</v>
      </c>
      <c r="B408" t="s">
        <v>902</v>
      </c>
      <c r="C408">
        <v>20</v>
      </c>
      <c r="D408" t="s">
        <v>79</v>
      </c>
      <c r="E408">
        <v>2</v>
      </c>
      <c r="F408" t="s">
        <v>528</v>
      </c>
      <c r="G408">
        <v>1079</v>
      </c>
      <c r="H408">
        <v>1</v>
      </c>
      <c r="I408" t="s">
        <v>89</v>
      </c>
      <c r="J408">
        <v>0</v>
      </c>
      <c r="K408">
        <v>2</v>
      </c>
      <c r="L408">
        <v>2</v>
      </c>
      <c r="M408">
        <v>199</v>
      </c>
      <c r="N408">
        <v>376</v>
      </c>
      <c r="O408">
        <v>0</v>
      </c>
      <c r="P408">
        <v>376</v>
      </c>
      <c r="Q408">
        <v>7</v>
      </c>
      <c r="R408">
        <v>22</v>
      </c>
      <c r="S408">
        <v>3</v>
      </c>
      <c r="T408">
        <v>27</v>
      </c>
      <c r="U408">
        <v>11</v>
      </c>
      <c r="V408">
        <v>6</v>
      </c>
      <c r="W408">
        <v>1</v>
      </c>
      <c r="X408">
        <v>108</v>
      </c>
      <c r="Y408">
        <v>129</v>
      </c>
      <c r="Z408">
        <v>27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K408">
        <v>5</v>
      </c>
      <c r="AL408">
        <v>1</v>
      </c>
      <c r="AM408">
        <v>0</v>
      </c>
      <c r="AN408">
        <v>3</v>
      </c>
      <c r="AT408">
        <v>0</v>
      </c>
      <c r="AU408">
        <v>26</v>
      </c>
      <c r="AV408">
        <v>376</v>
      </c>
      <c r="AW408">
        <v>376</v>
      </c>
      <c r="AX408">
        <v>552</v>
      </c>
      <c r="BA408">
        <v>1</v>
      </c>
      <c r="BC408" t="s">
        <v>903</v>
      </c>
      <c r="BD408" s="4">
        <v>43283.152361111112</v>
      </c>
      <c r="BE408" s="4">
        <v>43283.160150462965</v>
      </c>
      <c r="BF408" s="4">
        <v>43283.160150462965</v>
      </c>
      <c r="BG408" t="s">
        <v>373</v>
      </c>
      <c r="BH408" t="s">
        <v>374</v>
      </c>
      <c r="BI408" t="s">
        <v>85</v>
      </c>
    </row>
    <row r="409" spans="1:61" x14ac:dyDescent="0.3">
      <c r="A409" t="str">
        <f>"201079C0200"</f>
        <v>201079C0200</v>
      </c>
      <c r="B409" t="s">
        <v>904</v>
      </c>
      <c r="C409">
        <v>20</v>
      </c>
      <c r="D409" t="s">
        <v>79</v>
      </c>
      <c r="E409">
        <v>2</v>
      </c>
      <c r="F409" t="s">
        <v>528</v>
      </c>
      <c r="G409">
        <v>1079</v>
      </c>
      <c r="H409">
        <v>2</v>
      </c>
      <c r="I409" t="s">
        <v>89</v>
      </c>
      <c r="J409">
        <v>0</v>
      </c>
      <c r="K409">
        <v>2</v>
      </c>
      <c r="L409">
        <v>2</v>
      </c>
      <c r="M409">
        <v>218</v>
      </c>
      <c r="N409">
        <v>357</v>
      </c>
      <c r="O409">
        <v>3</v>
      </c>
      <c r="P409">
        <v>357</v>
      </c>
      <c r="Q409">
        <v>10</v>
      </c>
      <c r="R409">
        <v>16</v>
      </c>
      <c r="S409">
        <v>1</v>
      </c>
      <c r="T409">
        <v>22</v>
      </c>
      <c r="U409">
        <v>9</v>
      </c>
      <c r="V409">
        <v>9</v>
      </c>
      <c r="W409">
        <v>0</v>
      </c>
      <c r="X409">
        <v>99</v>
      </c>
      <c r="Y409">
        <v>116</v>
      </c>
      <c r="Z409">
        <v>34</v>
      </c>
      <c r="AA409">
        <v>0</v>
      </c>
      <c r="AB409">
        <v>7</v>
      </c>
      <c r="AC409">
        <v>0</v>
      </c>
      <c r="AD409">
        <v>0</v>
      </c>
      <c r="AE409">
        <v>0</v>
      </c>
      <c r="AF409">
        <v>0</v>
      </c>
      <c r="AK409">
        <v>6</v>
      </c>
      <c r="AL409">
        <v>3</v>
      </c>
      <c r="AM409">
        <v>1</v>
      </c>
      <c r="AN409">
        <v>3</v>
      </c>
      <c r="AT409">
        <v>0</v>
      </c>
      <c r="AU409">
        <v>21</v>
      </c>
      <c r="AV409">
        <v>357</v>
      </c>
      <c r="AW409">
        <v>357</v>
      </c>
      <c r="AX409">
        <v>552</v>
      </c>
      <c r="BA409">
        <v>1</v>
      </c>
      <c r="BC409" t="s">
        <v>905</v>
      </c>
      <c r="BD409" s="4">
        <v>43283.152303240742</v>
      </c>
      <c r="BE409" s="4">
        <v>43283.159768518519</v>
      </c>
      <c r="BF409" s="4">
        <v>43283.159768518519</v>
      </c>
      <c r="BG409" t="s">
        <v>373</v>
      </c>
      <c r="BH409" t="s">
        <v>374</v>
      </c>
      <c r="BI409" t="s">
        <v>85</v>
      </c>
    </row>
    <row r="410" spans="1:61" x14ac:dyDescent="0.3">
      <c r="A410" t="str">
        <f>"201083B0100"</f>
        <v>201083B0100</v>
      </c>
      <c r="B410" t="s">
        <v>906</v>
      </c>
      <c r="C410">
        <v>20</v>
      </c>
      <c r="D410" t="s">
        <v>79</v>
      </c>
      <c r="E410">
        <v>2</v>
      </c>
      <c r="F410" t="s">
        <v>528</v>
      </c>
      <c r="G410">
        <v>1083</v>
      </c>
      <c r="H410">
        <v>1</v>
      </c>
      <c r="I410" t="s">
        <v>81</v>
      </c>
      <c r="J410">
        <v>0</v>
      </c>
      <c r="K410">
        <v>1</v>
      </c>
      <c r="L410">
        <v>2</v>
      </c>
      <c r="M410">
        <v>229</v>
      </c>
      <c r="N410">
        <v>429</v>
      </c>
      <c r="O410">
        <v>0</v>
      </c>
      <c r="P410">
        <v>429</v>
      </c>
      <c r="Q410">
        <v>9</v>
      </c>
      <c r="R410">
        <v>11</v>
      </c>
      <c r="S410">
        <v>7</v>
      </c>
      <c r="T410">
        <v>16</v>
      </c>
      <c r="U410">
        <v>17</v>
      </c>
      <c r="V410">
        <v>14</v>
      </c>
      <c r="W410">
        <v>9</v>
      </c>
      <c r="X410">
        <v>180</v>
      </c>
      <c r="Y410">
        <v>131</v>
      </c>
      <c r="Z410">
        <v>9</v>
      </c>
      <c r="AA410">
        <v>1</v>
      </c>
      <c r="AB410">
        <v>0</v>
      </c>
      <c r="AC410">
        <v>0</v>
      </c>
      <c r="AD410">
        <v>0</v>
      </c>
      <c r="AE410">
        <v>0</v>
      </c>
      <c r="AF410">
        <v>0</v>
      </c>
      <c r="AK410">
        <v>3</v>
      </c>
      <c r="AL410">
        <v>0</v>
      </c>
      <c r="AM410">
        <v>1</v>
      </c>
      <c r="AN410">
        <v>0</v>
      </c>
      <c r="AT410" t="s">
        <v>100</v>
      </c>
      <c r="AU410" t="s">
        <v>100</v>
      </c>
      <c r="AV410">
        <v>429</v>
      </c>
      <c r="AW410">
        <v>408</v>
      </c>
      <c r="AX410">
        <v>635</v>
      </c>
      <c r="AZ410" t="s">
        <v>101</v>
      </c>
      <c r="BA410">
        <v>1</v>
      </c>
      <c r="BC410" t="s">
        <v>907</v>
      </c>
      <c r="BD410" s="4">
        <v>43283.418055555558</v>
      </c>
      <c r="BE410" s="4">
        <v>43283.42150462963</v>
      </c>
      <c r="BF410" s="4">
        <v>43283.42150462963</v>
      </c>
      <c r="BG410" t="s">
        <v>83</v>
      </c>
      <c r="BH410" t="s">
        <v>84</v>
      </c>
      <c r="BI410" t="s">
        <v>85</v>
      </c>
    </row>
    <row r="411" spans="1:61" x14ac:dyDescent="0.3">
      <c r="A411" t="str">
        <f>"201083C0100"</f>
        <v>201083C0100</v>
      </c>
      <c r="B411" t="s">
        <v>908</v>
      </c>
      <c r="C411">
        <v>20</v>
      </c>
      <c r="D411" t="s">
        <v>79</v>
      </c>
      <c r="E411">
        <v>2</v>
      </c>
      <c r="F411" t="s">
        <v>528</v>
      </c>
      <c r="G411">
        <v>1083</v>
      </c>
      <c r="H411">
        <v>1</v>
      </c>
      <c r="I411" t="s">
        <v>89</v>
      </c>
      <c r="J411">
        <v>0</v>
      </c>
      <c r="K411">
        <v>1</v>
      </c>
      <c r="L411">
        <v>2</v>
      </c>
      <c r="M411">
        <v>219</v>
      </c>
      <c r="N411">
        <v>438</v>
      </c>
      <c r="O411">
        <v>12</v>
      </c>
      <c r="P411">
        <v>438</v>
      </c>
      <c r="Q411">
        <v>16</v>
      </c>
      <c r="R411">
        <v>16</v>
      </c>
      <c r="S411">
        <v>7</v>
      </c>
      <c r="T411">
        <v>9</v>
      </c>
      <c r="U411">
        <v>15</v>
      </c>
      <c r="V411">
        <v>8</v>
      </c>
      <c r="W411">
        <v>0</v>
      </c>
      <c r="X411">
        <v>188</v>
      </c>
      <c r="Y411">
        <v>127</v>
      </c>
      <c r="Z411">
        <v>9</v>
      </c>
      <c r="AA411">
        <v>1</v>
      </c>
      <c r="AB411">
        <v>1</v>
      </c>
      <c r="AC411">
        <v>0</v>
      </c>
      <c r="AD411">
        <v>1</v>
      </c>
      <c r="AE411">
        <v>0</v>
      </c>
      <c r="AF411">
        <v>1</v>
      </c>
      <c r="AK411">
        <v>3</v>
      </c>
      <c r="AL411">
        <v>3</v>
      </c>
      <c r="AM411">
        <v>0</v>
      </c>
      <c r="AN411">
        <v>3</v>
      </c>
      <c r="AT411">
        <v>0</v>
      </c>
      <c r="AU411">
        <v>30</v>
      </c>
      <c r="AV411">
        <v>438</v>
      </c>
      <c r="AW411">
        <v>438</v>
      </c>
      <c r="AX411">
        <v>634</v>
      </c>
      <c r="BA411">
        <v>1</v>
      </c>
      <c r="BC411" t="s">
        <v>909</v>
      </c>
      <c r="BD411" s="4">
        <v>43283.418749999997</v>
      </c>
      <c r="BE411" s="4">
        <v>43283.444131944445</v>
      </c>
      <c r="BF411" s="4">
        <v>43283.444131944445</v>
      </c>
      <c r="BG411" t="s">
        <v>83</v>
      </c>
      <c r="BH411" t="s">
        <v>84</v>
      </c>
      <c r="BI411" t="s">
        <v>85</v>
      </c>
    </row>
    <row r="412" spans="1:61" x14ac:dyDescent="0.3">
      <c r="A412" t="str">
        <f>"201260B0100"</f>
        <v>201260B0100</v>
      </c>
      <c r="B412" t="s">
        <v>910</v>
      </c>
      <c r="C412">
        <v>20</v>
      </c>
      <c r="D412" t="s">
        <v>79</v>
      </c>
      <c r="E412">
        <v>2</v>
      </c>
      <c r="F412" t="s">
        <v>528</v>
      </c>
      <c r="G412">
        <v>1260</v>
      </c>
      <c r="H412">
        <v>1</v>
      </c>
      <c r="I412" t="s">
        <v>81</v>
      </c>
      <c r="J412">
        <v>0</v>
      </c>
      <c r="K412">
        <v>2</v>
      </c>
      <c r="L412">
        <v>2</v>
      </c>
      <c r="M412">
        <v>98</v>
      </c>
      <c r="N412">
        <v>565</v>
      </c>
      <c r="O412">
        <v>3</v>
      </c>
      <c r="P412">
        <v>565</v>
      </c>
      <c r="Q412">
        <v>70</v>
      </c>
      <c r="R412">
        <v>15</v>
      </c>
      <c r="S412">
        <v>7</v>
      </c>
      <c r="T412">
        <v>11</v>
      </c>
      <c r="U412">
        <v>4</v>
      </c>
      <c r="V412">
        <v>13</v>
      </c>
      <c r="W412">
        <v>0</v>
      </c>
      <c r="X412">
        <v>278</v>
      </c>
      <c r="Y412">
        <v>147</v>
      </c>
      <c r="Z412">
        <v>4</v>
      </c>
      <c r="AA412">
        <v>1</v>
      </c>
      <c r="AB412">
        <v>0</v>
      </c>
      <c r="AC412">
        <v>0</v>
      </c>
      <c r="AD412">
        <v>0</v>
      </c>
      <c r="AE412">
        <v>0</v>
      </c>
      <c r="AF412">
        <v>0</v>
      </c>
      <c r="AK412">
        <v>0</v>
      </c>
      <c r="AL412">
        <v>0</v>
      </c>
      <c r="AM412">
        <v>0</v>
      </c>
      <c r="AN412">
        <v>0</v>
      </c>
      <c r="AT412">
        <v>0</v>
      </c>
      <c r="AU412">
        <v>15</v>
      </c>
      <c r="AV412">
        <v>565</v>
      </c>
      <c r="AW412">
        <v>565</v>
      </c>
      <c r="AX412">
        <v>642</v>
      </c>
      <c r="BA412">
        <v>1</v>
      </c>
      <c r="BC412" t="s">
        <v>911</v>
      </c>
      <c r="BD412" s="4">
        <v>43283.445833333331</v>
      </c>
      <c r="BE412" s="4">
        <v>43283.449305555558</v>
      </c>
      <c r="BF412" s="4">
        <v>43283.449305555558</v>
      </c>
      <c r="BG412" t="s">
        <v>83</v>
      </c>
      <c r="BH412" t="s">
        <v>84</v>
      </c>
      <c r="BI412" t="s">
        <v>85</v>
      </c>
    </row>
    <row r="413" spans="1:61" x14ac:dyDescent="0.3">
      <c r="A413" t="str">
        <f>"201260C0100"</f>
        <v>201260C0100</v>
      </c>
      <c r="B413" t="s">
        <v>912</v>
      </c>
      <c r="C413">
        <v>20</v>
      </c>
      <c r="D413" t="s">
        <v>79</v>
      </c>
      <c r="E413">
        <v>2</v>
      </c>
      <c r="F413" t="s">
        <v>528</v>
      </c>
      <c r="G413">
        <v>1260</v>
      </c>
      <c r="H413">
        <v>1</v>
      </c>
      <c r="I413" t="s">
        <v>89</v>
      </c>
      <c r="J413">
        <v>0</v>
      </c>
      <c r="K413">
        <v>2</v>
      </c>
      <c r="L413">
        <v>2</v>
      </c>
      <c r="M413">
        <v>79</v>
      </c>
      <c r="N413">
        <v>585</v>
      </c>
      <c r="O413">
        <v>4</v>
      </c>
      <c r="P413">
        <v>0</v>
      </c>
      <c r="Q413">
        <v>50</v>
      </c>
      <c r="R413">
        <v>50</v>
      </c>
      <c r="S413">
        <v>3</v>
      </c>
      <c r="T413">
        <v>8</v>
      </c>
      <c r="U413">
        <v>5</v>
      </c>
      <c r="V413">
        <v>15</v>
      </c>
      <c r="W413">
        <v>0</v>
      </c>
      <c r="X413">
        <v>271</v>
      </c>
      <c r="Y413">
        <v>145</v>
      </c>
      <c r="Z413">
        <v>3</v>
      </c>
      <c r="AA413">
        <v>1</v>
      </c>
      <c r="AB413">
        <v>1</v>
      </c>
      <c r="AC413">
        <v>0</v>
      </c>
      <c r="AD413">
        <v>0</v>
      </c>
      <c r="AE413">
        <v>0</v>
      </c>
      <c r="AF413">
        <v>0</v>
      </c>
      <c r="AK413">
        <v>0</v>
      </c>
      <c r="AL413">
        <v>1</v>
      </c>
      <c r="AM413">
        <v>0</v>
      </c>
      <c r="AN413">
        <v>0</v>
      </c>
      <c r="AT413">
        <v>0</v>
      </c>
      <c r="AU413">
        <v>33</v>
      </c>
      <c r="AV413">
        <v>585</v>
      </c>
      <c r="AW413">
        <v>586</v>
      </c>
      <c r="AX413">
        <v>642</v>
      </c>
      <c r="BA413">
        <v>1</v>
      </c>
      <c r="BC413" t="s">
        <v>913</v>
      </c>
      <c r="BD413" s="4">
        <v>43283.450694444444</v>
      </c>
      <c r="BE413" s="4">
        <v>43283.454976851855</v>
      </c>
      <c r="BF413" s="4">
        <v>43283.454976851855</v>
      </c>
      <c r="BG413" t="s">
        <v>83</v>
      </c>
      <c r="BH413" t="s">
        <v>84</v>
      </c>
      <c r="BI413" t="s">
        <v>85</v>
      </c>
    </row>
    <row r="414" spans="1:61" x14ac:dyDescent="0.3">
      <c r="A414" t="str">
        <f>"200074B0100"</f>
        <v>200074B0100</v>
      </c>
      <c r="B414" t="s">
        <v>914</v>
      </c>
      <c r="C414">
        <v>20</v>
      </c>
      <c r="D414" t="s">
        <v>79</v>
      </c>
      <c r="E414">
        <v>3</v>
      </c>
      <c r="F414" t="s">
        <v>915</v>
      </c>
      <c r="G414">
        <v>74</v>
      </c>
      <c r="H414">
        <v>1</v>
      </c>
      <c r="I414" t="s">
        <v>81</v>
      </c>
      <c r="J414">
        <v>0</v>
      </c>
      <c r="K414">
        <v>1</v>
      </c>
      <c r="L414">
        <v>2</v>
      </c>
      <c r="M414">
        <v>142</v>
      </c>
      <c r="N414">
        <v>421</v>
      </c>
      <c r="O414">
        <v>6</v>
      </c>
      <c r="P414">
        <v>421</v>
      </c>
      <c r="Q414">
        <v>6</v>
      </c>
      <c r="R414">
        <v>74</v>
      </c>
      <c r="S414">
        <v>88</v>
      </c>
      <c r="T414">
        <v>2</v>
      </c>
      <c r="U414">
        <v>12</v>
      </c>
      <c r="V414">
        <v>4</v>
      </c>
      <c r="W414">
        <v>73</v>
      </c>
      <c r="X414">
        <v>1</v>
      </c>
      <c r="Y414">
        <v>103</v>
      </c>
      <c r="Z414">
        <v>4</v>
      </c>
      <c r="AA414">
        <v>1</v>
      </c>
      <c r="AB414">
        <v>0</v>
      </c>
      <c r="AC414">
        <v>4</v>
      </c>
      <c r="AD414">
        <v>1</v>
      </c>
      <c r="AE414">
        <v>0</v>
      </c>
      <c r="AF414">
        <v>0</v>
      </c>
      <c r="AG414">
        <v>1</v>
      </c>
      <c r="AH414">
        <v>1</v>
      </c>
      <c r="AI414">
        <v>0</v>
      </c>
      <c r="AJ414">
        <v>0</v>
      </c>
      <c r="AK414">
        <v>5</v>
      </c>
      <c r="AL414">
        <v>0</v>
      </c>
      <c r="AM414">
        <v>0</v>
      </c>
      <c r="AN414">
        <v>3</v>
      </c>
      <c r="AT414">
        <v>0</v>
      </c>
      <c r="AU414">
        <v>38</v>
      </c>
      <c r="AV414">
        <v>421</v>
      </c>
      <c r="AW414">
        <v>421</v>
      </c>
      <c r="AX414">
        <v>541</v>
      </c>
      <c r="BA414">
        <v>1</v>
      </c>
      <c r="BC414" t="s">
        <v>916</v>
      </c>
      <c r="BD414" s="4">
        <v>43283.284722222219</v>
      </c>
      <c r="BE414" s="4">
        <v>43283.313310185185</v>
      </c>
      <c r="BF414" s="4">
        <v>43283.313310185185</v>
      </c>
      <c r="BG414" t="s">
        <v>83</v>
      </c>
      <c r="BH414" t="s">
        <v>84</v>
      </c>
      <c r="BI414" t="s">
        <v>85</v>
      </c>
    </row>
    <row r="415" spans="1:61" x14ac:dyDescent="0.3">
      <c r="A415" t="str">
        <f>"200074C0100"</f>
        <v>200074C0100</v>
      </c>
      <c r="B415" t="s">
        <v>917</v>
      </c>
      <c r="C415">
        <v>20</v>
      </c>
      <c r="D415" t="s">
        <v>79</v>
      </c>
      <c r="E415">
        <v>3</v>
      </c>
      <c r="F415" t="s">
        <v>915</v>
      </c>
      <c r="G415">
        <v>74</v>
      </c>
      <c r="H415">
        <v>1</v>
      </c>
      <c r="I415" t="s">
        <v>89</v>
      </c>
      <c r="J415">
        <v>0</v>
      </c>
      <c r="K415">
        <v>1</v>
      </c>
      <c r="L415">
        <v>2</v>
      </c>
      <c r="M415">
        <v>132</v>
      </c>
      <c r="N415">
        <v>431</v>
      </c>
      <c r="O415">
        <v>4</v>
      </c>
      <c r="P415">
        <v>431</v>
      </c>
      <c r="Q415">
        <v>2</v>
      </c>
      <c r="R415">
        <v>118</v>
      </c>
      <c r="S415">
        <v>77</v>
      </c>
      <c r="T415">
        <v>2</v>
      </c>
      <c r="U415">
        <v>13</v>
      </c>
      <c r="V415">
        <v>1</v>
      </c>
      <c r="W415">
        <v>87</v>
      </c>
      <c r="X415">
        <v>4</v>
      </c>
      <c r="Y415">
        <v>85</v>
      </c>
      <c r="Z415">
        <v>1</v>
      </c>
      <c r="AA415">
        <v>0</v>
      </c>
      <c r="AB415">
        <v>0</v>
      </c>
      <c r="AC415">
        <v>1</v>
      </c>
      <c r="AD415">
        <v>0</v>
      </c>
      <c r="AE415">
        <v>0</v>
      </c>
      <c r="AF415">
        <v>0</v>
      </c>
      <c r="AG415">
        <v>0</v>
      </c>
      <c r="AH415">
        <v>1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1</v>
      </c>
      <c r="AT415">
        <v>0</v>
      </c>
      <c r="AU415">
        <v>38</v>
      </c>
      <c r="AV415">
        <v>431</v>
      </c>
      <c r="AW415">
        <v>431</v>
      </c>
      <c r="AX415">
        <v>541</v>
      </c>
      <c r="BA415">
        <v>1</v>
      </c>
      <c r="BC415" t="s">
        <v>918</v>
      </c>
      <c r="BD415" s="4">
        <v>43283.286111111112</v>
      </c>
      <c r="BE415" s="4">
        <v>43283.314664351848</v>
      </c>
      <c r="BF415" s="4">
        <v>43283.314664351848</v>
      </c>
      <c r="BG415" t="s">
        <v>83</v>
      </c>
      <c r="BH415" t="s">
        <v>84</v>
      </c>
      <c r="BI415" t="s">
        <v>85</v>
      </c>
    </row>
    <row r="416" spans="1:61" x14ac:dyDescent="0.3">
      <c r="A416" t="str">
        <f>"200074C0200"</f>
        <v>200074C0200</v>
      </c>
      <c r="B416" t="s">
        <v>919</v>
      </c>
      <c r="C416">
        <v>20</v>
      </c>
      <c r="D416" t="s">
        <v>79</v>
      </c>
      <c r="E416">
        <v>3</v>
      </c>
      <c r="F416" t="s">
        <v>915</v>
      </c>
      <c r="G416">
        <v>74</v>
      </c>
      <c r="H416">
        <v>2</v>
      </c>
      <c r="I416" t="s">
        <v>89</v>
      </c>
      <c r="J416">
        <v>0</v>
      </c>
      <c r="K416">
        <v>1</v>
      </c>
      <c r="L416">
        <v>2</v>
      </c>
      <c r="M416">
        <v>134</v>
      </c>
      <c r="N416">
        <v>428</v>
      </c>
      <c r="O416">
        <v>10</v>
      </c>
      <c r="P416">
        <v>428</v>
      </c>
      <c r="Q416">
        <v>5</v>
      </c>
      <c r="R416">
        <v>102</v>
      </c>
      <c r="S416">
        <v>83</v>
      </c>
      <c r="T416">
        <v>3</v>
      </c>
      <c r="U416">
        <v>12</v>
      </c>
      <c r="V416">
        <v>1</v>
      </c>
      <c r="W416">
        <v>67</v>
      </c>
      <c r="X416">
        <v>0</v>
      </c>
      <c r="Y416">
        <v>104</v>
      </c>
      <c r="Z416">
        <v>5</v>
      </c>
      <c r="AA416">
        <v>2</v>
      </c>
      <c r="AB416">
        <v>0</v>
      </c>
      <c r="AC416">
        <v>1</v>
      </c>
      <c r="AD416">
        <v>2</v>
      </c>
      <c r="AE416">
        <v>0</v>
      </c>
      <c r="AF416">
        <v>0</v>
      </c>
      <c r="AG416">
        <v>0</v>
      </c>
      <c r="AH416">
        <v>1</v>
      </c>
      <c r="AI416">
        <v>1</v>
      </c>
      <c r="AJ416">
        <v>0</v>
      </c>
      <c r="AK416">
        <v>1</v>
      </c>
      <c r="AL416">
        <v>0</v>
      </c>
      <c r="AM416">
        <v>0</v>
      </c>
      <c r="AN416">
        <v>1</v>
      </c>
      <c r="AT416">
        <v>0</v>
      </c>
      <c r="AU416">
        <v>37</v>
      </c>
      <c r="AV416">
        <v>428</v>
      </c>
      <c r="AW416">
        <v>428</v>
      </c>
      <c r="AX416">
        <v>540</v>
      </c>
      <c r="BA416">
        <v>1</v>
      </c>
      <c r="BC416" t="s">
        <v>920</v>
      </c>
      <c r="BD416" s="4">
        <v>43283.291666666664</v>
      </c>
      <c r="BE416" s="4">
        <v>43283.318923611114</v>
      </c>
      <c r="BF416" s="4">
        <v>43283.318923611114</v>
      </c>
      <c r="BG416" t="s">
        <v>83</v>
      </c>
      <c r="BH416" t="s">
        <v>84</v>
      </c>
      <c r="BI416" t="s">
        <v>85</v>
      </c>
    </row>
    <row r="417" spans="1:61" x14ac:dyDescent="0.3">
      <c r="A417" t="str">
        <f>"200075B0100"</f>
        <v>200075B0100</v>
      </c>
      <c r="B417" t="s">
        <v>921</v>
      </c>
      <c r="C417">
        <v>20</v>
      </c>
      <c r="D417" t="s">
        <v>79</v>
      </c>
      <c r="E417">
        <v>3</v>
      </c>
      <c r="F417" t="s">
        <v>915</v>
      </c>
      <c r="G417">
        <v>75</v>
      </c>
      <c r="H417">
        <v>1</v>
      </c>
      <c r="I417" t="s">
        <v>81</v>
      </c>
      <c r="J417">
        <v>0</v>
      </c>
      <c r="K417">
        <v>2</v>
      </c>
      <c r="L417">
        <v>2</v>
      </c>
      <c r="M417">
        <v>186</v>
      </c>
      <c r="N417">
        <v>537</v>
      </c>
      <c r="O417">
        <v>0</v>
      </c>
      <c r="P417">
        <v>537</v>
      </c>
      <c r="Q417">
        <v>8</v>
      </c>
      <c r="R417">
        <v>89</v>
      </c>
      <c r="S417">
        <v>65</v>
      </c>
      <c r="T417">
        <v>2</v>
      </c>
      <c r="U417">
        <v>14</v>
      </c>
      <c r="V417">
        <v>2</v>
      </c>
      <c r="W417">
        <v>113</v>
      </c>
      <c r="X417">
        <v>7</v>
      </c>
      <c r="Y417">
        <v>169</v>
      </c>
      <c r="Z417">
        <v>7</v>
      </c>
      <c r="AA417">
        <v>0</v>
      </c>
      <c r="AB417">
        <v>3</v>
      </c>
      <c r="AC417">
        <v>1</v>
      </c>
      <c r="AD417">
        <v>0</v>
      </c>
      <c r="AE417">
        <v>0</v>
      </c>
      <c r="AF417">
        <v>0</v>
      </c>
      <c r="AG417">
        <v>0</v>
      </c>
      <c r="AH417">
        <v>1</v>
      </c>
      <c r="AI417">
        <v>0</v>
      </c>
      <c r="AJ417">
        <v>0</v>
      </c>
      <c r="AK417">
        <v>1</v>
      </c>
      <c r="AL417">
        <v>0</v>
      </c>
      <c r="AM417">
        <v>0</v>
      </c>
      <c r="AN417">
        <v>0</v>
      </c>
      <c r="AT417">
        <v>0</v>
      </c>
      <c r="AU417">
        <v>53</v>
      </c>
      <c r="AV417">
        <v>536</v>
      </c>
      <c r="AW417">
        <v>535</v>
      </c>
      <c r="AX417">
        <v>701</v>
      </c>
      <c r="BA417">
        <v>1</v>
      </c>
      <c r="BC417" t="s">
        <v>922</v>
      </c>
      <c r="BD417" s="4">
        <v>43283.220833333333</v>
      </c>
      <c r="BE417" s="4">
        <v>43283.249444444446</v>
      </c>
      <c r="BF417" s="4">
        <v>43283.249444444446</v>
      </c>
      <c r="BG417" t="s">
        <v>83</v>
      </c>
      <c r="BH417" t="s">
        <v>84</v>
      </c>
      <c r="BI417" t="s">
        <v>85</v>
      </c>
    </row>
    <row r="418" spans="1:61" x14ac:dyDescent="0.3">
      <c r="A418" t="str">
        <f>"200075C0100"</f>
        <v>200075C0100</v>
      </c>
      <c r="B418" t="s">
        <v>923</v>
      </c>
      <c r="C418">
        <v>20</v>
      </c>
      <c r="D418" t="s">
        <v>79</v>
      </c>
      <c r="E418">
        <v>3</v>
      </c>
      <c r="F418" t="s">
        <v>915</v>
      </c>
      <c r="G418">
        <v>75</v>
      </c>
      <c r="H418">
        <v>1</v>
      </c>
      <c r="I418" t="s">
        <v>89</v>
      </c>
      <c r="J418">
        <v>0</v>
      </c>
      <c r="K418">
        <v>2</v>
      </c>
      <c r="L418">
        <v>2</v>
      </c>
      <c r="M418">
        <v>177</v>
      </c>
      <c r="N418">
        <v>546</v>
      </c>
      <c r="O418">
        <v>4</v>
      </c>
      <c r="P418">
        <v>546</v>
      </c>
      <c r="Q418">
        <v>11</v>
      </c>
      <c r="R418">
        <v>89</v>
      </c>
      <c r="S418">
        <v>73</v>
      </c>
      <c r="T418">
        <v>0</v>
      </c>
      <c r="U418">
        <v>19</v>
      </c>
      <c r="V418">
        <v>5</v>
      </c>
      <c r="W418">
        <v>141</v>
      </c>
      <c r="X418">
        <v>2</v>
      </c>
      <c r="Y418">
        <v>138</v>
      </c>
      <c r="Z418">
        <v>15</v>
      </c>
      <c r="AA418">
        <v>0</v>
      </c>
      <c r="AB418">
        <v>3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1</v>
      </c>
      <c r="AL418">
        <v>0</v>
      </c>
      <c r="AM418">
        <v>0</v>
      </c>
      <c r="AN418">
        <v>0</v>
      </c>
      <c r="AT418">
        <v>0</v>
      </c>
      <c r="AU418">
        <v>49</v>
      </c>
      <c r="AV418">
        <v>546</v>
      </c>
      <c r="AW418">
        <v>546</v>
      </c>
      <c r="AX418">
        <v>701</v>
      </c>
      <c r="BA418">
        <v>1</v>
      </c>
      <c r="BC418" t="s">
        <v>924</v>
      </c>
      <c r="BD418" s="4">
        <v>43283.21875</v>
      </c>
      <c r="BE418" s="4">
        <v>43283.246076388888</v>
      </c>
      <c r="BF418" s="4">
        <v>43283.246076388888</v>
      </c>
      <c r="BG418" t="s">
        <v>83</v>
      </c>
      <c r="BH418" t="s">
        <v>84</v>
      </c>
      <c r="BI418" t="s">
        <v>85</v>
      </c>
    </row>
    <row r="419" spans="1:61" x14ac:dyDescent="0.3">
      <c r="A419" t="str">
        <f>"200075E0100"</f>
        <v>200075E0100</v>
      </c>
      <c r="B419" s="2" t="s">
        <v>925</v>
      </c>
      <c r="C419">
        <v>20</v>
      </c>
      <c r="D419" t="s">
        <v>79</v>
      </c>
      <c r="E419">
        <v>3</v>
      </c>
      <c r="F419" t="s">
        <v>915</v>
      </c>
      <c r="G419">
        <v>75</v>
      </c>
      <c r="H419">
        <v>1</v>
      </c>
      <c r="I419" t="s">
        <v>145</v>
      </c>
      <c r="J419">
        <v>0</v>
      </c>
      <c r="K419">
        <v>2</v>
      </c>
      <c r="L419">
        <v>2</v>
      </c>
      <c r="M419">
        <v>103</v>
      </c>
      <c r="N419">
        <v>239</v>
      </c>
      <c r="O419">
        <v>4</v>
      </c>
      <c r="P419">
        <v>239</v>
      </c>
      <c r="Q419">
        <v>0</v>
      </c>
      <c r="R419">
        <v>68</v>
      </c>
      <c r="S419">
        <v>33</v>
      </c>
      <c r="T419">
        <v>1</v>
      </c>
      <c r="U419">
        <v>5</v>
      </c>
      <c r="V419">
        <v>0</v>
      </c>
      <c r="W419">
        <v>45</v>
      </c>
      <c r="X419">
        <v>0</v>
      </c>
      <c r="Y419">
        <v>58</v>
      </c>
      <c r="Z419">
        <v>3</v>
      </c>
      <c r="AA419">
        <v>0</v>
      </c>
      <c r="AB419">
        <v>0</v>
      </c>
      <c r="AC419">
        <v>0</v>
      </c>
      <c r="AD419">
        <v>1</v>
      </c>
      <c r="AE419">
        <v>0</v>
      </c>
      <c r="AF419">
        <v>1</v>
      </c>
      <c r="AG419">
        <v>0</v>
      </c>
      <c r="AH419">
        <v>0</v>
      </c>
      <c r="AI419">
        <v>0</v>
      </c>
      <c r="AJ419">
        <v>0</v>
      </c>
      <c r="AK419">
        <v>1</v>
      </c>
      <c r="AL419">
        <v>1</v>
      </c>
      <c r="AM419">
        <v>0</v>
      </c>
      <c r="AN419">
        <v>0</v>
      </c>
      <c r="AT419">
        <v>0</v>
      </c>
      <c r="AU419" t="s">
        <v>315</v>
      </c>
      <c r="AV419">
        <v>137</v>
      </c>
      <c r="AW419">
        <v>217</v>
      </c>
      <c r="AX419">
        <v>320</v>
      </c>
      <c r="AZ419" t="s">
        <v>101</v>
      </c>
      <c r="BA419">
        <v>1</v>
      </c>
      <c r="BC419" t="s">
        <v>926</v>
      </c>
      <c r="BD419" s="4">
        <v>43283.220138888886</v>
      </c>
      <c r="BE419" s="4">
        <v>43283.249305555553</v>
      </c>
      <c r="BF419" s="4">
        <v>43283.249305555553</v>
      </c>
      <c r="BG419" t="s">
        <v>83</v>
      </c>
      <c r="BH419" t="s">
        <v>84</v>
      </c>
      <c r="BI419" t="s">
        <v>85</v>
      </c>
    </row>
    <row r="420" spans="1:61" x14ac:dyDescent="0.3">
      <c r="A420" t="str">
        <f>"200075E0200"</f>
        <v>200075E0200</v>
      </c>
      <c r="B420" s="2" t="s">
        <v>927</v>
      </c>
      <c r="C420">
        <v>20</v>
      </c>
      <c r="D420" t="s">
        <v>79</v>
      </c>
      <c r="E420">
        <v>3</v>
      </c>
      <c r="F420" t="s">
        <v>915</v>
      </c>
      <c r="G420">
        <v>75</v>
      </c>
      <c r="H420">
        <v>2</v>
      </c>
      <c r="I420" t="s">
        <v>145</v>
      </c>
      <c r="J420">
        <v>0</v>
      </c>
      <c r="K420">
        <v>2</v>
      </c>
      <c r="L420">
        <v>2</v>
      </c>
      <c r="M420">
        <v>68</v>
      </c>
      <c r="N420">
        <v>232</v>
      </c>
      <c r="O420">
        <v>6</v>
      </c>
      <c r="P420">
        <v>232</v>
      </c>
      <c r="Q420">
        <v>4</v>
      </c>
      <c r="R420">
        <v>48</v>
      </c>
      <c r="S420">
        <v>8</v>
      </c>
      <c r="T420">
        <v>2</v>
      </c>
      <c r="U420">
        <v>8</v>
      </c>
      <c r="V420">
        <v>1</v>
      </c>
      <c r="W420">
        <v>14</v>
      </c>
      <c r="X420">
        <v>1</v>
      </c>
      <c r="Y420">
        <v>114</v>
      </c>
      <c r="Z420">
        <v>14</v>
      </c>
      <c r="AA420">
        <v>0</v>
      </c>
      <c r="AB420">
        <v>2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1</v>
      </c>
      <c r="AI420">
        <v>0</v>
      </c>
      <c r="AJ420">
        <v>0</v>
      </c>
      <c r="AK420">
        <v>6</v>
      </c>
      <c r="AL420">
        <v>0</v>
      </c>
      <c r="AM420">
        <v>0</v>
      </c>
      <c r="AN420">
        <v>1</v>
      </c>
      <c r="AT420">
        <v>2</v>
      </c>
      <c r="AU420">
        <v>6</v>
      </c>
      <c r="AV420">
        <v>232</v>
      </c>
      <c r="AW420">
        <v>232</v>
      </c>
      <c r="AX420">
        <v>278</v>
      </c>
      <c r="BA420">
        <v>1</v>
      </c>
      <c r="BC420" t="s">
        <v>928</v>
      </c>
      <c r="BD420" s="4">
        <v>43283.21875</v>
      </c>
      <c r="BE420" s="4">
        <v>43283.242800925924</v>
      </c>
      <c r="BF420" s="4">
        <v>43283.242800925924</v>
      </c>
      <c r="BG420" t="s">
        <v>83</v>
      </c>
      <c r="BH420" t="s">
        <v>84</v>
      </c>
      <c r="BI420" t="s">
        <v>85</v>
      </c>
    </row>
    <row r="421" spans="1:61" x14ac:dyDescent="0.3">
      <c r="A421" t="str">
        <f>"200075E0300"</f>
        <v>200075E0300</v>
      </c>
      <c r="B421" s="2" t="s">
        <v>929</v>
      </c>
      <c r="C421">
        <v>20</v>
      </c>
      <c r="D421" t="s">
        <v>79</v>
      </c>
      <c r="E421">
        <v>3</v>
      </c>
      <c r="F421" t="s">
        <v>915</v>
      </c>
      <c r="G421">
        <v>75</v>
      </c>
      <c r="H421">
        <v>3</v>
      </c>
      <c r="I421" t="s">
        <v>145</v>
      </c>
      <c r="J421">
        <v>0</v>
      </c>
      <c r="K421">
        <v>2</v>
      </c>
      <c r="L421">
        <v>2</v>
      </c>
      <c r="M421">
        <v>59</v>
      </c>
      <c r="N421">
        <v>226</v>
      </c>
      <c r="O421">
        <v>6</v>
      </c>
      <c r="P421">
        <v>226</v>
      </c>
      <c r="Q421">
        <v>3</v>
      </c>
      <c r="R421">
        <v>24</v>
      </c>
      <c r="S421">
        <v>6</v>
      </c>
      <c r="T421">
        <v>1</v>
      </c>
      <c r="U421">
        <v>1</v>
      </c>
      <c r="V421">
        <v>1</v>
      </c>
      <c r="W421">
        <v>41</v>
      </c>
      <c r="X421">
        <v>0</v>
      </c>
      <c r="Y421">
        <v>106</v>
      </c>
      <c r="Z421">
        <v>13</v>
      </c>
      <c r="AA421">
        <v>0</v>
      </c>
      <c r="AB421">
        <v>1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1</v>
      </c>
      <c r="AJ421">
        <v>0</v>
      </c>
      <c r="AK421">
        <v>5</v>
      </c>
      <c r="AL421">
        <v>1</v>
      </c>
      <c r="AM421">
        <v>0</v>
      </c>
      <c r="AN421">
        <v>1</v>
      </c>
      <c r="AT421" t="s">
        <v>100</v>
      </c>
      <c r="AU421">
        <v>21</v>
      </c>
      <c r="AV421">
        <v>226</v>
      </c>
      <c r="AW421">
        <v>226</v>
      </c>
      <c r="AX421">
        <v>263</v>
      </c>
      <c r="AZ421" t="s">
        <v>101</v>
      </c>
      <c r="BA421">
        <v>1</v>
      </c>
      <c r="BC421" t="s">
        <v>930</v>
      </c>
      <c r="BD421" s="4">
        <v>43283.217361111114</v>
      </c>
      <c r="BE421" s="4">
        <v>43283.240925925929</v>
      </c>
      <c r="BF421" s="4">
        <v>43283.240925925929</v>
      </c>
      <c r="BG421" t="s">
        <v>83</v>
      </c>
      <c r="BH421" t="s">
        <v>84</v>
      </c>
      <c r="BI421" t="s">
        <v>85</v>
      </c>
    </row>
    <row r="422" spans="1:61" x14ac:dyDescent="0.3">
      <c r="A422" t="str">
        <f>"200076B0100"</f>
        <v>200076B0100</v>
      </c>
      <c r="B422" t="s">
        <v>931</v>
      </c>
      <c r="C422">
        <v>20</v>
      </c>
      <c r="D422" t="s">
        <v>79</v>
      </c>
      <c r="E422">
        <v>3</v>
      </c>
      <c r="F422" t="s">
        <v>915</v>
      </c>
      <c r="G422">
        <v>76</v>
      </c>
      <c r="H422">
        <v>1</v>
      </c>
      <c r="I422" t="s">
        <v>81</v>
      </c>
      <c r="J422">
        <v>0</v>
      </c>
      <c r="K422">
        <v>2</v>
      </c>
      <c r="L422">
        <v>2</v>
      </c>
      <c r="AX422">
        <v>543</v>
      </c>
      <c r="AZ422" t="s">
        <v>932</v>
      </c>
      <c r="BA422">
        <v>0</v>
      </c>
      <c r="BC422" t="s">
        <v>933</v>
      </c>
      <c r="BD422" s="4">
        <v>43283.772916666669</v>
      </c>
      <c r="BE422" s="4">
        <v>43283.778877314813</v>
      </c>
      <c r="BF422" s="4">
        <v>43283.778877314813</v>
      </c>
      <c r="BG422" t="s">
        <v>83</v>
      </c>
      <c r="BH422" t="s">
        <v>84</v>
      </c>
      <c r="BI422" t="s">
        <v>85</v>
      </c>
    </row>
    <row r="423" spans="1:61" x14ac:dyDescent="0.3">
      <c r="A423" t="str">
        <f>"200076C0100"</f>
        <v>200076C0100</v>
      </c>
      <c r="B423" t="s">
        <v>934</v>
      </c>
      <c r="C423">
        <v>20</v>
      </c>
      <c r="D423" t="s">
        <v>79</v>
      </c>
      <c r="E423">
        <v>3</v>
      </c>
      <c r="F423" t="s">
        <v>915</v>
      </c>
      <c r="G423">
        <v>76</v>
      </c>
      <c r="H423">
        <v>1</v>
      </c>
      <c r="I423" t="s">
        <v>89</v>
      </c>
      <c r="J423">
        <v>0</v>
      </c>
      <c r="K423">
        <v>2</v>
      </c>
      <c r="L423">
        <v>2</v>
      </c>
      <c r="AX423">
        <v>542</v>
      </c>
      <c r="AZ423" t="s">
        <v>932</v>
      </c>
      <c r="BA423">
        <v>0</v>
      </c>
      <c r="BC423" t="s">
        <v>935</v>
      </c>
      <c r="BD423" s="4">
        <v>43283.775000000001</v>
      </c>
      <c r="BE423" s="4">
        <v>43283.781956018516</v>
      </c>
      <c r="BF423" s="4">
        <v>43283.781956018516</v>
      </c>
      <c r="BG423" t="s">
        <v>83</v>
      </c>
      <c r="BH423" t="s">
        <v>84</v>
      </c>
      <c r="BI423" t="s">
        <v>85</v>
      </c>
    </row>
    <row r="424" spans="1:61" x14ac:dyDescent="0.3">
      <c r="A424" t="str">
        <f>"200333B0100"</f>
        <v>200333B0100</v>
      </c>
      <c r="B424" t="s">
        <v>936</v>
      </c>
      <c r="C424">
        <v>20</v>
      </c>
      <c r="D424" t="s">
        <v>79</v>
      </c>
      <c r="E424">
        <v>3</v>
      </c>
      <c r="F424" t="s">
        <v>915</v>
      </c>
      <c r="G424">
        <v>333</v>
      </c>
      <c r="H424">
        <v>1</v>
      </c>
      <c r="I424" t="s">
        <v>81</v>
      </c>
      <c r="J424">
        <v>0</v>
      </c>
      <c r="K424">
        <v>1</v>
      </c>
      <c r="L424">
        <v>2</v>
      </c>
      <c r="M424">
        <v>175</v>
      </c>
      <c r="N424">
        <v>359</v>
      </c>
      <c r="O424">
        <v>1</v>
      </c>
      <c r="P424">
        <v>360</v>
      </c>
      <c r="Q424">
        <v>9</v>
      </c>
      <c r="R424">
        <v>93</v>
      </c>
      <c r="S424">
        <v>136</v>
      </c>
      <c r="T424">
        <v>5</v>
      </c>
      <c r="U424">
        <v>4</v>
      </c>
      <c r="V424">
        <v>3</v>
      </c>
      <c r="W424">
        <v>2</v>
      </c>
      <c r="X424">
        <v>20</v>
      </c>
      <c r="Y424">
        <v>66</v>
      </c>
      <c r="Z424">
        <v>0</v>
      </c>
      <c r="AA424">
        <v>0</v>
      </c>
      <c r="AB424">
        <v>2</v>
      </c>
      <c r="AC424">
        <v>2</v>
      </c>
      <c r="AD424">
        <v>0</v>
      </c>
      <c r="AE424">
        <v>0</v>
      </c>
      <c r="AF424">
        <v>0</v>
      </c>
      <c r="AG424">
        <v>1</v>
      </c>
      <c r="AH424">
        <v>2</v>
      </c>
      <c r="AI424">
        <v>2</v>
      </c>
      <c r="AJ424">
        <v>1</v>
      </c>
      <c r="AK424">
        <v>2</v>
      </c>
      <c r="AL424">
        <v>0</v>
      </c>
      <c r="AM424">
        <v>0</v>
      </c>
      <c r="AN424">
        <v>0</v>
      </c>
      <c r="AT424">
        <v>0</v>
      </c>
      <c r="AU424">
        <v>10</v>
      </c>
      <c r="AV424">
        <v>360</v>
      </c>
      <c r="AW424">
        <v>360</v>
      </c>
      <c r="AX424">
        <v>512</v>
      </c>
      <c r="BA424">
        <v>1</v>
      </c>
      <c r="BC424" t="s">
        <v>937</v>
      </c>
      <c r="BD424" s="4">
        <v>43283.472222222219</v>
      </c>
      <c r="BE424" s="4">
        <v>43283.475810185184</v>
      </c>
      <c r="BF424" s="4">
        <v>43283.475810185184</v>
      </c>
      <c r="BG424" t="s">
        <v>83</v>
      </c>
      <c r="BH424" t="s">
        <v>84</v>
      </c>
      <c r="BI424" t="s">
        <v>548</v>
      </c>
    </row>
    <row r="425" spans="1:61" x14ac:dyDescent="0.3">
      <c r="A425" t="str">
        <f>"200333C0100"</f>
        <v>200333C0100</v>
      </c>
      <c r="B425" t="s">
        <v>938</v>
      </c>
      <c r="C425">
        <v>20</v>
      </c>
      <c r="D425" t="s">
        <v>79</v>
      </c>
      <c r="E425">
        <v>3</v>
      </c>
      <c r="F425" t="s">
        <v>915</v>
      </c>
      <c r="G425">
        <v>333</v>
      </c>
      <c r="H425">
        <v>1</v>
      </c>
      <c r="I425" t="s">
        <v>89</v>
      </c>
      <c r="J425">
        <v>0</v>
      </c>
      <c r="K425">
        <v>1</v>
      </c>
      <c r="L425">
        <v>2</v>
      </c>
      <c r="M425">
        <v>181</v>
      </c>
      <c r="N425">
        <v>533</v>
      </c>
      <c r="O425">
        <v>4</v>
      </c>
      <c r="P425" t="s">
        <v>100</v>
      </c>
      <c r="Q425">
        <v>14</v>
      </c>
      <c r="R425">
        <v>84</v>
      </c>
      <c r="S425">
        <v>123</v>
      </c>
      <c r="T425">
        <v>6</v>
      </c>
      <c r="U425">
        <v>6</v>
      </c>
      <c r="V425">
        <v>6</v>
      </c>
      <c r="W425">
        <v>29</v>
      </c>
      <c r="X425">
        <v>29</v>
      </c>
      <c r="Y425">
        <v>56</v>
      </c>
      <c r="Z425">
        <v>4</v>
      </c>
      <c r="AA425">
        <v>1</v>
      </c>
      <c r="AB425">
        <v>1</v>
      </c>
      <c r="AC425">
        <v>3</v>
      </c>
      <c r="AD425">
        <v>0</v>
      </c>
      <c r="AE425">
        <v>0</v>
      </c>
      <c r="AF425">
        <v>0</v>
      </c>
      <c r="AG425">
        <v>3</v>
      </c>
      <c r="AH425">
        <v>1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T425">
        <v>0</v>
      </c>
      <c r="AU425">
        <v>15</v>
      </c>
      <c r="AV425">
        <v>352</v>
      </c>
      <c r="AW425">
        <v>381</v>
      </c>
      <c r="AX425">
        <v>511</v>
      </c>
      <c r="BA425">
        <v>1</v>
      </c>
      <c r="BC425" t="s">
        <v>939</v>
      </c>
      <c r="BD425" s="4">
        <v>43283.180555555555</v>
      </c>
      <c r="BE425" s="4">
        <v>43283.208761574075</v>
      </c>
      <c r="BF425" s="4">
        <v>43283.208761574075</v>
      </c>
      <c r="BG425" t="s">
        <v>83</v>
      </c>
      <c r="BH425" t="s">
        <v>84</v>
      </c>
      <c r="BI425" t="s">
        <v>85</v>
      </c>
    </row>
    <row r="426" spans="1:61" x14ac:dyDescent="0.3">
      <c r="A426" t="str">
        <f>"200334B0100"</f>
        <v>200334B0100</v>
      </c>
      <c r="B426" t="s">
        <v>940</v>
      </c>
      <c r="C426">
        <v>20</v>
      </c>
      <c r="D426" t="s">
        <v>79</v>
      </c>
      <c r="E426">
        <v>3</v>
      </c>
      <c r="F426" t="s">
        <v>915</v>
      </c>
      <c r="G426">
        <v>334</v>
      </c>
      <c r="H426">
        <v>1</v>
      </c>
      <c r="I426" t="s">
        <v>81</v>
      </c>
      <c r="J426">
        <v>0</v>
      </c>
      <c r="K426">
        <v>1</v>
      </c>
      <c r="L426">
        <v>2</v>
      </c>
      <c r="M426">
        <v>188</v>
      </c>
      <c r="N426">
        <v>283</v>
      </c>
      <c r="O426">
        <v>2</v>
      </c>
      <c r="P426">
        <v>283</v>
      </c>
      <c r="Q426">
        <v>7</v>
      </c>
      <c r="R426">
        <v>76</v>
      </c>
      <c r="S426">
        <v>75</v>
      </c>
      <c r="T426">
        <v>4</v>
      </c>
      <c r="U426">
        <v>2</v>
      </c>
      <c r="V426">
        <v>7</v>
      </c>
      <c r="W426">
        <v>1</v>
      </c>
      <c r="X426">
        <v>20</v>
      </c>
      <c r="Y426">
        <v>58</v>
      </c>
      <c r="Z426">
        <v>2</v>
      </c>
      <c r="AA426">
        <v>0</v>
      </c>
      <c r="AB426">
        <v>0</v>
      </c>
      <c r="AC426">
        <v>2</v>
      </c>
      <c r="AD426">
        <v>0</v>
      </c>
      <c r="AE426">
        <v>0</v>
      </c>
      <c r="AF426">
        <v>0</v>
      </c>
      <c r="AG426">
        <v>7</v>
      </c>
      <c r="AH426">
        <v>2</v>
      </c>
      <c r="AI426">
        <v>1</v>
      </c>
      <c r="AJ426">
        <v>1</v>
      </c>
      <c r="AK426">
        <v>2</v>
      </c>
      <c r="AL426">
        <v>4</v>
      </c>
      <c r="AM426">
        <v>0</v>
      </c>
      <c r="AN426">
        <v>0</v>
      </c>
      <c r="AT426">
        <v>0</v>
      </c>
      <c r="AU426">
        <v>12</v>
      </c>
      <c r="AV426">
        <v>283</v>
      </c>
      <c r="AW426">
        <v>283</v>
      </c>
      <c r="AX426">
        <v>449</v>
      </c>
      <c r="BA426">
        <v>1</v>
      </c>
      <c r="BC426" t="s">
        <v>941</v>
      </c>
      <c r="BD426" s="4">
        <v>43283.166666666664</v>
      </c>
      <c r="BE426" s="4">
        <v>43283.187222222223</v>
      </c>
      <c r="BF426" s="4">
        <v>43283.187222222223</v>
      </c>
      <c r="BG426" t="s">
        <v>83</v>
      </c>
      <c r="BH426" t="s">
        <v>84</v>
      </c>
      <c r="BI426" t="s">
        <v>85</v>
      </c>
    </row>
    <row r="427" spans="1:61" x14ac:dyDescent="0.3">
      <c r="A427" t="str">
        <f>"200334C0100"</f>
        <v>200334C0100</v>
      </c>
      <c r="B427" t="s">
        <v>942</v>
      </c>
      <c r="C427">
        <v>20</v>
      </c>
      <c r="D427" t="s">
        <v>79</v>
      </c>
      <c r="E427">
        <v>3</v>
      </c>
      <c r="F427" t="s">
        <v>915</v>
      </c>
      <c r="G427">
        <v>334</v>
      </c>
      <c r="H427">
        <v>1</v>
      </c>
      <c r="I427" t="s">
        <v>89</v>
      </c>
      <c r="J427">
        <v>0</v>
      </c>
      <c r="K427">
        <v>1</v>
      </c>
      <c r="L427">
        <v>2</v>
      </c>
      <c r="M427">
        <v>193</v>
      </c>
      <c r="N427">
        <v>272</v>
      </c>
      <c r="O427">
        <v>4</v>
      </c>
      <c r="P427">
        <v>272</v>
      </c>
      <c r="Q427">
        <v>4</v>
      </c>
      <c r="R427">
        <v>58</v>
      </c>
      <c r="S427">
        <v>86</v>
      </c>
      <c r="T427">
        <v>8</v>
      </c>
      <c r="U427">
        <v>8</v>
      </c>
      <c r="V427">
        <v>9</v>
      </c>
      <c r="W427">
        <v>2</v>
      </c>
      <c r="X427">
        <v>11</v>
      </c>
      <c r="Y427">
        <v>50</v>
      </c>
      <c r="Z427">
        <v>3</v>
      </c>
      <c r="AA427">
        <v>0</v>
      </c>
      <c r="AB427">
        <v>4</v>
      </c>
      <c r="AC427">
        <v>3</v>
      </c>
      <c r="AD427">
        <v>2</v>
      </c>
      <c r="AE427">
        <v>0</v>
      </c>
      <c r="AF427">
        <v>0</v>
      </c>
      <c r="AG427">
        <v>4</v>
      </c>
      <c r="AH427">
        <v>3</v>
      </c>
      <c r="AI427">
        <v>1</v>
      </c>
      <c r="AJ427">
        <v>0</v>
      </c>
      <c r="AK427">
        <v>2</v>
      </c>
      <c r="AL427">
        <v>2</v>
      </c>
      <c r="AM427">
        <v>1</v>
      </c>
      <c r="AN427">
        <v>2</v>
      </c>
      <c r="AT427" t="s">
        <v>100</v>
      </c>
      <c r="AU427">
        <v>13</v>
      </c>
      <c r="AV427">
        <v>276</v>
      </c>
      <c r="AW427">
        <v>276</v>
      </c>
      <c r="AX427">
        <v>448</v>
      </c>
      <c r="AZ427" t="s">
        <v>101</v>
      </c>
      <c r="BA427">
        <v>1</v>
      </c>
      <c r="BC427" t="s">
        <v>943</v>
      </c>
      <c r="BD427" s="4">
        <v>43283.170138888891</v>
      </c>
      <c r="BE427" s="4">
        <v>43283.186307870368</v>
      </c>
      <c r="BF427" s="4">
        <v>43283.186307870368</v>
      </c>
      <c r="BG427" t="s">
        <v>83</v>
      </c>
      <c r="BH427" t="s">
        <v>84</v>
      </c>
      <c r="BI427" t="s">
        <v>85</v>
      </c>
    </row>
    <row r="428" spans="1:61" x14ac:dyDescent="0.3">
      <c r="A428" t="str">
        <f>"200335B0100"</f>
        <v>200335B0100</v>
      </c>
      <c r="B428" t="s">
        <v>944</v>
      </c>
      <c r="C428">
        <v>20</v>
      </c>
      <c r="D428" t="s">
        <v>79</v>
      </c>
      <c r="E428">
        <v>3</v>
      </c>
      <c r="F428" t="s">
        <v>915</v>
      </c>
      <c r="G428">
        <v>335</v>
      </c>
      <c r="H428">
        <v>1</v>
      </c>
      <c r="I428" t="s">
        <v>81</v>
      </c>
      <c r="J428">
        <v>0</v>
      </c>
      <c r="K428">
        <v>1</v>
      </c>
      <c r="L428">
        <v>2</v>
      </c>
      <c r="M428">
        <v>227</v>
      </c>
      <c r="N428">
        <v>369</v>
      </c>
      <c r="O428">
        <v>2</v>
      </c>
      <c r="P428">
        <v>369</v>
      </c>
      <c r="Q428">
        <v>7</v>
      </c>
      <c r="R428">
        <v>116</v>
      </c>
      <c r="S428">
        <v>76</v>
      </c>
      <c r="T428">
        <v>5</v>
      </c>
      <c r="U428">
        <v>10</v>
      </c>
      <c r="V428">
        <v>8</v>
      </c>
      <c r="W428">
        <v>6</v>
      </c>
      <c r="X428">
        <v>21</v>
      </c>
      <c r="Y428">
        <v>78</v>
      </c>
      <c r="Z428">
        <v>8</v>
      </c>
      <c r="AA428">
        <v>1</v>
      </c>
      <c r="AB428">
        <v>2</v>
      </c>
      <c r="AC428">
        <v>8</v>
      </c>
      <c r="AD428">
        <v>0</v>
      </c>
      <c r="AE428">
        <v>0</v>
      </c>
      <c r="AF428">
        <v>1</v>
      </c>
      <c r="AG428">
        <v>3</v>
      </c>
      <c r="AH428">
        <v>0</v>
      </c>
      <c r="AI428">
        <v>0</v>
      </c>
      <c r="AJ428">
        <v>1</v>
      </c>
      <c r="AK428">
        <v>2</v>
      </c>
      <c r="AL428">
        <v>0</v>
      </c>
      <c r="AM428">
        <v>1</v>
      </c>
      <c r="AN428">
        <v>1</v>
      </c>
      <c r="AT428" t="s">
        <v>100</v>
      </c>
      <c r="AU428">
        <v>14</v>
      </c>
      <c r="AV428">
        <v>369</v>
      </c>
      <c r="AW428">
        <v>369</v>
      </c>
      <c r="AX428">
        <v>574</v>
      </c>
      <c r="AZ428" t="s">
        <v>101</v>
      </c>
      <c r="BA428">
        <v>1</v>
      </c>
      <c r="BC428" t="s">
        <v>945</v>
      </c>
      <c r="BD428" s="4">
        <v>43283.252083333333</v>
      </c>
      <c r="BE428" s="4">
        <v>43283.277800925927</v>
      </c>
      <c r="BF428" s="4">
        <v>43283.277800925927</v>
      </c>
      <c r="BG428" t="s">
        <v>83</v>
      </c>
      <c r="BH428" t="s">
        <v>84</v>
      </c>
      <c r="BI428" t="s">
        <v>85</v>
      </c>
    </row>
    <row r="429" spans="1:61" x14ac:dyDescent="0.3">
      <c r="A429" t="str">
        <f>"200335C0100"</f>
        <v>200335C0100</v>
      </c>
      <c r="B429" t="s">
        <v>946</v>
      </c>
      <c r="C429">
        <v>20</v>
      </c>
      <c r="D429" t="s">
        <v>79</v>
      </c>
      <c r="E429">
        <v>3</v>
      </c>
      <c r="F429" t="s">
        <v>915</v>
      </c>
      <c r="G429">
        <v>335</v>
      </c>
      <c r="H429">
        <v>1</v>
      </c>
      <c r="I429" t="s">
        <v>89</v>
      </c>
      <c r="J429">
        <v>0</v>
      </c>
      <c r="K429">
        <v>1</v>
      </c>
      <c r="L429">
        <v>2</v>
      </c>
      <c r="M429">
        <v>220</v>
      </c>
      <c r="N429">
        <v>375</v>
      </c>
      <c r="O429">
        <v>2</v>
      </c>
      <c r="P429">
        <v>375</v>
      </c>
      <c r="Q429">
        <v>17</v>
      </c>
      <c r="R429">
        <v>96</v>
      </c>
      <c r="S429">
        <v>100</v>
      </c>
      <c r="T429">
        <v>6</v>
      </c>
      <c r="U429">
        <v>15</v>
      </c>
      <c r="V429">
        <v>5</v>
      </c>
      <c r="W429">
        <v>5</v>
      </c>
      <c r="X429">
        <v>18</v>
      </c>
      <c r="Y429">
        <v>65</v>
      </c>
      <c r="Z429">
        <v>4</v>
      </c>
      <c r="AA429">
        <v>0</v>
      </c>
      <c r="AB429">
        <v>0</v>
      </c>
      <c r="AC429">
        <v>1</v>
      </c>
      <c r="AD429">
        <v>2</v>
      </c>
      <c r="AE429">
        <v>0</v>
      </c>
      <c r="AF429">
        <v>0</v>
      </c>
      <c r="AG429">
        <v>6</v>
      </c>
      <c r="AH429">
        <v>0</v>
      </c>
      <c r="AI429">
        <v>5</v>
      </c>
      <c r="AJ429">
        <v>0</v>
      </c>
      <c r="AK429">
        <v>0</v>
      </c>
      <c r="AL429">
        <v>1</v>
      </c>
      <c r="AM429">
        <v>0</v>
      </c>
      <c r="AN429">
        <v>0</v>
      </c>
      <c r="AT429">
        <v>0</v>
      </c>
      <c r="AU429">
        <v>29</v>
      </c>
      <c r="AV429">
        <v>375</v>
      </c>
      <c r="AW429">
        <v>375</v>
      </c>
      <c r="AX429">
        <v>573</v>
      </c>
      <c r="BA429">
        <v>1</v>
      </c>
      <c r="BC429" t="s">
        <v>947</v>
      </c>
      <c r="BD429" s="4">
        <v>43283.243055555555</v>
      </c>
      <c r="BE429" s="4">
        <v>43283.270937499998</v>
      </c>
      <c r="BF429" s="4">
        <v>43283.270937499998</v>
      </c>
      <c r="BG429" t="s">
        <v>83</v>
      </c>
      <c r="BH429" t="s">
        <v>84</v>
      </c>
      <c r="BI429" t="s">
        <v>85</v>
      </c>
    </row>
    <row r="430" spans="1:61" x14ac:dyDescent="0.3">
      <c r="A430" t="str">
        <f>"200336B0100"</f>
        <v>200336B0100</v>
      </c>
      <c r="B430" t="s">
        <v>948</v>
      </c>
      <c r="C430">
        <v>20</v>
      </c>
      <c r="D430" t="s">
        <v>79</v>
      </c>
      <c r="E430">
        <v>3</v>
      </c>
      <c r="F430" t="s">
        <v>915</v>
      </c>
      <c r="G430">
        <v>336</v>
      </c>
      <c r="H430">
        <v>1</v>
      </c>
      <c r="I430" t="s">
        <v>81</v>
      </c>
      <c r="J430">
        <v>0</v>
      </c>
      <c r="K430">
        <v>1</v>
      </c>
      <c r="L430">
        <v>2</v>
      </c>
      <c r="M430">
        <v>175</v>
      </c>
      <c r="N430">
        <v>278</v>
      </c>
      <c r="O430">
        <v>4</v>
      </c>
      <c r="P430">
        <v>278</v>
      </c>
      <c r="Q430">
        <v>5</v>
      </c>
      <c r="R430">
        <v>74</v>
      </c>
      <c r="S430">
        <v>65</v>
      </c>
      <c r="T430">
        <v>6</v>
      </c>
      <c r="U430">
        <v>7</v>
      </c>
      <c r="V430">
        <v>1</v>
      </c>
      <c r="W430">
        <v>2</v>
      </c>
      <c r="X430">
        <v>12</v>
      </c>
      <c r="Y430">
        <v>60</v>
      </c>
      <c r="Z430">
        <v>7</v>
      </c>
      <c r="AA430">
        <v>0</v>
      </c>
      <c r="AB430">
        <v>9</v>
      </c>
      <c r="AC430">
        <v>5</v>
      </c>
      <c r="AD430">
        <v>0</v>
      </c>
      <c r="AE430">
        <v>0</v>
      </c>
      <c r="AF430">
        <v>1</v>
      </c>
      <c r="AG430">
        <v>4</v>
      </c>
      <c r="AH430">
        <v>1</v>
      </c>
      <c r="AI430">
        <v>0</v>
      </c>
      <c r="AJ430">
        <v>0</v>
      </c>
      <c r="AK430">
        <v>1</v>
      </c>
      <c r="AL430">
        <v>1</v>
      </c>
      <c r="AM430">
        <v>0</v>
      </c>
      <c r="AN430">
        <v>0</v>
      </c>
      <c r="AT430">
        <v>0</v>
      </c>
      <c r="AU430">
        <v>17</v>
      </c>
      <c r="AV430">
        <v>278</v>
      </c>
      <c r="AW430">
        <v>278</v>
      </c>
      <c r="AX430">
        <v>431</v>
      </c>
      <c r="BA430">
        <v>1</v>
      </c>
      <c r="BC430" t="s">
        <v>949</v>
      </c>
      <c r="BD430" s="4">
        <v>43283.170138888891</v>
      </c>
      <c r="BE430" s="4">
        <v>43283.184108796297</v>
      </c>
      <c r="BF430" s="4">
        <v>43283.184108796297</v>
      </c>
      <c r="BG430" t="s">
        <v>83</v>
      </c>
      <c r="BH430" t="s">
        <v>84</v>
      </c>
      <c r="BI430" t="s">
        <v>85</v>
      </c>
    </row>
    <row r="431" spans="1:61" x14ac:dyDescent="0.3">
      <c r="A431" t="str">
        <f>"200336C0100"</f>
        <v>200336C0100</v>
      </c>
      <c r="B431" t="s">
        <v>950</v>
      </c>
      <c r="C431">
        <v>20</v>
      </c>
      <c r="D431" t="s">
        <v>79</v>
      </c>
      <c r="E431">
        <v>3</v>
      </c>
      <c r="F431" t="s">
        <v>915</v>
      </c>
      <c r="G431">
        <v>336</v>
      </c>
      <c r="H431">
        <v>1</v>
      </c>
      <c r="I431" t="s">
        <v>89</v>
      </c>
      <c r="J431">
        <v>0</v>
      </c>
      <c r="K431">
        <v>1</v>
      </c>
      <c r="L431">
        <v>2</v>
      </c>
      <c r="M431">
        <v>162</v>
      </c>
      <c r="N431">
        <v>290</v>
      </c>
      <c r="O431">
        <v>6</v>
      </c>
      <c r="P431">
        <v>290</v>
      </c>
      <c r="Q431">
        <v>4</v>
      </c>
      <c r="R431">
        <v>72</v>
      </c>
      <c r="S431">
        <v>49</v>
      </c>
      <c r="T431">
        <v>14</v>
      </c>
      <c r="U431">
        <v>14</v>
      </c>
      <c r="V431">
        <v>6</v>
      </c>
      <c r="W431">
        <v>5</v>
      </c>
      <c r="X431">
        <v>15</v>
      </c>
      <c r="Y431">
        <v>74</v>
      </c>
      <c r="Z431">
        <v>1</v>
      </c>
      <c r="AA431">
        <v>0</v>
      </c>
      <c r="AB431">
        <v>7</v>
      </c>
      <c r="AC431">
        <v>1</v>
      </c>
      <c r="AD431">
        <v>0</v>
      </c>
      <c r="AE431">
        <v>0</v>
      </c>
      <c r="AF431">
        <v>0</v>
      </c>
      <c r="AG431">
        <v>5</v>
      </c>
      <c r="AH431">
        <v>0</v>
      </c>
      <c r="AI431">
        <v>1</v>
      </c>
      <c r="AJ431">
        <v>1</v>
      </c>
      <c r="AK431">
        <v>2</v>
      </c>
      <c r="AL431" t="s">
        <v>315</v>
      </c>
      <c r="AM431">
        <v>1</v>
      </c>
      <c r="AN431">
        <v>1</v>
      </c>
      <c r="AT431">
        <v>0</v>
      </c>
      <c r="AU431">
        <v>16</v>
      </c>
      <c r="AV431">
        <v>290</v>
      </c>
      <c r="AW431">
        <v>289</v>
      </c>
      <c r="AX431">
        <v>431</v>
      </c>
      <c r="AZ431" t="s">
        <v>101</v>
      </c>
      <c r="BA431">
        <v>1</v>
      </c>
      <c r="BC431" t="s">
        <v>951</v>
      </c>
      <c r="BD431" s="4">
        <v>43283.174305555556</v>
      </c>
      <c r="BE431" s="4">
        <v>43283.193009259259</v>
      </c>
      <c r="BF431" s="4">
        <v>43283.193009259259</v>
      </c>
      <c r="BG431" t="s">
        <v>83</v>
      </c>
      <c r="BH431" t="s">
        <v>84</v>
      </c>
      <c r="BI431" t="s">
        <v>85</v>
      </c>
    </row>
    <row r="432" spans="1:61" x14ac:dyDescent="0.3">
      <c r="A432" t="str">
        <f>"200337B0100"</f>
        <v>200337B0100</v>
      </c>
      <c r="B432" t="s">
        <v>952</v>
      </c>
      <c r="C432">
        <v>20</v>
      </c>
      <c r="D432" t="s">
        <v>79</v>
      </c>
      <c r="E432">
        <v>3</v>
      </c>
      <c r="F432" t="s">
        <v>915</v>
      </c>
      <c r="G432">
        <v>337</v>
      </c>
      <c r="H432">
        <v>1</v>
      </c>
      <c r="I432" t="s">
        <v>81</v>
      </c>
      <c r="J432">
        <v>0</v>
      </c>
      <c r="K432">
        <v>1</v>
      </c>
      <c r="L432">
        <v>2</v>
      </c>
      <c r="M432">
        <v>153</v>
      </c>
      <c r="N432">
        <v>269</v>
      </c>
      <c r="O432">
        <v>6</v>
      </c>
      <c r="P432">
        <v>268</v>
      </c>
      <c r="Q432">
        <v>7</v>
      </c>
      <c r="R432">
        <v>92</v>
      </c>
      <c r="S432">
        <v>61</v>
      </c>
      <c r="T432">
        <v>7</v>
      </c>
      <c r="U432">
        <v>8</v>
      </c>
      <c r="V432">
        <v>1</v>
      </c>
      <c r="W432">
        <v>2</v>
      </c>
      <c r="X432">
        <v>19</v>
      </c>
      <c r="Y432">
        <v>45</v>
      </c>
      <c r="Z432">
        <v>4</v>
      </c>
      <c r="AA432">
        <v>0</v>
      </c>
      <c r="AB432">
        <v>0</v>
      </c>
      <c r="AC432">
        <v>4</v>
      </c>
      <c r="AD432">
        <v>0</v>
      </c>
      <c r="AE432">
        <v>0</v>
      </c>
      <c r="AF432">
        <v>0</v>
      </c>
      <c r="AG432">
        <v>5</v>
      </c>
      <c r="AH432">
        <v>2</v>
      </c>
      <c r="AI432">
        <v>3</v>
      </c>
      <c r="AJ432">
        <v>0</v>
      </c>
      <c r="AK432">
        <v>0</v>
      </c>
      <c r="AL432">
        <v>0</v>
      </c>
      <c r="AM432">
        <v>0</v>
      </c>
      <c r="AN432">
        <v>0</v>
      </c>
      <c r="AT432">
        <v>0</v>
      </c>
      <c r="AU432">
        <v>8</v>
      </c>
      <c r="AV432">
        <v>268</v>
      </c>
      <c r="AW432">
        <v>268</v>
      </c>
      <c r="AX432">
        <v>400</v>
      </c>
      <c r="BA432">
        <v>1</v>
      </c>
      <c r="BC432" t="s">
        <v>953</v>
      </c>
      <c r="BD432" s="4">
        <v>43283.205555555556</v>
      </c>
      <c r="BE432" s="4">
        <v>43283.231712962966</v>
      </c>
      <c r="BF432" s="4">
        <v>43283.231712962966</v>
      </c>
      <c r="BG432" t="s">
        <v>83</v>
      </c>
      <c r="BH432" t="s">
        <v>84</v>
      </c>
      <c r="BI432" t="s">
        <v>85</v>
      </c>
    </row>
    <row r="433" spans="1:61" x14ac:dyDescent="0.3">
      <c r="A433" t="str">
        <f>"200337C0100"</f>
        <v>200337C0100</v>
      </c>
      <c r="B433" t="s">
        <v>954</v>
      </c>
      <c r="C433">
        <v>20</v>
      </c>
      <c r="D433" t="s">
        <v>79</v>
      </c>
      <c r="E433">
        <v>3</v>
      </c>
      <c r="F433" t="s">
        <v>915</v>
      </c>
      <c r="G433">
        <v>337</v>
      </c>
      <c r="H433">
        <v>1</v>
      </c>
      <c r="I433" t="s">
        <v>89</v>
      </c>
      <c r="J433">
        <v>0</v>
      </c>
      <c r="K433">
        <v>1</v>
      </c>
      <c r="L433">
        <v>2</v>
      </c>
      <c r="M433">
        <v>142</v>
      </c>
      <c r="N433">
        <v>281</v>
      </c>
      <c r="O433">
        <v>7</v>
      </c>
      <c r="P433">
        <v>281</v>
      </c>
      <c r="Q433">
        <v>6</v>
      </c>
      <c r="R433">
        <v>111</v>
      </c>
      <c r="S433">
        <v>57</v>
      </c>
      <c r="T433">
        <v>9</v>
      </c>
      <c r="U433">
        <v>6</v>
      </c>
      <c r="V433">
        <v>3</v>
      </c>
      <c r="W433">
        <v>1</v>
      </c>
      <c r="X433">
        <v>22</v>
      </c>
      <c r="Y433">
        <v>44</v>
      </c>
      <c r="Z433">
        <v>0</v>
      </c>
      <c r="AA433">
        <v>0</v>
      </c>
      <c r="AB433">
        <v>2</v>
      </c>
      <c r="AC433">
        <v>1</v>
      </c>
      <c r="AD433">
        <v>2</v>
      </c>
      <c r="AE433">
        <v>0</v>
      </c>
      <c r="AF433">
        <v>1</v>
      </c>
      <c r="AG433">
        <v>7</v>
      </c>
      <c r="AH433">
        <v>2</v>
      </c>
      <c r="AI433">
        <v>1</v>
      </c>
      <c r="AJ433">
        <v>0</v>
      </c>
      <c r="AK433">
        <v>0</v>
      </c>
      <c r="AL433">
        <v>0</v>
      </c>
      <c r="AM433">
        <v>0</v>
      </c>
      <c r="AN433">
        <v>0</v>
      </c>
      <c r="AT433">
        <v>0</v>
      </c>
      <c r="AU433">
        <v>6</v>
      </c>
      <c r="AV433">
        <v>281</v>
      </c>
      <c r="AW433">
        <v>281</v>
      </c>
      <c r="AX433">
        <v>400</v>
      </c>
      <c r="BA433">
        <v>1</v>
      </c>
      <c r="BC433" t="s">
        <v>955</v>
      </c>
      <c r="BD433" s="4">
        <v>43283.272222222222</v>
      </c>
      <c r="BE433" s="4">
        <v>43283.299490740741</v>
      </c>
      <c r="BF433" s="4">
        <v>43283.299490740741</v>
      </c>
      <c r="BG433" t="s">
        <v>83</v>
      </c>
      <c r="BH433" t="s">
        <v>84</v>
      </c>
      <c r="BI433" t="s">
        <v>85</v>
      </c>
    </row>
    <row r="434" spans="1:61" x14ac:dyDescent="0.3">
      <c r="A434" t="str">
        <f>"200338B0100"</f>
        <v>200338B0100</v>
      </c>
      <c r="B434" t="s">
        <v>956</v>
      </c>
      <c r="C434">
        <v>20</v>
      </c>
      <c r="D434" t="s">
        <v>79</v>
      </c>
      <c r="E434">
        <v>3</v>
      </c>
      <c r="F434" t="s">
        <v>915</v>
      </c>
      <c r="G434">
        <v>338</v>
      </c>
      <c r="H434">
        <v>1</v>
      </c>
      <c r="I434" t="s">
        <v>81</v>
      </c>
      <c r="J434">
        <v>0</v>
      </c>
      <c r="K434">
        <v>1</v>
      </c>
      <c r="L434">
        <v>2</v>
      </c>
      <c r="M434">
        <v>170</v>
      </c>
      <c r="N434">
        <v>332</v>
      </c>
      <c r="O434">
        <v>2</v>
      </c>
      <c r="P434">
        <v>331</v>
      </c>
      <c r="Q434">
        <v>7</v>
      </c>
      <c r="R434">
        <v>84</v>
      </c>
      <c r="S434">
        <v>80</v>
      </c>
      <c r="T434">
        <v>11</v>
      </c>
      <c r="U434">
        <v>9</v>
      </c>
      <c r="V434">
        <v>3</v>
      </c>
      <c r="W434">
        <v>7</v>
      </c>
      <c r="X434">
        <v>29</v>
      </c>
      <c r="Y434">
        <v>73</v>
      </c>
      <c r="Z434">
        <v>0</v>
      </c>
      <c r="AA434">
        <v>0</v>
      </c>
      <c r="AB434">
        <v>2</v>
      </c>
      <c r="AC434">
        <v>1</v>
      </c>
      <c r="AD434">
        <v>2</v>
      </c>
      <c r="AE434">
        <v>0</v>
      </c>
      <c r="AF434">
        <v>0</v>
      </c>
      <c r="AG434">
        <v>5</v>
      </c>
      <c r="AH434">
        <v>1</v>
      </c>
      <c r="AI434">
        <v>2</v>
      </c>
      <c r="AJ434">
        <v>0</v>
      </c>
      <c r="AK434">
        <v>2</v>
      </c>
      <c r="AL434">
        <v>1</v>
      </c>
      <c r="AM434">
        <v>0</v>
      </c>
      <c r="AN434">
        <v>0</v>
      </c>
      <c r="AT434">
        <v>0</v>
      </c>
      <c r="AU434">
        <v>12</v>
      </c>
      <c r="AV434">
        <v>331</v>
      </c>
      <c r="AW434">
        <v>331</v>
      </c>
      <c r="AX434">
        <v>480</v>
      </c>
      <c r="BA434">
        <v>1</v>
      </c>
      <c r="BC434" t="s">
        <v>957</v>
      </c>
      <c r="BD434" s="4">
        <v>43283.270833333336</v>
      </c>
      <c r="BE434" s="4">
        <v>43283.297986111109</v>
      </c>
      <c r="BF434" s="4">
        <v>43283.297986111109</v>
      </c>
      <c r="BG434" t="s">
        <v>83</v>
      </c>
      <c r="BH434" t="s">
        <v>84</v>
      </c>
      <c r="BI434" t="s">
        <v>85</v>
      </c>
    </row>
    <row r="435" spans="1:61" x14ac:dyDescent="0.3">
      <c r="A435" t="str">
        <f>"200338C0100"</f>
        <v>200338C0100</v>
      </c>
      <c r="B435" t="s">
        <v>958</v>
      </c>
      <c r="C435">
        <v>20</v>
      </c>
      <c r="D435" t="s">
        <v>79</v>
      </c>
      <c r="E435">
        <v>3</v>
      </c>
      <c r="F435" t="s">
        <v>915</v>
      </c>
      <c r="G435">
        <v>338</v>
      </c>
      <c r="H435">
        <v>1</v>
      </c>
      <c r="I435" t="s">
        <v>89</v>
      </c>
      <c r="J435">
        <v>0</v>
      </c>
      <c r="K435">
        <v>1</v>
      </c>
      <c r="L435">
        <v>2</v>
      </c>
      <c r="M435">
        <v>153</v>
      </c>
      <c r="N435" t="s">
        <v>100</v>
      </c>
      <c r="O435">
        <v>7</v>
      </c>
      <c r="P435" t="s">
        <v>100</v>
      </c>
      <c r="Q435">
        <v>17</v>
      </c>
      <c r="R435">
        <v>89</v>
      </c>
      <c r="S435">
        <v>95</v>
      </c>
      <c r="T435">
        <v>12</v>
      </c>
      <c r="U435">
        <v>7</v>
      </c>
      <c r="V435">
        <v>2</v>
      </c>
      <c r="W435">
        <v>1</v>
      </c>
      <c r="X435">
        <v>25</v>
      </c>
      <c r="Y435">
        <v>71</v>
      </c>
      <c r="Z435">
        <v>5</v>
      </c>
      <c r="AA435" t="s">
        <v>100</v>
      </c>
      <c r="AB435">
        <v>4</v>
      </c>
      <c r="AC435">
        <v>3</v>
      </c>
      <c r="AD435">
        <v>1</v>
      </c>
      <c r="AE435">
        <v>0</v>
      </c>
      <c r="AF435">
        <v>0</v>
      </c>
      <c r="AG435">
        <v>3</v>
      </c>
      <c r="AH435">
        <v>2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1</v>
      </c>
      <c r="AT435" t="s">
        <v>100</v>
      </c>
      <c r="AU435" t="s">
        <v>100</v>
      </c>
      <c r="AV435" t="s">
        <v>100</v>
      </c>
      <c r="AW435">
        <v>338</v>
      </c>
      <c r="AX435">
        <v>480</v>
      </c>
      <c r="AZ435" t="s">
        <v>101</v>
      </c>
      <c r="BA435">
        <v>1</v>
      </c>
      <c r="BC435" t="s">
        <v>959</v>
      </c>
      <c r="BD435" s="4">
        <v>43283.254166666666</v>
      </c>
      <c r="BE435" s="4">
        <v>43283.280057870368</v>
      </c>
      <c r="BF435" s="4">
        <v>43283.280057870368</v>
      </c>
      <c r="BG435" t="s">
        <v>83</v>
      </c>
      <c r="BH435" t="s">
        <v>84</v>
      </c>
      <c r="BI435" t="s">
        <v>85</v>
      </c>
    </row>
    <row r="436" spans="1:61" x14ac:dyDescent="0.3">
      <c r="A436" t="str">
        <f>"200339B0100"</f>
        <v>200339B0100</v>
      </c>
      <c r="B436" t="s">
        <v>960</v>
      </c>
      <c r="C436">
        <v>20</v>
      </c>
      <c r="D436" t="s">
        <v>79</v>
      </c>
      <c r="E436">
        <v>3</v>
      </c>
      <c r="F436" t="s">
        <v>915</v>
      </c>
      <c r="G436">
        <v>339</v>
      </c>
      <c r="H436">
        <v>1</v>
      </c>
      <c r="I436" t="s">
        <v>81</v>
      </c>
      <c r="J436">
        <v>0</v>
      </c>
      <c r="K436">
        <v>1</v>
      </c>
      <c r="L436">
        <v>2</v>
      </c>
      <c r="M436">
        <v>159</v>
      </c>
      <c r="N436">
        <v>342</v>
      </c>
      <c r="O436">
        <v>4</v>
      </c>
      <c r="P436">
        <v>344</v>
      </c>
      <c r="Q436">
        <v>7</v>
      </c>
      <c r="R436">
        <v>100</v>
      </c>
      <c r="S436">
        <v>92</v>
      </c>
      <c r="T436">
        <v>7</v>
      </c>
      <c r="U436">
        <v>11</v>
      </c>
      <c r="V436">
        <v>3</v>
      </c>
      <c r="W436">
        <v>3</v>
      </c>
      <c r="X436">
        <v>16</v>
      </c>
      <c r="Y436">
        <v>65</v>
      </c>
      <c r="Z436">
        <v>3</v>
      </c>
      <c r="AA436">
        <v>0</v>
      </c>
      <c r="AB436" t="s">
        <v>100</v>
      </c>
      <c r="AC436">
        <v>1</v>
      </c>
      <c r="AD436">
        <v>0</v>
      </c>
      <c r="AE436">
        <v>0</v>
      </c>
      <c r="AF436">
        <v>1</v>
      </c>
      <c r="AG436">
        <v>1</v>
      </c>
      <c r="AH436">
        <v>0</v>
      </c>
      <c r="AI436">
        <v>1</v>
      </c>
      <c r="AJ436">
        <v>7</v>
      </c>
      <c r="AK436">
        <v>1</v>
      </c>
      <c r="AL436">
        <v>3</v>
      </c>
      <c r="AM436">
        <v>1</v>
      </c>
      <c r="AN436">
        <v>0</v>
      </c>
      <c r="AT436">
        <v>0</v>
      </c>
      <c r="AU436">
        <v>22</v>
      </c>
      <c r="AV436">
        <v>345</v>
      </c>
      <c r="AW436">
        <v>345</v>
      </c>
      <c r="AX436">
        <v>479</v>
      </c>
      <c r="AZ436" t="s">
        <v>101</v>
      </c>
      <c r="BA436">
        <v>1</v>
      </c>
      <c r="BC436" t="s">
        <v>961</v>
      </c>
      <c r="BD436" s="4">
        <v>43283.247916666667</v>
      </c>
      <c r="BE436" s="4">
        <v>43283.278020833335</v>
      </c>
      <c r="BF436" s="4">
        <v>43283.278020833335</v>
      </c>
      <c r="BG436" t="s">
        <v>83</v>
      </c>
      <c r="BH436" t="s">
        <v>84</v>
      </c>
      <c r="BI436" t="s">
        <v>85</v>
      </c>
    </row>
    <row r="437" spans="1:61" x14ac:dyDescent="0.3">
      <c r="A437" t="str">
        <f>"200339C0100"</f>
        <v>200339C0100</v>
      </c>
      <c r="B437" t="s">
        <v>962</v>
      </c>
      <c r="C437">
        <v>20</v>
      </c>
      <c r="D437" t="s">
        <v>79</v>
      </c>
      <c r="E437">
        <v>3</v>
      </c>
      <c r="F437" t="s">
        <v>915</v>
      </c>
      <c r="G437">
        <v>339</v>
      </c>
      <c r="H437">
        <v>1</v>
      </c>
      <c r="I437" t="s">
        <v>89</v>
      </c>
      <c r="J437">
        <v>0</v>
      </c>
      <c r="K437">
        <v>1</v>
      </c>
      <c r="L437">
        <v>2</v>
      </c>
      <c r="M437">
        <v>165</v>
      </c>
      <c r="N437">
        <v>333</v>
      </c>
      <c r="O437">
        <v>4</v>
      </c>
      <c r="P437">
        <v>333</v>
      </c>
      <c r="Q437">
        <v>9</v>
      </c>
      <c r="R437">
        <v>103</v>
      </c>
      <c r="S437">
        <v>77</v>
      </c>
      <c r="T437">
        <v>5</v>
      </c>
      <c r="U437">
        <v>8</v>
      </c>
      <c r="V437">
        <v>1</v>
      </c>
      <c r="W437">
        <v>2</v>
      </c>
      <c r="X437">
        <v>18</v>
      </c>
      <c r="Y437">
        <v>72</v>
      </c>
      <c r="Z437">
        <v>3</v>
      </c>
      <c r="AA437">
        <v>0</v>
      </c>
      <c r="AB437">
        <v>0</v>
      </c>
      <c r="AC437">
        <v>2</v>
      </c>
      <c r="AD437">
        <v>2</v>
      </c>
      <c r="AE437">
        <v>0</v>
      </c>
      <c r="AF437">
        <v>1</v>
      </c>
      <c r="AG437">
        <v>5</v>
      </c>
      <c r="AH437">
        <v>2</v>
      </c>
      <c r="AI437">
        <v>5</v>
      </c>
      <c r="AJ437">
        <v>0</v>
      </c>
      <c r="AK437">
        <v>0</v>
      </c>
      <c r="AL437">
        <v>0</v>
      </c>
      <c r="AM437">
        <v>1</v>
      </c>
      <c r="AN437">
        <v>0</v>
      </c>
      <c r="AT437">
        <v>0</v>
      </c>
      <c r="AU437">
        <v>17</v>
      </c>
      <c r="AV437">
        <v>333</v>
      </c>
      <c r="AW437">
        <v>333</v>
      </c>
      <c r="AX437">
        <v>478</v>
      </c>
      <c r="BA437">
        <v>1</v>
      </c>
      <c r="BC437" t="s">
        <v>963</v>
      </c>
      <c r="BD437" s="4">
        <v>43283.246527777781</v>
      </c>
      <c r="BE437" s="4">
        <v>43283.271550925929</v>
      </c>
      <c r="BF437" s="4">
        <v>43283.271550925929</v>
      </c>
      <c r="BG437" t="s">
        <v>83</v>
      </c>
      <c r="BH437" t="s">
        <v>84</v>
      </c>
      <c r="BI437" t="s">
        <v>85</v>
      </c>
    </row>
    <row r="438" spans="1:61" x14ac:dyDescent="0.3">
      <c r="A438" t="str">
        <f>"200340B0100"</f>
        <v>200340B0100</v>
      </c>
      <c r="B438" t="s">
        <v>964</v>
      </c>
      <c r="C438">
        <v>20</v>
      </c>
      <c r="D438" t="s">
        <v>79</v>
      </c>
      <c r="E438">
        <v>3</v>
      </c>
      <c r="F438" t="s">
        <v>915</v>
      </c>
      <c r="G438">
        <v>340</v>
      </c>
      <c r="H438">
        <v>1</v>
      </c>
      <c r="I438" t="s">
        <v>81</v>
      </c>
      <c r="J438">
        <v>0</v>
      </c>
      <c r="K438">
        <v>1</v>
      </c>
      <c r="L438">
        <v>2</v>
      </c>
      <c r="AX438">
        <v>381</v>
      </c>
      <c r="AZ438" t="s">
        <v>156</v>
      </c>
      <c r="BA438">
        <v>0</v>
      </c>
      <c r="BC438" t="s">
        <v>965</v>
      </c>
      <c r="BD438" s="4">
        <v>43283.772916666669</v>
      </c>
      <c r="BE438" s="4">
        <v>43283.779189814813</v>
      </c>
      <c r="BF438" s="4">
        <v>43283.779189814813</v>
      </c>
      <c r="BG438" t="s">
        <v>83</v>
      </c>
      <c r="BH438" t="s">
        <v>84</v>
      </c>
      <c r="BI438" t="s">
        <v>85</v>
      </c>
    </row>
    <row r="439" spans="1:61" x14ac:dyDescent="0.3">
      <c r="A439" t="str">
        <f>"200340C0100"</f>
        <v>200340C0100</v>
      </c>
      <c r="B439" t="s">
        <v>966</v>
      </c>
      <c r="C439">
        <v>20</v>
      </c>
      <c r="D439" t="s">
        <v>79</v>
      </c>
      <c r="E439">
        <v>3</v>
      </c>
      <c r="F439" t="s">
        <v>915</v>
      </c>
      <c r="G439">
        <v>340</v>
      </c>
      <c r="H439">
        <v>1</v>
      </c>
      <c r="I439" t="s">
        <v>89</v>
      </c>
      <c r="J439">
        <v>0</v>
      </c>
      <c r="K439">
        <v>1</v>
      </c>
      <c r="L439">
        <v>2</v>
      </c>
      <c r="M439">
        <v>147</v>
      </c>
      <c r="N439">
        <v>253</v>
      </c>
      <c r="O439">
        <v>1</v>
      </c>
      <c r="P439">
        <v>0</v>
      </c>
      <c r="Q439">
        <v>12</v>
      </c>
      <c r="R439">
        <v>64</v>
      </c>
      <c r="S439">
        <v>64</v>
      </c>
      <c r="T439">
        <v>7</v>
      </c>
      <c r="U439">
        <v>4</v>
      </c>
      <c r="V439">
        <v>5</v>
      </c>
      <c r="W439" t="s">
        <v>100</v>
      </c>
      <c r="X439">
        <v>15</v>
      </c>
      <c r="Y439">
        <v>48</v>
      </c>
      <c r="Z439">
        <v>2</v>
      </c>
      <c r="AA439" t="s">
        <v>100</v>
      </c>
      <c r="AB439">
        <v>2</v>
      </c>
      <c r="AC439">
        <v>2</v>
      </c>
      <c r="AD439">
        <v>1</v>
      </c>
      <c r="AE439" t="s">
        <v>100</v>
      </c>
      <c r="AF439" t="s">
        <v>100</v>
      </c>
      <c r="AG439">
        <v>2</v>
      </c>
      <c r="AH439">
        <v>1</v>
      </c>
      <c r="AI439" t="s">
        <v>315</v>
      </c>
      <c r="AJ439" t="s">
        <v>100</v>
      </c>
      <c r="AK439" t="s">
        <v>100</v>
      </c>
      <c r="AL439" t="s">
        <v>100</v>
      </c>
      <c r="AM439" t="s">
        <v>315</v>
      </c>
      <c r="AN439" t="s">
        <v>100</v>
      </c>
      <c r="AT439" t="s">
        <v>100</v>
      </c>
      <c r="AU439">
        <v>16</v>
      </c>
      <c r="AV439">
        <v>247</v>
      </c>
      <c r="AW439">
        <v>245</v>
      </c>
      <c r="AX439">
        <v>381</v>
      </c>
      <c r="AZ439" t="s">
        <v>101</v>
      </c>
      <c r="BA439">
        <v>1</v>
      </c>
      <c r="BC439" t="s">
        <v>967</v>
      </c>
      <c r="BD439" s="4">
        <v>43283.196527777778</v>
      </c>
      <c r="BE439" s="4">
        <v>43283.242743055554</v>
      </c>
      <c r="BF439" s="4">
        <v>43283.242743055554</v>
      </c>
      <c r="BG439" t="s">
        <v>83</v>
      </c>
      <c r="BH439" t="s">
        <v>84</v>
      </c>
      <c r="BI439" t="s">
        <v>85</v>
      </c>
    </row>
    <row r="440" spans="1:61" x14ac:dyDescent="0.3">
      <c r="A440" t="str">
        <f>"200341B0100"</f>
        <v>200341B0100</v>
      </c>
      <c r="B440" t="s">
        <v>968</v>
      </c>
      <c r="C440">
        <v>20</v>
      </c>
      <c r="D440" t="s">
        <v>79</v>
      </c>
      <c r="E440">
        <v>3</v>
      </c>
      <c r="F440" t="s">
        <v>915</v>
      </c>
      <c r="G440">
        <v>341</v>
      </c>
      <c r="H440">
        <v>1</v>
      </c>
      <c r="I440" t="s">
        <v>81</v>
      </c>
      <c r="J440">
        <v>0</v>
      </c>
      <c r="K440">
        <v>2</v>
      </c>
      <c r="L440">
        <v>2</v>
      </c>
      <c r="M440">
        <v>265</v>
      </c>
      <c r="N440" t="s">
        <v>100</v>
      </c>
      <c r="O440" t="s">
        <v>100</v>
      </c>
      <c r="P440" t="s">
        <v>100</v>
      </c>
      <c r="Q440">
        <v>11</v>
      </c>
      <c r="R440">
        <v>74</v>
      </c>
      <c r="S440">
        <v>86</v>
      </c>
      <c r="T440">
        <v>6</v>
      </c>
      <c r="U440">
        <v>13</v>
      </c>
      <c r="V440">
        <v>2</v>
      </c>
      <c r="W440">
        <v>5</v>
      </c>
      <c r="X440">
        <v>21</v>
      </c>
      <c r="Y440">
        <v>99</v>
      </c>
      <c r="Z440">
        <v>8</v>
      </c>
      <c r="AA440">
        <v>0</v>
      </c>
      <c r="AB440">
        <v>2</v>
      </c>
      <c r="AC440">
        <v>3</v>
      </c>
      <c r="AD440">
        <v>0</v>
      </c>
      <c r="AE440">
        <v>0</v>
      </c>
      <c r="AF440">
        <v>1</v>
      </c>
      <c r="AG440">
        <v>3</v>
      </c>
      <c r="AH440">
        <v>0</v>
      </c>
      <c r="AI440">
        <v>2</v>
      </c>
      <c r="AJ440">
        <v>0</v>
      </c>
      <c r="AK440">
        <v>2</v>
      </c>
      <c r="AL440">
        <v>2</v>
      </c>
      <c r="AM440">
        <v>1</v>
      </c>
      <c r="AN440">
        <v>1</v>
      </c>
      <c r="AT440">
        <v>0</v>
      </c>
      <c r="AU440">
        <v>18</v>
      </c>
      <c r="AV440">
        <v>360</v>
      </c>
      <c r="AW440">
        <v>360</v>
      </c>
      <c r="AX440">
        <v>604</v>
      </c>
      <c r="BA440">
        <v>1</v>
      </c>
      <c r="BC440" t="s">
        <v>969</v>
      </c>
      <c r="BD440" s="4">
        <v>43283.301388888889</v>
      </c>
      <c r="BE440" s="4">
        <v>43283.328518518516</v>
      </c>
      <c r="BF440" s="4">
        <v>43283.328518518516</v>
      </c>
      <c r="BG440" t="s">
        <v>83</v>
      </c>
      <c r="BH440" t="s">
        <v>84</v>
      </c>
      <c r="BI440" t="s">
        <v>85</v>
      </c>
    </row>
    <row r="441" spans="1:61" x14ac:dyDescent="0.3">
      <c r="A441" t="str">
        <f>"200341C0100"</f>
        <v>200341C0100</v>
      </c>
      <c r="B441" t="s">
        <v>970</v>
      </c>
      <c r="C441">
        <v>20</v>
      </c>
      <c r="D441" t="s">
        <v>79</v>
      </c>
      <c r="E441">
        <v>3</v>
      </c>
      <c r="F441" t="s">
        <v>915</v>
      </c>
      <c r="G441">
        <v>341</v>
      </c>
      <c r="H441">
        <v>1</v>
      </c>
      <c r="I441" t="s">
        <v>89</v>
      </c>
      <c r="J441">
        <v>0</v>
      </c>
      <c r="K441">
        <v>2</v>
      </c>
      <c r="L441">
        <v>2</v>
      </c>
      <c r="M441">
        <v>244</v>
      </c>
      <c r="N441">
        <v>382</v>
      </c>
      <c r="O441">
        <v>1</v>
      </c>
      <c r="P441" t="s">
        <v>100</v>
      </c>
      <c r="Q441">
        <v>12</v>
      </c>
      <c r="R441">
        <v>77</v>
      </c>
      <c r="S441">
        <v>119</v>
      </c>
      <c r="T441">
        <v>9</v>
      </c>
      <c r="U441">
        <v>18</v>
      </c>
      <c r="V441">
        <v>7</v>
      </c>
      <c r="W441">
        <v>7</v>
      </c>
      <c r="X441">
        <v>15</v>
      </c>
      <c r="Y441">
        <v>76</v>
      </c>
      <c r="Z441">
        <v>4</v>
      </c>
      <c r="AA441">
        <v>0</v>
      </c>
      <c r="AB441">
        <v>2</v>
      </c>
      <c r="AC441">
        <v>3</v>
      </c>
      <c r="AD441">
        <v>2</v>
      </c>
      <c r="AE441">
        <v>0</v>
      </c>
      <c r="AF441">
        <v>0</v>
      </c>
      <c r="AG441">
        <v>7</v>
      </c>
      <c r="AH441">
        <v>0</v>
      </c>
      <c r="AI441">
        <v>0</v>
      </c>
      <c r="AJ441">
        <v>0</v>
      </c>
      <c r="AK441">
        <v>2</v>
      </c>
      <c r="AL441">
        <v>0</v>
      </c>
      <c r="AM441">
        <v>1</v>
      </c>
      <c r="AN441">
        <v>0</v>
      </c>
      <c r="AT441" t="s">
        <v>100</v>
      </c>
      <c r="AU441">
        <v>21</v>
      </c>
      <c r="AV441" t="s">
        <v>100</v>
      </c>
      <c r="AW441">
        <v>382</v>
      </c>
      <c r="AX441">
        <v>604</v>
      </c>
      <c r="AZ441" t="s">
        <v>101</v>
      </c>
      <c r="BA441">
        <v>1</v>
      </c>
      <c r="BC441" t="s">
        <v>971</v>
      </c>
      <c r="BD441" s="4">
        <v>43283.299305555556</v>
      </c>
      <c r="BE441" s="4">
        <v>43283.802175925928</v>
      </c>
      <c r="BF441" s="4">
        <v>43283.802175925928</v>
      </c>
      <c r="BG441" t="s">
        <v>83</v>
      </c>
      <c r="BH441" t="s">
        <v>84</v>
      </c>
      <c r="BI441" t="s">
        <v>85</v>
      </c>
    </row>
    <row r="442" spans="1:61" x14ac:dyDescent="0.3">
      <c r="A442" t="str">
        <f>"200341C0200"</f>
        <v>200341C0200</v>
      </c>
      <c r="B442" t="s">
        <v>972</v>
      </c>
      <c r="C442">
        <v>20</v>
      </c>
      <c r="D442" t="s">
        <v>79</v>
      </c>
      <c r="E442">
        <v>3</v>
      </c>
      <c r="F442" t="s">
        <v>915</v>
      </c>
      <c r="G442">
        <v>341</v>
      </c>
      <c r="H442">
        <v>2</v>
      </c>
      <c r="I442" t="s">
        <v>89</v>
      </c>
      <c r="J442">
        <v>0</v>
      </c>
      <c r="K442">
        <v>2</v>
      </c>
      <c r="L442">
        <v>2</v>
      </c>
      <c r="M442">
        <v>229</v>
      </c>
      <c r="N442">
        <v>414</v>
      </c>
      <c r="O442">
        <v>8</v>
      </c>
      <c r="P442">
        <v>394</v>
      </c>
      <c r="Q442">
        <v>15</v>
      </c>
      <c r="R442">
        <v>80</v>
      </c>
      <c r="S442">
        <v>114</v>
      </c>
      <c r="T442">
        <v>8</v>
      </c>
      <c r="U442">
        <v>12</v>
      </c>
      <c r="V442">
        <v>11</v>
      </c>
      <c r="W442">
        <v>2</v>
      </c>
      <c r="X442">
        <v>18</v>
      </c>
      <c r="Y442">
        <v>91</v>
      </c>
      <c r="Z442">
        <v>9</v>
      </c>
      <c r="AA442">
        <v>0</v>
      </c>
      <c r="AB442">
        <v>2</v>
      </c>
      <c r="AC442">
        <v>2</v>
      </c>
      <c r="AD442">
        <v>2</v>
      </c>
      <c r="AE442">
        <v>0</v>
      </c>
      <c r="AF442">
        <v>0</v>
      </c>
      <c r="AG442">
        <v>5</v>
      </c>
      <c r="AH442">
        <v>0</v>
      </c>
      <c r="AI442">
        <v>2</v>
      </c>
      <c r="AJ442">
        <v>0</v>
      </c>
      <c r="AK442">
        <v>2</v>
      </c>
      <c r="AL442">
        <v>0</v>
      </c>
      <c r="AM442">
        <v>0</v>
      </c>
      <c r="AN442">
        <v>3</v>
      </c>
      <c r="AT442">
        <v>0</v>
      </c>
      <c r="AU442">
        <v>16</v>
      </c>
      <c r="AV442">
        <v>384</v>
      </c>
      <c r="AW442">
        <v>394</v>
      </c>
      <c r="AX442">
        <v>604</v>
      </c>
      <c r="BA442">
        <v>1</v>
      </c>
      <c r="BC442" t="s">
        <v>973</v>
      </c>
      <c r="BD442" s="4">
        <v>43283.320138888892</v>
      </c>
      <c r="BE442" s="4">
        <v>43283.34412037037</v>
      </c>
      <c r="BF442" s="4">
        <v>43283.34412037037</v>
      </c>
      <c r="BG442" t="s">
        <v>83</v>
      </c>
      <c r="BH442" t="s">
        <v>84</v>
      </c>
      <c r="BI442" t="s">
        <v>85</v>
      </c>
    </row>
    <row r="443" spans="1:61" x14ac:dyDescent="0.3">
      <c r="A443" t="str">
        <f>"200342B0100"</f>
        <v>200342B0100</v>
      </c>
      <c r="B443" t="s">
        <v>974</v>
      </c>
      <c r="C443">
        <v>20</v>
      </c>
      <c r="D443" t="s">
        <v>79</v>
      </c>
      <c r="E443">
        <v>3</v>
      </c>
      <c r="F443" t="s">
        <v>915</v>
      </c>
      <c r="G443">
        <v>342</v>
      </c>
      <c r="H443">
        <v>1</v>
      </c>
      <c r="I443" t="s">
        <v>81</v>
      </c>
      <c r="J443">
        <v>0</v>
      </c>
      <c r="K443">
        <v>1</v>
      </c>
      <c r="L443">
        <v>2</v>
      </c>
      <c r="M443">
        <v>173</v>
      </c>
      <c r="N443">
        <v>333</v>
      </c>
      <c r="O443">
        <v>8</v>
      </c>
      <c r="P443">
        <v>333</v>
      </c>
      <c r="Q443">
        <v>0</v>
      </c>
      <c r="R443">
        <v>89</v>
      </c>
      <c r="S443">
        <v>96</v>
      </c>
      <c r="T443">
        <v>9</v>
      </c>
      <c r="U443">
        <v>10</v>
      </c>
      <c r="V443">
        <v>10</v>
      </c>
      <c r="W443">
        <v>7</v>
      </c>
      <c r="X443">
        <v>17</v>
      </c>
      <c r="Y443">
        <v>74</v>
      </c>
      <c r="Z443">
        <v>2</v>
      </c>
      <c r="AA443">
        <v>0</v>
      </c>
      <c r="AB443">
        <v>1</v>
      </c>
      <c r="AC443">
        <v>0</v>
      </c>
      <c r="AD443">
        <v>1</v>
      </c>
      <c r="AE443">
        <v>0</v>
      </c>
      <c r="AF443">
        <v>0</v>
      </c>
      <c r="AG443">
        <v>2</v>
      </c>
      <c r="AH443">
        <v>0</v>
      </c>
      <c r="AI443">
        <v>1</v>
      </c>
      <c r="AJ443">
        <v>1</v>
      </c>
      <c r="AK443">
        <v>4</v>
      </c>
      <c r="AL443">
        <v>1</v>
      </c>
      <c r="AM443">
        <v>0</v>
      </c>
      <c r="AN443">
        <v>0</v>
      </c>
      <c r="AT443">
        <v>0</v>
      </c>
      <c r="AU443">
        <v>8</v>
      </c>
      <c r="AV443">
        <v>333</v>
      </c>
      <c r="AW443">
        <v>333</v>
      </c>
      <c r="AX443">
        <v>484</v>
      </c>
      <c r="BA443">
        <v>1</v>
      </c>
      <c r="BC443" t="s">
        <v>975</v>
      </c>
      <c r="BD443" s="4">
        <v>43283.277083333334</v>
      </c>
      <c r="BE443" s="4">
        <v>43283.312777777777</v>
      </c>
      <c r="BF443" s="4">
        <v>43283.312777777777</v>
      </c>
      <c r="BG443" t="s">
        <v>83</v>
      </c>
      <c r="BH443" t="s">
        <v>84</v>
      </c>
      <c r="BI443" t="s">
        <v>85</v>
      </c>
    </row>
    <row r="444" spans="1:61" x14ac:dyDescent="0.3">
      <c r="A444" t="str">
        <f>"200342C0100"</f>
        <v>200342C0100</v>
      </c>
      <c r="B444" t="s">
        <v>976</v>
      </c>
      <c r="C444">
        <v>20</v>
      </c>
      <c r="D444" t="s">
        <v>79</v>
      </c>
      <c r="E444">
        <v>3</v>
      </c>
      <c r="F444" t="s">
        <v>915</v>
      </c>
      <c r="G444">
        <v>342</v>
      </c>
      <c r="H444">
        <v>1</v>
      </c>
      <c r="I444" t="s">
        <v>89</v>
      </c>
      <c r="J444">
        <v>0</v>
      </c>
      <c r="K444">
        <v>1</v>
      </c>
      <c r="L444">
        <v>2</v>
      </c>
      <c r="M444">
        <v>192</v>
      </c>
      <c r="N444">
        <v>313</v>
      </c>
      <c r="O444">
        <v>5</v>
      </c>
      <c r="P444">
        <v>313</v>
      </c>
      <c r="Q444">
        <v>11</v>
      </c>
      <c r="R444">
        <v>73</v>
      </c>
      <c r="S444">
        <v>77</v>
      </c>
      <c r="T444">
        <v>6</v>
      </c>
      <c r="U444">
        <v>10</v>
      </c>
      <c r="V444">
        <v>2</v>
      </c>
      <c r="W444">
        <v>2</v>
      </c>
      <c r="X444">
        <v>19</v>
      </c>
      <c r="Y444">
        <v>83</v>
      </c>
      <c r="Z444">
        <v>6</v>
      </c>
      <c r="AA444">
        <v>1</v>
      </c>
      <c r="AB444">
        <v>2</v>
      </c>
      <c r="AC444">
        <v>4</v>
      </c>
      <c r="AD444">
        <v>0</v>
      </c>
      <c r="AE444">
        <v>0</v>
      </c>
      <c r="AF444">
        <v>0</v>
      </c>
      <c r="AG444">
        <v>2</v>
      </c>
      <c r="AH444">
        <v>2</v>
      </c>
      <c r="AI444">
        <v>0</v>
      </c>
      <c r="AJ444">
        <v>0</v>
      </c>
      <c r="AK444">
        <v>2</v>
      </c>
      <c r="AL444">
        <v>1</v>
      </c>
      <c r="AM444">
        <v>1</v>
      </c>
      <c r="AN444">
        <v>0</v>
      </c>
      <c r="AT444">
        <v>0</v>
      </c>
      <c r="AU444">
        <v>9</v>
      </c>
      <c r="AV444">
        <v>313</v>
      </c>
      <c r="AW444">
        <v>313</v>
      </c>
      <c r="AX444">
        <v>483</v>
      </c>
      <c r="BA444">
        <v>1</v>
      </c>
      <c r="BC444" t="s">
        <v>977</v>
      </c>
      <c r="BD444" s="4">
        <v>43283.277777777781</v>
      </c>
      <c r="BE444" s="4">
        <v>43283.311099537037</v>
      </c>
      <c r="BF444" s="4">
        <v>43283.311099537037</v>
      </c>
      <c r="BG444" t="s">
        <v>83</v>
      </c>
      <c r="BH444" t="s">
        <v>84</v>
      </c>
      <c r="BI444" t="s">
        <v>85</v>
      </c>
    </row>
    <row r="445" spans="1:61" x14ac:dyDescent="0.3">
      <c r="A445" t="str">
        <f>"200343B0100"</f>
        <v>200343B0100</v>
      </c>
      <c r="B445" t="s">
        <v>978</v>
      </c>
      <c r="C445">
        <v>20</v>
      </c>
      <c r="D445" t="s">
        <v>79</v>
      </c>
      <c r="E445">
        <v>3</v>
      </c>
      <c r="F445" t="s">
        <v>915</v>
      </c>
      <c r="G445">
        <v>343</v>
      </c>
      <c r="H445">
        <v>1</v>
      </c>
      <c r="I445" t="s">
        <v>81</v>
      </c>
      <c r="J445">
        <v>0</v>
      </c>
      <c r="K445">
        <v>1</v>
      </c>
      <c r="L445">
        <v>2</v>
      </c>
      <c r="M445">
        <v>124</v>
      </c>
      <c r="N445">
        <v>274</v>
      </c>
      <c r="O445">
        <v>6</v>
      </c>
      <c r="P445">
        <v>274</v>
      </c>
      <c r="Q445">
        <v>16</v>
      </c>
      <c r="R445">
        <v>61</v>
      </c>
      <c r="S445">
        <v>70</v>
      </c>
      <c r="T445">
        <v>8</v>
      </c>
      <c r="U445">
        <v>2</v>
      </c>
      <c r="V445">
        <v>13</v>
      </c>
      <c r="W445">
        <v>0</v>
      </c>
      <c r="X445">
        <v>11</v>
      </c>
      <c r="Y445">
        <v>56</v>
      </c>
      <c r="Z445">
        <v>2</v>
      </c>
      <c r="AA445">
        <v>0</v>
      </c>
      <c r="AB445">
        <v>3</v>
      </c>
      <c r="AC445">
        <v>6</v>
      </c>
      <c r="AD445">
        <v>3</v>
      </c>
      <c r="AE445">
        <v>0</v>
      </c>
      <c r="AF445">
        <v>0</v>
      </c>
      <c r="AG445">
        <v>1</v>
      </c>
      <c r="AH445">
        <v>0</v>
      </c>
      <c r="AI445">
        <v>2</v>
      </c>
      <c r="AJ445">
        <v>0</v>
      </c>
      <c r="AK445">
        <v>2</v>
      </c>
      <c r="AL445">
        <v>1</v>
      </c>
      <c r="AM445">
        <v>0</v>
      </c>
      <c r="AN445">
        <v>0</v>
      </c>
      <c r="AT445">
        <v>0</v>
      </c>
      <c r="AU445">
        <v>17</v>
      </c>
      <c r="AV445">
        <v>274</v>
      </c>
      <c r="AW445">
        <v>274</v>
      </c>
      <c r="AX445">
        <v>376</v>
      </c>
      <c r="BA445">
        <v>1</v>
      </c>
      <c r="BC445" t="s">
        <v>979</v>
      </c>
      <c r="BD445" s="4">
        <v>43283.010416666664</v>
      </c>
      <c r="BE445" s="4">
        <v>43283.022615740738</v>
      </c>
      <c r="BF445" s="4">
        <v>43283.022615740738</v>
      </c>
      <c r="BG445" t="s">
        <v>83</v>
      </c>
      <c r="BH445" t="s">
        <v>84</v>
      </c>
      <c r="BI445" t="s">
        <v>85</v>
      </c>
    </row>
    <row r="446" spans="1:61" x14ac:dyDescent="0.3">
      <c r="A446" t="str">
        <f>"200343C0100"</f>
        <v>200343C0100</v>
      </c>
      <c r="B446" t="s">
        <v>980</v>
      </c>
      <c r="C446">
        <v>20</v>
      </c>
      <c r="D446" t="s">
        <v>79</v>
      </c>
      <c r="E446">
        <v>3</v>
      </c>
      <c r="F446" t="s">
        <v>915</v>
      </c>
      <c r="G446">
        <v>343</v>
      </c>
      <c r="H446">
        <v>1</v>
      </c>
      <c r="I446" t="s">
        <v>89</v>
      </c>
      <c r="J446">
        <v>0</v>
      </c>
      <c r="K446">
        <v>1</v>
      </c>
      <c r="L446">
        <v>2</v>
      </c>
      <c r="M446">
        <v>148</v>
      </c>
      <c r="N446">
        <v>249</v>
      </c>
      <c r="O446">
        <v>8</v>
      </c>
      <c r="P446">
        <v>249</v>
      </c>
      <c r="Q446">
        <v>13</v>
      </c>
      <c r="R446">
        <v>67</v>
      </c>
      <c r="S446">
        <v>74</v>
      </c>
      <c r="T446">
        <v>2</v>
      </c>
      <c r="U446">
        <v>2</v>
      </c>
      <c r="V446">
        <v>7</v>
      </c>
      <c r="W446">
        <v>1</v>
      </c>
      <c r="X446">
        <v>11</v>
      </c>
      <c r="Y446">
        <v>50</v>
      </c>
      <c r="Z446">
        <v>2</v>
      </c>
      <c r="AA446">
        <v>0</v>
      </c>
      <c r="AB446">
        <v>3</v>
      </c>
      <c r="AC446">
        <v>3</v>
      </c>
      <c r="AD446">
        <v>0</v>
      </c>
      <c r="AE446">
        <v>0</v>
      </c>
      <c r="AF446">
        <v>0</v>
      </c>
      <c r="AG446">
        <v>3</v>
      </c>
      <c r="AH446">
        <v>0</v>
      </c>
      <c r="AI446">
        <v>0</v>
      </c>
      <c r="AJ446">
        <v>0</v>
      </c>
      <c r="AK446">
        <v>1</v>
      </c>
      <c r="AL446">
        <v>1</v>
      </c>
      <c r="AM446">
        <v>1</v>
      </c>
      <c r="AN446">
        <v>2</v>
      </c>
      <c r="AT446">
        <v>0</v>
      </c>
      <c r="AU446">
        <v>6</v>
      </c>
      <c r="AV446">
        <v>249</v>
      </c>
      <c r="AW446">
        <v>249</v>
      </c>
      <c r="AX446">
        <v>375</v>
      </c>
      <c r="BA446">
        <v>1</v>
      </c>
      <c r="BC446" t="s">
        <v>981</v>
      </c>
      <c r="BD446" s="4">
        <v>43283.010416666664</v>
      </c>
      <c r="BE446" s="4">
        <v>43283.02449074074</v>
      </c>
      <c r="BF446" s="4">
        <v>43283.02449074074</v>
      </c>
      <c r="BG446" t="s">
        <v>83</v>
      </c>
      <c r="BH446" t="s">
        <v>84</v>
      </c>
      <c r="BI446" t="s">
        <v>85</v>
      </c>
    </row>
    <row r="447" spans="1:61" x14ac:dyDescent="0.3">
      <c r="A447" t="str">
        <f>"200344B0100"</f>
        <v>200344B0100</v>
      </c>
      <c r="B447" t="s">
        <v>982</v>
      </c>
      <c r="C447">
        <v>20</v>
      </c>
      <c r="D447" t="s">
        <v>79</v>
      </c>
      <c r="E447">
        <v>3</v>
      </c>
      <c r="F447" t="s">
        <v>915</v>
      </c>
      <c r="G447">
        <v>344</v>
      </c>
      <c r="H447">
        <v>1</v>
      </c>
      <c r="I447" t="s">
        <v>81</v>
      </c>
      <c r="J447">
        <v>0</v>
      </c>
      <c r="K447">
        <v>1</v>
      </c>
      <c r="L447">
        <v>2</v>
      </c>
      <c r="M447">
        <v>249</v>
      </c>
      <c r="N447">
        <v>432</v>
      </c>
      <c r="O447">
        <v>4</v>
      </c>
      <c r="P447">
        <v>432</v>
      </c>
      <c r="Q447">
        <v>17</v>
      </c>
      <c r="R447">
        <v>140</v>
      </c>
      <c r="S447">
        <v>127</v>
      </c>
      <c r="T447">
        <v>11</v>
      </c>
      <c r="U447">
        <v>6</v>
      </c>
      <c r="V447">
        <v>5</v>
      </c>
      <c r="W447">
        <v>3</v>
      </c>
      <c r="X447">
        <v>18</v>
      </c>
      <c r="Y447">
        <v>62</v>
      </c>
      <c r="Z447">
        <v>7</v>
      </c>
      <c r="AA447">
        <v>0</v>
      </c>
      <c r="AB447">
        <v>3</v>
      </c>
      <c r="AC447">
        <v>1</v>
      </c>
      <c r="AD447">
        <v>1</v>
      </c>
      <c r="AE447">
        <v>0</v>
      </c>
      <c r="AF447">
        <v>1</v>
      </c>
      <c r="AG447">
        <v>8</v>
      </c>
      <c r="AH447">
        <v>6</v>
      </c>
      <c r="AI447">
        <v>3</v>
      </c>
      <c r="AJ447">
        <v>0</v>
      </c>
      <c r="AK447">
        <v>0</v>
      </c>
      <c r="AL447">
        <v>0</v>
      </c>
      <c r="AM447">
        <v>1</v>
      </c>
      <c r="AN447">
        <v>0</v>
      </c>
      <c r="AT447">
        <v>0</v>
      </c>
      <c r="AU447">
        <v>12</v>
      </c>
      <c r="AV447">
        <v>432</v>
      </c>
      <c r="AW447">
        <v>432</v>
      </c>
      <c r="AX447">
        <v>659</v>
      </c>
      <c r="BA447">
        <v>1</v>
      </c>
      <c r="BC447" t="s">
        <v>983</v>
      </c>
      <c r="BD447" s="4">
        <v>43283.118055555555</v>
      </c>
      <c r="BE447" s="4">
        <v>43283.124791666669</v>
      </c>
      <c r="BF447" s="4">
        <v>43283.124791666669</v>
      </c>
      <c r="BG447" t="s">
        <v>83</v>
      </c>
      <c r="BH447" t="s">
        <v>84</v>
      </c>
      <c r="BI447" t="s">
        <v>85</v>
      </c>
    </row>
    <row r="448" spans="1:61" x14ac:dyDescent="0.3">
      <c r="A448" t="str">
        <f>"200344S0100"</f>
        <v>200344S0100</v>
      </c>
      <c r="B448" t="s">
        <v>984</v>
      </c>
      <c r="C448">
        <v>20</v>
      </c>
      <c r="D448" t="s">
        <v>79</v>
      </c>
      <c r="E448">
        <v>3</v>
      </c>
      <c r="F448" t="s">
        <v>915</v>
      </c>
      <c r="G448">
        <v>344</v>
      </c>
      <c r="H448">
        <v>1</v>
      </c>
      <c r="I448" t="s">
        <v>104</v>
      </c>
      <c r="J448">
        <v>0</v>
      </c>
      <c r="K448">
        <v>1</v>
      </c>
      <c r="L448">
        <v>3</v>
      </c>
      <c r="M448">
        <v>540</v>
      </c>
      <c r="N448">
        <v>54</v>
      </c>
      <c r="O448">
        <v>0</v>
      </c>
      <c r="P448">
        <v>54</v>
      </c>
      <c r="Q448">
        <v>2</v>
      </c>
      <c r="R448">
        <v>8</v>
      </c>
      <c r="S448">
        <v>11</v>
      </c>
      <c r="T448">
        <v>1</v>
      </c>
      <c r="U448">
        <v>1</v>
      </c>
      <c r="V448">
        <v>2</v>
      </c>
      <c r="W448">
        <v>0</v>
      </c>
      <c r="X448">
        <v>2</v>
      </c>
      <c r="Y448">
        <v>19</v>
      </c>
      <c r="Z448">
        <v>3</v>
      </c>
      <c r="AA448">
        <v>1</v>
      </c>
      <c r="AB448">
        <v>1</v>
      </c>
      <c r="AC448">
        <v>1</v>
      </c>
      <c r="AD448">
        <v>0</v>
      </c>
      <c r="AE448">
        <v>0</v>
      </c>
      <c r="AF448">
        <v>0</v>
      </c>
      <c r="AG448">
        <v>1</v>
      </c>
      <c r="AH448">
        <v>0</v>
      </c>
      <c r="AI448">
        <v>0</v>
      </c>
      <c r="AJ448">
        <v>0</v>
      </c>
      <c r="AK448">
        <v>1</v>
      </c>
      <c r="AL448">
        <v>0</v>
      </c>
      <c r="AM448">
        <v>0</v>
      </c>
      <c r="AN448">
        <v>0</v>
      </c>
      <c r="AT448">
        <v>0</v>
      </c>
      <c r="AU448">
        <v>0</v>
      </c>
      <c r="AV448">
        <v>54</v>
      </c>
      <c r="AW448">
        <v>54</v>
      </c>
      <c r="AX448">
        <v>0</v>
      </c>
      <c r="BA448">
        <v>1</v>
      </c>
      <c r="BC448" t="s">
        <v>985</v>
      </c>
      <c r="BD448" s="4">
        <v>43283.245138888888</v>
      </c>
      <c r="BE448" s="4">
        <v>43283.269305555557</v>
      </c>
      <c r="BF448" s="4">
        <v>43283.269305555557</v>
      </c>
      <c r="BG448" t="s">
        <v>83</v>
      </c>
      <c r="BH448" t="s">
        <v>84</v>
      </c>
      <c r="BI448" t="s">
        <v>85</v>
      </c>
    </row>
    <row r="449" spans="1:61" x14ac:dyDescent="0.3">
      <c r="A449" t="str">
        <f>"200345B0100"</f>
        <v>200345B0100</v>
      </c>
      <c r="B449" t="s">
        <v>986</v>
      </c>
      <c r="C449">
        <v>20</v>
      </c>
      <c r="D449" t="s">
        <v>79</v>
      </c>
      <c r="E449">
        <v>3</v>
      </c>
      <c r="F449" t="s">
        <v>915</v>
      </c>
      <c r="G449">
        <v>345</v>
      </c>
      <c r="H449">
        <v>1</v>
      </c>
      <c r="I449" t="s">
        <v>81</v>
      </c>
      <c r="J449">
        <v>0</v>
      </c>
      <c r="K449">
        <v>1</v>
      </c>
      <c r="L449">
        <v>2</v>
      </c>
      <c r="M449">
        <v>180</v>
      </c>
      <c r="N449">
        <v>321</v>
      </c>
      <c r="O449">
        <v>2</v>
      </c>
      <c r="P449">
        <v>321</v>
      </c>
      <c r="Q449">
        <v>7</v>
      </c>
      <c r="R449">
        <v>86</v>
      </c>
      <c r="S449">
        <v>78</v>
      </c>
      <c r="T449">
        <v>8</v>
      </c>
      <c r="U449">
        <v>6</v>
      </c>
      <c r="V449">
        <v>3</v>
      </c>
      <c r="W449">
        <v>8</v>
      </c>
      <c r="X449">
        <v>13</v>
      </c>
      <c r="Y449">
        <v>65</v>
      </c>
      <c r="Z449">
        <v>5</v>
      </c>
      <c r="AA449">
        <v>1</v>
      </c>
      <c r="AB449">
        <v>2</v>
      </c>
      <c r="AC449">
        <v>4</v>
      </c>
      <c r="AD449">
        <v>2</v>
      </c>
      <c r="AE449">
        <v>1</v>
      </c>
      <c r="AF449">
        <v>3</v>
      </c>
      <c r="AG449">
        <v>4</v>
      </c>
      <c r="AH449">
        <v>1</v>
      </c>
      <c r="AI449">
        <v>1</v>
      </c>
      <c r="AJ449">
        <v>1</v>
      </c>
      <c r="AK449">
        <v>3</v>
      </c>
      <c r="AL449">
        <v>0</v>
      </c>
      <c r="AM449">
        <v>0</v>
      </c>
      <c r="AN449">
        <v>2</v>
      </c>
      <c r="AT449">
        <v>0</v>
      </c>
      <c r="AU449">
        <v>17</v>
      </c>
      <c r="AV449">
        <v>321</v>
      </c>
      <c r="AW449">
        <v>321</v>
      </c>
      <c r="AX449">
        <v>479</v>
      </c>
      <c r="BA449">
        <v>1</v>
      </c>
      <c r="BC449" t="s">
        <v>987</v>
      </c>
      <c r="BD449" s="4">
        <v>43283.059027777781</v>
      </c>
      <c r="BE449" s="4">
        <v>43283.0703587963</v>
      </c>
      <c r="BF449" s="4">
        <v>43283.0703587963</v>
      </c>
      <c r="BG449" t="s">
        <v>83</v>
      </c>
      <c r="BH449" t="s">
        <v>84</v>
      </c>
      <c r="BI449" t="s">
        <v>85</v>
      </c>
    </row>
    <row r="450" spans="1:61" x14ac:dyDescent="0.3">
      <c r="A450" t="str">
        <f>"200345C0100"</f>
        <v>200345C0100</v>
      </c>
      <c r="B450" t="s">
        <v>988</v>
      </c>
      <c r="C450">
        <v>20</v>
      </c>
      <c r="D450" t="s">
        <v>79</v>
      </c>
      <c r="E450">
        <v>3</v>
      </c>
      <c r="F450" t="s">
        <v>915</v>
      </c>
      <c r="G450">
        <v>345</v>
      </c>
      <c r="H450">
        <v>1</v>
      </c>
      <c r="I450" t="s">
        <v>89</v>
      </c>
      <c r="J450">
        <v>0</v>
      </c>
      <c r="K450">
        <v>1</v>
      </c>
      <c r="L450">
        <v>2</v>
      </c>
      <c r="M450">
        <v>166</v>
      </c>
      <c r="N450">
        <v>334</v>
      </c>
      <c r="O450">
        <v>7</v>
      </c>
      <c r="P450">
        <v>334</v>
      </c>
      <c r="Q450">
        <v>9</v>
      </c>
      <c r="R450">
        <v>86</v>
      </c>
      <c r="S450">
        <v>94</v>
      </c>
      <c r="T450">
        <v>2</v>
      </c>
      <c r="U450">
        <v>8</v>
      </c>
      <c r="V450">
        <v>5</v>
      </c>
      <c r="W450">
        <v>1</v>
      </c>
      <c r="X450">
        <v>18</v>
      </c>
      <c r="Y450">
        <v>80</v>
      </c>
      <c r="Z450">
        <v>4</v>
      </c>
      <c r="AA450">
        <v>0</v>
      </c>
      <c r="AB450">
        <v>1</v>
      </c>
      <c r="AC450">
        <v>1</v>
      </c>
      <c r="AD450">
        <v>1</v>
      </c>
      <c r="AE450">
        <v>0</v>
      </c>
      <c r="AF450">
        <v>0</v>
      </c>
      <c r="AG450">
        <v>1</v>
      </c>
      <c r="AH450">
        <v>1</v>
      </c>
      <c r="AI450">
        <v>4</v>
      </c>
      <c r="AJ450">
        <v>1</v>
      </c>
      <c r="AK450">
        <v>1</v>
      </c>
      <c r="AL450">
        <v>0</v>
      </c>
      <c r="AM450">
        <v>0</v>
      </c>
      <c r="AN450">
        <v>0</v>
      </c>
      <c r="AT450">
        <v>1</v>
      </c>
      <c r="AU450">
        <v>15</v>
      </c>
      <c r="AV450">
        <v>334</v>
      </c>
      <c r="AW450">
        <v>334</v>
      </c>
      <c r="AX450">
        <v>478</v>
      </c>
      <c r="BA450">
        <v>1</v>
      </c>
      <c r="BC450" t="s">
        <v>989</v>
      </c>
      <c r="BD450" s="4">
        <v>43283.059027777781</v>
      </c>
      <c r="BE450" s="4">
        <v>43283.063414351855</v>
      </c>
      <c r="BF450" s="4">
        <v>43283.063414351855</v>
      </c>
      <c r="BG450" t="s">
        <v>83</v>
      </c>
      <c r="BH450" t="s">
        <v>84</v>
      </c>
      <c r="BI450" t="s">
        <v>85</v>
      </c>
    </row>
    <row r="451" spans="1:61" x14ac:dyDescent="0.3">
      <c r="A451" t="str">
        <f>"200346B0100"</f>
        <v>200346B0100</v>
      </c>
      <c r="B451" t="s">
        <v>990</v>
      </c>
      <c r="C451">
        <v>20</v>
      </c>
      <c r="D451" t="s">
        <v>79</v>
      </c>
      <c r="E451">
        <v>3</v>
      </c>
      <c r="F451" t="s">
        <v>915</v>
      </c>
      <c r="G451">
        <v>346</v>
      </c>
      <c r="H451">
        <v>1</v>
      </c>
      <c r="I451" t="s">
        <v>81</v>
      </c>
      <c r="J451">
        <v>0</v>
      </c>
      <c r="K451">
        <v>1</v>
      </c>
      <c r="L451">
        <v>2</v>
      </c>
      <c r="M451">
        <v>214</v>
      </c>
      <c r="N451">
        <v>384</v>
      </c>
      <c r="O451">
        <v>4</v>
      </c>
      <c r="P451">
        <v>384</v>
      </c>
      <c r="Q451">
        <v>12</v>
      </c>
      <c r="R451">
        <v>79</v>
      </c>
      <c r="S451">
        <v>126</v>
      </c>
      <c r="T451">
        <v>5</v>
      </c>
      <c r="U451">
        <v>6</v>
      </c>
      <c r="V451">
        <v>6</v>
      </c>
      <c r="W451">
        <v>3</v>
      </c>
      <c r="X451">
        <v>14</v>
      </c>
      <c r="Y451">
        <v>91</v>
      </c>
      <c r="Z451">
        <v>3</v>
      </c>
      <c r="AA451">
        <v>0</v>
      </c>
      <c r="AB451">
        <v>1</v>
      </c>
      <c r="AC451">
        <v>0</v>
      </c>
      <c r="AD451">
        <v>1</v>
      </c>
      <c r="AE451">
        <v>0</v>
      </c>
      <c r="AF451">
        <v>0</v>
      </c>
      <c r="AG451">
        <v>5</v>
      </c>
      <c r="AH451">
        <v>1</v>
      </c>
      <c r="AI451">
        <v>1</v>
      </c>
      <c r="AJ451">
        <v>1</v>
      </c>
      <c r="AK451">
        <v>4</v>
      </c>
      <c r="AL451">
        <v>4</v>
      </c>
      <c r="AM451">
        <v>0</v>
      </c>
      <c r="AN451">
        <v>0</v>
      </c>
      <c r="AT451">
        <v>0</v>
      </c>
      <c r="AU451">
        <v>21</v>
      </c>
      <c r="AV451">
        <v>384</v>
      </c>
      <c r="AW451">
        <v>384</v>
      </c>
      <c r="AX451">
        <v>576</v>
      </c>
      <c r="BA451">
        <v>1</v>
      </c>
      <c r="BC451" t="s">
        <v>991</v>
      </c>
      <c r="BD451" s="4">
        <v>43283.276388888888</v>
      </c>
      <c r="BE451" s="4">
        <v>43283.308842592596</v>
      </c>
      <c r="BF451" s="4">
        <v>43283.308842592596</v>
      </c>
      <c r="BG451" t="s">
        <v>83</v>
      </c>
      <c r="BH451" t="s">
        <v>84</v>
      </c>
      <c r="BI451" t="s">
        <v>85</v>
      </c>
    </row>
    <row r="452" spans="1:61" x14ac:dyDescent="0.3">
      <c r="A452" t="str">
        <f>"200347B0100"</f>
        <v>200347B0100</v>
      </c>
      <c r="B452" t="s">
        <v>992</v>
      </c>
      <c r="C452">
        <v>20</v>
      </c>
      <c r="D452" t="s">
        <v>79</v>
      </c>
      <c r="E452">
        <v>3</v>
      </c>
      <c r="F452" t="s">
        <v>915</v>
      </c>
      <c r="G452">
        <v>347</v>
      </c>
      <c r="H452">
        <v>1</v>
      </c>
      <c r="I452" t="s">
        <v>81</v>
      </c>
      <c r="J452">
        <v>0</v>
      </c>
      <c r="K452">
        <v>1</v>
      </c>
      <c r="L452">
        <v>2</v>
      </c>
      <c r="M452">
        <v>267</v>
      </c>
      <c r="N452">
        <v>390</v>
      </c>
      <c r="O452">
        <v>3</v>
      </c>
      <c r="P452">
        <v>390</v>
      </c>
      <c r="Q452">
        <v>6</v>
      </c>
      <c r="R452">
        <v>112</v>
      </c>
      <c r="S452">
        <v>125</v>
      </c>
      <c r="T452">
        <v>10</v>
      </c>
      <c r="U452">
        <v>8</v>
      </c>
      <c r="V452">
        <v>2</v>
      </c>
      <c r="W452">
        <v>6</v>
      </c>
      <c r="X452">
        <v>20</v>
      </c>
      <c r="Y452">
        <v>75</v>
      </c>
      <c r="Z452">
        <v>5</v>
      </c>
      <c r="AA452">
        <v>0</v>
      </c>
      <c r="AB452">
        <v>2</v>
      </c>
      <c r="AC452">
        <v>2</v>
      </c>
      <c r="AD452">
        <v>0</v>
      </c>
      <c r="AE452">
        <v>0</v>
      </c>
      <c r="AF452">
        <v>0</v>
      </c>
      <c r="AG452">
        <v>3</v>
      </c>
      <c r="AH452">
        <v>1</v>
      </c>
      <c r="AI452">
        <v>1</v>
      </c>
      <c r="AJ452">
        <v>0</v>
      </c>
      <c r="AK452">
        <v>2</v>
      </c>
      <c r="AL452">
        <v>1</v>
      </c>
      <c r="AM452">
        <v>0</v>
      </c>
      <c r="AN452">
        <v>0</v>
      </c>
      <c r="AT452">
        <v>0</v>
      </c>
      <c r="AU452">
        <v>9</v>
      </c>
      <c r="AV452">
        <v>390</v>
      </c>
      <c r="AW452">
        <v>390</v>
      </c>
      <c r="AX452">
        <v>635</v>
      </c>
      <c r="BA452">
        <v>1</v>
      </c>
      <c r="BC452" t="s">
        <v>993</v>
      </c>
      <c r="BD452" s="4">
        <v>43283.245833333334</v>
      </c>
      <c r="BE452" s="4">
        <v>43283.276469907411</v>
      </c>
      <c r="BF452" s="4">
        <v>43283.276469907411</v>
      </c>
      <c r="BG452" t="s">
        <v>83</v>
      </c>
      <c r="BH452" t="s">
        <v>84</v>
      </c>
      <c r="BI452" t="s">
        <v>85</v>
      </c>
    </row>
    <row r="453" spans="1:61" x14ac:dyDescent="0.3">
      <c r="A453" t="str">
        <f>"200347C0100"</f>
        <v>200347C0100</v>
      </c>
      <c r="B453" t="s">
        <v>994</v>
      </c>
      <c r="C453">
        <v>20</v>
      </c>
      <c r="D453" t="s">
        <v>79</v>
      </c>
      <c r="E453">
        <v>3</v>
      </c>
      <c r="F453" t="s">
        <v>915</v>
      </c>
      <c r="G453">
        <v>347</v>
      </c>
      <c r="H453">
        <v>1</v>
      </c>
      <c r="I453" t="s">
        <v>89</v>
      </c>
      <c r="J453">
        <v>0</v>
      </c>
      <c r="K453">
        <v>1</v>
      </c>
      <c r="L453">
        <v>2</v>
      </c>
      <c r="AX453">
        <v>634</v>
      </c>
      <c r="AZ453" t="s">
        <v>156</v>
      </c>
      <c r="BA453">
        <v>0</v>
      </c>
      <c r="BC453" t="s">
        <v>995</v>
      </c>
      <c r="BD453" s="4">
        <v>43283.773611111108</v>
      </c>
      <c r="BE453" s="4">
        <v>43283.779722222222</v>
      </c>
      <c r="BF453" s="4">
        <v>43283.779722222222</v>
      </c>
      <c r="BG453" t="s">
        <v>83</v>
      </c>
      <c r="BH453" t="s">
        <v>84</v>
      </c>
      <c r="BI453" t="s">
        <v>85</v>
      </c>
    </row>
    <row r="454" spans="1:61" x14ac:dyDescent="0.3">
      <c r="A454" t="str">
        <f>"200348B0100"</f>
        <v>200348B0100</v>
      </c>
      <c r="B454" t="s">
        <v>996</v>
      </c>
      <c r="C454">
        <v>20</v>
      </c>
      <c r="D454" t="s">
        <v>79</v>
      </c>
      <c r="E454">
        <v>3</v>
      </c>
      <c r="F454" t="s">
        <v>915</v>
      </c>
      <c r="G454">
        <v>348</v>
      </c>
      <c r="H454">
        <v>1</v>
      </c>
      <c r="I454" t="s">
        <v>81</v>
      </c>
      <c r="J454">
        <v>0</v>
      </c>
      <c r="K454">
        <v>1</v>
      </c>
      <c r="L454">
        <v>2</v>
      </c>
      <c r="M454">
        <v>172</v>
      </c>
      <c r="N454">
        <v>328</v>
      </c>
      <c r="O454">
        <v>6</v>
      </c>
      <c r="P454">
        <v>328</v>
      </c>
      <c r="Q454">
        <v>19</v>
      </c>
      <c r="R454">
        <v>76</v>
      </c>
      <c r="S454">
        <v>85</v>
      </c>
      <c r="T454">
        <v>10</v>
      </c>
      <c r="U454">
        <v>9</v>
      </c>
      <c r="V454">
        <v>2</v>
      </c>
      <c r="W454">
        <v>0</v>
      </c>
      <c r="X454">
        <v>9</v>
      </c>
      <c r="Y454">
        <v>74</v>
      </c>
      <c r="Z454">
        <v>5</v>
      </c>
      <c r="AA454">
        <v>0</v>
      </c>
      <c r="AB454">
        <v>8</v>
      </c>
      <c r="AC454">
        <v>2</v>
      </c>
      <c r="AD454">
        <v>2</v>
      </c>
      <c r="AE454">
        <v>0</v>
      </c>
      <c r="AF454">
        <v>0</v>
      </c>
      <c r="AG454">
        <v>2</v>
      </c>
      <c r="AH454">
        <v>3</v>
      </c>
      <c r="AI454">
        <v>3</v>
      </c>
      <c r="AJ454">
        <v>0</v>
      </c>
      <c r="AK454">
        <v>2</v>
      </c>
      <c r="AL454">
        <v>0</v>
      </c>
      <c r="AM454">
        <v>0</v>
      </c>
      <c r="AN454">
        <v>0</v>
      </c>
      <c r="AT454" t="s">
        <v>100</v>
      </c>
      <c r="AU454">
        <v>17</v>
      </c>
      <c r="AV454">
        <v>328</v>
      </c>
      <c r="AW454">
        <v>328</v>
      </c>
      <c r="AX454">
        <v>478</v>
      </c>
      <c r="AZ454" t="s">
        <v>101</v>
      </c>
      <c r="BA454">
        <v>1</v>
      </c>
      <c r="BC454" t="s">
        <v>997</v>
      </c>
      <c r="BD454" s="4">
        <v>43283.211111111108</v>
      </c>
      <c r="BE454" s="4">
        <v>43283.246192129627</v>
      </c>
      <c r="BF454" s="4">
        <v>43283.246192129627</v>
      </c>
      <c r="BG454" t="s">
        <v>83</v>
      </c>
      <c r="BH454" t="s">
        <v>84</v>
      </c>
      <c r="BI454" t="s">
        <v>85</v>
      </c>
    </row>
    <row r="455" spans="1:61" x14ac:dyDescent="0.3">
      <c r="A455" t="str">
        <f>"200348C0100"</f>
        <v>200348C0100</v>
      </c>
      <c r="B455" t="s">
        <v>998</v>
      </c>
      <c r="C455">
        <v>20</v>
      </c>
      <c r="D455" t="s">
        <v>79</v>
      </c>
      <c r="E455">
        <v>3</v>
      </c>
      <c r="F455" t="s">
        <v>915</v>
      </c>
      <c r="G455">
        <v>348</v>
      </c>
      <c r="H455">
        <v>1</v>
      </c>
      <c r="I455" t="s">
        <v>89</v>
      </c>
      <c r="J455">
        <v>0</v>
      </c>
      <c r="K455">
        <v>1</v>
      </c>
      <c r="L455">
        <v>2</v>
      </c>
      <c r="M455">
        <v>177</v>
      </c>
      <c r="N455">
        <v>323</v>
      </c>
      <c r="O455">
        <v>4</v>
      </c>
      <c r="P455">
        <v>1</v>
      </c>
      <c r="Q455">
        <v>13</v>
      </c>
      <c r="R455">
        <v>89</v>
      </c>
      <c r="S455">
        <v>80</v>
      </c>
      <c r="T455">
        <v>11</v>
      </c>
      <c r="U455">
        <v>4</v>
      </c>
      <c r="V455">
        <v>4</v>
      </c>
      <c r="W455">
        <v>3</v>
      </c>
      <c r="X455">
        <v>18</v>
      </c>
      <c r="Y455">
        <v>58</v>
      </c>
      <c r="Z455">
        <v>4</v>
      </c>
      <c r="AA455">
        <v>0</v>
      </c>
      <c r="AB455">
        <v>7</v>
      </c>
      <c r="AC455">
        <v>3</v>
      </c>
      <c r="AD455">
        <v>1</v>
      </c>
      <c r="AE455">
        <v>0</v>
      </c>
      <c r="AF455">
        <v>2</v>
      </c>
      <c r="AG455">
        <v>4</v>
      </c>
      <c r="AH455">
        <v>3</v>
      </c>
      <c r="AI455">
        <v>2</v>
      </c>
      <c r="AJ455">
        <v>0</v>
      </c>
      <c r="AK455">
        <v>6</v>
      </c>
      <c r="AL455">
        <v>0</v>
      </c>
      <c r="AM455">
        <v>0</v>
      </c>
      <c r="AN455">
        <v>0</v>
      </c>
      <c r="AT455">
        <v>0</v>
      </c>
      <c r="AU455">
        <v>0</v>
      </c>
      <c r="AV455">
        <v>323</v>
      </c>
      <c r="AW455">
        <v>312</v>
      </c>
      <c r="AX455">
        <v>478</v>
      </c>
      <c r="BA455">
        <v>1</v>
      </c>
      <c r="BC455" t="s">
        <v>999</v>
      </c>
      <c r="BD455" s="4">
        <v>43283.177083333336</v>
      </c>
      <c r="BE455" s="4">
        <v>43283.195590277777</v>
      </c>
      <c r="BF455" s="4">
        <v>43283.195590277777</v>
      </c>
      <c r="BG455" t="s">
        <v>83</v>
      </c>
      <c r="BH455" t="s">
        <v>84</v>
      </c>
      <c r="BI455" t="s">
        <v>85</v>
      </c>
    </row>
    <row r="456" spans="1:61" x14ac:dyDescent="0.3">
      <c r="A456" t="str">
        <f>"200349B0100"</f>
        <v>200349B0100</v>
      </c>
      <c r="B456" t="s">
        <v>1000</v>
      </c>
      <c r="C456">
        <v>20</v>
      </c>
      <c r="D456" t="s">
        <v>79</v>
      </c>
      <c r="E456">
        <v>3</v>
      </c>
      <c r="F456" t="s">
        <v>915</v>
      </c>
      <c r="G456">
        <v>349</v>
      </c>
      <c r="H456">
        <v>1</v>
      </c>
      <c r="I456" t="s">
        <v>81</v>
      </c>
      <c r="J456">
        <v>0</v>
      </c>
      <c r="K456">
        <v>1</v>
      </c>
      <c r="L456">
        <v>2</v>
      </c>
      <c r="M456">
        <v>169</v>
      </c>
      <c r="N456">
        <v>313</v>
      </c>
      <c r="O456">
        <v>7</v>
      </c>
      <c r="P456">
        <v>313</v>
      </c>
      <c r="Q456">
        <v>16</v>
      </c>
      <c r="R456">
        <v>112</v>
      </c>
      <c r="S456">
        <v>58</v>
      </c>
      <c r="T456">
        <v>15</v>
      </c>
      <c r="U456">
        <v>5</v>
      </c>
      <c r="V456">
        <v>5</v>
      </c>
      <c r="W456">
        <v>1</v>
      </c>
      <c r="X456">
        <v>14</v>
      </c>
      <c r="Y456">
        <v>70</v>
      </c>
      <c r="Z456">
        <v>4</v>
      </c>
      <c r="AA456">
        <v>0</v>
      </c>
      <c r="AB456">
        <v>1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6</v>
      </c>
      <c r="AI456">
        <v>0</v>
      </c>
      <c r="AJ456">
        <v>0</v>
      </c>
      <c r="AK456">
        <v>0</v>
      </c>
      <c r="AL456">
        <v>1</v>
      </c>
      <c r="AM456">
        <v>0</v>
      </c>
      <c r="AN456">
        <v>0</v>
      </c>
      <c r="AT456">
        <v>0</v>
      </c>
      <c r="AU456">
        <v>5</v>
      </c>
      <c r="AV456" t="s">
        <v>100</v>
      </c>
      <c r="AW456">
        <v>313</v>
      </c>
      <c r="AX456">
        <v>460</v>
      </c>
      <c r="BA456">
        <v>1</v>
      </c>
      <c r="BC456" t="s">
        <v>1001</v>
      </c>
      <c r="BD456" s="4">
        <v>43283.240972222222</v>
      </c>
      <c r="BE456" s="4">
        <v>43283.265914351854</v>
      </c>
      <c r="BF456" s="4">
        <v>43283.265914351854</v>
      </c>
      <c r="BG456" t="s">
        <v>83</v>
      </c>
      <c r="BH456" t="s">
        <v>84</v>
      </c>
      <c r="BI456" t="s">
        <v>85</v>
      </c>
    </row>
    <row r="457" spans="1:61" x14ac:dyDescent="0.3">
      <c r="A457" t="str">
        <f>"200350B0100"</f>
        <v>200350B0100</v>
      </c>
      <c r="B457" t="s">
        <v>1002</v>
      </c>
      <c r="C457">
        <v>20</v>
      </c>
      <c r="D457" t="s">
        <v>79</v>
      </c>
      <c r="E457">
        <v>3</v>
      </c>
      <c r="F457" t="s">
        <v>915</v>
      </c>
      <c r="G457">
        <v>350</v>
      </c>
      <c r="H457">
        <v>1</v>
      </c>
      <c r="I457" t="s">
        <v>81</v>
      </c>
      <c r="J457">
        <v>0</v>
      </c>
      <c r="K457">
        <v>1</v>
      </c>
      <c r="L457">
        <v>2</v>
      </c>
      <c r="AX457">
        <v>646</v>
      </c>
      <c r="AZ457" t="s">
        <v>932</v>
      </c>
      <c r="BA457">
        <v>0</v>
      </c>
      <c r="BC457" t="s">
        <v>1003</v>
      </c>
      <c r="BD457" s="4">
        <v>43283.773611111108</v>
      </c>
      <c r="BE457" s="4">
        <v>43283.780011574076</v>
      </c>
      <c r="BF457" s="4">
        <v>43283.780011574076</v>
      </c>
      <c r="BG457" t="s">
        <v>83</v>
      </c>
      <c r="BH457" t="s">
        <v>84</v>
      </c>
      <c r="BI457" t="s">
        <v>85</v>
      </c>
    </row>
    <row r="458" spans="1:61" x14ac:dyDescent="0.3">
      <c r="A458" t="str">
        <f>"200350C0100"</f>
        <v>200350C0100</v>
      </c>
      <c r="B458" t="s">
        <v>1004</v>
      </c>
      <c r="C458">
        <v>20</v>
      </c>
      <c r="D458" t="s">
        <v>79</v>
      </c>
      <c r="E458">
        <v>3</v>
      </c>
      <c r="F458" t="s">
        <v>915</v>
      </c>
      <c r="G458">
        <v>350</v>
      </c>
      <c r="H458">
        <v>1</v>
      </c>
      <c r="I458" t="s">
        <v>89</v>
      </c>
      <c r="J458">
        <v>0</v>
      </c>
      <c r="K458">
        <v>1</v>
      </c>
      <c r="L458">
        <v>2</v>
      </c>
      <c r="AX458">
        <v>646</v>
      </c>
      <c r="AZ458" t="s">
        <v>932</v>
      </c>
      <c r="BA458">
        <v>0</v>
      </c>
      <c r="BC458" t="s">
        <v>1005</v>
      </c>
      <c r="BD458" s="4">
        <v>43283.773611111108</v>
      </c>
      <c r="BE458" s="4">
        <v>43283.780324074076</v>
      </c>
      <c r="BF458" s="4">
        <v>43283.780324074076</v>
      </c>
      <c r="BG458" t="s">
        <v>83</v>
      </c>
      <c r="BH458" t="s">
        <v>84</v>
      </c>
      <c r="BI458" t="s">
        <v>85</v>
      </c>
    </row>
    <row r="459" spans="1:61" x14ac:dyDescent="0.3">
      <c r="A459" t="str">
        <f>"200351B0100"</f>
        <v>200351B0100</v>
      </c>
      <c r="B459" t="s">
        <v>1006</v>
      </c>
      <c r="C459">
        <v>20</v>
      </c>
      <c r="D459" t="s">
        <v>79</v>
      </c>
      <c r="E459">
        <v>3</v>
      </c>
      <c r="F459" t="s">
        <v>915</v>
      </c>
      <c r="G459">
        <v>351</v>
      </c>
      <c r="H459">
        <v>1</v>
      </c>
      <c r="I459" t="s">
        <v>81</v>
      </c>
      <c r="J459">
        <v>0</v>
      </c>
      <c r="K459">
        <v>1</v>
      </c>
      <c r="L459">
        <v>2</v>
      </c>
      <c r="M459">
        <v>234</v>
      </c>
      <c r="N459">
        <v>416</v>
      </c>
      <c r="O459">
        <v>6</v>
      </c>
      <c r="P459">
        <v>416</v>
      </c>
      <c r="Q459">
        <v>15</v>
      </c>
      <c r="R459">
        <v>93</v>
      </c>
      <c r="S459">
        <v>94</v>
      </c>
      <c r="T459">
        <v>11</v>
      </c>
      <c r="U459">
        <v>8</v>
      </c>
      <c r="V459">
        <v>19</v>
      </c>
      <c r="W459">
        <v>0</v>
      </c>
      <c r="X459">
        <v>33</v>
      </c>
      <c r="Y459">
        <v>99</v>
      </c>
      <c r="Z459">
        <v>7</v>
      </c>
      <c r="AA459">
        <v>0</v>
      </c>
      <c r="AB459">
        <v>0</v>
      </c>
      <c r="AC459">
        <v>3</v>
      </c>
      <c r="AD459">
        <v>0</v>
      </c>
      <c r="AE459">
        <v>0</v>
      </c>
      <c r="AF459">
        <v>2</v>
      </c>
      <c r="AG459">
        <v>2</v>
      </c>
      <c r="AH459">
        <v>3</v>
      </c>
      <c r="AI459">
        <v>4</v>
      </c>
      <c r="AJ459">
        <v>1</v>
      </c>
      <c r="AK459">
        <v>3</v>
      </c>
      <c r="AL459">
        <v>3</v>
      </c>
      <c r="AM459">
        <v>0</v>
      </c>
      <c r="AN459">
        <v>0</v>
      </c>
      <c r="AT459">
        <v>0</v>
      </c>
      <c r="AU459">
        <v>16</v>
      </c>
      <c r="AV459">
        <v>416</v>
      </c>
      <c r="AW459">
        <v>416</v>
      </c>
      <c r="AX459">
        <v>628</v>
      </c>
      <c r="BA459">
        <v>1</v>
      </c>
      <c r="BC459" t="s">
        <v>1007</v>
      </c>
      <c r="BD459" s="4">
        <v>43283.326388888891</v>
      </c>
      <c r="BE459" s="4">
        <v>43283.347534722219</v>
      </c>
      <c r="BF459" s="4">
        <v>43283.347534722219</v>
      </c>
      <c r="BG459" t="s">
        <v>83</v>
      </c>
      <c r="BH459" t="s">
        <v>84</v>
      </c>
      <c r="BI459" t="s">
        <v>85</v>
      </c>
    </row>
    <row r="460" spans="1:61" x14ac:dyDescent="0.3">
      <c r="A460" t="str">
        <f>"200351C0100"</f>
        <v>200351C0100</v>
      </c>
      <c r="B460" t="s">
        <v>1008</v>
      </c>
      <c r="C460">
        <v>20</v>
      </c>
      <c r="D460" t="s">
        <v>79</v>
      </c>
      <c r="E460">
        <v>3</v>
      </c>
      <c r="F460" t="s">
        <v>915</v>
      </c>
      <c r="G460">
        <v>351</v>
      </c>
      <c r="H460">
        <v>1</v>
      </c>
      <c r="I460" t="s">
        <v>89</v>
      </c>
      <c r="J460">
        <v>0</v>
      </c>
      <c r="K460">
        <v>1</v>
      </c>
      <c r="L460">
        <v>2</v>
      </c>
      <c r="M460">
        <v>224</v>
      </c>
      <c r="N460">
        <v>425</v>
      </c>
      <c r="O460">
        <v>9</v>
      </c>
      <c r="P460">
        <v>425</v>
      </c>
      <c r="Q460">
        <v>16</v>
      </c>
      <c r="R460">
        <v>89</v>
      </c>
      <c r="S460">
        <v>110</v>
      </c>
      <c r="T460">
        <v>18</v>
      </c>
      <c r="U460">
        <v>9</v>
      </c>
      <c r="V460">
        <v>6</v>
      </c>
      <c r="W460">
        <v>1</v>
      </c>
      <c r="X460">
        <v>27</v>
      </c>
      <c r="Y460">
        <v>103</v>
      </c>
      <c r="Z460">
        <v>5</v>
      </c>
      <c r="AA460">
        <v>0</v>
      </c>
      <c r="AB460">
        <v>2</v>
      </c>
      <c r="AC460">
        <v>2</v>
      </c>
      <c r="AD460">
        <v>1</v>
      </c>
      <c r="AE460">
        <v>0</v>
      </c>
      <c r="AF460">
        <v>0</v>
      </c>
      <c r="AG460">
        <v>4</v>
      </c>
      <c r="AH460">
        <v>1</v>
      </c>
      <c r="AI460">
        <v>1</v>
      </c>
      <c r="AJ460">
        <v>1</v>
      </c>
      <c r="AK460">
        <v>3</v>
      </c>
      <c r="AL460">
        <v>0</v>
      </c>
      <c r="AM460">
        <v>0</v>
      </c>
      <c r="AN460">
        <v>1</v>
      </c>
      <c r="AT460">
        <v>1</v>
      </c>
      <c r="AU460">
        <v>25</v>
      </c>
      <c r="AV460">
        <v>425</v>
      </c>
      <c r="AW460">
        <v>426</v>
      </c>
      <c r="AX460">
        <v>627</v>
      </c>
      <c r="BA460">
        <v>1</v>
      </c>
      <c r="BC460" t="s">
        <v>1009</v>
      </c>
      <c r="BD460" s="4">
        <v>43283.327777777777</v>
      </c>
      <c r="BE460" s="4">
        <v>43283.348252314812</v>
      </c>
      <c r="BF460" s="4">
        <v>43283.348252314812</v>
      </c>
      <c r="BG460" t="s">
        <v>83</v>
      </c>
      <c r="BH460" t="s">
        <v>84</v>
      </c>
      <c r="BI460" t="s">
        <v>85</v>
      </c>
    </row>
    <row r="461" spans="1:61" x14ac:dyDescent="0.3">
      <c r="A461" t="str">
        <f>"200352B0100"</f>
        <v>200352B0100</v>
      </c>
      <c r="B461" t="s">
        <v>1010</v>
      </c>
      <c r="C461">
        <v>20</v>
      </c>
      <c r="D461" t="s">
        <v>79</v>
      </c>
      <c r="E461">
        <v>3</v>
      </c>
      <c r="F461" t="s">
        <v>915</v>
      </c>
      <c r="G461">
        <v>352</v>
      </c>
      <c r="H461">
        <v>1</v>
      </c>
      <c r="I461" t="s">
        <v>81</v>
      </c>
      <c r="J461">
        <v>0</v>
      </c>
      <c r="K461">
        <v>1</v>
      </c>
      <c r="L461">
        <v>2</v>
      </c>
      <c r="M461">
        <v>164</v>
      </c>
      <c r="N461">
        <v>368</v>
      </c>
      <c r="O461">
        <v>4</v>
      </c>
      <c r="P461">
        <v>364</v>
      </c>
      <c r="Q461">
        <v>12</v>
      </c>
      <c r="R461">
        <v>93</v>
      </c>
      <c r="S461">
        <v>98</v>
      </c>
      <c r="T461">
        <v>12</v>
      </c>
      <c r="U461">
        <v>7</v>
      </c>
      <c r="V461">
        <v>9</v>
      </c>
      <c r="W461">
        <v>1</v>
      </c>
      <c r="X461">
        <v>21</v>
      </c>
      <c r="Y461">
        <v>77</v>
      </c>
      <c r="Z461">
        <v>3</v>
      </c>
      <c r="AA461">
        <v>0</v>
      </c>
      <c r="AB461">
        <v>3</v>
      </c>
      <c r="AC461">
        <v>1</v>
      </c>
      <c r="AD461">
        <v>1</v>
      </c>
      <c r="AE461">
        <v>0</v>
      </c>
      <c r="AF461">
        <v>0</v>
      </c>
      <c r="AG461">
        <v>4</v>
      </c>
      <c r="AH461">
        <v>1</v>
      </c>
      <c r="AI461">
        <v>0</v>
      </c>
      <c r="AJ461">
        <v>1</v>
      </c>
      <c r="AK461">
        <v>2</v>
      </c>
      <c r="AL461">
        <v>1</v>
      </c>
      <c r="AM461">
        <v>0</v>
      </c>
      <c r="AN461">
        <v>0</v>
      </c>
      <c r="AT461" t="s">
        <v>100</v>
      </c>
      <c r="AU461">
        <v>17</v>
      </c>
      <c r="AV461">
        <v>364</v>
      </c>
      <c r="AW461">
        <v>364</v>
      </c>
      <c r="AX461">
        <v>503</v>
      </c>
      <c r="AZ461" t="s">
        <v>101</v>
      </c>
      <c r="BA461">
        <v>1</v>
      </c>
      <c r="BC461" t="s">
        <v>1011</v>
      </c>
      <c r="BD461" s="4">
        <v>43283.331944444442</v>
      </c>
      <c r="BE461" s="4">
        <v>43283.355451388888</v>
      </c>
      <c r="BF461" s="4">
        <v>43283.355451388888</v>
      </c>
      <c r="BG461" t="s">
        <v>83</v>
      </c>
      <c r="BH461" t="s">
        <v>84</v>
      </c>
      <c r="BI461" t="s">
        <v>85</v>
      </c>
    </row>
    <row r="462" spans="1:61" x14ac:dyDescent="0.3">
      <c r="A462" t="str">
        <f>"200352C0100"</f>
        <v>200352C0100</v>
      </c>
      <c r="B462" t="s">
        <v>1012</v>
      </c>
      <c r="C462">
        <v>20</v>
      </c>
      <c r="D462" t="s">
        <v>79</v>
      </c>
      <c r="E462">
        <v>3</v>
      </c>
      <c r="F462" t="s">
        <v>915</v>
      </c>
      <c r="G462">
        <v>352</v>
      </c>
      <c r="H462">
        <v>1</v>
      </c>
      <c r="I462" t="s">
        <v>89</v>
      </c>
      <c r="J462">
        <v>0</v>
      </c>
      <c r="K462">
        <v>1</v>
      </c>
      <c r="L462">
        <v>2</v>
      </c>
      <c r="M462">
        <v>165</v>
      </c>
      <c r="N462">
        <v>360</v>
      </c>
      <c r="O462">
        <v>3</v>
      </c>
      <c r="P462">
        <v>357</v>
      </c>
      <c r="Q462">
        <v>10</v>
      </c>
      <c r="R462">
        <v>90</v>
      </c>
      <c r="S462">
        <v>107</v>
      </c>
      <c r="T462">
        <v>15</v>
      </c>
      <c r="U462">
        <v>7</v>
      </c>
      <c r="V462">
        <v>13</v>
      </c>
      <c r="W462">
        <v>3</v>
      </c>
      <c r="X462">
        <v>22</v>
      </c>
      <c r="Y462">
        <v>67</v>
      </c>
      <c r="Z462">
        <v>2</v>
      </c>
      <c r="AA462">
        <v>0</v>
      </c>
      <c r="AB462">
        <v>2</v>
      </c>
      <c r="AC462">
        <v>2</v>
      </c>
      <c r="AD462">
        <v>1</v>
      </c>
      <c r="AE462">
        <v>0</v>
      </c>
      <c r="AF462">
        <v>0</v>
      </c>
      <c r="AG462">
        <v>6</v>
      </c>
      <c r="AH462">
        <v>1</v>
      </c>
      <c r="AI462">
        <v>0</v>
      </c>
      <c r="AJ462">
        <v>0</v>
      </c>
      <c r="AK462">
        <v>1</v>
      </c>
      <c r="AL462">
        <v>0</v>
      </c>
      <c r="AM462">
        <v>1</v>
      </c>
      <c r="AN462">
        <v>0</v>
      </c>
      <c r="AT462">
        <v>0</v>
      </c>
      <c r="AU462">
        <v>7</v>
      </c>
      <c r="AV462">
        <v>357</v>
      </c>
      <c r="AW462">
        <v>357</v>
      </c>
      <c r="AX462">
        <v>503</v>
      </c>
      <c r="BA462">
        <v>1</v>
      </c>
      <c r="BC462" t="s">
        <v>1013</v>
      </c>
      <c r="BD462" s="4">
        <v>43283.331944444442</v>
      </c>
      <c r="BE462" s="4">
        <v>43283.353206018517</v>
      </c>
      <c r="BF462" s="4">
        <v>43283.353206018517</v>
      </c>
      <c r="BG462" t="s">
        <v>83</v>
      </c>
      <c r="BH462" t="s">
        <v>84</v>
      </c>
      <c r="BI462" t="s">
        <v>85</v>
      </c>
    </row>
    <row r="463" spans="1:61" x14ac:dyDescent="0.3">
      <c r="A463" t="str">
        <f>"200353B0100"</f>
        <v>200353B0100</v>
      </c>
      <c r="B463" t="s">
        <v>1014</v>
      </c>
      <c r="C463">
        <v>20</v>
      </c>
      <c r="D463" t="s">
        <v>79</v>
      </c>
      <c r="E463">
        <v>3</v>
      </c>
      <c r="F463" t="s">
        <v>915</v>
      </c>
      <c r="G463">
        <v>353</v>
      </c>
      <c r="H463">
        <v>1</v>
      </c>
      <c r="I463" t="s">
        <v>81</v>
      </c>
      <c r="J463">
        <v>0</v>
      </c>
      <c r="K463">
        <v>1</v>
      </c>
      <c r="L463">
        <v>2</v>
      </c>
      <c r="M463">
        <v>278</v>
      </c>
      <c r="N463">
        <v>490</v>
      </c>
      <c r="O463">
        <v>4</v>
      </c>
      <c r="P463">
        <v>485</v>
      </c>
      <c r="Q463">
        <v>12</v>
      </c>
      <c r="R463">
        <v>84</v>
      </c>
      <c r="S463">
        <v>159</v>
      </c>
      <c r="T463">
        <v>7</v>
      </c>
      <c r="U463">
        <v>6</v>
      </c>
      <c r="V463">
        <v>6</v>
      </c>
      <c r="W463">
        <v>0</v>
      </c>
      <c r="X463">
        <v>24</v>
      </c>
      <c r="Y463">
        <v>127</v>
      </c>
      <c r="Z463">
        <v>6</v>
      </c>
      <c r="AA463">
        <v>1</v>
      </c>
      <c r="AB463">
        <v>0</v>
      </c>
      <c r="AC463">
        <v>3</v>
      </c>
      <c r="AD463">
        <v>3</v>
      </c>
      <c r="AE463">
        <v>0</v>
      </c>
      <c r="AF463">
        <v>1</v>
      </c>
      <c r="AG463">
        <v>6</v>
      </c>
      <c r="AH463">
        <v>1</v>
      </c>
      <c r="AI463">
        <v>0</v>
      </c>
      <c r="AJ463">
        <v>0</v>
      </c>
      <c r="AK463">
        <v>7</v>
      </c>
      <c r="AL463">
        <v>4</v>
      </c>
      <c r="AM463">
        <v>0</v>
      </c>
      <c r="AN463">
        <v>0</v>
      </c>
      <c r="AT463">
        <v>0</v>
      </c>
      <c r="AU463">
        <v>28</v>
      </c>
      <c r="AV463">
        <v>485</v>
      </c>
      <c r="AW463">
        <v>485</v>
      </c>
      <c r="AX463">
        <v>747</v>
      </c>
      <c r="BA463">
        <v>1</v>
      </c>
      <c r="BC463" t="s">
        <v>1015</v>
      </c>
      <c r="BD463" s="4">
        <v>43283.276388888888</v>
      </c>
      <c r="BE463" s="4">
        <v>43283.309224537035</v>
      </c>
      <c r="BF463" s="4">
        <v>43283.309224537035</v>
      </c>
      <c r="BG463" t="s">
        <v>83</v>
      </c>
      <c r="BH463" t="s">
        <v>84</v>
      </c>
      <c r="BI463" t="s">
        <v>85</v>
      </c>
    </row>
    <row r="464" spans="1:61" x14ac:dyDescent="0.3">
      <c r="A464" t="str">
        <f>"200354B0100"</f>
        <v>200354B0100</v>
      </c>
      <c r="B464" t="s">
        <v>1016</v>
      </c>
      <c r="C464">
        <v>20</v>
      </c>
      <c r="D464" t="s">
        <v>79</v>
      </c>
      <c r="E464">
        <v>3</v>
      </c>
      <c r="F464" t="s">
        <v>915</v>
      </c>
      <c r="G464">
        <v>354</v>
      </c>
      <c r="H464">
        <v>1</v>
      </c>
      <c r="I464" t="s">
        <v>81</v>
      </c>
      <c r="J464">
        <v>0</v>
      </c>
      <c r="K464">
        <v>1</v>
      </c>
      <c r="L464">
        <v>2</v>
      </c>
      <c r="AX464">
        <v>520</v>
      </c>
      <c r="AZ464" t="s">
        <v>156</v>
      </c>
      <c r="BA464">
        <v>0</v>
      </c>
      <c r="BC464" t="s">
        <v>1017</v>
      </c>
      <c r="BD464" s="4">
        <v>43283.81527777778</v>
      </c>
      <c r="BE464" s="4">
        <v>43283.816643518519</v>
      </c>
      <c r="BF464" s="4">
        <v>43283.816643518519</v>
      </c>
      <c r="BG464" t="s">
        <v>83</v>
      </c>
      <c r="BH464" t="s">
        <v>84</v>
      </c>
      <c r="BI464" t="s">
        <v>85</v>
      </c>
    </row>
    <row r="465" spans="1:61" x14ac:dyDescent="0.3">
      <c r="A465" t="str">
        <f>"200354C0100"</f>
        <v>200354C0100</v>
      </c>
      <c r="B465" t="s">
        <v>1018</v>
      </c>
      <c r="C465">
        <v>20</v>
      </c>
      <c r="D465" t="s">
        <v>79</v>
      </c>
      <c r="E465">
        <v>3</v>
      </c>
      <c r="F465" t="s">
        <v>915</v>
      </c>
      <c r="G465">
        <v>354</v>
      </c>
      <c r="H465">
        <v>1</v>
      </c>
      <c r="I465" t="s">
        <v>89</v>
      </c>
      <c r="J465">
        <v>0</v>
      </c>
      <c r="K465">
        <v>1</v>
      </c>
      <c r="L465">
        <v>2</v>
      </c>
      <c r="AX465">
        <v>519</v>
      </c>
      <c r="AZ465" t="s">
        <v>156</v>
      </c>
      <c r="BA465">
        <v>0</v>
      </c>
      <c r="BC465" t="s">
        <v>1019</v>
      </c>
      <c r="BD465" s="4">
        <v>43283.814583333333</v>
      </c>
      <c r="BE465" s="4">
        <v>43283.815821759257</v>
      </c>
      <c r="BF465" s="4">
        <v>43283.815821759257</v>
      </c>
      <c r="BG465" t="s">
        <v>83</v>
      </c>
      <c r="BH465" t="s">
        <v>84</v>
      </c>
      <c r="BI465" t="s">
        <v>85</v>
      </c>
    </row>
    <row r="466" spans="1:61" x14ac:dyDescent="0.3">
      <c r="A466" t="str">
        <f>"200355B0100"</f>
        <v>200355B0100</v>
      </c>
      <c r="B466" t="s">
        <v>1020</v>
      </c>
      <c r="C466">
        <v>20</v>
      </c>
      <c r="D466" t="s">
        <v>79</v>
      </c>
      <c r="E466">
        <v>3</v>
      </c>
      <c r="F466" t="s">
        <v>915</v>
      </c>
      <c r="G466">
        <v>355</v>
      </c>
      <c r="H466">
        <v>1</v>
      </c>
      <c r="I466" t="s">
        <v>81</v>
      </c>
      <c r="J466">
        <v>0</v>
      </c>
      <c r="K466">
        <v>2</v>
      </c>
      <c r="L466">
        <v>2</v>
      </c>
      <c r="M466">
        <v>136</v>
      </c>
      <c r="N466">
        <v>293</v>
      </c>
      <c r="O466">
        <v>0</v>
      </c>
      <c r="P466">
        <v>293</v>
      </c>
      <c r="Q466">
        <v>12</v>
      </c>
      <c r="R466">
        <v>48</v>
      </c>
      <c r="S466">
        <v>86</v>
      </c>
      <c r="T466">
        <v>7</v>
      </c>
      <c r="U466">
        <v>11</v>
      </c>
      <c r="V466">
        <v>10</v>
      </c>
      <c r="W466">
        <v>2</v>
      </c>
      <c r="X466">
        <v>21</v>
      </c>
      <c r="Y466">
        <v>68</v>
      </c>
      <c r="Z466">
        <v>9</v>
      </c>
      <c r="AA466">
        <v>0</v>
      </c>
      <c r="AB466">
        <v>1</v>
      </c>
      <c r="AC466">
        <v>0</v>
      </c>
      <c r="AD466">
        <v>1</v>
      </c>
      <c r="AE466">
        <v>0</v>
      </c>
      <c r="AF466">
        <v>1</v>
      </c>
      <c r="AG466">
        <v>4</v>
      </c>
      <c r="AH466">
        <v>0</v>
      </c>
      <c r="AI466">
        <v>0</v>
      </c>
      <c r="AJ466">
        <v>1</v>
      </c>
      <c r="AK466">
        <v>0</v>
      </c>
      <c r="AL466">
        <v>0</v>
      </c>
      <c r="AM466">
        <v>0</v>
      </c>
      <c r="AN466">
        <v>0</v>
      </c>
      <c r="AT466">
        <v>0</v>
      </c>
      <c r="AU466">
        <v>11</v>
      </c>
      <c r="AV466">
        <v>293</v>
      </c>
      <c r="AW466">
        <v>293</v>
      </c>
      <c r="AX466">
        <v>407</v>
      </c>
      <c r="BA466">
        <v>1</v>
      </c>
      <c r="BC466" t="s">
        <v>1021</v>
      </c>
      <c r="BD466" s="4">
        <v>43283.17083333333</v>
      </c>
      <c r="BE466" s="4">
        <v>43283.249849537038</v>
      </c>
      <c r="BF466" s="4">
        <v>43283.249849537038</v>
      </c>
      <c r="BG466" t="s">
        <v>83</v>
      </c>
      <c r="BH466" t="s">
        <v>84</v>
      </c>
      <c r="BI466" t="s">
        <v>85</v>
      </c>
    </row>
    <row r="467" spans="1:61" x14ac:dyDescent="0.3">
      <c r="A467" t="str">
        <f>"200355C0100"</f>
        <v>200355C0100</v>
      </c>
      <c r="B467" t="s">
        <v>1022</v>
      </c>
      <c r="C467">
        <v>20</v>
      </c>
      <c r="D467" t="s">
        <v>79</v>
      </c>
      <c r="E467">
        <v>3</v>
      </c>
      <c r="F467" t="s">
        <v>915</v>
      </c>
      <c r="G467">
        <v>355</v>
      </c>
      <c r="H467">
        <v>1</v>
      </c>
      <c r="I467" t="s">
        <v>89</v>
      </c>
      <c r="J467">
        <v>0</v>
      </c>
      <c r="K467">
        <v>2</v>
      </c>
      <c r="L467">
        <v>2</v>
      </c>
      <c r="M467">
        <v>166</v>
      </c>
      <c r="N467">
        <v>428</v>
      </c>
      <c r="O467">
        <v>6</v>
      </c>
      <c r="P467">
        <v>262</v>
      </c>
      <c r="Q467">
        <v>12</v>
      </c>
      <c r="R467">
        <v>41</v>
      </c>
      <c r="S467">
        <v>66</v>
      </c>
      <c r="T467">
        <v>6</v>
      </c>
      <c r="U467">
        <v>4</v>
      </c>
      <c r="V467">
        <v>5</v>
      </c>
      <c r="W467">
        <v>2</v>
      </c>
      <c r="X467">
        <v>9</v>
      </c>
      <c r="Y467">
        <v>75</v>
      </c>
      <c r="Z467">
        <v>6</v>
      </c>
      <c r="AA467">
        <v>0</v>
      </c>
      <c r="AB467">
        <v>2</v>
      </c>
      <c r="AC467">
        <v>1</v>
      </c>
      <c r="AD467">
        <v>3</v>
      </c>
      <c r="AE467">
        <v>0</v>
      </c>
      <c r="AF467">
        <v>0</v>
      </c>
      <c r="AG467">
        <v>7</v>
      </c>
      <c r="AH467">
        <v>3</v>
      </c>
      <c r="AI467">
        <v>0</v>
      </c>
      <c r="AJ467">
        <v>0</v>
      </c>
      <c r="AK467">
        <v>4</v>
      </c>
      <c r="AL467">
        <v>2</v>
      </c>
      <c r="AM467">
        <v>0</v>
      </c>
      <c r="AN467">
        <v>0</v>
      </c>
      <c r="AT467">
        <v>0</v>
      </c>
      <c r="AU467">
        <v>14</v>
      </c>
      <c r="AV467" t="s">
        <v>100</v>
      </c>
      <c r="AW467">
        <v>262</v>
      </c>
      <c r="AX467">
        <v>406</v>
      </c>
      <c r="BA467">
        <v>1</v>
      </c>
      <c r="BC467" t="s">
        <v>1023</v>
      </c>
      <c r="BD467" s="4">
        <v>43283.17291666667</v>
      </c>
      <c r="BE467" s="4">
        <v>43283.188657407409</v>
      </c>
      <c r="BF467" s="4">
        <v>43283.188657407409</v>
      </c>
      <c r="BG467" t="s">
        <v>83</v>
      </c>
      <c r="BH467" t="s">
        <v>84</v>
      </c>
      <c r="BI467" t="s">
        <v>85</v>
      </c>
    </row>
    <row r="468" spans="1:61" x14ac:dyDescent="0.3">
      <c r="A468" t="str">
        <f>"200356B0100"</f>
        <v>200356B0100</v>
      </c>
      <c r="B468" t="s">
        <v>1024</v>
      </c>
      <c r="C468">
        <v>20</v>
      </c>
      <c r="D468" t="s">
        <v>79</v>
      </c>
      <c r="E468">
        <v>3</v>
      </c>
      <c r="F468" t="s">
        <v>915</v>
      </c>
      <c r="G468">
        <v>356</v>
      </c>
      <c r="H468">
        <v>1</v>
      </c>
      <c r="I468" t="s">
        <v>81</v>
      </c>
      <c r="J468">
        <v>0</v>
      </c>
      <c r="K468">
        <v>1</v>
      </c>
      <c r="L468">
        <v>2</v>
      </c>
      <c r="M468">
        <v>178</v>
      </c>
      <c r="N468">
        <v>266</v>
      </c>
      <c r="O468">
        <v>3</v>
      </c>
      <c r="P468">
        <v>266</v>
      </c>
      <c r="Q468">
        <v>8</v>
      </c>
      <c r="R468">
        <v>52</v>
      </c>
      <c r="S468">
        <v>80</v>
      </c>
      <c r="T468">
        <v>10</v>
      </c>
      <c r="U468">
        <v>8</v>
      </c>
      <c r="V468">
        <v>8</v>
      </c>
      <c r="W468">
        <v>0</v>
      </c>
      <c r="X468">
        <v>23</v>
      </c>
      <c r="Y468">
        <v>45</v>
      </c>
      <c r="Z468">
        <v>12</v>
      </c>
      <c r="AA468">
        <v>0</v>
      </c>
      <c r="AB468">
        <v>0</v>
      </c>
      <c r="AC468">
        <v>0</v>
      </c>
      <c r="AD468">
        <v>3</v>
      </c>
      <c r="AE468">
        <v>0</v>
      </c>
      <c r="AF468">
        <v>0</v>
      </c>
      <c r="AG468">
        <v>4</v>
      </c>
      <c r="AH468">
        <v>0</v>
      </c>
      <c r="AI468">
        <v>0</v>
      </c>
      <c r="AJ468">
        <v>0</v>
      </c>
      <c r="AK468">
        <v>1</v>
      </c>
      <c r="AL468">
        <v>0</v>
      </c>
      <c r="AM468">
        <v>0</v>
      </c>
      <c r="AN468">
        <v>1</v>
      </c>
      <c r="AT468">
        <v>0</v>
      </c>
      <c r="AU468">
        <v>11</v>
      </c>
      <c r="AV468">
        <v>266</v>
      </c>
      <c r="AW468">
        <v>266</v>
      </c>
      <c r="AX468">
        <v>422</v>
      </c>
      <c r="BA468">
        <v>1</v>
      </c>
      <c r="BC468" t="s">
        <v>1025</v>
      </c>
      <c r="BD468" s="4">
        <v>43283.284722222219</v>
      </c>
      <c r="BE468" s="4">
        <v>43283.314513888887</v>
      </c>
      <c r="BF468" s="4">
        <v>43283.314513888887</v>
      </c>
      <c r="BG468" t="s">
        <v>83</v>
      </c>
      <c r="BH468" t="s">
        <v>84</v>
      </c>
      <c r="BI468" t="s">
        <v>85</v>
      </c>
    </row>
    <row r="469" spans="1:61" x14ac:dyDescent="0.3">
      <c r="A469" t="str">
        <f>"200356C0100"</f>
        <v>200356C0100</v>
      </c>
      <c r="B469" t="s">
        <v>1026</v>
      </c>
      <c r="C469">
        <v>20</v>
      </c>
      <c r="D469" t="s">
        <v>79</v>
      </c>
      <c r="E469">
        <v>3</v>
      </c>
      <c r="F469" t="s">
        <v>915</v>
      </c>
      <c r="G469">
        <v>356</v>
      </c>
      <c r="H469">
        <v>1</v>
      </c>
      <c r="I469" t="s">
        <v>89</v>
      </c>
      <c r="J469">
        <v>0</v>
      </c>
      <c r="K469">
        <v>1</v>
      </c>
      <c r="L469">
        <v>2</v>
      </c>
      <c r="M469">
        <v>164</v>
      </c>
      <c r="N469">
        <v>279</v>
      </c>
      <c r="O469">
        <v>4</v>
      </c>
      <c r="P469">
        <v>278</v>
      </c>
      <c r="Q469">
        <v>9</v>
      </c>
      <c r="R469">
        <v>58</v>
      </c>
      <c r="S469">
        <v>89</v>
      </c>
      <c r="T469">
        <v>4</v>
      </c>
      <c r="U469">
        <v>8</v>
      </c>
      <c r="V469">
        <v>6</v>
      </c>
      <c r="W469">
        <v>2</v>
      </c>
      <c r="X469">
        <v>18</v>
      </c>
      <c r="Y469">
        <v>47</v>
      </c>
      <c r="Z469">
        <v>13</v>
      </c>
      <c r="AA469">
        <v>0</v>
      </c>
      <c r="AB469">
        <v>1</v>
      </c>
      <c r="AC469">
        <v>2</v>
      </c>
      <c r="AD469">
        <v>1</v>
      </c>
      <c r="AE469">
        <v>0</v>
      </c>
      <c r="AF469">
        <v>0</v>
      </c>
      <c r="AG469">
        <v>4</v>
      </c>
      <c r="AH469">
        <v>1</v>
      </c>
      <c r="AI469">
        <v>1</v>
      </c>
      <c r="AJ469">
        <v>0</v>
      </c>
      <c r="AK469">
        <v>3</v>
      </c>
      <c r="AL469">
        <v>1</v>
      </c>
      <c r="AM469">
        <v>0</v>
      </c>
      <c r="AN469">
        <v>0</v>
      </c>
      <c r="AT469">
        <v>0</v>
      </c>
      <c r="AU469">
        <v>10</v>
      </c>
      <c r="AV469">
        <v>278</v>
      </c>
      <c r="AW469">
        <v>278</v>
      </c>
      <c r="AX469">
        <v>421</v>
      </c>
      <c r="BA469">
        <v>1</v>
      </c>
      <c r="BC469" t="s">
        <v>1027</v>
      </c>
      <c r="BD469" s="4">
        <v>43283.283333333333</v>
      </c>
      <c r="BE469" s="4">
        <v>43283.310925925929</v>
      </c>
      <c r="BF469" s="4">
        <v>43283.310925925929</v>
      </c>
      <c r="BG469" t="s">
        <v>83</v>
      </c>
      <c r="BH469" t="s">
        <v>84</v>
      </c>
      <c r="BI469" t="s">
        <v>85</v>
      </c>
    </row>
    <row r="470" spans="1:61" x14ac:dyDescent="0.3">
      <c r="A470" t="str">
        <f>"200357B0100"</f>
        <v>200357B0100</v>
      </c>
      <c r="B470" t="s">
        <v>1028</v>
      </c>
      <c r="C470">
        <v>20</v>
      </c>
      <c r="D470" t="s">
        <v>79</v>
      </c>
      <c r="E470">
        <v>3</v>
      </c>
      <c r="F470" t="s">
        <v>915</v>
      </c>
      <c r="G470">
        <v>357</v>
      </c>
      <c r="H470">
        <v>1</v>
      </c>
      <c r="I470" t="s">
        <v>81</v>
      </c>
      <c r="J470">
        <v>0</v>
      </c>
      <c r="K470">
        <v>2</v>
      </c>
      <c r="L470">
        <v>2</v>
      </c>
      <c r="M470">
        <v>226</v>
      </c>
      <c r="N470">
        <v>454</v>
      </c>
      <c r="O470">
        <v>22</v>
      </c>
      <c r="P470">
        <v>0</v>
      </c>
      <c r="Q470" t="s">
        <v>100</v>
      </c>
      <c r="R470">
        <v>70</v>
      </c>
      <c r="S470">
        <v>94</v>
      </c>
      <c r="T470">
        <v>13</v>
      </c>
      <c r="U470">
        <v>16</v>
      </c>
      <c r="V470">
        <v>2</v>
      </c>
      <c r="W470">
        <v>0</v>
      </c>
      <c r="X470">
        <v>13</v>
      </c>
      <c r="Y470">
        <v>88</v>
      </c>
      <c r="Z470">
        <v>82</v>
      </c>
      <c r="AA470">
        <v>1</v>
      </c>
      <c r="AB470">
        <v>1</v>
      </c>
      <c r="AC470">
        <v>0</v>
      </c>
      <c r="AD470">
        <v>1</v>
      </c>
      <c r="AE470">
        <v>0</v>
      </c>
      <c r="AF470">
        <v>2</v>
      </c>
      <c r="AG470">
        <v>1</v>
      </c>
      <c r="AH470">
        <v>1</v>
      </c>
      <c r="AI470">
        <v>0</v>
      </c>
      <c r="AJ470">
        <v>0</v>
      </c>
      <c r="AK470">
        <v>1</v>
      </c>
      <c r="AL470">
        <v>1</v>
      </c>
      <c r="AM470">
        <v>0</v>
      </c>
      <c r="AN470">
        <v>8</v>
      </c>
      <c r="AT470">
        <v>0</v>
      </c>
      <c r="AU470">
        <v>29</v>
      </c>
      <c r="AV470">
        <v>432</v>
      </c>
      <c r="AW470">
        <v>424</v>
      </c>
      <c r="AX470">
        <v>637</v>
      </c>
      <c r="AZ470" t="s">
        <v>101</v>
      </c>
      <c r="BA470">
        <v>1</v>
      </c>
      <c r="BC470" t="s">
        <v>1029</v>
      </c>
      <c r="BD470" s="4">
        <v>43283.256944444445</v>
      </c>
      <c r="BE470" s="4">
        <v>43283.282997685186</v>
      </c>
      <c r="BF470" s="4">
        <v>43283.282997685186</v>
      </c>
      <c r="BG470" t="s">
        <v>83</v>
      </c>
      <c r="BH470" t="s">
        <v>84</v>
      </c>
      <c r="BI470" t="s">
        <v>85</v>
      </c>
    </row>
    <row r="471" spans="1:61" x14ac:dyDescent="0.3">
      <c r="A471" t="str">
        <f>"200357E0100"</f>
        <v>200357E0100</v>
      </c>
      <c r="B471" s="2" t="s">
        <v>1030</v>
      </c>
      <c r="C471">
        <v>20</v>
      </c>
      <c r="D471" t="s">
        <v>79</v>
      </c>
      <c r="E471">
        <v>3</v>
      </c>
      <c r="F471" t="s">
        <v>915</v>
      </c>
      <c r="G471">
        <v>357</v>
      </c>
      <c r="H471">
        <v>1</v>
      </c>
      <c r="I471" t="s">
        <v>145</v>
      </c>
      <c r="J471">
        <v>0</v>
      </c>
      <c r="K471">
        <v>2</v>
      </c>
      <c r="L471">
        <v>2</v>
      </c>
      <c r="M471">
        <v>158</v>
      </c>
      <c r="N471">
        <v>269</v>
      </c>
      <c r="O471">
        <v>7</v>
      </c>
      <c r="P471">
        <v>0</v>
      </c>
      <c r="Q471">
        <v>5</v>
      </c>
      <c r="R471">
        <v>15</v>
      </c>
      <c r="S471">
        <v>47</v>
      </c>
      <c r="T471">
        <v>2</v>
      </c>
      <c r="U471">
        <v>19</v>
      </c>
      <c r="V471">
        <v>6</v>
      </c>
      <c r="W471">
        <v>0</v>
      </c>
      <c r="X471">
        <v>19</v>
      </c>
      <c r="Y471">
        <v>53</v>
      </c>
      <c r="Z471">
        <v>85</v>
      </c>
      <c r="AA471">
        <v>0</v>
      </c>
      <c r="AB471">
        <v>0</v>
      </c>
      <c r="AC471" t="s">
        <v>100</v>
      </c>
      <c r="AD471" t="s">
        <v>100</v>
      </c>
      <c r="AE471" t="s">
        <v>100</v>
      </c>
      <c r="AF471" t="s">
        <v>100</v>
      </c>
      <c r="AG471" t="s">
        <v>100</v>
      </c>
      <c r="AH471" t="s">
        <v>100</v>
      </c>
      <c r="AI471" t="s">
        <v>100</v>
      </c>
      <c r="AJ471" t="s">
        <v>100</v>
      </c>
      <c r="AK471" t="s">
        <v>100</v>
      </c>
      <c r="AL471" t="s">
        <v>100</v>
      </c>
      <c r="AM471" t="s">
        <v>100</v>
      </c>
      <c r="AN471" t="s">
        <v>100</v>
      </c>
      <c r="AT471" t="s">
        <v>100</v>
      </c>
      <c r="AU471">
        <v>11</v>
      </c>
      <c r="AV471">
        <v>262</v>
      </c>
      <c r="AW471">
        <v>262</v>
      </c>
      <c r="AX471">
        <v>398</v>
      </c>
      <c r="AZ471" t="s">
        <v>101</v>
      </c>
      <c r="BA471">
        <v>1</v>
      </c>
      <c r="BC471" t="s">
        <v>1031</v>
      </c>
      <c r="BD471" s="4">
        <v>43283.261111111111</v>
      </c>
      <c r="BE471" s="4">
        <v>43283.28769675926</v>
      </c>
      <c r="BF471" s="4">
        <v>43283.28769675926</v>
      </c>
      <c r="BG471" t="s">
        <v>83</v>
      </c>
      <c r="BH471" t="s">
        <v>84</v>
      </c>
      <c r="BI471" t="s">
        <v>85</v>
      </c>
    </row>
    <row r="472" spans="1:61" x14ac:dyDescent="0.3">
      <c r="A472" t="str">
        <f>"200358B0100"</f>
        <v>200358B0100</v>
      </c>
      <c r="B472" t="s">
        <v>1032</v>
      </c>
      <c r="C472">
        <v>20</v>
      </c>
      <c r="D472" t="s">
        <v>79</v>
      </c>
      <c r="E472">
        <v>3</v>
      </c>
      <c r="F472" t="s">
        <v>915</v>
      </c>
      <c r="G472">
        <v>358</v>
      </c>
      <c r="H472">
        <v>1</v>
      </c>
      <c r="I472" t="s">
        <v>81</v>
      </c>
      <c r="J472">
        <v>0</v>
      </c>
      <c r="K472">
        <v>2</v>
      </c>
      <c r="L472">
        <v>2</v>
      </c>
      <c r="M472">
        <v>170</v>
      </c>
      <c r="N472">
        <v>295</v>
      </c>
      <c r="O472">
        <v>0</v>
      </c>
      <c r="P472">
        <v>295</v>
      </c>
      <c r="Q472">
        <v>5</v>
      </c>
      <c r="R472">
        <v>43</v>
      </c>
      <c r="S472">
        <v>103</v>
      </c>
      <c r="T472">
        <v>3</v>
      </c>
      <c r="U472">
        <v>11</v>
      </c>
      <c r="V472">
        <v>6</v>
      </c>
      <c r="W472">
        <v>1</v>
      </c>
      <c r="X472">
        <v>5</v>
      </c>
      <c r="Y472">
        <v>81</v>
      </c>
      <c r="Z472">
        <v>8</v>
      </c>
      <c r="AA472">
        <v>2</v>
      </c>
      <c r="AB472">
        <v>1</v>
      </c>
      <c r="AC472">
        <v>2</v>
      </c>
      <c r="AD472">
        <v>2</v>
      </c>
      <c r="AE472">
        <v>0</v>
      </c>
      <c r="AF472">
        <v>0</v>
      </c>
      <c r="AG472">
        <v>2</v>
      </c>
      <c r="AH472">
        <v>0</v>
      </c>
      <c r="AI472">
        <v>0</v>
      </c>
      <c r="AJ472">
        <v>0</v>
      </c>
      <c r="AK472">
        <v>2</v>
      </c>
      <c r="AL472">
        <v>0</v>
      </c>
      <c r="AM472">
        <v>0</v>
      </c>
      <c r="AN472">
        <v>0</v>
      </c>
      <c r="AT472">
        <v>0</v>
      </c>
      <c r="AU472">
        <v>19</v>
      </c>
      <c r="AV472">
        <v>295</v>
      </c>
      <c r="AW472">
        <v>296</v>
      </c>
      <c r="AX472">
        <v>443</v>
      </c>
      <c r="BA472">
        <v>1</v>
      </c>
      <c r="BC472" t="s">
        <v>1033</v>
      </c>
      <c r="BD472" s="4">
        <v>43283.154861111114</v>
      </c>
      <c r="BE472" s="4">
        <v>43283.163888888892</v>
      </c>
      <c r="BF472" s="4">
        <v>43283.163888888892</v>
      </c>
      <c r="BG472" t="s">
        <v>373</v>
      </c>
      <c r="BH472" t="s">
        <v>374</v>
      </c>
      <c r="BI472" t="s">
        <v>85</v>
      </c>
    </row>
    <row r="473" spans="1:61" x14ac:dyDescent="0.3">
      <c r="A473" t="str">
        <f>"200359B0100"</f>
        <v>200359B0100</v>
      </c>
      <c r="B473" t="s">
        <v>1034</v>
      </c>
      <c r="C473">
        <v>20</v>
      </c>
      <c r="D473" t="s">
        <v>79</v>
      </c>
      <c r="E473">
        <v>3</v>
      </c>
      <c r="F473" t="s">
        <v>915</v>
      </c>
      <c r="G473">
        <v>359</v>
      </c>
      <c r="H473">
        <v>1</v>
      </c>
      <c r="I473" t="s">
        <v>81</v>
      </c>
      <c r="J473">
        <v>0</v>
      </c>
      <c r="K473">
        <v>2</v>
      </c>
      <c r="L473">
        <v>2</v>
      </c>
      <c r="M473">
        <v>115</v>
      </c>
      <c r="N473">
        <v>298</v>
      </c>
      <c r="O473">
        <v>1</v>
      </c>
      <c r="P473">
        <v>298</v>
      </c>
      <c r="Q473">
        <v>10</v>
      </c>
      <c r="R473">
        <v>68</v>
      </c>
      <c r="S473">
        <v>85</v>
      </c>
      <c r="T473">
        <v>7</v>
      </c>
      <c r="U473">
        <v>26</v>
      </c>
      <c r="V473">
        <v>8</v>
      </c>
      <c r="W473">
        <v>0</v>
      </c>
      <c r="X473">
        <v>18</v>
      </c>
      <c r="Y473">
        <v>47</v>
      </c>
      <c r="Z473">
        <v>4</v>
      </c>
      <c r="AA473">
        <v>0</v>
      </c>
      <c r="AB473">
        <v>1</v>
      </c>
      <c r="AC473">
        <v>3</v>
      </c>
      <c r="AD473">
        <v>0</v>
      </c>
      <c r="AE473">
        <v>0</v>
      </c>
      <c r="AF473">
        <v>0</v>
      </c>
      <c r="AG473">
        <v>4</v>
      </c>
      <c r="AH473">
        <v>3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T473" t="s">
        <v>100</v>
      </c>
      <c r="AU473">
        <v>14</v>
      </c>
      <c r="AV473">
        <v>298</v>
      </c>
      <c r="AW473">
        <v>298</v>
      </c>
      <c r="AX473">
        <v>391</v>
      </c>
      <c r="AZ473" t="s">
        <v>101</v>
      </c>
      <c r="BA473">
        <v>1</v>
      </c>
      <c r="BC473" t="s">
        <v>1035</v>
      </c>
      <c r="BD473" s="4">
        <v>43283.154826388891</v>
      </c>
      <c r="BE473" s="4">
        <v>43283.167349537034</v>
      </c>
      <c r="BF473" s="4">
        <v>43283.167349537034</v>
      </c>
      <c r="BG473" t="s">
        <v>373</v>
      </c>
      <c r="BH473" t="s">
        <v>374</v>
      </c>
      <c r="BI473" t="s">
        <v>85</v>
      </c>
    </row>
    <row r="474" spans="1:61" x14ac:dyDescent="0.3">
      <c r="A474" t="str">
        <f>"200359C0100"</f>
        <v>200359C0100</v>
      </c>
      <c r="B474" t="s">
        <v>1036</v>
      </c>
      <c r="C474">
        <v>20</v>
      </c>
      <c r="D474" t="s">
        <v>79</v>
      </c>
      <c r="E474">
        <v>3</v>
      </c>
      <c r="F474" t="s">
        <v>915</v>
      </c>
      <c r="G474">
        <v>359</v>
      </c>
      <c r="H474">
        <v>1</v>
      </c>
      <c r="I474" t="s">
        <v>89</v>
      </c>
      <c r="J474">
        <v>0</v>
      </c>
      <c r="K474">
        <v>2</v>
      </c>
      <c r="L474">
        <v>2</v>
      </c>
      <c r="M474">
        <v>123</v>
      </c>
      <c r="N474">
        <v>290</v>
      </c>
      <c r="O474">
        <v>0</v>
      </c>
      <c r="P474">
        <v>290</v>
      </c>
      <c r="Q474">
        <v>6</v>
      </c>
      <c r="R474">
        <v>63</v>
      </c>
      <c r="S474">
        <v>102</v>
      </c>
      <c r="T474">
        <v>16</v>
      </c>
      <c r="U474">
        <v>17</v>
      </c>
      <c r="V474">
        <v>4</v>
      </c>
      <c r="W474">
        <v>0</v>
      </c>
      <c r="X474">
        <v>6</v>
      </c>
      <c r="Y474">
        <v>36</v>
      </c>
      <c r="Z474">
        <v>7</v>
      </c>
      <c r="AA474">
        <v>1</v>
      </c>
      <c r="AB474">
        <v>0</v>
      </c>
      <c r="AC474">
        <v>4</v>
      </c>
      <c r="AD474">
        <v>2</v>
      </c>
      <c r="AE474">
        <v>0</v>
      </c>
      <c r="AF474">
        <v>0</v>
      </c>
      <c r="AG474">
        <v>6</v>
      </c>
      <c r="AH474">
        <v>1</v>
      </c>
      <c r="AI474">
        <v>3</v>
      </c>
      <c r="AJ474">
        <v>0</v>
      </c>
      <c r="AK474">
        <v>1</v>
      </c>
      <c r="AL474">
        <v>1</v>
      </c>
      <c r="AM474">
        <v>1</v>
      </c>
      <c r="AN474">
        <v>0</v>
      </c>
      <c r="AT474">
        <v>0</v>
      </c>
      <c r="AU474">
        <v>13</v>
      </c>
      <c r="AV474">
        <v>290</v>
      </c>
      <c r="AW474">
        <v>290</v>
      </c>
      <c r="AX474">
        <v>391</v>
      </c>
      <c r="BA474">
        <v>1</v>
      </c>
      <c r="BC474" t="s">
        <v>1037</v>
      </c>
      <c r="BD474" s="4">
        <v>43283.154872685183</v>
      </c>
      <c r="BE474" s="4">
        <v>43283.164074074077</v>
      </c>
      <c r="BF474" s="4">
        <v>43283.164074074077</v>
      </c>
      <c r="BG474" t="s">
        <v>373</v>
      </c>
      <c r="BH474" t="s">
        <v>374</v>
      </c>
      <c r="BI474" t="s">
        <v>85</v>
      </c>
    </row>
    <row r="475" spans="1:61" x14ac:dyDescent="0.3">
      <c r="A475" t="str">
        <f>"200360B0100"</f>
        <v>200360B0100</v>
      </c>
      <c r="B475" t="s">
        <v>1038</v>
      </c>
      <c r="C475">
        <v>20</v>
      </c>
      <c r="D475" t="s">
        <v>79</v>
      </c>
      <c r="E475">
        <v>3</v>
      </c>
      <c r="F475" t="s">
        <v>915</v>
      </c>
      <c r="G475">
        <v>360</v>
      </c>
      <c r="H475">
        <v>1</v>
      </c>
      <c r="I475" t="s">
        <v>81</v>
      </c>
      <c r="J475">
        <v>0</v>
      </c>
      <c r="K475">
        <v>2</v>
      </c>
      <c r="L475">
        <v>2</v>
      </c>
      <c r="M475">
        <v>229</v>
      </c>
      <c r="N475">
        <v>493</v>
      </c>
      <c r="O475">
        <v>2</v>
      </c>
      <c r="P475">
        <v>493</v>
      </c>
      <c r="Q475">
        <v>7</v>
      </c>
      <c r="R475">
        <v>91</v>
      </c>
      <c r="S475">
        <v>152</v>
      </c>
      <c r="T475">
        <v>12</v>
      </c>
      <c r="U475">
        <v>14</v>
      </c>
      <c r="V475">
        <v>8</v>
      </c>
      <c r="W475">
        <v>5</v>
      </c>
      <c r="X475">
        <v>23</v>
      </c>
      <c r="Y475">
        <v>131</v>
      </c>
      <c r="Z475">
        <v>7</v>
      </c>
      <c r="AA475">
        <v>2</v>
      </c>
      <c r="AB475">
        <v>3</v>
      </c>
      <c r="AC475">
        <v>2</v>
      </c>
      <c r="AD475">
        <v>1</v>
      </c>
      <c r="AE475">
        <v>1</v>
      </c>
      <c r="AF475">
        <v>0</v>
      </c>
      <c r="AG475">
        <v>4</v>
      </c>
      <c r="AH475">
        <v>0</v>
      </c>
      <c r="AI475">
        <v>2</v>
      </c>
      <c r="AJ475">
        <v>0</v>
      </c>
      <c r="AK475">
        <v>5</v>
      </c>
      <c r="AL475">
        <v>2</v>
      </c>
      <c r="AM475">
        <v>0</v>
      </c>
      <c r="AN475">
        <v>19</v>
      </c>
      <c r="AT475">
        <v>2</v>
      </c>
      <c r="AU475">
        <v>0</v>
      </c>
      <c r="AV475">
        <v>493</v>
      </c>
      <c r="AW475">
        <v>493</v>
      </c>
      <c r="AX475">
        <v>702</v>
      </c>
      <c r="BA475">
        <v>1</v>
      </c>
      <c r="BC475" t="s">
        <v>1039</v>
      </c>
      <c r="BD475" s="4">
        <v>43283.154849537037</v>
      </c>
      <c r="BE475" s="4">
        <v>43283.177083333336</v>
      </c>
      <c r="BF475" s="4">
        <v>43283.177083333336</v>
      </c>
      <c r="BG475" t="s">
        <v>373</v>
      </c>
      <c r="BH475" t="s">
        <v>374</v>
      </c>
      <c r="BI475" t="s">
        <v>85</v>
      </c>
    </row>
    <row r="476" spans="1:61" x14ac:dyDescent="0.3">
      <c r="A476" t="str">
        <f>"200360C0100"</f>
        <v>200360C0100</v>
      </c>
      <c r="B476" t="s">
        <v>1040</v>
      </c>
      <c r="C476">
        <v>20</v>
      </c>
      <c r="D476" t="s">
        <v>79</v>
      </c>
      <c r="E476">
        <v>3</v>
      </c>
      <c r="F476" t="s">
        <v>915</v>
      </c>
      <c r="G476">
        <v>360</v>
      </c>
      <c r="H476">
        <v>1</v>
      </c>
      <c r="I476" t="s">
        <v>89</v>
      </c>
      <c r="J476">
        <v>0</v>
      </c>
      <c r="K476">
        <v>2</v>
      </c>
      <c r="L476">
        <v>2</v>
      </c>
      <c r="M476">
        <v>215</v>
      </c>
      <c r="N476">
        <v>508</v>
      </c>
      <c r="O476">
        <v>1</v>
      </c>
      <c r="P476">
        <v>508</v>
      </c>
      <c r="Q476">
        <v>9</v>
      </c>
      <c r="R476">
        <v>104</v>
      </c>
      <c r="S476">
        <v>166</v>
      </c>
      <c r="T476">
        <v>16</v>
      </c>
      <c r="U476">
        <v>27</v>
      </c>
      <c r="V476">
        <v>10</v>
      </c>
      <c r="W476">
        <v>2</v>
      </c>
      <c r="X476">
        <v>16</v>
      </c>
      <c r="Y476">
        <v>94</v>
      </c>
      <c r="Z476">
        <v>15</v>
      </c>
      <c r="AA476">
        <v>0</v>
      </c>
      <c r="AB476">
        <v>4</v>
      </c>
      <c r="AC476">
        <v>5</v>
      </c>
      <c r="AD476">
        <v>0</v>
      </c>
      <c r="AE476">
        <v>0</v>
      </c>
      <c r="AF476">
        <v>1</v>
      </c>
      <c r="AG476">
        <v>3</v>
      </c>
      <c r="AH476">
        <v>2</v>
      </c>
      <c r="AI476">
        <v>2</v>
      </c>
      <c r="AJ476">
        <v>0</v>
      </c>
      <c r="AK476">
        <v>3</v>
      </c>
      <c r="AL476">
        <v>0</v>
      </c>
      <c r="AM476">
        <v>0</v>
      </c>
      <c r="AN476">
        <v>2</v>
      </c>
      <c r="AT476">
        <v>0</v>
      </c>
      <c r="AU476">
        <v>26</v>
      </c>
      <c r="AV476">
        <v>507</v>
      </c>
      <c r="AW476">
        <v>507</v>
      </c>
      <c r="AX476">
        <v>702</v>
      </c>
      <c r="BA476">
        <v>1</v>
      </c>
      <c r="BC476" t="s">
        <v>1041</v>
      </c>
      <c r="BD476" s="4">
        <v>43283.154849537037</v>
      </c>
      <c r="BE476" s="4">
        <v>43283.164965277778</v>
      </c>
      <c r="BF476" s="4">
        <v>43283.164965277778</v>
      </c>
      <c r="BG476" t="s">
        <v>373</v>
      </c>
      <c r="BH476" t="s">
        <v>374</v>
      </c>
      <c r="BI476" t="s">
        <v>85</v>
      </c>
    </row>
    <row r="477" spans="1:61" x14ac:dyDescent="0.3">
      <c r="A477" t="str">
        <f>"200361B0100"</f>
        <v>200361B0100</v>
      </c>
      <c r="B477" t="s">
        <v>1042</v>
      </c>
      <c r="C477">
        <v>20</v>
      </c>
      <c r="D477" t="s">
        <v>79</v>
      </c>
      <c r="E477">
        <v>3</v>
      </c>
      <c r="F477" t="s">
        <v>915</v>
      </c>
      <c r="G477">
        <v>361</v>
      </c>
      <c r="H477">
        <v>1</v>
      </c>
      <c r="I477" t="s">
        <v>81</v>
      </c>
      <c r="J477">
        <v>0</v>
      </c>
      <c r="K477">
        <v>2</v>
      </c>
      <c r="L477">
        <v>2</v>
      </c>
      <c r="M477">
        <v>145</v>
      </c>
      <c r="N477">
        <v>282</v>
      </c>
      <c r="O477">
        <v>5</v>
      </c>
      <c r="P477">
        <v>282</v>
      </c>
      <c r="Q477">
        <v>5</v>
      </c>
      <c r="R477">
        <v>23</v>
      </c>
      <c r="S477">
        <v>125</v>
      </c>
      <c r="T477">
        <v>5</v>
      </c>
      <c r="U477">
        <v>13</v>
      </c>
      <c r="V477">
        <v>4</v>
      </c>
      <c r="W477">
        <v>0</v>
      </c>
      <c r="X477">
        <v>29</v>
      </c>
      <c r="Y477">
        <v>52</v>
      </c>
      <c r="Z477">
        <v>7</v>
      </c>
      <c r="AA477">
        <v>0</v>
      </c>
      <c r="AB477">
        <v>0</v>
      </c>
      <c r="AC477">
        <v>4</v>
      </c>
      <c r="AD477">
        <v>1</v>
      </c>
      <c r="AE477">
        <v>0</v>
      </c>
      <c r="AF477">
        <v>1</v>
      </c>
      <c r="AG477">
        <v>0</v>
      </c>
      <c r="AH477">
        <v>0</v>
      </c>
      <c r="AI477">
        <v>1</v>
      </c>
      <c r="AJ477">
        <v>0</v>
      </c>
      <c r="AK477">
        <v>0</v>
      </c>
      <c r="AL477">
        <v>0</v>
      </c>
      <c r="AM477">
        <v>1</v>
      </c>
      <c r="AN477">
        <v>1</v>
      </c>
      <c r="AT477">
        <v>1</v>
      </c>
      <c r="AU477">
        <v>10</v>
      </c>
      <c r="AV477">
        <v>282</v>
      </c>
      <c r="AW477">
        <v>283</v>
      </c>
      <c r="AX477">
        <v>405</v>
      </c>
      <c r="BA477">
        <v>1</v>
      </c>
      <c r="BC477" t="s">
        <v>1043</v>
      </c>
      <c r="BD477" s="4">
        <v>43283.165972222225</v>
      </c>
      <c r="BE477" s="4">
        <v>43283.181064814817</v>
      </c>
      <c r="BF477" s="4">
        <v>43283.181064814817</v>
      </c>
      <c r="BG477" t="s">
        <v>83</v>
      </c>
      <c r="BH477" t="s">
        <v>84</v>
      </c>
      <c r="BI477" t="s">
        <v>548</v>
      </c>
    </row>
    <row r="478" spans="1:61" x14ac:dyDescent="0.3">
      <c r="A478" t="str">
        <f>"200361E0100"</f>
        <v>200361E0100</v>
      </c>
      <c r="B478" s="2" t="s">
        <v>1044</v>
      </c>
      <c r="C478">
        <v>20</v>
      </c>
      <c r="D478" t="s">
        <v>79</v>
      </c>
      <c r="E478">
        <v>3</v>
      </c>
      <c r="F478" t="s">
        <v>915</v>
      </c>
      <c r="G478">
        <v>361</v>
      </c>
      <c r="H478">
        <v>1</v>
      </c>
      <c r="I478" t="s">
        <v>145</v>
      </c>
      <c r="J478">
        <v>0</v>
      </c>
      <c r="K478">
        <v>2</v>
      </c>
      <c r="L478">
        <v>2</v>
      </c>
      <c r="M478">
        <v>146</v>
      </c>
      <c r="N478">
        <v>210</v>
      </c>
      <c r="O478">
        <v>0</v>
      </c>
      <c r="P478">
        <v>211</v>
      </c>
      <c r="Q478">
        <v>14</v>
      </c>
      <c r="R478">
        <v>46</v>
      </c>
      <c r="S478">
        <v>46</v>
      </c>
      <c r="T478">
        <v>6</v>
      </c>
      <c r="U478">
        <v>10</v>
      </c>
      <c r="V478">
        <v>3</v>
      </c>
      <c r="W478">
        <v>2</v>
      </c>
      <c r="X478">
        <v>8</v>
      </c>
      <c r="Y478">
        <v>55</v>
      </c>
      <c r="Z478">
        <v>0</v>
      </c>
      <c r="AA478">
        <v>0</v>
      </c>
      <c r="AB478">
        <v>0</v>
      </c>
      <c r="AC478">
        <v>4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2</v>
      </c>
      <c r="AL478">
        <v>0</v>
      </c>
      <c r="AM478">
        <v>0</v>
      </c>
      <c r="AN478">
        <v>0</v>
      </c>
      <c r="AT478">
        <v>0</v>
      </c>
      <c r="AU478">
        <v>15</v>
      </c>
      <c r="AV478">
        <v>211</v>
      </c>
      <c r="AW478">
        <v>211</v>
      </c>
      <c r="AX478">
        <v>334</v>
      </c>
      <c r="BA478">
        <v>1</v>
      </c>
      <c r="BC478" t="s">
        <v>1045</v>
      </c>
      <c r="BD478" s="4">
        <v>43283.162499999999</v>
      </c>
      <c r="BE478" s="4">
        <v>43283.177083333336</v>
      </c>
      <c r="BF478" s="4">
        <v>43283.177083333336</v>
      </c>
      <c r="BG478" t="s">
        <v>83</v>
      </c>
      <c r="BH478" t="s">
        <v>84</v>
      </c>
      <c r="BI478" t="s">
        <v>85</v>
      </c>
    </row>
    <row r="479" spans="1:61" x14ac:dyDescent="0.3">
      <c r="A479" t="str">
        <f>"200362B0100"</f>
        <v>200362B0100</v>
      </c>
      <c r="B479" t="s">
        <v>1046</v>
      </c>
      <c r="C479">
        <v>20</v>
      </c>
      <c r="D479" t="s">
        <v>79</v>
      </c>
      <c r="E479">
        <v>3</v>
      </c>
      <c r="F479" t="s">
        <v>915</v>
      </c>
      <c r="G479">
        <v>362</v>
      </c>
      <c r="H479">
        <v>1</v>
      </c>
      <c r="I479" t="s">
        <v>81</v>
      </c>
      <c r="J479">
        <v>0</v>
      </c>
      <c r="K479">
        <v>2</v>
      </c>
      <c r="L479">
        <v>2</v>
      </c>
      <c r="AX479">
        <v>549</v>
      </c>
      <c r="AZ479" t="s">
        <v>156</v>
      </c>
      <c r="BA479">
        <v>0</v>
      </c>
      <c r="BC479" t="s">
        <v>1047</v>
      </c>
      <c r="BD479" s="4">
        <v>43283.774305555555</v>
      </c>
      <c r="BE479" s="4">
        <v>43283.780636574076</v>
      </c>
      <c r="BF479" s="4">
        <v>43283.780636574076</v>
      </c>
      <c r="BG479" t="s">
        <v>83</v>
      </c>
      <c r="BH479" t="s">
        <v>84</v>
      </c>
      <c r="BI479" t="s">
        <v>85</v>
      </c>
    </row>
    <row r="480" spans="1:61" x14ac:dyDescent="0.3">
      <c r="A480" t="str">
        <f>"200362E0100"</f>
        <v>200362E0100</v>
      </c>
      <c r="B480" s="2" t="s">
        <v>1048</v>
      </c>
      <c r="C480">
        <v>20</v>
      </c>
      <c r="D480" t="s">
        <v>79</v>
      </c>
      <c r="E480">
        <v>3</v>
      </c>
      <c r="F480" t="s">
        <v>915</v>
      </c>
      <c r="G480">
        <v>362</v>
      </c>
      <c r="H480">
        <v>1</v>
      </c>
      <c r="I480" t="s">
        <v>145</v>
      </c>
      <c r="J480">
        <v>0</v>
      </c>
      <c r="K480">
        <v>2</v>
      </c>
      <c r="L480">
        <v>2</v>
      </c>
      <c r="M480">
        <v>126</v>
      </c>
      <c r="N480">
        <v>216</v>
      </c>
      <c r="O480">
        <v>0</v>
      </c>
      <c r="P480">
        <v>206</v>
      </c>
      <c r="Q480">
        <v>8</v>
      </c>
      <c r="R480">
        <v>21</v>
      </c>
      <c r="S480">
        <v>59</v>
      </c>
      <c r="T480">
        <v>3</v>
      </c>
      <c r="U480">
        <v>14</v>
      </c>
      <c r="V480">
        <v>1</v>
      </c>
      <c r="W480">
        <v>1</v>
      </c>
      <c r="X480">
        <v>11</v>
      </c>
      <c r="Y480">
        <v>77</v>
      </c>
      <c r="Z480">
        <v>4</v>
      </c>
      <c r="AA480">
        <v>0</v>
      </c>
      <c r="AB480">
        <v>0</v>
      </c>
      <c r="AC480">
        <v>1</v>
      </c>
      <c r="AD480">
        <v>0</v>
      </c>
      <c r="AE480">
        <v>0</v>
      </c>
      <c r="AF480">
        <v>0</v>
      </c>
      <c r="AG480">
        <v>2</v>
      </c>
      <c r="AH480">
        <v>0</v>
      </c>
      <c r="AI480">
        <v>0</v>
      </c>
      <c r="AJ480">
        <v>0</v>
      </c>
      <c r="AK480">
        <v>3</v>
      </c>
      <c r="AL480">
        <v>0</v>
      </c>
      <c r="AM480">
        <v>0</v>
      </c>
      <c r="AN480">
        <v>1</v>
      </c>
      <c r="AT480" t="s">
        <v>100</v>
      </c>
      <c r="AU480">
        <v>10</v>
      </c>
      <c r="AV480">
        <v>216</v>
      </c>
      <c r="AW480">
        <v>216</v>
      </c>
      <c r="AX480">
        <v>320</v>
      </c>
      <c r="AZ480" t="s">
        <v>101</v>
      </c>
      <c r="BA480">
        <v>1</v>
      </c>
      <c r="BC480" t="s">
        <v>1049</v>
      </c>
      <c r="BD480" s="4">
        <v>43283.162499999999</v>
      </c>
      <c r="BE480" s="4">
        <v>43283.179039351853</v>
      </c>
      <c r="BF480" s="4">
        <v>43283.179039351853</v>
      </c>
      <c r="BG480" t="s">
        <v>83</v>
      </c>
      <c r="BH480" t="s">
        <v>84</v>
      </c>
      <c r="BI480" t="s">
        <v>85</v>
      </c>
    </row>
    <row r="481" spans="1:61" x14ac:dyDescent="0.3">
      <c r="A481" t="str">
        <f>"200363B0100"</f>
        <v>200363B0100</v>
      </c>
      <c r="B481" t="s">
        <v>1050</v>
      </c>
      <c r="C481">
        <v>20</v>
      </c>
      <c r="D481" t="s">
        <v>79</v>
      </c>
      <c r="E481">
        <v>3</v>
      </c>
      <c r="F481" t="s">
        <v>915</v>
      </c>
      <c r="G481">
        <v>363</v>
      </c>
      <c r="H481">
        <v>1</v>
      </c>
      <c r="I481" t="s">
        <v>81</v>
      </c>
      <c r="J481">
        <v>0</v>
      </c>
      <c r="K481">
        <v>2</v>
      </c>
      <c r="L481">
        <v>2</v>
      </c>
      <c r="M481">
        <v>188</v>
      </c>
      <c r="N481">
        <v>384</v>
      </c>
      <c r="O481">
        <v>0</v>
      </c>
      <c r="P481">
        <v>384</v>
      </c>
      <c r="Q481">
        <v>10</v>
      </c>
      <c r="R481">
        <v>61</v>
      </c>
      <c r="S481">
        <v>180</v>
      </c>
      <c r="T481">
        <v>11</v>
      </c>
      <c r="U481">
        <v>3</v>
      </c>
      <c r="V481">
        <v>2</v>
      </c>
      <c r="W481">
        <v>0</v>
      </c>
      <c r="X481">
        <v>17</v>
      </c>
      <c r="Y481">
        <v>73</v>
      </c>
      <c r="Z481">
        <v>2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7</v>
      </c>
      <c r="AH481">
        <v>1</v>
      </c>
      <c r="AI481">
        <v>1</v>
      </c>
      <c r="AJ481">
        <v>0</v>
      </c>
      <c r="AK481">
        <v>0</v>
      </c>
      <c r="AL481">
        <v>0</v>
      </c>
      <c r="AM481">
        <v>0</v>
      </c>
      <c r="AN481">
        <v>0</v>
      </c>
      <c r="AT481">
        <v>0</v>
      </c>
      <c r="AU481">
        <v>16</v>
      </c>
      <c r="AV481">
        <v>384</v>
      </c>
      <c r="AW481">
        <v>384</v>
      </c>
      <c r="AX481">
        <v>550</v>
      </c>
      <c r="BA481">
        <v>1</v>
      </c>
      <c r="BC481" t="s">
        <v>1051</v>
      </c>
      <c r="BD481" s="4">
        <v>43283.274305555555</v>
      </c>
      <c r="BE481" s="4">
        <v>43283.323125000003</v>
      </c>
      <c r="BF481" s="4">
        <v>43283.323125000003</v>
      </c>
      <c r="BG481" t="s">
        <v>83</v>
      </c>
      <c r="BH481" t="s">
        <v>84</v>
      </c>
      <c r="BI481" t="s">
        <v>85</v>
      </c>
    </row>
    <row r="482" spans="1:61" x14ac:dyDescent="0.3">
      <c r="A482" t="str">
        <f>"200364B0100"</f>
        <v>200364B0100</v>
      </c>
      <c r="B482" t="s">
        <v>1052</v>
      </c>
      <c r="C482">
        <v>20</v>
      </c>
      <c r="D482" t="s">
        <v>79</v>
      </c>
      <c r="E482">
        <v>3</v>
      </c>
      <c r="F482" t="s">
        <v>915</v>
      </c>
      <c r="G482">
        <v>364</v>
      </c>
      <c r="H482">
        <v>1</v>
      </c>
      <c r="I482" t="s">
        <v>81</v>
      </c>
      <c r="J482">
        <v>0</v>
      </c>
      <c r="K482">
        <v>2</v>
      </c>
      <c r="L482">
        <v>2</v>
      </c>
      <c r="AX482">
        <v>319</v>
      </c>
      <c r="AZ482" t="s">
        <v>932</v>
      </c>
      <c r="BA482">
        <v>0</v>
      </c>
      <c r="BC482" t="s">
        <v>1053</v>
      </c>
      <c r="BD482" s="4">
        <v>43283.774305555555</v>
      </c>
      <c r="BE482" s="4">
        <v>43283.781076388892</v>
      </c>
      <c r="BF482" s="4">
        <v>43283.781076388892</v>
      </c>
      <c r="BG482" t="s">
        <v>83</v>
      </c>
      <c r="BH482" t="s">
        <v>84</v>
      </c>
      <c r="BI482" t="s">
        <v>85</v>
      </c>
    </row>
    <row r="483" spans="1:61" x14ac:dyDescent="0.3">
      <c r="A483" t="str">
        <f>"200851B0100"</f>
        <v>200851B0100</v>
      </c>
      <c r="B483" t="s">
        <v>1054</v>
      </c>
      <c r="C483">
        <v>20</v>
      </c>
      <c r="D483" t="s">
        <v>79</v>
      </c>
      <c r="E483">
        <v>3</v>
      </c>
      <c r="F483" t="s">
        <v>915</v>
      </c>
      <c r="G483">
        <v>851</v>
      </c>
      <c r="H483">
        <v>1</v>
      </c>
      <c r="I483" t="s">
        <v>81</v>
      </c>
      <c r="J483">
        <v>0</v>
      </c>
      <c r="K483">
        <v>1</v>
      </c>
      <c r="L483">
        <v>2</v>
      </c>
      <c r="M483">
        <v>89</v>
      </c>
      <c r="N483">
        <v>445</v>
      </c>
      <c r="O483">
        <v>4</v>
      </c>
      <c r="P483">
        <v>445</v>
      </c>
      <c r="Q483">
        <v>2</v>
      </c>
      <c r="R483">
        <v>108</v>
      </c>
      <c r="S483">
        <v>54</v>
      </c>
      <c r="T483">
        <v>16</v>
      </c>
      <c r="U483">
        <v>4</v>
      </c>
      <c r="V483">
        <v>4</v>
      </c>
      <c r="W483">
        <v>2</v>
      </c>
      <c r="X483">
        <v>1</v>
      </c>
      <c r="Y483">
        <v>233</v>
      </c>
      <c r="Z483">
        <v>2</v>
      </c>
      <c r="AA483">
        <v>7</v>
      </c>
      <c r="AB483">
        <v>2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1</v>
      </c>
      <c r="AL483">
        <v>1</v>
      </c>
      <c r="AM483">
        <v>0</v>
      </c>
      <c r="AN483">
        <v>0</v>
      </c>
      <c r="AT483">
        <v>0</v>
      </c>
      <c r="AU483">
        <v>8</v>
      </c>
      <c r="AV483">
        <v>445</v>
      </c>
      <c r="AW483">
        <v>445</v>
      </c>
      <c r="AX483">
        <v>512</v>
      </c>
      <c r="BA483">
        <v>1</v>
      </c>
      <c r="BC483" t="s">
        <v>1055</v>
      </c>
      <c r="BD483" s="4">
        <v>43283.702777777777</v>
      </c>
      <c r="BE483" s="4">
        <v>43283.707245370373</v>
      </c>
      <c r="BF483" s="4">
        <v>43283.707245370373</v>
      </c>
      <c r="BG483" t="s">
        <v>83</v>
      </c>
      <c r="BH483" t="s">
        <v>84</v>
      </c>
      <c r="BI483" t="s">
        <v>85</v>
      </c>
    </row>
    <row r="484" spans="1:61" x14ac:dyDescent="0.3">
      <c r="A484" t="str">
        <f>"200851C0100"</f>
        <v>200851C0100</v>
      </c>
      <c r="B484" t="s">
        <v>1056</v>
      </c>
      <c r="C484">
        <v>20</v>
      </c>
      <c r="D484" t="s">
        <v>79</v>
      </c>
      <c r="E484">
        <v>3</v>
      </c>
      <c r="F484" t="s">
        <v>915</v>
      </c>
      <c r="G484">
        <v>851</v>
      </c>
      <c r="H484">
        <v>1</v>
      </c>
      <c r="I484" t="s">
        <v>89</v>
      </c>
      <c r="J484">
        <v>0</v>
      </c>
      <c r="K484">
        <v>2</v>
      </c>
      <c r="L484">
        <v>2</v>
      </c>
      <c r="M484">
        <v>106</v>
      </c>
      <c r="N484">
        <v>428</v>
      </c>
      <c r="O484">
        <v>3</v>
      </c>
      <c r="P484">
        <v>428</v>
      </c>
      <c r="Q484">
        <v>2</v>
      </c>
      <c r="R484">
        <v>121</v>
      </c>
      <c r="S484">
        <v>68</v>
      </c>
      <c r="T484">
        <v>2</v>
      </c>
      <c r="U484">
        <v>5</v>
      </c>
      <c r="V484">
        <v>3</v>
      </c>
      <c r="W484">
        <v>2</v>
      </c>
      <c r="X484">
        <v>3</v>
      </c>
      <c r="Y484">
        <v>197</v>
      </c>
      <c r="Z484">
        <v>7</v>
      </c>
      <c r="AA484">
        <v>1</v>
      </c>
      <c r="AB484">
        <v>1</v>
      </c>
      <c r="AC484">
        <v>0</v>
      </c>
      <c r="AD484">
        <v>1</v>
      </c>
      <c r="AE484">
        <v>0</v>
      </c>
      <c r="AF484">
        <v>1</v>
      </c>
      <c r="AG484">
        <v>0</v>
      </c>
      <c r="AH484">
        <v>0</v>
      </c>
      <c r="AI484">
        <v>0</v>
      </c>
      <c r="AJ484">
        <v>0</v>
      </c>
      <c r="AK484">
        <v>1</v>
      </c>
      <c r="AL484">
        <v>0</v>
      </c>
      <c r="AM484">
        <v>0</v>
      </c>
      <c r="AN484">
        <v>0</v>
      </c>
      <c r="AT484" t="s">
        <v>100</v>
      </c>
      <c r="AU484">
        <v>13</v>
      </c>
      <c r="AV484">
        <v>428</v>
      </c>
      <c r="AW484">
        <v>428</v>
      </c>
      <c r="AX484">
        <v>512</v>
      </c>
      <c r="AZ484" t="s">
        <v>101</v>
      </c>
      <c r="BA484">
        <v>1</v>
      </c>
      <c r="BC484" t="s">
        <v>1057</v>
      </c>
      <c r="BD484" s="4">
        <v>43283.700694444444</v>
      </c>
      <c r="BE484" s="4">
        <v>43283.705439814818</v>
      </c>
      <c r="BF484" s="4">
        <v>43283.705439814818</v>
      </c>
      <c r="BG484" t="s">
        <v>83</v>
      </c>
      <c r="BH484" t="s">
        <v>84</v>
      </c>
      <c r="BI484" t="s">
        <v>85</v>
      </c>
    </row>
    <row r="485" spans="1:61" x14ac:dyDescent="0.3">
      <c r="A485" t="str">
        <f>"200851C0200"</f>
        <v>200851C0200</v>
      </c>
      <c r="B485" t="s">
        <v>1058</v>
      </c>
      <c r="C485">
        <v>20</v>
      </c>
      <c r="D485" t="s">
        <v>79</v>
      </c>
      <c r="E485">
        <v>3</v>
      </c>
      <c r="F485" t="s">
        <v>915</v>
      </c>
      <c r="G485">
        <v>851</v>
      </c>
      <c r="H485">
        <v>2</v>
      </c>
      <c r="I485" t="s">
        <v>89</v>
      </c>
      <c r="J485">
        <v>0</v>
      </c>
      <c r="K485">
        <v>2</v>
      </c>
      <c r="L485">
        <v>2</v>
      </c>
      <c r="M485">
        <v>93</v>
      </c>
      <c r="N485">
        <v>441</v>
      </c>
      <c r="O485">
        <v>2</v>
      </c>
      <c r="P485">
        <v>441</v>
      </c>
      <c r="Q485">
        <v>2</v>
      </c>
      <c r="R485">
        <v>103</v>
      </c>
      <c r="S485">
        <v>61</v>
      </c>
      <c r="T485">
        <v>2</v>
      </c>
      <c r="U485">
        <v>7</v>
      </c>
      <c r="V485">
        <v>1</v>
      </c>
      <c r="W485">
        <v>5</v>
      </c>
      <c r="X485">
        <v>1</v>
      </c>
      <c r="Y485">
        <v>240</v>
      </c>
      <c r="Z485">
        <v>1</v>
      </c>
      <c r="AA485">
        <v>0</v>
      </c>
      <c r="AB485">
        <v>2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1</v>
      </c>
      <c r="AT485">
        <v>0</v>
      </c>
      <c r="AU485">
        <v>13</v>
      </c>
      <c r="AV485">
        <v>441</v>
      </c>
      <c r="AW485">
        <v>439</v>
      </c>
      <c r="AX485">
        <v>512</v>
      </c>
      <c r="BA485">
        <v>1</v>
      </c>
      <c r="BC485" t="s">
        <v>1059</v>
      </c>
      <c r="BD485" s="4">
        <v>43283.7</v>
      </c>
      <c r="BE485" s="4">
        <v>43283.704432870371</v>
      </c>
      <c r="BF485" s="4">
        <v>43283.704432870371</v>
      </c>
      <c r="BG485" t="s">
        <v>83</v>
      </c>
      <c r="BH485" t="s">
        <v>84</v>
      </c>
      <c r="BI485" t="s">
        <v>85</v>
      </c>
    </row>
    <row r="486" spans="1:61" x14ac:dyDescent="0.3">
      <c r="A486" t="str">
        <f>"200852B0100"</f>
        <v>200852B0100</v>
      </c>
      <c r="B486" t="s">
        <v>1060</v>
      </c>
      <c r="C486">
        <v>20</v>
      </c>
      <c r="D486" t="s">
        <v>79</v>
      </c>
      <c r="E486">
        <v>3</v>
      </c>
      <c r="F486" t="s">
        <v>915</v>
      </c>
      <c r="G486">
        <v>852</v>
      </c>
      <c r="H486">
        <v>1</v>
      </c>
      <c r="I486" t="s">
        <v>81</v>
      </c>
      <c r="J486">
        <v>0</v>
      </c>
      <c r="K486">
        <v>1</v>
      </c>
      <c r="L486">
        <v>2</v>
      </c>
      <c r="M486">
        <v>132</v>
      </c>
      <c r="N486">
        <v>551</v>
      </c>
      <c r="O486">
        <v>2</v>
      </c>
      <c r="P486">
        <v>551</v>
      </c>
      <c r="Q486">
        <v>12</v>
      </c>
      <c r="R486">
        <v>116</v>
      </c>
      <c r="S486">
        <v>64</v>
      </c>
      <c r="T486">
        <v>18</v>
      </c>
      <c r="U486">
        <v>3</v>
      </c>
      <c r="V486">
        <v>8</v>
      </c>
      <c r="W486">
        <v>4</v>
      </c>
      <c r="X486">
        <v>2</v>
      </c>
      <c r="Y486">
        <v>282</v>
      </c>
      <c r="Z486">
        <v>6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1</v>
      </c>
      <c r="AH486">
        <v>0</v>
      </c>
      <c r="AI486">
        <v>0</v>
      </c>
      <c r="AJ486">
        <v>0</v>
      </c>
      <c r="AK486">
        <v>8</v>
      </c>
      <c r="AL486">
        <v>0</v>
      </c>
      <c r="AM486">
        <v>0</v>
      </c>
      <c r="AN486">
        <v>0</v>
      </c>
      <c r="AT486">
        <v>0</v>
      </c>
      <c r="AU486">
        <v>25</v>
      </c>
      <c r="AV486">
        <v>549</v>
      </c>
      <c r="AW486">
        <v>549</v>
      </c>
      <c r="AX486">
        <v>661</v>
      </c>
      <c r="BA486">
        <v>1</v>
      </c>
      <c r="BC486" t="s">
        <v>1061</v>
      </c>
      <c r="BD486" s="4">
        <v>43283.703472222223</v>
      </c>
      <c r="BE486" s="4">
        <v>43283.70957175926</v>
      </c>
      <c r="BF486" s="4">
        <v>43283.70957175926</v>
      </c>
      <c r="BG486" t="s">
        <v>83</v>
      </c>
      <c r="BH486" t="s">
        <v>84</v>
      </c>
      <c r="BI486" t="s">
        <v>85</v>
      </c>
    </row>
    <row r="487" spans="1:61" x14ac:dyDescent="0.3">
      <c r="A487" t="str">
        <f>"200852C0100"</f>
        <v>200852C0100</v>
      </c>
      <c r="B487" t="s">
        <v>1062</v>
      </c>
      <c r="C487">
        <v>20</v>
      </c>
      <c r="D487" t="s">
        <v>79</v>
      </c>
      <c r="E487">
        <v>3</v>
      </c>
      <c r="F487" t="s">
        <v>915</v>
      </c>
      <c r="G487">
        <v>852</v>
      </c>
      <c r="H487">
        <v>1</v>
      </c>
      <c r="I487" t="s">
        <v>89</v>
      </c>
      <c r="J487">
        <v>0</v>
      </c>
      <c r="K487">
        <v>2</v>
      </c>
      <c r="L487">
        <v>2</v>
      </c>
      <c r="M487">
        <v>156</v>
      </c>
      <c r="N487">
        <v>526</v>
      </c>
      <c r="O487">
        <v>2</v>
      </c>
      <c r="P487">
        <v>517</v>
      </c>
      <c r="Q487">
        <v>11</v>
      </c>
      <c r="R487">
        <v>132</v>
      </c>
      <c r="S487">
        <v>63</v>
      </c>
      <c r="T487">
        <v>15</v>
      </c>
      <c r="U487">
        <v>0</v>
      </c>
      <c r="V487">
        <v>3</v>
      </c>
      <c r="W487">
        <v>3</v>
      </c>
      <c r="X487">
        <v>2</v>
      </c>
      <c r="Y487">
        <v>258</v>
      </c>
      <c r="Z487">
        <v>2</v>
      </c>
      <c r="AA487">
        <v>1</v>
      </c>
      <c r="AB487">
        <v>4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2</v>
      </c>
      <c r="AL487">
        <v>0</v>
      </c>
      <c r="AM487">
        <v>0</v>
      </c>
      <c r="AN487">
        <v>0</v>
      </c>
      <c r="AT487">
        <v>0</v>
      </c>
      <c r="AU487">
        <v>20</v>
      </c>
      <c r="AV487">
        <v>517</v>
      </c>
      <c r="AW487">
        <v>516</v>
      </c>
      <c r="AX487">
        <v>660</v>
      </c>
      <c r="BA487">
        <v>1</v>
      </c>
      <c r="BC487" t="s">
        <v>1063</v>
      </c>
      <c r="BD487" s="4">
        <v>43283.70416666667</v>
      </c>
      <c r="BE487" s="4">
        <v>43283.709953703707</v>
      </c>
      <c r="BF487" s="4">
        <v>43283.709953703707</v>
      </c>
      <c r="BG487" t="s">
        <v>83</v>
      </c>
      <c r="BH487" t="s">
        <v>84</v>
      </c>
      <c r="BI487" t="s">
        <v>85</v>
      </c>
    </row>
    <row r="488" spans="1:61" x14ac:dyDescent="0.3">
      <c r="A488" t="str">
        <f>"200853B0100"</f>
        <v>200853B0100</v>
      </c>
      <c r="B488" t="s">
        <v>1064</v>
      </c>
      <c r="C488">
        <v>20</v>
      </c>
      <c r="D488" t="s">
        <v>79</v>
      </c>
      <c r="E488">
        <v>3</v>
      </c>
      <c r="F488" t="s">
        <v>915</v>
      </c>
      <c r="G488">
        <v>853</v>
      </c>
      <c r="H488">
        <v>1</v>
      </c>
      <c r="I488" t="s">
        <v>81</v>
      </c>
      <c r="J488">
        <v>0</v>
      </c>
      <c r="K488">
        <v>2</v>
      </c>
      <c r="L488">
        <v>2</v>
      </c>
      <c r="M488">
        <v>112</v>
      </c>
      <c r="N488">
        <v>3</v>
      </c>
      <c r="O488">
        <v>3</v>
      </c>
      <c r="P488">
        <v>499</v>
      </c>
      <c r="Q488">
        <v>11</v>
      </c>
      <c r="R488">
        <v>94</v>
      </c>
      <c r="S488">
        <v>60</v>
      </c>
      <c r="T488">
        <v>3</v>
      </c>
      <c r="U488">
        <v>7</v>
      </c>
      <c r="V488">
        <v>0</v>
      </c>
      <c r="W488">
        <v>4</v>
      </c>
      <c r="X488">
        <v>2</v>
      </c>
      <c r="Y488">
        <v>278</v>
      </c>
      <c r="Z488">
        <v>2</v>
      </c>
      <c r="AA488">
        <v>0</v>
      </c>
      <c r="AB488">
        <v>4</v>
      </c>
      <c r="AC488">
        <v>0</v>
      </c>
      <c r="AD488">
        <v>2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2</v>
      </c>
      <c r="AL488">
        <v>1</v>
      </c>
      <c r="AM488">
        <v>0</v>
      </c>
      <c r="AN488">
        <v>1</v>
      </c>
      <c r="AT488" t="s">
        <v>100</v>
      </c>
      <c r="AU488">
        <v>27</v>
      </c>
      <c r="AV488">
        <v>499</v>
      </c>
      <c r="AW488">
        <v>498</v>
      </c>
      <c r="AX488">
        <v>589</v>
      </c>
      <c r="AZ488" t="s">
        <v>101</v>
      </c>
      <c r="BA488">
        <v>1</v>
      </c>
      <c r="BC488" t="s">
        <v>1065</v>
      </c>
      <c r="BD488" s="4">
        <v>43283.761111111111</v>
      </c>
      <c r="BE488" s="4">
        <v>43283.765798611108</v>
      </c>
      <c r="BF488" s="4">
        <v>43283.765798611108</v>
      </c>
      <c r="BG488" t="s">
        <v>83</v>
      </c>
      <c r="BH488" t="s">
        <v>84</v>
      </c>
      <c r="BI488" t="s">
        <v>548</v>
      </c>
    </row>
    <row r="489" spans="1:61" x14ac:dyDescent="0.3">
      <c r="A489" t="str">
        <f>"200853C0100"</f>
        <v>200853C0100</v>
      </c>
      <c r="B489" t="s">
        <v>1066</v>
      </c>
      <c r="C489">
        <v>20</v>
      </c>
      <c r="D489" t="s">
        <v>79</v>
      </c>
      <c r="E489">
        <v>3</v>
      </c>
      <c r="F489" t="s">
        <v>915</v>
      </c>
      <c r="G489">
        <v>853</v>
      </c>
      <c r="H489">
        <v>1</v>
      </c>
      <c r="I489" t="s">
        <v>89</v>
      </c>
      <c r="J489">
        <v>0</v>
      </c>
      <c r="K489">
        <v>2</v>
      </c>
      <c r="L489">
        <v>2</v>
      </c>
      <c r="M489">
        <v>98</v>
      </c>
      <c r="N489">
        <v>512</v>
      </c>
      <c r="O489">
        <v>2</v>
      </c>
      <c r="P489">
        <v>512</v>
      </c>
      <c r="Q489">
        <v>11</v>
      </c>
      <c r="R489">
        <v>84</v>
      </c>
      <c r="S489">
        <v>65</v>
      </c>
      <c r="T489">
        <v>6</v>
      </c>
      <c r="U489">
        <v>4</v>
      </c>
      <c r="V489">
        <v>5</v>
      </c>
      <c r="W489">
        <v>3</v>
      </c>
      <c r="X489">
        <v>6</v>
      </c>
      <c r="Y489">
        <v>293</v>
      </c>
      <c r="Z489">
        <v>6</v>
      </c>
      <c r="AA489">
        <v>1</v>
      </c>
      <c r="AB489">
        <v>1</v>
      </c>
      <c r="AC489" t="s">
        <v>100</v>
      </c>
      <c r="AD489" t="s">
        <v>100</v>
      </c>
      <c r="AE489" t="s">
        <v>100</v>
      </c>
      <c r="AF489" t="s">
        <v>100</v>
      </c>
      <c r="AG489" t="s">
        <v>100</v>
      </c>
      <c r="AH489" t="s">
        <v>100</v>
      </c>
      <c r="AI489" t="s">
        <v>100</v>
      </c>
      <c r="AJ489" t="s">
        <v>100</v>
      </c>
      <c r="AK489">
        <v>4</v>
      </c>
      <c r="AL489">
        <v>3</v>
      </c>
      <c r="AM489">
        <v>0</v>
      </c>
      <c r="AN489">
        <v>1</v>
      </c>
      <c r="AT489" t="s">
        <v>100</v>
      </c>
      <c r="AU489">
        <v>19</v>
      </c>
      <c r="AV489">
        <v>512</v>
      </c>
      <c r="AW489">
        <v>512</v>
      </c>
      <c r="AX489">
        <v>588</v>
      </c>
      <c r="AZ489" t="s">
        <v>101</v>
      </c>
      <c r="BA489">
        <v>1</v>
      </c>
      <c r="BC489" t="s">
        <v>1067</v>
      </c>
      <c r="BD489" s="4">
        <v>43283.061805555553</v>
      </c>
      <c r="BE489" s="4">
        <v>43283.065752314818</v>
      </c>
      <c r="BF489" s="4">
        <v>43283.065752314818</v>
      </c>
      <c r="BG489" t="s">
        <v>83</v>
      </c>
      <c r="BH489" t="s">
        <v>84</v>
      </c>
      <c r="BI489" t="s">
        <v>85</v>
      </c>
    </row>
    <row r="490" spans="1:61" x14ac:dyDescent="0.3">
      <c r="A490" t="str">
        <f>"200853E0100"</f>
        <v>200853E0100</v>
      </c>
      <c r="B490" s="2" t="s">
        <v>1068</v>
      </c>
      <c r="C490">
        <v>20</v>
      </c>
      <c r="D490" t="s">
        <v>79</v>
      </c>
      <c r="E490">
        <v>3</v>
      </c>
      <c r="F490" t="s">
        <v>915</v>
      </c>
      <c r="G490">
        <v>853</v>
      </c>
      <c r="H490">
        <v>1</v>
      </c>
      <c r="I490" t="s">
        <v>145</v>
      </c>
      <c r="J490">
        <v>0</v>
      </c>
      <c r="K490">
        <v>2</v>
      </c>
      <c r="L490">
        <v>2</v>
      </c>
      <c r="M490">
        <v>120</v>
      </c>
      <c r="N490">
        <v>616</v>
      </c>
      <c r="O490">
        <v>0</v>
      </c>
      <c r="P490">
        <v>616</v>
      </c>
      <c r="Q490">
        <v>7</v>
      </c>
      <c r="R490">
        <v>129</v>
      </c>
      <c r="S490">
        <v>71</v>
      </c>
      <c r="T490">
        <v>4</v>
      </c>
      <c r="U490">
        <v>4</v>
      </c>
      <c r="V490">
        <v>4</v>
      </c>
      <c r="W490">
        <v>5</v>
      </c>
      <c r="X490">
        <v>5</v>
      </c>
      <c r="Y490">
        <v>366</v>
      </c>
      <c r="Z490">
        <v>5</v>
      </c>
      <c r="AA490">
        <v>0</v>
      </c>
      <c r="AB490">
        <v>1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2</v>
      </c>
      <c r="AI490">
        <v>0</v>
      </c>
      <c r="AJ490">
        <v>0</v>
      </c>
      <c r="AK490">
        <v>2</v>
      </c>
      <c r="AL490">
        <v>0</v>
      </c>
      <c r="AM490">
        <v>0</v>
      </c>
      <c r="AN490">
        <v>16</v>
      </c>
      <c r="AT490">
        <v>0</v>
      </c>
      <c r="AU490">
        <v>13</v>
      </c>
      <c r="AV490">
        <v>616</v>
      </c>
      <c r="AW490">
        <v>634</v>
      </c>
      <c r="AX490">
        <v>714</v>
      </c>
      <c r="BA490">
        <v>1</v>
      </c>
      <c r="BC490" t="s">
        <v>1069</v>
      </c>
      <c r="BD490" s="4">
        <v>43283.710416666669</v>
      </c>
      <c r="BE490" s="4">
        <v>43283.720833333333</v>
      </c>
      <c r="BF490" s="4">
        <v>43283.720833333333</v>
      </c>
      <c r="BG490" t="s">
        <v>83</v>
      </c>
      <c r="BH490" t="s">
        <v>84</v>
      </c>
      <c r="BI490" t="s">
        <v>85</v>
      </c>
    </row>
    <row r="491" spans="1:61" x14ac:dyDescent="0.3">
      <c r="A491" t="str">
        <f>"200854B0100"</f>
        <v>200854B0100</v>
      </c>
      <c r="B491" t="s">
        <v>1070</v>
      </c>
      <c r="C491">
        <v>20</v>
      </c>
      <c r="D491" t="s">
        <v>79</v>
      </c>
      <c r="E491">
        <v>3</v>
      </c>
      <c r="F491" t="s">
        <v>915</v>
      </c>
      <c r="G491">
        <v>854</v>
      </c>
      <c r="H491">
        <v>1</v>
      </c>
      <c r="I491" t="s">
        <v>81</v>
      </c>
      <c r="J491">
        <v>0</v>
      </c>
      <c r="K491">
        <v>2</v>
      </c>
      <c r="L491">
        <v>2</v>
      </c>
      <c r="M491">
        <v>124</v>
      </c>
      <c r="N491">
        <v>570</v>
      </c>
      <c r="O491">
        <v>7</v>
      </c>
      <c r="P491">
        <v>570</v>
      </c>
      <c r="Q491">
        <v>5</v>
      </c>
      <c r="R491">
        <v>143</v>
      </c>
      <c r="S491">
        <v>85</v>
      </c>
      <c r="T491">
        <v>10</v>
      </c>
      <c r="U491">
        <v>10</v>
      </c>
      <c r="V491">
        <v>7</v>
      </c>
      <c r="W491">
        <v>2</v>
      </c>
      <c r="X491">
        <v>1</v>
      </c>
      <c r="Y491">
        <v>266</v>
      </c>
      <c r="Z491">
        <v>3</v>
      </c>
      <c r="AA491">
        <v>1</v>
      </c>
      <c r="AB491">
        <v>1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7</v>
      </c>
      <c r="AL491">
        <v>0</v>
      </c>
      <c r="AM491">
        <v>0</v>
      </c>
      <c r="AN491">
        <v>2</v>
      </c>
      <c r="AT491">
        <v>0</v>
      </c>
      <c r="AU491">
        <v>27</v>
      </c>
      <c r="AV491">
        <v>570</v>
      </c>
      <c r="AW491">
        <v>570</v>
      </c>
      <c r="AX491">
        <v>672</v>
      </c>
      <c r="BA491">
        <v>1</v>
      </c>
      <c r="BC491" t="s">
        <v>1071</v>
      </c>
      <c r="BD491" s="4">
        <v>43283.708333333336</v>
      </c>
      <c r="BE491" s="4">
        <v>43283.713009259256</v>
      </c>
      <c r="BF491" s="4">
        <v>43283.713009259256</v>
      </c>
      <c r="BG491" t="s">
        <v>83</v>
      </c>
      <c r="BH491" t="s">
        <v>84</v>
      </c>
      <c r="BI491" t="s">
        <v>85</v>
      </c>
    </row>
    <row r="492" spans="1:61" x14ac:dyDescent="0.3">
      <c r="A492" t="str">
        <f>"200854C0100"</f>
        <v>200854C0100</v>
      </c>
      <c r="B492" t="s">
        <v>1072</v>
      </c>
      <c r="C492">
        <v>20</v>
      </c>
      <c r="D492" t="s">
        <v>79</v>
      </c>
      <c r="E492">
        <v>3</v>
      </c>
      <c r="F492" t="s">
        <v>915</v>
      </c>
      <c r="G492">
        <v>854</v>
      </c>
      <c r="H492">
        <v>1</v>
      </c>
      <c r="I492" t="s">
        <v>89</v>
      </c>
      <c r="J492">
        <v>0</v>
      </c>
      <c r="K492">
        <v>2</v>
      </c>
      <c r="L492">
        <v>2</v>
      </c>
      <c r="M492">
        <v>145</v>
      </c>
      <c r="N492">
        <v>548</v>
      </c>
      <c r="O492">
        <v>2</v>
      </c>
      <c r="P492">
        <v>548</v>
      </c>
      <c r="Q492">
        <v>7</v>
      </c>
      <c r="R492">
        <v>105</v>
      </c>
      <c r="S492">
        <v>80</v>
      </c>
      <c r="T492">
        <v>4</v>
      </c>
      <c r="U492">
        <v>4</v>
      </c>
      <c r="V492">
        <v>4</v>
      </c>
      <c r="W492">
        <v>0</v>
      </c>
      <c r="X492">
        <v>2</v>
      </c>
      <c r="Y492">
        <v>314</v>
      </c>
      <c r="Z492">
        <v>2</v>
      </c>
      <c r="AA492">
        <v>2</v>
      </c>
      <c r="AB492">
        <v>1</v>
      </c>
      <c r="AC492">
        <v>0</v>
      </c>
      <c r="AD492">
        <v>1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4</v>
      </c>
      <c r="AL492">
        <v>1</v>
      </c>
      <c r="AM492">
        <v>0</v>
      </c>
      <c r="AN492">
        <v>2</v>
      </c>
      <c r="AT492">
        <v>0</v>
      </c>
      <c r="AU492">
        <v>15</v>
      </c>
      <c r="AV492">
        <v>548</v>
      </c>
      <c r="AW492">
        <v>548</v>
      </c>
      <c r="AX492">
        <v>671</v>
      </c>
      <c r="BA492">
        <v>1</v>
      </c>
      <c r="BC492" t="s">
        <v>1073</v>
      </c>
      <c r="BD492" s="4">
        <v>43283.717361111114</v>
      </c>
      <c r="BE492" s="4">
        <v>43283.722638888888</v>
      </c>
      <c r="BF492" s="4">
        <v>43283.722638888888</v>
      </c>
      <c r="BG492" t="s">
        <v>83</v>
      </c>
      <c r="BH492" t="s">
        <v>84</v>
      </c>
      <c r="BI492" t="s">
        <v>85</v>
      </c>
    </row>
    <row r="493" spans="1:61" x14ac:dyDescent="0.3">
      <c r="A493" t="str">
        <f>"200854C0200"</f>
        <v>200854C0200</v>
      </c>
      <c r="B493" t="s">
        <v>1074</v>
      </c>
      <c r="C493">
        <v>20</v>
      </c>
      <c r="D493" t="s">
        <v>79</v>
      </c>
      <c r="E493">
        <v>3</v>
      </c>
      <c r="F493" t="s">
        <v>915</v>
      </c>
      <c r="G493">
        <v>854</v>
      </c>
      <c r="H493">
        <v>2</v>
      </c>
      <c r="I493" t="s">
        <v>89</v>
      </c>
      <c r="J493">
        <v>0</v>
      </c>
      <c r="K493">
        <v>2</v>
      </c>
      <c r="L493">
        <v>2</v>
      </c>
      <c r="M493">
        <v>152</v>
      </c>
      <c r="N493">
        <v>541</v>
      </c>
      <c r="O493">
        <v>2</v>
      </c>
      <c r="P493">
        <v>541</v>
      </c>
      <c r="Q493">
        <v>12</v>
      </c>
      <c r="R493">
        <v>125</v>
      </c>
      <c r="S493">
        <v>88</v>
      </c>
      <c r="T493">
        <v>13</v>
      </c>
      <c r="U493">
        <v>6</v>
      </c>
      <c r="V493">
        <v>3</v>
      </c>
      <c r="W493">
        <v>0</v>
      </c>
      <c r="X493">
        <v>2</v>
      </c>
      <c r="Y493">
        <v>259</v>
      </c>
      <c r="Z493">
        <v>3</v>
      </c>
      <c r="AA493">
        <v>2</v>
      </c>
      <c r="AB493">
        <v>2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1</v>
      </c>
      <c r="AI493">
        <v>1</v>
      </c>
      <c r="AJ493">
        <v>0</v>
      </c>
      <c r="AK493">
        <v>2</v>
      </c>
      <c r="AL493">
        <v>2</v>
      </c>
      <c r="AM493">
        <v>1</v>
      </c>
      <c r="AN493">
        <v>0</v>
      </c>
      <c r="AT493">
        <v>0</v>
      </c>
      <c r="AU493">
        <v>19</v>
      </c>
      <c r="AV493">
        <v>541</v>
      </c>
      <c r="AW493">
        <v>541</v>
      </c>
      <c r="AX493">
        <v>671</v>
      </c>
      <c r="BA493">
        <v>1</v>
      </c>
      <c r="BC493" t="s">
        <v>1075</v>
      </c>
      <c r="BD493" s="4">
        <v>43283.708333333336</v>
      </c>
      <c r="BE493" s="4">
        <v>43283.711712962962</v>
      </c>
      <c r="BF493" s="4">
        <v>43283.711712962962</v>
      </c>
      <c r="BG493" t="s">
        <v>83</v>
      </c>
      <c r="BH493" t="s">
        <v>84</v>
      </c>
      <c r="BI493" t="s">
        <v>85</v>
      </c>
    </row>
    <row r="494" spans="1:61" x14ac:dyDescent="0.3">
      <c r="A494" t="str">
        <f>"200854E0100"</f>
        <v>200854E0100</v>
      </c>
      <c r="B494" s="2" t="s">
        <v>1076</v>
      </c>
      <c r="C494">
        <v>20</v>
      </c>
      <c r="D494" t="s">
        <v>79</v>
      </c>
      <c r="E494">
        <v>3</v>
      </c>
      <c r="F494" t="s">
        <v>915</v>
      </c>
      <c r="G494">
        <v>854</v>
      </c>
      <c r="H494">
        <v>1</v>
      </c>
      <c r="I494" t="s">
        <v>145</v>
      </c>
      <c r="J494">
        <v>0</v>
      </c>
      <c r="K494">
        <v>2</v>
      </c>
      <c r="L494">
        <v>2</v>
      </c>
      <c r="M494">
        <v>64</v>
      </c>
      <c r="N494">
        <v>303</v>
      </c>
      <c r="O494">
        <v>0</v>
      </c>
      <c r="P494">
        <v>303</v>
      </c>
      <c r="Q494">
        <v>0</v>
      </c>
      <c r="R494">
        <v>80</v>
      </c>
      <c r="S494">
        <v>28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186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T494">
        <v>0</v>
      </c>
      <c r="AU494">
        <v>9</v>
      </c>
      <c r="AV494">
        <v>303</v>
      </c>
      <c r="AW494">
        <v>303</v>
      </c>
      <c r="AX494">
        <v>345</v>
      </c>
      <c r="BA494">
        <v>1</v>
      </c>
      <c r="BC494" t="s">
        <v>1077</v>
      </c>
      <c r="BD494" s="4">
        <v>43283.709722222222</v>
      </c>
      <c r="BE494" s="4">
        <v>43283.720081018517</v>
      </c>
      <c r="BF494" s="4">
        <v>43283.720081018517</v>
      </c>
      <c r="BG494" t="s">
        <v>83</v>
      </c>
      <c r="BH494" t="s">
        <v>84</v>
      </c>
      <c r="BI494" t="s">
        <v>85</v>
      </c>
    </row>
    <row r="495" spans="1:61" x14ac:dyDescent="0.3">
      <c r="A495" t="str">
        <f>"200855B0100"</f>
        <v>200855B0100</v>
      </c>
      <c r="B495" t="s">
        <v>1078</v>
      </c>
      <c r="C495">
        <v>20</v>
      </c>
      <c r="D495" t="s">
        <v>79</v>
      </c>
      <c r="E495">
        <v>3</v>
      </c>
      <c r="F495" t="s">
        <v>915</v>
      </c>
      <c r="G495">
        <v>855</v>
      </c>
      <c r="H495">
        <v>1</v>
      </c>
      <c r="I495" t="s">
        <v>81</v>
      </c>
      <c r="J495">
        <v>0</v>
      </c>
      <c r="K495">
        <v>2</v>
      </c>
      <c r="L495">
        <v>2</v>
      </c>
      <c r="M495">
        <v>90</v>
      </c>
      <c r="N495">
        <v>412</v>
      </c>
      <c r="O495">
        <v>0</v>
      </c>
      <c r="P495">
        <v>0</v>
      </c>
      <c r="Q495">
        <v>3</v>
      </c>
      <c r="R495">
        <v>149</v>
      </c>
      <c r="S495">
        <v>78</v>
      </c>
      <c r="T495">
        <v>3</v>
      </c>
      <c r="U495">
        <v>4</v>
      </c>
      <c r="V495">
        <v>1</v>
      </c>
      <c r="W495">
        <v>3</v>
      </c>
      <c r="X495">
        <v>5</v>
      </c>
      <c r="Y495">
        <v>158</v>
      </c>
      <c r="Z495">
        <v>1</v>
      </c>
      <c r="AA495">
        <v>0</v>
      </c>
      <c r="AB495">
        <v>0</v>
      </c>
      <c r="AC495">
        <v>1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1</v>
      </c>
      <c r="AL495">
        <v>0</v>
      </c>
      <c r="AM495">
        <v>0</v>
      </c>
      <c r="AN495">
        <v>0</v>
      </c>
      <c r="AT495">
        <v>0</v>
      </c>
      <c r="AU495">
        <v>6</v>
      </c>
      <c r="AV495" t="s">
        <v>100</v>
      </c>
      <c r="AW495">
        <v>413</v>
      </c>
      <c r="AX495">
        <v>481</v>
      </c>
      <c r="BA495">
        <v>1</v>
      </c>
      <c r="BC495" t="s">
        <v>1079</v>
      </c>
      <c r="BD495" s="4">
        <v>43283.718055555553</v>
      </c>
      <c r="BE495" s="4">
        <v>43283.723483796297</v>
      </c>
      <c r="BF495" s="4">
        <v>43283.723483796297</v>
      </c>
      <c r="BG495" t="s">
        <v>83</v>
      </c>
      <c r="BH495" t="s">
        <v>84</v>
      </c>
      <c r="BI495" t="s">
        <v>85</v>
      </c>
    </row>
    <row r="496" spans="1:61" x14ac:dyDescent="0.3">
      <c r="A496" t="str">
        <f>"200855C0100"</f>
        <v>200855C0100</v>
      </c>
      <c r="B496" t="s">
        <v>1080</v>
      </c>
      <c r="C496">
        <v>20</v>
      </c>
      <c r="D496" t="s">
        <v>79</v>
      </c>
      <c r="E496">
        <v>3</v>
      </c>
      <c r="F496" t="s">
        <v>915</v>
      </c>
      <c r="G496">
        <v>855</v>
      </c>
      <c r="H496">
        <v>1</v>
      </c>
      <c r="I496" t="s">
        <v>89</v>
      </c>
      <c r="J496">
        <v>0</v>
      </c>
      <c r="K496">
        <v>2</v>
      </c>
      <c r="L496">
        <v>2</v>
      </c>
      <c r="M496">
        <v>92</v>
      </c>
      <c r="N496">
        <v>411</v>
      </c>
      <c r="O496">
        <v>0</v>
      </c>
      <c r="P496">
        <v>411</v>
      </c>
      <c r="Q496">
        <v>6</v>
      </c>
      <c r="R496">
        <v>175</v>
      </c>
      <c r="S496">
        <v>73</v>
      </c>
      <c r="T496">
        <v>4</v>
      </c>
      <c r="U496">
        <v>2</v>
      </c>
      <c r="V496">
        <v>2</v>
      </c>
      <c r="W496">
        <v>4</v>
      </c>
      <c r="X496">
        <v>4</v>
      </c>
      <c r="Y496">
        <v>126</v>
      </c>
      <c r="Z496">
        <v>1</v>
      </c>
      <c r="AA496">
        <v>2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2</v>
      </c>
      <c r="AL496">
        <v>1</v>
      </c>
      <c r="AM496">
        <v>0</v>
      </c>
      <c r="AN496">
        <v>0</v>
      </c>
      <c r="AT496">
        <v>0</v>
      </c>
      <c r="AU496">
        <v>10</v>
      </c>
      <c r="AV496">
        <v>411</v>
      </c>
      <c r="AW496">
        <v>412</v>
      </c>
      <c r="AX496">
        <v>481</v>
      </c>
      <c r="BA496">
        <v>1</v>
      </c>
      <c r="BC496" s="2" t="s">
        <v>1081</v>
      </c>
      <c r="BD496" s="4">
        <v>43283.711111111108</v>
      </c>
      <c r="BE496" s="4">
        <v>43283.722129629627</v>
      </c>
      <c r="BF496" s="4">
        <v>43283.722129629627</v>
      </c>
      <c r="BG496" t="s">
        <v>83</v>
      </c>
      <c r="BH496" t="s">
        <v>84</v>
      </c>
      <c r="BI496" t="s">
        <v>85</v>
      </c>
    </row>
    <row r="497" spans="1:61" x14ac:dyDescent="0.3">
      <c r="A497" t="str">
        <f>"200856B0100"</f>
        <v>200856B0100</v>
      </c>
      <c r="B497" t="s">
        <v>1082</v>
      </c>
      <c r="C497">
        <v>20</v>
      </c>
      <c r="D497" t="s">
        <v>79</v>
      </c>
      <c r="E497">
        <v>3</v>
      </c>
      <c r="F497" t="s">
        <v>915</v>
      </c>
      <c r="G497">
        <v>856</v>
      </c>
      <c r="H497">
        <v>1</v>
      </c>
      <c r="I497" t="s">
        <v>81</v>
      </c>
      <c r="J497">
        <v>0</v>
      </c>
      <c r="K497">
        <v>2</v>
      </c>
      <c r="L497">
        <v>2</v>
      </c>
      <c r="M497">
        <v>108</v>
      </c>
      <c r="N497">
        <v>601</v>
      </c>
      <c r="O497">
        <v>0</v>
      </c>
      <c r="P497">
        <v>593</v>
      </c>
      <c r="Q497">
        <v>3</v>
      </c>
      <c r="R497">
        <v>147</v>
      </c>
      <c r="S497">
        <v>98</v>
      </c>
      <c r="T497">
        <v>10</v>
      </c>
      <c r="U497">
        <v>4</v>
      </c>
      <c r="V497">
        <v>4</v>
      </c>
      <c r="W497">
        <v>2</v>
      </c>
      <c r="X497">
        <v>6</v>
      </c>
      <c r="Y497">
        <v>303</v>
      </c>
      <c r="Z497">
        <v>2</v>
      </c>
      <c r="AA497">
        <v>2</v>
      </c>
      <c r="AB497">
        <v>7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1</v>
      </c>
      <c r="AI497">
        <v>0</v>
      </c>
      <c r="AJ497">
        <v>0</v>
      </c>
      <c r="AK497">
        <v>1</v>
      </c>
      <c r="AL497">
        <v>0</v>
      </c>
      <c r="AM497">
        <v>0</v>
      </c>
      <c r="AN497">
        <v>0</v>
      </c>
      <c r="AT497">
        <v>0</v>
      </c>
      <c r="AU497">
        <v>9</v>
      </c>
      <c r="AV497">
        <v>593</v>
      </c>
      <c r="AW497">
        <v>599</v>
      </c>
      <c r="AX497">
        <v>689</v>
      </c>
      <c r="BA497">
        <v>1</v>
      </c>
      <c r="BC497" t="s">
        <v>1083</v>
      </c>
      <c r="BD497" s="4">
        <v>43283.713888888888</v>
      </c>
      <c r="BE497" s="4">
        <v>43283.720717592594</v>
      </c>
      <c r="BF497" s="4">
        <v>43283.720717592594</v>
      </c>
      <c r="BG497" t="s">
        <v>83</v>
      </c>
      <c r="BH497" t="s">
        <v>84</v>
      </c>
      <c r="BI497" t="s">
        <v>85</v>
      </c>
    </row>
    <row r="498" spans="1:61" x14ac:dyDescent="0.3">
      <c r="A498" t="str">
        <f>"200856C0100"</f>
        <v>200856C0100</v>
      </c>
      <c r="B498" t="s">
        <v>1084</v>
      </c>
      <c r="C498">
        <v>20</v>
      </c>
      <c r="D498" t="s">
        <v>79</v>
      </c>
      <c r="E498">
        <v>3</v>
      </c>
      <c r="F498" t="s">
        <v>915</v>
      </c>
      <c r="G498">
        <v>856</v>
      </c>
      <c r="H498">
        <v>1</v>
      </c>
      <c r="I498" t="s">
        <v>89</v>
      </c>
      <c r="J498">
        <v>0</v>
      </c>
      <c r="K498">
        <v>2</v>
      </c>
      <c r="L498">
        <v>2</v>
      </c>
      <c r="M498">
        <v>92</v>
      </c>
      <c r="N498">
        <v>620</v>
      </c>
      <c r="O498">
        <v>0</v>
      </c>
      <c r="P498">
        <v>618</v>
      </c>
      <c r="Q498">
        <v>3</v>
      </c>
      <c r="R498">
        <v>156</v>
      </c>
      <c r="S498">
        <v>102</v>
      </c>
      <c r="T498">
        <v>6</v>
      </c>
      <c r="U498">
        <v>4</v>
      </c>
      <c r="V498">
        <v>4</v>
      </c>
      <c r="W498">
        <v>4</v>
      </c>
      <c r="X498">
        <v>3</v>
      </c>
      <c r="Y498">
        <v>308</v>
      </c>
      <c r="Z498">
        <v>3</v>
      </c>
      <c r="AA498">
        <v>1</v>
      </c>
      <c r="AB498">
        <v>0</v>
      </c>
      <c r="AC498">
        <v>0</v>
      </c>
      <c r="AD498">
        <v>1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2</v>
      </c>
      <c r="AT498">
        <v>0</v>
      </c>
      <c r="AU498">
        <v>21</v>
      </c>
      <c r="AV498">
        <v>618</v>
      </c>
      <c r="AW498">
        <v>618</v>
      </c>
      <c r="AX498">
        <v>689</v>
      </c>
      <c r="BA498">
        <v>1</v>
      </c>
      <c r="BC498" t="s">
        <v>1085</v>
      </c>
      <c r="BD498" s="4">
        <v>43283.718055555553</v>
      </c>
      <c r="BE498" s="4">
        <v>43283.726539351854</v>
      </c>
      <c r="BF498" s="4">
        <v>43283.726539351854</v>
      </c>
      <c r="BG498" t="s">
        <v>83</v>
      </c>
      <c r="BH498" t="s">
        <v>84</v>
      </c>
      <c r="BI498" t="s">
        <v>85</v>
      </c>
    </row>
    <row r="499" spans="1:61" x14ac:dyDescent="0.3">
      <c r="A499" t="str">
        <f>"200856E0100"</f>
        <v>200856E0100</v>
      </c>
      <c r="B499" s="2" t="s">
        <v>1086</v>
      </c>
      <c r="C499">
        <v>20</v>
      </c>
      <c r="D499" t="s">
        <v>79</v>
      </c>
      <c r="E499">
        <v>3</v>
      </c>
      <c r="F499" t="s">
        <v>915</v>
      </c>
      <c r="G499">
        <v>856</v>
      </c>
      <c r="H499">
        <v>1</v>
      </c>
      <c r="I499" t="s">
        <v>145</v>
      </c>
      <c r="J499">
        <v>0</v>
      </c>
      <c r="K499">
        <v>2</v>
      </c>
      <c r="L499">
        <v>2</v>
      </c>
      <c r="M499">
        <v>97</v>
      </c>
      <c r="N499">
        <v>548</v>
      </c>
      <c r="O499">
        <v>0</v>
      </c>
      <c r="P499">
        <v>548</v>
      </c>
      <c r="Q499">
        <v>3</v>
      </c>
      <c r="R499">
        <v>118</v>
      </c>
      <c r="S499">
        <v>18</v>
      </c>
      <c r="T499">
        <v>0</v>
      </c>
      <c r="U499">
        <v>2</v>
      </c>
      <c r="V499">
        <v>3</v>
      </c>
      <c r="W499">
        <v>0</v>
      </c>
      <c r="X499">
        <v>3</v>
      </c>
      <c r="Y499">
        <v>301</v>
      </c>
      <c r="Z499">
        <v>2</v>
      </c>
      <c r="AA499">
        <v>1</v>
      </c>
      <c r="AB499">
        <v>0</v>
      </c>
      <c r="AC499">
        <v>0</v>
      </c>
      <c r="AD499">
        <v>1</v>
      </c>
      <c r="AE499">
        <v>0</v>
      </c>
      <c r="AF499">
        <v>0</v>
      </c>
      <c r="AG499">
        <v>1</v>
      </c>
      <c r="AH499">
        <v>0</v>
      </c>
      <c r="AI499">
        <v>0</v>
      </c>
      <c r="AJ499">
        <v>0</v>
      </c>
      <c r="AK499">
        <v>3</v>
      </c>
      <c r="AL499">
        <v>0</v>
      </c>
      <c r="AM499">
        <v>0</v>
      </c>
      <c r="AN499">
        <v>1</v>
      </c>
      <c r="AT499">
        <v>0</v>
      </c>
      <c r="AU499">
        <v>9</v>
      </c>
      <c r="AV499">
        <v>548</v>
      </c>
      <c r="AW499">
        <v>466</v>
      </c>
      <c r="AX499">
        <v>623</v>
      </c>
      <c r="BA499">
        <v>1</v>
      </c>
      <c r="BC499" t="s">
        <v>1087</v>
      </c>
      <c r="BD499" s="4">
        <v>43283.720833333333</v>
      </c>
      <c r="BE499" s="4">
        <v>43283.727210648147</v>
      </c>
      <c r="BF499" s="4">
        <v>43283.727210648147</v>
      </c>
      <c r="BG499" t="s">
        <v>83</v>
      </c>
      <c r="BH499" t="s">
        <v>84</v>
      </c>
      <c r="BI499" t="s">
        <v>85</v>
      </c>
    </row>
    <row r="500" spans="1:61" x14ac:dyDescent="0.3">
      <c r="A500" t="str">
        <f>"200856E0200"</f>
        <v>200856E0200</v>
      </c>
      <c r="B500" s="2" t="s">
        <v>1088</v>
      </c>
      <c r="C500">
        <v>20</v>
      </c>
      <c r="D500" t="s">
        <v>79</v>
      </c>
      <c r="E500">
        <v>3</v>
      </c>
      <c r="F500" t="s">
        <v>915</v>
      </c>
      <c r="G500">
        <v>856</v>
      </c>
      <c r="H500">
        <v>2</v>
      </c>
      <c r="I500" t="s">
        <v>145</v>
      </c>
      <c r="J500">
        <v>0</v>
      </c>
      <c r="K500">
        <v>2</v>
      </c>
      <c r="L500">
        <v>2</v>
      </c>
      <c r="M500">
        <v>96</v>
      </c>
      <c r="N500">
        <v>500</v>
      </c>
      <c r="O500">
        <v>0</v>
      </c>
      <c r="P500">
        <v>500</v>
      </c>
      <c r="Q500">
        <v>4</v>
      </c>
      <c r="R500">
        <v>213</v>
      </c>
      <c r="S500">
        <v>36</v>
      </c>
      <c r="T500">
        <v>1</v>
      </c>
      <c r="U500">
        <v>1</v>
      </c>
      <c r="V500">
        <v>1</v>
      </c>
      <c r="W500">
        <v>0</v>
      </c>
      <c r="X500">
        <v>2</v>
      </c>
      <c r="Y500">
        <v>226</v>
      </c>
      <c r="Z500">
        <v>2</v>
      </c>
      <c r="AA500">
        <v>0</v>
      </c>
      <c r="AB500">
        <v>0</v>
      </c>
      <c r="AC500">
        <v>0</v>
      </c>
      <c r="AD500">
        <v>1</v>
      </c>
      <c r="AE500">
        <v>0</v>
      </c>
      <c r="AF500">
        <v>1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1</v>
      </c>
      <c r="AM500">
        <v>0</v>
      </c>
      <c r="AN500">
        <v>0</v>
      </c>
      <c r="AT500">
        <v>0</v>
      </c>
      <c r="AU500">
        <v>5</v>
      </c>
      <c r="AV500">
        <v>500</v>
      </c>
      <c r="AW500">
        <v>494</v>
      </c>
      <c r="AX500">
        <v>574</v>
      </c>
      <c r="BA500">
        <v>1</v>
      </c>
      <c r="BC500" t="s">
        <v>1089</v>
      </c>
      <c r="BD500" s="4">
        <v>43283.71875</v>
      </c>
      <c r="BE500" s="4">
        <v>43283.724328703705</v>
      </c>
      <c r="BF500" s="4">
        <v>43283.724328703705</v>
      </c>
      <c r="BG500" t="s">
        <v>83</v>
      </c>
      <c r="BH500" t="s">
        <v>84</v>
      </c>
      <c r="BI500" t="s">
        <v>85</v>
      </c>
    </row>
    <row r="501" spans="1:61" x14ac:dyDescent="0.3">
      <c r="A501" t="str">
        <f>"200857B0100"</f>
        <v>200857B0100</v>
      </c>
      <c r="B501" t="s">
        <v>1090</v>
      </c>
      <c r="C501">
        <v>20</v>
      </c>
      <c r="D501" t="s">
        <v>79</v>
      </c>
      <c r="E501">
        <v>3</v>
      </c>
      <c r="F501" t="s">
        <v>915</v>
      </c>
      <c r="G501">
        <v>857</v>
      </c>
      <c r="H501">
        <v>1</v>
      </c>
      <c r="I501" t="s">
        <v>81</v>
      </c>
      <c r="J501">
        <v>0</v>
      </c>
      <c r="K501">
        <v>2</v>
      </c>
      <c r="L501">
        <v>2</v>
      </c>
      <c r="M501">
        <v>116</v>
      </c>
      <c r="N501">
        <v>420</v>
      </c>
      <c r="O501">
        <v>0</v>
      </c>
      <c r="P501">
        <v>420</v>
      </c>
      <c r="Q501">
        <v>13</v>
      </c>
      <c r="R501">
        <v>103</v>
      </c>
      <c r="S501">
        <v>90</v>
      </c>
      <c r="T501">
        <v>7</v>
      </c>
      <c r="U501">
        <v>6</v>
      </c>
      <c r="V501">
        <v>1</v>
      </c>
      <c r="W501">
        <v>0</v>
      </c>
      <c r="X501">
        <v>1</v>
      </c>
      <c r="Y501">
        <v>188</v>
      </c>
      <c r="Z501">
        <v>2</v>
      </c>
      <c r="AA501">
        <v>0</v>
      </c>
      <c r="AB501">
        <v>1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1</v>
      </c>
      <c r="AM501">
        <v>0</v>
      </c>
      <c r="AN501">
        <v>0</v>
      </c>
      <c r="AT501">
        <v>0</v>
      </c>
      <c r="AU501">
        <v>7</v>
      </c>
      <c r="AV501">
        <v>420</v>
      </c>
      <c r="AW501">
        <v>420</v>
      </c>
      <c r="AX501">
        <v>514</v>
      </c>
      <c r="BA501">
        <v>1</v>
      </c>
      <c r="BC501" t="s">
        <v>1091</v>
      </c>
      <c r="BD501" s="4">
        <v>43283.720138888886</v>
      </c>
      <c r="BE501" s="4">
        <v>43283.725729166668</v>
      </c>
      <c r="BF501" s="4">
        <v>43283.725729166668</v>
      </c>
      <c r="BG501" t="s">
        <v>83</v>
      </c>
      <c r="BH501" t="s">
        <v>84</v>
      </c>
      <c r="BI501" t="s">
        <v>85</v>
      </c>
    </row>
    <row r="502" spans="1:61" x14ac:dyDescent="0.3">
      <c r="A502" t="str">
        <f>"200857C0100"</f>
        <v>200857C0100</v>
      </c>
      <c r="B502" t="s">
        <v>1092</v>
      </c>
      <c r="C502">
        <v>20</v>
      </c>
      <c r="D502" t="s">
        <v>79</v>
      </c>
      <c r="E502">
        <v>3</v>
      </c>
      <c r="F502" t="s">
        <v>915</v>
      </c>
      <c r="G502">
        <v>857</v>
      </c>
      <c r="H502">
        <v>1</v>
      </c>
      <c r="I502" t="s">
        <v>89</v>
      </c>
      <c r="J502">
        <v>0</v>
      </c>
      <c r="K502">
        <v>2</v>
      </c>
      <c r="L502">
        <v>2</v>
      </c>
      <c r="M502">
        <v>118</v>
      </c>
      <c r="N502">
        <v>417</v>
      </c>
      <c r="O502">
        <v>0</v>
      </c>
      <c r="P502">
        <v>417</v>
      </c>
      <c r="Q502">
        <v>4</v>
      </c>
      <c r="R502">
        <v>122</v>
      </c>
      <c r="S502">
        <v>65</v>
      </c>
      <c r="T502">
        <v>3</v>
      </c>
      <c r="U502">
        <v>8</v>
      </c>
      <c r="V502">
        <v>1</v>
      </c>
      <c r="W502">
        <v>6</v>
      </c>
      <c r="X502">
        <v>2</v>
      </c>
      <c r="Y502">
        <v>185</v>
      </c>
      <c r="Z502">
        <v>3</v>
      </c>
      <c r="AA502">
        <v>2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2</v>
      </c>
      <c r="AL502">
        <v>0</v>
      </c>
      <c r="AM502">
        <v>0</v>
      </c>
      <c r="AN502">
        <v>1</v>
      </c>
      <c r="AT502">
        <v>0</v>
      </c>
      <c r="AU502">
        <v>13</v>
      </c>
      <c r="AV502">
        <v>417</v>
      </c>
      <c r="AW502">
        <v>417</v>
      </c>
      <c r="AX502">
        <v>513</v>
      </c>
      <c r="BA502">
        <v>1</v>
      </c>
      <c r="BC502" t="s">
        <v>1093</v>
      </c>
      <c r="BD502" s="4">
        <v>43283.725694444445</v>
      </c>
      <c r="BE502" s="4">
        <v>43283.729895833334</v>
      </c>
      <c r="BF502" s="4">
        <v>43283.729895833334</v>
      </c>
      <c r="BG502" t="s">
        <v>83</v>
      </c>
      <c r="BH502" t="s">
        <v>84</v>
      </c>
      <c r="BI502" t="s">
        <v>85</v>
      </c>
    </row>
    <row r="503" spans="1:61" x14ac:dyDescent="0.3">
      <c r="A503" t="str">
        <f>"200857E0100"</f>
        <v>200857E0100</v>
      </c>
      <c r="B503" s="2" t="s">
        <v>1094</v>
      </c>
      <c r="C503">
        <v>20</v>
      </c>
      <c r="D503" t="s">
        <v>79</v>
      </c>
      <c r="E503">
        <v>3</v>
      </c>
      <c r="F503" t="s">
        <v>915</v>
      </c>
      <c r="G503">
        <v>857</v>
      </c>
      <c r="H503">
        <v>1</v>
      </c>
      <c r="I503" t="s">
        <v>145</v>
      </c>
      <c r="J503">
        <v>0</v>
      </c>
      <c r="K503">
        <v>2</v>
      </c>
      <c r="L503">
        <v>2</v>
      </c>
      <c r="M503">
        <v>83</v>
      </c>
      <c r="N503">
        <v>454</v>
      </c>
      <c r="O503">
        <v>8</v>
      </c>
      <c r="P503">
        <v>454</v>
      </c>
      <c r="Q503">
        <v>5</v>
      </c>
      <c r="R503">
        <v>141</v>
      </c>
      <c r="S503">
        <v>100</v>
      </c>
      <c r="T503">
        <v>1</v>
      </c>
      <c r="U503">
        <v>3</v>
      </c>
      <c r="V503">
        <v>0</v>
      </c>
      <c r="W503">
        <v>1</v>
      </c>
      <c r="X503">
        <v>2</v>
      </c>
      <c r="Y503">
        <v>185</v>
      </c>
      <c r="Z503">
        <v>2</v>
      </c>
      <c r="AA503">
        <v>0</v>
      </c>
      <c r="AB503">
        <v>0</v>
      </c>
      <c r="AC503">
        <v>0</v>
      </c>
      <c r="AD503">
        <v>1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1</v>
      </c>
      <c r="AT503">
        <v>0</v>
      </c>
      <c r="AU503">
        <v>13</v>
      </c>
      <c r="AV503">
        <v>454</v>
      </c>
      <c r="AW503">
        <v>455</v>
      </c>
      <c r="AX503">
        <v>515</v>
      </c>
      <c r="BA503">
        <v>1</v>
      </c>
      <c r="BC503" t="s">
        <v>1095</v>
      </c>
      <c r="BD503" s="4">
        <v>43283.717361111114</v>
      </c>
      <c r="BE503" s="4">
        <v>43283.722361111111</v>
      </c>
      <c r="BF503" s="4">
        <v>43283.722361111111</v>
      </c>
      <c r="BG503" t="s">
        <v>83</v>
      </c>
      <c r="BH503" t="s">
        <v>84</v>
      </c>
      <c r="BI503" t="s">
        <v>85</v>
      </c>
    </row>
    <row r="504" spans="1:61" x14ac:dyDescent="0.3">
      <c r="A504" t="str">
        <f>"200857E0200"</f>
        <v>200857E0200</v>
      </c>
      <c r="B504" s="2" t="s">
        <v>1096</v>
      </c>
      <c r="C504">
        <v>20</v>
      </c>
      <c r="D504" t="s">
        <v>79</v>
      </c>
      <c r="E504">
        <v>3</v>
      </c>
      <c r="F504" t="s">
        <v>915</v>
      </c>
      <c r="G504">
        <v>857</v>
      </c>
      <c r="H504">
        <v>2</v>
      </c>
      <c r="I504" t="s">
        <v>145</v>
      </c>
      <c r="J504">
        <v>0</v>
      </c>
      <c r="K504">
        <v>2</v>
      </c>
      <c r="L504">
        <v>2</v>
      </c>
      <c r="AX504">
        <v>353</v>
      </c>
      <c r="AZ504" t="s">
        <v>156</v>
      </c>
      <c r="BA504">
        <v>0</v>
      </c>
      <c r="BC504" t="s">
        <v>1097</v>
      </c>
      <c r="BD504" s="4">
        <v>43283.793055555558</v>
      </c>
      <c r="BE504" s="4">
        <v>43283.797800925924</v>
      </c>
      <c r="BF504" s="4">
        <v>43283.797800925924</v>
      </c>
      <c r="BG504" t="s">
        <v>83</v>
      </c>
      <c r="BH504" t="s">
        <v>84</v>
      </c>
      <c r="BI504" t="s">
        <v>85</v>
      </c>
    </row>
    <row r="505" spans="1:61" x14ac:dyDescent="0.3">
      <c r="A505" t="str">
        <f>"200857E0300"</f>
        <v>200857E0300</v>
      </c>
      <c r="B505" s="2" t="s">
        <v>1098</v>
      </c>
      <c r="C505">
        <v>20</v>
      </c>
      <c r="D505" t="s">
        <v>79</v>
      </c>
      <c r="E505">
        <v>3</v>
      </c>
      <c r="F505" t="s">
        <v>915</v>
      </c>
      <c r="G505">
        <v>857</v>
      </c>
      <c r="H505">
        <v>3</v>
      </c>
      <c r="I505" t="s">
        <v>145</v>
      </c>
      <c r="J505">
        <v>0</v>
      </c>
      <c r="K505">
        <v>2</v>
      </c>
      <c r="L505">
        <v>2</v>
      </c>
      <c r="M505">
        <v>82</v>
      </c>
      <c r="N505">
        <v>392</v>
      </c>
      <c r="O505">
        <v>13</v>
      </c>
      <c r="P505">
        <v>392</v>
      </c>
      <c r="Q505">
        <v>2</v>
      </c>
      <c r="R505">
        <v>65</v>
      </c>
      <c r="S505">
        <v>42</v>
      </c>
      <c r="T505">
        <v>1</v>
      </c>
      <c r="U505">
        <v>3</v>
      </c>
      <c r="V505">
        <v>0</v>
      </c>
      <c r="W505">
        <v>3</v>
      </c>
      <c r="X505">
        <v>4</v>
      </c>
      <c r="Y505">
        <v>245</v>
      </c>
      <c r="Z505">
        <v>4</v>
      </c>
      <c r="AA505">
        <v>0</v>
      </c>
      <c r="AB505">
        <v>3</v>
      </c>
      <c r="AC505">
        <v>1</v>
      </c>
      <c r="AD505">
        <v>1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3</v>
      </c>
      <c r="AL505">
        <v>0</v>
      </c>
      <c r="AM505">
        <v>0</v>
      </c>
      <c r="AN505">
        <v>4</v>
      </c>
      <c r="AT505">
        <v>0</v>
      </c>
      <c r="AU505">
        <v>11</v>
      </c>
      <c r="AV505">
        <v>392</v>
      </c>
      <c r="AW505">
        <v>392</v>
      </c>
      <c r="AX505">
        <v>452</v>
      </c>
      <c r="BA505">
        <v>1</v>
      </c>
      <c r="BC505" t="s">
        <v>1099</v>
      </c>
      <c r="BD505" s="4">
        <v>43283.724999999999</v>
      </c>
      <c r="BE505" s="4">
        <v>43283.728668981479</v>
      </c>
      <c r="BF505" s="4">
        <v>43283.728668981479</v>
      </c>
      <c r="BG505" t="s">
        <v>83</v>
      </c>
      <c r="BH505" t="s">
        <v>84</v>
      </c>
      <c r="BI505" t="s">
        <v>85</v>
      </c>
    </row>
    <row r="506" spans="1:61" x14ac:dyDescent="0.3">
      <c r="A506" t="str">
        <f>"200858B0100"</f>
        <v>200858B0100</v>
      </c>
      <c r="B506" t="s">
        <v>1100</v>
      </c>
      <c r="C506">
        <v>20</v>
      </c>
      <c r="D506" t="s">
        <v>79</v>
      </c>
      <c r="E506">
        <v>3</v>
      </c>
      <c r="F506" t="s">
        <v>915</v>
      </c>
      <c r="G506">
        <v>858</v>
      </c>
      <c r="H506">
        <v>1</v>
      </c>
      <c r="I506" t="s">
        <v>81</v>
      </c>
      <c r="J506">
        <v>0</v>
      </c>
      <c r="K506">
        <v>2</v>
      </c>
      <c r="L506">
        <v>2</v>
      </c>
      <c r="M506">
        <v>99</v>
      </c>
      <c r="N506">
        <v>421</v>
      </c>
      <c r="O506">
        <v>0</v>
      </c>
      <c r="P506">
        <v>421</v>
      </c>
      <c r="Q506">
        <v>2</v>
      </c>
      <c r="R506">
        <v>141</v>
      </c>
      <c r="S506">
        <v>33</v>
      </c>
      <c r="T506">
        <v>2</v>
      </c>
      <c r="U506">
        <v>2</v>
      </c>
      <c r="V506">
        <v>1</v>
      </c>
      <c r="W506">
        <v>1</v>
      </c>
      <c r="X506">
        <v>1</v>
      </c>
      <c r="Y506">
        <v>219</v>
      </c>
      <c r="Z506">
        <v>2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1</v>
      </c>
      <c r="AG506">
        <v>0</v>
      </c>
      <c r="AH506">
        <v>1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1</v>
      </c>
      <c r="AT506">
        <v>0</v>
      </c>
      <c r="AU506">
        <v>15</v>
      </c>
      <c r="AV506">
        <v>421</v>
      </c>
      <c r="AW506">
        <v>422</v>
      </c>
      <c r="AX506">
        <v>498</v>
      </c>
      <c r="BA506">
        <v>1</v>
      </c>
      <c r="BC506" t="s">
        <v>1101</v>
      </c>
      <c r="BD506" s="4">
        <v>43283.728472222225</v>
      </c>
      <c r="BE506" s="4">
        <v>43283.734189814815</v>
      </c>
      <c r="BF506" s="4">
        <v>43283.734189814815</v>
      </c>
      <c r="BG506" t="s">
        <v>83</v>
      </c>
      <c r="BH506" t="s">
        <v>84</v>
      </c>
      <c r="BI506" t="s">
        <v>85</v>
      </c>
    </row>
    <row r="507" spans="1:61" x14ac:dyDescent="0.3">
      <c r="A507" t="str">
        <f>"200858C0100"</f>
        <v>200858C0100</v>
      </c>
      <c r="B507" t="s">
        <v>1102</v>
      </c>
      <c r="C507">
        <v>20</v>
      </c>
      <c r="D507" t="s">
        <v>79</v>
      </c>
      <c r="E507">
        <v>3</v>
      </c>
      <c r="F507" t="s">
        <v>915</v>
      </c>
      <c r="G507">
        <v>858</v>
      </c>
      <c r="H507">
        <v>1</v>
      </c>
      <c r="I507" t="s">
        <v>89</v>
      </c>
      <c r="J507">
        <v>0</v>
      </c>
      <c r="K507">
        <v>2</v>
      </c>
      <c r="L507">
        <v>2</v>
      </c>
      <c r="AX507">
        <v>497</v>
      </c>
      <c r="AZ507" t="s">
        <v>156</v>
      </c>
      <c r="BA507">
        <v>0</v>
      </c>
      <c r="BC507" t="s">
        <v>1103</v>
      </c>
      <c r="BD507" s="4">
        <v>43283.795138888891</v>
      </c>
      <c r="BE507" s="4">
        <v>43283.798773148148</v>
      </c>
      <c r="BF507" s="4">
        <v>43283.798773148148</v>
      </c>
      <c r="BG507" t="s">
        <v>83</v>
      </c>
      <c r="BH507" t="s">
        <v>84</v>
      </c>
      <c r="BI507" t="s">
        <v>85</v>
      </c>
    </row>
    <row r="508" spans="1:61" x14ac:dyDescent="0.3">
      <c r="A508" t="str">
        <f>"200858E0100"</f>
        <v>200858E0100</v>
      </c>
      <c r="B508" s="2" t="s">
        <v>1104</v>
      </c>
      <c r="C508">
        <v>20</v>
      </c>
      <c r="D508" t="s">
        <v>79</v>
      </c>
      <c r="E508">
        <v>3</v>
      </c>
      <c r="F508" t="s">
        <v>915</v>
      </c>
      <c r="G508">
        <v>858</v>
      </c>
      <c r="H508">
        <v>1</v>
      </c>
      <c r="I508" t="s">
        <v>145</v>
      </c>
      <c r="J508">
        <v>0</v>
      </c>
      <c r="K508">
        <v>2</v>
      </c>
      <c r="L508">
        <v>2</v>
      </c>
      <c r="M508" t="s">
        <v>100</v>
      </c>
      <c r="N508" t="s">
        <v>100</v>
      </c>
      <c r="O508" t="s">
        <v>100</v>
      </c>
      <c r="P508" t="s">
        <v>100</v>
      </c>
      <c r="Q508">
        <v>0</v>
      </c>
      <c r="R508" t="s">
        <v>315</v>
      </c>
      <c r="S508">
        <v>83</v>
      </c>
      <c r="T508">
        <v>3</v>
      </c>
      <c r="U508">
        <v>2</v>
      </c>
      <c r="V508">
        <v>0</v>
      </c>
      <c r="W508">
        <v>1</v>
      </c>
      <c r="X508">
        <v>2</v>
      </c>
      <c r="Y508">
        <v>145</v>
      </c>
      <c r="Z508">
        <v>1</v>
      </c>
      <c r="AA508">
        <v>2</v>
      </c>
      <c r="AB508">
        <v>0</v>
      </c>
      <c r="AC508" t="s">
        <v>100</v>
      </c>
      <c r="AD508">
        <v>1</v>
      </c>
      <c r="AE508" t="s">
        <v>100</v>
      </c>
      <c r="AF508" t="s">
        <v>100</v>
      </c>
      <c r="AG508" t="s">
        <v>100</v>
      </c>
      <c r="AH508" t="s">
        <v>100</v>
      </c>
      <c r="AI508" t="s">
        <v>100</v>
      </c>
      <c r="AJ508" t="s">
        <v>100</v>
      </c>
      <c r="AK508" t="s">
        <v>100</v>
      </c>
      <c r="AL508" t="s">
        <v>100</v>
      </c>
      <c r="AM508">
        <v>1</v>
      </c>
      <c r="AN508" t="s">
        <v>100</v>
      </c>
      <c r="AT508" t="s">
        <v>100</v>
      </c>
      <c r="AU508" t="s">
        <v>100</v>
      </c>
      <c r="AV508" t="s">
        <v>100</v>
      </c>
      <c r="AW508">
        <v>241</v>
      </c>
      <c r="AX508">
        <v>400</v>
      </c>
      <c r="AZ508" t="s">
        <v>101</v>
      </c>
      <c r="BA508">
        <v>1</v>
      </c>
      <c r="BC508" t="s">
        <v>1105</v>
      </c>
      <c r="BD508" s="4">
        <v>43283.729861111111</v>
      </c>
      <c r="BE508" s="4">
        <v>43283.744074074071</v>
      </c>
      <c r="BF508" s="4">
        <v>43283.744074074071</v>
      </c>
      <c r="BG508" t="s">
        <v>83</v>
      </c>
      <c r="BH508" t="s">
        <v>84</v>
      </c>
      <c r="BI508" t="s">
        <v>85</v>
      </c>
    </row>
    <row r="509" spans="1:61" x14ac:dyDescent="0.3">
      <c r="A509" t="str">
        <f>"200858E0101"</f>
        <v>200858E0101</v>
      </c>
      <c r="B509" s="2" t="s">
        <v>1106</v>
      </c>
      <c r="C509">
        <v>20</v>
      </c>
      <c r="D509" t="s">
        <v>79</v>
      </c>
      <c r="E509">
        <v>3</v>
      </c>
      <c r="F509" t="s">
        <v>915</v>
      </c>
      <c r="G509">
        <v>858</v>
      </c>
      <c r="H509">
        <v>1</v>
      </c>
      <c r="I509" t="s">
        <v>145</v>
      </c>
      <c r="J509">
        <v>1</v>
      </c>
      <c r="K509">
        <v>2</v>
      </c>
      <c r="L509">
        <v>2</v>
      </c>
      <c r="M509">
        <v>106</v>
      </c>
      <c r="N509">
        <v>316</v>
      </c>
      <c r="O509">
        <v>1</v>
      </c>
      <c r="P509">
        <v>316</v>
      </c>
      <c r="Q509">
        <v>1</v>
      </c>
      <c r="R509">
        <v>71</v>
      </c>
      <c r="S509">
        <v>94</v>
      </c>
      <c r="T509">
        <v>3</v>
      </c>
      <c r="U509">
        <v>4</v>
      </c>
      <c r="V509">
        <v>2</v>
      </c>
      <c r="W509">
        <v>0</v>
      </c>
      <c r="X509">
        <v>0</v>
      </c>
      <c r="Y509">
        <v>123</v>
      </c>
      <c r="Z509">
        <v>2</v>
      </c>
      <c r="AA509">
        <v>2</v>
      </c>
      <c r="AB509" t="s">
        <v>100</v>
      </c>
      <c r="AC509" t="s">
        <v>100</v>
      </c>
      <c r="AD509" t="s">
        <v>100</v>
      </c>
      <c r="AE509" t="s">
        <v>100</v>
      </c>
      <c r="AF509" t="s">
        <v>100</v>
      </c>
      <c r="AG509" t="s">
        <v>100</v>
      </c>
      <c r="AH509">
        <v>2</v>
      </c>
      <c r="AI509" t="s">
        <v>100</v>
      </c>
      <c r="AJ509" t="s">
        <v>100</v>
      </c>
      <c r="AK509" t="s">
        <v>100</v>
      </c>
      <c r="AL509" t="s">
        <v>100</v>
      </c>
      <c r="AM509" t="s">
        <v>100</v>
      </c>
      <c r="AN509">
        <v>1</v>
      </c>
      <c r="AT509" t="s">
        <v>100</v>
      </c>
      <c r="AU509">
        <v>11</v>
      </c>
      <c r="AV509">
        <v>316</v>
      </c>
      <c r="AW509">
        <v>316</v>
      </c>
      <c r="AX509">
        <v>400</v>
      </c>
      <c r="AZ509" t="s">
        <v>101</v>
      </c>
      <c r="BA509">
        <v>1</v>
      </c>
      <c r="BC509" t="s">
        <v>1107</v>
      </c>
      <c r="BD509" s="4">
        <v>43283.731249999997</v>
      </c>
      <c r="BE509" s="4">
        <v>43283.741909722223</v>
      </c>
      <c r="BF509" s="4">
        <v>43283.741909722223</v>
      </c>
      <c r="BG509" t="s">
        <v>83</v>
      </c>
      <c r="BH509" t="s">
        <v>84</v>
      </c>
      <c r="BI509" t="s">
        <v>85</v>
      </c>
    </row>
    <row r="510" spans="1:61" x14ac:dyDescent="0.3">
      <c r="A510" t="str">
        <f>"200858E0200"</f>
        <v>200858E0200</v>
      </c>
      <c r="B510" s="2" t="s">
        <v>1108</v>
      </c>
      <c r="C510">
        <v>20</v>
      </c>
      <c r="D510" t="s">
        <v>79</v>
      </c>
      <c r="E510">
        <v>3</v>
      </c>
      <c r="F510" t="s">
        <v>915</v>
      </c>
      <c r="G510">
        <v>858</v>
      </c>
      <c r="H510">
        <v>2</v>
      </c>
      <c r="I510" t="s">
        <v>145</v>
      </c>
      <c r="J510">
        <v>0</v>
      </c>
      <c r="K510">
        <v>2</v>
      </c>
      <c r="L510">
        <v>2</v>
      </c>
      <c r="M510">
        <v>86</v>
      </c>
      <c r="N510">
        <v>157</v>
      </c>
      <c r="O510">
        <v>0</v>
      </c>
      <c r="P510">
        <v>157</v>
      </c>
      <c r="Q510">
        <v>3</v>
      </c>
      <c r="R510">
        <v>1</v>
      </c>
      <c r="S510">
        <v>14</v>
      </c>
      <c r="T510">
        <v>10</v>
      </c>
      <c r="U510">
        <v>2</v>
      </c>
      <c r="V510">
        <v>1</v>
      </c>
      <c r="W510">
        <v>0</v>
      </c>
      <c r="X510">
        <v>0</v>
      </c>
      <c r="Y510">
        <v>116</v>
      </c>
      <c r="Z510">
        <v>0</v>
      </c>
      <c r="AA510">
        <v>0</v>
      </c>
      <c r="AB510">
        <v>0</v>
      </c>
      <c r="AC510">
        <v>2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1</v>
      </c>
      <c r="AM510">
        <v>0</v>
      </c>
      <c r="AN510">
        <v>0</v>
      </c>
      <c r="AT510">
        <v>0</v>
      </c>
      <c r="AU510">
        <v>7</v>
      </c>
      <c r="AV510">
        <v>157</v>
      </c>
      <c r="AW510">
        <v>157</v>
      </c>
      <c r="AX510">
        <v>221</v>
      </c>
      <c r="BA510">
        <v>1</v>
      </c>
      <c r="BC510" t="s">
        <v>1109</v>
      </c>
      <c r="BD510" s="4">
        <v>43283.729166666664</v>
      </c>
      <c r="BE510" s="4">
        <v>43283.738263888888</v>
      </c>
      <c r="BF510" s="4">
        <v>43283.738263888888</v>
      </c>
      <c r="BG510" t="s">
        <v>83</v>
      </c>
      <c r="BH510" t="s">
        <v>84</v>
      </c>
      <c r="BI510" t="s">
        <v>85</v>
      </c>
    </row>
    <row r="511" spans="1:61" x14ac:dyDescent="0.3">
      <c r="A511" t="str">
        <f>"200859B0100"</f>
        <v>200859B0100</v>
      </c>
      <c r="B511" t="s">
        <v>1110</v>
      </c>
      <c r="C511">
        <v>20</v>
      </c>
      <c r="D511" t="s">
        <v>79</v>
      </c>
      <c r="E511">
        <v>3</v>
      </c>
      <c r="F511" t="s">
        <v>915</v>
      </c>
      <c r="G511">
        <v>859</v>
      </c>
      <c r="H511">
        <v>1</v>
      </c>
      <c r="I511" t="s">
        <v>81</v>
      </c>
      <c r="J511">
        <v>0</v>
      </c>
      <c r="K511">
        <v>2</v>
      </c>
      <c r="L511">
        <v>2</v>
      </c>
      <c r="M511">
        <v>99</v>
      </c>
      <c r="N511">
        <v>521</v>
      </c>
      <c r="O511">
        <v>0</v>
      </c>
      <c r="P511">
        <v>422</v>
      </c>
      <c r="Q511" t="s">
        <v>100</v>
      </c>
      <c r="R511">
        <v>97</v>
      </c>
      <c r="S511">
        <v>59</v>
      </c>
      <c r="T511">
        <v>25</v>
      </c>
      <c r="U511">
        <v>2</v>
      </c>
      <c r="V511">
        <v>5</v>
      </c>
      <c r="W511" t="s">
        <v>100</v>
      </c>
      <c r="X511">
        <v>2</v>
      </c>
      <c r="Y511">
        <v>207</v>
      </c>
      <c r="Z511" t="s">
        <v>100</v>
      </c>
      <c r="AA511" t="s">
        <v>100</v>
      </c>
      <c r="AB511" t="s">
        <v>100</v>
      </c>
      <c r="AC511" t="s">
        <v>100</v>
      </c>
      <c r="AD511" t="s">
        <v>100</v>
      </c>
      <c r="AE511" t="s">
        <v>100</v>
      </c>
      <c r="AF511" t="s">
        <v>100</v>
      </c>
      <c r="AG511" t="s">
        <v>100</v>
      </c>
      <c r="AH511" t="s">
        <v>100</v>
      </c>
      <c r="AI511" t="s">
        <v>100</v>
      </c>
      <c r="AJ511" t="s">
        <v>100</v>
      </c>
      <c r="AK511" t="s">
        <v>100</v>
      </c>
      <c r="AL511" t="s">
        <v>100</v>
      </c>
      <c r="AM511" t="s">
        <v>100</v>
      </c>
      <c r="AN511" t="s">
        <v>100</v>
      </c>
      <c r="AT511" t="s">
        <v>100</v>
      </c>
      <c r="AU511" t="s">
        <v>100</v>
      </c>
      <c r="AV511" t="s">
        <v>100</v>
      </c>
      <c r="AW511">
        <v>397</v>
      </c>
      <c r="AX511">
        <v>499</v>
      </c>
      <c r="AZ511" t="s">
        <v>101</v>
      </c>
      <c r="BA511">
        <v>1</v>
      </c>
      <c r="BC511" t="s">
        <v>1111</v>
      </c>
      <c r="BD511" s="4">
        <v>43283.731944444444</v>
      </c>
      <c r="BE511" s="4">
        <v>43283.740601851852</v>
      </c>
      <c r="BF511" s="4">
        <v>43283.740601851852</v>
      </c>
      <c r="BG511" t="s">
        <v>83</v>
      </c>
      <c r="BH511" t="s">
        <v>84</v>
      </c>
      <c r="BI511" t="s">
        <v>85</v>
      </c>
    </row>
    <row r="512" spans="1:61" x14ac:dyDescent="0.3">
      <c r="A512" t="str">
        <f>"200859C0100"</f>
        <v>200859C0100</v>
      </c>
      <c r="B512" t="s">
        <v>1112</v>
      </c>
      <c r="C512">
        <v>20</v>
      </c>
      <c r="D512" t="s">
        <v>79</v>
      </c>
      <c r="E512">
        <v>3</v>
      </c>
      <c r="F512" t="s">
        <v>915</v>
      </c>
      <c r="G512">
        <v>859</v>
      </c>
      <c r="H512">
        <v>1</v>
      </c>
      <c r="I512" t="s">
        <v>89</v>
      </c>
      <c r="J512">
        <v>0</v>
      </c>
      <c r="K512">
        <v>2</v>
      </c>
      <c r="L512">
        <v>2</v>
      </c>
      <c r="M512" t="s">
        <v>100</v>
      </c>
      <c r="N512" t="s">
        <v>100</v>
      </c>
      <c r="O512" t="s">
        <v>100</v>
      </c>
      <c r="P512" t="s">
        <v>100</v>
      </c>
      <c r="Q512">
        <v>9</v>
      </c>
      <c r="R512">
        <v>147</v>
      </c>
      <c r="S512">
        <v>57</v>
      </c>
      <c r="T512">
        <v>22</v>
      </c>
      <c r="U512">
        <v>4</v>
      </c>
      <c r="V512">
        <v>2</v>
      </c>
      <c r="W512">
        <v>1</v>
      </c>
      <c r="X512">
        <v>157</v>
      </c>
      <c r="Y512">
        <v>2</v>
      </c>
      <c r="Z512" t="s">
        <v>100</v>
      </c>
      <c r="AA512" t="s">
        <v>100</v>
      </c>
      <c r="AB512" t="s">
        <v>100</v>
      </c>
      <c r="AC512" t="s">
        <v>100</v>
      </c>
      <c r="AD512" t="s">
        <v>100</v>
      </c>
      <c r="AE512" t="s">
        <v>100</v>
      </c>
      <c r="AF512" t="s">
        <v>100</v>
      </c>
      <c r="AG512" t="s">
        <v>100</v>
      </c>
      <c r="AH512" t="s">
        <v>100</v>
      </c>
      <c r="AI512" t="s">
        <v>100</v>
      </c>
      <c r="AJ512" t="s">
        <v>100</v>
      </c>
      <c r="AK512">
        <v>2</v>
      </c>
      <c r="AL512">
        <v>1</v>
      </c>
      <c r="AM512" t="s">
        <v>100</v>
      </c>
      <c r="AN512" t="s">
        <v>100</v>
      </c>
      <c r="AT512" t="s">
        <v>100</v>
      </c>
      <c r="AU512">
        <v>3</v>
      </c>
      <c r="AV512" t="s">
        <v>100</v>
      </c>
      <c r="AW512">
        <v>407</v>
      </c>
      <c r="AX512">
        <v>499</v>
      </c>
      <c r="AZ512" t="s">
        <v>101</v>
      </c>
      <c r="BA512">
        <v>1</v>
      </c>
      <c r="BC512" t="s">
        <v>1113</v>
      </c>
      <c r="BD512" s="4">
        <v>43283.738194444442</v>
      </c>
      <c r="BE512" s="4">
        <v>43283.747430555559</v>
      </c>
      <c r="BF512" s="4">
        <v>43283.747430555559</v>
      </c>
      <c r="BG512" t="s">
        <v>83</v>
      </c>
      <c r="BH512" t="s">
        <v>84</v>
      </c>
      <c r="BI512" t="s">
        <v>85</v>
      </c>
    </row>
    <row r="513" spans="1:61" x14ac:dyDescent="0.3">
      <c r="A513" t="str">
        <f>"200860B0100"</f>
        <v>200860B0100</v>
      </c>
      <c r="B513" t="s">
        <v>1114</v>
      </c>
      <c r="C513">
        <v>20</v>
      </c>
      <c r="D513" t="s">
        <v>79</v>
      </c>
      <c r="E513">
        <v>3</v>
      </c>
      <c r="F513" t="s">
        <v>915</v>
      </c>
      <c r="G513">
        <v>860</v>
      </c>
      <c r="H513">
        <v>1</v>
      </c>
      <c r="I513" t="s">
        <v>81</v>
      </c>
      <c r="J513">
        <v>0</v>
      </c>
      <c r="K513">
        <v>2</v>
      </c>
      <c r="L513">
        <v>2</v>
      </c>
      <c r="M513">
        <v>106</v>
      </c>
      <c r="N513">
        <v>569</v>
      </c>
      <c r="O513">
        <v>0</v>
      </c>
      <c r="P513">
        <v>570</v>
      </c>
      <c r="Q513">
        <v>6</v>
      </c>
      <c r="R513">
        <v>77</v>
      </c>
      <c r="S513">
        <v>158</v>
      </c>
      <c r="T513">
        <v>6</v>
      </c>
      <c r="U513">
        <v>2</v>
      </c>
      <c r="V513">
        <v>5</v>
      </c>
      <c r="W513">
        <v>4</v>
      </c>
      <c r="X513">
        <v>4</v>
      </c>
      <c r="Y513">
        <v>277</v>
      </c>
      <c r="Z513">
        <v>4</v>
      </c>
      <c r="AA513">
        <v>1</v>
      </c>
      <c r="AB513">
        <v>1</v>
      </c>
      <c r="AC513">
        <v>0</v>
      </c>
      <c r="AD513">
        <v>1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4</v>
      </c>
      <c r="AT513">
        <v>0</v>
      </c>
      <c r="AU513">
        <v>20</v>
      </c>
      <c r="AV513">
        <v>570</v>
      </c>
      <c r="AW513">
        <v>570</v>
      </c>
      <c r="AX513">
        <v>654</v>
      </c>
      <c r="BA513">
        <v>1</v>
      </c>
      <c r="BC513" t="s">
        <v>1115</v>
      </c>
      <c r="BD513" s="4">
        <v>43283.736805555556</v>
      </c>
      <c r="BE513" s="4">
        <v>43283.74113425926</v>
      </c>
      <c r="BF513" s="4">
        <v>43283.74113425926</v>
      </c>
      <c r="BG513" t="s">
        <v>83</v>
      </c>
      <c r="BH513" t="s">
        <v>84</v>
      </c>
      <c r="BI513" t="s">
        <v>85</v>
      </c>
    </row>
    <row r="514" spans="1:61" x14ac:dyDescent="0.3">
      <c r="A514" t="str">
        <f>"200861B0100"</f>
        <v>200861B0100</v>
      </c>
      <c r="B514" t="s">
        <v>1116</v>
      </c>
      <c r="C514">
        <v>20</v>
      </c>
      <c r="D514" t="s">
        <v>79</v>
      </c>
      <c r="E514">
        <v>3</v>
      </c>
      <c r="F514" t="s">
        <v>915</v>
      </c>
      <c r="G514">
        <v>861</v>
      </c>
      <c r="H514">
        <v>1</v>
      </c>
      <c r="I514" t="s">
        <v>81</v>
      </c>
      <c r="J514">
        <v>0</v>
      </c>
      <c r="K514">
        <v>2</v>
      </c>
      <c r="L514">
        <v>2</v>
      </c>
      <c r="M514">
        <v>112</v>
      </c>
      <c r="N514">
        <v>523</v>
      </c>
      <c r="O514">
        <v>0</v>
      </c>
      <c r="P514" t="s">
        <v>100</v>
      </c>
      <c r="Q514">
        <v>4</v>
      </c>
      <c r="R514">
        <v>164</v>
      </c>
      <c r="S514">
        <v>71</v>
      </c>
      <c r="T514">
        <v>3</v>
      </c>
      <c r="U514">
        <v>2</v>
      </c>
      <c r="V514">
        <v>8</v>
      </c>
      <c r="W514">
        <v>4</v>
      </c>
      <c r="X514">
        <v>1</v>
      </c>
      <c r="Y514">
        <v>240</v>
      </c>
      <c r="Z514">
        <v>3</v>
      </c>
      <c r="AA514">
        <v>1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1</v>
      </c>
      <c r="AL514">
        <v>0</v>
      </c>
      <c r="AM514">
        <v>0</v>
      </c>
      <c r="AN514">
        <v>1</v>
      </c>
      <c r="AT514" t="s">
        <v>100</v>
      </c>
      <c r="AU514">
        <v>20</v>
      </c>
      <c r="AV514">
        <v>523</v>
      </c>
      <c r="AW514">
        <v>523</v>
      </c>
      <c r="AX514">
        <v>614</v>
      </c>
      <c r="AZ514" t="s">
        <v>101</v>
      </c>
      <c r="BA514">
        <v>1</v>
      </c>
      <c r="BC514" t="s">
        <v>1117</v>
      </c>
      <c r="BD514" s="4">
        <v>43283.736111111109</v>
      </c>
      <c r="BE514" s="4">
        <v>43283.744097222225</v>
      </c>
      <c r="BF514" s="4">
        <v>43283.744097222225</v>
      </c>
      <c r="BG514" t="s">
        <v>83</v>
      </c>
      <c r="BH514" t="s">
        <v>84</v>
      </c>
      <c r="BI514" t="s">
        <v>85</v>
      </c>
    </row>
    <row r="515" spans="1:61" x14ac:dyDescent="0.3">
      <c r="A515" t="str">
        <f>"200861C0100"</f>
        <v>200861C0100</v>
      </c>
      <c r="B515" t="s">
        <v>1118</v>
      </c>
      <c r="C515">
        <v>20</v>
      </c>
      <c r="D515" t="s">
        <v>79</v>
      </c>
      <c r="E515">
        <v>3</v>
      </c>
      <c r="F515" t="s">
        <v>915</v>
      </c>
      <c r="G515">
        <v>861</v>
      </c>
      <c r="H515">
        <v>1</v>
      </c>
      <c r="I515" t="s">
        <v>89</v>
      </c>
      <c r="J515">
        <v>0</v>
      </c>
      <c r="K515">
        <v>2</v>
      </c>
      <c r="L515">
        <v>2</v>
      </c>
      <c r="M515">
        <v>99</v>
      </c>
      <c r="N515">
        <v>536</v>
      </c>
      <c r="O515">
        <v>0</v>
      </c>
      <c r="P515" t="s">
        <v>100</v>
      </c>
      <c r="Q515">
        <v>154</v>
      </c>
      <c r="R515">
        <v>61</v>
      </c>
      <c r="S515">
        <v>2</v>
      </c>
      <c r="T515">
        <v>3</v>
      </c>
      <c r="U515">
        <v>6</v>
      </c>
      <c r="V515">
        <v>2</v>
      </c>
      <c r="W515">
        <v>2</v>
      </c>
      <c r="X515">
        <v>292</v>
      </c>
      <c r="Y515">
        <v>4</v>
      </c>
      <c r="Z515">
        <v>1</v>
      </c>
      <c r="AA515">
        <v>2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1</v>
      </c>
      <c r="AN515">
        <v>0</v>
      </c>
      <c r="AT515">
        <v>1</v>
      </c>
      <c r="AU515">
        <v>1</v>
      </c>
      <c r="AV515">
        <v>1</v>
      </c>
      <c r="AW515">
        <v>532</v>
      </c>
      <c r="AX515">
        <v>613</v>
      </c>
      <c r="BA515">
        <v>1</v>
      </c>
      <c r="BC515" t="s">
        <v>1119</v>
      </c>
      <c r="BD515" s="4">
        <v>43283.732638888891</v>
      </c>
      <c r="BE515" s="4">
        <v>43283.747708333336</v>
      </c>
      <c r="BF515" s="4">
        <v>43283.747708333336</v>
      </c>
      <c r="BG515" t="s">
        <v>83</v>
      </c>
      <c r="BH515" t="s">
        <v>84</v>
      </c>
      <c r="BI515" t="s">
        <v>85</v>
      </c>
    </row>
    <row r="516" spans="1:61" x14ac:dyDescent="0.3">
      <c r="A516" t="str">
        <f>"200861E0100"</f>
        <v>200861E0100</v>
      </c>
      <c r="B516" s="2" t="s">
        <v>1120</v>
      </c>
      <c r="C516">
        <v>20</v>
      </c>
      <c r="D516" t="s">
        <v>79</v>
      </c>
      <c r="E516">
        <v>3</v>
      </c>
      <c r="F516" t="s">
        <v>915</v>
      </c>
      <c r="G516">
        <v>861</v>
      </c>
      <c r="H516">
        <v>1</v>
      </c>
      <c r="I516" t="s">
        <v>145</v>
      </c>
      <c r="J516">
        <v>0</v>
      </c>
      <c r="K516">
        <v>2</v>
      </c>
      <c r="L516">
        <v>2</v>
      </c>
      <c r="M516" t="s">
        <v>100</v>
      </c>
      <c r="N516" t="s">
        <v>100</v>
      </c>
      <c r="O516" t="s">
        <v>100</v>
      </c>
      <c r="P516" t="s">
        <v>100</v>
      </c>
      <c r="Q516">
        <v>6</v>
      </c>
      <c r="R516">
        <v>145</v>
      </c>
      <c r="S516">
        <v>59</v>
      </c>
      <c r="T516">
        <v>6</v>
      </c>
      <c r="U516">
        <v>4</v>
      </c>
      <c r="V516">
        <v>5</v>
      </c>
      <c r="W516">
        <v>3</v>
      </c>
      <c r="X516">
        <v>3</v>
      </c>
      <c r="Y516">
        <v>375</v>
      </c>
      <c r="Z516">
        <v>10</v>
      </c>
      <c r="AA516">
        <v>1</v>
      </c>
      <c r="AB516">
        <v>0</v>
      </c>
      <c r="AC516">
        <v>1</v>
      </c>
      <c r="AD516">
        <v>1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2</v>
      </c>
      <c r="AL516">
        <v>1</v>
      </c>
      <c r="AM516">
        <v>0</v>
      </c>
      <c r="AN516">
        <v>2</v>
      </c>
      <c r="AT516">
        <v>0</v>
      </c>
      <c r="AU516">
        <v>8</v>
      </c>
      <c r="AV516">
        <v>632</v>
      </c>
      <c r="AW516">
        <v>632</v>
      </c>
      <c r="AX516">
        <v>715</v>
      </c>
      <c r="BA516">
        <v>1</v>
      </c>
      <c r="BC516" t="s">
        <v>1121</v>
      </c>
      <c r="BD516" s="4">
        <v>43283.740277777775</v>
      </c>
      <c r="BE516" s="4">
        <v>43283.746689814812</v>
      </c>
      <c r="BF516" s="4">
        <v>43283.746689814812</v>
      </c>
      <c r="BG516" t="s">
        <v>83</v>
      </c>
      <c r="BH516" t="s">
        <v>84</v>
      </c>
      <c r="BI516" t="s">
        <v>85</v>
      </c>
    </row>
    <row r="517" spans="1:61" x14ac:dyDescent="0.3">
      <c r="A517" t="str">
        <f>"200861E0200"</f>
        <v>200861E0200</v>
      </c>
      <c r="B517" s="2" t="s">
        <v>1122</v>
      </c>
      <c r="C517">
        <v>20</v>
      </c>
      <c r="D517" t="s">
        <v>79</v>
      </c>
      <c r="E517">
        <v>3</v>
      </c>
      <c r="F517" t="s">
        <v>915</v>
      </c>
      <c r="G517">
        <v>861</v>
      </c>
      <c r="H517">
        <v>2</v>
      </c>
      <c r="I517" t="s">
        <v>145</v>
      </c>
      <c r="J517">
        <v>0</v>
      </c>
      <c r="K517">
        <v>2</v>
      </c>
      <c r="L517">
        <v>2</v>
      </c>
      <c r="M517">
        <v>70</v>
      </c>
      <c r="N517">
        <v>366</v>
      </c>
      <c r="O517">
        <v>0</v>
      </c>
      <c r="P517">
        <v>366</v>
      </c>
      <c r="Q517">
        <v>5</v>
      </c>
      <c r="R517">
        <v>86</v>
      </c>
      <c r="S517">
        <v>58</v>
      </c>
      <c r="T517">
        <v>0</v>
      </c>
      <c r="U517">
        <v>2</v>
      </c>
      <c r="V517">
        <v>0</v>
      </c>
      <c r="W517">
        <v>0</v>
      </c>
      <c r="X517">
        <v>3</v>
      </c>
      <c r="Y517">
        <v>201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1</v>
      </c>
      <c r="AL517">
        <v>0</v>
      </c>
      <c r="AM517">
        <v>0</v>
      </c>
      <c r="AN517">
        <v>0</v>
      </c>
      <c r="AT517">
        <v>0</v>
      </c>
      <c r="AU517">
        <v>10</v>
      </c>
      <c r="AV517">
        <v>366</v>
      </c>
      <c r="AW517">
        <v>366</v>
      </c>
      <c r="AX517">
        <v>414</v>
      </c>
      <c r="BA517">
        <v>1</v>
      </c>
      <c r="BC517" t="s">
        <v>1123</v>
      </c>
      <c r="BD517" s="4">
        <v>43283.743055555555</v>
      </c>
      <c r="BE517" s="4">
        <v>43283.748668981483</v>
      </c>
      <c r="BF517" s="4">
        <v>43283.748668981483</v>
      </c>
      <c r="BG517" t="s">
        <v>83</v>
      </c>
      <c r="BH517" t="s">
        <v>84</v>
      </c>
      <c r="BI517" t="s">
        <v>85</v>
      </c>
    </row>
    <row r="518" spans="1:61" x14ac:dyDescent="0.3">
      <c r="A518" t="str">
        <f>"200866B0100"</f>
        <v>200866B0100</v>
      </c>
      <c r="B518" t="s">
        <v>1124</v>
      </c>
      <c r="C518">
        <v>20</v>
      </c>
      <c r="D518" t="s">
        <v>79</v>
      </c>
      <c r="E518">
        <v>3</v>
      </c>
      <c r="F518" t="s">
        <v>915</v>
      </c>
      <c r="G518">
        <v>866</v>
      </c>
      <c r="H518">
        <v>1</v>
      </c>
      <c r="I518" t="s">
        <v>81</v>
      </c>
      <c r="J518">
        <v>0</v>
      </c>
      <c r="K518">
        <v>2</v>
      </c>
      <c r="L518">
        <v>2</v>
      </c>
      <c r="AX518">
        <v>700</v>
      </c>
      <c r="AZ518" t="s">
        <v>156</v>
      </c>
      <c r="BA518">
        <v>0</v>
      </c>
      <c r="BC518" t="s">
        <v>1125</v>
      </c>
      <c r="BD518" s="4">
        <v>43283.794444444444</v>
      </c>
      <c r="BE518" s="4">
        <v>43283.798263888886</v>
      </c>
      <c r="BF518" s="4">
        <v>43283.798263888886</v>
      </c>
      <c r="BG518" t="s">
        <v>83</v>
      </c>
      <c r="BH518" t="s">
        <v>84</v>
      </c>
      <c r="BI518" t="s">
        <v>85</v>
      </c>
    </row>
    <row r="519" spans="1:61" x14ac:dyDescent="0.3">
      <c r="A519" t="str">
        <f>"200866C0100"</f>
        <v>200866C0100</v>
      </c>
      <c r="B519" t="s">
        <v>1126</v>
      </c>
      <c r="C519">
        <v>20</v>
      </c>
      <c r="D519" t="s">
        <v>79</v>
      </c>
      <c r="E519">
        <v>3</v>
      </c>
      <c r="F519" t="s">
        <v>915</v>
      </c>
      <c r="G519">
        <v>866</v>
      </c>
      <c r="H519">
        <v>1</v>
      </c>
      <c r="I519" t="s">
        <v>89</v>
      </c>
      <c r="J519">
        <v>0</v>
      </c>
      <c r="K519">
        <v>2</v>
      </c>
      <c r="L519">
        <v>2</v>
      </c>
      <c r="AX519">
        <v>700</v>
      </c>
      <c r="AZ519" t="s">
        <v>156</v>
      </c>
      <c r="BA519">
        <v>0</v>
      </c>
      <c r="BC519" t="s">
        <v>1127</v>
      </c>
      <c r="BD519" s="4">
        <v>43283.794444444444</v>
      </c>
      <c r="BE519" s="4">
        <v>43283.798101851855</v>
      </c>
      <c r="BF519" s="4">
        <v>43283.798101851855</v>
      </c>
      <c r="BG519" t="s">
        <v>83</v>
      </c>
      <c r="BH519" t="s">
        <v>84</v>
      </c>
      <c r="BI519" t="s">
        <v>85</v>
      </c>
    </row>
    <row r="520" spans="1:61" x14ac:dyDescent="0.3">
      <c r="A520" t="str">
        <f>"200866C0200"</f>
        <v>200866C0200</v>
      </c>
      <c r="B520" t="s">
        <v>1128</v>
      </c>
      <c r="C520">
        <v>20</v>
      </c>
      <c r="D520" t="s">
        <v>79</v>
      </c>
      <c r="E520">
        <v>3</v>
      </c>
      <c r="F520" t="s">
        <v>915</v>
      </c>
      <c r="G520">
        <v>866</v>
      </c>
      <c r="H520">
        <v>2</v>
      </c>
      <c r="I520" t="s">
        <v>89</v>
      </c>
      <c r="J520">
        <v>0</v>
      </c>
      <c r="K520">
        <v>2</v>
      </c>
      <c r="L520">
        <v>2</v>
      </c>
      <c r="AX520">
        <v>699</v>
      </c>
      <c r="AZ520" t="s">
        <v>156</v>
      </c>
      <c r="BA520">
        <v>0</v>
      </c>
      <c r="BC520" t="s">
        <v>1129</v>
      </c>
      <c r="BD520" s="4">
        <v>43283.794444444444</v>
      </c>
      <c r="BE520" s="4">
        <v>43283.798136574071</v>
      </c>
      <c r="BF520" s="4">
        <v>43283.798136574071</v>
      </c>
      <c r="BG520" t="s">
        <v>83</v>
      </c>
      <c r="BH520" t="s">
        <v>84</v>
      </c>
      <c r="BI520" t="s">
        <v>85</v>
      </c>
    </row>
    <row r="521" spans="1:61" x14ac:dyDescent="0.3">
      <c r="A521" t="str">
        <f>"200867B0100"</f>
        <v>200867B0100</v>
      </c>
      <c r="B521" t="s">
        <v>1130</v>
      </c>
      <c r="C521">
        <v>20</v>
      </c>
      <c r="D521" t="s">
        <v>79</v>
      </c>
      <c r="E521">
        <v>3</v>
      </c>
      <c r="F521" t="s">
        <v>915</v>
      </c>
      <c r="G521">
        <v>867</v>
      </c>
      <c r="H521">
        <v>1</v>
      </c>
      <c r="I521" t="s">
        <v>81</v>
      </c>
      <c r="J521">
        <v>0</v>
      </c>
      <c r="K521">
        <v>2</v>
      </c>
      <c r="L521">
        <v>2</v>
      </c>
      <c r="M521">
        <v>124</v>
      </c>
      <c r="N521">
        <v>553</v>
      </c>
      <c r="O521">
        <v>1</v>
      </c>
      <c r="P521">
        <v>553</v>
      </c>
      <c r="Q521">
        <v>43</v>
      </c>
      <c r="R521">
        <v>123</v>
      </c>
      <c r="S521">
        <v>4</v>
      </c>
      <c r="T521">
        <v>12</v>
      </c>
      <c r="U521">
        <v>9</v>
      </c>
      <c r="V521">
        <v>2</v>
      </c>
      <c r="W521">
        <v>49</v>
      </c>
      <c r="X521">
        <v>1</v>
      </c>
      <c r="Y521">
        <v>270</v>
      </c>
      <c r="Z521">
        <v>7</v>
      </c>
      <c r="AA521">
        <v>1</v>
      </c>
      <c r="AB521">
        <v>2</v>
      </c>
      <c r="AC521">
        <v>0</v>
      </c>
      <c r="AD521">
        <v>0</v>
      </c>
      <c r="AE521">
        <v>0</v>
      </c>
      <c r="AF521">
        <v>0</v>
      </c>
      <c r="AG521">
        <v>1</v>
      </c>
      <c r="AH521">
        <v>0</v>
      </c>
      <c r="AI521">
        <v>0</v>
      </c>
      <c r="AJ521">
        <v>0</v>
      </c>
      <c r="AK521">
        <v>2</v>
      </c>
      <c r="AL521">
        <v>0</v>
      </c>
      <c r="AM521">
        <v>0</v>
      </c>
      <c r="AN521">
        <v>3</v>
      </c>
      <c r="AT521">
        <v>0</v>
      </c>
      <c r="AU521">
        <v>24</v>
      </c>
      <c r="AV521">
        <v>553</v>
      </c>
      <c r="AW521">
        <v>553</v>
      </c>
      <c r="AX521">
        <v>653</v>
      </c>
      <c r="BA521">
        <v>1</v>
      </c>
      <c r="BC521" t="s">
        <v>1131</v>
      </c>
      <c r="BD521" s="4">
        <v>43283.762499999997</v>
      </c>
      <c r="BE521" s="4">
        <v>43283.767511574071</v>
      </c>
      <c r="BF521" s="4">
        <v>43283.767511574071</v>
      </c>
      <c r="BG521" t="s">
        <v>83</v>
      </c>
      <c r="BH521" t="s">
        <v>84</v>
      </c>
      <c r="BI521" t="s">
        <v>85</v>
      </c>
    </row>
    <row r="522" spans="1:61" x14ac:dyDescent="0.3">
      <c r="A522" t="str">
        <f>"200867C0100"</f>
        <v>200867C0100</v>
      </c>
      <c r="B522" t="s">
        <v>1132</v>
      </c>
      <c r="C522">
        <v>20</v>
      </c>
      <c r="D522" t="s">
        <v>79</v>
      </c>
      <c r="E522">
        <v>3</v>
      </c>
      <c r="F522" t="s">
        <v>915</v>
      </c>
      <c r="G522">
        <v>867</v>
      </c>
      <c r="H522">
        <v>1</v>
      </c>
      <c r="I522" t="s">
        <v>89</v>
      </c>
      <c r="J522">
        <v>0</v>
      </c>
      <c r="K522">
        <v>2</v>
      </c>
      <c r="L522">
        <v>2</v>
      </c>
      <c r="M522">
        <v>118</v>
      </c>
      <c r="N522">
        <v>559</v>
      </c>
      <c r="O522">
        <v>0</v>
      </c>
      <c r="P522" t="s">
        <v>100</v>
      </c>
      <c r="Q522">
        <v>53</v>
      </c>
      <c r="R522">
        <v>125</v>
      </c>
      <c r="S522">
        <v>2</v>
      </c>
      <c r="T522">
        <v>2</v>
      </c>
      <c r="U522">
        <v>9</v>
      </c>
      <c r="V522">
        <v>2</v>
      </c>
      <c r="W522">
        <v>49</v>
      </c>
      <c r="X522">
        <v>1</v>
      </c>
      <c r="Y522">
        <v>277</v>
      </c>
      <c r="Z522">
        <v>4</v>
      </c>
      <c r="AA522">
        <v>1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T522">
        <v>0</v>
      </c>
      <c r="AU522">
        <v>31</v>
      </c>
      <c r="AV522">
        <v>559</v>
      </c>
      <c r="AW522">
        <v>556</v>
      </c>
      <c r="AX522">
        <v>653</v>
      </c>
      <c r="BA522">
        <v>1</v>
      </c>
      <c r="BC522" t="s">
        <v>1133</v>
      </c>
      <c r="BD522" s="4">
        <v>43283.703472222223</v>
      </c>
      <c r="BE522" s="4">
        <v>43283.707673611112</v>
      </c>
      <c r="BF522" s="4">
        <v>43283.707673611112</v>
      </c>
      <c r="BG522" t="s">
        <v>83</v>
      </c>
      <c r="BH522" t="s">
        <v>84</v>
      </c>
      <c r="BI522" t="s">
        <v>85</v>
      </c>
    </row>
    <row r="523" spans="1:61" x14ac:dyDescent="0.3">
      <c r="A523" t="str">
        <f>"200867C0200"</f>
        <v>200867C0200</v>
      </c>
      <c r="B523" t="s">
        <v>1134</v>
      </c>
      <c r="C523">
        <v>20</v>
      </c>
      <c r="D523" t="s">
        <v>79</v>
      </c>
      <c r="E523">
        <v>3</v>
      </c>
      <c r="F523" t="s">
        <v>915</v>
      </c>
      <c r="G523">
        <v>867</v>
      </c>
      <c r="H523">
        <v>2</v>
      </c>
      <c r="I523" t="s">
        <v>89</v>
      </c>
      <c r="J523">
        <v>0</v>
      </c>
      <c r="K523">
        <v>2</v>
      </c>
      <c r="L523">
        <v>2</v>
      </c>
      <c r="M523">
        <v>131</v>
      </c>
      <c r="N523">
        <v>546</v>
      </c>
      <c r="O523">
        <v>0</v>
      </c>
      <c r="P523">
        <v>546</v>
      </c>
      <c r="Q523">
        <v>52</v>
      </c>
      <c r="R523">
        <v>118</v>
      </c>
      <c r="S523">
        <v>7</v>
      </c>
      <c r="T523">
        <v>2</v>
      </c>
      <c r="U523">
        <v>12</v>
      </c>
      <c r="V523">
        <v>2</v>
      </c>
      <c r="W523">
        <v>39</v>
      </c>
      <c r="X523">
        <v>3</v>
      </c>
      <c r="Y523">
        <v>279</v>
      </c>
      <c r="Z523">
        <v>0</v>
      </c>
      <c r="AA523">
        <v>2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T523">
        <v>0</v>
      </c>
      <c r="AU523">
        <v>30</v>
      </c>
      <c r="AV523">
        <v>546</v>
      </c>
      <c r="AW523">
        <v>546</v>
      </c>
      <c r="AX523">
        <v>652</v>
      </c>
      <c r="BA523">
        <v>1</v>
      </c>
      <c r="BC523" t="s">
        <v>1135</v>
      </c>
      <c r="BD523" s="4">
        <v>43283.7</v>
      </c>
      <c r="BE523" s="4">
        <v>43283.706493055557</v>
      </c>
      <c r="BF523" s="4">
        <v>43283.706493055557</v>
      </c>
      <c r="BG523" t="s">
        <v>83</v>
      </c>
      <c r="BH523" t="s">
        <v>84</v>
      </c>
      <c r="BI523" t="s">
        <v>85</v>
      </c>
    </row>
    <row r="524" spans="1:61" x14ac:dyDescent="0.3">
      <c r="A524" t="str">
        <f>"200867C0300"</f>
        <v>200867C0300</v>
      </c>
      <c r="B524" t="s">
        <v>1136</v>
      </c>
      <c r="C524">
        <v>20</v>
      </c>
      <c r="D524" t="s">
        <v>79</v>
      </c>
      <c r="E524">
        <v>3</v>
      </c>
      <c r="F524" t="s">
        <v>915</v>
      </c>
      <c r="G524">
        <v>867</v>
      </c>
      <c r="H524">
        <v>3</v>
      </c>
      <c r="I524" t="s">
        <v>89</v>
      </c>
      <c r="J524">
        <v>0</v>
      </c>
      <c r="K524">
        <v>2</v>
      </c>
      <c r="L524">
        <v>2</v>
      </c>
      <c r="M524">
        <v>98</v>
      </c>
      <c r="N524">
        <v>574</v>
      </c>
      <c r="O524">
        <v>4</v>
      </c>
      <c r="P524">
        <v>574</v>
      </c>
      <c r="Q524">
        <v>50</v>
      </c>
      <c r="R524">
        <v>145</v>
      </c>
      <c r="S524">
        <v>6</v>
      </c>
      <c r="T524">
        <v>7</v>
      </c>
      <c r="U524">
        <v>6</v>
      </c>
      <c r="V524">
        <v>3</v>
      </c>
      <c r="W524">
        <v>59</v>
      </c>
      <c r="X524">
        <v>2</v>
      </c>
      <c r="Y524">
        <v>267</v>
      </c>
      <c r="Z524">
        <v>7</v>
      </c>
      <c r="AA524">
        <v>1</v>
      </c>
      <c r="AB524">
        <v>0</v>
      </c>
      <c r="AC524">
        <v>0</v>
      </c>
      <c r="AD524">
        <v>2</v>
      </c>
      <c r="AE524">
        <v>1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2</v>
      </c>
      <c r="AT524">
        <v>0</v>
      </c>
      <c r="AU524">
        <v>16</v>
      </c>
      <c r="AV524">
        <v>574</v>
      </c>
      <c r="AW524">
        <v>574</v>
      </c>
      <c r="AX524">
        <v>652</v>
      </c>
      <c r="BA524">
        <v>1</v>
      </c>
      <c r="BC524" t="s">
        <v>1137</v>
      </c>
      <c r="BD524" s="4">
        <v>43283.702777777777</v>
      </c>
      <c r="BE524" s="4">
        <v>43283.710370370369</v>
      </c>
      <c r="BF524" s="4">
        <v>43283.710370370369</v>
      </c>
      <c r="BG524" t="s">
        <v>83</v>
      </c>
      <c r="BH524" t="s">
        <v>84</v>
      </c>
      <c r="BI524" t="s">
        <v>85</v>
      </c>
    </row>
    <row r="525" spans="1:61" x14ac:dyDescent="0.3">
      <c r="A525" t="str">
        <f>"200868B0100"</f>
        <v>200868B0100</v>
      </c>
      <c r="B525" t="s">
        <v>1138</v>
      </c>
      <c r="C525">
        <v>20</v>
      </c>
      <c r="D525" t="s">
        <v>79</v>
      </c>
      <c r="E525">
        <v>3</v>
      </c>
      <c r="F525" t="s">
        <v>915</v>
      </c>
      <c r="G525">
        <v>868</v>
      </c>
      <c r="H525">
        <v>1</v>
      </c>
      <c r="I525" t="s">
        <v>81</v>
      </c>
      <c r="J525">
        <v>0</v>
      </c>
      <c r="K525">
        <v>2</v>
      </c>
      <c r="L525">
        <v>2</v>
      </c>
      <c r="M525">
        <v>74</v>
      </c>
      <c r="N525">
        <v>533</v>
      </c>
      <c r="O525">
        <v>1</v>
      </c>
      <c r="P525" t="s">
        <v>100</v>
      </c>
      <c r="Q525">
        <v>48</v>
      </c>
      <c r="R525">
        <v>100</v>
      </c>
      <c r="S525">
        <v>4</v>
      </c>
      <c r="T525">
        <v>6</v>
      </c>
      <c r="U525">
        <v>0</v>
      </c>
      <c r="V525">
        <v>2</v>
      </c>
      <c r="W525">
        <v>59</v>
      </c>
      <c r="X525">
        <v>1</v>
      </c>
      <c r="Y525">
        <v>274</v>
      </c>
      <c r="Z525">
        <v>6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1</v>
      </c>
      <c r="AL525">
        <v>3</v>
      </c>
      <c r="AM525">
        <v>0</v>
      </c>
      <c r="AN525">
        <v>0</v>
      </c>
      <c r="AT525">
        <v>0</v>
      </c>
      <c r="AU525">
        <v>38</v>
      </c>
      <c r="AV525">
        <v>542</v>
      </c>
      <c r="AW525">
        <v>542</v>
      </c>
      <c r="AX525">
        <v>591</v>
      </c>
      <c r="BA525">
        <v>1</v>
      </c>
      <c r="BC525" t="s">
        <v>1139</v>
      </c>
      <c r="BD525" s="4">
        <v>43283.743750000001</v>
      </c>
      <c r="BE525" s="4">
        <v>43283.749907407408</v>
      </c>
      <c r="BF525" s="4">
        <v>43283.749907407408</v>
      </c>
      <c r="BG525" t="s">
        <v>83</v>
      </c>
      <c r="BH525" t="s">
        <v>84</v>
      </c>
      <c r="BI525" t="s">
        <v>85</v>
      </c>
    </row>
    <row r="526" spans="1:61" x14ac:dyDescent="0.3">
      <c r="A526" t="str">
        <f>"200868C0100"</f>
        <v>200868C0100</v>
      </c>
      <c r="B526" t="s">
        <v>1140</v>
      </c>
      <c r="C526">
        <v>20</v>
      </c>
      <c r="D526" t="s">
        <v>79</v>
      </c>
      <c r="E526">
        <v>3</v>
      </c>
      <c r="F526" t="s">
        <v>915</v>
      </c>
      <c r="G526">
        <v>868</v>
      </c>
      <c r="H526">
        <v>1</v>
      </c>
      <c r="I526" t="s">
        <v>89</v>
      </c>
      <c r="J526">
        <v>0</v>
      </c>
      <c r="K526">
        <v>2</v>
      </c>
      <c r="L526">
        <v>2</v>
      </c>
      <c r="M526">
        <v>101</v>
      </c>
      <c r="N526">
        <v>512</v>
      </c>
      <c r="O526">
        <v>0</v>
      </c>
      <c r="P526">
        <v>509</v>
      </c>
      <c r="Q526">
        <v>44</v>
      </c>
      <c r="R526">
        <v>104</v>
      </c>
      <c r="S526">
        <v>1</v>
      </c>
      <c r="T526">
        <v>1</v>
      </c>
      <c r="U526">
        <v>2</v>
      </c>
      <c r="V526">
        <v>0</v>
      </c>
      <c r="W526">
        <v>66</v>
      </c>
      <c r="X526">
        <v>2</v>
      </c>
      <c r="Y526">
        <v>255</v>
      </c>
      <c r="Z526">
        <v>4</v>
      </c>
      <c r="AA526">
        <v>0</v>
      </c>
      <c r="AB526">
        <v>1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T526">
        <v>0</v>
      </c>
      <c r="AU526">
        <v>29</v>
      </c>
      <c r="AV526">
        <v>509</v>
      </c>
      <c r="AW526">
        <v>509</v>
      </c>
      <c r="AX526">
        <v>590</v>
      </c>
      <c r="BA526">
        <v>1</v>
      </c>
      <c r="BC526" t="s">
        <v>1141</v>
      </c>
      <c r="BD526" s="4">
        <v>43283.743750000001</v>
      </c>
      <c r="BE526" s="4">
        <v>43283.750451388885</v>
      </c>
      <c r="BF526" s="4">
        <v>43283.750451388885</v>
      </c>
      <c r="BG526" t="s">
        <v>83</v>
      </c>
      <c r="BH526" t="s">
        <v>84</v>
      </c>
      <c r="BI526" t="s">
        <v>85</v>
      </c>
    </row>
    <row r="527" spans="1:61" x14ac:dyDescent="0.3">
      <c r="A527" t="str">
        <f>"200868E0100"</f>
        <v>200868E0100</v>
      </c>
      <c r="B527" s="2" t="s">
        <v>1142</v>
      </c>
      <c r="C527">
        <v>20</v>
      </c>
      <c r="D527" t="s">
        <v>79</v>
      </c>
      <c r="E527">
        <v>3</v>
      </c>
      <c r="F527" t="s">
        <v>915</v>
      </c>
      <c r="G527">
        <v>868</v>
      </c>
      <c r="H527">
        <v>1</v>
      </c>
      <c r="I527" t="s">
        <v>145</v>
      </c>
      <c r="J527">
        <v>0</v>
      </c>
      <c r="K527">
        <v>2</v>
      </c>
      <c r="L527">
        <v>2</v>
      </c>
      <c r="M527">
        <v>92</v>
      </c>
      <c r="N527">
        <v>463</v>
      </c>
      <c r="O527">
        <v>0</v>
      </c>
      <c r="P527">
        <v>463</v>
      </c>
      <c r="Q527">
        <v>4</v>
      </c>
      <c r="R527">
        <v>52</v>
      </c>
      <c r="S527">
        <v>0</v>
      </c>
      <c r="T527">
        <v>9</v>
      </c>
      <c r="U527">
        <v>7</v>
      </c>
      <c r="V527">
        <v>1</v>
      </c>
      <c r="W527">
        <v>22</v>
      </c>
      <c r="X527">
        <v>1</v>
      </c>
      <c r="Y527">
        <v>348</v>
      </c>
      <c r="Z527">
        <v>9</v>
      </c>
      <c r="AA527">
        <v>1</v>
      </c>
      <c r="AB527">
        <v>2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T527">
        <v>0</v>
      </c>
      <c r="AU527">
        <v>7</v>
      </c>
      <c r="AV527">
        <v>463</v>
      </c>
      <c r="AW527">
        <v>463</v>
      </c>
      <c r="AX527">
        <v>531</v>
      </c>
      <c r="BA527">
        <v>1</v>
      </c>
      <c r="BC527" t="s">
        <v>1143</v>
      </c>
      <c r="BD527" s="4">
        <v>43283.701388888891</v>
      </c>
      <c r="BE527" s="4">
        <v>43283.706585648149</v>
      </c>
      <c r="BF527" s="4">
        <v>43283.706585648149</v>
      </c>
      <c r="BG527" t="s">
        <v>83</v>
      </c>
      <c r="BH527" t="s">
        <v>84</v>
      </c>
      <c r="BI527" t="s">
        <v>85</v>
      </c>
    </row>
    <row r="528" spans="1:61" x14ac:dyDescent="0.3">
      <c r="A528" t="str">
        <f>"200868E0200"</f>
        <v>200868E0200</v>
      </c>
      <c r="B528" s="2" t="s">
        <v>1144</v>
      </c>
      <c r="C528">
        <v>20</v>
      </c>
      <c r="D528" t="s">
        <v>79</v>
      </c>
      <c r="E528">
        <v>3</v>
      </c>
      <c r="F528" t="s">
        <v>915</v>
      </c>
      <c r="G528">
        <v>868</v>
      </c>
      <c r="H528">
        <v>2</v>
      </c>
      <c r="I528" t="s">
        <v>145</v>
      </c>
      <c r="J528">
        <v>0</v>
      </c>
      <c r="K528">
        <v>2</v>
      </c>
      <c r="L528">
        <v>2</v>
      </c>
      <c r="M528">
        <v>62</v>
      </c>
      <c r="N528" t="s">
        <v>315</v>
      </c>
      <c r="O528">
        <v>5</v>
      </c>
      <c r="P528">
        <v>300</v>
      </c>
      <c r="Q528">
        <v>35</v>
      </c>
      <c r="R528">
        <v>118</v>
      </c>
      <c r="S528">
        <v>0</v>
      </c>
      <c r="T528">
        <v>42</v>
      </c>
      <c r="U528">
        <v>2</v>
      </c>
      <c r="V528">
        <v>1</v>
      </c>
      <c r="W528">
        <v>15</v>
      </c>
      <c r="X528">
        <v>0</v>
      </c>
      <c r="Y528">
        <v>81</v>
      </c>
      <c r="Z528">
        <v>1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T528">
        <v>0</v>
      </c>
      <c r="AU528">
        <v>5</v>
      </c>
      <c r="AV528">
        <v>300</v>
      </c>
      <c r="AW528">
        <v>300</v>
      </c>
      <c r="AX528">
        <v>338</v>
      </c>
      <c r="BA528">
        <v>1</v>
      </c>
      <c r="BC528" t="s">
        <v>1145</v>
      </c>
      <c r="BD528" s="4">
        <v>43283.7</v>
      </c>
      <c r="BE528" s="4">
        <v>43283.711446759262</v>
      </c>
      <c r="BF528" s="4">
        <v>43283.711446759262</v>
      </c>
      <c r="BG528" t="s">
        <v>83</v>
      </c>
      <c r="BH528" t="s">
        <v>84</v>
      </c>
      <c r="BI528" t="s">
        <v>85</v>
      </c>
    </row>
    <row r="529" spans="1:61" x14ac:dyDescent="0.3">
      <c r="A529" t="str">
        <f>"200869B0100"</f>
        <v>200869B0100</v>
      </c>
      <c r="B529" t="s">
        <v>1146</v>
      </c>
      <c r="C529">
        <v>20</v>
      </c>
      <c r="D529" t="s">
        <v>79</v>
      </c>
      <c r="E529">
        <v>3</v>
      </c>
      <c r="F529" t="s">
        <v>915</v>
      </c>
      <c r="G529">
        <v>869</v>
      </c>
      <c r="H529">
        <v>1</v>
      </c>
      <c r="I529" t="s">
        <v>81</v>
      </c>
      <c r="J529">
        <v>0</v>
      </c>
      <c r="K529">
        <v>2</v>
      </c>
      <c r="L529">
        <v>2</v>
      </c>
      <c r="AX529">
        <v>664</v>
      </c>
      <c r="AZ529" t="s">
        <v>156</v>
      </c>
      <c r="BA529">
        <v>0</v>
      </c>
      <c r="BC529" t="s">
        <v>1147</v>
      </c>
      <c r="BD529" s="4">
        <v>43283.793749999997</v>
      </c>
      <c r="BE529" s="4">
        <v>43283.797696759262</v>
      </c>
      <c r="BF529" s="4">
        <v>43283.797696759262</v>
      </c>
      <c r="BG529" t="s">
        <v>83</v>
      </c>
      <c r="BH529" t="s">
        <v>84</v>
      </c>
      <c r="BI529" t="s">
        <v>85</v>
      </c>
    </row>
    <row r="530" spans="1:61" x14ac:dyDescent="0.3">
      <c r="A530" t="str">
        <f>"200869C0100"</f>
        <v>200869C0100</v>
      </c>
      <c r="B530" t="s">
        <v>1148</v>
      </c>
      <c r="C530">
        <v>20</v>
      </c>
      <c r="D530" t="s">
        <v>79</v>
      </c>
      <c r="E530">
        <v>3</v>
      </c>
      <c r="F530" t="s">
        <v>915</v>
      </c>
      <c r="G530">
        <v>869</v>
      </c>
      <c r="H530">
        <v>1</v>
      </c>
      <c r="I530" t="s">
        <v>89</v>
      </c>
      <c r="J530">
        <v>0</v>
      </c>
      <c r="K530">
        <v>2</v>
      </c>
      <c r="L530">
        <v>2</v>
      </c>
      <c r="AX530">
        <v>664</v>
      </c>
      <c r="AZ530" t="s">
        <v>156</v>
      </c>
      <c r="BA530">
        <v>0</v>
      </c>
      <c r="BC530" t="s">
        <v>1149</v>
      </c>
      <c r="BD530" s="4">
        <v>43283.793749999997</v>
      </c>
      <c r="BE530" s="4">
        <v>43283.79791666667</v>
      </c>
      <c r="BF530" s="4">
        <v>43283.79791666667</v>
      </c>
      <c r="BG530" t="s">
        <v>83</v>
      </c>
      <c r="BH530" t="s">
        <v>84</v>
      </c>
      <c r="BI530" t="s">
        <v>85</v>
      </c>
    </row>
    <row r="531" spans="1:61" x14ac:dyDescent="0.3">
      <c r="A531" t="str">
        <f>"200870B0100"</f>
        <v>200870B0100</v>
      </c>
      <c r="B531" t="s">
        <v>1150</v>
      </c>
      <c r="C531">
        <v>20</v>
      </c>
      <c r="D531" t="s">
        <v>79</v>
      </c>
      <c r="E531">
        <v>3</v>
      </c>
      <c r="F531" t="s">
        <v>915</v>
      </c>
      <c r="G531">
        <v>870</v>
      </c>
      <c r="H531">
        <v>1</v>
      </c>
      <c r="I531" t="s">
        <v>81</v>
      </c>
      <c r="J531">
        <v>0</v>
      </c>
      <c r="K531">
        <v>2</v>
      </c>
      <c r="L531">
        <v>2</v>
      </c>
      <c r="M531">
        <v>70</v>
      </c>
      <c r="N531">
        <v>415</v>
      </c>
      <c r="O531">
        <v>3</v>
      </c>
      <c r="P531">
        <v>415</v>
      </c>
      <c r="Q531">
        <v>50</v>
      </c>
      <c r="R531">
        <v>60</v>
      </c>
      <c r="S531" t="s">
        <v>100</v>
      </c>
      <c r="T531">
        <v>14</v>
      </c>
      <c r="U531">
        <v>6</v>
      </c>
      <c r="V531">
        <v>2</v>
      </c>
      <c r="W531">
        <v>36</v>
      </c>
      <c r="X531">
        <v>5</v>
      </c>
      <c r="Y531">
        <v>230</v>
      </c>
      <c r="Z531">
        <v>4</v>
      </c>
      <c r="AA531">
        <v>1</v>
      </c>
      <c r="AB531" t="s">
        <v>100</v>
      </c>
      <c r="AC531" t="s">
        <v>100</v>
      </c>
      <c r="AD531" t="s">
        <v>100</v>
      </c>
      <c r="AE531" t="s">
        <v>100</v>
      </c>
      <c r="AF531" t="s">
        <v>100</v>
      </c>
      <c r="AG531" t="s">
        <v>100</v>
      </c>
      <c r="AH531" t="s">
        <v>100</v>
      </c>
      <c r="AI531" t="s">
        <v>100</v>
      </c>
      <c r="AJ531" t="s">
        <v>100</v>
      </c>
      <c r="AK531" t="s">
        <v>100</v>
      </c>
      <c r="AL531" t="s">
        <v>100</v>
      </c>
      <c r="AM531" t="s">
        <v>100</v>
      </c>
      <c r="AN531" t="s">
        <v>100</v>
      </c>
      <c r="AT531" t="s">
        <v>100</v>
      </c>
      <c r="AU531">
        <v>7</v>
      </c>
      <c r="AV531">
        <v>415</v>
      </c>
      <c r="AW531">
        <v>415</v>
      </c>
      <c r="AX531">
        <v>461</v>
      </c>
      <c r="AZ531" t="s">
        <v>101</v>
      </c>
      <c r="BA531">
        <v>1</v>
      </c>
      <c r="BC531" t="s">
        <v>1151</v>
      </c>
      <c r="BD531" s="4">
        <v>43283.268055555556</v>
      </c>
      <c r="BE531" s="4">
        <v>43283.294629629629</v>
      </c>
      <c r="BF531" s="4">
        <v>43283.294629629629</v>
      </c>
      <c r="BG531" t="s">
        <v>83</v>
      </c>
      <c r="BH531" t="s">
        <v>84</v>
      </c>
      <c r="BI531" t="s">
        <v>85</v>
      </c>
    </row>
    <row r="532" spans="1:61" x14ac:dyDescent="0.3">
      <c r="A532" t="str">
        <f>"200943B0100"</f>
        <v>200943B0100</v>
      </c>
      <c r="B532" t="s">
        <v>1152</v>
      </c>
      <c r="C532">
        <v>20</v>
      </c>
      <c r="D532" t="s">
        <v>79</v>
      </c>
      <c r="E532">
        <v>3</v>
      </c>
      <c r="F532" t="s">
        <v>915</v>
      </c>
      <c r="G532">
        <v>943</v>
      </c>
      <c r="H532">
        <v>1</v>
      </c>
      <c r="I532" t="s">
        <v>81</v>
      </c>
      <c r="J532">
        <v>0</v>
      </c>
      <c r="K532">
        <v>2</v>
      </c>
      <c r="L532">
        <v>2</v>
      </c>
      <c r="M532">
        <v>155</v>
      </c>
      <c r="N532">
        <v>560</v>
      </c>
      <c r="O532">
        <v>7</v>
      </c>
      <c r="P532">
        <v>560</v>
      </c>
      <c r="Q532">
        <v>67</v>
      </c>
      <c r="R532">
        <v>112</v>
      </c>
      <c r="S532">
        <v>7</v>
      </c>
      <c r="T532">
        <v>6</v>
      </c>
      <c r="U532">
        <v>17</v>
      </c>
      <c r="V532">
        <v>5</v>
      </c>
      <c r="W532">
        <v>0</v>
      </c>
      <c r="X532">
        <v>20</v>
      </c>
      <c r="Y532">
        <v>222</v>
      </c>
      <c r="Z532">
        <v>45</v>
      </c>
      <c r="AA532">
        <v>16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18</v>
      </c>
      <c r="AL532">
        <v>1</v>
      </c>
      <c r="AM532">
        <v>0</v>
      </c>
      <c r="AN532">
        <v>0</v>
      </c>
      <c r="AT532">
        <v>3</v>
      </c>
      <c r="AU532">
        <v>21</v>
      </c>
      <c r="AV532">
        <v>560</v>
      </c>
      <c r="AW532">
        <v>560</v>
      </c>
      <c r="AX532">
        <v>693</v>
      </c>
      <c r="BA532">
        <v>1</v>
      </c>
      <c r="BC532" t="s">
        <v>1153</v>
      </c>
      <c r="BD532" s="4">
        <v>43283.293749999997</v>
      </c>
      <c r="BE532" s="4">
        <v>43283.322511574072</v>
      </c>
      <c r="BF532" s="4">
        <v>43283.322511574072</v>
      </c>
      <c r="BG532" t="s">
        <v>83</v>
      </c>
      <c r="BH532" t="s">
        <v>84</v>
      </c>
      <c r="BI532" t="s">
        <v>85</v>
      </c>
    </row>
    <row r="533" spans="1:61" x14ac:dyDescent="0.3">
      <c r="A533" t="str">
        <f>"200943C0100"</f>
        <v>200943C0100</v>
      </c>
      <c r="B533" t="s">
        <v>1154</v>
      </c>
      <c r="C533">
        <v>20</v>
      </c>
      <c r="D533" t="s">
        <v>79</v>
      </c>
      <c r="E533">
        <v>3</v>
      </c>
      <c r="F533" t="s">
        <v>915</v>
      </c>
      <c r="G533">
        <v>943</v>
      </c>
      <c r="H533">
        <v>1</v>
      </c>
      <c r="I533" t="s">
        <v>89</v>
      </c>
      <c r="J533">
        <v>0</v>
      </c>
      <c r="K533">
        <v>2</v>
      </c>
      <c r="L533">
        <v>2</v>
      </c>
      <c r="M533">
        <v>180</v>
      </c>
      <c r="N533">
        <v>534</v>
      </c>
      <c r="O533">
        <v>5</v>
      </c>
      <c r="P533">
        <v>534</v>
      </c>
      <c r="Q533">
        <v>49</v>
      </c>
      <c r="R533">
        <v>107</v>
      </c>
      <c r="S533">
        <v>6</v>
      </c>
      <c r="T533">
        <v>10</v>
      </c>
      <c r="U533">
        <v>13</v>
      </c>
      <c r="V533">
        <v>3</v>
      </c>
      <c r="W533">
        <v>0</v>
      </c>
      <c r="X533">
        <v>24</v>
      </c>
      <c r="Y533">
        <v>229</v>
      </c>
      <c r="Z533">
        <v>30</v>
      </c>
      <c r="AA533">
        <v>15</v>
      </c>
      <c r="AB533">
        <v>2</v>
      </c>
      <c r="AC533">
        <v>0</v>
      </c>
      <c r="AD533">
        <v>0</v>
      </c>
      <c r="AE533">
        <v>0</v>
      </c>
      <c r="AF533">
        <v>0</v>
      </c>
      <c r="AG533">
        <v>3</v>
      </c>
      <c r="AH533">
        <v>0</v>
      </c>
      <c r="AI533">
        <v>0</v>
      </c>
      <c r="AJ533">
        <v>0</v>
      </c>
      <c r="AK533">
        <v>17</v>
      </c>
      <c r="AL533">
        <v>0</v>
      </c>
      <c r="AM533">
        <v>1</v>
      </c>
      <c r="AN533">
        <v>6</v>
      </c>
      <c r="AT533">
        <v>0</v>
      </c>
      <c r="AU533">
        <v>19</v>
      </c>
      <c r="AV533">
        <v>534</v>
      </c>
      <c r="AW533">
        <v>534</v>
      </c>
      <c r="AX533">
        <v>692</v>
      </c>
      <c r="BA533">
        <v>1</v>
      </c>
      <c r="BC533" t="s">
        <v>1155</v>
      </c>
      <c r="BD533" s="4">
        <v>43283.293749999997</v>
      </c>
      <c r="BE533" s="4">
        <v>43283.340578703705</v>
      </c>
      <c r="BF533" s="4">
        <v>43283.340578703705</v>
      </c>
      <c r="BG533" t="s">
        <v>83</v>
      </c>
      <c r="BH533" t="s">
        <v>84</v>
      </c>
      <c r="BI533" t="s">
        <v>85</v>
      </c>
    </row>
    <row r="534" spans="1:61" x14ac:dyDescent="0.3">
      <c r="A534" t="str">
        <f>"200943E0100"</f>
        <v>200943E0100</v>
      </c>
      <c r="B534" s="2" t="s">
        <v>1156</v>
      </c>
      <c r="C534">
        <v>20</v>
      </c>
      <c r="D534" t="s">
        <v>79</v>
      </c>
      <c r="E534">
        <v>3</v>
      </c>
      <c r="F534" t="s">
        <v>915</v>
      </c>
      <c r="G534">
        <v>943</v>
      </c>
      <c r="H534">
        <v>1</v>
      </c>
      <c r="I534" t="s">
        <v>145</v>
      </c>
      <c r="J534">
        <v>0</v>
      </c>
      <c r="K534">
        <v>2</v>
      </c>
      <c r="L534">
        <v>2</v>
      </c>
      <c r="M534">
        <v>131</v>
      </c>
      <c r="N534">
        <v>531</v>
      </c>
      <c r="O534">
        <v>5</v>
      </c>
      <c r="P534">
        <v>531</v>
      </c>
      <c r="Q534">
        <v>123</v>
      </c>
      <c r="R534">
        <v>84</v>
      </c>
      <c r="S534">
        <v>9</v>
      </c>
      <c r="T534">
        <v>2</v>
      </c>
      <c r="U534">
        <v>10</v>
      </c>
      <c r="V534">
        <v>7</v>
      </c>
      <c r="W534">
        <v>1</v>
      </c>
      <c r="X534">
        <v>19</v>
      </c>
      <c r="Y534">
        <v>190</v>
      </c>
      <c r="Z534">
        <v>19</v>
      </c>
      <c r="AA534">
        <v>25</v>
      </c>
      <c r="AB534">
        <v>5</v>
      </c>
      <c r="AC534">
        <v>1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11</v>
      </c>
      <c r="AL534">
        <v>2</v>
      </c>
      <c r="AM534">
        <v>0</v>
      </c>
      <c r="AN534">
        <v>6</v>
      </c>
      <c r="AT534">
        <v>0</v>
      </c>
      <c r="AU534">
        <v>17</v>
      </c>
      <c r="AV534">
        <v>531</v>
      </c>
      <c r="AW534">
        <v>531</v>
      </c>
      <c r="AX534">
        <v>640</v>
      </c>
      <c r="BA534">
        <v>1</v>
      </c>
      <c r="BC534" t="s">
        <v>1157</v>
      </c>
      <c r="BD534" s="4">
        <v>43283.303472222222</v>
      </c>
      <c r="BE534" s="4">
        <v>43283.332303240742</v>
      </c>
      <c r="BF534" s="4">
        <v>43283.332303240742</v>
      </c>
      <c r="BG534" t="s">
        <v>83</v>
      </c>
      <c r="BH534" t="s">
        <v>84</v>
      </c>
      <c r="BI534" t="s">
        <v>85</v>
      </c>
    </row>
    <row r="535" spans="1:61" x14ac:dyDescent="0.3">
      <c r="A535" t="str">
        <f>"200944B0100"</f>
        <v>200944B0100</v>
      </c>
      <c r="B535" t="s">
        <v>1158</v>
      </c>
      <c r="C535">
        <v>20</v>
      </c>
      <c r="D535" t="s">
        <v>79</v>
      </c>
      <c r="E535">
        <v>3</v>
      </c>
      <c r="F535" t="s">
        <v>915</v>
      </c>
      <c r="G535">
        <v>944</v>
      </c>
      <c r="H535">
        <v>1</v>
      </c>
      <c r="I535" t="s">
        <v>81</v>
      </c>
      <c r="J535">
        <v>0</v>
      </c>
      <c r="K535">
        <v>2</v>
      </c>
      <c r="L535">
        <v>2</v>
      </c>
      <c r="M535">
        <v>129</v>
      </c>
      <c r="N535">
        <v>460</v>
      </c>
      <c r="O535">
        <v>2</v>
      </c>
      <c r="P535">
        <v>460</v>
      </c>
      <c r="Q535">
        <v>61</v>
      </c>
      <c r="R535">
        <v>57</v>
      </c>
      <c r="S535">
        <v>8</v>
      </c>
      <c r="T535">
        <v>4</v>
      </c>
      <c r="U535">
        <v>11</v>
      </c>
      <c r="V535">
        <v>4</v>
      </c>
      <c r="W535">
        <v>1</v>
      </c>
      <c r="X535">
        <v>25</v>
      </c>
      <c r="Y535">
        <v>231</v>
      </c>
      <c r="Z535">
        <v>27</v>
      </c>
      <c r="AA535">
        <v>7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1</v>
      </c>
      <c r="AJ535">
        <v>0</v>
      </c>
      <c r="AK535">
        <v>10</v>
      </c>
      <c r="AL535">
        <v>0</v>
      </c>
      <c r="AM535">
        <v>2</v>
      </c>
      <c r="AN535">
        <v>0</v>
      </c>
      <c r="AT535">
        <v>0</v>
      </c>
      <c r="AU535">
        <v>11</v>
      </c>
      <c r="AV535">
        <v>460</v>
      </c>
      <c r="AW535">
        <v>460</v>
      </c>
      <c r="AX535">
        <v>567</v>
      </c>
      <c r="BA535">
        <v>1</v>
      </c>
      <c r="BC535" t="s">
        <v>1159</v>
      </c>
      <c r="BD535" s="4">
        <v>43283.285416666666</v>
      </c>
      <c r="BE535" s="4">
        <v>43283.315763888888</v>
      </c>
      <c r="BF535" s="4">
        <v>43283.315763888888</v>
      </c>
      <c r="BG535" t="s">
        <v>83</v>
      </c>
      <c r="BH535" t="s">
        <v>84</v>
      </c>
      <c r="BI535" t="s">
        <v>85</v>
      </c>
    </row>
    <row r="536" spans="1:61" x14ac:dyDescent="0.3">
      <c r="A536" t="str">
        <f>"200944C0100"</f>
        <v>200944C0100</v>
      </c>
      <c r="B536" t="s">
        <v>1160</v>
      </c>
      <c r="C536">
        <v>20</v>
      </c>
      <c r="D536" t="s">
        <v>79</v>
      </c>
      <c r="E536">
        <v>3</v>
      </c>
      <c r="F536" t="s">
        <v>915</v>
      </c>
      <c r="G536">
        <v>944</v>
      </c>
      <c r="H536">
        <v>1</v>
      </c>
      <c r="I536" t="s">
        <v>89</v>
      </c>
      <c r="J536">
        <v>0</v>
      </c>
      <c r="K536">
        <v>2</v>
      </c>
      <c r="L536">
        <v>2</v>
      </c>
      <c r="M536">
        <v>127</v>
      </c>
      <c r="N536">
        <v>462</v>
      </c>
      <c r="O536">
        <v>3</v>
      </c>
      <c r="P536">
        <v>462</v>
      </c>
      <c r="Q536">
        <v>58</v>
      </c>
      <c r="R536">
        <v>75</v>
      </c>
      <c r="S536">
        <v>8</v>
      </c>
      <c r="T536">
        <v>4</v>
      </c>
      <c r="U536">
        <v>12</v>
      </c>
      <c r="V536">
        <v>5</v>
      </c>
      <c r="W536">
        <v>4</v>
      </c>
      <c r="X536">
        <v>22</v>
      </c>
      <c r="Y536">
        <v>205</v>
      </c>
      <c r="Z536">
        <v>22</v>
      </c>
      <c r="AA536">
        <v>7</v>
      </c>
      <c r="AB536">
        <v>2</v>
      </c>
      <c r="AC536">
        <v>0</v>
      </c>
      <c r="AD536">
        <v>0</v>
      </c>
      <c r="AE536">
        <v>2</v>
      </c>
      <c r="AF536">
        <v>0</v>
      </c>
      <c r="AG536">
        <v>1</v>
      </c>
      <c r="AH536">
        <v>1</v>
      </c>
      <c r="AI536">
        <v>0</v>
      </c>
      <c r="AJ536">
        <v>0</v>
      </c>
      <c r="AK536">
        <v>8</v>
      </c>
      <c r="AL536">
        <v>2</v>
      </c>
      <c r="AM536">
        <v>0</v>
      </c>
      <c r="AN536">
        <v>4</v>
      </c>
      <c r="AT536">
        <v>0</v>
      </c>
      <c r="AU536">
        <v>20</v>
      </c>
      <c r="AV536">
        <v>462</v>
      </c>
      <c r="AW536">
        <v>462</v>
      </c>
      <c r="AX536">
        <v>567</v>
      </c>
      <c r="BA536">
        <v>1</v>
      </c>
      <c r="BC536" t="s">
        <v>1161</v>
      </c>
      <c r="BD536" s="4">
        <v>43283.292361111111</v>
      </c>
      <c r="BE536" s="4">
        <v>43283.32371527778</v>
      </c>
      <c r="BF536" s="4">
        <v>43283.32371527778</v>
      </c>
      <c r="BG536" t="s">
        <v>83</v>
      </c>
      <c r="BH536" t="s">
        <v>84</v>
      </c>
      <c r="BI536" t="s">
        <v>85</v>
      </c>
    </row>
    <row r="537" spans="1:61" x14ac:dyDescent="0.3">
      <c r="A537" t="str">
        <f>"200944E0100"</f>
        <v>200944E0100</v>
      </c>
      <c r="B537" s="2" t="s">
        <v>1162</v>
      </c>
      <c r="C537">
        <v>20</v>
      </c>
      <c r="D537" t="s">
        <v>79</v>
      </c>
      <c r="E537">
        <v>3</v>
      </c>
      <c r="F537" t="s">
        <v>915</v>
      </c>
      <c r="G537">
        <v>944</v>
      </c>
      <c r="H537">
        <v>1</v>
      </c>
      <c r="I537" t="s">
        <v>145</v>
      </c>
      <c r="J537">
        <v>0</v>
      </c>
      <c r="K537">
        <v>2</v>
      </c>
      <c r="L537">
        <v>2</v>
      </c>
      <c r="M537">
        <v>140</v>
      </c>
      <c r="N537">
        <v>428</v>
      </c>
      <c r="O537">
        <v>2</v>
      </c>
      <c r="P537">
        <v>428</v>
      </c>
      <c r="Q537">
        <v>51</v>
      </c>
      <c r="R537">
        <v>87</v>
      </c>
      <c r="S537">
        <v>5</v>
      </c>
      <c r="T537">
        <v>0</v>
      </c>
      <c r="U537">
        <v>10</v>
      </c>
      <c r="V537">
        <v>3</v>
      </c>
      <c r="W537">
        <v>0</v>
      </c>
      <c r="X537">
        <v>26</v>
      </c>
      <c r="Y537">
        <v>188</v>
      </c>
      <c r="Z537">
        <v>16</v>
      </c>
      <c r="AA537">
        <v>14</v>
      </c>
      <c r="AB537">
        <v>2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5</v>
      </c>
      <c r="AL537">
        <v>0</v>
      </c>
      <c r="AM537">
        <v>0</v>
      </c>
      <c r="AN537">
        <v>4</v>
      </c>
      <c r="AT537">
        <v>0</v>
      </c>
      <c r="AU537">
        <v>17</v>
      </c>
      <c r="AV537">
        <v>428</v>
      </c>
      <c r="AW537">
        <v>428</v>
      </c>
      <c r="AX537">
        <v>546</v>
      </c>
      <c r="BA537">
        <v>1</v>
      </c>
      <c r="BC537" t="s">
        <v>1163</v>
      </c>
      <c r="BD537" s="4">
        <v>43283.290972222225</v>
      </c>
      <c r="BE537" s="4">
        <v>43283.31795138889</v>
      </c>
      <c r="BF537" s="4">
        <v>43283.31795138889</v>
      </c>
      <c r="BG537" t="s">
        <v>83</v>
      </c>
      <c r="BH537" t="s">
        <v>84</v>
      </c>
      <c r="BI537" t="s">
        <v>85</v>
      </c>
    </row>
    <row r="538" spans="1:61" x14ac:dyDescent="0.3">
      <c r="A538" t="str">
        <f>"200945B0100"</f>
        <v>200945B0100</v>
      </c>
      <c r="B538" t="s">
        <v>1164</v>
      </c>
      <c r="C538">
        <v>20</v>
      </c>
      <c r="D538" t="s">
        <v>79</v>
      </c>
      <c r="E538">
        <v>3</v>
      </c>
      <c r="F538" t="s">
        <v>915</v>
      </c>
      <c r="G538">
        <v>945</v>
      </c>
      <c r="H538">
        <v>1</v>
      </c>
      <c r="I538" t="s">
        <v>81</v>
      </c>
      <c r="J538">
        <v>0</v>
      </c>
      <c r="K538">
        <v>2</v>
      </c>
      <c r="L538">
        <v>2</v>
      </c>
      <c r="M538">
        <v>141</v>
      </c>
      <c r="N538">
        <v>492</v>
      </c>
      <c r="O538">
        <v>2</v>
      </c>
      <c r="P538">
        <v>492</v>
      </c>
      <c r="Q538">
        <v>44</v>
      </c>
      <c r="R538">
        <v>59</v>
      </c>
      <c r="S538">
        <v>5</v>
      </c>
      <c r="T538">
        <v>3</v>
      </c>
      <c r="U538">
        <v>17</v>
      </c>
      <c r="V538">
        <v>14</v>
      </c>
      <c r="W538">
        <v>0</v>
      </c>
      <c r="X538">
        <v>14</v>
      </c>
      <c r="Y538">
        <v>189</v>
      </c>
      <c r="Z538">
        <v>24</v>
      </c>
      <c r="AA538">
        <v>68</v>
      </c>
      <c r="AB538">
        <v>3</v>
      </c>
      <c r="AC538">
        <v>2</v>
      </c>
      <c r="AD538">
        <v>3</v>
      </c>
      <c r="AE538">
        <v>0</v>
      </c>
      <c r="AF538">
        <v>0</v>
      </c>
      <c r="AG538">
        <v>0</v>
      </c>
      <c r="AH538">
        <v>0</v>
      </c>
      <c r="AI538">
        <v>1</v>
      </c>
      <c r="AJ538">
        <v>0</v>
      </c>
      <c r="AK538">
        <v>17</v>
      </c>
      <c r="AL538">
        <v>0</v>
      </c>
      <c r="AM538">
        <v>0</v>
      </c>
      <c r="AN538">
        <v>4</v>
      </c>
      <c r="AT538">
        <v>0</v>
      </c>
      <c r="AU538">
        <v>25</v>
      </c>
      <c r="AV538">
        <v>492</v>
      </c>
      <c r="AW538">
        <v>492</v>
      </c>
      <c r="AX538">
        <v>611</v>
      </c>
      <c r="BA538">
        <v>1</v>
      </c>
      <c r="BC538" t="s">
        <v>1165</v>
      </c>
      <c r="BD538" s="4">
        <v>43283.325694444444</v>
      </c>
      <c r="BE538" s="4">
        <v>43283.348067129627</v>
      </c>
      <c r="BF538" s="4">
        <v>43283.348067129627</v>
      </c>
      <c r="BG538" t="s">
        <v>83</v>
      </c>
      <c r="BH538" t="s">
        <v>84</v>
      </c>
      <c r="BI538" t="s">
        <v>85</v>
      </c>
    </row>
    <row r="539" spans="1:61" x14ac:dyDescent="0.3">
      <c r="A539" t="str">
        <f>"200946B0100"</f>
        <v>200946B0100</v>
      </c>
      <c r="B539" t="s">
        <v>1166</v>
      </c>
      <c r="C539">
        <v>20</v>
      </c>
      <c r="D539" t="s">
        <v>79</v>
      </c>
      <c r="E539">
        <v>3</v>
      </c>
      <c r="F539" t="s">
        <v>915</v>
      </c>
      <c r="G539">
        <v>946</v>
      </c>
      <c r="H539">
        <v>1</v>
      </c>
      <c r="I539" t="s">
        <v>81</v>
      </c>
      <c r="J539">
        <v>0</v>
      </c>
      <c r="K539">
        <v>2</v>
      </c>
      <c r="L539">
        <v>2</v>
      </c>
      <c r="M539">
        <v>159</v>
      </c>
      <c r="N539">
        <v>478</v>
      </c>
      <c r="O539">
        <v>1</v>
      </c>
      <c r="P539">
        <v>0</v>
      </c>
      <c r="Q539">
        <v>50</v>
      </c>
      <c r="R539">
        <v>72</v>
      </c>
      <c r="S539">
        <v>7</v>
      </c>
      <c r="T539">
        <v>5</v>
      </c>
      <c r="U539">
        <v>15</v>
      </c>
      <c r="V539">
        <v>7</v>
      </c>
      <c r="W539">
        <v>1</v>
      </c>
      <c r="X539">
        <v>17</v>
      </c>
      <c r="Y539">
        <v>186</v>
      </c>
      <c r="Z539">
        <v>15</v>
      </c>
      <c r="AA539">
        <v>56</v>
      </c>
      <c r="AB539">
        <v>2</v>
      </c>
      <c r="AC539">
        <v>1</v>
      </c>
      <c r="AD539">
        <v>0</v>
      </c>
      <c r="AE539">
        <v>0</v>
      </c>
      <c r="AF539">
        <v>0</v>
      </c>
      <c r="AG539">
        <v>1</v>
      </c>
      <c r="AH539">
        <v>0</v>
      </c>
      <c r="AI539">
        <v>1</v>
      </c>
      <c r="AJ539">
        <v>0</v>
      </c>
      <c r="AK539">
        <v>14</v>
      </c>
      <c r="AL539">
        <v>0</v>
      </c>
      <c r="AM539">
        <v>1</v>
      </c>
      <c r="AN539">
        <v>2</v>
      </c>
      <c r="AT539">
        <v>0</v>
      </c>
      <c r="AU539">
        <v>25</v>
      </c>
      <c r="AV539">
        <v>478</v>
      </c>
      <c r="AW539">
        <v>478</v>
      </c>
      <c r="AX539">
        <v>615</v>
      </c>
      <c r="BA539">
        <v>1</v>
      </c>
      <c r="BC539" t="s">
        <v>1167</v>
      </c>
      <c r="BD539" s="4">
        <v>43283.411805555559</v>
      </c>
      <c r="BE539" s="4">
        <v>43283.420277777775</v>
      </c>
      <c r="BF539" s="4">
        <v>43283.420277777775</v>
      </c>
      <c r="BG539" t="s">
        <v>83</v>
      </c>
      <c r="BH539" t="s">
        <v>84</v>
      </c>
      <c r="BI539" t="s">
        <v>85</v>
      </c>
    </row>
    <row r="540" spans="1:61" x14ac:dyDescent="0.3">
      <c r="A540" t="str">
        <f>"200946C0100"</f>
        <v>200946C0100</v>
      </c>
      <c r="B540" t="s">
        <v>1168</v>
      </c>
      <c r="C540">
        <v>20</v>
      </c>
      <c r="D540" t="s">
        <v>79</v>
      </c>
      <c r="E540">
        <v>3</v>
      </c>
      <c r="F540" t="s">
        <v>915</v>
      </c>
      <c r="G540">
        <v>946</v>
      </c>
      <c r="H540">
        <v>1</v>
      </c>
      <c r="I540" t="s">
        <v>89</v>
      </c>
      <c r="J540">
        <v>0</v>
      </c>
      <c r="K540">
        <v>2</v>
      </c>
      <c r="L540">
        <v>2</v>
      </c>
      <c r="M540">
        <v>181</v>
      </c>
      <c r="N540">
        <v>455</v>
      </c>
      <c r="O540">
        <v>1</v>
      </c>
      <c r="P540">
        <v>455</v>
      </c>
      <c r="Q540">
        <v>54</v>
      </c>
      <c r="R540">
        <v>64</v>
      </c>
      <c r="S540">
        <v>2</v>
      </c>
      <c r="T540">
        <v>4</v>
      </c>
      <c r="U540">
        <v>15</v>
      </c>
      <c r="V540">
        <v>5</v>
      </c>
      <c r="W540">
        <v>2</v>
      </c>
      <c r="X540">
        <v>11</v>
      </c>
      <c r="Y540">
        <v>162</v>
      </c>
      <c r="Z540">
        <v>22</v>
      </c>
      <c r="AA540">
        <v>73</v>
      </c>
      <c r="AB540">
        <v>3</v>
      </c>
      <c r="AC540">
        <v>2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2</v>
      </c>
      <c r="AL540">
        <v>0</v>
      </c>
      <c r="AM540">
        <v>1</v>
      </c>
      <c r="AN540">
        <v>6</v>
      </c>
      <c r="AT540" t="s">
        <v>100</v>
      </c>
      <c r="AU540">
        <v>27</v>
      </c>
      <c r="AV540">
        <v>455</v>
      </c>
      <c r="AW540">
        <v>455</v>
      </c>
      <c r="AX540">
        <v>614</v>
      </c>
      <c r="AZ540" t="s">
        <v>101</v>
      </c>
      <c r="BA540">
        <v>1</v>
      </c>
      <c r="BC540" t="s">
        <v>1169</v>
      </c>
      <c r="BD540" s="4">
        <v>43283.325694444444</v>
      </c>
      <c r="BE540" s="4">
        <v>43283.347939814812</v>
      </c>
      <c r="BF540" s="4">
        <v>43283.347939814812</v>
      </c>
      <c r="BG540" t="s">
        <v>83</v>
      </c>
      <c r="BH540" t="s">
        <v>84</v>
      </c>
      <c r="BI540" t="s">
        <v>85</v>
      </c>
    </row>
    <row r="541" spans="1:61" x14ac:dyDescent="0.3">
      <c r="A541" t="str">
        <f>"200946E0100"</f>
        <v>200946E0100</v>
      </c>
      <c r="B541" s="2" t="s">
        <v>1170</v>
      </c>
      <c r="C541">
        <v>20</v>
      </c>
      <c r="D541" t="s">
        <v>79</v>
      </c>
      <c r="E541">
        <v>3</v>
      </c>
      <c r="F541" t="s">
        <v>915</v>
      </c>
      <c r="G541">
        <v>946</v>
      </c>
      <c r="H541">
        <v>1</v>
      </c>
      <c r="I541" t="s">
        <v>145</v>
      </c>
      <c r="J541">
        <v>0</v>
      </c>
      <c r="K541">
        <v>2</v>
      </c>
      <c r="L541">
        <v>2</v>
      </c>
      <c r="M541">
        <v>63</v>
      </c>
      <c r="N541">
        <v>364</v>
      </c>
      <c r="O541">
        <v>5</v>
      </c>
      <c r="P541">
        <v>364</v>
      </c>
      <c r="Q541">
        <v>25</v>
      </c>
      <c r="R541">
        <v>72</v>
      </c>
      <c r="S541">
        <v>6</v>
      </c>
      <c r="T541">
        <v>3</v>
      </c>
      <c r="U541">
        <v>5</v>
      </c>
      <c r="V541">
        <v>0</v>
      </c>
      <c r="W541">
        <v>0</v>
      </c>
      <c r="X541">
        <v>4</v>
      </c>
      <c r="Y541">
        <v>147</v>
      </c>
      <c r="Z541">
        <v>25</v>
      </c>
      <c r="AA541">
        <v>45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2</v>
      </c>
      <c r="AH541">
        <v>0</v>
      </c>
      <c r="AI541">
        <v>0</v>
      </c>
      <c r="AJ541">
        <v>0</v>
      </c>
      <c r="AK541">
        <v>9</v>
      </c>
      <c r="AL541">
        <v>0</v>
      </c>
      <c r="AM541">
        <v>0</v>
      </c>
      <c r="AN541">
        <v>1</v>
      </c>
      <c r="AT541">
        <v>0</v>
      </c>
      <c r="AU541">
        <v>17</v>
      </c>
      <c r="AV541">
        <v>361</v>
      </c>
      <c r="AW541">
        <v>361</v>
      </c>
      <c r="AX541">
        <v>405</v>
      </c>
      <c r="BA541">
        <v>1</v>
      </c>
      <c r="BC541" t="s">
        <v>1171</v>
      </c>
      <c r="BD541" s="4">
        <v>43283.325694444444</v>
      </c>
      <c r="BE541" s="4">
        <v>43283.348622685182</v>
      </c>
      <c r="BF541" s="4">
        <v>43283.348622685182</v>
      </c>
      <c r="BG541" t="s">
        <v>83</v>
      </c>
      <c r="BH541" t="s">
        <v>84</v>
      </c>
      <c r="BI541" t="s">
        <v>85</v>
      </c>
    </row>
    <row r="542" spans="1:61" x14ac:dyDescent="0.3">
      <c r="A542" t="str">
        <f>"200947B0100"</f>
        <v>200947B0100</v>
      </c>
      <c r="B542" t="s">
        <v>1172</v>
      </c>
      <c r="C542">
        <v>20</v>
      </c>
      <c r="D542" t="s">
        <v>79</v>
      </c>
      <c r="E542">
        <v>3</v>
      </c>
      <c r="F542" t="s">
        <v>915</v>
      </c>
      <c r="G542">
        <v>947</v>
      </c>
      <c r="H542">
        <v>1</v>
      </c>
      <c r="I542" t="s">
        <v>81</v>
      </c>
      <c r="J542">
        <v>0</v>
      </c>
      <c r="K542">
        <v>2</v>
      </c>
      <c r="L542">
        <v>2</v>
      </c>
      <c r="M542">
        <v>122</v>
      </c>
      <c r="N542">
        <v>518</v>
      </c>
      <c r="O542">
        <v>0</v>
      </c>
      <c r="P542">
        <v>518</v>
      </c>
      <c r="Q542">
        <v>108</v>
      </c>
      <c r="R542">
        <v>96</v>
      </c>
      <c r="S542">
        <v>2</v>
      </c>
      <c r="T542">
        <v>5</v>
      </c>
      <c r="U542">
        <v>17</v>
      </c>
      <c r="V542">
        <v>2</v>
      </c>
      <c r="W542">
        <v>0</v>
      </c>
      <c r="X542">
        <v>6</v>
      </c>
      <c r="Y542">
        <v>232</v>
      </c>
      <c r="Z542">
        <v>16</v>
      </c>
      <c r="AA542">
        <v>10</v>
      </c>
      <c r="AB542">
        <v>1</v>
      </c>
      <c r="AC542">
        <v>1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6</v>
      </c>
      <c r="AL542">
        <v>1</v>
      </c>
      <c r="AM542">
        <v>0</v>
      </c>
      <c r="AN542">
        <v>0</v>
      </c>
      <c r="AT542">
        <v>0</v>
      </c>
      <c r="AU542">
        <v>15</v>
      </c>
      <c r="AV542">
        <v>518</v>
      </c>
      <c r="AW542">
        <v>518</v>
      </c>
      <c r="AX542">
        <v>618</v>
      </c>
      <c r="BA542">
        <v>1</v>
      </c>
      <c r="BC542" t="s">
        <v>1173</v>
      </c>
      <c r="BD542" s="4">
        <v>43283.302777777775</v>
      </c>
      <c r="BE542" s="4">
        <v>43283.328888888886</v>
      </c>
      <c r="BF542" s="4">
        <v>43283.328888888886</v>
      </c>
      <c r="BG542" t="s">
        <v>83</v>
      </c>
      <c r="BH542" t="s">
        <v>84</v>
      </c>
      <c r="BI542" t="s">
        <v>85</v>
      </c>
    </row>
    <row r="543" spans="1:61" x14ac:dyDescent="0.3">
      <c r="A543" t="str">
        <f>"200947C0100"</f>
        <v>200947C0100</v>
      </c>
      <c r="B543" t="s">
        <v>1174</v>
      </c>
      <c r="C543">
        <v>20</v>
      </c>
      <c r="D543" t="s">
        <v>79</v>
      </c>
      <c r="E543">
        <v>3</v>
      </c>
      <c r="F543" t="s">
        <v>915</v>
      </c>
      <c r="G543">
        <v>947</v>
      </c>
      <c r="H543">
        <v>1</v>
      </c>
      <c r="I543" t="s">
        <v>89</v>
      </c>
      <c r="J543">
        <v>0</v>
      </c>
      <c r="K543">
        <v>2</v>
      </c>
      <c r="L543">
        <v>2</v>
      </c>
      <c r="M543">
        <v>140</v>
      </c>
      <c r="N543">
        <v>499</v>
      </c>
      <c r="O543">
        <v>0</v>
      </c>
      <c r="P543">
        <v>499</v>
      </c>
      <c r="Q543">
        <v>112</v>
      </c>
      <c r="R543">
        <v>74</v>
      </c>
      <c r="S543">
        <v>3</v>
      </c>
      <c r="T543">
        <v>7</v>
      </c>
      <c r="U543">
        <v>11</v>
      </c>
      <c r="V543">
        <v>1</v>
      </c>
      <c r="W543">
        <v>2</v>
      </c>
      <c r="X543">
        <v>6</v>
      </c>
      <c r="Y543">
        <v>202</v>
      </c>
      <c r="Z543">
        <v>23</v>
      </c>
      <c r="AA543">
        <v>22</v>
      </c>
      <c r="AB543">
        <v>2</v>
      </c>
      <c r="AC543">
        <v>2</v>
      </c>
      <c r="AD543">
        <v>0</v>
      </c>
      <c r="AE543">
        <v>0</v>
      </c>
      <c r="AF543">
        <v>0</v>
      </c>
      <c r="AG543">
        <v>1</v>
      </c>
      <c r="AH543">
        <v>0</v>
      </c>
      <c r="AI543">
        <v>0</v>
      </c>
      <c r="AJ543">
        <v>0</v>
      </c>
      <c r="AK543">
        <v>13</v>
      </c>
      <c r="AL543">
        <v>3</v>
      </c>
      <c r="AM543">
        <v>0</v>
      </c>
      <c r="AN543">
        <v>0</v>
      </c>
      <c r="AT543">
        <v>1</v>
      </c>
      <c r="AU543">
        <v>14</v>
      </c>
      <c r="AV543">
        <v>499</v>
      </c>
      <c r="AW543">
        <v>499</v>
      </c>
      <c r="AX543">
        <v>617</v>
      </c>
      <c r="BA543">
        <v>1</v>
      </c>
      <c r="BC543" t="s">
        <v>1175</v>
      </c>
      <c r="BD543" s="4">
        <v>43283.301388888889</v>
      </c>
      <c r="BE543" s="4">
        <v>43283.347800925927</v>
      </c>
      <c r="BF543" s="4">
        <v>43283.347800925927</v>
      </c>
      <c r="BG543" t="s">
        <v>83</v>
      </c>
      <c r="BH543" t="s">
        <v>84</v>
      </c>
      <c r="BI543" t="s">
        <v>85</v>
      </c>
    </row>
    <row r="544" spans="1:61" x14ac:dyDescent="0.3">
      <c r="A544" t="str">
        <f>"200948B0100"</f>
        <v>200948B0100</v>
      </c>
      <c r="B544" t="s">
        <v>1176</v>
      </c>
      <c r="C544">
        <v>20</v>
      </c>
      <c r="D544" t="s">
        <v>79</v>
      </c>
      <c r="E544">
        <v>3</v>
      </c>
      <c r="F544" t="s">
        <v>915</v>
      </c>
      <c r="G544">
        <v>948</v>
      </c>
      <c r="H544">
        <v>1</v>
      </c>
      <c r="I544" t="s">
        <v>81</v>
      </c>
      <c r="J544">
        <v>0</v>
      </c>
      <c r="K544">
        <v>1</v>
      </c>
      <c r="L544">
        <v>2</v>
      </c>
      <c r="M544">
        <v>128</v>
      </c>
      <c r="N544">
        <v>526</v>
      </c>
      <c r="O544">
        <v>4</v>
      </c>
      <c r="P544">
        <v>526</v>
      </c>
      <c r="Q544">
        <v>60</v>
      </c>
      <c r="R544">
        <v>120</v>
      </c>
      <c r="S544">
        <v>6</v>
      </c>
      <c r="T544">
        <v>6</v>
      </c>
      <c r="U544">
        <v>15</v>
      </c>
      <c r="V544">
        <v>4</v>
      </c>
      <c r="W544">
        <v>1</v>
      </c>
      <c r="X544">
        <v>26</v>
      </c>
      <c r="Y544">
        <v>204</v>
      </c>
      <c r="Z544">
        <v>29</v>
      </c>
      <c r="AA544">
        <v>13</v>
      </c>
      <c r="AB544">
        <v>5</v>
      </c>
      <c r="AC544">
        <v>0</v>
      </c>
      <c r="AD544">
        <v>2</v>
      </c>
      <c r="AE544">
        <v>0</v>
      </c>
      <c r="AF544">
        <v>0</v>
      </c>
      <c r="AG544">
        <v>0</v>
      </c>
      <c r="AH544">
        <v>3</v>
      </c>
      <c r="AI544">
        <v>1</v>
      </c>
      <c r="AJ544">
        <v>0</v>
      </c>
      <c r="AK544">
        <v>7</v>
      </c>
      <c r="AL544">
        <v>0</v>
      </c>
      <c r="AM544">
        <v>1</v>
      </c>
      <c r="AN544">
        <v>3</v>
      </c>
      <c r="AT544">
        <v>0</v>
      </c>
      <c r="AU544">
        <v>20</v>
      </c>
      <c r="AV544">
        <v>526</v>
      </c>
      <c r="AW544">
        <v>526</v>
      </c>
      <c r="AX544">
        <v>632</v>
      </c>
      <c r="BA544">
        <v>1</v>
      </c>
      <c r="BC544" t="s">
        <v>1177</v>
      </c>
      <c r="BD544" s="4">
        <v>43283.293055555558</v>
      </c>
      <c r="BE544" s="4">
        <v>43283.321736111109</v>
      </c>
      <c r="BF544" s="4">
        <v>43283.321736111109</v>
      </c>
      <c r="BG544" t="s">
        <v>83</v>
      </c>
      <c r="BH544" t="s">
        <v>84</v>
      </c>
      <c r="BI544" t="s">
        <v>85</v>
      </c>
    </row>
    <row r="545" spans="1:61" x14ac:dyDescent="0.3">
      <c r="A545" t="str">
        <f>"200948C0100"</f>
        <v>200948C0100</v>
      </c>
      <c r="B545" t="s">
        <v>1178</v>
      </c>
      <c r="C545">
        <v>20</v>
      </c>
      <c r="D545" t="s">
        <v>79</v>
      </c>
      <c r="E545">
        <v>3</v>
      </c>
      <c r="F545" t="s">
        <v>915</v>
      </c>
      <c r="G545">
        <v>948</v>
      </c>
      <c r="H545">
        <v>1</v>
      </c>
      <c r="I545" t="s">
        <v>89</v>
      </c>
      <c r="J545">
        <v>0</v>
      </c>
      <c r="K545">
        <v>1</v>
      </c>
      <c r="L545">
        <v>2</v>
      </c>
      <c r="M545">
        <v>110</v>
      </c>
      <c r="N545">
        <v>543</v>
      </c>
      <c r="O545">
        <v>4</v>
      </c>
      <c r="P545">
        <v>543</v>
      </c>
      <c r="Q545">
        <v>68</v>
      </c>
      <c r="R545">
        <v>135</v>
      </c>
      <c r="S545">
        <v>4</v>
      </c>
      <c r="T545">
        <v>5</v>
      </c>
      <c r="U545">
        <v>5</v>
      </c>
      <c r="V545">
        <v>5</v>
      </c>
      <c r="W545">
        <v>5</v>
      </c>
      <c r="X545">
        <v>31</v>
      </c>
      <c r="Y545">
        <v>195</v>
      </c>
      <c r="Z545">
        <v>39</v>
      </c>
      <c r="AA545">
        <v>15</v>
      </c>
      <c r="AB545">
        <v>4</v>
      </c>
      <c r="AC545">
        <v>1</v>
      </c>
      <c r="AD545">
        <v>1</v>
      </c>
      <c r="AE545">
        <v>0</v>
      </c>
      <c r="AF545">
        <v>0</v>
      </c>
      <c r="AG545">
        <v>1</v>
      </c>
      <c r="AH545">
        <v>1</v>
      </c>
      <c r="AI545">
        <v>0</v>
      </c>
      <c r="AJ545">
        <v>0</v>
      </c>
      <c r="AK545">
        <v>8</v>
      </c>
      <c r="AL545">
        <v>1</v>
      </c>
      <c r="AM545">
        <v>1</v>
      </c>
      <c r="AN545">
        <v>2</v>
      </c>
      <c r="AT545">
        <v>0</v>
      </c>
      <c r="AU545">
        <v>16</v>
      </c>
      <c r="AV545">
        <v>543</v>
      </c>
      <c r="AW545">
        <v>543</v>
      </c>
      <c r="AX545">
        <v>631</v>
      </c>
      <c r="BA545">
        <v>1</v>
      </c>
      <c r="BC545" t="s">
        <v>1179</v>
      </c>
      <c r="BD545" s="4">
        <v>43283.293749999997</v>
      </c>
      <c r="BE545" s="4">
        <v>43283.320949074077</v>
      </c>
      <c r="BF545" s="4">
        <v>43283.320949074077</v>
      </c>
      <c r="BG545" t="s">
        <v>83</v>
      </c>
      <c r="BH545" t="s">
        <v>84</v>
      </c>
      <c r="BI545" t="s">
        <v>85</v>
      </c>
    </row>
    <row r="546" spans="1:61" x14ac:dyDescent="0.3">
      <c r="A546" t="str">
        <f>"201009B0100"</f>
        <v>201009B0100</v>
      </c>
      <c r="B546" t="s">
        <v>1180</v>
      </c>
      <c r="C546">
        <v>20</v>
      </c>
      <c r="D546" t="s">
        <v>79</v>
      </c>
      <c r="E546">
        <v>3</v>
      </c>
      <c r="F546" t="s">
        <v>915</v>
      </c>
      <c r="G546">
        <v>1009</v>
      </c>
      <c r="H546">
        <v>1</v>
      </c>
      <c r="I546" t="s">
        <v>81</v>
      </c>
      <c r="J546">
        <v>0</v>
      </c>
      <c r="K546">
        <v>2</v>
      </c>
      <c r="L546">
        <v>2</v>
      </c>
      <c r="M546">
        <v>99</v>
      </c>
      <c r="N546">
        <v>423</v>
      </c>
      <c r="O546">
        <v>0</v>
      </c>
      <c r="P546">
        <v>422</v>
      </c>
      <c r="Q546">
        <v>1</v>
      </c>
      <c r="R546">
        <v>116</v>
      </c>
      <c r="S546">
        <v>2</v>
      </c>
      <c r="T546">
        <v>2</v>
      </c>
      <c r="U546">
        <v>38</v>
      </c>
      <c r="V546">
        <v>0</v>
      </c>
      <c r="W546">
        <v>16</v>
      </c>
      <c r="X546">
        <v>59</v>
      </c>
      <c r="Y546">
        <v>163</v>
      </c>
      <c r="Z546">
        <v>5</v>
      </c>
      <c r="AA546">
        <v>0</v>
      </c>
      <c r="AB546">
        <v>1</v>
      </c>
      <c r="AC546">
        <v>0</v>
      </c>
      <c r="AD546">
        <v>0</v>
      </c>
      <c r="AE546">
        <v>0</v>
      </c>
      <c r="AF546">
        <v>0</v>
      </c>
      <c r="AG546">
        <v>2</v>
      </c>
      <c r="AH546">
        <v>0</v>
      </c>
      <c r="AI546">
        <v>2</v>
      </c>
      <c r="AJ546">
        <v>0</v>
      </c>
      <c r="AK546">
        <v>0</v>
      </c>
      <c r="AL546">
        <v>0</v>
      </c>
      <c r="AM546">
        <v>0</v>
      </c>
      <c r="AN546">
        <v>0</v>
      </c>
      <c r="AT546">
        <v>0</v>
      </c>
      <c r="AU546">
        <v>15</v>
      </c>
      <c r="AV546">
        <v>422</v>
      </c>
      <c r="AW546">
        <v>422</v>
      </c>
      <c r="AX546">
        <v>500</v>
      </c>
      <c r="BA546">
        <v>1</v>
      </c>
      <c r="BC546" t="s">
        <v>1181</v>
      </c>
      <c r="BD546" s="4">
        <v>43283.708333333336</v>
      </c>
      <c r="BE546" s="4">
        <v>43283.713958333334</v>
      </c>
      <c r="BF546" s="4">
        <v>43283.713958333334</v>
      </c>
      <c r="BG546" t="s">
        <v>83</v>
      </c>
      <c r="BH546" t="s">
        <v>84</v>
      </c>
      <c r="BI546" t="s">
        <v>85</v>
      </c>
    </row>
    <row r="547" spans="1:61" x14ac:dyDescent="0.3">
      <c r="A547" t="str">
        <f>"201009C0100"</f>
        <v>201009C0100</v>
      </c>
      <c r="B547" t="s">
        <v>1182</v>
      </c>
      <c r="C547">
        <v>20</v>
      </c>
      <c r="D547" t="s">
        <v>79</v>
      </c>
      <c r="E547">
        <v>3</v>
      </c>
      <c r="F547" t="s">
        <v>915</v>
      </c>
      <c r="G547">
        <v>1009</v>
      </c>
      <c r="H547">
        <v>1</v>
      </c>
      <c r="I547" t="s">
        <v>89</v>
      </c>
      <c r="J547">
        <v>0</v>
      </c>
      <c r="K547">
        <v>2</v>
      </c>
      <c r="L547">
        <v>2</v>
      </c>
      <c r="M547">
        <v>89</v>
      </c>
      <c r="N547">
        <v>433</v>
      </c>
      <c r="O547">
        <v>0</v>
      </c>
      <c r="P547">
        <v>433</v>
      </c>
      <c r="Q547">
        <v>1</v>
      </c>
      <c r="R547">
        <v>139</v>
      </c>
      <c r="S547">
        <v>9</v>
      </c>
      <c r="T547">
        <v>3</v>
      </c>
      <c r="U547">
        <v>29</v>
      </c>
      <c r="V547">
        <v>1</v>
      </c>
      <c r="W547">
        <v>6</v>
      </c>
      <c r="X547">
        <v>69</v>
      </c>
      <c r="Y547">
        <v>156</v>
      </c>
      <c r="Z547">
        <v>4</v>
      </c>
      <c r="AA547">
        <v>1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T547">
        <v>0</v>
      </c>
      <c r="AU547">
        <v>15</v>
      </c>
      <c r="AV547">
        <v>433</v>
      </c>
      <c r="AW547">
        <v>433</v>
      </c>
      <c r="AX547">
        <v>500</v>
      </c>
      <c r="BA547">
        <v>1</v>
      </c>
      <c r="BC547" t="s">
        <v>1183</v>
      </c>
      <c r="BD547" s="4">
        <v>43283.70416666667</v>
      </c>
      <c r="BE547" s="4">
        <v>43283.708981481483</v>
      </c>
      <c r="BF547" s="4">
        <v>43283.708981481483</v>
      </c>
      <c r="BG547" t="s">
        <v>83</v>
      </c>
      <c r="BH547" t="s">
        <v>84</v>
      </c>
      <c r="BI547" t="s">
        <v>85</v>
      </c>
    </row>
    <row r="548" spans="1:61" x14ac:dyDescent="0.3">
      <c r="A548" t="str">
        <f>"201009E0100"</f>
        <v>201009E0100</v>
      </c>
      <c r="B548" s="2" t="s">
        <v>1184</v>
      </c>
      <c r="C548">
        <v>20</v>
      </c>
      <c r="D548" t="s">
        <v>79</v>
      </c>
      <c r="E548">
        <v>3</v>
      </c>
      <c r="F548" t="s">
        <v>915</v>
      </c>
      <c r="G548">
        <v>1009</v>
      </c>
      <c r="H548">
        <v>1</v>
      </c>
      <c r="I548" t="s">
        <v>145</v>
      </c>
      <c r="J548">
        <v>0</v>
      </c>
      <c r="K548">
        <v>2</v>
      </c>
      <c r="L548">
        <v>2</v>
      </c>
      <c r="M548">
        <v>60</v>
      </c>
      <c r="N548">
        <v>195</v>
      </c>
      <c r="O548">
        <v>0</v>
      </c>
      <c r="P548">
        <v>195</v>
      </c>
      <c r="Q548">
        <v>0</v>
      </c>
      <c r="R548">
        <v>6</v>
      </c>
      <c r="S548">
        <v>0</v>
      </c>
      <c r="T548">
        <v>0</v>
      </c>
      <c r="U548">
        <v>1</v>
      </c>
      <c r="V548">
        <v>1</v>
      </c>
      <c r="W548">
        <v>0</v>
      </c>
      <c r="X548">
        <v>70</v>
      </c>
      <c r="Y548">
        <v>110</v>
      </c>
      <c r="Z548">
        <v>3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2</v>
      </c>
      <c r="AL548">
        <v>0</v>
      </c>
      <c r="AM548">
        <v>0</v>
      </c>
      <c r="AN548">
        <v>0</v>
      </c>
      <c r="AT548">
        <v>0</v>
      </c>
      <c r="AU548">
        <v>2</v>
      </c>
      <c r="AV548">
        <v>195</v>
      </c>
      <c r="AW548">
        <v>195</v>
      </c>
      <c r="AX548">
        <v>233</v>
      </c>
      <c r="BA548">
        <v>1</v>
      </c>
      <c r="BC548" t="s">
        <v>1185</v>
      </c>
      <c r="BD548" s="4">
        <v>43283.705555555556</v>
      </c>
      <c r="BE548" s="4">
        <v>43283.70884259259</v>
      </c>
      <c r="BF548" s="4">
        <v>43283.70884259259</v>
      </c>
      <c r="BG548" t="s">
        <v>83</v>
      </c>
      <c r="BH548" t="s">
        <v>84</v>
      </c>
      <c r="BI548" t="s">
        <v>85</v>
      </c>
    </row>
    <row r="549" spans="1:61" x14ac:dyDescent="0.3">
      <c r="A549" t="str">
        <f>"201009E0200"</f>
        <v>201009E0200</v>
      </c>
      <c r="B549" s="2" t="s">
        <v>1186</v>
      </c>
      <c r="C549">
        <v>20</v>
      </c>
      <c r="D549" t="s">
        <v>79</v>
      </c>
      <c r="E549">
        <v>3</v>
      </c>
      <c r="F549" t="s">
        <v>915</v>
      </c>
      <c r="G549">
        <v>1009</v>
      </c>
      <c r="H549">
        <v>2</v>
      </c>
      <c r="I549" t="s">
        <v>145</v>
      </c>
      <c r="J549">
        <v>0</v>
      </c>
      <c r="K549">
        <v>2</v>
      </c>
      <c r="L549">
        <v>2</v>
      </c>
      <c r="M549">
        <v>78</v>
      </c>
      <c r="N549">
        <v>372</v>
      </c>
      <c r="O549">
        <v>0</v>
      </c>
      <c r="P549">
        <v>372</v>
      </c>
      <c r="Q549">
        <v>1</v>
      </c>
      <c r="R549">
        <v>110</v>
      </c>
      <c r="S549">
        <v>0</v>
      </c>
      <c r="T549">
        <v>1</v>
      </c>
      <c r="U549">
        <v>2</v>
      </c>
      <c r="V549">
        <v>7</v>
      </c>
      <c r="W549">
        <v>21</v>
      </c>
      <c r="X549">
        <v>25</v>
      </c>
      <c r="Y549">
        <v>193</v>
      </c>
      <c r="Z549">
        <v>4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1</v>
      </c>
      <c r="AL549">
        <v>0</v>
      </c>
      <c r="AM549">
        <v>0</v>
      </c>
      <c r="AN549">
        <v>0</v>
      </c>
      <c r="AT549">
        <v>0</v>
      </c>
      <c r="AU549">
        <v>13</v>
      </c>
      <c r="AV549">
        <v>372</v>
      </c>
      <c r="AW549">
        <v>378</v>
      </c>
      <c r="AX549">
        <v>428</v>
      </c>
      <c r="BA549">
        <v>1</v>
      </c>
      <c r="BC549" t="s">
        <v>1187</v>
      </c>
      <c r="BD549" s="4">
        <v>43283.705555555556</v>
      </c>
      <c r="BE549" s="4">
        <v>43283.708703703705</v>
      </c>
      <c r="BF549" s="4">
        <v>43283.708703703705</v>
      </c>
      <c r="BG549" t="s">
        <v>83</v>
      </c>
      <c r="BH549" t="s">
        <v>84</v>
      </c>
      <c r="BI549" t="s">
        <v>85</v>
      </c>
    </row>
    <row r="550" spans="1:61" x14ac:dyDescent="0.3">
      <c r="A550" t="str">
        <f>"201050B0100"</f>
        <v>201050B0100</v>
      </c>
      <c r="B550" t="s">
        <v>1188</v>
      </c>
      <c r="C550">
        <v>20</v>
      </c>
      <c r="D550" t="s">
        <v>79</v>
      </c>
      <c r="E550">
        <v>3</v>
      </c>
      <c r="F550" t="s">
        <v>915</v>
      </c>
      <c r="G550">
        <v>1050</v>
      </c>
      <c r="H550">
        <v>1</v>
      </c>
      <c r="I550" t="s">
        <v>81</v>
      </c>
      <c r="J550">
        <v>0</v>
      </c>
      <c r="K550">
        <v>2</v>
      </c>
      <c r="L550">
        <v>2</v>
      </c>
      <c r="M550">
        <v>152</v>
      </c>
      <c r="N550">
        <v>317</v>
      </c>
      <c r="O550">
        <v>3</v>
      </c>
      <c r="P550">
        <v>314</v>
      </c>
      <c r="Q550">
        <v>13</v>
      </c>
      <c r="R550">
        <v>29</v>
      </c>
      <c r="S550">
        <v>21</v>
      </c>
      <c r="T550">
        <v>20</v>
      </c>
      <c r="U550">
        <v>7</v>
      </c>
      <c r="V550">
        <v>4</v>
      </c>
      <c r="W550">
        <v>1</v>
      </c>
      <c r="X550">
        <v>37</v>
      </c>
      <c r="Y550">
        <v>150</v>
      </c>
      <c r="Z550">
        <v>10</v>
      </c>
      <c r="AA550">
        <v>1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1</v>
      </c>
      <c r="AI550">
        <v>0</v>
      </c>
      <c r="AJ550">
        <v>0</v>
      </c>
      <c r="AK550">
        <v>4</v>
      </c>
      <c r="AL550">
        <v>1</v>
      </c>
      <c r="AM550">
        <v>0</v>
      </c>
      <c r="AN550">
        <v>0</v>
      </c>
      <c r="AT550">
        <v>0</v>
      </c>
      <c r="AU550" t="s">
        <v>315</v>
      </c>
      <c r="AV550">
        <v>317</v>
      </c>
      <c r="AW550">
        <v>299</v>
      </c>
      <c r="AX550">
        <v>446</v>
      </c>
      <c r="AZ550" t="s">
        <v>101</v>
      </c>
      <c r="BA550">
        <v>1</v>
      </c>
      <c r="BC550" t="s">
        <v>1189</v>
      </c>
      <c r="BD550" s="4">
        <v>43283.206944444442</v>
      </c>
      <c r="BE550" s="4">
        <v>43283.243113425924</v>
      </c>
      <c r="BF550" s="4">
        <v>43283.243113425924</v>
      </c>
      <c r="BG550" t="s">
        <v>83</v>
      </c>
      <c r="BH550" t="s">
        <v>84</v>
      </c>
      <c r="BI550" t="s">
        <v>85</v>
      </c>
    </row>
    <row r="551" spans="1:61" x14ac:dyDescent="0.3">
      <c r="A551" t="str">
        <f>"201050C0100"</f>
        <v>201050C0100</v>
      </c>
      <c r="B551" t="s">
        <v>1190</v>
      </c>
      <c r="C551">
        <v>20</v>
      </c>
      <c r="D551" t="s">
        <v>79</v>
      </c>
      <c r="E551">
        <v>3</v>
      </c>
      <c r="F551" t="s">
        <v>915</v>
      </c>
      <c r="G551">
        <v>1050</v>
      </c>
      <c r="H551">
        <v>1</v>
      </c>
      <c r="I551" t="s">
        <v>89</v>
      </c>
      <c r="J551">
        <v>0</v>
      </c>
      <c r="K551">
        <v>2</v>
      </c>
      <c r="L551">
        <v>2</v>
      </c>
      <c r="M551">
        <v>152</v>
      </c>
      <c r="N551" t="s">
        <v>100</v>
      </c>
      <c r="O551" t="s">
        <v>100</v>
      </c>
      <c r="P551" t="s">
        <v>100</v>
      </c>
      <c r="Q551">
        <v>11</v>
      </c>
      <c r="R551">
        <v>13</v>
      </c>
      <c r="S551">
        <v>20</v>
      </c>
      <c r="T551">
        <v>28</v>
      </c>
      <c r="U551">
        <v>13</v>
      </c>
      <c r="V551">
        <v>2</v>
      </c>
      <c r="W551">
        <v>34</v>
      </c>
      <c r="X551">
        <v>150</v>
      </c>
      <c r="Y551">
        <v>150</v>
      </c>
      <c r="Z551">
        <v>8</v>
      </c>
      <c r="AA551">
        <v>0</v>
      </c>
      <c r="AB551">
        <v>2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2</v>
      </c>
      <c r="AJ551">
        <v>0</v>
      </c>
      <c r="AK551">
        <v>2</v>
      </c>
      <c r="AL551">
        <v>3</v>
      </c>
      <c r="AM551">
        <v>0</v>
      </c>
      <c r="AN551">
        <v>1</v>
      </c>
      <c r="AT551">
        <v>0</v>
      </c>
      <c r="AU551">
        <v>25</v>
      </c>
      <c r="AV551">
        <v>319</v>
      </c>
      <c r="AW551">
        <v>464</v>
      </c>
      <c r="AX551">
        <v>445</v>
      </c>
      <c r="BA551">
        <v>1</v>
      </c>
      <c r="BC551" t="s">
        <v>1191</v>
      </c>
      <c r="BD551" s="4">
        <v>43283.207638888889</v>
      </c>
      <c r="BE551" s="4">
        <v>43283.248854166668</v>
      </c>
      <c r="BF551" s="4">
        <v>43283.248854166668</v>
      </c>
      <c r="BG551" t="s">
        <v>83</v>
      </c>
      <c r="BH551" t="s">
        <v>84</v>
      </c>
      <c r="BI551" t="s">
        <v>85</v>
      </c>
    </row>
    <row r="552" spans="1:61" x14ac:dyDescent="0.3">
      <c r="A552" t="str">
        <f>"201080B0100"</f>
        <v>201080B0100</v>
      </c>
      <c r="B552" t="s">
        <v>1192</v>
      </c>
      <c r="C552">
        <v>20</v>
      </c>
      <c r="D552" t="s">
        <v>79</v>
      </c>
      <c r="E552">
        <v>3</v>
      </c>
      <c r="F552" t="s">
        <v>915</v>
      </c>
      <c r="G552">
        <v>1080</v>
      </c>
      <c r="H552">
        <v>1</v>
      </c>
      <c r="I552" t="s">
        <v>81</v>
      </c>
      <c r="J552">
        <v>0</v>
      </c>
      <c r="K552">
        <v>2</v>
      </c>
      <c r="L552">
        <v>2</v>
      </c>
      <c r="M552">
        <v>199</v>
      </c>
      <c r="N552">
        <v>330</v>
      </c>
      <c r="O552">
        <v>0</v>
      </c>
      <c r="P552">
        <v>330</v>
      </c>
      <c r="Q552">
        <v>14</v>
      </c>
      <c r="R552">
        <v>11</v>
      </c>
      <c r="S552">
        <v>1</v>
      </c>
      <c r="T552">
        <v>26</v>
      </c>
      <c r="U552">
        <v>13</v>
      </c>
      <c r="V552">
        <v>2</v>
      </c>
      <c r="W552">
        <v>1</v>
      </c>
      <c r="X552">
        <v>76</v>
      </c>
      <c r="Y552">
        <v>150</v>
      </c>
      <c r="Z552">
        <v>10</v>
      </c>
      <c r="AA552">
        <v>2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1</v>
      </c>
      <c r="AI552">
        <v>0</v>
      </c>
      <c r="AJ552">
        <v>0</v>
      </c>
      <c r="AK552">
        <v>5</v>
      </c>
      <c r="AL552">
        <v>1</v>
      </c>
      <c r="AM552">
        <v>0</v>
      </c>
      <c r="AN552">
        <v>3</v>
      </c>
      <c r="AT552">
        <v>0</v>
      </c>
      <c r="AU552">
        <v>14</v>
      </c>
      <c r="AV552" t="s">
        <v>100</v>
      </c>
      <c r="AW552">
        <v>330</v>
      </c>
      <c r="AX552">
        <v>506</v>
      </c>
      <c r="BA552">
        <v>1</v>
      </c>
      <c r="BC552" t="s">
        <v>1193</v>
      </c>
      <c r="BD552" s="4">
        <v>43283.29583333333</v>
      </c>
      <c r="BE552" s="4">
        <v>43283.323541666665</v>
      </c>
      <c r="BF552" s="4">
        <v>43283.323541666665</v>
      </c>
      <c r="BG552" t="s">
        <v>83</v>
      </c>
      <c r="BH552" t="s">
        <v>84</v>
      </c>
      <c r="BI552" t="s">
        <v>85</v>
      </c>
    </row>
    <row r="553" spans="1:61" x14ac:dyDescent="0.3">
      <c r="A553" t="str">
        <f>"201080C0100"</f>
        <v>201080C0100</v>
      </c>
      <c r="B553" t="s">
        <v>1194</v>
      </c>
      <c r="C553">
        <v>20</v>
      </c>
      <c r="D553" t="s">
        <v>79</v>
      </c>
      <c r="E553">
        <v>3</v>
      </c>
      <c r="F553" t="s">
        <v>915</v>
      </c>
      <c r="G553">
        <v>1080</v>
      </c>
      <c r="H553">
        <v>1</v>
      </c>
      <c r="I553" t="s">
        <v>89</v>
      </c>
      <c r="J553">
        <v>0</v>
      </c>
      <c r="K553">
        <v>2</v>
      </c>
      <c r="L553">
        <v>2</v>
      </c>
      <c r="M553">
        <v>153</v>
      </c>
      <c r="N553">
        <v>376</v>
      </c>
      <c r="O553">
        <v>0</v>
      </c>
      <c r="P553">
        <v>376</v>
      </c>
      <c r="Q553">
        <v>27</v>
      </c>
      <c r="R553">
        <v>11</v>
      </c>
      <c r="S553">
        <v>3</v>
      </c>
      <c r="T553">
        <v>29</v>
      </c>
      <c r="U553">
        <v>15</v>
      </c>
      <c r="V553">
        <v>2</v>
      </c>
      <c r="W553">
        <v>0</v>
      </c>
      <c r="X553">
        <v>91</v>
      </c>
      <c r="Y553">
        <v>162</v>
      </c>
      <c r="Z553">
        <v>12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1</v>
      </c>
      <c r="AH553">
        <v>1</v>
      </c>
      <c r="AI553">
        <v>1</v>
      </c>
      <c r="AJ553">
        <v>1</v>
      </c>
      <c r="AK553">
        <v>1</v>
      </c>
      <c r="AL553">
        <v>0</v>
      </c>
      <c r="AM553">
        <v>0</v>
      </c>
      <c r="AN553">
        <v>3</v>
      </c>
      <c r="AT553">
        <v>0</v>
      </c>
      <c r="AU553">
        <v>16</v>
      </c>
      <c r="AV553">
        <v>376</v>
      </c>
      <c r="AW553">
        <v>376</v>
      </c>
      <c r="AX553">
        <v>506</v>
      </c>
      <c r="BA553">
        <v>1</v>
      </c>
      <c r="BC553" t="s">
        <v>1195</v>
      </c>
      <c r="BD553" s="4">
        <v>43283.296527777777</v>
      </c>
      <c r="BE553" s="4">
        <v>43283.326886574076</v>
      </c>
      <c r="BF553" s="4">
        <v>43283.326886574076</v>
      </c>
      <c r="BG553" t="s">
        <v>83</v>
      </c>
      <c r="BH553" t="s">
        <v>84</v>
      </c>
      <c r="BI553" t="s">
        <v>85</v>
      </c>
    </row>
    <row r="554" spans="1:61" x14ac:dyDescent="0.3">
      <c r="A554" t="str">
        <f>"201081B0100"</f>
        <v>201081B0100</v>
      </c>
      <c r="B554" t="s">
        <v>1196</v>
      </c>
      <c r="C554">
        <v>20</v>
      </c>
      <c r="D554" t="s">
        <v>79</v>
      </c>
      <c r="E554">
        <v>3</v>
      </c>
      <c r="F554" t="s">
        <v>915</v>
      </c>
      <c r="G554">
        <v>1081</v>
      </c>
      <c r="H554">
        <v>1</v>
      </c>
      <c r="I554" t="s">
        <v>81</v>
      </c>
      <c r="J554">
        <v>0</v>
      </c>
      <c r="K554">
        <v>2</v>
      </c>
      <c r="L554">
        <v>2</v>
      </c>
      <c r="M554">
        <v>146</v>
      </c>
      <c r="N554">
        <v>287</v>
      </c>
      <c r="O554">
        <v>0</v>
      </c>
      <c r="P554">
        <v>287</v>
      </c>
      <c r="Q554">
        <v>5</v>
      </c>
      <c r="R554">
        <v>20</v>
      </c>
      <c r="S554">
        <v>3</v>
      </c>
      <c r="T554">
        <v>17</v>
      </c>
      <c r="U554">
        <v>17</v>
      </c>
      <c r="V554">
        <v>5</v>
      </c>
      <c r="W554">
        <v>0</v>
      </c>
      <c r="X554">
        <v>61</v>
      </c>
      <c r="Y554">
        <v>94</v>
      </c>
      <c r="Z554">
        <v>37</v>
      </c>
      <c r="AA554">
        <v>4</v>
      </c>
      <c r="AB554">
        <v>3</v>
      </c>
      <c r="AC554">
        <v>0</v>
      </c>
      <c r="AD554">
        <v>0</v>
      </c>
      <c r="AE554">
        <v>0</v>
      </c>
      <c r="AF554">
        <v>0</v>
      </c>
      <c r="AG554">
        <v>1</v>
      </c>
      <c r="AH554">
        <v>1</v>
      </c>
      <c r="AI554">
        <v>0</v>
      </c>
      <c r="AJ554">
        <v>0</v>
      </c>
      <c r="AK554">
        <v>3</v>
      </c>
      <c r="AL554">
        <v>0</v>
      </c>
      <c r="AM554">
        <v>0</v>
      </c>
      <c r="AN554">
        <v>4</v>
      </c>
      <c r="AT554">
        <v>0</v>
      </c>
      <c r="AU554">
        <v>12</v>
      </c>
      <c r="AV554">
        <v>287</v>
      </c>
      <c r="AW554">
        <v>287</v>
      </c>
      <c r="AX554">
        <v>410</v>
      </c>
      <c r="BA554">
        <v>1</v>
      </c>
      <c r="BC554" t="s">
        <v>1197</v>
      </c>
      <c r="BD554" s="4">
        <v>43283.254166666666</v>
      </c>
      <c r="BE554" s="4">
        <v>43283.280706018515</v>
      </c>
      <c r="BF554" s="4">
        <v>43283.280706018515</v>
      </c>
      <c r="BG554" t="s">
        <v>83</v>
      </c>
      <c r="BH554" t="s">
        <v>84</v>
      </c>
      <c r="BI554" t="s">
        <v>85</v>
      </c>
    </row>
    <row r="555" spans="1:61" x14ac:dyDescent="0.3">
      <c r="A555" t="str">
        <f>"201081C0100"</f>
        <v>201081C0100</v>
      </c>
      <c r="B555" t="s">
        <v>1198</v>
      </c>
      <c r="C555">
        <v>20</v>
      </c>
      <c r="D555" t="s">
        <v>79</v>
      </c>
      <c r="E555">
        <v>3</v>
      </c>
      <c r="F555" t="s">
        <v>915</v>
      </c>
      <c r="G555">
        <v>1081</v>
      </c>
      <c r="H555">
        <v>1</v>
      </c>
      <c r="I555" t="s">
        <v>89</v>
      </c>
      <c r="J555">
        <v>0</v>
      </c>
      <c r="K555">
        <v>2</v>
      </c>
      <c r="L555">
        <v>2</v>
      </c>
      <c r="M555">
        <v>153</v>
      </c>
      <c r="N555">
        <v>279</v>
      </c>
      <c r="O555">
        <v>1</v>
      </c>
      <c r="P555">
        <v>279</v>
      </c>
      <c r="Q555">
        <v>3</v>
      </c>
      <c r="R555">
        <v>8</v>
      </c>
      <c r="S555">
        <v>1</v>
      </c>
      <c r="T555">
        <v>3</v>
      </c>
      <c r="U555">
        <v>16</v>
      </c>
      <c r="V555">
        <v>1</v>
      </c>
      <c r="W555">
        <v>1</v>
      </c>
      <c r="X555">
        <v>55</v>
      </c>
      <c r="Y555">
        <v>128</v>
      </c>
      <c r="Z555">
        <v>41</v>
      </c>
      <c r="AA555">
        <v>2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1</v>
      </c>
      <c r="AJ555">
        <v>0</v>
      </c>
      <c r="AK555">
        <v>4</v>
      </c>
      <c r="AL555">
        <v>0</v>
      </c>
      <c r="AM555">
        <v>0</v>
      </c>
      <c r="AN555">
        <v>2</v>
      </c>
      <c r="AT555">
        <v>0</v>
      </c>
      <c r="AU555">
        <v>13</v>
      </c>
      <c r="AV555">
        <v>279</v>
      </c>
      <c r="AW555">
        <v>279</v>
      </c>
      <c r="AX555">
        <v>409</v>
      </c>
      <c r="BA555">
        <v>1</v>
      </c>
      <c r="BC555" t="s">
        <v>1199</v>
      </c>
      <c r="BD555" s="4">
        <v>43283.257638888892</v>
      </c>
      <c r="BE555" s="4">
        <v>43283.284282407411</v>
      </c>
      <c r="BF555" s="4">
        <v>43283.284282407411</v>
      </c>
      <c r="BG555" t="s">
        <v>83</v>
      </c>
      <c r="BH555" t="s">
        <v>84</v>
      </c>
      <c r="BI555" t="s">
        <v>85</v>
      </c>
    </row>
    <row r="556" spans="1:61" x14ac:dyDescent="0.3">
      <c r="A556" t="str">
        <f>"201081E0100"</f>
        <v>201081E0100</v>
      </c>
      <c r="B556" s="2" t="s">
        <v>1200</v>
      </c>
      <c r="C556">
        <v>20</v>
      </c>
      <c r="D556" t="s">
        <v>79</v>
      </c>
      <c r="E556">
        <v>3</v>
      </c>
      <c r="F556" t="s">
        <v>915</v>
      </c>
      <c r="G556">
        <v>1081</v>
      </c>
      <c r="H556">
        <v>1</v>
      </c>
      <c r="I556" t="s">
        <v>145</v>
      </c>
      <c r="J556">
        <v>0</v>
      </c>
      <c r="K556">
        <v>2</v>
      </c>
      <c r="L556">
        <v>2</v>
      </c>
      <c r="M556">
        <v>105</v>
      </c>
      <c r="N556">
        <v>237</v>
      </c>
      <c r="O556">
        <v>2</v>
      </c>
      <c r="P556">
        <v>237</v>
      </c>
      <c r="Q556">
        <v>18</v>
      </c>
      <c r="R556">
        <v>19</v>
      </c>
      <c r="S556">
        <v>4</v>
      </c>
      <c r="T556">
        <v>9</v>
      </c>
      <c r="U556">
        <v>17</v>
      </c>
      <c r="V556">
        <v>5</v>
      </c>
      <c r="W556">
        <v>1</v>
      </c>
      <c r="X556">
        <v>64</v>
      </c>
      <c r="Y556">
        <v>79</v>
      </c>
      <c r="Z556">
        <v>3</v>
      </c>
      <c r="AA556">
        <v>1</v>
      </c>
      <c r="AB556">
        <v>1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1</v>
      </c>
      <c r="AJ556">
        <v>0</v>
      </c>
      <c r="AK556">
        <v>1</v>
      </c>
      <c r="AL556">
        <v>0</v>
      </c>
      <c r="AM556">
        <v>0</v>
      </c>
      <c r="AN556">
        <v>0</v>
      </c>
      <c r="AT556">
        <v>0</v>
      </c>
      <c r="AU556">
        <v>14</v>
      </c>
      <c r="AV556">
        <v>237</v>
      </c>
      <c r="AW556">
        <v>237</v>
      </c>
      <c r="AX556">
        <v>319</v>
      </c>
      <c r="BA556">
        <v>1</v>
      </c>
      <c r="BC556" t="s">
        <v>1201</v>
      </c>
      <c r="BD556" s="4">
        <v>43283.296527777777</v>
      </c>
      <c r="BE556" s="4">
        <v>43283.323530092595</v>
      </c>
      <c r="BF556" s="4">
        <v>43283.323530092595</v>
      </c>
      <c r="BG556" t="s">
        <v>83</v>
      </c>
      <c r="BH556" t="s">
        <v>84</v>
      </c>
      <c r="BI556" t="s">
        <v>85</v>
      </c>
    </row>
    <row r="557" spans="1:61" x14ac:dyDescent="0.3">
      <c r="A557" t="str">
        <f>"201081E0200"</f>
        <v>201081E0200</v>
      </c>
      <c r="B557" s="2" t="s">
        <v>1202</v>
      </c>
      <c r="C557">
        <v>20</v>
      </c>
      <c r="D557" t="s">
        <v>79</v>
      </c>
      <c r="E557">
        <v>3</v>
      </c>
      <c r="F557" t="s">
        <v>915</v>
      </c>
      <c r="G557">
        <v>1081</v>
      </c>
      <c r="H557">
        <v>2</v>
      </c>
      <c r="I557" t="s">
        <v>145</v>
      </c>
      <c r="J557">
        <v>0</v>
      </c>
      <c r="K557">
        <v>2</v>
      </c>
      <c r="L557">
        <v>2</v>
      </c>
      <c r="M557">
        <v>119</v>
      </c>
      <c r="N557">
        <v>286</v>
      </c>
      <c r="O557">
        <v>4</v>
      </c>
      <c r="P557">
        <v>286</v>
      </c>
      <c r="Q557">
        <v>9</v>
      </c>
      <c r="R557">
        <v>4</v>
      </c>
      <c r="S557">
        <v>3</v>
      </c>
      <c r="T557">
        <v>4</v>
      </c>
      <c r="U557">
        <v>18</v>
      </c>
      <c r="V557">
        <v>4</v>
      </c>
      <c r="W557">
        <v>1</v>
      </c>
      <c r="X557">
        <v>137</v>
      </c>
      <c r="Y557">
        <v>75</v>
      </c>
      <c r="Z557">
        <v>6</v>
      </c>
      <c r="AA557">
        <v>0</v>
      </c>
      <c r="AB557">
        <v>1</v>
      </c>
      <c r="AC557" t="s">
        <v>100</v>
      </c>
      <c r="AD557" t="s">
        <v>100</v>
      </c>
      <c r="AE557" t="s">
        <v>100</v>
      </c>
      <c r="AF557" t="s">
        <v>100</v>
      </c>
      <c r="AG557">
        <v>1</v>
      </c>
      <c r="AH557" t="s">
        <v>100</v>
      </c>
      <c r="AI557">
        <v>1</v>
      </c>
      <c r="AJ557">
        <v>2</v>
      </c>
      <c r="AK557">
        <v>3</v>
      </c>
      <c r="AL557">
        <v>2</v>
      </c>
      <c r="AM557">
        <v>0</v>
      </c>
      <c r="AN557">
        <v>1</v>
      </c>
      <c r="AT557">
        <v>0</v>
      </c>
      <c r="AU557">
        <v>14</v>
      </c>
      <c r="AV557">
        <v>286</v>
      </c>
      <c r="AW557">
        <v>286</v>
      </c>
      <c r="AX557">
        <v>382</v>
      </c>
      <c r="AZ557" t="s">
        <v>101</v>
      </c>
      <c r="BA557">
        <v>1</v>
      </c>
      <c r="BC557" t="s">
        <v>1203</v>
      </c>
      <c r="BD557" s="4">
        <v>43283.3</v>
      </c>
      <c r="BE557" s="4">
        <v>43283.328611111108</v>
      </c>
      <c r="BF557" s="4">
        <v>43283.328611111108</v>
      </c>
      <c r="BG557" t="s">
        <v>83</v>
      </c>
      <c r="BH557" t="s">
        <v>84</v>
      </c>
      <c r="BI557" t="s">
        <v>85</v>
      </c>
    </row>
    <row r="558" spans="1:61" x14ac:dyDescent="0.3">
      <c r="A558" t="str">
        <f>"201082B0100"</f>
        <v>201082B0100</v>
      </c>
      <c r="B558" t="s">
        <v>1204</v>
      </c>
      <c r="C558">
        <v>20</v>
      </c>
      <c r="D558" t="s">
        <v>79</v>
      </c>
      <c r="E558">
        <v>3</v>
      </c>
      <c r="F558" t="s">
        <v>915</v>
      </c>
      <c r="G558">
        <v>1082</v>
      </c>
      <c r="H558">
        <v>1</v>
      </c>
      <c r="I558" t="s">
        <v>81</v>
      </c>
      <c r="J558">
        <v>0</v>
      </c>
      <c r="K558">
        <v>2</v>
      </c>
      <c r="L558">
        <v>2</v>
      </c>
      <c r="M558">
        <v>183</v>
      </c>
      <c r="N558">
        <v>421</v>
      </c>
      <c r="O558">
        <v>0</v>
      </c>
      <c r="P558">
        <v>421</v>
      </c>
      <c r="Q558">
        <v>24</v>
      </c>
      <c r="R558">
        <v>24</v>
      </c>
      <c r="S558">
        <v>19</v>
      </c>
      <c r="T558">
        <v>27</v>
      </c>
      <c r="U558">
        <v>8</v>
      </c>
      <c r="V558">
        <v>3</v>
      </c>
      <c r="W558">
        <v>3</v>
      </c>
      <c r="X558">
        <v>125</v>
      </c>
      <c r="Y558">
        <v>139</v>
      </c>
      <c r="Z558">
        <v>10</v>
      </c>
      <c r="AA558">
        <v>1</v>
      </c>
      <c r="AB558">
        <v>2</v>
      </c>
      <c r="AC558">
        <v>1</v>
      </c>
      <c r="AD558">
        <v>0</v>
      </c>
      <c r="AE558">
        <v>0</v>
      </c>
      <c r="AF558">
        <v>0</v>
      </c>
      <c r="AG558">
        <v>1</v>
      </c>
      <c r="AH558">
        <v>2</v>
      </c>
      <c r="AI558">
        <v>2</v>
      </c>
      <c r="AJ558">
        <v>2</v>
      </c>
      <c r="AK558">
        <v>3</v>
      </c>
      <c r="AL558">
        <v>0</v>
      </c>
      <c r="AM558">
        <v>0</v>
      </c>
      <c r="AN558">
        <v>1</v>
      </c>
      <c r="AT558">
        <v>0</v>
      </c>
      <c r="AU558">
        <v>24</v>
      </c>
      <c r="AV558">
        <v>421</v>
      </c>
      <c r="AW558">
        <v>421</v>
      </c>
      <c r="AX558">
        <v>581</v>
      </c>
      <c r="BA558">
        <v>1</v>
      </c>
      <c r="BC558" t="s">
        <v>1205</v>
      </c>
      <c r="BD558" s="4">
        <v>43283.252083333333</v>
      </c>
      <c r="BE558" s="4">
        <v>43283.278310185182</v>
      </c>
      <c r="BF558" s="4">
        <v>43283.278310185182</v>
      </c>
      <c r="BG558" t="s">
        <v>83</v>
      </c>
      <c r="BH558" t="s">
        <v>84</v>
      </c>
      <c r="BI558" t="s">
        <v>85</v>
      </c>
    </row>
    <row r="559" spans="1:61" x14ac:dyDescent="0.3">
      <c r="A559" t="str">
        <f>"201254B0100"</f>
        <v>201254B0100</v>
      </c>
      <c r="B559" t="s">
        <v>1206</v>
      </c>
      <c r="C559">
        <v>20</v>
      </c>
      <c r="D559" t="s">
        <v>79</v>
      </c>
      <c r="E559">
        <v>3</v>
      </c>
      <c r="F559" t="s">
        <v>915</v>
      </c>
      <c r="G559">
        <v>1254</v>
      </c>
      <c r="H559">
        <v>1</v>
      </c>
      <c r="I559" t="s">
        <v>81</v>
      </c>
      <c r="J559">
        <v>0</v>
      </c>
      <c r="K559">
        <v>1</v>
      </c>
      <c r="L559">
        <v>2</v>
      </c>
      <c r="M559">
        <v>96</v>
      </c>
      <c r="N559">
        <v>364</v>
      </c>
      <c r="O559">
        <v>8</v>
      </c>
      <c r="P559">
        <v>364</v>
      </c>
      <c r="Q559">
        <v>76</v>
      </c>
      <c r="R559">
        <v>36</v>
      </c>
      <c r="S559">
        <v>3</v>
      </c>
      <c r="T559">
        <v>1</v>
      </c>
      <c r="U559">
        <v>10</v>
      </c>
      <c r="V559">
        <v>9</v>
      </c>
      <c r="W559">
        <v>0</v>
      </c>
      <c r="X559">
        <v>47</v>
      </c>
      <c r="Y559">
        <v>157</v>
      </c>
      <c r="Z559">
        <v>2</v>
      </c>
      <c r="AA559">
        <v>0</v>
      </c>
      <c r="AB559">
        <v>0</v>
      </c>
      <c r="AC559">
        <v>1</v>
      </c>
      <c r="AD559">
        <v>0</v>
      </c>
      <c r="AE559">
        <v>1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3</v>
      </c>
      <c r="AL559">
        <v>0</v>
      </c>
      <c r="AM559">
        <v>0</v>
      </c>
      <c r="AN559">
        <v>1</v>
      </c>
      <c r="AT559">
        <v>0</v>
      </c>
      <c r="AU559">
        <v>13</v>
      </c>
      <c r="AV559">
        <v>364</v>
      </c>
      <c r="AW559">
        <v>360</v>
      </c>
      <c r="AX559">
        <v>437</v>
      </c>
      <c r="BA559">
        <v>1</v>
      </c>
      <c r="BC559" t="s">
        <v>1207</v>
      </c>
      <c r="BD559" s="4">
        <v>43283.395138888889</v>
      </c>
      <c r="BE559" s="4">
        <v>43283.402395833335</v>
      </c>
      <c r="BF559" s="4">
        <v>43283.402395833335</v>
      </c>
      <c r="BG559" t="s">
        <v>83</v>
      </c>
      <c r="BH559" t="s">
        <v>84</v>
      </c>
      <c r="BI559" t="s">
        <v>85</v>
      </c>
    </row>
    <row r="560" spans="1:61" x14ac:dyDescent="0.3">
      <c r="A560" t="str">
        <f>"201254C0100"</f>
        <v>201254C0100</v>
      </c>
      <c r="B560" t="s">
        <v>1208</v>
      </c>
      <c r="C560">
        <v>20</v>
      </c>
      <c r="D560" t="s">
        <v>79</v>
      </c>
      <c r="E560">
        <v>3</v>
      </c>
      <c r="F560" t="s">
        <v>915</v>
      </c>
      <c r="G560">
        <v>1254</v>
      </c>
      <c r="H560">
        <v>1</v>
      </c>
      <c r="I560" t="s">
        <v>89</v>
      </c>
      <c r="J560">
        <v>0</v>
      </c>
      <c r="K560">
        <v>1</v>
      </c>
      <c r="L560">
        <v>2</v>
      </c>
      <c r="M560">
        <v>94</v>
      </c>
      <c r="N560">
        <v>365</v>
      </c>
      <c r="O560">
        <v>9</v>
      </c>
      <c r="P560">
        <v>0</v>
      </c>
      <c r="Q560">
        <v>54</v>
      </c>
      <c r="R560">
        <v>33</v>
      </c>
      <c r="S560">
        <v>9</v>
      </c>
      <c r="T560">
        <v>2</v>
      </c>
      <c r="U560">
        <v>8</v>
      </c>
      <c r="V560">
        <v>5</v>
      </c>
      <c r="W560">
        <v>1</v>
      </c>
      <c r="X560">
        <v>44</v>
      </c>
      <c r="Y560">
        <v>165</v>
      </c>
      <c r="Z560">
        <v>8</v>
      </c>
      <c r="AA560">
        <v>5</v>
      </c>
      <c r="AB560">
        <v>1</v>
      </c>
      <c r="AC560">
        <v>0</v>
      </c>
      <c r="AD560">
        <v>0</v>
      </c>
      <c r="AE560">
        <v>4</v>
      </c>
      <c r="AF560">
        <v>0</v>
      </c>
      <c r="AG560">
        <v>0</v>
      </c>
      <c r="AH560">
        <v>1</v>
      </c>
      <c r="AI560">
        <v>1</v>
      </c>
      <c r="AJ560">
        <v>0</v>
      </c>
      <c r="AK560">
        <v>4</v>
      </c>
      <c r="AL560">
        <v>2</v>
      </c>
      <c r="AM560">
        <v>0</v>
      </c>
      <c r="AN560">
        <v>0</v>
      </c>
      <c r="AT560">
        <v>0</v>
      </c>
      <c r="AU560">
        <v>18</v>
      </c>
      <c r="AV560" t="s">
        <v>100</v>
      </c>
      <c r="AW560">
        <v>365</v>
      </c>
      <c r="AX560">
        <v>437</v>
      </c>
      <c r="BA560">
        <v>1</v>
      </c>
      <c r="BC560" t="s">
        <v>1209</v>
      </c>
      <c r="BD560" s="4">
        <v>43283.397222222222</v>
      </c>
      <c r="BE560" s="4">
        <v>43283.40283564815</v>
      </c>
      <c r="BF560" s="4">
        <v>43283.40283564815</v>
      </c>
      <c r="BG560" t="s">
        <v>83</v>
      </c>
      <c r="BH560" t="s">
        <v>84</v>
      </c>
      <c r="BI560" t="s">
        <v>85</v>
      </c>
    </row>
    <row r="561" spans="1:61" x14ac:dyDescent="0.3">
      <c r="A561" t="str">
        <f>"201255B0100"</f>
        <v>201255B0100</v>
      </c>
      <c r="B561" t="s">
        <v>1210</v>
      </c>
      <c r="C561">
        <v>20</v>
      </c>
      <c r="D561" t="s">
        <v>79</v>
      </c>
      <c r="E561">
        <v>3</v>
      </c>
      <c r="F561" t="s">
        <v>915</v>
      </c>
      <c r="G561">
        <v>1255</v>
      </c>
      <c r="H561">
        <v>1</v>
      </c>
      <c r="I561" t="s">
        <v>81</v>
      </c>
      <c r="J561">
        <v>0</v>
      </c>
      <c r="K561">
        <v>1</v>
      </c>
      <c r="L561">
        <v>2</v>
      </c>
      <c r="M561">
        <v>153</v>
      </c>
      <c r="N561">
        <v>543</v>
      </c>
      <c r="O561">
        <v>9</v>
      </c>
      <c r="P561">
        <v>543</v>
      </c>
      <c r="Q561">
        <v>101</v>
      </c>
      <c r="R561">
        <v>52</v>
      </c>
      <c r="S561">
        <v>7</v>
      </c>
      <c r="T561">
        <v>3</v>
      </c>
      <c r="U561">
        <v>19</v>
      </c>
      <c r="V561">
        <v>4</v>
      </c>
      <c r="W561">
        <v>2</v>
      </c>
      <c r="X561">
        <v>84</v>
      </c>
      <c r="Y561">
        <v>238</v>
      </c>
      <c r="Z561">
        <v>9</v>
      </c>
      <c r="AA561">
        <v>1</v>
      </c>
      <c r="AB561">
        <v>0</v>
      </c>
      <c r="AC561">
        <v>3</v>
      </c>
      <c r="AD561">
        <v>0</v>
      </c>
      <c r="AE561">
        <v>0</v>
      </c>
      <c r="AF561">
        <v>0</v>
      </c>
      <c r="AG561">
        <v>1</v>
      </c>
      <c r="AH561">
        <v>0</v>
      </c>
      <c r="AI561">
        <v>1</v>
      </c>
      <c r="AJ561">
        <v>0</v>
      </c>
      <c r="AK561">
        <v>2</v>
      </c>
      <c r="AL561">
        <v>0</v>
      </c>
      <c r="AM561">
        <v>0</v>
      </c>
      <c r="AN561">
        <v>2</v>
      </c>
      <c r="AT561">
        <v>0</v>
      </c>
      <c r="AU561">
        <v>14</v>
      </c>
      <c r="AV561">
        <v>543</v>
      </c>
      <c r="AW561">
        <v>543</v>
      </c>
      <c r="AX561">
        <v>674</v>
      </c>
      <c r="BA561">
        <v>1</v>
      </c>
      <c r="BC561" t="s">
        <v>1211</v>
      </c>
      <c r="BD561" s="4">
        <v>43283.395833333336</v>
      </c>
      <c r="BE561" s="4">
        <v>43283.403171296297</v>
      </c>
      <c r="BF561" s="4">
        <v>43283.403171296297</v>
      </c>
      <c r="BG561" t="s">
        <v>83</v>
      </c>
      <c r="BH561" t="s">
        <v>84</v>
      </c>
      <c r="BI561" t="s">
        <v>85</v>
      </c>
    </row>
    <row r="562" spans="1:61" x14ac:dyDescent="0.3">
      <c r="A562" t="str">
        <f>"201255C0100"</f>
        <v>201255C0100</v>
      </c>
      <c r="B562" t="s">
        <v>1212</v>
      </c>
      <c r="C562">
        <v>20</v>
      </c>
      <c r="D562" t="s">
        <v>79</v>
      </c>
      <c r="E562">
        <v>3</v>
      </c>
      <c r="F562" t="s">
        <v>915</v>
      </c>
      <c r="G562">
        <v>1255</v>
      </c>
      <c r="H562">
        <v>1</v>
      </c>
      <c r="I562" t="s">
        <v>89</v>
      </c>
      <c r="J562">
        <v>0</v>
      </c>
      <c r="K562">
        <v>1</v>
      </c>
      <c r="L562">
        <v>2</v>
      </c>
      <c r="M562">
        <v>159</v>
      </c>
      <c r="N562">
        <v>536</v>
      </c>
      <c r="O562">
        <v>2</v>
      </c>
      <c r="P562">
        <v>536</v>
      </c>
      <c r="Q562">
        <v>72</v>
      </c>
      <c r="R562">
        <v>56</v>
      </c>
      <c r="S562">
        <v>3</v>
      </c>
      <c r="T562">
        <v>6</v>
      </c>
      <c r="U562">
        <v>14</v>
      </c>
      <c r="V562">
        <v>10</v>
      </c>
      <c r="W562">
        <v>0</v>
      </c>
      <c r="X562">
        <v>68</v>
      </c>
      <c r="Y562">
        <v>268</v>
      </c>
      <c r="Z562">
        <v>8</v>
      </c>
      <c r="AA562">
        <v>2</v>
      </c>
      <c r="AB562">
        <v>1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1</v>
      </c>
      <c r="AJ562">
        <v>0</v>
      </c>
      <c r="AK562">
        <v>7</v>
      </c>
      <c r="AL562">
        <v>5</v>
      </c>
      <c r="AM562">
        <v>0</v>
      </c>
      <c r="AN562">
        <v>1</v>
      </c>
      <c r="AT562">
        <v>0</v>
      </c>
      <c r="AU562">
        <v>14</v>
      </c>
      <c r="AV562">
        <v>536</v>
      </c>
      <c r="AW562">
        <v>536</v>
      </c>
      <c r="AX562">
        <v>673</v>
      </c>
      <c r="BA562">
        <v>1</v>
      </c>
      <c r="BC562" t="s">
        <v>1213</v>
      </c>
      <c r="BD562" s="4">
        <v>43283.390972222223</v>
      </c>
      <c r="BE562" s="4">
        <v>43283.395636574074</v>
      </c>
      <c r="BF562" s="4">
        <v>43283.395636574074</v>
      </c>
      <c r="BG562" t="s">
        <v>83</v>
      </c>
      <c r="BH562" t="s">
        <v>84</v>
      </c>
      <c r="BI562" t="s">
        <v>85</v>
      </c>
    </row>
    <row r="563" spans="1:61" x14ac:dyDescent="0.3">
      <c r="A563" t="str">
        <f>"201256B0100"</f>
        <v>201256B0100</v>
      </c>
      <c r="B563" t="s">
        <v>1214</v>
      </c>
      <c r="C563">
        <v>20</v>
      </c>
      <c r="D563" t="s">
        <v>79</v>
      </c>
      <c r="E563">
        <v>3</v>
      </c>
      <c r="F563" t="s">
        <v>915</v>
      </c>
      <c r="G563">
        <v>1256</v>
      </c>
      <c r="H563">
        <v>1</v>
      </c>
      <c r="I563" t="s">
        <v>81</v>
      </c>
      <c r="J563">
        <v>0</v>
      </c>
      <c r="K563">
        <v>1</v>
      </c>
      <c r="L563">
        <v>2</v>
      </c>
      <c r="AX563">
        <v>620</v>
      </c>
      <c r="AZ563" t="s">
        <v>156</v>
      </c>
      <c r="BA563">
        <v>0</v>
      </c>
      <c r="BC563" t="s">
        <v>1215</v>
      </c>
      <c r="BD563" s="4">
        <v>43283.775000000001</v>
      </c>
      <c r="BE563" s="4">
        <v>43283.781412037039</v>
      </c>
      <c r="BF563" s="4">
        <v>43283.781412037039</v>
      </c>
      <c r="BG563" t="s">
        <v>83</v>
      </c>
      <c r="BH563" t="s">
        <v>84</v>
      </c>
      <c r="BI563" t="s">
        <v>85</v>
      </c>
    </row>
    <row r="564" spans="1:61" x14ac:dyDescent="0.3">
      <c r="A564" t="str">
        <f>"201256C0100"</f>
        <v>201256C0100</v>
      </c>
      <c r="B564" t="s">
        <v>1216</v>
      </c>
      <c r="C564">
        <v>20</v>
      </c>
      <c r="D564" t="s">
        <v>79</v>
      </c>
      <c r="E564">
        <v>3</v>
      </c>
      <c r="F564" t="s">
        <v>915</v>
      </c>
      <c r="G564">
        <v>1256</v>
      </c>
      <c r="H564">
        <v>1</v>
      </c>
      <c r="I564" t="s">
        <v>89</v>
      </c>
      <c r="J564">
        <v>0</v>
      </c>
      <c r="K564">
        <v>1</v>
      </c>
      <c r="L564">
        <v>2</v>
      </c>
      <c r="M564">
        <v>156</v>
      </c>
      <c r="N564">
        <v>486</v>
      </c>
      <c r="O564">
        <v>3</v>
      </c>
      <c r="P564">
        <v>486</v>
      </c>
      <c r="Q564">
        <v>71</v>
      </c>
      <c r="R564">
        <v>40</v>
      </c>
      <c r="S564">
        <v>10</v>
      </c>
      <c r="T564">
        <v>3</v>
      </c>
      <c r="U564">
        <v>13</v>
      </c>
      <c r="V564">
        <v>6</v>
      </c>
      <c r="W564">
        <v>0</v>
      </c>
      <c r="X564">
        <v>26</v>
      </c>
      <c r="Y564">
        <v>272</v>
      </c>
      <c r="Z564">
        <v>7</v>
      </c>
      <c r="AA564">
        <v>5</v>
      </c>
      <c r="AB564">
        <v>2</v>
      </c>
      <c r="AC564">
        <v>0</v>
      </c>
      <c r="AD564">
        <v>0</v>
      </c>
      <c r="AE564">
        <v>0</v>
      </c>
      <c r="AF564">
        <v>0</v>
      </c>
      <c r="AG564">
        <v>1</v>
      </c>
      <c r="AH564">
        <v>0</v>
      </c>
      <c r="AI564">
        <v>0</v>
      </c>
      <c r="AJ564">
        <v>0</v>
      </c>
      <c r="AK564">
        <v>8</v>
      </c>
      <c r="AL564">
        <v>2</v>
      </c>
      <c r="AM564">
        <v>0</v>
      </c>
      <c r="AN564">
        <v>0</v>
      </c>
      <c r="AT564" t="s">
        <v>100</v>
      </c>
      <c r="AU564">
        <v>20</v>
      </c>
      <c r="AV564">
        <v>486</v>
      </c>
      <c r="AW564">
        <v>486</v>
      </c>
      <c r="AX564">
        <v>620</v>
      </c>
      <c r="AZ564" t="s">
        <v>101</v>
      </c>
      <c r="BA564">
        <v>1</v>
      </c>
      <c r="BC564" t="s">
        <v>1217</v>
      </c>
      <c r="BD564" s="4">
        <v>43283.396527777775</v>
      </c>
      <c r="BE564" s="4">
        <v>43283.401875000003</v>
      </c>
      <c r="BF564" s="4">
        <v>43283.401875000003</v>
      </c>
      <c r="BG564" t="s">
        <v>83</v>
      </c>
      <c r="BH564" t="s">
        <v>84</v>
      </c>
      <c r="BI564" t="s">
        <v>85</v>
      </c>
    </row>
    <row r="565" spans="1:61" x14ac:dyDescent="0.3">
      <c r="A565" t="str">
        <f>"201257B0100"</f>
        <v>201257B0100</v>
      </c>
      <c r="B565" t="s">
        <v>1218</v>
      </c>
      <c r="C565">
        <v>20</v>
      </c>
      <c r="D565" t="s">
        <v>79</v>
      </c>
      <c r="E565">
        <v>3</v>
      </c>
      <c r="F565" t="s">
        <v>915</v>
      </c>
      <c r="G565">
        <v>1257</v>
      </c>
      <c r="H565">
        <v>1</v>
      </c>
      <c r="I565" t="s">
        <v>81</v>
      </c>
      <c r="J565">
        <v>0</v>
      </c>
      <c r="K565">
        <v>2</v>
      </c>
      <c r="L565">
        <v>2</v>
      </c>
      <c r="M565">
        <v>119</v>
      </c>
      <c r="N565">
        <v>426</v>
      </c>
      <c r="O565">
        <v>7</v>
      </c>
      <c r="P565">
        <v>426</v>
      </c>
      <c r="Q565">
        <v>70</v>
      </c>
      <c r="R565">
        <v>29</v>
      </c>
      <c r="S565">
        <v>5</v>
      </c>
      <c r="T565">
        <v>1</v>
      </c>
      <c r="U565">
        <v>17</v>
      </c>
      <c r="V565">
        <v>6</v>
      </c>
      <c r="W565">
        <v>1</v>
      </c>
      <c r="X565">
        <v>27</v>
      </c>
      <c r="Y565">
        <v>237</v>
      </c>
      <c r="Z565">
        <v>5</v>
      </c>
      <c r="AA565">
        <v>5</v>
      </c>
      <c r="AB565" t="s">
        <v>100</v>
      </c>
      <c r="AC565">
        <v>2</v>
      </c>
      <c r="AD565" t="s">
        <v>100</v>
      </c>
      <c r="AE565" t="s">
        <v>100</v>
      </c>
      <c r="AF565" t="s">
        <v>100</v>
      </c>
      <c r="AG565">
        <v>1</v>
      </c>
      <c r="AH565">
        <v>1</v>
      </c>
      <c r="AI565" t="s">
        <v>100</v>
      </c>
      <c r="AJ565" t="s">
        <v>100</v>
      </c>
      <c r="AK565">
        <v>4</v>
      </c>
      <c r="AL565">
        <v>1</v>
      </c>
      <c r="AM565" t="s">
        <v>100</v>
      </c>
      <c r="AN565">
        <v>3</v>
      </c>
      <c r="AT565" t="s">
        <v>100</v>
      </c>
      <c r="AU565">
        <v>11</v>
      </c>
      <c r="AV565">
        <v>426</v>
      </c>
      <c r="AW565">
        <v>426</v>
      </c>
      <c r="AX565">
        <v>523</v>
      </c>
      <c r="AZ565" t="s">
        <v>101</v>
      </c>
      <c r="BA565">
        <v>1</v>
      </c>
      <c r="BC565" t="s">
        <v>1219</v>
      </c>
      <c r="BD565" s="4">
        <v>43283.474305555559</v>
      </c>
      <c r="BE565" s="4">
        <v>43283.483946759261</v>
      </c>
      <c r="BF565" s="4">
        <v>43283.483946759261</v>
      </c>
      <c r="BG565" t="s">
        <v>83</v>
      </c>
      <c r="BH565" t="s">
        <v>84</v>
      </c>
      <c r="BI565" t="s">
        <v>548</v>
      </c>
    </row>
    <row r="566" spans="1:61" x14ac:dyDescent="0.3">
      <c r="A566" t="str">
        <f>"201257C0100"</f>
        <v>201257C0100</v>
      </c>
      <c r="B566" t="s">
        <v>1220</v>
      </c>
      <c r="C566">
        <v>20</v>
      </c>
      <c r="D566" t="s">
        <v>79</v>
      </c>
      <c r="E566">
        <v>3</v>
      </c>
      <c r="F566" t="s">
        <v>915</v>
      </c>
      <c r="G566">
        <v>1257</v>
      </c>
      <c r="H566">
        <v>1</v>
      </c>
      <c r="I566" t="s">
        <v>89</v>
      </c>
      <c r="J566">
        <v>0</v>
      </c>
      <c r="K566">
        <v>2</v>
      </c>
      <c r="L566">
        <v>2</v>
      </c>
      <c r="M566">
        <v>139</v>
      </c>
      <c r="N566">
        <v>406</v>
      </c>
      <c r="O566">
        <v>5</v>
      </c>
      <c r="P566">
        <v>406</v>
      </c>
      <c r="Q566">
        <v>73</v>
      </c>
      <c r="R566">
        <v>24</v>
      </c>
      <c r="S566">
        <v>7</v>
      </c>
      <c r="T566">
        <v>3</v>
      </c>
      <c r="U566">
        <v>9</v>
      </c>
      <c r="V566">
        <v>5</v>
      </c>
      <c r="W566">
        <v>0</v>
      </c>
      <c r="X566">
        <v>35</v>
      </c>
      <c r="Y566">
        <v>202</v>
      </c>
      <c r="Z566">
        <v>6</v>
      </c>
      <c r="AA566">
        <v>6</v>
      </c>
      <c r="AB566">
        <v>0</v>
      </c>
      <c r="AC566">
        <v>5</v>
      </c>
      <c r="AD566">
        <v>0</v>
      </c>
      <c r="AE566">
        <v>0</v>
      </c>
      <c r="AF566">
        <v>0</v>
      </c>
      <c r="AG566">
        <v>3</v>
      </c>
      <c r="AH566">
        <v>1</v>
      </c>
      <c r="AI566">
        <v>0</v>
      </c>
      <c r="AJ566">
        <v>1</v>
      </c>
      <c r="AK566">
        <v>9</v>
      </c>
      <c r="AL566">
        <v>1</v>
      </c>
      <c r="AM566">
        <v>0</v>
      </c>
      <c r="AN566">
        <v>0</v>
      </c>
      <c r="AT566">
        <v>0</v>
      </c>
      <c r="AU566">
        <v>17</v>
      </c>
      <c r="AV566">
        <v>406</v>
      </c>
      <c r="AW566">
        <v>407</v>
      </c>
      <c r="AX566">
        <v>523</v>
      </c>
      <c r="BA566">
        <v>1</v>
      </c>
      <c r="BC566" t="s">
        <v>1221</v>
      </c>
      <c r="BD566" s="4">
        <v>43283.390972222223</v>
      </c>
      <c r="BE566" s="4">
        <v>43283.397881944446</v>
      </c>
      <c r="BF566" s="4">
        <v>43283.397881944446</v>
      </c>
      <c r="BG566" t="s">
        <v>83</v>
      </c>
      <c r="BH566" t="s">
        <v>84</v>
      </c>
      <c r="BI566" t="s">
        <v>85</v>
      </c>
    </row>
    <row r="567" spans="1:61" x14ac:dyDescent="0.3">
      <c r="A567" t="str">
        <f>"201258B0100"</f>
        <v>201258B0100</v>
      </c>
      <c r="B567" t="s">
        <v>1222</v>
      </c>
      <c r="C567">
        <v>20</v>
      </c>
      <c r="D567" t="s">
        <v>79</v>
      </c>
      <c r="E567">
        <v>3</v>
      </c>
      <c r="F567" t="s">
        <v>915</v>
      </c>
      <c r="G567">
        <v>1258</v>
      </c>
      <c r="H567">
        <v>1</v>
      </c>
      <c r="I567" t="s">
        <v>81</v>
      </c>
      <c r="J567">
        <v>0</v>
      </c>
      <c r="K567">
        <v>2</v>
      </c>
      <c r="L567">
        <v>2</v>
      </c>
      <c r="M567">
        <v>136</v>
      </c>
      <c r="N567">
        <v>469</v>
      </c>
      <c r="O567">
        <v>3</v>
      </c>
      <c r="P567">
        <v>469</v>
      </c>
      <c r="Q567">
        <v>137</v>
      </c>
      <c r="R567">
        <v>29</v>
      </c>
      <c r="S567">
        <v>4</v>
      </c>
      <c r="T567">
        <v>21</v>
      </c>
      <c r="U567">
        <v>19</v>
      </c>
      <c r="V567">
        <v>6</v>
      </c>
      <c r="W567">
        <v>1</v>
      </c>
      <c r="X567">
        <v>58</v>
      </c>
      <c r="Y567">
        <v>161</v>
      </c>
      <c r="Z567">
        <v>4</v>
      </c>
      <c r="AA567">
        <v>8</v>
      </c>
      <c r="AB567">
        <v>1</v>
      </c>
      <c r="AC567">
        <v>2</v>
      </c>
      <c r="AD567">
        <v>1</v>
      </c>
      <c r="AE567">
        <v>1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2</v>
      </c>
      <c r="AT567">
        <v>14</v>
      </c>
      <c r="AU567">
        <v>14</v>
      </c>
      <c r="AV567">
        <v>469</v>
      </c>
      <c r="AW567">
        <v>483</v>
      </c>
      <c r="AX567">
        <v>583</v>
      </c>
      <c r="BA567">
        <v>1</v>
      </c>
      <c r="BC567" t="s">
        <v>1223</v>
      </c>
      <c r="BD567" s="4">
        <v>43283.397222222222</v>
      </c>
      <c r="BE567" s="4">
        <v>43283.402557870373</v>
      </c>
      <c r="BF567" s="4">
        <v>43283.402557870373</v>
      </c>
      <c r="BG567" t="s">
        <v>83</v>
      </c>
      <c r="BH567" t="s">
        <v>84</v>
      </c>
      <c r="BI567" t="s">
        <v>85</v>
      </c>
    </row>
    <row r="568" spans="1:61" x14ac:dyDescent="0.3">
      <c r="A568" t="str">
        <f>"201258E0100"</f>
        <v>201258E0100</v>
      </c>
      <c r="B568" s="2" t="s">
        <v>1224</v>
      </c>
      <c r="C568">
        <v>20</v>
      </c>
      <c r="D568" t="s">
        <v>79</v>
      </c>
      <c r="E568">
        <v>3</v>
      </c>
      <c r="F568" t="s">
        <v>915</v>
      </c>
      <c r="G568">
        <v>1258</v>
      </c>
      <c r="H568">
        <v>1</v>
      </c>
      <c r="I568" t="s">
        <v>145</v>
      </c>
      <c r="J568">
        <v>0</v>
      </c>
      <c r="K568">
        <v>2</v>
      </c>
      <c r="L568">
        <v>2</v>
      </c>
      <c r="M568">
        <v>107</v>
      </c>
      <c r="N568">
        <v>353</v>
      </c>
      <c r="O568">
        <v>3</v>
      </c>
      <c r="P568">
        <v>353</v>
      </c>
      <c r="Q568">
        <v>41</v>
      </c>
      <c r="R568">
        <v>35</v>
      </c>
      <c r="S568">
        <v>3</v>
      </c>
      <c r="T568">
        <v>5</v>
      </c>
      <c r="U568">
        <v>21</v>
      </c>
      <c r="V568">
        <v>0</v>
      </c>
      <c r="W568">
        <v>0</v>
      </c>
      <c r="X568">
        <v>76</v>
      </c>
      <c r="Y568">
        <v>150</v>
      </c>
      <c r="Z568">
        <v>7</v>
      </c>
      <c r="AA568">
        <v>1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2</v>
      </c>
      <c r="AH568">
        <v>1</v>
      </c>
      <c r="AI568">
        <v>0</v>
      </c>
      <c r="AJ568">
        <v>1</v>
      </c>
      <c r="AK568">
        <v>0</v>
      </c>
      <c r="AL568">
        <v>0</v>
      </c>
      <c r="AM568">
        <v>0</v>
      </c>
      <c r="AN568">
        <v>1</v>
      </c>
      <c r="AT568">
        <v>0</v>
      </c>
      <c r="AU568">
        <v>7</v>
      </c>
      <c r="AV568">
        <v>353</v>
      </c>
      <c r="AW568">
        <v>351</v>
      </c>
      <c r="AX568">
        <v>438</v>
      </c>
      <c r="BA568">
        <v>1</v>
      </c>
      <c r="BC568" t="s">
        <v>1225</v>
      </c>
      <c r="BD568" s="4">
        <v>43283.4</v>
      </c>
      <c r="BE568" s="4">
        <v>43283.413530092592</v>
      </c>
      <c r="BF568" s="4">
        <v>43283.413530092592</v>
      </c>
      <c r="BG568" t="s">
        <v>83</v>
      </c>
      <c r="BH568" t="s">
        <v>84</v>
      </c>
      <c r="BI568" t="s">
        <v>85</v>
      </c>
    </row>
    <row r="569" spans="1:61" x14ac:dyDescent="0.3">
      <c r="A569" t="str">
        <f>"201258E0200"</f>
        <v>201258E0200</v>
      </c>
      <c r="B569" s="2" t="s">
        <v>1226</v>
      </c>
      <c r="C569">
        <v>20</v>
      </c>
      <c r="D569" t="s">
        <v>79</v>
      </c>
      <c r="E569">
        <v>3</v>
      </c>
      <c r="F569" t="s">
        <v>915</v>
      </c>
      <c r="G569">
        <v>1258</v>
      </c>
      <c r="H569">
        <v>2</v>
      </c>
      <c r="I569" t="s">
        <v>145</v>
      </c>
      <c r="J569">
        <v>0</v>
      </c>
      <c r="K569">
        <v>2</v>
      </c>
      <c r="L569">
        <v>2</v>
      </c>
      <c r="M569">
        <v>79</v>
      </c>
      <c r="N569">
        <v>326</v>
      </c>
      <c r="O569">
        <v>2</v>
      </c>
      <c r="P569">
        <v>326</v>
      </c>
      <c r="Q569">
        <v>85</v>
      </c>
      <c r="R569">
        <v>21</v>
      </c>
      <c r="S569">
        <v>3</v>
      </c>
      <c r="T569">
        <v>5</v>
      </c>
      <c r="U569">
        <v>5</v>
      </c>
      <c r="V569">
        <v>6</v>
      </c>
      <c r="W569">
        <v>1</v>
      </c>
      <c r="X569">
        <v>58</v>
      </c>
      <c r="Y569">
        <v>125</v>
      </c>
      <c r="Z569">
        <v>5</v>
      </c>
      <c r="AA569">
        <v>2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1</v>
      </c>
      <c r="AH569">
        <v>1</v>
      </c>
      <c r="AI569">
        <v>1</v>
      </c>
      <c r="AJ569">
        <v>0</v>
      </c>
      <c r="AK569">
        <v>0</v>
      </c>
      <c r="AL569">
        <v>0</v>
      </c>
      <c r="AM569">
        <v>0</v>
      </c>
      <c r="AN569">
        <v>1</v>
      </c>
      <c r="AT569">
        <v>0</v>
      </c>
      <c r="AU569">
        <v>6</v>
      </c>
      <c r="AV569">
        <v>326</v>
      </c>
      <c r="AW569">
        <v>326</v>
      </c>
      <c r="AX569">
        <v>383</v>
      </c>
      <c r="BA569">
        <v>1</v>
      </c>
      <c r="BC569" t="s">
        <v>1227</v>
      </c>
      <c r="BD569" s="4">
        <v>43283.463888888888</v>
      </c>
      <c r="BE569" s="4">
        <v>43283.469907407409</v>
      </c>
      <c r="BF569" s="4">
        <v>43283.469907407409</v>
      </c>
      <c r="BG569" t="s">
        <v>83</v>
      </c>
      <c r="BH569" t="s">
        <v>84</v>
      </c>
      <c r="BI569" t="s">
        <v>85</v>
      </c>
    </row>
    <row r="570" spans="1:61" x14ac:dyDescent="0.3">
      <c r="A570" t="str">
        <f>"201259B0100"</f>
        <v>201259B0100</v>
      </c>
      <c r="B570" t="s">
        <v>1228</v>
      </c>
      <c r="C570">
        <v>20</v>
      </c>
      <c r="D570" t="s">
        <v>79</v>
      </c>
      <c r="E570">
        <v>3</v>
      </c>
      <c r="F570" t="s">
        <v>915</v>
      </c>
      <c r="G570">
        <v>1259</v>
      </c>
      <c r="H570">
        <v>1</v>
      </c>
      <c r="I570" t="s">
        <v>81</v>
      </c>
      <c r="J570">
        <v>0</v>
      </c>
      <c r="K570">
        <v>2</v>
      </c>
      <c r="L570">
        <v>2</v>
      </c>
      <c r="M570" t="s">
        <v>100</v>
      </c>
      <c r="N570" t="s">
        <v>100</v>
      </c>
      <c r="O570" t="s">
        <v>100</v>
      </c>
      <c r="P570" t="s">
        <v>100</v>
      </c>
      <c r="Q570" t="s">
        <v>100</v>
      </c>
      <c r="R570" t="s">
        <v>100</v>
      </c>
      <c r="S570" t="s">
        <v>100</v>
      </c>
      <c r="T570" t="s">
        <v>100</v>
      </c>
      <c r="U570" t="s">
        <v>100</v>
      </c>
      <c r="V570" t="s">
        <v>100</v>
      </c>
      <c r="W570" t="s">
        <v>100</v>
      </c>
      <c r="X570" t="s">
        <v>100</v>
      </c>
      <c r="Y570" t="s">
        <v>100</v>
      </c>
      <c r="Z570" t="s">
        <v>100</v>
      </c>
      <c r="AA570" t="s">
        <v>100</v>
      </c>
      <c r="AB570" t="s">
        <v>100</v>
      </c>
      <c r="AC570" t="s">
        <v>100</v>
      </c>
      <c r="AD570" t="s">
        <v>100</v>
      </c>
      <c r="AE570" t="s">
        <v>100</v>
      </c>
      <c r="AF570" t="s">
        <v>100</v>
      </c>
      <c r="AG570" t="s">
        <v>100</v>
      </c>
      <c r="AH570" t="s">
        <v>100</v>
      </c>
      <c r="AI570" t="s">
        <v>100</v>
      </c>
      <c r="AJ570" t="s">
        <v>100</v>
      </c>
      <c r="AK570" t="s">
        <v>100</v>
      </c>
      <c r="AL570" t="s">
        <v>100</v>
      </c>
      <c r="AM570" t="s">
        <v>100</v>
      </c>
      <c r="AN570" t="s">
        <v>100</v>
      </c>
      <c r="AT570" t="s">
        <v>100</v>
      </c>
      <c r="AU570" t="s">
        <v>100</v>
      </c>
      <c r="AX570">
        <v>461</v>
      </c>
      <c r="AZ570" t="s">
        <v>794</v>
      </c>
      <c r="BA570">
        <v>0</v>
      </c>
      <c r="BC570" t="s">
        <v>1229</v>
      </c>
      <c r="BD570" s="4">
        <v>43283.470833333333</v>
      </c>
      <c r="BE570" s="4">
        <v>43283.70385416667</v>
      </c>
      <c r="BF570" s="4">
        <v>43283.70385416667</v>
      </c>
      <c r="BG570" t="s">
        <v>83</v>
      </c>
      <c r="BH570" t="s">
        <v>84</v>
      </c>
      <c r="BI570" t="s">
        <v>85</v>
      </c>
    </row>
    <row r="571" spans="1:61" x14ac:dyDescent="0.3">
      <c r="A571" t="str">
        <f>"201259E0100"</f>
        <v>201259E0100</v>
      </c>
      <c r="B571" s="2" t="s">
        <v>1230</v>
      </c>
      <c r="C571">
        <v>20</v>
      </c>
      <c r="D571" t="s">
        <v>79</v>
      </c>
      <c r="E571">
        <v>3</v>
      </c>
      <c r="F571" t="s">
        <v>915</v>
      </c>
      <c r="G571">
        <v>1259</v>
      </c>
      <c r="H571">
        <v>1</v>
      </c>
      <c r="I571" t="s">
        <v>145</v>
      </c>
      <c r="J571">
        <v>0</v>
      </c>
      <c r="K571">
        <v>2</v>
      </c>
      <c r="L571">
        <v>2</v>
      </c>
      <c r="M571">
        <v>91</v>
      </c>
      <c r="N571">
        <v>517</v>
      </c>
      <c r="O571">
        <v>4</v>
      </c>
      <c r="P571" t="s">
        <v>315</v>
      </c>
      <c r="Q571">
        <v>186</v>
      </c>
      <c r="R571">
        <v>17</v>
      </c>
      <c r="S571">
        <v>5</v>
      </c>
      <c r="T571">
        <v>1</v>
      </c>
      <c r="U571">
        <v>5</v>
      </c>
      <c r="V571">
        <v>5</v>
      </c>
      <c r="W571">
        <v>3</v>
      </c>
      <c r="X571">
        <v>93</v>
      </c>
      <c r="Y571">
        <v>150</v>
      </c>
      <c r="Z571">
        <v>4</v>
      </c>
      <c r="AA571">
        <v>0</v>
      </c>
      <c r="AB571">
        <v>0</v>
      </c>
      <c r="AC571">
        <v>1</v>
      </c>
      <c r="AD571">
        <v>0</v>
      </c>
      <c r="AE571">
        <v>0</v>
      </c>
      <c r="AF571">
        <v>0</v>
      </c>
      <c r="AG571">
        <v>3</v>
      </c>
      <c r="AH571">
        <v>0</v>
      </c>
      <c r="AI571">
        <v>0</v>
      </c>
      <c r="AJ571">
        <v>0</v>
      </c>
      <c r="AK571">
        <v>2</v>
      </c>
      <c r="AL571">
        <v>0</v>
      </c>
      <c r="AM571">
        <v>1</v>
      </c>
      <c r="AN571">
        <v>0</v>
      </c>
      <c r="AT571">
        <v>0</v>
      </c>
      <c r="AU571">
        <v>41</v>
      </c>
      <c r="AV571">
        <v>517</v>
      </c>
      <c r="AW571">
        <v>517</v>
      </c>
      <c r="AX571">
        <v>586</v>
      </c>
      <c r="BA571">
        <v>1</v>
      </c>
      <c r="BC571" t="s">
        <v>1231</v>
      </c>
      <c r="BD571" s="4">
        <v>43283.398611111108</v>
      </c>
      <c r="BE571" s="4">
        <v>43283.403483796297</v>
      </c>
      <c r="BF571" s="4">
        <v>43283.403483796297</v>
      </c>
      <c r="BG571" t="s">
        <v>83</v>
      </c>
      <c r="BH571" t="s">
        <v>84</v>
      </c>
      <c r="BI571" t="s">
        <v>85</v>
      </c>
    </row>
    <row r="572" spans="1:61" x14ac:dyDescent="0.3">
      <c r="A572" t="str">
        <f>"201259E0200"</f>
        <v>201259E0200</v>
      </c>
      <c r="B572" s="2" t="s">
        <v>1232</v>
      </c>
      <c r="C572">
        <v>20</v>
      </c>
      <c r="D572" t="s">
        <v>79</v>
      </c>
      <c r="E572">
        <v>3</v>
      </c>
      <c r="F572" t="s">
        <v>915</v>
      </c>
      <c r="G572">
        <v>1259</v>
      </c>
      <c r="H572">
        <v>2</v>
      </c>
      <c r="I572" t="s">
        <v>145</v>
      </c>
      <c r="J572">
        <v>0</v>
      </c>
      <c r="K572">
        <v>2</v>
      </c>
      <c r="L572">
        <v>2</v>
      </c>
      <c r="M572">
        <v>83</v>
      </c>
      <c r="N572">
        <v>406</v>
      </c>
      <c r="O572">
        <v>2</v>
      </c>
      <c r="P572">
        <v>406</v>
      </c>
      <c r="Q572">
        <v>58</v>
      </c>
      <c r="R572">
        <v>52</v>
      </c>
      <c r="S572">
        <v>0</v>
      </c>
      <c r="T572">
        <v>7</v>
      </c>
      <c r="U572">
        <v>8</v>
      </c>
      <c r="V572">
        <v>3</v>
      </c>
      <c r="W572">
        <v>1</v>
      </c>
      <c r="X572">
        <v>65</v>
      </c>
      <c r="Y572">
        <v>197</v>
      </c>
      <c r="Z572">
        <v>2</v>
      </c>
      <c r="AA572">
        <v>0</v>
      </c>
      <c r="AB572">
        <v>1</v>
      </c>
      <c r="AC572">
        <v>0</v>
      </c>
      <c r="AD572">
        <v>0</v>
      </c>
      <c r="AE572">
        <v>0</v>
      </c>
      <c r="AF572">
        <v>0</v>
      </c>
      <c r="AG572">
        <v>3</v>
      </c>
      <c r="AH572">
        <v>2</v>
      </c>
      <c r="AI572">
        <v>0</v>
      </c>
      <c r="AJ572">
        <v>1</v>
      </c>
      <c r="AK572">
        <v>0</v>
      </c>
      <c r="AL572">
        <v>0</v>
      </c>
      <c r="AM572">
        <v>0</v>
      </c>
      <c r="AN572">
        <v>0</v>
      </c>
      <c r="AT572">
        <v>0</v>
      </c>
      <c r="AU572">
        <v>5</v>
      </c>
      <c r="AV572">
        <v>406</v>
      </c>
      <c r="AW572">
        <v>405</v>
      </c>
      <c r="AX572">
        <v>468</v>
      </c>
      <c r="BA572">
        <v>1</v>
      </c>
      <c r="BC572" t="s">
        <v>1233</v>
      </c>
      <c r="BD572" s="4">
        <v>43283.467361111114</v>
      </c>
      <c r="BE572" s="4">
        <v>43283.472048611111</v>
      </c>
      <c r="BF572" s="4">
        <v>43283.472048611111</v>
      </c>
      <c r="BG572" t="s">
        <v>83</v>
      </c>
      <c r="BH572" t="s">
        <v>84</v>
      </c>
      <c r="BI572" t="s">
        <v>85</v>
      </c>
    </row>
    <row r="573" spans="1:61" x14ac:dyDescent="0.3">
      <c r="A573" t="str">
        <f>"201259E0300"</f>
        <v>201259E0300</v>
      </c>
      <c r="B573" s="2" t="s">
        <v>1234</v>
      </c>
      <c r="C573">
        <v>20</v>
      </c>
      <c r="D573" t="s">
        <v>79</v>
      </c>
      <c r="E573">
        <v>3</v>
      </c>
      <c r="F573" t="s">
        <v>915</v>
      </c>
      <c r="G573">
        <v>1259</v>
      </c>
      <c r="H573">
        <v>3</v>
      </c>
      <c r="I573" t="s">
        <v>145</v>
      </c>
      <c r="J573">
        <v>0</v>
      </c>
      <c r="K573">
        <v>2</v>
      </c>
      <c r="L573">
        <v>2</v>
      </c>
      <c r="M573">
        <v>121</v>
      </c>
      <c r="N573">
        <v>601</v>
      </c>
      <c r="O573">
        <v>4</v>
      </c>
      <c r="P573">
        <v>601</v>
      </c>
      <c r="Q573">
        <v>134</v>
      </c>
      <c r="R573">
        <v>52</v>
      </c>
      <c r="S573">
        <v>8</v>
      </c>
      <c r="T573">
        <v>4</v>
      </c>
      <c r="U573">
        <v>18</v>
      </c>
      <c r="V573">
        <v>7</v>
      </c>
      <c r="W573">
        <v>0</v>
      </c>
      <c r="X573">
        <v>70</v>
      </c>
      <c r="Y573">
        <v>276</v>
      </c>
      <c r="Z573">
        <v>1</v>
      </c>
      <c r="AA573">
        <v>7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1</v>
      </c>
      <c r="AI573">
        <v>3</v>
      </c>
      <c r="AJ573">
        <v>1</v>
      </c>
      <c r="AK573">
        <v>1</v>
      </c>
      <c r="AL573">
        <v>0</v>
      </c>
      <c r="AM573">
        <v>0</v>
      </c>
      <c r="AN573">
        <v>1</v>
      </c>
      <c r="AT573">
        <v>0</v>
      </c>
      <c r="AU573">
        <v>16</v>
      </c>
      <c r="AV573">
        <v>601</v>
      </c>
      <c r="AW573">
        <v>600</v>
      </c>
      <c r="AX573">
        <v>700</v>
      </c>
      <c r="BA573">
        <v>1</v>
      </c>
      <c r="BC573" t="s">
        <v>1235</v>
      </c>
      <c r="BD573" s="4">
        <v>43283.646527777775</v>
      </c>
      <c r="BE573" s="4">
        <v>43283.658599537041</v>
      </c>
      <c r="BF573" s="4">
        <v>43283.658599537041</v>
      </c>
      <c r="BG573" t="s">
        <v>83</v>
      </c>
      <c r="BH573" t="s">
        <v>84</v>
      </c>
      <c r="BI573" t="s">
        <v>548</v>
      </c>
    </row>
    <row r="574" spans="1:61" x14ac:dyDescent="0.3">
      <c r="A574" t="str">
        <f>"201261B0100"</f>
        <v>201261B0100</v>
      </c>
      <c r="B574" t="s">
        <v>1236</v>
      </c>
      <c r="C574">
        <v>20</v>
      </c>
      <c r="D574" t="s">
        <v>79</v>
      </c>
      <c r="E574">
        <v>3</v>
      </c>
      <c r="F574" t="s">
        <v>915</v>
      </c>
      <c r="G574">
        <v>1261</v>
      </c>
      <c r="H574">
        <v>1</v>
      </c>
      <c r="I574" t="s">
        <v>81</v>
      </c>
      <c r="J574">
        <v>0</v>
      </c>
      <c r="K574">
        <v>2</v>
      </c>
      <c r="L574">
        <v>2</v>
      </c>
      <c r="M574">
        <v>138</v>
      </c>
      <c r="N574">
        <v>591</v>
      </c>
      <c r="O574">
        <v>1</v>
      </c>
      <c r="P574">
        <v>591</v>
      </c>
      <c r="Q574">
        <v>146</v>
      </c>
      <c r="R574">
        <v>92</v>
      </c>
      <c r="S574">
        <v>4</v>
      </c>
      <c r="T574">
        <v>7</v>
      </c>
      <c r="U574">
        <v>12</v>
      </c>
      <c r="V574">
        <v>5</v>
      </c>
      <c r="W574">
        <v>2</v>
      </c>
      <c r="X574">
        <v>106</v>
      </c>
      <c r="Y574">
        <v>194</v>
      </c>
      <c r="Z574">
        <v>3</v>
      </c>
      <c r="AA574">
        <v>1</v>
      </c>
      <c r="AB574">
        <v>0</v>
      </c>
      <c r="AC574">
        <v>2</v>
      </c>
      <c r="AD574">
        <v>0</v>
      </c>
      <c r="AE574">
        <v>0</v>
      </c>
      <c r="AF574">
        <v>0</v>
      </c>
      <c r="AG574">
        <v>1</v>
      </c>
      <c r="AH574">
        <v>1</v>
      </c>
      <c r="AI574">
        <v>1</v>
      </c>
      <c r="AJ574">
        <v>0</v>
      </c>
      <c r="AK574">
        <v>2</v>
      </c>
      <c r="AL574">
        <v>0</v>
      </c>
      <c r="AM574">
        <v>0</v>
      </c>
      <c r="AN574">
        <v>0</v>
      </c>
      <c r="AT574">
        <v>0</v>
      </c>
      <c r="AU574">
        <v>12</v>
      </c>
      <c r="AV574">
        <v>591</v>
      </c>
      <c r="AW574">
        <v>591</v>
      </c>
      <c r="AX574">
        <v>707</v>
      </c>
      <c r="BA574">
        <v>1</v>
      </c>
      <c r="BC574" t="s">
        <v>1237</v>
      </c>
      <c r="BD574" s="4">
        <v>43283.402777777781</v>
      </c>
      <c r="BE574" s="4">
        <v>43283.407129629632</v>
      </c>
      <c r="BF574" s="4">
        <v>43283.407129629632</v>
      </c>
      <c r="BG574" t="s">
        <v>83</v>
      </c>
      <c r="BH574" t="s">
        <v>84</v>
      </c>
      <c r="BI574" t="s">
        <v>85</v>
      </c>
    </row>
    <row r="575" spans="1:61" x14ac:dyDescent="0.3">
      <c r="A575" t="str">
        <f>"201261C0100"</f>
        <v>201261C0100</v>
      </c>
      <c r="B575" t="s">
        <v>1238</v>
      </c>
      <c r="C575">
        <v>20</v>
      </c>
      <c r="D575" t="s">
        <v>79</v>
      </c>
      <c r="E575">
        <v>3</v>
      </c>
      <c r="F575" t="s">
        <v>915</v>
      </c>
      <c r="G575">
        <v>1261</v>
      </c>
      <c r="H575">
        <v>1</v>
      </c>
      <c r="I575" t="s">
        <v>89</v>
      </c>
      <c r="J575">
        <v>0</v>
      </c>
      <c r="K575">
        <v>2</v>
      </c>
      <c r="L575">
        <v>2</v>
      </c>
      <c r="M575">
        <v>170</v>
      </c>
      <c r="N575">
        <v>559</v>
      </c>
      <c r="O575">
        <v>3</v>
      </c>
      <c r="P575">
        <v>559</v>
      </c>
      <c r="Q575">
        <v>167</v>
      </c>
      <c r="R575">
        <v>58</v>
      </c>
      <c r="S575">
        <v>1</v>
      </c>
      <c r="T575">
        <v>1</v>
      </c>
      <c r="U575">
        <v>8</v>
      </c>
      <c r="V575">
        <v>6</v>
      </c>
      <c r="W575">
        <v>1</v>
      </c>
      <c r="X575">
        <v>122</v>
      </c>
      <c r="Y575">
        <v>173</v>
      </c>
      <c r="Z575">
        <v>6</v>
      </c>
      <c r="AA575">
        <v>1</v>
      </c>
      <c r="AB575">
        <v>1</v>
      </c>
      <c r="AC575">
        <v>0</v>
      </c>
      <c r="AD575">
        <v>1</v>
      </c>
      <c r="AE575">
        <v>0</v>
      </c>
      <c r="AF575">
        <v>0</v>
      </c>
      <c r="AG575">
        <v>1</v>
      </c>
      <c r="AH575">
        <v>1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1</v>
      </c>
      <c r="AT575">
        <v>0</v>
      </c>
      <c r="AU575">
        <v>10</v>
      </c>
      <c r="AV575">
        <v>559</v>
      </c>
      <c r="AW575">
        <v>559</v>
      </c>
      <c r="AX575">
        <v>707</v>
      </c>
      <c r="BA575">
        <v>1</v>
      </c>
      <c r="BC575" t="s">
        <v>1239</v>
      </c>
      <c r="BD575" s="4">
        <v>43283.401388888888</v>
      </c>
      <c r="BE575" s="4">
        <v>43283.406273148146</v>
      </c>
      <c r="BF575" s="4">
        <v>43283.406273148146</v>
      </c>
      <c r="BG575" t="s">
        <v>83</v>
      </c>
      <c r="BH575" t="s">
        <v>84</v>
      </c>
      <c r="BI575" t="s">
        <v>85</v>
      </c>
    </row>
    <row r="576" spans="1:61" x14ac:dyDescent="0.3">
      <c r="A576" t="str">
        <f>"201262B0100"</f>
        <v>201262B0100</v>
      </c>
      <c r="B576" t="s">
        <v>1240</v>
      </c>
      <c r="C576">
        <v>20</v>
      </c>
      <c r="D576" t="s">
        <v>79</v>
      </c>
      <c r="E576">
        <v>3</v>
      </c>
      <c r="F576" t="s">
        <v>915</v>
      </c>
      <c r="G576">
        <v>1262</v>
      </c>
      <c r="H576">
        <v>1</v>
      </c>
      <c r="I576" t="s">
        <v>81</v>
      </c>
      <c r="J576">
        <v>0</v>
      </c>
      <c r="K576">
        <v>2</v>
      </c>
      <c r="L576">
        <v>2</v>
      </c>
      <c r="M576">
        <v>96</v>
      </c>
      <c r="N576">
        <v>342</v>
      </c>
      <c r="O576">
        <v>0</v>
      </c>
      <c r="P576">
        <v>342</v>
      </c>
      <c r="Q576">
        <v>80</v>
      </c>
      <c r="R576">
        <v>39</v>
      </c>
      <c r="S576">
        <v>8</v>
      </c>
      <c r="T576">
        <v>1</v>
      </c>
      <c r="U576">
        <v>10</v>
      </c>
      <c r="V576">
        <v>10</v>
      </c>
      <c r="W576">
        <v>0</v>
      </c>
      <c r="X576">
        <v>56</v>
      </c>
      <c r="Y576">
        <v>112</v>
      </c>
      <c r="Z576">
        <v>16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2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T576">
        <v>0</v>
      </c>
      <c r="AU576">
        <v>8</v>
      </c>
      <c r="AV576">
        <v>342</v>
      </c>
      <c r="AW576">
        <v>342</v>
      </c>
      <c r="AX576">
        <v>416</v>
      </c>
      <c r="BA576">
        <v>1</v>
      </c>
      <c r="BC576" t="s">
        <v>1241</v>
      </c>
      <c r="BD576" s="4">
        <v>43283.400694444441</v>
      </c>
      <c r="BE576" s="4">
        <v>43283.409629629627</v>
      </c>
      <c r="BF576" s="4">
        <v>43283.409629629627</v>
      </c>
      <c r="BG576" t="s">
        <v>83</v>
      </c>
      <c r="BH576" t="s">
        <v>84</v>
      </c>
      <c r="BI576" t="s">
        <v>85</v>
      </c>
    </row>
    <row r="577" spans="1:61" x14ac:dyDescent="0.3">
      <c r="A577" t="str">
        <f>"201262C0100"</f>
        <v>201262C0100</v>
      </c>
      <c r="B577" t="s">
        <v>1242</v>
      </c>
      <c r="C577">
        <v>20</v>
      </c>
      <c r="D577" t="s">
        <v>79</v>
      </c>
      <c r="E577">
        <v>3</v>
      </c>
      <c r="F577" t="s">
        <v>915</v>
      </c>
      <c r="G577">
        <v>1262</v>
      </c>
      <c r="H577">
        <v>1</v>
      </c>
      <c r="I577" t="s">
        <v>89</v>
      </c>
      <c r="J577">
        <v>0</v>
      </c>
      <c r="K577">
        <v>2</v>
      </c>
      <c r="L577">
        <v>2</v>
      </c>
      <c r="M577">
        <v>86</v>
      </c>
      <c r="N577">
        <v>351</v>
      </c>
      <c r="O577">
        <v>0</v>
      </c>
      <c r="P577">
        <v>351</v>
      </c>
      <c r="Q577">
        <v>69</v>
      </c>
      <c r="R577">
        <v>45</v>
      </c>
      <c r="S577">
        <v>12</v>
      </c>
      <c r="T577">
        <v>5</v>
      </c>
      <c r="U577">
        <v>7</v>
      </c>
      <c r="V577">
        <v>3</v>
      </c>
      <c r="W577">
        <v>1</v>
      </c>
      <c r="X577">
        <v>81</v>
      </c>
      <c r="Y577">
        <v>100</v>
      </c>
      <c r="Z577">
        <v>7</v>
      </c>
      <c r="AA577">
        <v>2</v>
      </c>
      <c r="AB577">
        <v>0</v>
      </c>
      <c r="AC577">
        <v>2</v>
      </c>
      <c r="AD577">
        <v>1</v>
      </c>
      <c r="AE577">
        <v>1</v>
      </c>
      <c r="AF577">
        <v>0</v>
      </c>
      <c r="AG577">
        <v>0</v>
      </c>
      <c r="AH577">
        <v>1</v>
      </c>
      <c r="AI577">
        <v>0</v>
      </c>
      <c r="AJ577">
        <v>0</v>
      </c>
      <c r="AK577">
        <v>1</v>
      </c>
      <c r="AL577">
        <v>0</v>
      </c>
      <c r="AM577">
        <v>0</v>
      </c>
      <c r="AN577">
        <v>0</v>
      </c>
      <c r="AT577">
        <v>0</v>
      </c>
      <c r="AU577">
        <v>13</v>
      </c>
      <c r="AV577">
        <v>351</v>
      </c>
      <c r="AW577">
        <v>351</v>
      </c>
      <c r="AX577">
        <v>415</v>
      </c>
      <c r="BA577">
        <v>1</v>
      </c>
      <c r="BC577" t="s">
        <v>1243</v>
      </c>
      <c r="BD577" s="4">
        <v>43283.404861111114</v>
      </c>
      <c r="BE577" s="4">
        <v>43283.408715277779</v>
      </c>
      <c r="BF577" s="4">
        <v>43283.408715277779</v>
      </c>
      <c r="BG577" t="s">
        <v>83</v>
      </c>
      <c r="BH577" t="s">
        <v>84</v>
      </c>
      <c r="BI577" t="s">
        <v>85</v>
      </c>
    </row>
    <row r="578" spans="1:61" x14ac:dyDescent="0.3">
      <c r="A578" t="str">
        <f>"201263B0100"</f>
        <v>201263B0100</v>
      </c>
      <c r="B578" t="s">
        <v>1244</v>
      </c>
      <c r="C578">
        <v>20</v>
      </c>
      <c r="D578" t="s">
        <v>79</v>
      </c>
      <c r="E578">
        <v>3</v>
      </c>
      <c r="F578" t="s">
        <v>915</v>
      </c>
      <c r="G578">
        <v>1263</v>
      </c>
      <c r="H578">
        <v>1</v>
      </c>
      <c r="I578" t="s">
        <v>81</v>
      </c>
      <c r="J578">
        <v>0</v>
      </c>
      <c r="K578">
        <v>2</v>
      </c>
      <c r="L578">
        <v>2</v>
      </c>
      <c r="M578">
        <v>133</v>
      </c>
      <c r="N578">
        <v>514</v>
      </c>
      <c r="O578">
        <v>0</v>
      </c>
      <c r="P578">
        <v>514</v>
      </c>
      <c r="Q578">
        <v>61</v>
      </c>
      <c r="R578">
        <v>53</v>
      </c>
      <c r="S578">
        <v>9</v>
      </c>
      <c r="T578">
        <v>6</v>
      </c>
      <c r="U578">
        <v>8</v>
      </c>
      <c r="V578">
        <v>9</v>
      </c>
      <c r="W578">
        <v>4</v>
      </c>
      <c r="X578">
        <v>39</v>
      </c>
      <c r="Y578">
        <v>312</v>
      </c>
      <c r="Z578">
        <v>2</v>
      </c>
      <c r="AA578">
        <v>0</v>
      </c>
      <c r="AB578">
        <v>0</v>
      </c>
      <c r="AC578">
        <v>0</v>
      </c>
      <c r="AD578">
        <v>1</v>
      </c>
      <c r="AE578">
        <v>1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1</v>
      </c>
      <c r="AM578">
        <v>0</v>
      </c>
      <c r="AN578">
        <v>1</v>
      </c>
      <c r="AT578">
        <v>0</v>
      </c>
      <c r="AU578">
        <v>7</v>
      </c>
      <c r="AV578">
        <v>514</v>
      </c>
      <c r="AW578">
        <v>514</v>
      </c>
      <c r="AX578">
        <v>625</v>
      </c>
      <c r="BA578">
        <v>1</v>
      </c>
      <c r="BC578" t="s">
        <v>1245</v>
      </c>
      <c r="BD578" s="4">
        <v>43283.401388888888</v>
      </c>
      <c r="BE578" s="4">
        <v>43283.407222222224</v>
      </c>
      <c r="BF578" s="4">
        <v>43283.407222222224</v>
      </c>
      <c r="BG578" t="s">
        <v>83</v>
      </c>
      <c r="BH578" t="s">
        <v>84</v>
      </c>
      <c r="BI578" t="s">
        <v>85</v>
      </c>
    </row>
    <row r="579" spans="1:61" x14ac:dyDescent="0.3">
      <c r="A579" t="str">
        <f>"201263E0100"</f>
        <v>201263E0100</v>
      </c>
      <c r="B579" s="2" t="s">
        <v>1246</v>
      </c>
      <c r="C579">
        <v>20</v>
      </c>
      <c r="D579" t="s">
        <v>79</v>
      </c>
      <c r="E579">
        <v>3</v>
      </c>
      <c r="F579" t="s">
        <v>915</v>
      </c>
      <c r="G579">
        <v>1263</v>
      </c>
      <c r="H579">
        <v>1</v>
      </c>
      <c r="I579" t="s">
        <v>145</v>
      </c>
      <c r="J579">
        <v>0</v>
      </c>
      <c r="K579">
        <v>2</v>
      </c>
      <c r="L579">
        <v>2</v>
      </c>
      <c r="M579">
        <v>92</v>
      </c>
      <c r="N579">
        <v>386</v>
      </c>
      <c r="O579">
        <v>0</v>
      </c>
      <c r="P579">
        <v>386</v>
      </c>
      <c r="Q579">
        <v>36</v>
      </c>
      <c r="R579">
        <v>27</v>
      </c>
      <c r="S579">
        <v>23</v>
      </c>
      <c r="T579">
        <v>6</v>
      </c>
      <c r="U579">
        <v>4</v>
      </c>
      <c r="V579">
        <v>3</v>
      </c>
      <c r="W579">
        <v>2</v>
      </c>
      <c r="X579">
        <v>56</v>
      </c>
      <c r="Y579">
        <v>212</v>
      </c>
      <c r="Z579">
        <v>4</v>
      </c>
      <c r="AA579">
        <v>3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2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T579">
        <v>0</v>
      </c>
      <c r="AU579">
        <v>8</v>
      </c>
      <c r="AV579">
        <v>386</v>
      </c>
      <c r="AW579">
        <v>386</v>
      </c>
      <c r="AX579">
        <v>456</v>
      </c>
      <c r="BA579">
        <v>1</v>
      </c>
      <c r="BC579" t="s">
        <v>1247</v>
      </c>
      <c r="BD579" s="4">
        <v>43283.401388888888</v>
      </c>
      <c r="BE579" s="4">
        <v>43283.405381944445</v>
      </c>
      <c r="BF579" s="4">
        <v>43283.405381944445</v>
      </c>
      <c r="BG579" t="s">
        <v>83</v>
      </c>
      <c r="BH579" t="s">
        <v>84</v>
      </c>
      <c r="BI579" t="s">
        <v>85</v>
      </c>
    </row>
    <row r="580" spans="1:61" x14ac:dyDescent="0.3">
      <c r="A580" t="str">
        <f>"201263E0200"</f>
        <v>201263E0200</v>
      </c>
      <c r="B580" s="2" t="s">
        <v>1248</v>
      </c>
      <c r="C580">
        <v>20</v>
      </c>
      <c r="D580" t="s">
        <v>79</v>
      </c>
      <c r="E580">
        <v>3</v>
      </c>
      <c r="F580" t="s">
        <v>915</v>
      </c>
      <c r="G580">
        <v>1263</v>
      </c>
      <c r="H580">
        <v>2</v>
      </c>
      <c r="I580" t="s">
        <v>145</v>
      </c>
      <c r="J580">
        <v>0</v>
      </c>
      <c r="K580">
        <v>2</v>
      </c>
      <c r="L580">
        <v>2</v>
      </c>
      <c r="M580">
        <v>106</v>
      </c>
      <c r="N580">
        <v>362</v>
      </c>
      <c r="O580">
        <v>1</v>
      </c>
      <c r="P580">
        <v>362</v>
      </c>
      <c r="Q580">
        <v>103</v>
      </c>
      <c r="R580">
        <v>18</v>
      </c>
      <c r="S580">
        <v>4</v>
      </c>
      <c r="T580">
        <v>2</v>
      </c>
      <c r="U580">
        <v>20</v>
      </c>
      <c r="V580">
        <v>2</v>
      </c>
      <c r="W580">
        <v>2</v>
      </c>
      <c r="X580">
        <v>25</v>
      </c>
      <c r="Y580">
        <v>166</v>
      </c>
      <c r="Z580">
        <v>2</v>
      </c>
      <c r="AA580">
        <v>1</v>
      </c>
      <c r="AB580">
        <v>2</v>
      </c>
      <c r="AC580">
        <v>1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3</v>
      </c>
      <c r="AL580">
        <v>0</v>
      </c>
      <c r="AM580">
        <v>0</v>
      </c>
      <c r="AN580">
        <v>0</v>
      </c>
      <c r="AT580">
        <v>0</v>
      </c>
      <c r="AU580">
        <v>11</v>
      </c>
      <c r="AV580">
        <v>362</v>
      </c>
      <c r="AW580">
        <v>362</v>
      </c>
      <c r="AX580">
        <v>446</v>
      </c>
      <c r="BA580">
        <v>1</v>
      </c>
      <c r="BC580" t="s">
        <v>1249</v>
      </c>
      <c r="BD580" s="4">
        <v>43283.473611111112</v>
      </c>
      <c r="BE580" s="4">
        <v>43283.477673611109</v>
      </c>
      <c r="BF580" s="4">
        <v>43283.477673611109</v>
      </c>
      <c r="BG580" t="s">
        <v>83</v>
      </c>
      <c r="BH580" t="s">
        <v>84</v>
      </c>
      <c r="BI580" t="s">
        <v>548</v>
      </c>
    </row>
    <row r="581" spans="1:61" x14ac:dyDescent="0.3">
      <c r="A581" t="str">
        <f>"201264B0100"</f>
        <v>201264B0100</v>
      </c>
      <c r="B581" t="s">
        <v>1250</v>
      </c>
      <c r="C581">
        <v>20</v>
      </c>
      <c r="D581" t="s">
        <v>79</v>
      </c>
      <c r="E581">
        <v>3</v>
      </c>
      <c r="F581" t="s">
        <v>915</v>
      </c>
      <c r="G581">
        <v>1264</v>
      </c>
      <c r="H581">
        <v>1</v>
      </c>
      <c r="I581" t="s">
        <v>81</v>
      </c>
      <c r="J581">
        <v>0</v>
      </c>
      <c r="K581">
        <v>2</v>
      </c>
      <c r="L581">
        <v>2</v>
      </c>
      <c r="M581">
        <v>138</v>
      </c>
      <c r="N581">
        <v>508</v>
      </c>
      <c r="O581">
        <v>0</v>
      </c>
      <c r="P581">
        <v>508</v>
      </c>
      <c r="Q581">
        <v>67</v>
      </c>
      <c r="R581">
        <v>41</v>
      </c>
      <c r="S581">
        <v>10</v>
      </c>
      <c r="T581">
        <v>3</v>
      </c>
      <c r="U581">
        <v>42</v>
      </c>
      <c r="V581">
        <v>13</v>
      </c>
      <c r="W581">
        <v>0</v>
      </c>
      <c r="X581">
        <v>27</v>
      </c>
      <c r="Y581">
        <v>291</v>
      </c>
      <c r="Z581">
        <v>3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2</v>
      </c>
      <c r="AH581">
        <v>9</v>
      </c>
      <c r="AI581">
        <v>2</v>
      </c>
      <c r="AJ581">
        <v>0</v>
      </c>
      <c r="AK581">
        <v>0</v>
      </c>
      <c r="AL581">
        <v>1</v>
      </c>
      <c r="AM581">
        <v>0</v>
      </c>
      <c r="AN581">
        <v>0</v>
      </c>
      <c r="AT581">
        <v>0</v>
      </c>
      <c r="AU581">
        <v>0</v>
      </c>
      <c r="AV581">
        <v>508</v>
      </c>
      <c r="AW581">
        <v>511</v>
      </c>
      <c r="AX581">
        <v>624</v>
      </c>
      <c r="BA581">
        <v>1</v>
      </c>
      <c r="BC581" t="s">
        <v>1251</v>
      </c>
      <c r="BD581" s="4">
        <v>43283.395833333336</v>
      </c>
      <c r="BE581" s="4">
        <v>43283.400925925926</v>
      </c>
      <c r="BF581" s="4">
        <v>43283.400925925926</v>
      </c>
      <c r="BG581" t="s">
        <v>83</v>
      </c>
      <c r="BH581" t="s">
        <v>84</v>
      </c>
      <c r="BI581" t="s">
        <v>85</v>
      </c>
    </row>
    <row r="582" spans="1:61" x14ac:dyDescent="0.3">
      <c r="A582" t="str">
        <f>"201264C0100"</f>
        <v>201264C0100</v>
      </c>
      <c r="B582" t="s">
        <v>1252</v>
      </c>
      <c r="C582">
        <v>20</v>
      </c>
      <c r="D582" t="s">
        <v>79</v>
      </c>
      <c r="E582">
        <v>3</v>
      </c>
      <c r="F582" t="s">
        <v>915</v>
      </c>
      <c r="G582">
        <v>1264</v>
      </c>
      <c r="H582">
        <v>1</v>
      </c>
      <c r="I582" t="s">
        <v>89</v>
      </c>
      <c r="J582">
        <v>0</v>
      </c>
      <c r="K582">
        <v>2</v>
      </c>
      <c r="L582">
        <v>2</v>
      </c>
      <c r="AX582">
        <v>623</v>
      </c>
      <c r="AZ582" t="s">
        <v>156</v>
      </c>
      <c r="BA582">
        <v>0</v>
      </c>
      <c r="BC582" t="s">
        <v>1253</v>
      </c>
      <c r="BD582" s="4">
        <v>43283.804166666669</v>
      </c>
      <c r="BE582" s="4">
        <v>43283.806562500002</v>
      </c>
      <c r="BF582" s="4">
        <v>43283.806562500002</v>
      </c>
      <c r="BG582" t="s">
        <v>83</v>
      </c>
      <c r="BH582" t="s">
        <v>84</v>
      </c>
      <c r="BI582" t="s">
        <v>85</v>
      </c>
    </row>
    <row r="583" spans="1:61" x14ac:dyDescent="0.3">
      <c r="A583" t="str">
        <f>"201265B0100"</f>
        <v>201265B0100</v>
      </c>
      <c r="B583" t="s">
        <v>1254</v>
      </c>
      <c r="C583">
        <v>20</v>
      </c>
      <c r="D583" t="s">
        <v>79</v>
      </c>
      <c r="E583">
        <v>3</v>
      </c>
      <c r="F583" t="s">
        <v>915</v>
      </c>
      <c r="G583">
        <v>1265</v>
      </c>
      <c r="H583">
        <v>1</v>
      </c>
      <c r="I583" t="s">
        <v>81</v>
      </c>
      <c r="J583">
        <v>0</v>
      </c>
      <c r="K583">
        <v>2</v>
      </c>
      <c r="L583">
        <v>2</v>
      </c>
      <c r="M583">
        <v>109</v>
      </c>
      <c r="N583">
        <v>439</v>
      </c>
      <c r="O583">
        <v>1</v>
      </c>
      <c r="P583">
        <v>439</v>
      </c>
      <c r="Q583">
        <v>24</v>
      </c>
      <c r="R583">
        <v>21</v>
      </c>
      <c r="S583">
        <v>4</v>
      </c>
      <c r="T583">
        <v>5</v>
      </c>
      <c r="U583">
        <v>18</v>
      </c>
      <c r="V583">
        <v>8</v>
      </c>
      <c r="W583">
        <v>2</v>
      </c>
      <c r="X583">
        <v>56</v>
      </c>
      <c r="Y583">
        <v>273</v>
      </c>
      <c r="Z583">
        <v>4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3</v>
      </c>
      <c r="AL583">
        <v>0</v>
      </c>
      <c r="AM583">
        <v>0</v>
      </c>
      <c r="AN583">
        <v>0</v>
      </c>
      <c r="AT583">
        <v>0</v>
      </c>
      <c r="AU583">
        <v>21</v>
      </c>
      <c r="AV583">
        <v>439</v>
      </c>
      <c r="AW583">
        <v>439</v>
      </c>
      <c r="AX583">
        <v>526</v>
      </c>
      <c r="BA583">
        <v>1</v>
      </c>
      <c r="BC583" t="s">
        <v>1255</v>
      </c>
      <c r="BD583" s="4">
        <v>43283.394444444442</v>
      </c>
      <c r="BE583" s="4">
        <v>43283.400636574072</v>
      </c>
      <c r="BF583" s="4">
        <v>43283.400636574072</v>
      </c>
      <c r="BG583" t="s">
        <v>83</v>
      </c>
      <c r="BH583" t="s">
        <v>84</v>
      </c>
      <c r="BI583" t="s">
        <v>85</v>
      </c>
    </row>
    <row r="584" spans="1:61" x14ac:dyDescent="0.3">
      <c r="A584" t="str">
        <f>"201265E0100"</f>
        <v>201265E0100</v>
      </c>
      <c r="B584" s="2" t="s">
        <v>1256</v>
      </c>
      <c r="C584">
        <v>20</v>
      </c>
      <c r="D584" t="s">
        <v>79</v>
      </c>
      <c r="E584">
        <v>3</v>
      </c>
      <c r="F584" t="s">
        <v>915</v>
      </c>
      <c r="G584">
        <v>1265</v>
      </c>
      <c r="H584">
        <v>1</v>
      </c>
      <c r="I584" t="s">
        <v>145</v>
      </c>
      <c r="J584">
        <v>0</v>
      </c>
      <c r="K584">
        <v>2</v>
      </c>
      <c r="L584">
        <v>2</v>
      </c>
      <c r="M584">
        <v>73</v>
      </c>
      <c r="N584">
        <v>253</v>
      </c>
      <c r="O584">
        <v>2</v>
      </c>
      <c r="P584">
        <v>253</v>
      </c>
      <c r="Q584">
        <v>10</v>
      </c>
      <c r="R584">
        <v>18</v>
      </c>
      <c r="S584">
        <v>1</v>
      </c>
      <c r="T584">
        <v>1</v>
      </c>
      <c r="U584">
        <v>6</v>
      </c>
      <c r="V584">
        <v>1</v>
      </c>
      <c r="W584">
        <v>0</v>
      </c>
      <c r="X584">
        <v>79</v>
      </c>
      <c r="Y584">
        <v>126</v>
      </c>
      <c r="Z584">
        <v>3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2</v>
      </c>
      <c r="AM584">
        <v>0</v>
      </c>
      <c r="AN584">
        <v>0</v>
      </c>
      <c r="AT584">
        <v>0</v>
      </c>
      <c r="AU584">
        <v>6</v>
      </c>
      <c r="AV584">
        <v>253</v>
      </c>
      <c r="AW584">
        <v>253</v>
      </c>
      <c r="AX584">
        <v>304</v>
      </c>
      <c r="BA584">
        <v>1</v>
      </c>
      <c r="BC584" t="s">
        <v>1257</v>
      </c>
      <c r="BD584" s="4">
        <v>43283.395833333336</v>
      </c>
      <c r="BE584" s="4">
        <v>43283.40079861111</v>
      </c>
      <c r="BF584" s="4">
        <v>43283.40079861111</v>
      </c>
      <c r="BG584" t="s">
        <v>83</v>
      </c>
      <c r="BH584" t="s">
        <v>84</v>
      </c>
      <c r="BI584" t="s">
        <v>85</v>
      </c>
    </row>
    <row r="585" spans="1:61" x14ac:dyDescent="0.3">
      <c r="A585" t="str">
        <f>"201860B0100"</f>
        <v>201860B0100</v>
      </c>
      <c r="B585" t="s">
        <v>1258</v>
      </c>
      <c r="C585">
        <v>20</v>
      </c>
      <c r="D585" t="s">
        <v>79</v>
      </c>
      <c r="E585">
        <v>3</v>
      </c>
      <c r="F585" t="s">
        <v>915</v>
      </c>
      <c r="G585">
        <v>1860</v>
      </c>
      <c r="H585">
        <v>1</v>
      </c>
      <c r="I585" t="s">
        <v>81</v>
      </c>
      <c r="J585">
        <v>0</v>
      </c>
      <c r="K585">
        <v>2</v>
      </c>
      <c r="L585">
        <v>2</v>
      </c>
      <c r="M585">
        <v>122</v>
      </c>
      <c r="N585">
        <v>547</v>
      </c>
      <c r="O585">
        <v>2</v>
      </c>
      <c r="P585">
        <v>547</v>
      </c>
      <c r="Q585">
        <v>15</v>
      </c>
      <c r="R585">
        <v>102</v>
      </c>
      <c r="S585">
        <v>53</v>
      </c>
      <c r="T585">
        <v>2</v>
      </c>
      <c r="U585">
        <v>17</v>
      </c>
      <c r="V585">
        <v>9</v>
      </c>
      <c r="W585">
        <v>5</v>
      </c>
      <c r="X585">
        <v>14</v>
      </c>
      <c r="Y585">
        <v>179</v>
      </c>
      <c r="Z585">
        <v>15</v>
      </c>
      <c r="AA585">
        <v>0</v>
      </c>
      <c r="AB585">
        <v>81</v>
      </c>
      <c r="AC585">
        <v>2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3</v>
      </c>
      <c r="AM585">
        <v>1</v>
      </c>
      <c r="AN585">
        <v>4</v>
      </c>
      <c r="AT585">
        <v>0</v>
      </c>
      <c r="AU585">
        <v>46</v>
      </c>
      <c r="AV585">
        <v>547</v>
      </c>
      <c r="AW585">
        <v>548</v>
      </c>
      <c r="AX585">
        <v>647</v>
      </c>
      <c r="BA585">
        <v>1</v>
      </c>
      <c r="BC585" t="s">
        <v>1259</v>
      </c>
      <c r="BD585" s="4">
        <v>43283.302777777775</v>
      </c>
      <c r="BE585" s="4">
        <v>43283.348668981482</v>
      </c>
      <c r="BF585" s="4">
        <v>43283.348668981482</v>
      </c>
      <c r="BG585" t="s">
        <v>83</v>
      </c>
      <c r="BH585" t="s">
        <v>84</v>
      </c>
      <c r="BI585" t="s">
        <v>85</v>
      </c>
    </row>
    <row r="586" spans="1:61" x14ac:dyDescent="0.3">
      <c r="A586" t="str">
        <f>"201860C0100"</f>
        <v>201860C0100</v>
      </c>
      <c r="B586" t="s">
        <v>1260</v>
      </c>
      <c r="C586">
        <v>20</v>
      </c>
      <c r="D586" t="s">
        <v>79</v>
      </c>
      <c r="E586">
        <v>3</v>
      </c>
      <c r="F586" t="s">
        <v>915</v>
      </c>
      <c r="G586">
        <v>1860</v>
      </c>
      <c r="H586">
        <v>1</v>
      </c>
      <c r="I586" t="s">
        <v>89</v>
      </c>
      <c r="J586">
        <v>0</v>
      </c>
      <c r="K586">
        <v>2</v>
      </c>
      <c r="L586">
        <v>2</v>
      </c>
      <c r="M586">
        <v>150</v>
      </c>
      <c r="N586">
        <v>519</v>
      </c>
      <c r="O586">
        <v>0</v>
      </c>
      <c r="P586">
        <v>519</v>
      </c>
      <c r="Q586">
        <v>6</v>
      </c>
      <c r="R586">
        <v>80</v>
      </c>
      <c r="S586">
        <v>60</v>
      </c>
      <c r="T586">
        <v>3</v>
      </c>
      <c r="U586">
        <v>21</v>
      </c>
      <c r="V586">
        <v>8</v>
      </c>
      <c r="W586">
        <v>8</v>
      </c>
      <c r="X586">
        <v>5</v>
      </c>
      <c r="Y586">
        <v>157</v>
      </c>
      <c r="Z586">
        <v>17</v>
      </c>
      <c r="AA586">
        <v>0</v>
      </c>
      <c r="AB586">
        <v>110</v>
      </c>
      <c r="AC586">
        <v>2</v>
      </c>
      <c r="AD586">
        <v>0</v>
      </c>
      <c r="AE586">
        <v>0</v>
      </c>
      <c r="AF586">
        <v>0</v>
      </c>
      <c r="AG586">
        <v>1</v>
      </c>
      <c r="AH586">
        <v>0</v>
      </c>
      <c r="AI586">
        <v>0</v>
      </c>
      <c r="AJ586">
        <v>0</v>
      </c>
      <c r="AK586">
        <v>2</v>
      </c>
      <c r="AL586">
        <v>0</v>
      </c>
      <c r="AM586">
        <v>0</v>
      </c>
      <c r="AN586">
        <v>1</v>
      </c>
      <c r="AT586">
        <v>0</v>
      </c>
      <c r="AU586">
        <v>37</v>
      </c>
      <c r="AV586">
        <v>519</v>
      </c>
      <c r="AW586">
        <v>518</v>
      </c>
      <c r="AX586">
        <v>647</v>
      </c>
      <c r="BA586">
        <v>1</v>
      </c>
      <c r="BC586" t="s">
        <v>1261</v>
      </c>
      <c r="BD586" s="4">
        <v>43283.302083333336</v>
      </c>
      <c r="BE586" s="4">
        <v>43283.334398148145</v>
      </c>
      <c r="BF586" s="4">
        <v>43283.334398148145</v>
      </c>
      <c r="BG586" t="s">
        <v>83</v>
      </c>
      <c r="BH586" t="s">
        <v>84</v>
      </c>
      <c r="BI586" t="s">
        <v>85</v>
      </c>
    </row>
    <row r="587" spans="1:61" x14ac:dyDescent="0.3">
      <c r="A587" t="str">
        <f>"201860C0200"</f>
        <v>201860C0200</v>
      </c>
      <c r="B587" t="s">
        <v>1262</v>
      </c>
      <c r="C587">
        <v>20</v>
      </c>
      <c r="D587" t="s">
        <v>79</v>
      </c>
      <c r="E587">
        <v>3</v>
      </c>
      <c r="F587" t="s">
        <v>915</v>
      </c>
      <c r="G587">
        <v>1860</v>
      </c>
      <c r="H587">
        <v>2</v>
      </c>
      <c r="I587" t="s">
        <v>89</v>
      </c>
      <c r="J587">
        <v>0</v>
      </c>
      <c r="K587">
        <v>2</v>
      </c>
      <c r="L587">
        <v>2</v>
      </c>
      <c r="M587">
        <v>129</v>
      </c>
      <c r="N587">
        <v>539</v>
      </c>
      <c r="O587">
        <v>0</v>
      </c>
      <c r="P587">
        <v>539</v>
      </c>
      <c r="Q587">
        <v>17</v>
      </c>
      <c r="R587">
        <v>86</v>
      </c>
      <c r="S587">
        <v>63</v>
      </c>
      <c r="T587">
        <v>5</v>
      </c>
      <c r="U587">
        <v>21</v>
      </c>
      <c r="V587">
        <v>6</v>
      </c>
      <c r="W587">
        <v>3</v>
      </c>
      <c r="X587">
        <v>1</v>
      </c>
      <c r="Y587">
        <v>179</v>
      </c>
      <c r="Z587">
        <v>18</v>
      </c>
      <c r="AA587">
        <v>3</v>
      </c>
      <c r="AB587">
        <v>85</v>
      </c>
      <c r="AC587">
        <v>1</v>
      </c>
      <c r="AD587">
        <v>4</v>
      </c>
      <c r="AE587">
        <v>0</v>
      </c>
      <c r="AF587">
        <v>0</v>
      </c>
      <c r="AG587">
        <v>1</v>
      </c>
      <c r="AH587">
        <v>0</v>
      </c>
      <c r="AI587">
        <v>0</v>
      </c>
      <c r="AJ587">
        <v>0</v>
      </c>
      <c r="AK587">
        <v>2</v>
      </c>
      <c r="AL587">
        <v>1</v>
      </c>
      <c r="AM587">
        <v>0</v>
      </c>
      <c r="AN587">
        <v>1</v>
      </c>
      <c r="AT587">
        <v>0</v>
      </c>
      <c r="AU587">
        <v>42</v>
      </c>
      <c r="AV587">
        <v>539</v>
      </c>
      <c r="AW587">
        <v>539</v>
      </c>
      <c r="AX587">
        <v>646</v>
      </c>
      <c r="BA587">
        <v>1</v>
      </c>
      <c r="BC587" t="s">
        <v>1263</v>
      </c>
      <c r="BD587" s="4">
        <v>43283.302083333336</v>
      </c>
      <c r="BE587" s="4">
        <v>43283.328148148146</v>
      </c>
      <c r="BF587" s="4">
        <v>43283.328148148146</v>
      </c>
      <c r="BG587" t="s">
        <v>83</v>
      </c>
      <c r="BH587" t="s">
        <v>84</v>
      </c>
      <c r="BI587" t="s">
        <v>85</v>
      </c>
    </row>
    <row r="588" spans="1:61" x14ac:dyDescent="0.3">
      <c r="A588" t="str">
        <f>"201860E0100"</f>
        <v>201860E0100</v>
      </c>
      <c r="B588" s="2" t="s">
        <v>1264</v>
      </c>
      <c r="C588">
        <v>20</v>
      </c>
      <c r="D588" t="s">
        <v>79</v>
      </c>
      <c r="E588">
        <v>3</v>
      </c>
      <c r="F588" t="s">
        <v>915</v>
      </c>
      <c r="G588">
        <v>1860</v>
      </c>
      <c r="H588">
        <v>1</v>
      </c>
      <c r="I588" t="s">
        <v>145</v>
      </c>
      <c r="J588">
        <v>0</v>
      </c>
      <c r="K588">
        <v>2</v>
      </c>
      <c r="L588">
        <v>2</v>
      </c>
      <c r="M588">
        <v>148</v>
      </c>
      <c r="N588">
        <v>560</v>
      </c>
      <c r="O588">
        <v>0</v>
      </c>
      <c r="P588">
        <v>560</v>
      </c>
      <c r="Q588">
        <v>8</v>
      </c>
      <c r="R588">
        <v>111</v>
      </c>
      <c r="S588">
        <v>129</v>
      </c>
      <c r="T588">
        <v>1</v>
      </c>
      <c r="U588">
        <v>25</v>
      </c>
      <c r="V588">
        <v>2</v>
      </c>
      <c r="W588">
        <v>2</v>
      </c>
      <c r="X588">
        <v>0</v>
      </c>
      <c r="Y588">
        <v>171</v>
      </c>
      <c r="Z588">
        <v>15</v>
      </c>
      <c r="AA588">
        <v>2</v>
      </c>
      <c r="AB588">
        <v>50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2</v>
      </c>
      <c r="AL588">
        <v>0</v>
      </c>
      <c r="AM588">
        <v>0</v>
      </c>
      <c r="AN588">
        <v>0</v>
      </c>
      <c r="AT588">
        <v>0</v>
      </c>
      <c r="AU588">
        <v>42</v>
      </c>
      <c r="AV588">
        <v>560</v>
      </c>
      <c r="AW588">
        <v>560</v>
      </c>
      <c r="AX588">
        <v>686</v>
      </c>
      <c r="BA588">
        <v>1</v>
      </c>
      <c r="BC588" t="s">
        <v>1265</v>
      </c>
      <c r="BD588" s="4">
        <v>43283.302083333336</v>
      </c>
      <c r="BE588" s="4">
        <v>43283.331712962965</v>
      </c>
      <c r="BF588" s="4">
        <v>43283.331712962965</v>
      </c>
      <c r="BG588" t="s">
        <v>83</v>
      </c>
      <c r="BH588" t="s">
        <v>84</v>
      </c>
      <c r="BI588" t="s">
        <v>85</v>
      </c>
    </row>
    <row r="589" spans="1:61" x14ac:dyDescent="0.3">
      <c r="A589" t="str">
        <f>"201861B0100"</f>
        <v>201861B0100</v>
      </c>
      <c r="B589" t="s">
        <v>1266</v>
      </c>
      <c r="C589">
        <v>20</v>
      </c>
      <c r="D589" t="s">
        <v>79</v>
      </c>
      <c r="E589">
        <v>3</v>
      </c>
      <c r="F589" t="s">
        <v>915</v>
      </c>
      <c r="G589">
        <v>1861</v>
      </c>
      <c r="H589">
        <v>1</v>
      </c>
      <c r="I589" t="s">
        <v>81</v>
      </c>
      <c r="J589">
        <v>0</v>
      </c>
      <c r="K589">
        <v>2</v>
      </c>
      <c r="L589">
        <v>2</v>
      </c>
      <c r="M589">
        <v>132</v>
      </c>
      <c r="N589">
        <v>444</v>
      </c>
      <c r="O589">
        <v>8</v>
      </c>
      <c r="P589">
        <v>444</v>
      </c>
      <c r="Q589">
        <v>12</v>
      </c>
      <c r="R589">
        <v>29</v>
      </c>
      <c r="S589">
        <v>38</v>
      </c>
      <c r="T589">
        <v>2</v>
      </c>
      <c r="U589">
        <v>14</v>
      </c>
      <c r="V589">
        <v>9</v>
      </c>
      <c r="W589">
        <v>1</v>
      </c>
      <c r="X589">
        <v>3</v>
      </c>
      <c r="Y589">
        <v>170</v>
      </c>
      <c r="Z589">
        <v>28</v>
      </c>
      <c r="AA589">
        <v>0</v>
      </c>
      <c r="AB589">
        <v>100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2</v>
      </c>
      <c r="AL589">
        <v>0</v>
      </c>
      <c r="AM589">
        <v>0</v>
      </c>
      <c r="AN589">
        <v>1</v>
      </c>
      <c r="AT589">
        <v>0</v>
      </c>
      <c r="AU589">
        <v>37</v>
      </c>
      <c r="AV589">
        <v>446</v>
      </c>
      <c r="AW589">
        <v>446</v>
      </c>
      <c r="AX589">
        <v>556</v>
      </c>
      <c r="BA589">
        <v>1</v>
      </c>
      <c r="BC589" t="s">
        <v>1267</v>
      </c>
      <c r="BD589" s="4">
        <v>43283.302777777775</v>
      </c>
      <c r="BE589" s="4">
        <v>43283.333090277774</v>
      </c>
      <c r="BF589" s="4">
        <v>43283.333090277774</v>
      </c>
      <c r="BG589" t="s">
        <v>83</v>
      </c>
      <c r="BH589" t="s">
        <v>84</v>
      </c>
      <c r="BI589" t="s">
        <v>85</v>
      </c>
    </row>
    <row r="590" spans="1:61" x14ac:dyDescent="0.3">
      <c r="A590" t="str">
        <f>"201861E0100"</f>
        <v>201861E0100</v>
      </c>
      <c r="B590" s="2" t="s">
        <v>1268</v>
      </c>
      <c r="C590">
        <v>20</v>
      </c>
      <c r="D590" t="s">
        <v>79</v>
      </c>
      <c r="E590">
        <v>3</v>
      </c>
      <c r="F590" t="s">
        <v>915</v>
      </c>
      <c r="G590">
        <v>1861</v>
      </c>
      <c r="H590">
        <v>1</v>
      </c>
      <c r="I590" t="s">
        <v>145</v>
      </c>
      <c r="J590">
        <v>0</v>
      </c>
      <c r="K590">
        <v>2</v>
      </c>
      <c r="L590">
        <v>2</v>
      </c>
      <c r="M590">
        <v>113</v>
      </c>
      <c r="N590">
        <v>414</v>
      </c>
      <c r="O590">
        <v>1</v>
      </c>
      <c r="P590">
        <v>414</v>
      </c>
      <c r="Q590">
        <v>30</v>
      </c>
      <c r="R590">
        <v>74</v>
      </c>
      <c r="S590">
        <v>85</v>
      </c>
      <c r="T590">
        <v>5</v>
      </c>
      <c r="U590">
        <v>14</v>
      </c>
      <c r="V590">
        <v>10</v>
      </c>
      <c r="W590">
        <v>3</v>
      </c>
      <c r="X590">
        <v>1</v>
      </c>
      <c r="Y590">
        <v>110</v>
      </c>
      <c r="Z590">
        <v>8</v>
      </c>
      <c r="AA590">
        <v>0</v>
      </c>
      <c r="AB590">
        <v>54</v>
      </c>
      <c r="AC590">
        <v>0</v>
      </c>
      <c r="AD590">
        <v>1</v>
      </c>
      <c r="AE590">
        <v>0</v>
      </c>
      <c r="AF590">
        <v>2</v>
      </c>
      <c r="AG590">
        <v>0</v>
      </c>
      <c r="AH590">
        <v>1</v>
      </c>
      <c r="AI590">
        <v>0</v>
      </c>
      <c r="AJ590">
        <v>0</v>
      </c>
      <c r="AK590">
        <v>0</v>
      </c>
      <c r="AL590">
        <v>1</v>
      </c>
      <c r="AM590">
        <v>0</v>
      </c>
      <c r="AN590">
        <v>0</v>
      </c>
      <c r="AT590">
        <v>0</v>
      </c>
      <c r="AU590">
        <v>15</v>
      </c>
      <c r="AV590">
        <v>414</v>
      </c>
      <c r="AW590">
        <v>414</v>
      </c>
      <c r="AX590">
        <v>505</v>
      </c>
      <c r="BA590">
        <v>1</v>
      </c>
      <c r="BC590" t="s">
        <v>1269</v>
      </c>
      <c r="BD590" s="4">
        <v>43283.3</v>
      </c>
      <c r="BE590" s="4">
        <v>43283.327569444446</v>
      </c>
      <c r="BF590" s="4">
        <v>43283.327569444446</v>
      </c>
      <c r="BG590" t="s">
        <v>83</v>
      </c>
      <c r="BH590" t="s">
        <v>84</v>
      </c>
      <c r="BI590" t="s">
        <v>85</v>
      </c>
    </row>
    <row r="591" spans="1:61" x14ac:dyDescent="0.3">
      <c r="A591" t="str">
        <f>"201862B0100"</f>
        <v>201862B0100</v>
      </c>
      <c r="B591" t="s">
        <v>1270</v>
      </c>
      <c r="C591">
        <v>20</v>
      </c>
      <c r="D591" t="s">
        <v>79</v>
      </c>
      <c r="E591">
        <v>3</v>
      </c>
      <c r="F591" t="s">
        <v>915</v>
      </c>
      <c r="G591">
        <v>1862</v>
      </c>
      <c r="H591">
        <v>1</v>
      </c>
      <c r="I591" t="s">
        <v>81</v>
      </c>
      <c r="J591">
        <v>0</v>
      </c>
      <c r="K591">
        <v>2</v>
      </c>
      <c r="L591">
        <v>2</v>
      </c>
      <c r="M591">
        <v>158</v>
      </c>
      <c r="N591">
        <v>449</v>
      </c>
      <c r="O591">
        <v>0</v>
      </c>
      <c r="P591">
        <v>449</v>
      </c>
      <c r="Q591">
        <v>15</v>
      </c>
      <c r="R591">
        <v>89</v>
      </c>
      <c r="S591">
        <v>57</v>
      </c>
      <c r="T591">
        <v>1</v>
      </c>
      <c r="U591">
        <v>15</v>
      </c>
      <c r="V591">
        <v>4</v>
      </c>
      <c r="W591">
        <v>3</v>
      </c>
      <c r="X591">
        <v>0</v>
      </c>
      <c r="Y591">
        <v>161</v>
      </c>
      <c r="Z591">
        <v>26</v>
      </c>
      <c r="AA591">
        <v>1</v>
      </c>
      <c r="AB591">
        <v>52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1</v>
      </c>
      <c r="AL591">
        <v>0</v>
      </c>
      <c r="AM591">
        <v>0</v>
      </c>
      <c r="AN591">
        <v>2</v>
      </c>
      <c r="AT591">
        <v>0</v>
      </c>
      <c r="AU591">
        <v>22</v>
      </c>
      <c r="AV591">
        <v>449</v>
      </c>
      <c r="AW591">
        <v>449</v>
      </c>
      <c r="AX591">
        <v>585</v>
      </c>
      <c r="BA591">
        <v>1</v>
      </c>
      <c r="BC591" t="s">
        <v>1271</v>
      </c>
      <c r="BD591" s="4">
        <v>43283.331250000003</v>
      </c>
      <c r="BE591" s="4">
        <v>43283.353159722225</v>
      </c>
      <c r="BF591" s="4">
        <v>43283.353159722225</v>
      </c>
      <c r="BG591" t="s">
        <v>83</v>
      </c>
      <c r="BH591" t="s">
        <v>84</v>
      </c>
      <c r="BI591" t="s">
        <v>85</v>
      </c>
    </row>
    <row r="592" spans="1:61" x14ac:dyDescent="0.3">
      <c r="A592" t="str">
        <f>"201862C0100"</f>
        <v>201862C0100</v>
      </c>
      <c r="B592" t="s">
        <v>1272</v>
      </c>
      <c r="C592">
        <v>20</v>
      </c>
      <c r="D592" t="s">
        <v>79</v>
      </c>
      <c r="E592">
        <v>3</v>
      </c>
      <c r="F592" t="s">
        <v>915</v>
      </c>
      <c r="G592">
        <v>1862</v>
      </c>
      <c r="H592">
        <v>1</v>
      </c>
      <c r="I592" t="s">
        <v>89</v>
      </c>
      <c r="J592">
        <v>0</v>
      </c>
      <c r="K592">
        <v>2</v>
      </c>
      <c r="L592">
        <v>2</v>
      </c>
      <c r="M592">
        <v>133</v>
      </c>
      <c r="N592">
        <v>474</v>
      </c>
      <c r="O592">
        <v>0</v>
      </c>
      <c r="P592">
        <v>474</v>
      </c>
      <c r="Q592">
        <v>7</v>
      </c>
      <c r="R592">
        <v>68</v>
      </c>
      <c r="S592">
        <v>63</v>
      </c>
      <c r="T592">
        <v>2</v>
      </c>
      <c r="U592">
        <v>20</v>
      </c>
      <c r="V592">
        <v>7</v>
      </c>
      <c r="W592">
        <v>0</v>
      </c>
      <c r="X592">
        <v>1</v>
      </c>
      <c r="Y592">
        <v>178</v>
      </c>
      <c r="Z592">
        <v>32</v>
      </c>
      <c r="AA592">
        <v>1</v>
      </c>
      <c r="AB592">
        <v>70</v>
      </c>
      <c r="AC592">
        <v>2</v>
      </c>
      <c r="AD592">
        <v>2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T592">
        <v>0</v>
      </c>
      <c r="AU592">
        <v>21</v>
      </c>
      <c r="AV592">
        <v>474</v>
      </c>
      <c r="AW592">
        <v>474</v>
      </c>
      <c r="AX592">
        <v>585</v>
      </c>
      <c r="BA592">
        <v>1</v>
      </c>
      <c r="BC592" t="s">
        <v>1273</v>
      </c>
      <c r="BD592" s="4">
        <v>43283.331250000003</v>
      </c>
      <c r="BE592" s="4">
        <v>43283.359479166669</v>
      </c>
      <c r="BF592" s="4">
        <v>43283.359479166669</v>
      </c>
      <c r="BG592" t="s">
        <v>83</v>
      </c>
      <c r="BH592" t="s">
        <v>84</v>
      </c>
      <c r="BI592" t="s">
        <v>85</v>
      </c>
    </row>
    <row r="593" spans="1:61" x14ac:dyDescent="0.3">
      <c r="A593" t="str">
        <f>"201863B0100"</f>
        <v>201863B0100</v>
      </c>
      <c r="B593" t="s">
        <v>1274</v>
      </c>
      <c r="C593">
        <v>20</v>
      </c>
      <c r="D593" t="s">
        <v>79</v>
      </c>
      <c r="E593">
        <v>3</v>
      </c>
      <c r="F593" t="s">
        <v>915</v>
      </c>
      <c r="G593">
        <v>1863</v>
      </c>
      <c r="H593">
        <v>1</v>
      </c>
      <c r="I593" t="s">
        <v>81</v>
      </c>
      <c r="J593">
        <v>0</v>
      </c>
      <c r="K593">
        <v>2</v>
      </c>
      <c r="L593">
        <v>2</v>
      </c>
      <c r="M593">
        <v>65</v>
      </c>
      <c r="N593">
        <v>303</v>
      </c>
      <c r="O593">
        <v>0</v>
      </c>
      <c r="P593">
        <v>303</v>
      </c>
      <c r="Q593">
        <v>14</v>
      </c>
      <c r="R593">
        <v>28</v>
      </c>
      <c r="S593">
        <v>22</v>
      </c>
      <c r="T593">
        <v>3</v>
      </c>
      <c r="U593">
        <v>24</v>
      </c>
      <c r="V593">
        <v>2</v>
      </c>
      <c r="W593">
        <v>3</v>
      </c>
      <c r="X593">
        <v>2</v>
      </c>
      <c r="Y593">
        <v>116</v>
      </c>
      <c r="Z593">
        <v>5</v>
      </c>
      <c r="AA593">
        <v>1</v>
      </c>
      <c r="AB593">
        <v>57</v>
      </c>
      <c r="AC593">
        <v>1</v>
      </c>
      <c r="AD593">
        <v>0</v>
      </c>
      <c r="AE593">
        <v>0</v>
      </c>
      <c r="AF593">
        <v>1</v>
      </c>
      <c r="AG593">
        <v>0</v>
      </c>
      <c r="AH593">
        <v>0</v>
      </c>
      <c r="AI593">
        <v>0</v>
      </c>
      <c r="AJ593">
        <v>0</v>
      </c>
      <c r="AK593">
        <v>1</v>
      </c>
      <c r="AL593">
        <v>1</v>
      </c>
      <c r="AM593">
        <v>0</v>
      </c>
      <c r="AN593">
        <v>1</v>
      </c>
      <c r="AT593">
        <v>0</v>
      </c>
      <c r="AU593">
        <v>21</v>
      </c>
      <c r="AV593">
        <v>303</v>
      </c>
      <c r="AW593">
        <v>303</v>
      </c>
      <c r="AX593">
        <v>346</v>
      </c>
      <c r="BA593">
        <v>1</v>
      </c>
      <c r="BC593" t="s">
        <v>1275</v>
      </c>
      <c r="BD593" s="4">
        <v>43283.215277777781</v>
      </c>
      <c r="BE593" s="4">
        <v>43283.239050925928</v>
      </c>
      <c r="BF593" s="4">
        <v>43283.239050925928</v>
      </c>
      <c r="BG593" t="s">
        <v>83</v>
      </c>
      <c r="BH593" t="s">
        <v>84</v>
      </c>
      <c r="BI593" t="s">
        <v>85</v>
      </c>
    </row>
    <row r="594" spans="1:61" x14ac:dyDescent="0.3">
      <c r="A594" t="str">
        <f>"201864B0100"</f>
        <v>201864B0100</v>
      </c>
      <c r="B594" t="s">
        <v>1276</v>
      </c>
      <c r="C594">
        <v>20</v>
      </c>
      <c r="D594" t="s">
        <v>79</v>
      </c>
      <c r="E594">
        <v>3</v>
      </c>
      <c r="F594" t="s">
        <v>915</v>
      </c>
      <c r="G594">
        <v>1864</v>
      </c>
      <c r="H594">
        <v>1</v>
      </c>
      <c r="I594" t="s">
        <v>81</v>
      </c>
      <c r="J594">
        <v>0</v>
      </c>
      <c r="K594">
        <v>2</v>
      </c>
      <c r="L594">
        <v>2</v>
      </c>
      <c r="M594">
        <v>113</v>
      </c>
      <c r="N594">
        <v>462</v>
      </c>
      <c r="O594">
        <v>0</v>
      </c>
      <c r="P594">
        <v>462</v>
      </c>
      <c r="Q594">
        <v>7</v>
      </c>
      <c r="R594">
        <v>31</v>
      </c>
      <c r="S594">
        <v>26</v>
      </c>
      <c r="T594">
        <v>1</v>
      </c>
      <c r="U594">
        <v>27</v>
      </c>
      <c r="V594">
        <v>4</v>
      </c>
      <c r="W594">
        <v>2</v>
      </c>
      <c r="X594">
        <v>1</v>
      </c>
      <c r="Y594">
        <v>264</v>
      </c>
      <c r="Z594">
        <v>8</v>
      </c>
      <c r="AA594">
        <v>6</v>
      </c>
      <c r="AB594">
        <v>68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6</v>
      </c>
      <c r="AL594">
        <v>1</v>
      </c>
      <c r="AM594">
        <v>0</v>
      </c>
      <c r="AN594">
        <v>0</v>
      </c>
      <c r="AT594">
        <v>0</v>
      </c>
      <c r="AU594">
        <v>16</v>
      </c>
      <c r="AV594">
        <v>462</v>
      </c>
      <c r="AW594">
        <v>468</v>
      </c>
      <c r="AX594">
        <v>553</v>
      </c>
      <c r="BA594">
        <v>1</v>
      </c>
      <c r="BC594" t="s">
        <v>1277</v>
      </c>
      <c r="BD594" s="4">
        <v>43283.220833333333</v>
      </c>
      <c r="BE594" s="4">
        <v>43283.254120370373</v>
      </c>
      <c r="BF594" s="4">
        <v>43283.254120370373</v>
      </c>
      <c r="BG594" t="s">
        <v>83</v>
      </c>
      <c r="BH594" t="s">
        <v>84</v>
      </c>
      <c r="BI594" t="s">
        <v>85</v>
      </c>
    </row>
    <row r="595" spans="1:61" x14ac:dyDescent="0.3">
      <c r="A595" t="str">
        <f>"201864C0100"</f>
        <v>201864C0100</v>
      </c>
      <c r="B595" t="s">
        <v>1278</v>
      </c>
      <c r="C595">
        <v>20</v>
      </c>
      <c r="D595" t="s">
        <v>79</v>
      </c>
      <c r="E595">
        <v>3</v>
      </c>
      <c r="F595" t="s">
        <v>915</v>
      </c>
      <c r="G595">
        <v>1864</v>
      </c>
      <c r="H595">
        <v>1</v>
      </c>
      <c r="I595" t="s">
        <v>89</v>
      </c>
      <c r="J595">
        <v>0</v>
      </c>
      <c r="K595">
        <v>2</v>
      </c>
      <c r="L595">
        <v>2</v>
      </c>
      <c r="M595">
        <v>111</v>
      </c>
      <c r="N595">
        <v>464</v>
      </c>
      <c r="O595">
        <v>0</v>
      </c>
      <c r="P595">
        <v>464</v>
      </c>
      <c r="Q595">
        <v>2</v>
      </c>
      <c r="R595">
        <v>38</v>
      </c>
      <c r="S595">
        <v>35</v>
      </c>
      <c r="T595">
        <v>2</v>
      </c>
      <c r="U595">
        <v>21</v>
      </c>
      <c r="V595">
        <v>3</v>
      </c>
      <c r="W595">
        <v>1</v>
      </c>
      <c r="X595">
        <v>2</v>
      </c>
      <c r="Y595">
        <v>245</v>
      </c>
      <c r="Z595">
        <v>9</v>
      </c>
      <c r="AA595">
        <v>1</v>
      </c>
      <c r="AB595">
        <v>77</v>
      </c>
      <c r="AC595">
        <v>2</v>
      </c>
      <c r="AD595">
        <v>0</v>
      </c>
      <c r="AE595">
        <v>0</v>
      </c>
      <c r="AF595">
        <v>1</v>
      </c>
      <c r="AG595">
        <v>2</v>
      </c>
      <c r="AH595">
        <v>0</v>
      </c>
      <c r="AI595">
        <v>0</v>
      </c>
      <c r="AJ595">
        <v>0</v>
      </c>
      <c r="AK595">
        <v>3</v>
      </c>
      <c r="AL595">
        <v>1</v>
      </c>
      <c r="AM595">
        <v>0</v>
      </c>
      <c r="AN595">
        <v>0</v>
      </c>
      <c r="AT595">
        <v>0</v>
      </c>
      <c r="AU595">
        <v>19</v>
      </c>
      <c r="AV595">
        <v>464</v>
      </c>
      <c r="AW595">
        <v>464</v>
      </c>
      <c r="AX595">
        <v>553</v>
      </c>
      <c r="BA595">
        <v>1</v>
      </c>
      <c r="BC595" t="s">
        <v>1279</v>
      </c>
      <c r="BD595" s="4">
        <v>43283.218055555553</v>
      </c>
      <c r="BE595" s="4">
        <v>43283.240648148145</v>
      </c>
      <c r="BF595" s="4">
        <v>43283.240648148145</v>
      </c>
      <c r="BG595" t="s">
        <v>83</v>
      </c>
      <c r="BH595" t="s">
        <v>84</v>
      </c>
      <c r="BI595" t="s">
        <v>85</v>
      </c>
    </row>
    <row r="596" spans="1:61" x14ac:dyDescent="0.3">
      <c r="A596" t="str">
        <f>"201865B0100"</f>
        <v>201865B0100</v>
      </c>
      <c r="B596" t="s">
        <v>1280</v>
      </c>
      <c r="C596">
        <v>20</v>
      </c>
      <c r="D596" t="s">
        <v>79</v>
      </c>
      <c r="E596">
        <v>3</v>
      </c>
      <c r="F596" t="s">
        <v>915</v>
      </c>
      <c r="G596">
        <v>1865</v>
      </c>
      <c r="H596">
        <v>1</v>
      </c>
      <c r="I596" t="s">
        <v>81</v>
      </c>
      <c r="J596">
        <v>0</v>
      </c>
      <c r="K596">
        <v>2</v>
      </c>
      <c r="L596">
        <v>2</v>
      </c>
      <c r="M596">
        <v>94</v>
      </c>
      <c r="N596">
        <v>316</v>
      </c>
      <c r="O596">
        <v>0</v>
      </c>
      <c r="P596">
        <v>316</v>
      </c>
      <c r="Q596">
        <v>8</v>
      </c>
      <c r="R596">
        <v>28</v>
      </c>
      <c r="S596">
        <v>28</v>
      </c>
      <c r="T596">
        <v>1</v>
      </c>
      <c r="U596">
        <v>16</v>
      </c>
      <c r="V596">
        <v>2</v>
      </c>
      <c r="W596">
        <v>0</v>
      </c>
      <c r="X596">
        <v>4</v>
      </c>
      <c r="Y596">
        <v>156</v>
      </c>
      <c r="Z596">
        <v>6</v>
      </c>
      <c r="AA596">
        <v>2</v>
      </c>
      <c r="AB596">
        <v>38</v>
      </c>
      <c r="AC596">
        <v>1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5</v>
      </c>
      <c r="AL596">
        <v>0</v>
      </c>
      <c r="AM596">
        <v>0</v>
      </c>
      <c r="AN596">
        <v>1</v>
      </c>
      <c r="AT596">
        <v>0</v>
      </c>
      <c r="AU596">
        <v>20</v>
      </c>
      <c r="AV596">
        <v>316</v>
      </c>
      <c r="AW596">
        <v>316</v>
      </c>
      <c r="AX596">
        <v>389</v>
      </c>
      <c r="BA596">
        <v>1</v>
      </c>
      <c r="BC596" t="s">
        <v>1281</v>
      </c>
      <c r="BD596" s="4">
        <v>43283.330555555556</v>
      </c>
      <c r="BE596" s="4">
        <v>43283.349942129629</v>
      </c>
      <c r="BF596" s="4">
        <v>43283.349942129629</v>
      </c>
      <c r="BG596" t="s">
        <v>83</v>
      </c>
      <c r="BH596" t="s">
        <v>84</v>
      </c>
      <c r="BI596" t="s">
        <v>85</v>
      </c>
    </row>
    <row r="597" spans="1:61" x14ac:dyDescent="0.3">
      <c r="A597" t="str">
        <f>"201865C0100"</f>
        <v>201865C0100</v>
      </c>
      <c r="B597" t="s">
        <v>1282</v>
      </c>
      <c r="C597">
        <v>20</v>
      </c>
      <c r="D597" t="s">
        <v>79</v>
      </c>
      <c r="E597">
        <v>3</v>
      </c>
      <c r="F597" t="s">
        <v>915</v>
      </c>
      <c r="G597">
        <v>1865</v>
      </c>
      <c r="H597">
        <v>1</v>
      </c>
      <c r="I597" t="s">
        <v>89</v>
      </c>
      <c r="J597">
        <v>0</v>
      </c>
      <c r="K597">
        <v>2</v>
      </c>
      <c r="L597">
        <v>2</v>
      </c>
      <c r="M597">
        <v>108</v>
      </c>
      <c r="N597">
        <v>302</v>
      </c>
      <c r="O597">
        <v>0</v>
      </c>
      <c r="P597">
        <v>302</v>
      </c>
      <c r="Q597">
        <v>6</v>
      </c>
      <c r="R597">
        <v>41</v>
      </c>
      <c r="S597">
        <v>29</v>
      </c>
      <c r="T597">
        <v>1</v>
      </c>
      <c r="U597">
        <v>8</v>
      </c>
      <c r="V597">
        <v>1</v>
      </c>
      <c r="W597">
        <v>2</v>
      </c>
      <c r="X597">
        <v>3</v>
      </c>
      <c r="Y597">
        <v>125</v>
      </c>
      <c r="Z597">
        <v>11</v>
      </c>
      <c r="AA597">
        <v>1</v>
      </c>
      <c r="AB597">
        <v>50</v>
      </c>
      <c r="AC597">
        <v>0</v>
      </c>
      <c r="AD597">
        <v>1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5</v>
      </c>
      <c r="AL597">
        <v>0</v>
      </c>
      <c r="AM597">
        <v>1</v>
      </c>
      <c r="AN597">
        <v>0</v>
      </c>
      <c r="AT597">
        <v>0</v>
      </c>
      <c r="AU597">
        <v>17</v>
      </c>
      <c r="AV597">
        <v>302</v>
      </c>
      <c r="AW597">
        <v>302</v>
      </c>
      <c r="AX597">
        <v>388</v>
      </c>
      <c r="BA597">
        <v>1</v>
      </c>
      <c r="BC597" t="s">
        <v>1283</v>
      </c>
      <c r="BD597" s="4">
        <v>43283.32916666667</v>
      </c>
      <c r="BE597" s="4">
        <v>43283.352418981478</v>
      </c>
      <c r="BF597" s="4">
        <v>43283.352418981478</v>
      </c>
      <c r="BG597" t="s">
        <v>83</v>
      </c>
      <c r="BH597" t="s">
        <v>84</v>
      </c>
      <c r="BI597" t="s">
        <v>85</v>
      </c>
    </row>
    <row r="598" spans="1:61" x14ac:dyDescent="0.3">
      <c r="A598" t="str">
        <f>"202025B0100"</f>
        <v>202025B0100</v>
      </c>
      <c r="B598" t="s">
        <v>1284</v>
      </c>
      <c r="C598">
        <v>20</v>
      </c>
      <c r="D598" t="s">
        <v>79</v>
      </c>
      <c r="E598">
        <v>3</v>
      </c>
      <c r="F598" t="s">
        <v>915</v>
      </c>
      <c r="G598">
        <v>2025</v>
      </c>
      <c r="H598">
        <v>1</v>
      </c>
      <c r="I598" t="s">
        <v>81</v>
      </c>
      <c r="J598">
        <v>0</v>
      </c>
      <c r="K598">
        <v>2</v>
      </c>
      <c r="L598">
        <v>2</v>
      </c>
      <c r="M598">
        <v>297</v>
      </c>
      <c r="N598">
        <v>433</v>
      </c>
      <c r="O598">
        <v>0</v>
      </c>
      <c r="P598">
        <v>433</v>
      </c>
      <c r="Q598">
        <v>8</v>
      </c>
      <c r="R598">
        <v>59</v>
      </c>
      <c r="S598">
        <v>41</v>
      </c>
      <c r="T598">
        <v>6</v>
      </c>
      <c r="U598">
        <v>29</v>
      </c>
      <c r="V598">
        <v>5</v>
      </c>
      <c r="W598">
        <v>5</v>
      </c>
      <c r="X598">
        <v>3</v>
      </c>
      <c r="Y598">
        <v>111</v>
      </c>
      <c r="Z598">
        <v>111</v>
      </c>
      <c r="AA598">
        <v>5</v>
      </c>
      <c r="AB598">
        <v>3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2</v>
      </c>
      <c r="AI598">
        <v>0</v>
      </c>
      <c r="AJ598">
        <v>0</v>
      </c>
      <c r="AK598">
        <v>13</v>
      </c>
      <c r="AL598">
        <v>0</v>
      </c>
      <c r="AM598">
        <v>1</v>
      </c>
      <c r="AN598">
        <v>6</v>
      </c>
      <c r="AT598">
        <v>0</v>
      </c>
      <c r="AU598">
        <v>25</v>
      </c>
      <c r="AV598">
        <v>433</v>
      </c>
      <c r="AW598">
        <v>433</v>
      </c>
      <c r="AX598">
        <v>708</v>
      </c>
      <c r="BA598">
        <v>1</v>
      </c>
      <c r="BC598" t="s">
        <v>1285</v>
      </c>
      <c r="BD598" s="4">
        <v>43283.244444444441</v>
      </c>
      <c r="BE598" s="4">
        <v>43283.272627314815</v>
      </c>
      <c r="BF598" s="4">
        <v>43283.272627314815</v>
      </c>
      <c r="BG598" t="s">
        <v>83</v>
      </c>
      <c r="BH598" t="s">
        <v>84</v>
      </c>
      <c r="BI598" t="s">
        <v>85</v>
      </c>
    </row>
    <row r="599" spans="1:61" x14ac:dyDescent="0.3">
      <c r="A599" t="str">
        <f>"202025C0100"</f>
        <v>202025C0100</v>
      </c>
      <c r="B599" t="s">
        <v>1286</v>
      </c>
      <c r="C599">
        <v>20</v>
      </c>
      <c r="D599" t="s">
        <v>79</v>
      </c>
      <c r="E599">
        <v>3</v>
      </c>
      <c r="F599" t="s">
        <v>915</v>
      </c>
      <c r="G599">
        <v>2025</v>
      </c>
      <c r="H599">
        <v>1</v>
      </c>
      <c r="I599" t="s">
        <v>89</v>
      </c>
      <c r="J599">
        <v>0</v>
      </c>
      <c r="K599">
        <v>2</v>
      </c>
      <c r="L599">
        <v>2</v>
      </c>
      <c r="M599">
        <v>276</v>
      </c>
      <c r="N599">
        <v>454</v>
      </c>
      <c r="O599">
        <v>2</v>
      </c>
      <c r="P599">
        <v>454</v>
      </c>
      <c r="Q599">
        <v>10</v>
      </c>
      <c r="R599">
        <v>71</v>
      </c>
      <c r="S599">
        <v>30</v>
      </c>
      <c r="T599">
        <v>10</v>
      </c>
      <c r="U599">
        <v>37</v>
      </c>
      <c r="V599">
        <v>2</v>
      </c>
      <c r="W599">
        <v>1</v>
      </c>
      <c r="X599">
        <v>5</v>
      </c>
      <c r="Y599">
        <v>133</v>
      </c>
      <c r="Z599">
        <v>117</v>
      </c>
      <c r="AA599">
        <v>1</v>
      </c>
      <c r="AB599">
        <v>0</v>
      </c>
      <c r="AC599">
        <v>0</v>
      </c>
      <c r="AD599">
        <v>1</v>
      </c>
      <c r="AE599">
        <v>0</v>
      </c>
      <c r="AF599">
        <v>0</v>
      </c>
      <c r="AG599">
        <v>0</v>
      </c>
      <c r="AH599">
        <v>1</v>
      </c>
      <c r="AI599">
        <v>0</v>
      </c>
      <c r="AJ599">
        <v>0</v>
      </c>
      <c r="AK599">
        <v>14</v>
      </c>
      <c r="AL599">
        <v>0</v>
      </c>
      <c r="AM599">
        <v>1</v>
      </c>
      <c r="AN599">
        <v>3</v>
      </c>
      <c r="AT599">
        <v>0</v>
      </c>
      <c r="AU599">
        <v>17</v>
      </c>
      <c r="AV599">
        <v>454</v>
      </c>
      <c r="AW599">
        <v>454</v>
      </c>
      <c r="AX599">
        <v>708</v>
      </c>
      <c r="BA599">
        <v>1</v>
      </c>
      <c r="BC599" t="s">
        <v>1287</v>
      </c>
      <c r="BD599" s="4">
        <v>43283.231944444444</v>
      </c>
      <c r="BE599" s="4">
        <v>43283.268842592595</v>
      </c>
      <c r="BF599" s="4">
        <v>43283.268842592595</v>
      </c>
      <c r="BG599" t="s">
        <v>83</v>
      </c>
      <c r="BH599" t="s">
        <v>84</v>
      </c>
      <c r="BI599" t="s">
        <v>85</v>
      </c>
    </row>
    <row r="600" spans="1:61" x14ac:dyDescent="0.3">
      <c r="A600" t="str">
        <f>"202025E0100"</f>
        <v>202025E0100</v>
      </c>
      <c r="B600" s="2" t="s">
        <v>1288</v>
      </c>
      <c r="C600">
        <v>20</v>
      </c>
      <c r="D600" t="s">
        <v>79</v>
      </c>
      <c r="E600">
        <v>3</v>
      </c>
      <c r="F600" t="s">
        <v>915</v>
      </c>
      <c r="G600">
        <v>2025</v>
      </c>
      <c r="H600">
        <v>1</v>
      </c>
      <c r="I600" t="s">
        <v>145</v>
      </c>
      <c r="J600">
        <v>0</v>
      </c>
      <c r="K600">
        <v>2</v>
      </c>
      <c r="L600">
        <v>2</v>
      </c>
      <c r="M600">
        <v>119</v>
      </c>
      <c r="N600">
        <v>379</v>
      </c>
      <c r="O600">
        <v>0</v>
      </c>
      <c r="P600">
        <v>379</v>
      </c>
      <c r="Q600">
        <v>34</v>
      </c>
      <c r="R600">
        <v>27</v>
      </c>
      <c r="S600">
        <v>114</v>
      </c>
      <c r="T600">
        <v>7</v>
      </c>
      <c r="U600">
        <v>26</v>
      </c>
      <c r="V600">
        <v>2</v>
      </c>
      <c r="W600">
        <v>0</v>
      </c>
      <c r="X600">
        <v>4</v>
      </c>
      <c r="Y600">
        <v>126</v>
      </c>
      <c r="Z600">
        <v>10</v>
      </c>
      <c r="AA600">
        <v>2</v>
      </c>
      <c r="AB600">
        <v>1</v>
      </c>
      <c r="AC600">
        <v>2</v>
      </c>
      <c r="AD600">
        <v>1</v>
      </c>
      <c r="AE600">
        <v>0</v>
      </c>
      <c r="AF600">
        <v>1</v>
      </c>
      <c r="AG600">
        <v>0</v>
      </c>
      <c r="AH600">
        <v>0</v>
      </c>
      <c r="AI600">
        <v>0</v>
      </c>
      <c r="AJ600">
        <v>0</v>
      </c>
      <c r="AK600">
        <v>6</v>
      </c>
      <c r="AL600">
        <v>0</v>
      </c>
      <c r="AM600">
        <v>0</v>
      </c>
      <c r="AN600">
        <v>2</v>
      </c>
      <c r="AT600">
        <v>0</v>
      </c>
      <c r="AU600">
        <v>14</v>
      </c>
      <c r="AV600">
        <v>379</v>
      </c>
      <c r="AW600">
        <v>379</v>
      </c>
      <c r="AX600">
        <v>476</v>
      </c>
      <c r="BA600">
        <v>1</v>
      </c>
      <c r="BC600" t="s">
        <v>1289</v>
      </c>
      <c r="BD600" s="4">
        <v>43283.228472222225</v>
      </c>
      <c r="BE600" s="4">
        <v>43283.255636574075</v>
      </c>
      <c r="BF600" s="4">
        <v>43283.255636574075</v>
      </c>
      <c r="BG600" t="s">
        <v>83</v>
      </c>
      <c r="BH600" t="s">
        <v>84</v>
      </c>
      <c r="BI600" t="s">
        <v>85</v>
      </c>
    </row>
    <row r="601" spans="1:61" x14ac:dyDescent="0.3">
      <c r="A601" t="str">
        <f>"202026B0100"</f>
        <v>202026B0100</v>
      </c>
      <c r="B601" t="s">
        <v>1290</v>
      </c>
      <c r="C601">
        <v>20</v>
      </c>
      <c r="D601" t="s">
        <v>79</v>
      </c>
      <c r="E601">
        <v>3</v>
      </c>
      <c r="F601" t="s">
        <v>915</v>
      </c>
      <c r="G601">
        <v>2026</v>
      </c>
      <c r="H601">
        <v>1</v>
      </c>
      <c r="I601" t="s">
        <v>81</v>
      </c>
      <c r="J601">
        <v>0</v>
      </c>
      <c r="K601">
        <v>2</v>
      </c>
      <c r="L601">
        <v>2</v>
      </c>
      <c r="M601">
        <v>123</v>
      </c>
      <c r="N601">
        <v>237</v>
      </c>
      <c r="O601">
        <v>0</v>
      </c>
      <c r="P601">
        <v>237</v>
      </c>
      <c r="Q601">
        <v>8</v>
      </c>
      <c r="R601">
        <v>41</v>
      </c>
      <c r="S601">
        <v>6</v>
      </c>
      <c r="T601">
        <v>3</v>
      </c>
      <c r="U601">
        <v>6</v>
      </c>
      <c r="V601">
        <v>2</v>
      </c>
      <c r="W601">
        <v>1</v>
      </c>
      <c r="X601">
        <v>1</v>
      </c>
      <c r="Y601">
        <v>121</v>
      </c>
      <c r="Z601">
        <v>18</v>
      </c>
      <c r="AA601">
        <v>0</v>
      </c>
      <c r="AB601">
        <v>3</v>
      </c>
      <c r="AC601">
        <v>1</v>
      </c>
      <c r="AD601">
        <v>0</v>
      </c>
      <c r="AE601">
        <v>0</v>
      </c>
      <c r="AF601">
        <v>0</v>
      </c>
      <c r="AG601">
        <v>1</v>
      </c>
      <c r="AH601">
        <v>0</v>
      </c>
      <c r="AI601">
        <v>0</v>
      </c>
      <c r="AJ601">
        <v>0</v>
      </c>
      <c r="AK601">
        <v>11</v>
      </c>
      <c r="AL601">
        <v>0</v>
      </c>
      <c r="AM601">
        <v>0</v>
      </c>
      <c r="AN601">
        <v>3</v>
      </c>
      <c r="AT601">
        <v>0</v>
      </c>
      <c r="AU601">
        <v>11</v>
      </c>
      <c r="AV601">
        <v>237</v>
      </c>
      <c r="AW601">
        <v>237</v>
      </c>
      <c r="AX601">
        <v>338</v>
      </c>
      <c r="BA601">
        <v>1</v>
      </c>
      <c r="BC601" t="s">
        <v>1291</v>
      </c>
      <c r="BD601" s="4">
        <v>43283.098611111112</v>
      </c>
      <c r="BE601" s="4">
        <v>43283.10732638889</v>
      </c>
      <c r="BF601" s="4">
        <v>43283.10732638889</v>
      </c>
      <c r="BG601" t="s">
        <v>83</v>
      </c>
      <c r="BH601" t="s">
        <v>84</v>
      </c>
      <c r="BI601" t="s">
        <v>85</v>
      </c>
    </row>
    <row r="602" spans="1:61" x14ac:dyDescent="0.3">
      <c r="A602" t="str">
        <f>"202026E0100"</f>
        <v>202026E0100</v>
      </c>
      <c r="B602" s="2" t="s">
        <v>1292</v>
      </c>
      <c r="C602">
        <v>20</v>
      </c>
      <c r="D602" t="s">
        <v>79</v>
      </c>
      <c r="E602">
        <v>3</v>
      </c>
      <c r="F602" t="s">
        <v>915</v>
      </c>
      <c r="G602">
        <v>2026</v>
      </c>
      <c r="H602">
        <v>1</v>
      </c>
      <c r="I602" t="s">
        <v>145</v>
      </c>
      <c r="J602">
        <v>0</v>
      </c>
      <c r="K602">
        <v>2</v>
      </c>
      <c r="L602">
        <v>2</v>
      </c>
      <c r="M602">
        <v>203</v>
      </c>
      <c r="N602">
        <v>452</v>
      </c>
      <c r="O602">
        <v>1</v>
      </c>
      <c r="P602">
        <v>452</v>
      </c>
      <c r="Q602">
        <v>10</v>
      </c>
      <c r="R602">
        <v>67</v>
      </c>
      <c r="S602">
        <v>63</v>
      </c>
      <c r="T602">
        <v>6</v>
      </c>
      <c r="U602">
        <v>24</v>
      </c>
      <c r="V602">
        <v>7</v>
      </c>
      <c r="W602">
        <v>2</v>
      </c>
      <c r="X602">
        <v>4</v>
      </c>
      <c r="Y602">
        <v>213</v>
      </c>
      <c r="Z602">
        <v>14</v>
      </c>
      <c r="AA602">
        <v>1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2</v>
      </c>
      <c r="AH602">
        <v>2</v>
      </c>
      <c r="AI602">
        <v>0</v>
      </c>
      <c r="AJ602">
        <v>0</v>
      </c>
      <c r="AK602">
        <v>8</v>
      </c>
      <c r="AL602">
        <v>1</v>
      </c>
      <c r="AM602">
        <v>2</v>
      </c>
      <c r="AN602">
        <v>1</v>
      </c>
      <c r="AT602">
        <v>0</v>
      </c>
      <c r="AU602">
        <v>25</v>
      </c>
      <c r="AV602">
        <v>452</v>
      </c>
      <c r="AW602">
        <v>452</v>
      </c>
      <c r="AX602">
        <v>633</v>
      </c>
      <c r="BA602">
        <v>1</v>
      </c>
      <c r="BC602" t="s">
        <v>1293</v>
      </c>
      <c r="BD602" s="4">
        <v>43283.098611111112</v>
      </c>
      <c r="BE602" s="4">
        <v>43283.105532407404</v>
      </c>
      <c r="BF602" s="4">
        <v>43283.105532407404</v>
      </c>
      <c r="BG602" t="s">
        <v>83</v>
      </c>
      <c r="BH602" t="s">
        <v>84</v>
      </c>
      <c r="BI602" t="s">
        <v>85</v>
      </c>
    </row>
    <row r="603" spans="1:61" x14ac:dyDescent="0.3">
      <c r="A603" t="str">
        <f>"202027B0100"</f>
        <v>202027B0100</v>
      </c>
      <c r="B603" t="s">
        <v>1294</v>
      </c>
      <c r="C603">
        <v>20</v>
      </c>
      <c r="D603" t="s">
        <v>79</v>
      </c>
      <c r="E603">
        <v>3</v>
      </c>
      <c r="F603" t="s">
        <v>915</v>
      </c>
      <c r="G603">
        <v>2027</v>
      </c>
      <c r="H603">
        <v>1</v>
      </c>
      <c r="I603" t="s">
        <v>81</v>
      </c>
      <c r="J603">
        <v>0</v>
      </c>
      <c r="K603">
        <v>2</v>
      </c>
      <c r="L603">
        <v>2</v>
      </c>
      <c r="M603">
        <v>163</v>
      </c>
      <c r="N603">
        <v>329</v>
      </c>
      <c r="O603">
        <v>2</v>
      </c>
      <c r="P603">
        <v>329</v>
      </c>
      <c r="Q603">
        <v>7</v>
      </c>
      <c r="R603">
        <v>13</v>
      </c>
      <c r="S603">
        <v>28</v>
      </c>
      <c r="T603">
        <v>8</v>
      </c>
      <c r="U603">
        <v>23</v>
      </c>
      <c r="V603">
        <v>1</v>
      </c>
      <c r="W603">
        <v>0</v>
      </c>
      <c r="X603">
        <v>5</v>
      </c>
      <c r="Y603">
        <v>192</v>
      </c>
      <c r="Z603">
        <v>28</v>
      </c>
      <c r="AA603">
        <v>2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3</v>
      </c>
      <c r="AH603">
        <v>0</v>
      </c>
      <c r="AI603">
        <v>0</v>
      </c>
      <c r="AJ603">
        <v>0</v>
      </c>
      <c r="AK603">
        <v>6</v>
      </c>
      <c r="AL603">
        <v>0</v>
      </c>
      <c r="AM603">
        <v>0</v>
      </c>
      <c r="AN603">
        <v>2</v>
      </c>
      <c r="AT603">
        <v>0</v>
      </c>
      <c r="AU603">
        <v>11</v>
      </c>
      <c r="AV603">
        <v>329</v>
      </c>
      <c r="AW603">
        <v>329</v>
      </c>
      <c r="AX603">
        <v>470</v>
      </c>
      <c r="BA603">
        <v>1</v>
      </c>
      <c r="BC603" t="s">
        <v>1295</v>
      </c>
      <c r="BD603" s="4">
        <v>43283.274305555555</v>
      </c>
      <c r="BE603" s="4">
        <v>43283.303483796299</v>
      </c>
      <c r="BF603" s="4">
        <v>43283.303483796299</v>
      </c>
      <c r="BG603" t="s">
        <v>83</v>
      </c>
      <c r="BH603" t="s">
        <v>84</v>
      </c>
      <c r="BI603" t="s">
        <v>85</v>
      </c>
    </row>
    <row r="604" spans="1:61" x14ac:dyDescent="0.3">
      <c r="A604" t="str">
        <f>"202028B0100"</f>
        <v>202028B0100</v>
      </c>
      <c r="B604" t="s">
        <v>1296</v>
      </c>
      <c r="C604">
        <v>20</v>
      </c>
      <c r="D604" t="s">
        <v>79</v>
      </c>
      <c r="E604">
        <v>3</v>
      </c>
      <c r="F604" t="s">
        <v>915</v>
      </c>
      <c r="G604">
        <v>2028</v>
      </c>
      <c r="H604">
        <v>1</v>
      </c>
      <c r="I604" t="s">
        <v>81</v>
      </c>
      <c r="J604">
        <v>0</v>
      </c>
      <c r="K604">
        <v>2</v>
      </c>
      <c r="L604">
        <v>2</v>
      </c>
      <c r="M604">
        <v>112</v>
      </c>
      <c r="N604">
        <v>145</v>
      </c>
      <c r="O604">
        <v>2</v>
      </c>
      <c r="P604">
        <v>145</v>
      </c>
      <c r="Q604">
        <v>4</v>
      </c>
      <c r="R604">
        <v>27</v>
      </c>
      <c r="S604">
        <v>43</v>
      </c>
      <c r="T604" t="s">
        <v>100</v>
      </c>
      <c r="U604" t="s">
        <v>100</v>
      </c>
      <c r="V604" t="s">
        <v>100</v>
      </c>
      <c r="W604" t="s">
        <v>100</v>
      </c>
      <c r="X604" t="s">
        <v>100</v>
      </c>
      <c r="Y604">
        <v>49</v>
      </c>
      <c r="Z604">
        <v>2</v>
      </c>
      <c r="AA604" t="s">
        <v>100</v>
      </c>
      <c r="AB604" t="s">
        <v>100</v>
      </c>
      <c r="AC604" t="s">
        <v>100</v>
      </c>
      <c r="AD604" t="s">
        <v>100</v>
      </c>
      <c r="AE604" t="s">
        <v>100</v>
      </c>
      <c r="AF604" t="s">
        <v>100</v>
      </c>
      <c r="AG604" t="s">
        <v>100</v>
      </c>
      <c r="AH604" t="s">
        <v>100</v>
      </c>
      <c r="AI604" t="s">
        <v>100</v>
      </c>
      <c r="AJ604" t="s">
        <v>100</v>
      </c>
      <c r="AK604">
        <v>13</v>
      </c>
      <c r="AL604" t="s">
        <v>100</v>
      </c>
      <c r="AM604" t="s">
        <v>100</v>
      </c>
      <c r="AN604" t="s">
        <v>100</v>
      </c>
      <c r="AT604" t="s">
        <v>100</v>
      </c>
      <c r="AU604">
        <v>7</v>
      </c>
      <c r="AV604">
        <v>145</v>
      </c>
      <c r="AW604">
        <v>145</v>
      </c>
      <c r="AX604">
        <v>235</v>
      </c>
      <c r="AZ604" t="s">
        <v>101</v>
      </c>
      <c r="BA604">
        <v>1</v>
      </c>
      <c r="BC604" t="s">
        <v>1297</v>
      </c>
      <c r="BD604" s="4">
        <v>43283.098611111112</v>
      </c>
      <c r="BE604" s="4">
        <v>43283.104166666664</v>
      </c>
      <c r="BF604" s="4">
        <v>43283.104166666664</v>
      </c>
      <c r="BG604" t="s">
        <v>83</v>
      </c>
      <c r="BH604" t="s">
        <v>84</v>
      </c>
      <c r="BI604" t="s">
        <v>85</v>
      </c>
    </row>
    <row r="605" spans="1:61" x14ac:dyDescent="0.3">
      <c r="A605" t="str">
        <f>"202029B0100"</f>
        <v>202029B0100</v>
      </c>
      <c r="B605" t="s">
        <v>1298</v>
      </c>
      <c r="C605">
        <v>20</v>
      </c>
      <c r="D605" t="s">
        <v>79</v>
      </c>
      <c r="E605">
        <v>3</v>
      </c>
      <c r="F605" t="s">
        <v>915</v>
      </c>
      <c r="G605">
        <v>2029</v>
      </c>
      <c r="H605">
        <v>1</v>
      </c>
      <c r="I605" t="s">
        <v>81</v>
      </c>
      <c r="J605">
        <v>0</v>
      </c>
      <c r="K605">
        <v>2</v>
      </c>
      <c r="L605">
        <v>2</v>
      </c>
      <c r="M605">
        <v>224</v>
      </c>
      <c r="N605">
        <v>380</v>
      </c>
      <c r="O605">
        <v>0</v>
      </c>
      <c r="P605">
        <v>380</v>
      </c>
      <c r="Q605">
        <v>6</v>
      </c>
      <c r="R605">
        <v>16</v>
      </c>
      <c r="S605">
        <v>6</v>
      </c>
      <c r="T605">
        <v>4</v>
      </c>
      <c r="U605">
        <v>41</v>
      </c>
      <c r="V605">
        <v>3</v>
      </c>
      <c r="W605">
        <v>1</v>
      </c>
      <c r="X605">
        <v>1</v>
      </c>
      <c r="Y605">
        <v>218</v>
      </c>
      <c r="Z605">
        <v>22</v>
      </c>
      <c r="AA605">
        <v>1</v>
      </c>
      <c r="AB605">
        <v>1</v>
      </c>
      <c r="AC605">
        <v>1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30</v>
      </c>
      <c r="AL605">
        <v>7</v>
      </c>
      <c r="AM605">
        <v>1</v>
      </c>
      <c r="AN605">
        <v>7</v>
      </c>
      <c r="AT605">
        <v>0</v>
      </c>
      <c r="AU605">
        <v>14</v>
      </c>
      <c r="AV605">
        <v>380</v>
      </c>
      <c r="AW605">
        <v>380</v>
      </c>
      <c r="AX605">
        <v>583</v>
      </c>
      <c r="BA605">
        <v>1</v>
      </c>
      <c r="BC605" t="s">
        <v>1299</v>
      </c>
      <c r="BD605" s="4">
        <v>43283.286805555559</v>
      </c>
      <c r="BE605" s="4">
        <v>43283.315266203703</v>
      </c>
      <c r="BF605" s="4">
        <v>43283.315266203703</v>
      </c>
      <c r="BG605" t="s">
        <v>83</v>
      </c>
      <c r="BH605" t="s">
        <v>84</v>
      </c>
      <c r="BI605" t="s">
        <v>85</v>
      </c>
    </row>
    <row r="606" spans="1:61" x14ac:dyDescent="0.3">
      <c r="A606" t="str">
        <f>"202029C0100"</f>
        <v>202029C0100</v>
      </c>
      <c r="B606" t="s">
        <v>1300</v>
      </c>
      <c r="C606">
        <v>20</v>
      </c>
      <c r="D606" t="s">
        <v>79</v>
      </c>
      <c r="E606">
        <v>3</v>
      </c>
      <c r="F606" t="s">
        <v>915</v>
      </c>
      <c r="G606">
        <v>2029</v>
      </c>
      <c r="H606">
        <v>1</v>
      </c>
      <c r="I606" t="s">
        <v>89</v>
      </c>
      <c r="J606">
        <v>0</v>
      </c>
      <c r="K606">
        <v>2</v>
      </c>
      <c r="L606">
        <v>2</v>
      </c>
      <c r="M606">
        <v>219</v>
      </c>
      <c r="N606">
        <v>385</v>
      </c>
      <c r="O606">
        <v>0</v>
      </c>
      <c r="P606">
        <v>385</v>
      </c>
      <c r="Q606">
        <v>6</v>
      </c>
      <c r="R606">
        <v>33</v>
      </c>
      <c r="S606">
        <v>6</v>
      </c>
      <c r="T606">
        <v>3</v>
      </c>
      <c r="U606">
        <v>24</v>
      </c>
      <c r="V606">
        <v>1</v>
      </c>
      <c r="W606">
        <v>3</v>
      </c>
      <c r="X606">
        <v>4</v>
      </c>
      <c r="Y606">
        <v>197</v>
      </c>
      <c r="Z606">
        <v>23</v>
      </c>
      <c r="AA606">
        <v>1</v>
      </c>
      <c r="AB606">
        <v>0</v>
      </c>
      <c r="AC606">
        <v>2</v>
      </c>
      <c r="AD606">
        <v>0</v>
      </c>
      <c r="AE606">
        <v>0</v>
      </c>
      <c r="AF606">
        <v>0</v>
      </c>
      <c r="AG606">
        <v>0</v>
      </c>
      <c r="AH606">
        <v>2</v>
      </c>
      <c r="AI606">
        <v>2</v>
      </c>
      <c r="AJ606">
        <v>0</v>
      </c>
      <c r="AK606">
        <v>43</v>
      </c>
      <c r="AL606">
        <v>2</v>
      </c>
      <c r="AM606">
        <v>7</v>
      </c>
      <c r="AN606">
        <v>7</v>
      </c>
      <c r="AT606">
        <v>0</v>
      </c>
      <c r="AU606">
        <v>19</v>
      </c>
      <c r="AV606">
        <v>385</v>
      </c>
      <c r="AW606">
        <v>385</v>
      </c>
      <c r="AX606">
        <v>582</v>
      </c>
      <c r="BA606">
        <v>1</v>
      </c>
      <c r="BC606" t="s">
        <v>1301</v>
      </c>
      <c r="BD606" s="4">
        <v>43283.283333333333</v>
      </c>
      <c r="BE606" s="4">
        <v>43283.312511574077</v>
      </c>
      <c r="BF606" s="4">
        <v>43283.312511574077</v>
      </c>
      <c r="BG606" t="s">
        <v>83</v>
      </c>
      <c r="BH606" t="s">
        <v>84</v>
      </c>
      <c r="BI606" t="s">
        <v>85</v>
      </c>
    </row>
    <row r="607" spans="1:61" x14ac:dyDescent="0.3">
      <c r="A607" t="str">
        <f>"202030B0100"</f>
        <v>202030B0100</v>
      </c>
      <c r="B607" t="s">
        <v>1302</v>
      </c>
      <c r="C607">
        <v>20</v>
      </c>
      <c r="D607" t="s">
        <v>79</v>
      </c>
      <c r="E607">
        <v>3</v>
      </c>
      <c r="F607" t="s">
        <v>915</v>
      </c>
      <c r="G607">
        <v>2030</v>
      </c>
      <c r="H607">
        <v>1</v>
      </c>
      <c r="I607" t="s">
        <v>81</v>
      </c>
      <c r="J607">
        <v>0</v>
      </c>
      <c r="K607">
        <v>2</v>
      </c>
      <c r="L607">
        <v>2</v>
      </c>
      <c r="M607">
        <v>112</v>
      </c>
      <c r="N607">
        <v>320</v>
      </c>
      <c r="O607">
        <v>0</v>
      </c>
      <c r="P607">
        <v>208</v>
      </c>
      <c r="Q607">
        <v>2</v>
      </c>
      <c r="R607">
        <v>8</v>
      </c>
      <c r="S607">
        <v>0</v>
      </c>
      <c r="T607">
        <v>2</v>
      </c>
      <c r="U607">
        <v>16</v>
      </c>
      <c r="V607">
        <v>0</v>
      </c>
      <c r="W607">
        <v>0</v>
      </c>
      <c r="X607">
        <v>2</v>
      </c>
      <c r="Y607">
        <v>115</v>
      </c>
      <c r="Z607">
        <v>13</v>
      </c>
      <c r="AA607">
        <v>1</v>
      </c>
      <c r="AB607">
        <v>1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23</v>
      </c>
      <c r="AL607">
        <v>3</v>
      </c>
      <c r="AM607">
        <v>1</v>
      </c>
      <c r="AN607">
        <v>5</v>
      </c>
      <c r="AT607">
        <v>0</v>
      </c>
      <c r="AU607">
        <v>16</v>
      </c>
      <c r="AV607">
        <v>208</v>
      </c>
      <c r="AW607">
        <v>208</v>
      </c>
      <c r="AX607">
        <v>298</v>
      </c>
      <c r="BA607">
        <v>1</v>
      </c>
      <c r="BC607" t="s">
        <v>1303</v>
      </c>
      <c r="BD607" s="4">
        <v>43283.261111111111</v>
      </c>
      <c r="BE607" s="4">
        <v>43283.291666666664</v>
      </c>
      <c r="BF607" s="4">
        <v>43283.291666666664</v>
      </c>
      <c r="BG607" t="s">
        <v>83</v>
      </c>
      <c r="BH607" t="s">
        <v>84</v>
      </c>
      <c r="BI607" t="s">
        <v>85</v>
      </c>
    </row>
    <row r="608" spans="1:61" x14ac:dyDescent="0.3">
      <c r="A608" t="str">
        <f>"202030E0100"</f>
        <v>202030E0100</v>
      </c>
      <c r="B608" s="2" t="s">
        <v>1304</v>
      </c>
      <c r="C608">
        <v>20</v>
      </c>
      <c r="D608" t="s">
        <v>79</v>
      </c>
      <c r="E608">
        <v>3</v>
      </c>
      <c r="F608" t="s">
        <v>915</v>
      </c>
      <c r="G608">
        <v>2030</v>
      </c>
      <c r="H608">
        <v>1</v>
      </c>
      <c r="I608" t="s">
        <v>145</v>
      </c>
      <c r="J608">
        <v>0</v>
      </c>
      <c r="K608">
        <v>2</v>
      </c>
      <c r="L608">
        <v>2</v>
      </c>
      <c r="M608">
        <v>206</v>
      </c>
      <c r="N608">
        <v>400</v>
      </c>
      <c r="O608">
        <v>0</v>
      </c>
      <c r="P608">
        <v>400</v>
      </c>
      <c r="Q608">
        <v>18</v>
      </c>
      <c r="R608">
        <v>89</v>
      </c>
      <c r="S608">
        <v>23</v>
      </c>
      <c r="T608">
        <v>4</v>
      </c>
      <c r="U608">
        <v>19</v>
      </c>
      <c r="V608">
        <v>1</v>
      </c>
      <c r="W608">
        <v>0</v>
      </c>
      <c r="X608">
        <v>3</v>
      </c>
      <c r="Y608">
        <v>143</v>
      </c>
      <c r="Z608">
        <v>50</v>
      </c>
      <c r="AA608">
        <v>0</v>
      </c>
      <c r="AB608">
        <v>0</v>
      </c>
      <c r="AC608">
        <v>5</v>
      </c>
      <c r="AD608">
        <v>1</v>
      </c>
      <c r="AE608">
        <v>1</v>
      </c>
      <c r="AF608">
        <v>0</v>
      </c>
      <c r="AG608">
        <v>0</v>
      </c>
      <c r="AH608">
        <v>4</v>
      </c>
      <c r="AI608">
        <v>0</v>
      </c>
      <c r="AJ608">
        <v>0</v>
      </c>
      <c r="AK608">
        <v>22</v>
      </c>
      <c r="AL608">
        <v>1</v>
      </c>
      <c r="AM608">
        <v>0</v>
      </c>
      <c r="AN608">
        <v>0</v>
      </c>
      <c r="AT608">
        <v>0</v>
      </c>
      <c r="AU608">
        <v>16</v>
      </c>
      <c r="AV608">
        <v>400</v>
      </c>
      <c r="AW608">
        <v>400</v>
      </c>
      <c r="AX608">
        <v>584</v>
      </c>
      <c r="BA608">
        <v>1</v>
      </c>
      <c r="BC608" t="s">
        <v>1305</v>
      </c>
      <c r="BD608" s="4">
        <v>43283.261805555558</v>
      </c>
      <c r="BE608" s="4">
        <v>43283.289895833332</v>
      </c>
      <c r="BF608" s="4">
        <v>43283.289895833332</v>
      </c>
      <c r="BG608" t="s">
        <v>83</v>
      </c>
      <c r="BH608" t="s">
        <v>84</v>
      </c>
      <c r="BI608" t="s">
        <v>85</v>
      </c>
    </row>
    <row r="609" spans="1:61" x14ac:dyDescent="0.3">
      <c r="A609" t="str">
        <f>"202030E0200"</f>
        <v>202030E0200</v>
      </c>
      <c r="B609" s="2" t="s">
        <v>1306</v>
      </c>
      <c r="C609">
        <v>20</v>
      </c>
      <c r="D609" t="s">
        <v>79</v>
      </c>
      <c r="E609">
        <v>3</v>
      </c>
      <c r="F609" t="s">
        <v>915</v>
      </c>
      <c r="G609">
        <v>2030</v>
      </c>
      <c r="H609">
        <v>2</v>
      </c>
      <c r="I609" t="s">
        <v>145</v>
      </c>
      <c r="J609">
        <v>0</v>
      </c>
      <c r="K609">
        <v>2</v>
      </c>
      <c r="L609">
        <v>2</v>
      </c>
      <c r="M609">
        <v>154</v>
      </c>
      <c r="N609">
        <v>328</v>
      </c>
      <c r="O609">
        <v>0</v>
      </c>
      <c r="P609">
        <v>328</v>
      </c>
      <c r="Q609">
        <v>3</v>
      </c>
      <c r="R609">
        <v>46</v>
      </c>
      <c r="S609">
        <v>11</v>
      </c>
      <c r="T609">
        <v>3</v>
      </c>
      <c r="U609">
        <v>23</v>
      </c>
      <c r="V609">
        <v>2</v>
      </c>
      <c r="W609">
        <v>1</v>
      </c>
      <c r="X609">
        <v>1</v>
      </c>
      <c r="Y609">
        <v>185</v>
      </c>
      <c r="Z609">
        <v>17</v>
      </c>
      <c r="AA609">
        <v>0</v>
      </c>
      <c r="AB609">
        <v>1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4</v>
      </c>
      <c r="AI609">
        <v>0</v>
      </c>
      <c r="AJ609">
        <v>0</v>
      </c>
      <c r="AK609">
        <v>7</v>
      </c>
      <c r="AL609">
        <v>3</v>
      </c>
      <c r="AM609">
        <v>1</v>
      </c>
      <c r="AN609">
        <v>1</v>
      </c>
      <c r="AT609">
        <v>0</v>
      </c>
      <c r="AU609">
        <v>19</v>
      </c>
      <c r="AV609">
        <v>328</v>
      </c>
      <c r="AW609">
        <v>328</v>
      </c>
      <c r="AX609">
        <v>460</v>
      </c>
      <c r="BA609">
        <v>1</v>
      </c>
      <c r="BC609" t="s">
        <v>1307</v>
      </c>
      <c r="BD609" s="4">
        <v>43283.270833333336</v>
      </c>
      <c r="BE609" s="4">
        <v>43283.299085648148</v>
      </c>
      <c r="BF609" s="4">
        <v>43283.299085648148</v>
      </c>
      <c r="BG609" t="s">
        <v>83</v>
      </c>
      <c r="BH609" t="s">
        <v>84</v>
      </c>
      <c r="BI609" t="s">
        <v>85</v>
      </c>
    </row>
    <row r="610" spans="1:61" x14ac:dyDescent="0.3">
      <c r="A610" t="str">
        <f>"202031B0100"</f>
        <v>202031B0100</v>
      </c>
      <c r="B610" t="s">
        <v>1308</v>
      </c>
      <c r="C610">
        <v>20</v>
      </c>
      <c r="D610" t="s">
        <v>79</v>
      </c>
      <c r="E610">
        <v>3</v>
      </c>
      <c r="F610" t="s">
        <v>915</v>
      </c>
      <c r="G610">
        <v>2031</v>
      </c>
      <c r="H610">
        <v>1</v>
      </c>
      <c r="I610" t="s">
        <v>81</v>
      </c>
      <c r="J610">
        <v>0</v>
      </c>
      <c r="K610">
        <v>2</v>
      </c>
      <c r="L610">
        <v>2</v>
      </c>
      <c r="M610">
        <v>237</v>
      </c>
      <c r="N610">
        <v>500</v>
      </c>
      <c r="O610">
        <v>0</v>
      </c>
      <c r="P610">
        <v>500</v>
      </c>
      <c r="Q610">
        <v>9</v>
      </c>
      <c r="R610">
        <v>50</v>
      </c>
      <c r="S610">
        <v>82</v>
      </c>
      <c r="T610">
        <v>8</v>
      </c>
      <c r="U610">
        <v>35</v>
      </c>
      <c r="V610">
        <v>3</v>
      </c>
      <c r="W610">
        <v>5</v>
      </c>
      <c r="X610">
        <v>2</v>
      </c>
      <c r="Y610">
        <v>227</v>
      </c>
      <c r="Z610">
        <v>23</v>
      </c>
      <c r="AA610">
        <v>1</v>
      </c>
      <c r="AB610">
        <v>6</v>
      </c>
      <c r="AC610">
        <v>0</v>
      </c>
      <c r="AD610">
        <v>0</v>
      </c>
      <c r="AE610">
        <v>0</v>
      </c>
      <c r="AF610">
        <v>0</v>
      </c>
      <c r="AG610">
        <v>2</v>
      </c>
      <c r="AH610">
        <v>3</v>
      </c>
      <c r="AI610">
        <v>0</v>
      </c>
      <c r="AJ610">
        <v>0</v>
      </c>
      <c r="AK610">
        <v>17</v>
      </c>
      <c r="AL610">
        <v>2</v>
      </c>
      <c r="AM610">
        <v>5</v>
      </c>
      <c r="AN610">
        <v>2</v>
      </c>
      <c r="AT610">
        <v>0</v>
      </c>
      <c r="AU610">
        <v>18</v>
      </c>
      <c r="AV610">
        <v>500</v>
      </c>
      <c r="AW610">
        <v>500</v>
      </c>
      <c r="AX610">
        <v>715</v>
      </c>
      <c r="BA610">
        <v>1</v>
      </c>
      <c r="BC610" t="s">
        <v>1309</v>
      </c>
      <c r="BD610" s="4">
        <v>43283.229166666664</v>
      </c>
      <c r="BE610" s="4">
        <v>43283.254351851851</v>
      </c>
      <c r="BF610" s="4">
        <v>43283.254351851851</v>
      </c>
      <c r="BG610" t="s">
        <v>83</v>
      </c>
      <c r="BH610" t="s">
        <v>84</v>
      </c>
      <c r="BI610" t="s">
        <v>85</v>
      </c>
    </row>
    <row r="611" spans="1:61" x14ac:dyDescent="0.3">
      <c r="A611" t="str">
        <f>"202031C0100"</f>
        <v>202031C0100</v>
      </c>
      <c r="B611" t="s">
        <v>1310</v>
      </c>
      <c r="C611">
        <v>20</v>
      </c>
      <c r="D611" t="s">
        <v>79</v>
      </c>
      <c r="E611">
        <v>3</v>
      </c>
      <c r="F611" t="s">
        <v>915</v>
      </c>
      <c r="G611">
        <v>2031</v>
      </c>
      <c r="H611">
        <v>1</v>
      </c>
      <c r="I611" t="s">
        <v>89</v>
      </c>
      <c r="J611">
        <v>0</v>
      </c>
      <c r="K611">
        <v>2</v>
      </c>
      <c r="L611">
        <v>2</v>
      </c>
      <c r="M611">
        <v>259</v>
      </c>
      <c r="N611">
        <v>477</v>
      </c>
      <c r="O611">
        <v>1</v>
      </c>
      <c r="P611">
        <v>477</v>
      </c>
      <c r="Q611">
        <v>6</v>
      </c>
      <c r="R611">
        <v>59</v>
      </c>
      <c r="S611">
        <v>67</v>
      </c>
      <c r="T611">
        <v>15</v>
      </c>
      <c r="U611">
        <v>23</v>
      </c>
      <c r="V611">
        <v>3</v>
      </c>
      <c r="W611">
        <v>6</v>
      </c>
      <c r="X611">
        <v>2</v>
      </c>
      <c r="Y611">
        <v>231</v>
      </c>
      <c r="Z611">
        <v>18</v>
      </c>
      <c r="AA611">
        <v>0</v>
      </c>
      <c r="AB611">
        <v>1</v>
      </c>
      <c r="AC611">
        <v>2</v>
      </c>
      <c r="AD611">
        <v>4</v>
      </c>
      <c r="AE611">
        <v>0</v>
      </c>
      <c r="AF611">
        <v>1</v>
      </c>
      <c r="AG611">
        <v>0</v>
      </c>
      <c r="AH611">
        <v>2</v>
      </c>
      <c r="AI611">
        <v>1</v>
      </c>
      <c r="AJ611">
        <v>0</v>
      </c>
      <c r="AK611">
        <v>8</v>
      </c>
      <c r="AL611">
        <v>5</v>
      </c>
      <c r="AM611">
        <v>0</v>
      </c>
      <c r="AN611">
        <v>6</v>
      </c>
      <c r="AT611">
        <v>0</v>
      </c>
      <c r="AU611">
        <v>17</v>
      </c>
      <c r="AV611">
        <v>477</v>
      </c>
      <c r="AW611">
        <v>477</v>
      </c>
      <c r="AX611">
        <v>714</v>
      </c>
      <c r="BA611">
        <v>1</v>
      </c>
      <c r="BC611" t="s">
        <v>1311</v>
      </c>
      <c r="BD611" s="4">
        <v>43283.223611111112</v>
      </c>
      <c r="BE611" s="4">
        <v>43283.250393518516</v>
      </c>
      <c r="BF611" s="4">
        <v>43283.250393518516</v>
      </c>
      <c r="BG611" t="s">
        <v>83</v>
      </c>
      <c r="BH611" t="s">
        <v>84</v>
      </c>
      <c r="BI611" t="s">
        <v>85</v>
      </c>
    </row>
    <row r="612" spans="1:61" x14ac:dyDescent="0.3">
      <c r="A612" t="str">
        <f>"202032B0100"</f>
        <v>202032B0100</v>
      </c>
      <c r="B612" t="s">
        <v>1312</v>
      </c>
      <c r="C612">
        <v>20</v>
      </c>
      <c r="D612" t="s">
        <v>79</v>
      </c>
      <c r="E612">
        <v>3</v>
      </c>
      <c r="F612" t="s">
        <v>915</v>
      </c>
      <c r="G612">
        <v>2032</v>
      </c>
      <c r="H612">
        <v>1</v>
      </c>
      <c r="I612" t="s">
        <v>81</v>
      </c>
      <c r="J612">
        <v>0</v>
      </c>
      <c r="K612">
        <v>2</v>
      </c>
      <c r="L612">
        <v>2</v>
      </c>
      <c r="M612">
        <v>230</v>
      </c>
      <c r="N612">
        <v>433</v>
      </c>
      <c r="O612">
        <v>0</v>
      </c>
      <c r="P612">
        <v>433</v>
      </c>
      <c r="Q612">
        <v>2</v>
      </c>
      <c r="R612">
        <v>72</v>
      </c>
      <c r="S612">
        <v>78</v>
      </c>
      <c r="T612">
        <v>5</v>
      </c>
      <c r="U612">
        <v>39</v>
      </c>
      <c r="V612">
        <v>5</v>
      </c>
      <c r="W612">
        <v>2</v>
      </c>
      <c r="X612">
        <v>6</v>
      </c>
      <c r="Y612">
        <v>87</v>
      </c>
      <c r="Z612">
        <v>111</v>
      </c>
      <c r="AA612">
        <v>6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2</v>
      </c>
      <c r="AL612">
        <v>1</v>
      </c>
      <c r="AM612">
        <v>1</v>
      </c>
      <c r="AN612">
        <v>2</v>
      </c>
      <c r="AT612">
        <v>4</v>
      </c>
      <c r="AU612">
        <v>10</v>
      </c>
      <c r="AV612">
        <v>433</v>
      </c>
      <c r="AW612">
        <v>433</v>
      </c>
      <c r="AX612">
        <v>641</v>
      </c>
      <c r="BA612">
        <v>1</v>
      </c>
      <c r="BC612" t="s">
        <v>1313</v>
      </c>
      <c r="BD612" s="4">
        <v>43283.223611111112</v>
      </c>
      <c r="BE612" s="4">
        <v>43283.249293981484</v>
      </c>
      <c r="BF612" s="4">
        <v>43283.249293981484</v>
      </c>
      <c r="BG612" t="s">
        <v>83</v>
      </c>
      <c r="BH612" t="s">
        <v>84</v>
      </c>
      <c r="BI612" t="s">
        <v>85</v>
      </c>
    </row>
    <row r="613" spans="1:61" x14ac:dyDescent="0.3">
      <c r="A613" t="str">
        <f>"202032E0100"</f>
        <v>202032E0100</v>
      </c>
      <c r="B613" s="2" t="s">
        <v>1314</v>
      </c>
      <c r="C613">
        <v>20</v>
      </c>
      <c r="D613" t="s">
        <v>79</v>
      </c>
      <c r="E613">
        <v>3</v>
      </c>
      <c r="F613" t="s">
        <v>915</v>
      </c>
      <c r="G613">
        <v>2032</v>
      </c>
      <c r="H613">
        <v>1</v>
      </c>
      <c r="I613" t="s">
        <v>145</v>
      </c>
      <c r="J613">
        <v>0</v>
      </c>
      <c r="K613">
        <v>2</v>
      </c>
      <c r="L613">
        <v>2</v>
      </c>
      <c r="M613">
        <v>136</v>
      </c>
      <c r="N613">
        <v>590</v>
      </c>
      <c r="O613">
        <v>1</v>
      </c>
      <c r="P613">
        <v>590</v>
      </c>
      <c r="Q613">
        <v>10</v>
      </c>
      <c r="R613">
        <v>323</v>
      </c>
      <c r="S613">
        <v>67</v>
      </c>
      <c r="T613">
        <v>0</v>
      </c>
      <c r="U613">
        <v>19</v>
      </c>
      <c r="V613">
        <v>1</v>
      </c>
      <c r="W613">
        <v>0</v>
      </c>
      <c r="X613">
        <v>1</v>
      </c>
      <c r="Y613">
        <v>117</v>
      </c>
      <c r="Z613">
        <v>17</v>
      </c>
      <c r="AA613">
        <v>1</v>
      </c>
      <c r="AB613">
        <v>1</v>
      </c>
      <c r="AC613">
        <v>1</v>
      </c>
      <c r="AD613">
        <v>2</v>
      </c>
      <c r="AE613">
        <v>0</v>
      </c>
      <c r="AF613">
        <v>0</v>
      </c>
      <c r="AG613">
        <v>2</v>
      </c>
      <c r="AH613">
        <v>2</v>
      </c>
      <c r="AI613">
        <v>0</v>
      </c>
      <c r="AJ613">
        <v>0</v>
      </c>
      <c r="AK613">
        <v>4</v>
      </c>
      <c r="AL613">
        <v>2</v>
      </c>
      <c r="AM613">
        <v>0</v>
      </c>
      <c r="AN613">
        <v>1</v>
      </c>
      <c r="AT613">
        <v>0</v>
      </c>
      <c r="AU613">
        <v>19</v>
      </c>
      <c r="AV613">
        <v>590</v>
      </c>
      <c r="AW613">
        <v>590</v>
      </c>
      <c r="AX613">
        <v>704</v>
      </c>
      <c r="BA613">
        <v>1</v>
      </c>
      <c r="BC613" t="s">
        <v>1315</v>
      </c>
      <c r="BD613" s="4">
        <v>43283.230555555558</v>
      </c>
      <c r="BE613" s="4">
        <v>43283.25582175926</v>
      </c>
      <c r="BF613" s="4">
        <v>43283.25582175926</v>
      </c>
      <c r="BG613" t="s">
        <v>83</v>
      </c>
      <c r="BH613" t="s">
        <v>84</v>
      </c>
      <c r="BI613" t="s">
        <v>85</v>
      </c>
    </row>
    <row r="614" spans="1:61" x14ac:dyDescent="0.3">
      <c r="A614" t="str">
        <f>"200127B0100"</f>
        <v>200127B0100</v>
      </c>
      <c r="B614" t="s">
        <v>1316</v>
      </c>
      <c r="C614">
        <v>20</v>
      </c>
      <c r="D614" t="s">
        <v>79</v>
      </c>
      <c r="E614">
        <v>4</v>
      </c>
      <c r="F614" t="s">
        <v>1317</v>
      </c>
      <c r="G614">
        <v>127</v>
      </c>
      <c r="H614">
        <v>1</v>
      </c>
      <c r="I614" t="s">
        <v>81</v>
      </c>
      <c r="J614">
        <v>0</v>
      </c>
      <c r="K614">
        <v>2</v>
      </c>
      <c r="L614">
        <v>2</v>
      </c>
      <c r="M614">
        <v>253</v>
      </c>
      <c r="N614">
        <v>433</v>
      </c>
      <c r="O614">
        <v>0</v>
      </c>
      <c r="P614" t="s">
        <v>100</v>
      </c>
      <c r="Q614">
        <v>30</v>
      </c>
      <c r="R614">
        <v>115</v>
      </c>
      <c r="S614">
        <v>19</v>
      </c>
      <c r="T614">
        <v>6</v>
      </c>
      <c r="U614">
        <v>12</v>
      </c>
      <c r="V614">
        <v>4</v>
      </c>
      <c r="W614">
        <v>6</v>
      </c>
      <c r="X614">
        <v>24</v>
      </c>
      <c r="Y614">
        <v>146</v>
      </c>
      <c r="Z614">
        <v>7</v>
      </c>
      <c r="AA614">
        <v>10</v>
      </c>
      <c r="AC614">
        <v>0</v>
      </c>
      <c r="AD614">
        <v>1</v>
      </c>
      <c r="AE614">
        <v>0</v>
      </c>
      <c r="AF614">
        <v>0</v>
      </c>
      <c r="AG614">
        <v>3</v>
      </c>
      <c r="AH614">
        <v>6</v>
      </c>
      <c r="AI614">
        <v>0</v>
      </c>
      <c r="AJ614">
        <v>1</v>
      </c>
      <c r="AK614">
        <v>2</v>
      </c>
      <c r="AL614">
        <v>0</v>
      </c>
      <c r="AM614">
        <v>1</v>
      </c>
      <c r="AN614">
        <v>0</v>
      </c>
      <c r="AT614">
        <v>0</v>
      </c>
      <c r="AU614">
        <v>40</v>
      </c>
      <c r="AV614">
        <v>433</v>
      </c>
      <c r="AW614">
        <v>433</v>
      </c>
      <c r="AX614">
        <v>664</v>
      </c>
      <c r="BA614">
        <v>1</v>
      </c>
      <c r="BC614" t="s">
        <v>1318</v>
      </c>
      <c r="BD614" s="4">
        <v>43283.21597222222</v>
      </c>
      <c r="BE614" s="4">
        <v>43283.239571759259</v>
      </c>
      <c r="BF614" s="4">
        <v>43283.239571759259</v>
      </c>
      <c r="BG614" t="s">
        <v>83</v>
      </c>
      <c r="BH614" t="s">
        <v>84</v>
      </c>
      <c r="BI614" t="s">
        <v>85</v>
      </c>
    </row>
    <row r="615" spans="1:61" x14ac:dyDescent="0.3">
      <c r="A615" t="str">
        <f>"200127E0100"</f>
        <v>200127E0100</v>
      </c>
      <c r="B615" s="2" t="s">
        <v>1319</v>
      </c>
      <c r="C615">
        <v>20</v>
      </c>
      <c r="D615" t="s">
        <v>79</v>
      </c>
      <c r="E615">
        <v>4</v>
      </c>
      <c r="F615" t="s">
        <v>1317</v>
      </c>
      <c r="G615">
        <v>127</v>
      </c>
      <c r="H615">
        <v>1</v>
      </c>
      <c r="I615" t="s">
        <v>145</v>
      </c>
      <c r="J615">
        <v>0</v>
      </c>
      <c r="K615">
        <v>2</v>
      </c>
      <c r="L615">
        <v>2</v>
      </c>
      <c r="M615">
        <v>107</v>
      </c>
      <c r="N615">
        <v>170</v>
      </c>
      <c r="O615">
        <v>1</v>
      </c>
      <c r="P615">
        <v>170</v>
      </c>
      <c r="Q615">
        <v>8</v>
      </c>
      <c r="R615">
        <v>56</v>
      </c>
      <c r="S615">
        <v>7</v>
      </c>
      <c r="T615">
        <v>3</v>
      </c>
      <c r="U615">
        <v>14</v>
      </c>
      <c r="V615">
        <v>3</v>
      </c>
      <c r="W615">
        <v>2</v>
      </c>
      <c r="X615">
        <v>14</v>
      </c>
      <c r="Y615">
        <v>45</v>
      </c>
      <c r="Z615">
        <v>1</v>
      </c>
      <c r="AA615">
        <v>0</v>
      </c>
      <c r="AC615">
        <v>0</v>
      </c>
      <c r="AD615">
        <v>0</v>
      </c>
      <c r="AE615">
        <v>0</v>
      </c>
      <c r="AF615">
        <v>0</v>
      </c>
      <c r="AG615">
        <v>8</v>
      </c>
      <c r="AH615">
        <v>0</v>
      </c>
      <c r="AI615">
        <v>1</v>
      </c>
      <c r="AJ615">
        <v>0</v>
      </c>
      <c r="AK615">
        <v>1</v>
      </c>
      <c r="AL615">
        <v>1</v>
      </c>
      <c r="AM615">
        <v>0</v>
      </c>
      <c r="AN615">
        <v>0</v>
      </c>
      <c r="AT615" t="s">
        <v>100</v>
      </c>
      <c r="AU615">
        <v>6</v>
      </c>
      <c r="AV615">
        <v>170</v>
      </c>
      <c r="AW615">
        <v>170</v>
      </c>
      <c r="AX615">
        <v>256</v>
      </c>
      <c r="AZ615" t="s">
        <v>101</v>
      </c>
      <c r="BA615">
        <v>1</v>
      </c>
      <c r="BC615" t="s">
        <v>1320</v>
      </c>
      <c r="BD615" s="4">
        <v>43283.34375</v>
      </c>
      <c r="BE615" s="4">
        <v>43283.375381944446</v>
      </c>
      <c r="BF615" s="4">
        <v>43283.375381944446</v>
      </c>
      <c r="BG615" t="s">
        <v>83</v>
      </c>
      <c r="BH615" t="s">
        <v>84</v>
      </c>
      <c r="BI615" t="s">
        <v>85</v>
      </c>
    </row>
    <row r="616" spans="1:61" x14ac:dyDescent="0.3">
      <c r="A616" t="str">
        <f>"200128B0100"</f>
        <v>200128B0100</v>
      </c>
      <c r="B616" t="s">
        <v>1321</v>
      </c>
      <c r="C616">
        <v>20</v>
      </c>
      <c r="D616" t="s">
        <v>79</v>
      </c>
      <c r="E616">
        <v>4</v>
      </c>
      <c r="F616" t="s">
        <v>1317</v>
      </c>
      <c r="G616">
        <v>128</v>
      </c>
      <c r="H616">
        <v>1</v>
      </c>
      <c r="I616" t="s">
        <v>81</v>
      </c>
      <c r="J616">
        <v>0</v>
      </c>
      <c r="K616">
        <v>2</v>
      </c>
      <c r="L616">
        <v>2</v>
      </c>
      <c r="M616">
        <v>197</v>
      </c>
      <c r="N616">
        <v>288</v>
      </c>
      <c r="O616">
        <v>0</v>
      </c>
      <c r="P616">
        <v>288</v>
      </c>
      <c r="Q616">
        <v>4</v>
      </c>
      <c r="R616">
        <v>10</v>
      </c>
      <c r="S616">
        <v>12</v>
      </c>
      <c r="T616">
        <v>8</v>
      </c>
      <c r="U616">
        <v>31</v>
      </c>
      <c r="V616">
        <v>10</v>
      </c>
      <c r="W616">
        <v>8</v>
      </c>
      <c r="X616">
        <v>10</v>
      </c>
      <c r="Y616">
        <v>172</v>
      </c>
      <c r="Z616">
        <v>3</v>
      </c>
      <c r="AA616">
        <v>0</v>
      </c>
      <c r="AC616">
        <v>0</v>
      </c>
      <c r="AD616">
        <v>0</v>
      </c>
      <c r="AE616">
        <v>0</v>
      </c>
      <c r="AF616">
        <v>0</v>
      </c>
      <c r="AG616">
        <v>1</v>
      </c>
      <c r="AH616">
        <v>0</v>
      </c>
      <c r="AI616">
        <v>0</v>
      </c>
      <c r="AJ616">
        <v>0</v>
      </c>
      <c r="AK616">
        <v>1</v>
      </c>
      <c r="AL616">
        <v>0</v>
      </c>
      <c r="AM616">
        <v>0</v>
      </c>
      <c r="AN616">
        <v>0</v>
      </c>
      <c r="AT616">
        <v>0</v>
      </c>
      <c r="AU616">
        <v>18</v>
      </c>
      <c r="AV616">
        <v>288</v>
      </c>
      <c r="AW616">
        <v>288</v>
      </c>
      <c r="AX616">
        <v>467</v>
      </c>
      <c r="BA616">
        <v>1</v>
      </c>
      <c r="BC616" t="s">
        <v>1322</v>
      </c>
      <c r="BD616" s="4">
        <v>43283.696527777778</v>
      </c>
      <c r="BE616" s="4">
        <v>43283.70071759259</v>
      </c>
      <c r="BF616" s="4">
        <v>43283.70071759259</v>
      </c>
      <c r="BG616" t="s">
        <v>83</v>
      </c>
      <c r="BH616" t="s">
        <v>84</v>
      </c>
      <c r="BI616" t="s">
        <v>548</v>
      </c>
    </row>
    <row r="617" spans="1:61" x14ac:dyDescent="0.3">
      <c r="A617" t="str">
        <f>"200129B0100"</f>
        <v>200129B0100</v>
      </c>
      <c r="B617" t="s">
        <v>1323</v>
      </c>
      <c r="C617">
        <v>20</v>
      </c>
      <c r="D617" t="s">
        <v>79</v>
      </c>
      <c r="E617">
        <v>4</v>
      </c>
      <c r="F617" t="s">
        <v>1317</v>
      </c>
      <c r="G617">
        <v>129</v>
      </c>
      <c r="H617">
        <v>1</v>
      </c>
      <c r="I617" t="s">
        <v>81</v>
      </c>
      <c r="J617">
        <v>0</v>
      </c>
      <c r="K617">
        <v>2</v>
      </c>
      <c r="L617">
        <v>2</v>
      </c>
      <c r="M617">
        <v>50</v>
      </c>
      <c r="N617">
        <v>92</v>
      </c>
      <c r="O617">
        <v>0</v>
      </c>
      <c r="P617">
        <v>92</v>
      </c>
      <c r="Q617">
        <v>6</v>
      </c>
      <c r="R617">
        <v>23</v>
      </c>
      <c r="S617">
        <v>1</v>
      </c>
      <c r="T617">
        <v>0</v>
      </c>
      <c r="U617">
        <v>3</v>
      </c>
      <c r="V617">
        <v>2</v>
      </c>
      <c r="W617">
        <v>5</v>
      </c>
      <c r="X617">
        <v>1</v>
      </c>
      <c r="Y617">
        <v>44</v>
      </c>
      <c r="Z617">
        <v>3</v>
      </c>
      <c r="AA617">
        <v>0</v>
      </c>
      <c r="AC617">
        <v>0</v>
      </c>
      <c r="AD617">
        <v>1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1</v>
      </c>
      <c r="AL617">
        <v>0</v>
      </c>
      <c r="AM617">
        <v>0</v>
      </c>
      <c r="AN617">
        <v>0</v>
      </c>
      <c r="AT617">
        <v>0</v>
      </c>
      <c r="AU617">
        <v>2</v>
      </c>
      <c r="AV617">
        <v>92</v>
      </c>
      <c r="AW617">
        <v>92</v>
      </c>
      <c r="AX617">
        <v>120</v>
      </c>
      <c r="BA617">
        <v>1</v>
      </c>
      <c r="BC617" t="s">
        <v>1324</v>
      </c>
      <c r="BD617" s="4">
        <v>43283.341666666667</v>
      </c>
      <c r="BE617" s="4">
        <v>43283.358958333331</v>
      </c>
      <c r="BF617" s="4">
        <v>43283.358958333331</v>
      </c>
      <c r="BG617" t="s">
        <v>83</v>
      </c>
      <c r="BH617" t="s">
        <v>84</v>
      </c>
      <c r="BI617" t="s">
        <v>85</v>
      </c>
    </row>
    <row r="618" spans="1:61" x14ac:dyDescent="0.3">
      <c r="A618" t="str">
        <f>"200130B0100"</f>
        <v>200130B0100</v>
      </c>
      <c r="B618" t="s">
        <v>1325</v>
      </c>
      <c r="C618">
        <v>20</v>
      </c>
      <c r="D618" t="s">
        <v>79</v>
      </c>
      <c r="E618">
        <v>4</v>
      </c>
      <c r="F618" t="s">
        <v>1317</v>
      </c>
      <c r="G618">
        <v>130</v>
      </c>
      <c r="H618">
        <v>1</v>
      </c>
      <c r="I618" t="s">
        <v>81</v>
      </c>
      <c r="J618">
        <v>0</v>
      </c>
      <c r="K618">
        <v>2</v>
      </c>
      <c r="L618">
        <v>2</v>
      </c>
      <c r="M618">
        <v>183</v>
      </c>
      <c r="N618">
        <v>423</v>
      </c>
      <c r="O618" t="s">
        <v>315</v>
      </c>
      <c r="P618">
        <v>422</v>
      </c>
      <c r="Q618">
        <v>11</v>
      </c>
      <c r="R618">
        <v>116</v>
      </c>
      <c r="S618">
        <v>10</v>
      </c>
      <c r="T618">
        <v>3</v>
      </c>
      <c r="U618">
        <v>14</v>
      </c>
      <c r="V618">
        <v>15</v>
      </c>
      <c r="W618">
        <v>5</v>
      </c>
      <c r="X618">
        <v>30</v>
      </c>
      <c r="Y618">
        <v>180</v>
      </c>
      <c r="Z618">
        <v>6</v>
      </c>
      <c r="AA618">
        <v>0</v>
      </c>
      <c r="AC618">
        <v>0</v>
      </c>
      <c r="AD618">
        <v>0</v>
      </c>
      <c r="AE618">
        <v>0</v>
      </c>
      <c r="AF618">
        <v>0</v>
      </c>
      <c r="AG618">
        <v>1</v>
      </c>
      <c r="AH618">
        <v>0</v>
      </c>
      <c r="AI618">
        <v>1</v>
      </c>
      <c r="AJ618">
        <v>2</v>
      </c>
      <c r="AK618">
        <v>5</v>
      </c>
      <c r="AL618">
        <v>0</v>
      </c>
      <c r="AM618">
        <v>1</v>
      </c>
      <c r="AN618">
        <v>3</v>
      </c>
      <c r="AT618">
        <v>0</v>
      </c>
      <c r="AU618">
        <v>19</v>
      </c>
      <c r="AV618">
        <v>422</v>
      </c>
      <c r="AW618">
        <v>422</v>
      </c>
      <c r="AX618">
        <v>607</v>
      </c>
      <c r="BA618">
        <v>1</v>
      </c>
      <c r="BC618" t="s">
        <v>1326</v>
      </c>
      <c r="BD618" s="4">
        <v>43283.214583333334</v>
      </c>
      <c r="BE618" s="4">
        <v>43283.239756944444</v>
      </c>
      <c r="BF618" s="4">
        <v>43283.239756944444</v>
      </c>
      <c r="BG618" t="s">
        <v>83</v>
      </c>
      <c r="BH618" t="s">
        <v>84</v>
      </c>
      <c r="BI618" t="s">
        <v>85</v>
      </c>
    </row>
    <row r="619" spans="1:61" x14ac:dyDescent="0.3">
      <c r="A619" t="str">
        <f>"200153B0100"</f>
        <v>200153B0100</v>
      </c>
      <c r="B619" t="s">
        <v>1327</v>
      </c>
      <c r="C619">
        <v>20</v>
      </c>
      <c r="D619" t="s">
        <v>79</v>
      </c>
      <c r="E619">
        <v>4</v>
      </c>
      <c r="F619" t="s">
        <v>1317</v>
      </c>
      <c r="G619">
        <v>153</v>
      </c>
      <c r="H619">
        <v>1</v>
      </c>
      <c r="I619" t="s">
        <v>81</v>
      </c>
      <c r="J619">
        <v>0</v>
      </c>
      <c r="K619">
        <v>2</v>
      </c>
      <c r="L619">
        <v>2</v>
      </c>
      <c r="M619">
        <v>238</v>
      </c>
      <c r="N619">
        <v>540</v>
      </c>
      <c r="O619">
        <v>0</v>
      </c>
      <c r="P619">
        <v>302</v>
      </c>
      <c r="Q619">
        <v>10</v>
      </c>
      <c r="R619">
        <v>51</v>
      </c>
      <c r="S619">
        <v>6</v>
      </c>
      <c r="T619">
        <v>7</v>
      </c>
      <c r="U619">
        <v>14</v>
      </c>
      <c r="V619">
        <v>5</v>
      </c>
      <c r="W619">
        <v>9</v>
      </c>
      <c r="X619">
        <v>10</v>
      </c>
      <c r="Y619">
        <v>156</v>
      </c>
      <c r="Z619">
        <v>7</v>
      </c>
      <c r="AA619">
        <v>1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T619">
        <v>0</v>
      </c>
      <c r="AU619">
        <v>20</v>
      </c>
      <c r="AV619">
        <v>302</v>
      </c>
      <c r="AW619">
        <v>296</v>
      </c>
      <c r="AX619">
        <v>526</v>
      </c>
      <c r="BA619">
        <v>1</v>
      </c>
      <c r="BC619" t="s">
        <v>1328</v>
      </c>
      <c r="BD619" s="4">
        <v>43283.227777777778</v>
      </c>
      <c r="BE619" s="4">
        <v>43283.250879629632</v>
      </c>
      <c r="BF619" s="4">
        <v>43283.250879629632</v>
      </c>
      <c r="BG619" t="s">
        <v>83</v>
      </c>
      <c r="BH619" t="s">
        <v>84</v>
      </c>
      <c r="BI619" t="s">
        <v>85</v>
      </c>
    </row>
    <row r="620" spans="1:61" x14ac:dyDescent="0.3">
      <c r="A620" t="str">
        <f>"200153C0100"</f>
        <v>200153C0100</v>
      </c>
      <c r="B620" t="s">
        <v>1329</v>
      </c>
      <c r="C620">
        <v>20</v>
      </c>
      <c r="D620" t="s">
        <v>79</v>
      </c>
      <c r="E620">
        <v>4</v>
      </c>
      <c r="F620" t="s">
        <v>1317</v>
      </c>
      <c r="G620">
        <v>153</v>
      </c>
      <c r="H620">
        <v>1</v>
      </c>
      <c r="I620" t="s">
        <v>89</v>
      </c>
      <c r="J620">
        <v>0</v>
      </c>
      <c r="K620">
        <v>2</v>
      </c>
      <c r="L620">
        <v>2</v>
      </c>
      <c r="M620">
        <v>224</v>
      </c>
      <c r="N620">
        <v>306</v>
      </c>
      <c r="O620">
        <v>0</v>
      </c>
      <c r="P620">
        <v>306</v>
      </c>
      <c r="Q620">
        <v>18</v>
      </c>
      <c r="R620">
        <v>50</v>
      </c>
      <c r="S620">
        <v>14</v>
      </c>
      <c r="T620">
        <v>8</v>
      </c>
      <c r="U620">
        <v>16</v>
      </c>
      <c r="V620">
        <v>3</v>
      </c>
      <c r="W620">
        <v>6</v>
      </c>
      <c r="X620">
        <v>10</v>
      </c>
      <c r="Y620">
        <v>151</v>
      </c>
      <c r="Z620">
        <v>2</v>
      </c>
      <c r="AA620">
        <v>0</v>
      </c>
      <c r="AC620">
        <v>1</v>
      </c>
      <c r="AD620">
        <v>1</v>
      </c>
      <c r="AE620">
        <v>0</v>
      </c>
      <c r="AF620">
        <v>0</v>
      </c>
      <c r="AG620">
        <v>3</v>
      </c>
      <c r="AH620">
        <v>2</v>
      </c>
      <c r="AI620">
        <v>1</v>
      </c>
      <c r="AJ620">
        <v>0</v>
      </c>
      <c r="AK620">
        <v>6</v>
      </c>
      <c r="AL620">
        <v>0</v>
      </c>
      <c r="AM620">
        <v>0</v>
      </c>
      <c r="AN620">
        <v>1</v>
      </c>
      <c r="AT620">
        <v>0</v>
      </c>
      <c r="AU620">
        <v>13</v>
      </c>
      <c r="AV620">
        <v>306</v>
      </c>
      <c r="AW620">
        <v>306</v>
      </c>
      <c r="AX620">
        <v>526</v>
      </c>
      <c r="BA620">
        <v>1</v>
      </c>
      <c r="BC620" t="s">
        <v>1330</v>
      </c>
      <c r="BD620" s="4">
        <v>43283.228472222225</v>
      </c>
      <c r="BE620" s="4">
        <v>43283.25880787037</v>
      </c>
      <c r="BF620" s="4">
        <v>43283.25880787037</v>
      </c>
      <c r="BG620" t="s">
        <v>83</v>
      </c>
      <c r="BH620" t="s">
        <v>84</v>
      </c>
      <c r="BI620" t="s">
        <v>1331</v>
      </c>
    </row>
    <row r="621" spans="1:61" x14ac:dyDescent="0.3">
      <c r="A621" t="str">
        <f>"200154B0100"</f>
        <v>200154B0100</v>
      </c>
      <c r="B621" t="s">
        <v>1332</v>
      </c>
      <c r="C621">
        <v>20</v>
      </c>
      <c r="D621" t="s">
        <v>79</v>
      </c>
      <c r="E621">
        <v>4</v>
      </c>
      <c r="F621" t="s">
        <v>1317</v>
      </c>
      <c r="G621">
        <v>154</v>
      </c>
      <c r="H621">
        <v>1</v>
      </c>
      <c r="I621" t="s">
        <v>81</v>
      </c>
      <c r="J621">
        <v>0</v>
      </c>
      <c r="K621">
        <v>2</v>
      </c>
      <c r="L621">
        <v>2</v>
      </c>
      <c r="M621">
        <v>20</v>
      </c>
      <c r="N621">
        <v>152</v>
      </c>
      <c r="O621">
        <v>2</v>
      </c>
      <c r="P621">
        <v>152</v>
      </c>
      <c r="Q621">
        <v>1</v>
      </c>
      <c r="R621">
        <v>23</v>
      </c>
      <c r="S621">
        <v>6</v>
      </c>
      <c r="T621">
        <v>3</v>
      </c>
      <c r="U621">
        <v>12</v>
      </c>
      <c r="V621">
        <v>3</v>
      </c>
      <c r="W621">
        <v>9</v>
      </c>
      <c r="X621">
        <v>4</v>
      </c>
      <c r="Y621">
        <v>55</v>
      </c>
      <c r="Z621">
        <v>4</v>
      </c>
      <c r="AA621">
        <v>0</v>
      </c>
      <c r="AC621">
        <v>0</v>
      </c>
      <c r="AD621">
        <v>4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7</v>
      </c>
      <c r="AL621">
        <v>0</v>
      </c>
      <c r="AM621">
        <v>0</v>
      </c>
      <c r="AN621">
        <v>0</v>
      </c>
      <c r="AT621">
        <v>0</v>
      </c>
      <c r="AU621">
        <v>20</v>
      </c>
      <c r="AV621">
        <v>152</v>
      </c>
      <c r="AW621">
        <v>151</v>
      </c>
      <c r="AX621">
        <v>265</v>
      </c>
      <c r="BA621">
        <v>1</v>
      </c>
      <c r="BC621" t="s">
        <v>1333</v>
      </c>
      <c r="BD621" s="4">
        <v>43283.241666666669</v>
      </c>
      <c r="BE621" s="4">
        <v>43283.264965277776</v>
      </c>
      <c r="BF621" s="4">
        <v>43283.264965277776</v>
      </c>
      <c r="BG621" t="s">
        <v>83</v>
      </c>
      <c r="BH621" t="s">
        <v>84</v>
      </c>
      <c r="BI621" t="s">
        <v>85</v>
      </c>
    </row>
    <row r="622" spans="1:61" x14ac:dyDescent="0.3">
      <c r="A622" t="str">
        <f>"200155B0100"</f>
        <v>200155B0100</v>
      </c>
      <c r="B622" t="s">
        <v>1334</v>
      </c>
      <c r="C622">
        <v>20</v>
      </c>
      <c r="D622" t="s">
        <v>79</v>
      </c>
      <c r="E622">
        <v>4</v>
      </c>
      <c r="F622" t="s">
        <v>1317</v>
      </c>
      <c r="G622">
        <v>155</v>
      </c>
      <c r="H622">
        <v>1</v>
      </c>
      <c r="I622" t="s">
        <v>81</v>
      </c>
      <c r="J622">
        <v>0</v>
      </c>
      <c r="K622">
        <v>2</v>
      </c>
      <c r="L622">
        <v>2</v>
      </c>
      <c r="M622">
        <v>239</v>
      </c>
      <c r="N622">
        <v>249</v>
      </c>
      <c r="O622">
        <v>2</v>
      </c>
      <c r="P622" t="s">
        <v>100</v>
      </c>
      <c r="Q622">
        <v>11</v>
      </c>
      <c r="R622">
        <v>40</v>
      </c>
      <c r="S622">
        <v>5</v>
      </c>
      <c r="T622">
        <v>6</v>
      </c>
      <c r="U622">
        <v>16</v>
      </c>
      <c r="V622">
        <v>6</v>
      </c>
      <c r="W622">
        <v>0</v>
      </c>
      <c r="X622">
        <v>26</v>
      </c>
      <c r="Y622">
        <v>80</v>
      </c>
      <c r="Z622">
        <v>6</v>
      </c>
      <c r="AA622">
        <v>2</v>
      </c>
      <c r="AC622">
        <v>0</v>
      </c>
      <c r="AD622">
        <v>2</v>
      </c>
      <c r="AE622">
        <v>0</v>
      </c>
      <c r="AF622">
        <v>0</v>
      </c>
      <c r="AG622">
        <v>3</v>
      </c>
      <c r="AH622">
        <v>1</v>
      </c>
      <c r="AI622">
        <v>0</v>
      </c>
      <c r="AJ622">
        <v>0</v>
      </c>
      <c r="AK622">
        <v>4</v>
      </c>
      <c r="AL622">
        <v>2</v>
      </c>
      <c r="AM622">
        <v>1</v>
      </c>
      <c r="AN622">
        <v>1</v>
      </c>
      <c r="AT622">
        <v>0</v>
      </c>
      <c r="AU622">
        <v>30</v>
      </c>
      <c r="AV622">
        <v>242</v>
      </c>
      <c r="AW622">
        <v>242</v>
      </c>
      <c r="AX622">
        <v>473</v>
      </c>
      <c r="BA622">
        <v>1</v>
      </c>
      <c r="BC622" s="2" t="s">
        <v>1335</v>
      </c>
      <c r="BD622" s="4">
        <v>43283.275694444441</v>
      </c>
      <c r="BE622" s="4">
        <v>43283.303703703707</v>
      </c>
      <c r="BF622" s="4">
        <v>43283.303703703707</v>
      </c>
      <c r="BG622" t="s">
        <v>83</v>
      </c>
      <c r="BH622" t="s">
        <v>84</v>
      </c>
      <c r="BI622" t="s">
        <v>85</v>
      </c>
    </row>
    <row r="623" spans="1:61" x14ac:dyDescent="0.3">
      <c r="A623" t="str">
        <f>"200155C0100"</f>
        <v>200155C0100</v>
      </c>
      <c r="B623" t="s">
        <v>1336</v>
      </c>
      <c r="C623">
        <v>20</v>
      </c>
      <c r="D623" t="s">
        <v>79</v>
      </c>
      <c r="E623">
        <v>4</v>
      </c>
      <c r="F623" t="s">
        <v>1317</v>
      </c>
      <c r="G623">
        <v>155</v>
      </c>
      <c r="H623">
        <v>1</v>
      </c>
      <c r="I623" t="s">
        <v>89</v>
      </c>
      <c r="J623">
        <v>0</v>
      </c>
      <c r="K623">
        <v>2</v>
      </c>
      <c r="L623">
        <v>2</v>
      </c>
      <c r="M623">
        <v>242</v>
      </c>
      <c r="N623">
        <v>252</v>
      </c>
      <c r="O623">
        <v>5</v>
      </c>
      <c r="P623">
        <v>252</v>
      </c>
      <c r="Q623">
        <v>14</v>
      </c>
      <c r="R623">
        <v>43</v>
      </c>
      <c r="S623">
        <v>8</v>
      </c>
      <c r="T623">
        <v>10</v>
      </c>
      <c r="U623">
        <v>14</v>
      </c>
      <c r="V623">
        <v>4</v>
      </c>
      <c r="W623">
        <v>9</v>
      </c>
      <c r="X623">
        <v>16</v>
      </c>
      <c r="Y623">
        <v>81</v>
      </c>
      <c r="Z623">
        <v>7</v>
      </c>
      <c r="AA623">
        <v>1</v>
      </c>
      <c r="AC623">
        <v>0</v>
      </c>
      <c r="AD623">
        <v>0</v>
      </c>
      <c r="AE623">
        <v>0</v>
      </c>
      <c r="AF623">
        <v>1</v>
      </c>
      <c r="AG623">
        <v>4</v>
      </c>
      <c r="AH623">
        <v>1</v>
      </c>
      <c r="AI623">
        <v>2</v>
      </c>
      <c r="AJ623">
        <v>1</v>
      </c>
      <c r="AK623">
        <v>4</v>
      </c>
      <c r="AL623">
        <v>0</v>
      </c>
      <c r="AM623">
        <v>0</v>
      </c>
      <c r="AN623">
        <v>4</v>
      </c>
      <c r="AT623">
        <v>0</v>
      </c>
      <c r="AU623">
        <v>28</v>
      </c>
      <c r="AV623">
        <v>252</v>
      </c>
      <c r="AW623">
        <v>252</v>
      </c>
      <c r="AX623">
        <v>472</v>
      </c>
      <c r="BA623">
        <v>1</v>
      </c>
      <c r="BC623" t="s">
        <v>1337</v>
      </c>
      <c r="BD623" s="4">
        <v>43283.272222222222</v>
      </c>
      <c r="BE623" s="4">
        <v>43283.299560185187</v>
      </c>
      <c r="BF623" s="4">
        <v>43283.299560185187</v>
      </c>
      <c r="BG623" t="s">
        <v>83</v>
      </c>
      <c r="BH623" t="s">
        <v>84</v>
      </c>
      <c r="BI623" t="s">
        <v>85</v>
      </c>
    </row>
    <row r="624" spans="1:61" x14ac:dyDescent="0.3">
      <c r="A624" t="str">
        <f>"200156B0100"</f>
        <v>200156B0100</v>
      </c>
      <c r="B624" t="s">
        <v>1338</v>
      </c>
      <c r="C624">
        <v>20</v>
      </c>
      <c r="D624" t="s">
        <v>79</v>
      </c>
      <c r="E624">
        <v>4</v>
      </c>
      <c r="F624" t="s">
        <v>1317</v>
      </c>
      <c r="G624">
        <v>156</v>
      </c>
      <c r="H624">
        <v>1</v>
      </c>
      <c r="I624" t="s">
        <v>81</v>
      </c>
      <c r="J624">
        <v>0</v>
      </c>
      <c r="K624">
        <v>2</v>
      </c>
      <c r="L624">
        <v>2</v>
      </c>
      <c r="M624">
        <v>114</v>
      </c>
      <c r="N624">
        <v>158</v>
      </c>
      <c r="O624">
        <v>4</v>
      </c>
      <c r="P624">
        <v>158</v>
      </c>
      <c r="Q624">
        <v>3</v>
      </c>
      <c r="R624">
        <v>36</v>
      </c>
      <c r="S624">
        <v>6</v>
      </c>
      <c r="T624">
        <v>8</v>
      </c>
      <c r="U624">
        <v>10</v>
      </c>
      <c r="V624">
        <v>4</v>
      </c>
      <c r="W624">
        <v>21</v>
      </c>
      <c r="X624">
        <v>15</v>
      </c>
      <c r="Y624">
        <v>32</v>
      </c>
      <c r="Z624">
        <v>2</v>
      </c>
      <c r="AA624" t="s">
        <v>100</v>
      </c>
      <c r="AC624" t="s">
        <v>100</v>
      </c>
      <c r="AD624" t="s">
        <v>100</v>
      </c>
      <c r="AE624" t="s">
        <v>100</v>
      </c>
      <c r="AF624" t="s">
        <v>100</v>
      </c>
      <c r="AG624">
        <v>1</v>
      </c>
      <c r="AH624">
        <v>3</v>
      </c>
      <c r="AI624">
        <v>1</v>
      </c>
      <c r="AJ624" t="s">
        <v>100</v>
      </c>
      <c r="AK624" t="s">
        <v>100</v>
      </c>
      <c r="AL624" t="s">
        <v>100</v>
      </c>
      <c r="AM624" t="s">
        <v>100</v>
      </c>
      <c r="AN624" t="s">
        <v>100</v>
      </c>
      <c r="AT624" t="s">
        <v>100</v>
      </c>
      <c r="AU624">
        <v>16</v>
      </c>
      <c r="AV624">
        <v>158</v>
      </c>
      <c r="AW624">
        <v>158</v>
      </c>
      <c r="AX624">
        <v>250</v>
      </c>
      <c r="AZ624" t="s">
        <v>101</v>
      </c>
      <c r="BA624">
        <v>1</v>
      </c>
      <c r="BC624" s="2" t="s">
        <v>1339</v>
      </c>
      <c r="BD624" s="4">
        <v>43283.423611111109</v>
      </c>
      <c r="BE624" s="4">
        <v>43283.431134259263</v>
      </c>
      <c r="BF624" s="4">
        <v>43283.431134259263</v>
      </c>
      <c r="BG624" t="s">
        <v>83</v>
      </c>
      <c r="BH624" t="s">
        <v>84</v>
      </c>
      <c r="BI624" t="s">
        <v>85</v>
      </c>
    </row>
    <row r="625" spans="1:61" x14ac:dyDescent="0.3">
      <c r="A625" t="str">
        <f>"200176B0100"</f>
        <v>200176B0100</v>
      </c>
      <c r="B625" t="s">
        <v>1340</v>
      </c>
      <c r="C625">
        <v>20</v>
      </c>
      <c r="D625" t="s">
        <v>79</v>
      </c>
      <c r="E625">
        <v>4</v>
      </c>
      <c r="F625" t="s">
        <v>1317</v>
      </c>
      <c r="G625">
        <v>176</v>
      </c>
      <c r="H625">
        <v>1</v>
      </c>
      <c r="I625" t="s">
        <v>81</v>
      </c>
      <c r="J625">
        <v>0</v>
      </c>
      <c r="K625">
        <v>2</v>
      </c>
      <c r="L625">
        <v>2</v>
      </c>
      <c r="M625">
        <v>246</v>
      </c>
      <c r="N625">
        <v>618</v>
      </c>
      <c r="O625">
        <v>0</v>
      </c>
      <c r="P625">
        <v>370</v>
      </c>
      <c r="Q625">
        <v>9</v>
      </c>
      <c r="R625">
        <v>152</v>
      </c>
      <c r="S625">
        <v>19</v>
      </c>
      <c r="T625">
        <v>5</v>
      </c>
      <c r="U625">
        <v>5</v>
      </c>
      <c r="V625">
        <v>8</v>
      </c>
      <c r="W625">
        <v>2</v>
      </c>
      <c r="X625">
        <v>11</v>
      </c>
      <c r="Y625">
        <v>109</v>
      </c>
      <c r="Z625">
        <v>5</v>
      </c>
      <c r="AA625">
        <v>1</v>
      </c>
      <c r="AC625">
        <v>0</v>
      </c>
      <c r="AD625">
        <v>0</v>
      </c>
      <c r="AE625">
        <v>0</v>
      </c>
      <c r="AF625">
        <v>0</v>
      </c>
      <c r="AG625">
        <v>5</v>
      </c>
      <c r="AH625">
        <v>7</v>
      </c>
      <c r="AI625">
        <v>2</v>
      </c>
      <c r="AJ625">
        <v>0</v>
      </c>
      <c r="AK625">
        <v>3</v>
      </c>
      <c r="AL625">
        <v>1</v>
      </c>
      <c r="AM625">
        <v>0</v>
      </c>
      <c r="AN625">
        <v>2</v>
      </c>
      <c r="AT625">
        <v>0</v>
      </c>
      <c r="AU625">
        <v>25</v>
      </c>
      <c r="AV625">
        <v>371</v>
      </c>
      <c r="AW625">
        <v>371</v>
      </c>
      <c r="AX625">
        <v>596</v>
      </c>
      <c r="BA625">
        <v>1</v>
      </c>
      <c r="BC625" t="s">
        <v>1341</v>
      </c>
      <c r="BD625" s="4">
        <v>43283.213888888888</v>
      </c>
      <c r="BE625" s="4">
        <v>43283.234710648147</v>
      </c>
      <c r="BF625" s="4">
        <v>43283.234710648147</v>
      </c>
      <c r="BG625" t="s">
        <v>83</v>
      </c>
      <c r="BH625" t="s">
        <v>84</v>
      </c>
      <c r="BI625" t="s">
        <v>85</v>
      </c>
    </row>
    <row r="626" spans="1:61" x14ac:dyDescent="0.3">
      <c r="A626" t="str">
        <f>"200176C0100"</f>
        <v>200176C0100</v>
      </c>
      <c r="B626" t="s">
        <v>1342</v>
      </c>
      <c r="C626">
        <v>20</v>
      </c>
      <c r="D626" t="s">
        <v>79</v>
      </c>
      <c r="E626">
        <v>4</v>
      </c>
      <c r="F626" t="s">
        <v>1317</v>
      </c>
      <c r="G626">
        <v>176</v>
      </c>
      <c r="H626">
        <v>1</v>
      </c>
      <c r="I626" t="s">
        <v>89</v>
      </c>
      <c r="J626">
        <v>0</v>
      </c>
      <c r="K626">
        <v>2</v>
      </c>
      <c r="L626">
        <v>2</v>
      </c>
      <c r="M626">
        <v>278</v>
      </c>
      <c r="N626">
        <v>618</v>
      </c>
      <c r="O626">
        <v>0</v>
      </c>
      <c r="P626">
        <v>340</v>
      </c>
      <c r="Q626">
        <v>5</v>
      </c>
      <c r="R626">
        <v>136</v>
      </c>
      <c r="S626">
        <v>22</v>
      </c>
      <c r="T626">
        <v>1</v>
      </c>
      <c r="U626">
        <v>5</v>
      </c>
      <c r="V626">
        <v>2</v>
      </c>
      <c r="W626">
        <v>6</v>
      </c>
      <c r="X626">
        <v>8</v>
      </c>
      <c r="Y626">
        <v>111</v>
      </c>
      <c r="Z626">
        <v>1</v>
      </c>
      <c r="AA626">
        <v>2</v>
      </c>
      <c r="AC626">
        <v>2</v>
      </c>
      <c r="AD626">
        <v>0</v>
      </c>
      <c r="AE626">
        <v>0</v>
      </c>
      <c r="AF626">
        <v>0</v>
      </c>
      <c r="AG626">
        <v>3</v>
      </c>
      <c r="AH626">
        <v>2</v>
      </c>
      <c r="AI626">
        <v>2</v>
      </c>
      <c r="AJ626">
        <v>0</v>
      </c>
      <c r="AK626">
        <v>0</v>
      </c>
      <c r="AL626">
        <v>1</v>
      </c>
      <c r="AM626">
        <v>0</v>
      </c>
      <c r="AN626">
        <v>3</v>
      </c>
      <c r="AT626">
        <v>0</v>
      </c>
      <c r="AU626">
        <v>28</v>
      </c>
      <c r="AV626">
        <v>340</v>
      </c>
      <c r="AW626">
        <v>340</v>
      </c>
      <c r="AX626">
        <v>596</v>
      </c>
      <c r="BA626">
        <v>1</v>
      </c>
      <c r="BC626" t="s">
        <v>1343</v>
      </c>
      <c r="BD626" s="4">
        <v>43283.214583333334</v>
      </c>
      <c r="BE626" s="4">
        <v>43283.235995370371</v>
      </c>
      <c r="BF626" s="4">
        <v>43283.235995370371</v>
      </c>
      <c r="BG626" t="s">
        <v>83</v>
      </c>
      <c r="BH626" t="s">
        <v>84</v>
      </c>
      <c r="BI626" t="s">
        <v>85</v>
      </c>
    </row>
    <row r="627" spans="1:61" x14ac:dyDescent="0.3">
      <c r="A627" t="str">
        <f>"200177B0100"</f>
        <v>200177B0100</v>
      </c>
      <c r="B627" t="s">
        <v>1344</v>
      </c>
      <c r="C627">
        <v>20</v>
      </c>
      <c r="D627" t="s">
        <v>79</v>
      </c>
      <c r="E627">
        <v>4</v>
      </c>
      <c r="F627" t="s">
        <v>1317</v>
      </c>
      <c r="G627">
        <v>177</v>
      </c>
      <c r="H627">
        <v>1</v>
      </c>
      <c r="I627" t="s">
        <v>81</v>
      </c>
      <c r="J627">
        <v>0</v>
      </c>
      <c r="K627">
        <v>2</v>
      </c>
      <c r="L627">
        <v>2</v>
      </c>
      <c r="M627">
        <v>54</v>
      </c>
      <c r="N627">
        <v>47</v>
      </c>
      <c r="O627">
        <v>5</v>
      </c>
      <c r="P627">
        <v>43</v>
      </c>
      <c r="Q627">
        <v>0</v>
      </c>
      <c r="R627">
        <v>7</v>
      </c>
      <c r="S627">
        <v>3</v>
      </c>
      <c r="T627">
        <v>1</v>
      </c>
      <c r="U627">
        <v>0</v>
      </c>
      <c r="V627">
        <v>0</v>
      </c>
      <c r="W627">
        <v>1</v>
      </c>
      <c r="X627">
        <v>1</v>
      </c>
      <c r="Y627">
        <v>21</v>
      </c>
      <c r="Z627">
        <v>0</v>
      </c>
      <c r="AA627">
        <v>0</v>
      </c>
      <c r="AC627">
        <v>0</v>
      </c>
      <c r="AD627">
        <v>0</v>
      </c>
      <c r="AE627">
        <v>0</v>
      </c>
      <c r="AF627">
        <v>0</v>
      </c>
      <c r="AG627">
        <v>1</v>
      </c>
      <c r="AH627">
        <v>0</v>
      </c>
      <c r="AI627">
        <v>0</v>
      </c>
      <c r="AJ627">
        <v>0</v>
      </c>
      <c r="AK627">
        <v>0</v>
      </c>
      <c r="AL627">
        <v>1</v>
      </c>
      <c r="AM627">
        <v>0</v>
      </c>
      <c r="AN627">
        <v>0</v>
      </c>
      <c r="AT627">
        <v>0</v>
      </c>
      <c r="AU627">
        <v>2</v>
      </c>
      <c r="AV627">
        <v>38</v>
      </c>
      <c r="AW627">
        <v>38</v>
      </c>
      <c r="AX627">
        <v>79</v>
      </c>
      <c r="BA627">
        <v>1</v>
      </c>
      <c r="BC627" t="s">
        <v>1345</v>
      </c>
      <c r="BD627" s="4">
        <v>43283.170138888891</v>
      </c>
      <c r="BE627" s="4">
        <v>43283.184571759259</v>
      </c>
      <c r="BF627" s="4">
        <v>43283.184571759259</v>
      </c>
      <c r="BG627" t="s">
        <v>83</v>
      </c>
      <c r="BH627" t="s">
        <v>84</v>
      </c>
      <c r="BI627" t="s">
        <v>85</v>
      </c>
    </row>
    <row r="628" spans="1:61" x14ac:dyDescent="0.3">
      <c r="A628" t="str">
        <f>"200178B0100"</f>
        <v>200178B0100</v>
      </c>
      <c r="B628" t="s">
        <v>1346</v>
      </c>
      <c r="C628">
        <v>20</v>
      </c>
      <c r="D628" t="s">
        <v>79</v>
      </c>
      <c r="E628">
        <v>4</v>
      </c>
      <c r="F628" t="s">
        <v>1317</v>
      </c>
      <c r="G628">
        <v>178</v>
      </c>
      <c r="H628">
        <v>1</v>
      </c>
      <c r="I628" t="s">
        <v>81</v>
      </c>
      <c r="J628">
        <v>0</v>
      </c>
      <c r="K628">
        <v>2</v>
      </c>
      <c r="L628">
        <v>2</v>
      </c>
      <c r="M628">
        <v>145</v>
      </c>
      <c r="N628">
        <v>229</v>
      </c>
      <c r="O628">
        <v>0</v>
      </c>
      <c r="P628">
        <v>229</v>
      </c>
      <c r="Q628">
        <v>2</v>
      </c>
      <c r="R628">
        <v>134</v>
      </c>
      <c r="S628">
        <v>2</v>
      </c>
      <c r="T628">
        <v>3</v>
      </c>
      <c r="U628">
        <v>7</v>
      </c>
      <c r="V628">
        <v>0</v>
      </c>
      <c r="W628">
        <v>0</v>
      </c>
      <c r="X628">
        <v>6</v>
      </c>
      <c r="Y628">
        <v>54</v>
      </c>
      <c r="Z628">
        <v>0</v>
      </c>
      <c r="AA628">
        <v>0</v>
      </c>
      <c r="AC628">
        <v>0</v>
      </c>
      <c r="AD628">
        <v>0</v>
      </c>
      <c r="AE628">
        <v>0</v>
      </c>
      <c r="AF628">
        <v>0</v>
      </c>
      <c r="AG628">
        <v>1</v>
      </c>
      <c r="AH628">
        <v>1</v>
      </c>
      <c r="AI628">
        <v>0</v>
      </c>
      <c r="AJ628">
        <v>0</v>
      </c>
      <c r="AK628">
        <v>0</v>
      </c>
      <c r="AL628">
        <v>54</v>
      </c>
      <c r="AM628">
        <v>0</v>
      </c>
      <c r="AN628">
        <v>1</v>
      </c>
      <c r="AT628">
        <v>0</v>
      </c>
      <c r="AU628">
        <v>17</v>
      </c>
      <c r="AV628" t="s">
        <v>100</v>
      </c>
      <c r="AW628">
        <v>282</v>
      </c>
      <c r="AX628">
        <v>352</v>
      </c>
      <c r="BA628">
        <v>1</v>
      </c>
      <c r="BC628" t="s">
        <v>1347</v>
      </c>
      <c r="BD628" s="4">
        <v>43283.165277777778</v>
      </c>
      <c r="BE628" s="4">
        <v>43283.185844907406</v>
      </c>
      <c r="BF628" s="4">
        <v>43283.185844907406</v>
      </c>
      <c r="BG628" t="s">
        <v>83</v>
      </c>
      <c r="BH628" t="s">
        <v>84</v>
      </c>
      <c r="BI628" t="s">
        <v>85</v>
      </c>
    </row>
    <row r="629" spans="1:61" x14ac:dyDescent="0.3">
      <c r="A629" t="str">
        <f>"200179B0100"</f>
        <v>200179B0100</v>
      </c>
      <c r="B629" t="s">
        <v>1348</v>
      </c>
      <c r="C629">
        <v>20</v>
      </c>
      <c r="D629" t="s">
        <v>79</v>
      </c>
      <c r="E629">
        <v>4</v>
      </c>
      <c r="F629" t="s">
        <v>1317</v>
      </c>
      <c r="G629">
        <v>179</v>
      </c>
      <c r="H629">
        <v>1</v>
      </c>
      <c r="I629" t="s">
        <v>81</v>
      </c>
      <c r="J629">
        <v>0</v>
      </c>
      <c r="K629">
        <v>2</v>
      </c>
      <c r="L629">
        <v>2</v>
      </c>
      <c r="M629">
        <v>183</v>
      </c>
      <c r="N629">
        <v>235</v>
      </c>
      <c r="O629">
        <v>3</v>
      </c>
      <c r="P629">
        <v>0</v>
      </c>
      <c r="Q629">
        <v>1</v>
      </c>
      <c r="R629">
        <v>93</v>
      </c>
      <c r="S629">
        <v>1</v>
      </c>
      <c r="T629">
        <v>9</v>
      </c>
      <c r="U629">
        <v>7</v>
      </c>
      <c r="V629">
        <v>2</v>
      </c>
      <c r="W629">
        <v>1</v>
      </c>
      <c r="X629">
        <v>7</v>
      </c>
      <c r="Y629">
        <v>97</v>
      </c>
      <c r="Z629">
        <v>2</v>
      </c>
      <c r="AA629">
        <v>0</v>
      </c>
      <c r="AC629">
        <v>0</v>
      </c>
      <c r="AD629">
        <v>0</v>
      </c>
      <c r="AE629">
        <v>0</v>
      </c>
      <c r="AF629">
        <v>0</v>
      </c>
      <c r="AG629">
        <v>3</v>
      </c>
      <c r="AH629">
        <v>1</v>
      </c>
      <c r="AI629">
        <v>2</v>
      </c>
      <c r="AJ629">
        <v>0</v>
      </c>
      <c r="AK629">
        <v>0</v>
      </c>
      <c r="AL629">
        <v>0</v>
      </c>
      <c r="AM629">
        <v>0</v>
      </c>
      <c r="AN629">
        <v>0</v>
      </c>
      <c r="AT629">
        <v>0</v>
      </c>
      <c r="AU629">
        <v>9</v>
      </c>
      <c r="AV629">
        <v>235</v>
      </c>
      <c r="AW629">
        <v>235</v>
      </c>
      <c r="AX629">
        <v>396</v>
      </c>
      <c r="BA629">
        <v>1</v>
      </c>
      <c r="BC629" t="s">
        <v>1349</v>
      </c>
      <c r="BD629" s="4">
        <v>43283.202777777777</v>
      </c>
      <c r="BE629" s="4">
        <v>43283.222129629627</v>
      </c>
      <c r="BF629" s="4">
        <v>43283.222129629627</v>
      </c>
      <c r="BG629" t="s">
        <v>83</v>
      </c>
      <c r="BH629" t="s">
        <v>84</v>
      </c>
      <c r="BI629" t="s">
        <v>85</v>
      </c>
    </row>
    <row r="630" spans="1:61" x14ac:dyDescent="0.3">
      <c r="A630" t="str">
        <f>"200179C0100"</f>
        <v>200179C0100</v>
      </c>
      <c r="B630" t="s">
        <v>1350</v>
      </c>
      <c r="C630">
        <v>20</v>
      </c>
      <c r="D630" t="s">
        <v>79</v>
      </c>
      <c r="E630">
        <v>4</v>
      </c>
      <c r="F630" t="s">
        <v>1317</v>
      </c>
      <c r="G630">
        <v>179</v>
      </c>
      <c r="H630">
        <v>1</v>
      </c>
      <c r="I630" t="s">
        <v>89</v>
      </c>
      <c r="J630">
        <v>0</v>
      </c>
      <c r="K630">
        <v>2</v>
      </c>
      <c r="L630">
        <v>2</v>
      </c>
      <c r="M630">
        <v>183</v>
      </c>
      <c r="N630">
        <v>235</v>
      </c>
      <c r="O630">
        <v>2</v>
      </c>
      <c r="P630">
        <v>235</v>
      </c>
      <c r="Q630">
        <v>0</v>
      </c>
      <c r="R630">
        <v>93</v>
      </c>
      <c r="S630">
        <v>4</v>
      </c>
      <c r="T630">
        <v>3</v>
      </c>
      <c r="U630">
        <v>9</v>
      </c>
      <c r="V630">
        <v>4</v>
      </c>
      <c r="W630">
        <v>1</v>
      </c>
      <c r="X630">
        <v>5</v>
      </c>
      <c r="Y630">
        <v>84</v>
      </c>
      <c r="Z630">
        <v>1</v>
      </c>
      <c r="AA630">
        <v>0</v>
      </c>
      <c r="AC630">
        <v>1</v>
      </c>
      <c r="AD630">
        <v>0</v>
      </c>
      <c r="AE630">
        <v>0</v>
      </c>
      <c r="AF630">
        <v>1</v>
      </c>
      <c r="AG630">
        <v>3</v>
      </c>
      <c r="AH630">
        <v>1</v>
      </c>
      <c r="AI630">
        <v>0</v>
      </c>
      <c r="AJ630">
        <v>0</v>
      </c>
      <c r="AK630">
        <v>2</v>
      </c>
      <c r="AL630">
        <v>0</v>
      </c>
      <c r="AM630">
        <v>0</v>
      </c>
      <c r="AN630">
        <v>0</v>
      </c>
      <c r="AT630">
        <v>0</v>
      </c>
      <c r="AU630">
        <v>23</v>
      </c>
      <c r="AV630">
        <v>235</v>
      </c>
      <c r="AW630">
        <v>235</v>
      </c>
      <c r="AX630">
        <v>396</v>
      </c>
      <c r="BA630">
        <v>1</v>
      </c>
      <c r="BC630" t="s">
        <v>1351</v>
      </c>
      <c r="BD630" s="4">
        <v>43283.207638888889</v>
      </c>
      <c r="BE630" s="4">
        <v>43283.242395833331</v>
      </c>
      <c r="BF630" s="4">
        <v>43283.242395833331</v>
      </c>
      <c r="BG630" t="s">
        <v>83</v>
      </c>
      <c r="BH630" t="s">
        <v>84</v>
      </c>
      <c r="BI630" t="s">
        <v>85</v>
      </c>
    </row>
    <row r="631" spans="1:61" x14ac:dyDescent="0.3">
      <c r="A631" t="str">
        <f>"200179E0100"</f>
        <v>200179E0100</v>
      </c>
      <c r="B631" s="2" t="s">
        <v>1352</v>
      </c>
      <c r="C631">
        <v>20</v>
      </c>
      <c r="D631" t="s">
        <v>79</v>
      </c>
      <c r="E631">
        <v>4</v>
      </c>
      <c r="F631" t="s">
        <v>1317</v>
      </c>
      <c r="G631">
        <v>179</v>
      </c>
      <c r="H631">
        <v>1</v>
      </c>
      <c r="I631" t="s">
        <v>145</v>
      </c>
      <c r="J631">
        <v>0</v>
      </c>
      <c r="K631">
        <v>2</v>
      </c>
      <c r="L631">
        <v>2</v>
      </c>
      <c r="M631">
        <v>119</v>
      </c>
      <c r="N631">
        <v>126</v>
      </c>
      <c r="O631">
        <v>7</v>
      </c>
      <c r="P631">
        <v>126</v>
      </c>
      <c r="Q631">
        <v>1</v>
      </c>
      <c r="R631">
        <v>44</v>
      </c>
      <c r="S631">
        <v>1</v>
      </c>
      <c r="T631">
        <v>0</v>
      </c>
      <c r="U631">
        <v>3</v>
      </c>
      <c r="V631">
        <v>2</v>
      </c>
      <c r="W631">
        <v>4</v>
      </c>
      <c r="X631">
        <v>8</v>
      </c>
      <c r="Y631">
        <v>45</v>
      </c>
      <c r="Z631">
        <v>0</v>
      </c>
      <c r="AA631">
        <v>0</v>
      </c>
      <c r="AC631">
        <v>0</v>
      </c>
      <c r="AD631">
        <v>0</v>
      </c>
      <c r="AE631">
        <v>0</v>
      </c>
      <c r="AF631">
        <v>0</v>
      </c>
      <c r="AG631">
        <v>2</v>
      </c>
      <c r="AH631">
        <v>1</v>
      </c>
      <c r="AI631">
        <v>1</v>
      </c>
      <c r="AJ631">
        <v>0</v>
      </c>
      <c r="AK631">
        <v>2</v>
      </c>
      <c r="AL631">
        <v>4</v>
      </c>
      <c r="AM631">
        <v>1</v>
      </c>
      <c r="AN631">
        <v>1</v>
      </c>
      <c r="AT631" t="s">
        <v>100</v>
      </c>
      <c r="AU631">
        <v>6</v>
      </c>
      <c r="AV631">
        <v>126</v>
      </c>
      <c r="AW631">
        <v>126</v>
      </c>
      <c r="AX631">
        <v>223</v>
      </c>
      <c r="AZ631" t="s">
        <v>101</v>
      </c>
      <c r="BA631">
        <v>1</v>
      </c>
      <c r="BC631" t="s">
        <v>1353</v>
      </c>
      <c r="BD631" s="4">
        <v>43283.165277777778</v>
      </c>
      <c r="BE631" s="4">
        <v>43283.181273148148</v>
      </c>
      <c r="BF631" s="4">
        <v>43283.181273148148</v>
      </c>
      <c r="BG631" t="s">
        <v>83</v>
      </c>
      <c r="BH631" t="s">
        <v>84</v>
      </c>
      <c r="BI631" t="s">
        <v>85</v>
      </c>
    </row>
    <row r="632" spans="1:61" x14ac:dyDescent="0.3">
      <c r="A632" t="str">
        <f>"200232B0100"</f>
        <v>200232B0100</v>
      </c>
      <c r="B632" t="s">
        <v>1354</v>
      </c>
      <c r="C632">
        <v>20</v>
      </c>
      <c r="D632" t="s">
        <v>79</v>
      </c>
      <c r="E632">
        <v>4</v>
      </c>
      <c r="F632" t="s">
        <v>1317</v>
      </c>
      <c r="G632">
        <v>232</v>
      </c>
      <c r="H632">
        <v>1</v>
      </c>
      <c r="I632" t="s">
        <v>81</v>
      </c>
      <c r="J632">
        <v>0</v>
      </c>
      <c r="K632">
        <v>2</v>
      </c>
      <c r="L632">
        <v>2</v>
      </c>
      <c r="M632">
        <v>102</v>
      </c>
      <c r="N632">
        <v>450</v>
      </c>
      <c r="O632">
        <v>0</v>
      </c>
      <c r="P632">
        <v>450</v>
      </c>
      <c r="Q632">
        <v>2</v>
      </c>
      <c r="R632">
        <v>164</v>
      </c>
      <c r="S632">
        <v>17</v>
      </c>
      <c r="T632">
        <v>0</v>
      </c>
      <c r="U632">
        <v>0</v>
      </c>
      <c r="V632">
        <v>2</v>
      </c>
      <c r="W632">
        <v>10</v>
      </c>
      <c r="X632">
        <v>33</v>
      </c>
      <c r="Y632">
        <v>95</v>
      </c>
      <c r="Z632">
        <v>3</v>
      </c>
      <c r="AA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T632">
        <v>0</v>
      </c>
      <c r="AU632">
        <v>122</v>
      </c>
      <c r="AV632">
        <v>450</v>
      </c>
      <c r="AW632">
        <v>448</v>
      </c>
      <c r="AX632">
        <v>530</v>
      </c>
      <c r="BA632">
        <v>1</v>
      </c>
      <c r="BC632" t="s">
        <v>1355</v>
      </c>
      <c r="BD632" s="4">
        <v>43283.672222222223</v>
      </c>
      <c r="BE632" s="4">
        <v>43283.685694444444</v>
      </c>
      <c r="BF632" s="4">
        <v>43283.685694444444</v>
      </c>
      <c r="BG632" t="s">
        <v>83</v>
      </c>
      <c r="BH632" t="s">
        <v>84</v>
      </c>
      <c r="BI632" t="s">
        <v>85</v>
      </c>
    </row>
    <row r="633" spans="1:61" x14ac:dyDescent="0.3">
      <c r="A633" t="str">
        <f>"200232C0100"</f>
        <v>200232C0100</v>
      </c>
      <c r="B633" t="s">
        <v>1356</v>
      </c>
      <c r="C633">
        <v>20</v>
      </c>
      <c r="D633" t="s">
        <v>79</v>
      </c>
      <c r="E633">
        <v>4</v>
      </c>
      <c r="F633" t="s">
        <v>1317</v>
      </c>
      <c r="G633">
        <v>232</v>
      </c>
      <c r="H633">
        <v>1</v>
      </c>
      <c r="I633" t="s">
        <v>89</v>
      </c>
      <c r="J633">
        <v>0</v>
      </c>
      <c r="K633">
        <v>2</v>
      </c>
      <c r="L633">
        <v>2</v>
      </c>
      <c r="M633">
        <v>92</v>
      </c>
      <c r="N633">
        <v>549</v>
      </c>
      <c r="O633">
        <v>0</v>
      </c>
      <c r="P633" t="s">
        <v>100</v>
      </c>
      <c r="Q633">
        <v>1</v>
      </c>
      <c r="R633">
        <v>150</v>
      </c>
      <c r="S633">
        <v>15</v>
      </c>
      <c r="T633">
        <v>0</v>
      </c>
      <c r="U633">
        <v>0</v>
      </c>
      <c r="V633">
        <v>1</v>
      </c>
      <c r="W633">
        <v>1</v>
      </c>
      <c r="X633">
        <v>59</v>
      </c>
      <c r="Y633">
        <v>0</v>
      </c>
      <c r="Z633">
        <v>0</v>
      </c>
      <c r="AA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T633">
        <v>0</v>
      </c>
      <c r="AU633">
        <v>21</v>
      </c>
      <c r="AV633">
        <v>460</v>
      </c>
      <c r="AW633">
        <v>248</v>
      </c>
      <c r="AX633">
        <v>529</v>
      </c>
      <c r="BA633">
        <v>1</v>
      </c>
      <c r="BC633" t="s">
        <v>1357</v>
      </c>
      <c r="BD633" s="4">
        <v>43283.671527777777</v>
      </c>
      <c r="BE633" s="4">
        <v>43283.677303240744</v>
      </c>
      <c r="BF633" s="4">
        <v>43283.677303240744</v>
      </c>
      <c r="BG633" t="s">
        <v>83</v>
      </c>
      <c r="BH633" t="s">
        <v>84</v>
      </c>
      <c r="BI633" t="s">
        <v>85</v>
      </c>
    </row>
    <row r="634" spans="1:61" x14ac:dyDescent="0.3">
      <c r="A634" t="str">
        <f>"200232C0200"</f>
        <v>200232C0200</v>
      </c>
      <c r="B634" t="s">
        <v>1358</v>
      </c>
      <c r="C634">
        <v>20</v>
      </c>
      <c r="D634" t="s">
        <v>79</v>
      </c>
      <c r="E634">
        <v>4</v>
      </c>
      <c r="F634" t="s">
        <v>1317</v>
      </c>
      <c r="G634">
        <v>232</v>
      </c>
      <c r="H634">
        <v>2</v>
      </c>
      <c r="I634" t="s">
        <v>89</v>
      </c>
      <c r="J634">
        <v>0</v>
      </c>
      <c r="K634">
        <v>2</v>
      </c>
      <c r="L634">
        <v>2</v>
      </c>
      <c r="M634">
        <v>80</v>
      </c>
      <c r="N634">
        <v>471</v>
      </c>
      <c r="O634">
        <v>3</v>
      </c>
      <c r="P634">
        <v>471</v>
      </c>
      <c r="Q634">
        <v>3</v>
      </c>
      <c r="R634">
        <v>182</v>
      </c>
      <c r="S634">
        <v>14</v>
      </c>
      <c r="T634">
        <v>2</v>
      </c>
      <c r="U634">
        <v>8</v>
      </c>
      <c r="V634">
        <v>0</v>
      </c>
      <c r="W634">
        <v>3</v>
      </c>
      <c r="X634">
        <v>30</v>
      </c>
      <c r="Y634">
        <v>76</v>
      </c>
      <c r="Z634">
        <v>3</v>
      </c>
      <c r="AA634">
        <v>4</v>
      </c>
      <c r="AC634">
        <v>0</v>
      </c>
      <c r="AD634">
        <v>0</v>
      </c>
      <c r="AE634">
        <v>0</v>
      </c>
      <c r="AF634">
        <v>1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T634">
        <v>0</v>
      </c>
      <c r="AU634">
        <v>145</v>
      </c>
      <c r="AV634" t="s">
        <v>100</v>
      </c>
      <c r="AW634">
        <v>471</v>
      </c>
      <c r="AX634">
        <v>529</v>
      </c>
      <c r="BA634">
        <v>1</v>
      </c>
      <c r="BC634" t="s">
        <v>1359</v>
      </c>
      <c r="BD634" s="4">
        <v>43283.671527777777</v>
      </c>
      <c r="BE634" s="4">
        <v>43283.682037037041</v>
      </c>
      <c r="BF634" s="4">
        <v>43283.682037037041</v>
      </c>
      <c r="BG634" t="s">
        <v>83</v>
      </c>
      <c r="BH634" t="s">
        <v>84</v>
      </c>
      <c r="BI634" t="s">
        <v>85</v>
      </c>
    </row>
    <row r="635" spans="1:61" x14ac:dyDescent="0.3">
      <c r="A635" t="str">
        <f>"200233B0100"</f>
        <v>200233B0100</v>
      </c>
      <c r="B635" t="s">
        <v>1360</v>
      </c>
      <c r="C635">
        <v>20</v>
      </c>
      <c r="D635" t="s">
        <v>79</v>
      </c>
      <c r="E635">
        <v>4</v>
      </c>
      <c r="F635" t="s">
        <v>1317</v>
      </c>
      <c r="G635">
        <v>233</v>
      </c>
      <c r="H635">
        <v>1</v>
      </c>
      <c r="I635" t="s">
        <v>81</v>
      </c>
      <c r="J635">
        <v>0</v>
      </c>
      <c r="K635">
        <v>2</v>
      </c>
      <c r="L635">
        <v>2</v>
      </c>
      <c r="M635">
        <v>57</v>
      </c>
      <c r="N635">
        <v>439</v>
      </c>
      <c r="O635">
        <v>4</v>
      </c>
      <c r="P635">
        <v>439</v>
      </c>
      <c r="Q635">
        <v>4</v>
      </c>
      <c r="R635">
        <v>215</v>
      </c>
      <c r="S635">
        <v>5</v>
      </c>
      <c r="T635">
        <v>2</v>
      </c>
      <c r="U635">
        <v>4</v>
      </c>
      <c r="V635">
        <v>1</v>
      </c>
      <c r="W635">
        <v>0</v>
      </c>
      <c r="X635">
        <v>20</v>
      </c>
      <c r="Y635">
        <v>28</v>
      </c>
      <c r="Z635">
        <v>3</v>
      </c>
      <c r="AA635">
        <v>7</v>
      </c>
      <c r="AC635">
        <v>0</v>
      </c>
      <c r="AD635">
        <v>1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T635">
        <v>0</v>
      </c>
      <c r="AU635">
        <v>149</v>
      </c>
      <c r="AV635">
        <v>439</v>
      </c>
      <c r="AW635">
        <v>439</v>
      </c>
      <c r="AX635">
        <v>476</v>
      </c>
      <c r="BA635">
        <v>1</v>
      </c>
      <c r="BC635" t="s">
        <v>1361</v>
      </c>
      <c r="BD635" s="4">
        <v>43283.675694444442</v>
      </c>
      <c r="BE635" s="4">
        <v>43283.683599537035</v>
      </c>
      <c r="BF635" s="4">
        <v>43283.683599537035</v>
      </c>
      <c r="BG635" t="s">
        <v>83</v>
      </c>
      <c r="BH635" t="s">
        <v>84</v>
      </c>
      <c r="BI635" t="s">
        <v>1331</v>
      </c>
    </row>
    <row r="636" spans="1:61" x14ac:dyDescent="0.3">
      <c r="A636" t="str">
        <f>"200234B0100"</f>
        <v>200234B0100</v>
      </c>
      <c r="B636" t="s">
        <v>1362</v>
      </c>
      <c r="C636">
        <v>20</v>
      </c>
      <c r="D636" t="s">
        <v>79</v>
      </c>
      <c r="E636">
        <v>4</v>
      </c>
      <c r="F636" t="s">
        <v>1317</v>
      </c>
      <c r="G636">
        <v>234</v>
      </c>
      <c r="H636">
        <v>1</v>
      </c>
      <c r="I636" t="s">
        <v>81</v>
      </c>
      <c r="J636">
        <v>0</v>
      </c>
      <c r="K636">
        <v>2</v>
      </c>
      <c r="L636">
        <v>2</v>
      </c>
      <c r="M636">
        <v>90</v>
      </c>
      <c r="N636">
        <v>350</v>
      </c>
      <c r="O636">
        <v>0</v>
      </c>
      <c r="P636">
        <v>350</v>
      </c>
      <c r="Q636">
        <v>2</v>
      </c>
      <c r="R636">
        <v>157</v>
      </c>
      <c r="S636">
        <v>21</v>
      </c>
      <c r="T636">
        <v>1</v>
      </c>
      <c r="U636">
        <v>3</v>
      </c>
      <c r="V636">
        <v>1</v>
      </c>
      <c r="W636">
        <v>2</v>
      </c>
      <c r="X636">
        <v>32</v>
      </c>
      <c r="Y636">
        <v>81</v>
      </c>
      <c r="Z636">
        <v>3</v>
      </c>
      <c r="AA636">
        <v>2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1</v>
      </c>
      <c r="AK636">
        <v>1</v>
      </c>
      <c r="AL636">
        <v>0</v>
      </c>
      <c r="AM636">
        <v>0</v>
      </c>
      <c r="AN636">
        <v>1</v>
      </c>
      <c r="AT636">
        <v>0</v>
      </c>
      <c r="AU636">
        <v>42</v>
      </c>
      <c r="AV636">
        <v>350</v>
      </c>
      <c r="AW636">
        <v>350</v>
      </c>
      <c r="AX636">
        <v>418</v>
      </c>
      <c r="BA636">
        <v>1</v>
      </c>
      <c r="BC636" t="s">
        <v>1363</v>
      </c>
      <c r="BD636" s="4">
        <v>43283.674305555556</v>
      </c>
      <c r="BE636" s="4">
        <v>43283.682534722226</v>
      </c>
      <c r="BF636" s="4">
        <v>43283.682534722226</v>
      </c>
      <c r="BG636" t="s">
        <v>83</v>
      </c>
      <c r="BH636" t="s">
        <v>84</v>
      </c>
      <c r="BI636" t="s">
        <v>85</v>
      </c>
    </row>
    <row r="637" spans="1:61" x14ac:dyDescent="0.3">
      <c r="A637" t="str">
        <f>"200234C0100"</f>
        <v>200234C0100</v>
      </c>
      <c r="B637" t="s">
        <v>1364</v>
      </c>
      <c r="C637">
        <v>20</v>
      </c>
      <c r="D637" t="s">
        <v>79</v>
      </c>
      <c r="E637">
        <v>4</v>
      </c>
      <c r="F637" t="s">
        <v>1317</v>
      </c>
      <c r="G637">
        <v>234</v>
      </c>
      <c r="H637">
        <v>1</v>
      </c>
      <c r="I637" t="s">
        <v>89</v>
      </c>
      <c r="J637">
        <v>0</v>
      </c>
      <c r="K637">
        <v>2</v>
      </c>
      <c r="L637">
        <v>2</v>
      </c>
      <c r="M637">
        <v>81</v>
      </c>
      <c r="N637">
        <v>358</v>
      </c>
      <c r="O637">
        <v>2</v>
      </c>
      <c r="P637">
        <v>358</v>
      </c>
      <c r="Q637">
        <v>1</v>
      </c>
      <c r="R637">
        <v>193</v>
      </c>
      <c r="S637">
        <v>9</v>
      </c>
      <c r="T637">
        <v>1</v>
      </c>
      <c r="U637">
        <v>7</v>
      </c>
      <c r="V637">
        <v>2</v>
      </c>
      <c r="W637">
        <v>1</v>
      </c>
      <c r="X637">
        <v>29</v>
      </c>
      <c r="Y637">
        <v>75</v>
      </c>
      <c r="Z637">
        <v>1</v>
      </c>
      <c r="AA637">
        <v>0</v>
      </c>
      <c r="AC637">
        <v>1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T637">
        <v>0</v>
      </c>
      <c r="AU637">
        <v>35</v>
      </c>
      <c r="AV637">
        <v>358</v>
      </c>
      <c r="AW637">
        <v>355</v>
      </c>
      <c r="AX637">
        <v>417</v>
      </c>
      <c r="BA637">
        <v>1</v>
      </c>
      <c r="BC637" t="s">
        <v>1365</v>
      </c>
      <c r="BD637" s="4">
        <v>43283.672222222223</v>
      </c>
      <c r="BE637" s="4">
        <v>43283.68105324074</v>
      </c>
      <c r="BF637" s="4">
        <v>43283.68105324074</v>
      </c>
      <c r="BG637" t="s">
        <v>83</v>
      </c>
      <c r="BH637" t="s">
        <v>84</v>
      </c>
      <c r="BI637" t="s">
        <v>85</v>
      </c>
    </row>
    <row r="638" spans="1:61" x14ac:dyDescent="0.3">
      <c r="A638" t="str">
        <f>"200235B0100"</f>
        <v>200235B0100</v>
      </c>
      <c r="B638" t="s">
        <v>1366</v>
      </c>
      <c r="C638">
        <v>20</v>
      </c>
      <c r="D638" t="s">
        <v>79</v>
      </c>
      <c r="E638">
        <v>4</v>
      </c>
      <c r="F638" t="s">
        <v>1317</v>
      </c>
      <c r="G638">
        <v>235</v>
      </c>
      <c r="H638">
        <v>1</v>
      </c>
      <c r="I638" t="s">
        <v>81</v>
      </c>
      <c r="J638">
        <v>0</v>
      </c>
      <c r="K638">
        <v>2</v>
      </c>
      <c r="L638">
        <v>2</v>
      </c>
      <c r="M638">
        <v>99</v>
      </c>
      <c r="N638">
        <v>470</v>
      </c>
      <c r="O638">
        <v>0</v>
      </c>
      <c r="P638">
        <v>470</v>
      </c>
      <c r="Q638">
        <v>4</v>
      </c>
      <c r="R638">
        <v>122</v>
      </c>
      <c r="S638">
        <v>21</v>
      </c>
      <c r="T638">
        <v>1</v>
      </c>
      <c r="U638">
        <v>6</v>
      </c>
      <c r="V638">
        <v>1</v>
      </c>
      <c r="W638">
        <v>0</v>
      </c>
      <c r="X638">
        <v>34</v>
      </c>
      <c r="Y638">
        <v>79</v>
      </c>
      <c r="Z638">
        <v>5</v>
      </c>
      <c r="AA638">
        <v>8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T638">
        <v>0</v>
      </c>
      <c r="AU638">
        <v>189</v>
      </c>
      <c r="AV638">
        <v>470</v>
      </c>
      <c r="AW638">
        <v>470</v>
      </c>
      <c r="AX638">
        <v>547</v>
      </c>
      <c r="BA638">
        <v>1</v>
      </c>
      <c r="BC638" t="s">
        <v>1367</v>
      </c>
      <c r="BD638" s="4">
        <v>43283.675694444442</v>
      </c>
      <c r="BE638" s="4">
        <v>43283.682847222219</v>
      </c>
      <c r="BF638" s="4">
        <v>43283.682847222219</v>
      </c>
      <c r="BG638" t="s">
        <v>83</v>
      </c>
      <c r="BH638" t="s">
        <v>84</v>
      </c>
      <c r="BI638" t="s">
        <v>85</v>
      </c>
    </row>
    <row r="639" spans="1:61" x14ac:dyDescent="0.3">
      <c r="A639" t="str">
        <f>"200235C0100"</f>
        <v>200235C0100</v>
      </c>
      <c r="B639" t="s">
        <v>1368</v>
      </c>
      <c r="C639">
        <v>20</v>
      </c>
      <c r="D639" t="s">
        <v>79</v>
      </c>
      <c r="E639">
        <v>4</v>
      </c>
      <c r="F639" t="s">
        <v>1317</v>
      </c>
      <c r="G639">
        <v>235</v>
      </c>
      <c r="H639">
        <v>1</v>
      </c>
      <c r="I639" t="s">
        <v>89</v>
      </c>
      <c r="J639">
        <v>0</v>
      </c>
      <c r="K639">
        <v>2</v>
      </c>
      <c r="L639">
        <v>2</v>
      </c>
      <c r="M639">
        <v>89</v>
      </c>
      <c r="N639">
        <v>480</v>
      </c>
      <c r="O639">
        <v>1</v>
      </c>
      <c r="P639">
        <v>480</v>
      </c>
      <c r="Q639">
        <v>3</v>
      </c>
      <c r="R639">
        <v>104</v>
      </c>
      <c r="S639">
        <v>18</v>
      </c>
      <c r="T639">
        <v>0</v>
      </c>
      <c r="U639">
        <v>7</v>
      </c>
      <c r="V639">
        <v>3</v>
      </c>
      <c r="W639">
        <v>1</v>
      </c>
      <c r="X639">
        <v>55</v>
      </c>
      <c r="Y639">
        <v>44</v>
      </c>
      <c r="Z639">
        <v>5</v>
      </c>
      <c r="AA639">
        <v>4</v>
      </c>
      <c r="AC639">
        <v>2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1</v>
      </c>
      <c r="AJ639">
        <v>0</v>
      </c>
      <c r="AK639">
        <v>0</v>
      </c>
      <c r="AL639">
        <v>0</v>
      </c>
      <c r="AM639">
        <v>0</v>
      </c>
      <c r="AN639">
        <v>0</v>
      </c>
      <c r="AT639">
        <v>0</v>
      </c>
      <c r="AU639">
        <v>233</v>
      </c>
      <c r="AV639" t="s">
        <v>100</v>
      </c>
      <c r="AW639">
        <v>480</v>
      </c>
      <c r="AX639">
        <v>547</v>
      </c>
      <c r="BA639">
        <v>1</v>
      </c>
      <c r="BC639" t="s">
        <v>1369</v>
      </c>
      <c r="BD639" s="4">
        <v>43283.674305555556</v>
      </c>
      <c r="BE639" s="4">
        <v>43283.683993055558</v>
      </c>
      <c r="BF639" s="4">
        <v>43283.683993055558</v>
      </c>
      <c r="BG639" t="s">
        <v>83</v>
      </c>
      <c r="BH639" t="s">
        <v>84</v>
      </c>
      <c r="BI639" t="s">
        <v>85</v>
      </c>
    </row>
    <row r="640" spans="1:61" x14ac:dyDescent="0.3">
      <c r="A640" t="str">
        <f>"200236B0100"</f>
        <v>200236B0100</v>
      </c>
      <c r="B640" t="s">
        <v>1370</v>
      </c>
      <c r="C640">
        <v>20</v>
      </c>
      <c r="D640" t="s">
        <v>79</v>
      </c>
      <c r="E640">
        <v>4</v>
      </c>
      <c r="F640" t="s">
        <v>1317</v>
      </c>
      <c r="G640">
        <v>236</v>
      </c>
      <c r="H640">
        <v>1</v>
      </c>
      <c r="I640" t="s">
        <v>81</v>
      </c>
      <c r="J640">
        <v>0</v>
      </c>
      <c r="K640">
        <v>2</v>
      </c>
      <c r="L640">
        <v>2</v>
      </c>
      <c r="M640">
        <v>125</v>
      </c>
      <c r="N640">
        <v>500</v>
      </c>
      <c r="O640">
        <v>8</v>
      </c>
      <c r="P640">
        <v>499</v>
      </c>
      <c r="Q640">
        <v>9</v>
      </c>
      <c r="R640">
        <v>114</v>
      </c>
      <c r="S640">
        <v>68</v>
      </c>
      <c r="T640">
        <v>2</v>
      </c>
      <c r="U640">
        <v>7</v>
      </c>
      <c r="V640">
        <v>3</v>
      </c>
      <c r="W640">
        <v>20</v>
      </c>
      <c r="X640">
        <v>15</v>
      </c>
      <c r="Y640">
        <v>202</v>
      </c>
      <c r="Z640">
        <v>4</v>
      </c>
      <c r="AA640">
        <v>30</v>
      </c>
      <c r="AC640">
        <v>0</v>
      </c>
      <c r="AD640">
        <v>0</v>
      </c>
      <c r="AE640">
        <v>0</v>
      </c>
      <c r="AF640">
        <v>0</v>
      </c>
      <c r="AG640">
        <v>1</v>
      </c>
      <c r="AH640">
        <v>1</v>
      </c>
      <c r="AI640">
        <v>1</v>
      </c>
      <c r="AJ640">
        <v>0</v>
      </c>
      <c r="AK640">
        <v>0</v>
      </c>
      <c r="AL640">
        <v>2</v>
      </c>
      <c r="AM640">
        <v>0</v>
      </c>
      <c r="AN640">
        <v>1</v>
      </c>
      <c r="AT640">
        <v>0</v>
      </c>
      <c r="AU640">
        <v>19</v>
      </c>
      <c r="AV640">
        <v>499</v>
      </c>
      <c r="AW640">
        <v>499</v>
      </c>
      <c r="AX640">
        <v>603</v>
      </c>
      <c r="BA640">
        <v>1</v>
      </c>
      <c r="BC640" t="s">
        <v>1371</v>
      </c>
      <c r="BD640" s="4">
        <v>43283.288194444445</v>
      </c>
      <c r="BE640" s="4">
        <v>43283.314895833333</v>
      </c>
      <c r="BF640" s="4">
        <v>43283.314895833333</v>
      </c>
      <c r="BG640" t="s">
        <v>83</v>
      </c>
      <c r="BH640" t="s">
        <v>84</v>
      </c>
      <c r="BI640" t="s">
        <v>85</v>
      </c>
    </row>
    <row r="641" spans="1:61" x14ac:dyDescent="0.3">
      <c r="A641" t="str">
        <f>"200236C0100"</f>
        <v>200236C0100</v>
      </c>
      <c r="B641" t="s">
        <v>1372</v>
      </c>
      <c r="C641">
        <v>20</v>
      </c>
      <c r="D641" t="s">
        <v>79</v>
      </c>
      <c r="E641">
        <v>4</v>
      </c>
      <c r="F641" t="s">
        <v>1317</v>
      </c>
      <c r="G641">
        <v>236</v>
      </c>
      <c r="H641">
        <v>1</v>
      </c>
      <c r="I641" t="s">
        <v>89</v>
      </c>
      <c r="J641">
        <v>0</v>
      </c>
      <c r="K641">
        <v>2</v>
      </c>
      <c r="L641">
        <v>2</v>
      </c>
      <c r="M641">
        <v>146</v>
      </c>
      <c r="N641">
        <v>624</v>
      </c>
      <c r="O641">
        <v>9</v>
      </c>
      <c r="P641">
        <v>479</v>
      </c>
      <c r="Q641">
        <v>6</v>
      </c>
      <c r="R641">
        <v>95</v>
      </c>
      <c r="S641">
        <v>60</v>
      </c>
      <c r="T641">
        <v>2</v>
      </c>
      <c r="U641">
        <v>7</v>
      </c>
      <c r="V641">
        <v>4</v>
      </c>
      <c r="W641">
        <v>12</v>
      </c>
      <c r="X641">
        <v>9</v>
      </c>
      <c r="Y641">
        <v>223</v>
      </c>
      <c r="Z641">
        <v>2</v>
      </c>
      <c r="AA641">
        <v>31</v>
      </c>
      <c r="AC641">
        <v>0</v>
      </c>
      <c r="AD641">
        <v>1</v>
      </c>
      <c r="AE641">
        <v>0</v>
      </c>
      <c r="AF641">
        <v>1</v>
      </c>
      <c r="AG641">
        <v>2</v>
      </c>
      <c r="AH641">
        <v>1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2</v>
      </c>
      <c r="AT641">
        <v>0</v>
      </c>
      <c r="AU641">
        <v>21</v>
      </c>
      <c r="AV641">
        <v>479</v>
      </c>
      <c r="AW641">
        <v>479</v>
      </c>
      <c r="AX641">
        <v>602</v>
      </c>
      <c r="BA641">
        <v>1</v>
      </c>
      <c r="BC641" t="s">
        <v>1373</v>
      </c>
      <c r="BD641" s="4">
        <v>43283.288194444445</v>
      </c>
      <c r="BE641" s="4">
        <v>43283.314710648148</v>
      </c>
      <c r="BF641" s="4">
        <v>43283.314710648148</v>
      </c>
      <c r="BG641" t="s">
        <v>83</v>
      </c>
      <c r="BH641" t="s">
        <v>84</v>
      </c>
      <c r="BI641" t="s">
        <v>85</v>
      </c>
    </row>
    <row r="642" spans="1:61" x14ac:dyDescent="0.3">
      <c r="A642" t="str">
        <f>"200236C0200"</f>
        <v>200236C0200</v>
      </c>
      <c r="B642" t="s">
        <v>1374</v>
      </c>
      <c r="C642">
        <v>20</v>
      </c>
      <c r="D642" t="s">
        <v>79</v>
      </c>
      <c r="E642">
        <v>4</v>
      </c>
      <c r="F642" t="s">
        <v>1317</v>
      </c>
      <c r="G642">
        <v>236</v>
      </c>
      <c r="H642">
        <v>2</v>
      </c>
      <c r="I642" t="s">
        <v>89</v>
      </c>
      <c r="J642">
        <v>0</v>
      </c>
      <c r="K642">
        <v>2</v>
      </c>
      <c r="L642">
        <v>2</v>
      </c>
      <c r="M642">
        <v>137</v>
      </c>
      <c r="N642">
        <v>624</v>
      </c>
      <c r="O642">
        <v>7</v>
      </c>
      <c r="P642">
        <v>487</v>
      </c>
      <c r="Q642">
        <v>7</v>
      </c>
      <c r="R642">
        <v>101</v>
      </c>
      <c r="S642">
        <v>66</v>
      </c>
      <c r="T642">
        <v>3</v>
      </c>
      <c r="U642">
        <v>8</v>
      </c>
      <c r="V642">
        <v>3</v>
      </c>
      <c r="W642">
        <v>20</v>
      </c>
      <c r="X642">
        <v>17</v>
      </c>
      <c r="Y642">
        <v>197</v>
      </c>
      <c r="Z642">
        <v>1</v>
      </c>
      <c r="AA642">
        <v>34</v>
      </c>
      <c r="AC642">
        <v>0</v>
      </c>
      <c r="AD642">
        <v>0</v>
      </c>
      <c r="AE642">
        <v>0</v>
      </c>
      <c r="AF642">
        <v>0</v>
      </c>
      <c r="AG642">
        <v>1</v>
      </c>
      <c r="AH642">
        <v>0</v>
      </c>
      <c r="AI642">
        <v>1</v>
      </c>
      <c r="AJ642">
        <v>0</v>
      </c>
      <c r="AK642">
        <v>1</v>
      </c>
      <c r="AL642">
        <v>1</v>
      </c>
      <c r="AM642">
        <v>0</v>
      </c>
      <c r="AN642">
        <v>0</v>
      </c>
      <c r="AT642" t="s">
        <v>100</v>
      </c>
      <c r="AU642">
        <v>26</v>
      </c>
      <c r="AV642">
        <v>487</v>
      </c>
      <c r="AW642">
        <v>487</v>
      </c>
      <c r="AX642">
        <v>602</v>
      </c>
      <c r="AZ642" t="s">
        <v>101</v>
      </c>
      <c r="BA642">
        <v>1</v>
      </c>
      <c r="BC642" t="s">
        <v>1375</v>
      </c>
      <c r="BD642" s="4">
        <v>43283.283333333333</v>
      </c>
      <c r="BE642" s="4">
        <v>43283.310902777775</v>
      </c>
      <c r="BF642" s="4">
        <v>43283.310902777775</v>
      </c>
      <c r="BG642" t="s">
        <v>83</v>
      </c>
      <c r="BH642" t="s">
        <v>84</v>
      </c>
      <c r="BI642" t="s">
        <v>1331</v>
      </c>
    </row>
    <row r="643" spans="1:61" x14ac:dyDescent="0.3">
      <c r="A643" t="str">
        <f>"200237B0100"</f>
        <v>200237B0100</v>
      </c>
      <c r="B643" t="s">
        <v>1376</v>
      </c>
      <c r="C643">
        <v>20</v>
      </c>
      <c r="D643" t="s">
        <v>79</v>
      </c>
      <c r="E643">
        <v>4</v>
      </c>
      <c r="F643" t="s">
        <v>1317</v>
      </c>
      <c r="G643">
        <v>237</v>
      </c>
      <c r="H643">
        <v>1</v>
      </c>
      <c r="I643" t="s">
        <v>81</v>
      </c>
      <c r="J643">
        <v>0</v>
      </c>
      <c r="K643">
        <v>2</v>
      </c>
      <c r="L643">
        <v>2</v>
      </c>
      <c r="M643" t="s">
        <v>315</v>
      </c>
      <c r="N643" t="s">
        <v>315</v>
      </c>
      <c r="O643" t="s">
        <v>315</v>
      </c>
      <c r="P643" t="s">
        <v>315</v>
      </c>
      <c r="Q643">
        <v>5</v>
      </c>
      <c r="R643">
        <v>83</v>
      </c>
      <c r="S643">
        <v>88</v>
      </c>
      <c r="T643">
        <v>2</v>
      </c>
      <c r="U643">
        <v>15</v>
      </c>
      <c r="V643">
        <v>2</v>
      </c>
      <c r="W643">
        <v>15</v>
      </c>
      <c r="X643">
        <v>13</v>
      </c>
      <c r="Y643">
        <v>123</v>
      </c>
      <c r="Z643">
        <v>1</v>
      </c>
      <c r="AA643">
        <v>13</v>
      </c>
      <c r="AC643">
        <v>0</v>
      </c>
      <c r="AD643">
        <v>0</v>
      </c>
      <c r="AE643">
        <v>0</v>
      </c>
      <c r="AF643">
        <v>0</v>
      </c>
      <c r="AG643">
        <v>2</v>
      </c>
      <c r="AH643">
        <v>2</v>
      </c>
      <c r="AI643">
        <v>1</v>
      </c>
      <c r="AJ643">
        <v>0</v>
      </c>
      <c r="AK643">
        <v>2</v>
      </c>
      <c r="AL643">
        <v>1</v>
      </c>
      <c r="AM643">
        <v>0</v>
      </c>
      <c r="AN643">
        <v>2</v>
      </c>
      <c r="AT643">
        <v>0</v>
      </c>
      <c r="AU643">
        <v>18</v>
      </c>
      <c r="AV643">
        <v>347</v>
      </c>
      <c r="AW643">
        <v>388</v>
      </c>
      <c r="AX643">
        <v>508</v>
      </c>
      <c r="BA643">
        <v>1</v>
      </c>
      <c r="BC643" t="s">
        <v>1377</v>
      </c>
      <c r="BD643" s="4">
        <v>43283.28125</v>
      </c>
      <c r="BE643" s="4">
        <v>43283.326967592591</v>
      </c>
      <c r="BF643" s="4">
        <v>43283.326967592591</v>
      </c>
      <c r="BG643" t="s">
        <v>83</v>
      </c>
      <c r="BH643" t="s">
        <v>84</v>
      </c>
      <c r="BI643" t="s">
        <v>1331</v>
      </c>
    </row>
    <row r="644" spans="1:61" x14ac:dyDescent="0.3">
      <c r="A644" t="str">
        <f>"200237C0100"</f>
        <v>200237C0100</v>
      </c>
      <c r="B644" t="s">
        <v>1378</v>
      </c>
      <c r="C644">
        <v>20</v>
      </c>
      <c r="D644" t="s">
        <v>79</v>
      </c>
      <c r="E644">
        <v>4</v>
      </c>
      <c r="F644" t="s">
        <v>1317</v>
      </c>
      <c r="G644">
        <v>237</v>
      </c>
      <c r="H644">
        <v>1</v>
      </c>
      <c r="I644" t="s">
        <v>89</v>
      </c>
      <c r="J644">
        <v>0</v>
      </c>
      <c r="K644">
        <v>2</v>
      </c>
      <c r="L644">
        <v>2</v>
      </c>
      <c r="M644">
        <v>136</v>
      </c>
      <c r="N644">
        <v>394</v>
      </c>
      <c r="O644">
        <v>4</v>
      </c>
      <c r="P644">
        <v>396</v>
      </c>
      <c r="Q644">
        <v>4</v>
      </c>
      <c r="R644">
        <v>79</v>
      </c>
      <c r="S644">
        <v>87</v>
      </c>
      <c r="T644">
        <v>1</v>
      </c>
      <c r="U644">
        <v>19</v>
      </c>
      <c r="V644">
        <v>4</v>
      </c>
      <c r="W644">
        <v>5</v>
      </c>
      <c r="X644">
        <v>16</v>
      </c>
      <c r="Y644">
        <v>145</v>
      </c>
      <c r="Z644">
        <v>2</v>
      </c>
      <c r="AA644">
        <v>12</v>
      </c>
      <c r="AC644">
        <v>0</v>
      </c>
      <c r="AD644">
        <v>0</v>
      </c>
      <c r="AE644">
        <v>0</v>
      </c>
      <c r="AF644">
        <v>2</v>
      </c>
      <c r="AG644">
        <v>0</v>
      </c>
      <c r="AH644">
        <v>0</v>
      </c>
      <c r="AI644">
        <v>1</v>
      </c>
      <c r="AJ644">
        <v>0</v>
      </c>
      <c r="AK644">
        <v>1</v>
      </c>
      <c r="AL644" t="s">
        <v>100</v>
      </c>
      <c r="AM644" t="s">
        <v>100</v>
      </c>
      <c r="AN644" t="s">
        <v>100</v>
      </c>
      <c r="AT644" t="s">
        <v>100</v>
      </c>
      <c r="AU644">
        <v>18</v>
      </c>
      <c r="AV644">
        <v>396</v>
      </c>
      <c r="AW644">
        <v>396</v>
      </c>
      <c r="AX644">
        <v>508</v>
      </c>
      <c r="AZ644" t="s">
        <v>101</v>
      </c>
      <c r="BA644">
        <v>1</v>
      </c>
      <c r="BC644" t="s">
        <v>1379</v>
      </c>
      <c r="BD644" s="4">
        <v>43283.284722222219</v>
      </c>
      <c r="BE644" s="4">
        <v>43283.311655092592</v>
      </c>
      <c r="BF644" s="4">
        <v>43283.311655092592</v>
      </c>
      <c r="BG644" t="s">
        <v>83</v>
      </c>
      <c r="BH644" t="s">
        <v>84</v>
      </c>
      <c r="BI644" t="s">
        <v>548</v>
      </c>
    </row>
    <row r="645" spans="1:61" x14ac:dyDescent="0.3">
      <c r="A645" t="str">
        <f>"200237C0200"</f>
        <v>200237C0200</v>
      </c>
      <c r="B645" t="s">
        <v>1380</v>
      </c>
      <c r="C645">
        <v>20</v>
      </c>
      <c r="D645" t="s">
        <v>79</v>
      </c>
      <c r="E645">
        <v>4</v>
      </c>
      <c r="F645" t="s">
        <v>1317</v>
      </c>
      <c r="G645">
        <v>237</v>
      </c>
      <c r="H645">
        <v>2</v>
      </c>
      <c r="I645" t="s">
        <v>89</v>
      </c>
      <c r="J645">
        <v>0</v>
      </c>
      <c r="K645">
        <v>2</v>
      </c>
      <c r="L645">
        <v>2</v>
      </c>
      <c r="M645">
        <v>149</v>
      </c>
      <c r="N645">
        <v>0</v>
      </c>
      <c r="O645">
        <v>0</v>
      </c>
      <c r="P645">
        <v>377</v>
      </c>
      <c r="Q645">
        <v>7</v>
      </c>
      <c r="R645">
        <v>65</v>
      </c>
      <c r="S645">
        <v>84</v>
      </c>
      <c r="T645">
        <v>1</v>
      </c>
      <c r="U645">
        <v>24</v>
      </c>
      <c r="V645">
        <v>3</v>
      </c>
      <c r="W645">
        <v>9</v>
      </c>
      <c r="X645">
        <v>16</v>
      </c>
      <c r="Y645">
        <v>131</v>
      </c>
      <c r="Z645">
        <v>1</v>
      </c>
      <c r="AA645">
        <v>12</v>
      </c>
      <c r="AC645">
        <v>0</v>
      </c>
      <c r="AD645">
        <v>0</v>
      </c>
      <c r="AE645">
        <v>0</v>
      </c>
      <c r="AF645">
        <v>1</v>
      </c>
      <c r="AG645">
        <v>1</v>
      </c>
      <c r="AH645">
        <v>0</v>
      </c>
      <c r="AI645">
        <v>4</v>
      </c>
      <c r="AJ645">
        <v>0</v>
      </c>
      <c r="AK645">
        <v>0</v>
      </c>
      <c r="AL645">
        <v>1</v>
      </c>
      <c r="AM645">
        <v>0</v>
      </c>
      <c r="AN645">
        <v>0</v>
      </c>
      <c r="AT645">
        <v>0</v>
      </c>
      <c r="AU645">
        <v>16</v>
      </c>
      <c r="AV645">
        <v>377</v>
      </c>
      <c r="AW645">
        <v>376</v>
      </c>
      <c r="AX645">
        <v>507</v>
      </c>
      <c r="BA645">
        <v>1</v>
      </c>
      <c r="BC645" t="s">
        <v>1381</v>
      </c>
      <c r="BD645" s="4">
        <v>43283.279861111114</v>
      </c>
      <c r="BE645" s="4">
        <v>43283.307812500003</v>
      </c>
      <c r="BF645" s="4">
        <v>43283.307812500003</v>
      </c>
      <c r="BG645" t="s">
        <v>83</v>
      </c>
      <c r="BH645" t="s">
        <v>84</v>
      </c>
      <c r="BI645" t="s">
        <v>548</v>
      </c>
    </row>
    <row r="646" spans="1:61" x14ac:dyDescent="0.3">
      <c r="A646" t="str">
        <f>"200238B0100"</f>
        <v>200238B0100</v>
      </c>
      <c r="B646" t="s">
        <v>1382</v>
      </c>
      <c r="C646">
        <v>20</v>
      </c>
      <c r="D646" t="s">
        <v>79</v>
      </c>
      <c r="E646">
        <v>4</v>
      </c>
      <c r="F646" t="s">
        <v>1317</v>
      </c>
      <c r="G646">
        <v>238</v>
      </c>
      <c r="H646">
        <v>1</v>
      </c>
      <c r="I646" t="s">
        <v>81</v>
      </c>
      <c r="J646">
        <v>0</v>
      </c>
      <c r="K646">
        <v>1</v>
      </c>
      <c r="L646">
        <v>2</v>
      </c>
      <c r="M646">
        <v>137</v>
      </c>
      <c r="N646">
        <v>531</v>
      </c>
      <c r="O646">
        <v>1</v>
      </c>
      <c r="P646">
        <v>531</v>
      </c>
      <c r="Q646">
        <v>7</v>
      </c>
      <c r="R646">
        <v>122</v>
      </c>
      <c r="S646">
        <v>50</v>
      </c>
      <c r="T646">
        <v>1</v>
      </c>
      <c r="U646">
        <v>18</v>
      </c>
      <c r="V646">
        <v>3</v>
      </c>
      <c r="W646">
        <v>19</v>
      </c>
      <c r="X646">
        <v>8</v>
      </c>
      <c r="Y646">
        <v>232</v>
      </c>
      <c r="Z646">
        <v>5</v>
      </c>
      <c r="AA646">
        <v>37</v>
      </c>
      <c r="AC646">
        <v>1</v>
      </c>
      <c r="AD646">
        <v>0</v>
      </c>
      <c r="AE646">
        <v>0</v>
      </c>
      <c r="AF646">
        <v>0</v>
      </c>
      <c r="AG646">
        <v>1</v>
      </c>
      <c r="AH646">
        <v>1</v>
      </c>
      <c r="AI646">
        <v>2</v>
      </c>
      <c r="AJ646">
        <v>0</v>
      </c>
      <c r="AK646">
        <v>1</v>
      </c>
      <c r="AL646">
        <v>2</v>
      </c>
      <c r="AM646">
        <v>0</v>
      </c>
      <c r="AN646">
        <v>1</v>
      </c>
      <c r="AT646">
        <v>0</v>
      </c>
      <c r="AU646">
        <v>20</v>
      </c>
      <c r="AV646">
        <v>531</v>
      </c>
      <c r="AW646">
        <v>531</v>
      </c>
      <c r="AX646">
        <v>646</v>
      </c>
      <c r="BA646">
        <v>1</v>
      </c>
      <c r="BC646" t="s">
        <v>1383</v>
      </c>
      <c r="BD646" s="4">
        <v>43283.297222222223</v>
      </c>
      <c r="BE646" s="4">
        <v>43283.32439814815</v>
      </c>
      <c r="BF646" s="4">
        <v>43283.32439814815</v>
      </c>
      <c r="BG646" t="s">
        <v>83</v>
      </c>
      <c r="BH646" t="s">
        <v>84</v>
      </c>
      <c r="BI646" t="s">
        <v>548</v>
      </c>
    </row>
    <row r="647" spans="1:61" x14ac:dyDescent="0.3">
      <c r="A647" t="str">
        <f>"200238C0100"</f>
        <v>200238C0100</v>
      </c>
      <c r="B647" t="s">
        <v>1384</v>
      </c>
      <c r="C647">
        <v>20</v>
      </c>
      <c r="D647" t="s">
        <v>79</v>
      </c>
      <c r="E647">
        <v>4</v>
      </c>
      <c r="F647" t="s">
        <v>1317</v>
      </c>
      <c r="G647">
        <v>238</v>
      </c>
      <c r="H647">
        <v>1</v>
      </c>
      <c r="I647" t="s">
        <v>89</v>
      </c>
      <c r="J647">
        <v>0</v>
      </c>
      <c r="K647">
        <v>1</v>
      </c>
      <c r="L647">
        <v>2</v>
      </c>
      <c r="M647">
        <v>143</v>
      </c>
      <c r="N647">
        <v>524</v>
      </c>
      <c r="O647">
        <v>4</v>
      </c>
      <c r="P647">
        <v>524</v>
      </c>
      <c r="Q647">
        <v>5</v>
      </c>
      <c r="R647">
        <v>85</v>
      </c>
      <c r="S647">
        <v>43</v>
      </c>
      <c r="T647">
        <v>3</v>
      </c>
      <c r="U647">
        <v>20</v>
      </c>
      <c r="V647">
        <v>4</v>
      </c>
      <c r="W647">
        <v>21</v>
      </c>
      <c r="X647">
        <v>16</v>
      </c>
      <c r="Y647">
        <v>260</v>
      </c>
      <c r="Z647">
        <v>8</v>
      </c>
      <c r="AA647">
        <v>34</v>
      </c>
      <c r="AC647">
        <v>1</v>
      </c>
      <c r="AD647">
        <v>0</v>
      </c>
      <c r="AE647">
        <v>0</v>
      </c>
      <c r="AF647">
        <v>0</v>
      </c>
      <c r="AG647">
        <v>1</v>
      </c>
      <c r="AH647">
        <v>0</v>
      </c>
      <c r="AI647">
        <v>1</v>
      </c>
      <c r="AJ647">
        <v>0</v>
      </c>
      <c r="AK647">
        <v>4</v>
      </c>
      <c r="AL647">
        <v>2</v>
      </c>
      <c r="AM647">
        <v>0</v>
      </c>
      <c r="AN647">
        <v>2</v>
      </c>
      <c r="AT647">
        <v>0</v>
      </c>
      <c r="AU647">
        <v>14</v>
      </c>
      <c r="AV647">
        <v>524</v>
      </c>
      <c r="AW647">
        <v>524</v>
      </c>
      <c r="AX647">
        <v>645</v>
      </c>
      <c r="BA647">
        <v>1</v>
      </c>
      <c r="BC647" t="s">
        <v>1385</v>
      </c>
      <c r="BD647" s="4">
        <v>43283.34097222222</v>
      </c>
      <c r="BE647" s="4">
        <v>43283.356736111113</v>
      </c>
      <c r="BF647" s="4">
        <v>43283.356736111113</v>
      </c>
      <c r="BG647" t="s">
        <v>83</v>
      </c>
      <c r="BH647" t="s">
        <v>84</v>
      </c>
      <c r="BI647" t="s">
        <v>85</v>
      </c>
    </row>
    <row r="648" spans="1:61" x14ac:dyDescent="0.3">
      <c r="A648" t="str">
        <f>"200239B0100"</f>
        <v>200239B0100</v>
      </c>
      <c r="B648" t="s">
        <v>1386</v>
      </c>
      <c r="C648">
        <v>20</v>
      </c>
      <c r="D648" t="s">
        <v>79</v>
      </c>
      <c r="E648">
        <v>4</v>
      </c>
      <c r="F648" t="s">
        <v>1317</v>
      </c>
      <c r="G648">
        <v>239</v>
      </c>
      <c r="H648">
        <v>1</v>
      </c>
      <c r="I648" t="s">
        <v>81</v>
      </c>
      <c r="J648">
        <v>0</v>
      </c>
      <c r="K648">
        <v>2</v>
      </c>
      <c r="L648">
        <v>2</v>
      </c>
      <c r="M648">
        <v>135</v>
      </c>
      <c r="N648">
        <v>464</v>
      </c>
      <c r="O648">
        <v>3</v>
      </c>
      <c r="P648">
        <v>464</v>
      </c>
      <c r="Q648">
        <v>8</v>
      </c>
      <c r="R648">
        <v>81</v>
      </c>
      <c r="S648">
        <v>51</v>
      </c>
      <c r="T648">
        <v>6</v>
      </c>
      <c r="U648">
        <v>14</v>
      </c>
      <c r="V648">
        <v>2</v>
      </c>
      <c r="W648">
        <v>40</v>
      </c>
      <c r="X648">
        <v>14</v>
      </c>
      <c r="Y648">
        <v>207</v>
      </c>
      <c r="Z648">
        <v>7</v>
      </c>
      <c r="AA648">
        <v>12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2</v>
      </c>
      <c r="AL648">
        <v>1</v>
      </c>
      <c r="AM648">
        <v>0</v>
      </c>
      <c r="AN648">
        <v>1</v>
      </c>
      <c r="AT648">
        <v>0</v>
      </c>
      <c r="AU648">
        <v>18</v>
      </c>
      <c r="AV648">
        <v>464</v>
      </c>
      <c r="AW648">
        <v>464</v>
      </c>
      <c r="AX648">
        <v>577</v>
      </c>
      <c r="BA648">
        <v>1</v>
      </c>
      <c r="BC648" t="s">
        <v>1387</v>
      </c>
      <c r="BD648" s="4">
        <v>43283.281944444447</v>
      </c>
      <c r="BE648" s="4">
        <v>43283.310648148145</v>
      </c>
      <c r="BF648" s="4">
        <v>43283.310648148145</v>
      </c>
      <c r="BG648" t="s">
        <v>83</v>
      </c>
      <c r="BH648" t="s">
        <v>84</v>
      </c>
      <c r="BI648" t="s">
        <v>85</v>
      </c>
    </row>
    <row r="649" spans="1:61" x14ac:dyDescent="0.3">
      <c r="A649" t="str">
        <f>"200239C0100"</f>
        <v>200239C0100</v>
      </c>
      <c r="B649" t="s">
        <v>1388</v>
      </c>
      <c r="C649">
        <v>20</v>
      </c>
      <c r="D649" t="s">
        <v>79</v>
      </c>
      <c r="E649">
        <v>4</v>
      </c>
      <c r="F649" t="s">
        <v>1317</v>
      </c>
      <c r="G649">
        <v>239</v>
      </c>
      <c r="H649">
        <v>1</v>
      </c>
      <c r="I649" t="s">
        <v>89</v>
      </c>
      <c r="J649">
        <v>0</v>
      </c>
      <c r="K649">
        <v>2</v>
      </c>
      <c r="L649">
        <v>2</v>
      </c>
      <c r="AX649">
        <v>577</v>
      </c>
      <c r="AZ649" t="s">
        <v>156</v>
      </c>
      <c r="BA649">
        <v>0</v>
      </c>
      <c r="BC649" t="s">
        <v>1389</v>
      </c>
      <c r="BD649" s="4">
        <v>43283.709722222222</v>
      </c>
      <c r="BE649" s="4">
        <v>43283.711574074077</v>
      </c>
      <c r="BF649" s="4">
        <v>43283.711574074077</v>
      </c>
      <c r="BG649" t="s">
        <v>83</v>
      </c>
      <c r="BH649" t="s">
        <v>84</v>
      </c>
      <c r="BI649" t="s">
        <v>85</v>
      </c>
    </row>
    <row r="650" spans="1:61" x14ac:dyDescent="0.3">
      <c r="A650" t="str">
        <f>"200239C0200"</f>
        <v>200239C0200</v>
      </c>
      <c r="B650" t="s">
        <v>1390</v>
      </c>
      <c r="C650">
        <v>20</v>
      </c>
      <c r="D650" t="s">
        <v>79</v>
      </c>
      <c r="E650">
        <v>4</v>
      </c>
      <c r="F650" t="s">
        <v>1317</v>
      </c>
      <c r="G650">
        <v>239</v>
      </c>
      <c r="H650">
        <v>2</v>
      </c>
      <c r="I650" t="s">
        <v>89</v>
      </c>
      <c r="J650">
        <v>0</v>
      </c>
      <c r="K650">
        <v>2</v>
      </c>
      <c r="L650">
        <v>2</v>
      </c>
      <c r="M650">
        <v>152</v>
      </c>
      <c r="N650">
        <v>446</v>
      </c>
      <c r="O650">
        <v>9</v>
      </c>
      <c r="P650">
        <v>446</v>
      </c>
      <c r="Q650">
        <v>3</v>
      </c>
      <c r="R650">
        <v>96</v>
      </c>
      <c r="S650">
        <v>55</v>
      </c>
      <c r="T650">
        <v>3</v>
      </c>
      <c r="U650">
        <v>5</v>
      </c>
      <c r="V650">
        <v>1</v>
      </c>
      <c r="W650">
        <v>25</v>
      </c>
      <c r="X650">
        <v>16</v>
      </c>
      <c r="Y650">
        <v>171</v>
      </c>
      <c r="Z650">
        <v>1</v>
      </c>
      <c r="AA650">
        <v>19</v>
      </c>
      <c r="AC650">
        <v>0</v>
      </c>
      <c r="AD650">
        <v>1</v>
      </c>
      <c r="AE650">
        <v>0</v>
      </c>
      <c r="AF650">
        <v>0</v>
      </c>
      <c r="AG650">
        <v>2</v>
      </c>
      <c r="AH650">
        <v>1</v>
      </c>
      <c r="AI650">
        <v>3</v>
      </c>
      <c r="AJ650">
        <v>0</v>
      </c>
      <c r="AK650">
        <v>2</v>
      </c>
      <c r="AL650">
        <v>4</v>
      </c>
      <c r="AM650">
        <v>0</v>
      </c>
      <c r="AN650">
        <v>1</v>
      </c>
      <c r="AT650">
        <v>0</v>
      </c>
      <c r="AU650">
        <v>37</v>
      </c>
      <c r="AV650">
        <v>446</v>
      </c>
      <c r="AW650">
        <v>446</v>
      </c>
      <c r="AX650">
        <v>576</v>
      </c>
      <c r="BA650">
        <v>1</v>
      </c>
      <c r="BC650" t="s">
        <v>1391</v>
      </c>
      <c r="BD650" s="4">
        <v>43283.282638888886</v>
      </c>
      <c r="BE650" s="4">
        <v>43283.31040509259</v>
      </c>
      <c r="BF650" s="4">
        <v>43283.31040509259</v>
      </c>
      <c r="BG650" t="s">
        <v>83</v>
      </c>
      <c r="BH650" t="s">
        <v>84</v>
      </c>
      <c r="BI650" t="s">
        <v>548</v>
      </c>
    </row>
    <row r="651" spans="1:61" x14ac:dyDescent="0.3">
      <c r="A651" t="str">
        <f>"200240B0100"</f>
        <v>200240B0100</v>
      </c>
      <c r="B651" t="s">
        <v>1392</v>
      </c>
      <c r="C651">
        <v>20</v>
      </c>
      <c r="D651" t="s">
        <v>79</v>
      </c>
      <c r="E651">
        <v>4</v>
      </c>
      <c r="F651" t="s">
        <v>1317</v>
      </c>
      <c r="G651">
        <v>240</v>
      </c>
      <c r="H651">
        <v>1</v>
      </c>
      <c r="I651" t="s">
        <v>81</v>
      </c>
      <c r="J651">
        <v>0</v>
      </c>
      <c r="K651">
        <v>1</v>
      </c>
      <c r="L651">
        <v>2</v>
      </c>
      <c r="M651">
        <v>130</v>
      </c>
      <c r="N651">
        <v>446</v>
      </c>
      <c r="O651">
        <v>6</v>
      </c>
      <c r="P651">
        <v>446</v>
      </c>
      <c r="Q651">
        <v>7</v>
      </c>
      <c r="R651">
        <v>132</v>
      </c>
      <c r="S651">
        <v>31</v>
      </c>
      <c r="T651">
        <v>0</v>
      </c>
      <c r="U651">
        <v>9</v>
      </c>
      <c r="V651">
        <v>4</v>
      </c>
      <c r="W651">
        <v>15</v>
      </c>
      <c r="X651">
        <v>10</v>
      </c>
      <c r="Y651">
        <v>184</v>
      </c>
      <c r="Z651">
        <v>9</v>
      </c>
      <c r="AA651">
        <v>21</v>
      </c>
      <c r="AC651">
        <v>1</v>
      </c>
      <c r="AD651">
        <v>0</v>
      </c>
      <c r="AE651">
        <v>0</v>
      </c>
      <c r="AF651">
        <v>1</v>
      </c>
      <c r="AG651">
        <v>0</v>
      </c>
      <c r="AH651">
        <v>2</v>
      </c>
      <c r="AI651">
        <v>1</v>
      </c>
      <c r="AJ651">
        <v>0</v>
      </c>
      <c r="AK651">
        <v>0</v>
      </c>
      <c r="AL651">
        <v>0</v>
      </c>
      <c r="AM651">
        <v>1</v>
      </c>
      <c r="AN651">
        <v>0</v>
      </c>
      <c r="AT651">
        <v>0</v>
      </c>
      <c r="AU651">
        <v>18</v>
      </c>
      <c r="AV651">
        <v>446</v>
      </c>
      <c r="AW651">
        <v>446</v>
      </c>
      <c r="AX651">
        <v>554</v>
      </c>
      <c r="BA651">
        <v>1</v>
      </c>
      <c r="BC651" t="s">
        <v>1393</v>
      </c>
      <c r="BD651" s="4">
        <v>43283.338888888888</v>
      </c>
      <c r="BE651" s="4">
        <v>43283.358472222222</v>
      </c>
      <c r="BF651" s="4">
        <v>43283.358472222222</v>
      </c>
      <c r="BG651" t="s">
        <v>83</v>
      </c>
      <c r="BH651" t="s">
        <v>84</v>
      </c>
      <c r="BI651" t="s">
        <v>85</v>
      </c>
    </row>
    <row r="652" spans="1:61" x14ac:dyDescent="0.3">
      <c r="A652" t="str">
        <f>"200240C0100"</f>
        <v>200240C0100</v>
      </c>
      <c r="B652" t="s">
        <v>1394</v>
      </c>
      <c r="C652">
        <v>20</v>
      </c>
      <c r="D652" t="s">
        <v>79</v>
      </c>
      <c r="E652">
        <v>4</v>
      </c>
      <c r="F652" t="s">
        <v>1317</v>
      </c>
      <c r="G652">
        <v>240</v>
      </c>
      <c r="H652">
        <v>1</v>
      </c>
      <c r="I652" t="s">
        <v>89</v>
      </c>
      <c r="J652">
        <v>0</v>
      </c>
      <c r="K652">
        <v>2</v>
      </c>
      <c r="L652">
        <v>2</v>
      </c>
      <c r="M652">
        <v>109</v>
      </c>
      <c r="N652" t="s">
        <v>315</v>
      </c>
      <c r="O652">
        <v>6</v>
      </c>
      <c r="P652">
        <v>3</v>
      </c>
      <c r="Q652">
        <v>7</v>
      </c>
      <c r="R652">
        <v>86</v>
      </c>
      <c r="S652">
        <v>31</v>
      </c>
      <c r="T652">
        <v>5</v>
      </c>
      <c r="U652">
        <v>7</v>
      </c>
      <c r="V652">
        <v>1</v>
      </c>
      <c r="W652">
        <v>22</v>
      </c>
      <c r="X652">
        <v>18</v>
      </c>
      <c r="Y652">
        <v>239</v>
      </c>
      <c r="Z652">
        <v>7</v>
      </c>
      <c r="AA652">
        <v>17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1</v>
      </c>
      <c r="AI652">
        <v>0</v>
      </c>
      <c r="AJ652">
        <v>0</v>
      </c>
      <c r="AK652">
        <v>4</v>
      </c>
      <c r="AL652">
        <v>0</v>
      </c>
      <c r="AM652">
        <v>0</v>
      </c>
      <c r="AN652">
        <v>1</v>
      </c>
      <c r="AT652">
        <v>0</v>
      </c>
      <c r="AU652">
        <v>20</v>
      </c>
      <c r="AV652">
        <v>466</v>
      </c>
      <c r="AW652">
        <v>466</v>
      </c>
      <c r="AX652">
        <v>553</v>
      </c>
      <c r="BA652">
        <v>1</v>
      </c>
      <c r="BC652" t="s">
        <v>1395</v>
      </c>
      <c r="BD652" s="4">
        <v>43283.289583333331</v>
      </c>
      <c r="BE652" s="4">
        <v>43283.316331018519</v>
      </c>
      <c r="BF652" s="4">
        <v>43283.316331018519</v>
      </c>
      <c r="BG652" t="s">
        <v>83</v>
      </c>
      <c r="BH652" t="s">
        <v>84</v>
      </c>
      <c r="BI652" t="s">
        <v>85</v>
      </c>
    </row>
    <row r="653" spans="1:61" x14ac:dyDescent="0.3">
      <c r="A653" t="str">
        <f>"200240S0100"</f>
        <v>200240S0100</v>
      </c>
      <c r="B653" t="s">
        <v>1396</v>
      </c>
      <c r="C653">
        <v>20</v>
      </c>
      <c r="D653" t="s">
        <v>79</v>
      </c>
      <c r="E653">
        <v>4</v>
      </c>
      <c r="F653" t="s">
        <v>1317</v>
      </c>
      <c r="G653">
        <v>240</v>
      </c>
      <c r="H653">
        <v>1</v>
      </c>
      <c r="I653" t="s">
        <v>104</v>
      </c>
      <c r="J653">
        <v>0</v>
      </c>
      <c r="K653">
        <v>1</v>
      </c>
      <c r="L653">
        <v>3</v>
      </c>
      <c r="M653">
        <v>490</v>
      </c>
      <c r="N653">
        <v>84</v>
      </c>
      <c r="O653">
        <v>0</v>
      </c>
      <c r="P653">
        <v>84</v>
      </c>
      <c r="Q653">
        <v>0</v>
      </c>
      <c r="R653">
        <v>8</v>
      </c>
      <c r="S653">
        <v>3</v>
      </c>
      <c r="T653">
        <v>0</v>
      </c>
      <c r="U653">
        <v>4</v>
      </c>
      <c r="V653">
        <v>1</v>
      </c>
      <c r="W653">
        <v>4</v>
      </c>
      <c r="X653">
        <v>3</v>
      </c>
      <c r="Y653">
        <v>52</v>
      </c>
      <c r="Z653">
        <v>0</v>
      </c>
      <c r="AA653">
        <v>4</v>
      </c>
      <c r="AC653">
        <v>0</v>
      </c>
      <c r="AD653">
        <v>0</v>
      </c>
      <c r="AE653">
        <v>0</v>
      </c>
      <c r="AF653">
        <v>0</v>
      </c>
      <c r="AG653">
        <v>1</v>
      </c>
      <c r="AH653">
        <v>0</v>
      </c>
      <c r="AI653">
        <v>0</v>
      </c>
      <c r="AJ653">
        <v>0</v>
      </c>
      <c r="AK653">
        <v>2</v>
      </c>
      <c r="AL653">
        <v>1</v>
      </c>
      <c r="AM653">
        <v>0</v>
      </c>
      <c r="AN653">
        <v>0</v>
      </c>
      <c r="AT653">
        <v>0</v>
      </c>
      <c r="AU653">
        <v>1</v>
      </c>
      <c r="AV653">
        <v>84</v>
      </c>
      <c r="AW653">
        <v>84</v>
      </c>
      <c r="AX653">
        <v>0</v>
      </c>
      <c r="BA653">
        <v>1</v>
      </c>
      <c r="BC653" t="s">
        <v>1397</v>
      </c>
      <c r="BD653" s="4">
        <v>43283.290972222225</v>
      </c>
      <c r="BE653" s="4">
        <v>43283.317881944444</v>
      </c>
      <c r="BF653" s="4">
        <v>43283.317881944444</v>
      </c>
      <c r="BG653" t="s">
        <v>83</v>
      </c>
      <c r="BH653" t="s">
        <v>84</v>
      </c>
      <c r="BI653" t="s">
        <v>85</v>
      </c>
    </row>
    <row r="654" spans="1:61" x14ac:dyDescent="0.3">
      <c r="A654" t="str">
        <f>"200241B0100"</f>
        <v>200241B0100</v>
      </c>
      <c r="B654" t="s">
        <v>1398</v>
      </c>
      <c r="C654">
        <v>20</v>
      </c>
      <c r="D654" t="s">
        <v>79</v>
      </c>
      <c r="E654">
        <v>4</v>
      </c>
      <c r="F654" t="s">
        <v>1317</v>
      </c>
      <c r="G654">
        <v>241</v>
      </c>
      <c r="H654">
        <v>1</v>
      </c>
      <c r="I654" t="s">
        <v>81</v>
      </c>
      <c r="J654">
        <v>0</v>
      </c>
      <c r="K654">
        <v>1</v>
      </c>
      <c r="L654">
        <v>2</v>
      </c>
      <c r="M654">
        <v>165</v>
      </c>
      <c r="N654">
        <v>548</v>
      </c>
      <c r="O654">
        <v>5</v>
      </c>
      <c r="P654">
        <v>541</v>
      </c>
      <c r="Q654">
        <v>4</v>
      </c>
      <c r="R654">
        <v>115</v>
      </c>
      <c r="S654">
        <v>107</v>
      </c>
      <c r="T654">
        <v>5</v>
      </c>
      <c r="U654">
        <v>16</v>
      </c>
      <c r="V654">
        <v>3</v>
      </c>
      <c r="W654">
        <v>20</v>
      </c>
      <c r="X654">
        <v>23</v>
      </c>
      <c r="Y654">
        <v>10</v>
      </c>
      <c r="Z654">
        <v>0</v>
      </c>
      <c r="AA654">
        <v>17</v>
      </c>
      <c r="AC654">
        <v>0</v>
      </c>
      <c r="AD654">
        <v>1</v>
      </c>
      <c r="AE654">
        <v>0</v>
      </c>
      <c r="AF654">
        <v>0</v>
      </c>
      <c r="AG654">
        <v>6</v>
      </c>
      <c r="AH654">
        <v>1</v>
      </c>
      <c r="AI654">
        <v>1</v>
      </c>
      <c r="AJ654">
        <v>0</v>
      </c>
      <c r="AK654">
        <v>3</v>
      </c>
      <c r="AL654">
        <v>0</v>
      </c>
      <c r="AM654">
        <v>0</v>
      </c>
      <c r="AN654">
        <v>0</v>
      </c>
      <c r="AT654">
        <v>0</v>
      </c>
      <c r="AU654">
        <v>16</v>
      </c>
      <c r="AV654">
        <v>548</v>
      </c>
      <c r="AW654">
        <v>348</v>
      </c>
      <c r="AX654">
        <v>691</v>
      </c>
      <c r="BA654">
        <v>1</v>
      </c>
      <c r="BC654" t="s">
        <v>1399</v>
      </c>
      <c r="BD654" s="4">
        <v>43283.294444444444</v>
      </c>
      <c r="BE654" s="4">
        <v>43283.323622685188</v>
      </c>
      <c r="BF654" s="4">
        <v>43283.323622685188</v>
      </c>
      <c r="BG654" t="s">
        <v>83</v>
      </c>
      <c r="BH654" t="s">
        <v>84</v>
      </c>
      <c r="BI654" t="s">
        <v>85</v>
      </c>
    </row>
    <row r="655" spans="1:61" x14ac:dyDescent="0.3">
      <c r="A655" t="str">
        <f>"200241C0100"</f>
        <v>200241C0100</v>
      </c>
      <c r="B655" t="s">
        <v>1400</v>
      </c>
      <c r="C655">
        <v>20</v>
      </c>
      <c r="D655" t="s">
        <v>79</v>
      </c>
      <c r="E655">
        <v>4</v>
      </c>
      <c r="F655" t="s">
        <v>1317</v>
      </c>
      <c r="G655">
        <v>241</v>
      </c>
      <c r="H655">
        <v>1</v>
      </c>
      <c r="I655" t="s">
        <v>89</v>
      </c>
      <c r="J655">
        <v>0</v>
      </c>
      <c r="K655">
        <v>1</v>
      </c>
      <c r="L655">
        <v>2</v>
      </c>
      <c r="M655">
        <v>198</v>
      </c>
      <c r="N655">
        <v>514</v>
      </c>
      <c r="O655">
        <v>6</v>
      </c>
      <c r="P655">
        <v>512</v>
      </c>
      <c r="Q655">
        <v>5</v>
      </c>
      <c r="R655">
        <v>88</v>
      </c>
      <c r="S655">
        <v>89</v>
      </c>
      <c r="T655">
        <v>5</v>
      </c>
      <c r="U655">
        <v>24</v>
      </c>
      <c r="V655">
        <v>2</v>
      </c>
      <c r="W655">
        <v>18</v>
      </c>
      <c r="X655">
        <v>21</v>
      </c>
      <c r="Y655">
        <v>211</v>
      </c>
      <c r="Z655">
        <v>2</v>
      </c>
      <c r="AA655">
        <v>15</v>
      </c>
      <c r="AC655">
        <v>0</v>
      </c>
      <c r="AD655">
        <v>2</v>
      </c>
      <c r="AE655">
        <v>0</v>
      </c>
      <c r="AF655">
        <v>0</v>
      </c>
      <c r="AG655">
        <v>1</v>
      </c>
      <c r="AH655">
        <v>0</v>
      </c>
      <c r="AI655">
        <v>1</v>
      </c>
      <c r="AJ655">
        <v>0</v>
      </c>
      <c r="AK655">
        <v>2</v>
      </c>
      <c r="AL655">
        <v>3</v>
      </c>
      <c r="AM655">
        <v>0</v>
      </c>
      <c r="AN655">
        <v>0</v>
      </c>
      <c r="AT655">
        <v>0</v>
      </c>
      <c r="AU655">
        <v>23</v>
      </c>
      <c r="AV655">
        <v>512</v>
      </c>
      <c r="AW655">
        <v>512</v>
      </c>
      <c r="AX655">
        <v>690</v>
      </c>
      <c r="BA655">
        <v>1</v>
      </c>
      <c r="BC655" t="s">
        <v>1401</v>
      </c>
      <c r="BD655" s="4">
        <v>43283.338888888888</v>
      </c>
      <c r="BE655" s="4">
        <v>43283.357187499998</v>
      </c>
      <c r="BF655" s="4">
        <v>43283.357187499998</v>
      </c>
      <c r="BG655" t="s">
        <v>83</v>
      </c>
      <c r="BH655" t="s">
        <v>84</v>
      </c>
      <c r="BI655" t="s">
        <v>85</v>
      </c>
    </row>
    <row r="656" spans="1:61" x14ac:dyDescent="0.3">
      <c r="A656" t="str">
        <f>"200242B0100"</f>
        <v>200242B0100</v>
      </c>
      <c r="B656" t="s">
        <v>1402</v>
      </c>
      <c r="C656">
        <v>20</v>
      </c>
      <c r="D656" t="s">
        <v>79</v>
      </c>
      <c r="E656">
        <v>4</v>
      </c>
      <c r="F656" t="s">
        <v>1317</v>
      </c>
      <c r="G656">
        <v>242</v>
      </c>
      <c r="H656">
        <v>1</v>
      </c>
      <c r="I656" t="s">
        <v>81</v>
      </c>
      <c r="J656">
        <v>0</v>
      </c>
      <c r="K656">
        <v>2</v>
      </c>
      <c r="L656">
        <v>2</v>
      </c>
      <c r="M656">
        <v>112</v>
      </c>
      <c r="N656">
        <v>279</v>
      </c>
      <c r="O656">
        <v>8</v>
      </c>
      <c r="P656">
        <v>279</v>
      </c>
      <c r="Q656">
        <v>2</v>
      </c>
      <c r="R656">
        <v>77</v>
      </c>
      <c r="S656">
        <v>65</v>
      </c>
      <c r="T656">
        <v>2</v>
      </c>
      <c r="U656">
        <v>3</v>
      </c>
      <c r="V656">
        <v>0</v>
      </c>
      <c r="W656">
        <v>2</v>
      </c>
      <c r="X656">
        <v>25</v>
      </c>
      <c r="Y656">
        <v>83</v>
      </c>
      <c r="Z656">
        <v>4</v>
      </c>
      <c r="AA656">
        <v>2</v>
      </c>
      <c r="AC656">
        <v>0</v>
      </c>
      <c r="AD656">
        <v>1</v>
      </c>
      <c r="AE656">
        <v>0</v>
      </c>
      <c r="AF656">
        <v>1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T656">
        <v>0</v>
      </c>
      <c r="AU656">
        <v>12</v>
      </c>
      <c r="AV656">
        <v>279</v>
      </c>
      <c r="AW656">
        <v>279</v>
      </c>
      <c r="AX656">
        <v>369</v>
      </c>
      <c r="BA656">
        <v>1</v>
      </c>
      <c r="BC656" t="s">
        <v>1403</v>
      </c>
      <c r="BD656" s="4">
        <v>43283.454861111109</v>
      </c>
      <c r="BE656" s="4">
        <v>43283.458391203705</v>
      </c>
      <c r="BF656" s="4">
        <v>43283.458391203705</v>
      </c>
      <c r="BG656" t="s">
        <v>83</v>
      </c>
      <c r="BH656" t="s">
        <v>84</v>
      </c>
      <c r="BI656" t="s">
        <v>85</v>
      </c>
    </row>
    <row r="657" spans="1:61" x14ac:dyDescent="0.3">
      <c r="A657" t="str">
        <f>"200243B0100"</f>
        <v>200243B0100</v>
      </c>
      <c r="B657" t="s">
        <v>1404</v>
      </c>
      <c r="C657">
        <v>20</v>
      </c>
      <c r="D657" t="s">
        <v>79</v>
      </c>
      <c r="E657">
        <v>4</v>
      </c>
      <c r="F657" t="s">
        <v>1317</v>
      </c>
      <c r="G657">
        <v>243</v>
      </c>
      <c r="H657">
        <v>1</v>
      </c>
      <c r="I657" t="s">
        <v>81</v>
      </c>
      <c r="J657">
        <v>0</v>
      </c>
      <c r="K657">
        <v>2</v>
      </c>
      <c r="L657">
        <v>2</v>
      </c>
      <c r="M657">
        <v>126</v>
      </c>
      <c r="N657">
        <v>280</v>
      </c>
      <c r="O657">
        <v>7</v>
      </c>
      <c r="P657" t="s">
        <v>100</v>
      </c>
      <c r="Q657">
        <v>3</v>
      </c>
      <c r="R657">
        <v>65</v>
      </c>
      <c r="S657">
        <v>39</v>
      </c>
      <c r="T657">
        <v>0</v>
      </c>
      <c r="U657">
        <v>3</v>
      </c>
      <c r="V657">
        <v>2</v>
      </c>
      <c r="W657">
        <v>3</v>
      </c>
      <c r="X657">
        <v>5</v>
      </c>
      <c r="Y657">
        <v>121</v>
      </c>
      <c r="Z657">
        <v>7</v>
      </c>
      <c r="AA657">
        <v>10</v>
      </c>
      <c r="AC657">
        <v>0</v>
      </c>
      <c r="AD657">
        <v>0</v>
      </c>
      <c r="AE657">
        <v>0</v>
      </c>
      <c r="AF657">
        <v>1</v>
      </c>
      <c r="AG657">
        <v>0</v>
      </c>
      <c r="AH657">
        <v>0</v>
      </c>
      <c r="AI657">
        <v>0</v>
      </c>
      <c r="AJ657">
        <v>0</v>
      </c>
      <c r="AK657">
        <v>2</v>
      </c>
      <c r="AL657">
        <v>2</v>
      </c>
      <c r="AM657">
        <v>0</v>
      </c>
      <c r="AN657">
        <v>1</v>
      </c>
      <c r="AT657">
        <v>0</v>
      </c>
      <c r="AU657">
        <v>8</v>
      </c>
      <c r="AV657">
        <v>272</v>
      </c>
      <c r="AW657">
        <v>272</v>
      </c>
      <c r="AX657">
        <v>376</v>
      </c>
      <c r="BA657">
        <v>1</v>
      </c>
      <c r="BC657" t="s">
        <v>1405</v>
      </c>
      <c r="BD657" s="4">
        <v>43283.456944444442</v>
      </c>
      <c r="BE657" s="4">
        <v>43283.463333333333</v>
      </c>
      <c r="BF657" s="4">
        <v>43283.463333333333</v>
      </c>
      <c r="BG657" t="s">
        <v>83</v>
      </c>
      <c r="BH657" t="s">
        <v>84</v>
      </c>
      <c r="BI657" t="s">
        <v>548</v>
      </c>
    </row>
    <row r="658" spans="1:61" x14ac:dyDescent="0.3">
      <c r="A658" t="str">
        <f>"200243C0100"</f>
        <v>200243C0100</v>
      </c>
      <c r="B658" t="s">
        <v>1406</v>
      </c>
      <c r="C658">
        <v>20</v>
      </c>
      <c r="D658" t="s">
        <v>79</v>
      </c>
      <c r="E658">
        <v>4</v>
      </c>
      <c r="F658" t="s">
        <v>1317</v>
      </c>
      <c r="G658">
        <v>243</v>
      </c>
      <c r="H658">
        <v>1</v>
      </c>
      <c r="I658" t="s">
        <v>89</v>
      </c>
      <c r="J658">
        <v>0</v>
      </c>
      <c r="K658">
        <v>2</v>
      </c>
      <c r="L658">
        <v>2</v>
      </c>
      <c r="M658">
        <v>108</v>
      </c>
      <c r="N658">
        <v>290</v>
      </c>
      <c r="O658">
        <v>7</v>
      </c>
      <c r="P658">
        <v>290</v>
      </c>
      <c r="Q658">
        <v>6</v>
      </c>
      <c r="R658">
        <v>66</v>
      </c>
      <c r="S658">
        <v>40</v>
      </c>
      <c r="T658">
        <v>0</v>
      </c>
      <c r="U658">
        <v>2</v>
      </c>
      <c r="V658">
        <v>4</v>
      </c>
      <c r="W658">
        <v>2</v>
      </c>
      <c r="X658">
        <v>5</v>
      </c>
      <c r="Y658">
        <v>132</v>
      </c>
      <c r="Z658">
        <v>1</v>
      </c>
      <c r="AA658">
        <v>12</v>
      </c>
      <c r="AC658">
        <v>3</v>
      </c>
      <c r="AD658">
        <v>2</v>
      </c>
      <c r="AE658">
        <v>0</v>
      </c>
      <c r="AF658">
        <v>0</v>
      </c>
      <c r="AG658">
        <v>0</v>
      </c>
      <c r="AH658">
        <v>1</v>
      </c>
      <c r="AI658">
        <v>1</v>
      </c>
      <c r="AJ658">
        <v>0</v>
      </c>
      <c r="AK658">
        <v>0</v>
      </c>
      <c r="AL658">
        <v>0</v>
      </c>
      <c r="AM658">
        <v>0</v>
      </c>
      <c r="AN658">
        <v>0</v>
      </c>
      <c r="AT658">
        <v>0</v>
      </c>
      <c r="AU658">
        <v>13</v>
      </c>
      <c r="AV658">
        <v>290</v>
      </c>
      <c r="AW658">
        <v>290</v>
      </c>
      <c r="AX658">
        <v>376</v>
      </c>
      <c r="BA658">
        <v>1</v>
      </c>
      <c r="BC658" t="s">
        <v>1407</v>
      </c>
      <c r="BD658" s="4">
        <v>43283.276388888888</v>
      </c>
      <c r="BE658" s="4">
        <v>43283.307210648149</v>
      </c>
      <c r="BF658" s="4">
        <v>43283.307210648149</v>
      </c>
      <c r="BG658" t="s">
        <v>83</v>
      </c>
      <c r="BH658" t="s">
        <v>84</v>
      </c>
      <c r="BI658" t="s">
        <v>85</v>
      </c>
    </row>
    <row r="659" spans="1:61" x14ac:dyDescent="0.3">
      <c r="A659" t="str">
        <f>"200244B0100"</f>
        <v>200244B0100</v>
      </c>
      <c r="B659" t="s">
        <v>1408</v>
      </c>
      <c r="C659">
        <v>20</v>
      </c>
      <c r="D659" t="s">
        <v>79</v>
      </c>
      <c r="E659">
        <v>4</v>
      </c>
      <c r="F659" t="s">
        <v>1317</v>
      </c>
      <c r="G659">
        <v>244</v>
      </c>
      <c r="H659">
        <v>1</v>
      </c>
      <c r="I659" t="s">
        <v>81</v>
      </c>
      <c r="J659">
        <v>0</v>
      </c>
      <c r="K659">
        <v>2</v>
      </c>
      <c r="L659">
        <v>2</v>
      </c>
      <c r="M659">
        <v>172</v>
      </c>
      <c r="N659">
        <v>544</v>
      </c>
      <c r="O659">
        <v>9</v>
      </c>
      <c r="P659">
        <v>544</v>
      </c>
      <c r="Q659">
        <v>6</v>
      </c>
      <c r="R659">
        <v>180</v>
      </c>
      <c r="S659">
        <v>65</v>
      </c>
      <c r="T659">
        <v>1</v>
      </c>
      <c r="U659">
        <v>9</v>
      </c>
      <c r="V659">
        <v>2</v>
      </c>
      <c r="W659">
        <v>7</v>
      </c>
      <c r="X659">
        <v>12</v>
      </c>
      <c r="Y659">
        <v>219</v>
      </c>
      <c r="Z659">
        <v>3</v>
      </c>
      <c r="AA659">
        <v>6</v>
      </c>
      <c r="AC659">
        <v>0</v>
      </c>
      <c r="AD659">
        <v>0</v>
      </c>
      <c r="AE659">
        <v>0</v>
      </c>
      <c r="AF659">
        <v>0</v>
      </c>
      <c r="AG659">
        <v>1</v>
      </c>
      <c r="AH659">
        <v>2</v>
      </c>
      <c r="AI659">
        <v>0</v>
      </c>
      <c r="AJ659">
        <v>1</v>
      </c>
      <c r="AK659">
        <v>2</v>
      </c>
      <c r="AL659">
        <v>0</v>
      </c>
      <c r="AM659">
        <v>0</v>
      </c>
      <c r="AN659">
        <v>2</v>
      </c>
      <c r="AT659">
        <v>0</v>
      </c>
      <c r="AU659">
        <v>26</v>
      </c>
      <c r="AV659">
        <v>544</v>
      </c>
      <c r="AW659">
        <v>544</v>
      </c>
      <c r="AX659">
        <v>694</v>
      </c>
      <c r="BA659">
        <v>1</v>
      </c>
      <c r="BC659" t="s">
        <v>1409</v>
      </c>
      <c r="BD659" s="4">
        <v>43283.275694444441</v>
      </c>
      <c r="BE659" s="4">
        <v>43283.309571759259</v>
      </c>
      <c r="BF659" s="4">
        <v>43283.309571759259</v>
      </c>
      <c r="BG659" t="s">
        <v>83</v>
      </c>
      <c r="BH659" t="s">
        <v>84</v>
      </c>
      <c r="BI659" t="s">
        <v>85</v>
      </c>
    </row>
    <row r="660" spans="1:61" x14ac:dyDescent="0.3">
      <c r="A660" t="str">
        <f>"200244E0100"</f>
        <v>200244E0100</v>
      </c>
      <c r="B660" s="2" t="s">
        <v>1410</v>
      </c>
      <c r="C660">
        <v>20</v>
      </c>
      <c r="D660" t="s">
        <v>79</v>
      </c>
      <c r="E660">
        <v>4</v>
      </c>
      <c r="F660" t="s">
        <v>1317</v>
      </c>
      <c r="G660">
        <v>244</v>
      </c>
      <c r="H660">
        <v>1</v>
      </c>
      <c r="I660" t="s">
        <v>145</v>
      </c>
      <c r="J660">
        <v>0</v>
      </c>
      <c r="K660">
        <v>2</v>
      </c>
      <c r="L660">
        <v>2</v>
      </c>
      <c r="M660">
        <v>127</v>
      </c>
      <c r="N660">
        <v>255</v>
      </c>
      <c r="O660">
        <v>8</v>
      </c>
      <c r="P660">
        <v>220</v>
      </c>
      <c r="Q660">
        <v>3</v>
      </c>
      <c r="R660">
        <v>36</v>
      </c>
      <c r="S660">
        <v>51</v>
      </c>
      <c r="T660">
        <v>0</v>
      </c>
      <c r="U660">
        <v>8</v>
      </c>
      <c r="V660">
        <v>2</v>
      </c>
      <c r="W660">
        <v>26</v>
      </c>
      <c r="X660">
        <v>17</v>
      </c>
      <c r="Y660">
        <v>51</v>
      </c>
      <c r="Z660">
        <v>1</v>
      </c>
      <c r="AA660">
        <v>25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1</v>
      </c>
      <c r="AJ660">
        <v>0</v>
      </c>
      <c r="AK660">
        <v>1</v>
      </c>
      <c r="AL660">
        <v>0</v>
      </c>
      <c r="AM660">
        <v>0</v>
      </c>
      <c r="AN660">
        <v>0</v>
      </c>
      <c r="AT660" t="s">
        <v>100</v>
      </c>
      <c r="AU660">
        <v>35</v>
      </c>
      <c r="AV660" t="s">
        <v>100</v>
      </c>
      <c r="AW660">
        <v>257</v>
      </c>
      <c r="AX660">
        <v>361</v>
      </c>
      <c r="AZ660" t="s">
        <v>101</v>
      </c>
      <c r="BA660">
        <v>1</v>
      </c>
      <c r="BC660" t="s">
        <v>1411</v>
      </c>
      <c r="BD660" s="4">
        <v>43283.305555555555</v>
      </c>
      <c r="BE660" s="4">
        <v>43283.328761574077</v>
      </c>
      <c r="BF660" s="4">
        <v>43283.328761574077</v>
      </c>
      <c r="BG660" t="s">
        <v>83</v>
      </c>
      <c r="BH660" t="s">
        <v>84</v>
      </c>
      <c r="BI660" t="s">
        <v>548</v>
      </c>
    </row>
    <row r="661" spans="1:61" x14ac:dyDescent="0.3">
      <c r="A661" t="str">
        <f>"200245B0100"</f>
        <v>200245B0100</v>
      </c>
      <c r="B661" t="s">
        <v>1412</v>
      </c>
      <c r="C661">
        <v>20</v>
      </c>
      <c r="D661" t="s">
        <v>79</v>
      </c>
      <c r="E661">
        <v>4</v>
      </c>
      <c r="F661" t="s">
        <v>1317</v>
      </c>
      <c r="G661">
        <v>245</v>
      </c>
      <c r="H661">
        <v>1</v>
      </c>
      <c r="I661" t="s">
        <v>81</v>
      </c>
      <c r="J661">
        <v>0</v>
      </c>
      <c r="K661">
        <v>2</v>
      </c>
      <c r="L661">
        <v>2</v>
      </c>
      <c r="M661">
        <v>93</v>
      </c>
      <c r="N661">
        <v>253</v>
      </c>
      <c r="O661">
        <v>6</v>
      </c>
      <c r="P661">
        <v>263</v>
      </c>
      <c r="Q661">
        <v>1</v>
      </c>
      <c r="R661">
        <v>26</v>
      </c>
      <c r="S661">
        <v>34</v>
      </c>
      <c r="T661">
        <v>2</v>
      </c>
      <c r="U661">
        <v>4</v>
      </c>
      <c r="V661">
        <v>3</v>
      </c>
      <c r="W661" t="s">
        <v>100</v>
      </c>
      <c r="X661">
        <v>105</v>
      </c>
      <c r="Y661">
        <v>75</v>
      </c>
      <c r="Z661" t="s">
        <v>100</v>
      </c>
      <c r="AA661">
        <v>1</v>
      </c>
      <c r="AC661" t="s">
        <v>100</v>
      </c>
      <c r="AD661" t="s">
        <v>100</v>
      </c>
      <c r="AE661" t="s">
        <v>100</v>
      </c>
      <c r="AF661">
        <v>1</v>
      </c>
      <c r="AG661" t="s">
        <v>100</v>
      </c>
      <c r="AH661" t="s">
        <v>100</v>
      </c>
      <c r="AI661">
        <v>1</v>
      </c>
      <c r="AJ661" t="s">
        <v>100</v>
      </c>
      <c r="AK661">
        <v>1</v>
      </c>
      <c r="AL661" t="s">
        <v>100</v>
      </c>
      <c r="AM661" t="s">
        <v>100</v>
      </c>
      <c r="AN661" t="s">
        <v>100</v>
      </c>
      <c r="AT661" t="s">
        <v>100</v>
      </c>
      <c r="AU661">
        <v>9</v>
      </c>
      <c r="AV661">
        <v>263</v>
      </c>
      <c r="AW661">
        <v>263</v>
      </c>
      <c r="AX661">
        <v>334</v>
      </c>
      <c r="AZ661" t="s">
        <v>101</v>
      </c>
      <c r="BA661">
        <v>1</v>
      </c>
      <c r="BC661" t="s">
        <v>1413</v>
      </c>
      <c r="BD661" s="4">
        <v>43283.425000000003</v>
      </c>
      <c r="BE661" s="4">
        <v>43283.432384259257</v>
      </c>
      <c r="BF661" s="4">
        <v>43283.432384259257</v>
      </c>
      <c r="BG661" t="s">
        <v>83</v>
      </c>
      <c r="BH661" t="s">
        <v>84</v>
      </c>
      <c r="BI661" t="s">
        <v>85</v>
      </c>
    </row>
    <row r="662" spans="1:61" x14ac:dyDescent="0.3">
      <c r="A662" t="str">
        <f>"200246B0100"</f>
        <v>200246B0100</v>
      </c>
      <c r="B662" t="s">
        <v>1414</v>
      </c>
      <c r="C662">
        <v>20</v>
      </c>
      <c r="D662" t="s">
        <v>79</v>
      </c>
      <c r="E662">
        <v>4</v>
      </c>
      <c r="F662" t="s">
        <v>1317</v>
      </c>
      <c r="G662">
        <v>246</v>
      </c>
      <c r="H662">
        <v>1</v>
      </c>
      <c r="I662" t="s">
        <v>81</v>
      </c>
      <c r="J662">
        <v>0</v>
      </c>
      <c r="K662">
        <v>2</v>
      </c>
      <c r="L662">
        <v>2</v>
      </c>
      <c r="M662">
        <v>217</v>
      </c>
      <c r="N662" t="s">
        <v>100</v>
      </c>
      <c r="O662">
        <v>8</v>
      </c>
      <c r="P662">
        <v>551</v>
      </c>
      <c r="Q662">
        <v>9</v>
      </c>
      <c r="R662">
        <v>56</v>
      </c>
      <c r="S662">
        <v>29</v>
      </c>
      <c r="T662">
        <v>3</v>
      </c>
      <c r="U662">
        <v>8</v>
      </c>
      <c r="V662">
        <v>3</v>
      </c>
      <c r="W662">
        <v>12</v>
      </c>
      <c r="X662">
        <v>231</v>
      </c>
      <c r="Y662">
        <v>174</v>
      </c>
      <c r="Z662">
        <v>1</v>
      </c>
      <c r="AA662">
        <v>7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1</v>
      </c>
      <c r="AI662">
        <v>2</v>
      </c>
      <c r="AJ662">
        <v>1</v>
      </c>
      <c r="AK662">
        <v>0</v>
      </c>
      <c r="AL662">
        <v>0</v>
      </c>
      <c r="AM662">
        <v>0</v>
      </c>
      <c r="AN662">
        <v>0</v>
      </c>
      <c r="AT662">
        <v>0</v>
      </c>
      <c r="AU662">
        <v>14</v>
      </c>
      <c r="AV662">
        <v>251</v>
      </c>
      <c r="AW662">
        <v>551</v>
      </c>
      <c r="AX662">
        <v>746</v>
      </c>
      <c r="BA662">
        <v>1</v>
      </c>
      <c r="BC662" t="s">
        <v>1415</v>
      </c>
      <c r="BD662" s="4">
        <v>43283.479166666664</v>
      </c>
      <c r="BE662" s="4">
        <v>43283.485046296293</v>
      </c>
      <c r="BF662" s="4">
        <v>43283.485046296293</v>
      </c>
      <c r="BG662" t="s">
        <v>83</v>
      </c>
      <c r="BH662" t="s">
        <v>84</v>
      </c>
      <c r="BI662" t="s">
        <v>85</v>
      </c>
    </row>
    <row r="663" spans="1:61" x14ac:dyDescent="0.3">
      <c r="A663" t="str">
        <f>"200246E0100"</f>
        <v>200246E0100</v>
      </c>
      <c r="B663" s="2" t="s">
        <v>1416</v>
      </c>
      <c r="C663">
        <v>20</v>
      </c>
      <c r="D663" t="s">
        <v>79</v>
      </c>
      <c r="E663">
        <v>4</v>
      </c>
      <c r="F663" t="s">
        <v>1317</v>
      </c>
      <c r="G663">
        <v>246</v>
      </c>
      <c r="H663">
        <v>1</v>
      </c>
      <c r="I663" t="s">
        <v>145</v>
      </c>
      <c r="J663">
        <v>0</v>
      </c>
      <c r="K663">
        <v>2</v>
      </c>
      <c r="L663">
        <v>2</v>
      </c>
      <c r="M663">
        <v>73</v>
      </c>
      <c r="N663">
        <v>179</v>
      </c>
      <c r="O663">
        <v>7</v>
      </c>
      <c r="P663" t="s">
        <v>100</v>
      </c>
      <c r="Q663">
        <v>1</v>
      </c>
      <c r="R663">
        <v>88</v>
      </c>
      <c r="S663">
        <v>47</v>
      </c>
      <c r="T663">
        <v>0</v>
      </c>
      <c r="U663">
        <v>1</v>
      </c>
      <c r="V663">
        <v>0</v>
      </c>
      <c r="W663">
        <v>1</v>
      </c>
      <c r="X663">
        <v>8</v>
      </c>
      <c r="Y663">
        <v>21</v>
      </c>
      <c r="Z663">
        <v>1</v>
      </c>
      <c r="AA663">
        <v>2</v>
      </c>
      <c r="AC663">
        <v>0</v>
      </c>
      <c r="AD663">
        <v>1</v>
      </c>
      <c r="AE663">
        <v>0</v>
      </c>
      <c r="AF663">
        <v>0</v>
      </c>
      <c r="AG663">
        <v>0</v>
      </c>
      <c r="AH663">
        <v>0</v>
      </c>
      <c r="AI663">
        <v>2</v>
      </c>
      <c r="AJ663">
        <v>0</v>
      </c>
      <c r="AK663">
        <v>0</v>
      </c>
      <c r="AL663">
        <v>0</v>
      </c>
      <c r="AM663">
        <v>0</v>
      </c>
      <c r="AN663">
        <v>0</v>
      </c>
      <c r="AT663">
        <v>0</v>
      </c>
      <c r="AU663">
        <v>6</v>
      </c>
      <c r="AV663">
        <v>179</v>
      </c>
      <c r="AW663">
        <v>179</v>
      </c>
      <c r="AX663">
        <v>230</v>
      </c>
      <c r="BA663">
        <v>1</v>
      </c>
      <c r="BC663" t="s">
        <v>1417</v>
      </c>
      <c r="BD663" s="4">
        <v>43283.479166666664</v>
      </c>
      <c r="BE663" s="4">
        <v>43283.482465277775</v>
      </c>
      <c r="BF663" s="4">
        <v>43283.482465277775</v>
      </c>
      <c r="BG663" t="s">
        <v>83</v>
      </c>
      <c r="BH663" t="s">
        <v>84</v>
      </c>
      <c r="BI663" t="s">
        <v>85</v>
      </c>
    </row>
    <row r="664" spans="1:61" x14ac:dyDescent="0.3">
      <c r="A664" t="str">
        <f>"200247B0100"</f>
        <v>200247B0100</v>
      </c>
      <c r="B664" t="s">
        <v>1418</v>
      </c>
      <c r="C664">
        <v>20</v>
      </c>
      <c r="D664" t="s">
        <v>79</v>
      </c>
      <c r="E664">
        <v>4</v>
      </c>
      <c r="F664" t="s">
        <v>1317</v>
      </c>
      <c r="G664">
        <v>247</v>
      </c>
      <c r="H664">
        <v>1</v>
      </c>
      <c r="I664" t="s">
        <v>81</v>
      </c>
      <c r="J664">
        <v>0</v>
      </c>
      <c r="K664">
        <v>2</v>
      </c>
      <c r="L664">
        <v>2</v>
      </c>
      <c r="M664">
        <v>165</v>
      </c>
      <c r="N664">
        <v>551</v>
      </c>
      <c r="O664">
        <v>6</v>
      </c>
      <c r="P664">
        <v>551</v>
      </c>
      <c r="Q664">
        <v>2</v>
      </c>
      <c r="R664">
        <v>187</v>
      </c>
      <c r="S664">
        <v>158</v>
      </c>
      <c r="T664">
        <v>4</v>
      </c>
      <c r="U664">
        <v>6</v>
      </c>
      <c r="V664">
        <v>4</v>
      </c>
      <c r="W664">
        <v>7</v>
      </c>
      <c r="X664">
        <v>19</v>
      </c>
      <c r="Y664">
        <v>139</v>
      </c>
      <c r="Z664">
        <v>1</v>
      </c>
      <c r="AA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2</v>
      </c>
      <c r="AI664">
        <v>1</v>
      </c>
      <c r="AJ664">
        <v>0</v>
      </c>
      <c r="AK664">
        <v>0</v>
      </c>
      <c r="AL664">
        <v>1</v>
      </c>
      <c r="AM664">
        <v>0</v>
      </c>
      <c r="AN664">
        <v>1</v>
      </c>
      <c r="AT664">
        <v>0</v>
      </c>
      <c r="AU664">
        <v>19</v>
      </c>
      <c r="AV664">
        <v>551</v>
      </c>
      <c r="AW664">
        <v>551</v>
      </c>
      <c r="AX664">
        <v>694</v>
      </c>
      <c r="BA664">
        <v>1</v>
      </c>
      <c r="BC664" t="s">
        <v>1419</v>
      </c>
      <c r="BD664" s="4">
        <v>43283.295138888891</v>
      </c>
      <c r="BE664" s="4">
        <v>43283.322615740741</v>
      </c>
      <c r="BF664" s="4">
        <v>43283.322615740741</v>
      </c>
      <c r="BG664" t="s">
        <v>83</v>
      </c>
      <c r="BH664" t="s">
        <v>84</v>
      </c>
      <c r="BI664" t="s">
        <v>85</v>
      </c>
    </row>
    <row r="665" spans="1:61" x14ac:dyDescent="0.3">
      <c r="A665" t="str">
        <f>"200247E0100"</f>
        <v>200247E0100</v>
      </c>
      <c r="B665" s="2" t="s">
        <v>1420</v>
      </c>
      <c r="C665">
        <v>20</v>
      </c>
      <c r="D665" t="s">
        <v>79</v>
      </c>
      <c r="E665">
        <v>4</v>
      </c>
      <c r="F665" t="s">
        <v>1317</v>
      </c>
      <c r="G665">
        <v>247</v>
      </c>
      <c r="H665">
        <v>1</v>
      </c>
      <c r="I665" t="s">
        <v>145</v>
      </c>
      <c r="J665">
        <v>0</v>
      </c>
      <c r="K665">
        <v>2</v>
      </c>
      <c r="L665">
        <v>2</v>
      </c>
      <c r="M665">
        <v>172</v>
      </c>
      <c r="N665">
        <v>573</v>
      </c>
      <c r="O665">
        <v>2</v>
      </c>
      <c r="P665">
        <v>573</v>
      </c>
      <c r="Q665">
        <v>1</v>
      </c>
      <c r="R665">
        <v>83</v>
      </c>
      <c r="S665">
        <v>177</v>
      </c>
      <c r="T665">
        <v>3</v>
      </c>
      <c r="U665">
        <v>4</v>
      </c>
      <c r="V665">
        <v>2</v>
      </c>
      <c r="W665">
        <v>8</v>
      </c>
      <c r="X665">
        <v>99</v>
      </c>
      <c r="Y665">
        <v>174</v>
      </c>
      <c r="Z665">
        <v>3</v>
      </c>
      <c r="AA665">
        <v>1</v>
      </c>
      <c r="AC665" t="s">
        <v>100</v>
      </c>
      <c r="AD665" t="s">
        <v>100</v>
      </c>
      <c r="AE665" t="s">
        <v>100</v>
      </c>
      <c r="AF665" t="s">
        <v>100</v>
      </c>
      <c r="AG665" t="s">
        <v>100</v>
      </c>
      <c r="AH665">
        <v>1</v>
      </c>
      <c r="AI665" t="s">
        <v>100</v>
      </c>
      <c r="AJ665" t="s">
        <v>100</v>
      </c>
      <c r="AK665" t="s">
        <v>100</v>
      </c>
      <c r="AL665" t="s">
        <v>100</v>
      </c>
      <c r="AM665" t="s">
        <v>100</v>
      </c>
      <c r="AN665">
        <v>1</v>
      </c>
      <c r="AT665" t="s">
        <v>100</v>
      </c>
      <c r="AU665">
        <v>16</v>
      </c>
      <c r="AV665">
        <v>573</v>
      </c>
      <c r="AW665">
        <v>573</v>
      </c>
      <c r="AX665">
        <v>723</v>
      </c>
      <c r="AZ665" t="s">
        <v>101</v>
      </c>
      <c r="BA665">
        <v>1</v>
      </c>
      <c r="BC665" t="s">
        <v>1421</v>
      </c>
      <c r="BD665" s="4">
        <v>43283.29583333333</v>
      </c>
      <c r="BE665" s="4">
        <v>43283.324780092589</v>
      </c>
      <c r="BF665" s="4">
        <v>43283.324780092589</v>
      </c>
      <c r="BG665" t="s">
        <v>83</v>
      </c>
      <c r="BH665" t="s">
        <v>84</v>
      </c>
      <c r="BI665" t="s">
        <v>85</v>
      </c>
    </row>
    <row r="666" spans="1:61" x14ac:dyDescent="0.3">
      <c r="A666" t="str">
        <f>"200247E0200"</f>
        <v>200247E0200</v>
      </c>
      <c r="B666" s="2" t="s">
        <v>1422</v>
      </c>
      <c r="C666">
        <v>20</v>
      </c>
      <c r="D666" t="s">
        <v>79</v>
      </c>
      <c r="E666">
        <v>4</v>
      </c>
      <c r="F666" t="s">
        <v>1317</v>
      </c>
      <c r="G666">
        <v>247</v>
      </c>
      <c r="H666">
        <v>2</v>
      </c>
      <c r="I666" t="s">
        <v>145</v>
      </c>
      <c r="J666">
        <v>0</v>
      </c>
      <c r="K666">
        <v>2</v>
      </c>
      <c r="L666">
        <v>2</v>
      </c>
      <c r="M666">
        <v>155</v>
      </c>
      <c r="N666">
        <v>389</v>
      </c>
      <c r="O666">
        <v>5</v>
      </c>
      <c r="P666">
        <v>389</v>
      </c>
      <c r="Q666">
        <v>0</v>
      </c>
      <c r="R666">
        <v>81</v>
      </c>
      <c r="S666">
        <v>122</v>
      </c>
      <c r="T666">
        <v>1</v>
      </c>
      <c r="U666">
        <v>3</v>
      </c>
      <c r="V666">
        <v>4</v>
      </c>
      <c r="W666">
        <v>10</v>
      </c>
      <c r="X666">
        <v>36</v>
      </c>
      <c r="Y666">
        <v>110</v>
      </c>
      <c r="Z666">
        <v>1</v>
      </c>
      <c r="AA666">
        <v>1</v>
      </c>
      <c r="AC666">
        <v>1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1</v>
      </c>
      <c r="AM666">
        <v>0</v>
      </c>
      <c r="AN666">
        <v>0</v>
      </c>
      <c r="AT666">
        <v>0</v>
      </c>
      <c r="AU666">
        <v>18</v>
      </c>
      <c r="AV666">
        <v>389</v>
      </c>
      <c r="AW666">
        <v>389</v>
      </c>
      <c r="AX666">
        <v>522</v>
      </c>
      <c r="BA666">
        <v>1</v>
      </c>
      <c r="BC666" t="s">
        <v>1423</v>
      </c>
      <c r="BD666" s="4">
        <v>43283.29583333333</v>
      </c>
      <c r="BE666" s="4">
        <v>43283.323275462964</v>
      </c>
      <c r="BF666" s="4">
        <v>43283.323275462964</v>
      </c>
      <c r="BG666" t="s">
        <v>83</v>
      </c>
      <c r="BH666" t="s">
        <v>84</v>
      </c>
      <c r="BI666" t="s">
        <v>85</v>
      </c>
    </row>
    <row r="667" spans="1:61" x14ac:dyDescent="0.3">
      <c r="A667" t="str">
        <f>"200248B0100"</f>
        <v>200248B0100</v>
      </c>
      <c r="B667" t="s">
        <v>1424</v>
      </c>
      <c r="C667">
        <v>20</v>
      </c>
      <c r="D667" t="s">
        <v>79</v>
      </c>
      <c r="E667">
        <v>4</v>
      </c>
      <c r="F667" t="s">
        <v>1317</v>
      </c>
      <c r="G667">
        <v>248</v>
      </c>
      <c r="H667">
        <v>1</v>
      </c>
      <c r="I667" t="s">
        <v>81</v>
      </c>
      <c r="J667">
        <v>0</v>
      </c>
      <c r="K667">
        <v>2</v>
      </c>
      <c r="L667">
        <v>2</v>
      </c>
      <c r="AX667">
        <v>629</v>
      </c>
      <c r="AZ667" t="s">
        <v>156</v>
      </c>
      <c r="BA667">
        <v>0</v>
      </c>
      <c r="BC667" t="s">
        <v>1425</v>
      </c>
      <c r="BD667" s="4">
        <v>43283.631249999999</v>
      </c>
      <c r="BE667" s="4">
        <v>43283.645115740743</v>
      </c>
      <c r="BF667" s="4">
        <v>43283.645115740743</v>
      </c>
      <c r="BG667" t="s">
        <v>83</v>
      </c>
      <c r="BH667" t="s">
        <v>84</v>
      </c>
      <c r="BI667" t="s">
        <v>85</v>
      </c>
    </row>
    <row r="668" spans="1:61" x14ac:dyDescent="0.3">
      <c r="A668" t="str">
        <f>"200248C0100"</f>
        <v>200248C0100</v>
      </c>
      <c r="B668" t="s">
        <v>1426</v>
      </c>
      <c r="C668">
        <v>20</v>
      </c>
      <c r="D668" t="s">
        <v>79</v>
      </c>
      <c r="E668">
        <v>4</v>
      </c>
      <c r="F668" t="s">
        <v>1317</v>
      </c>
      <c r="G668">
        <v>248</v>
      </c>
      <c r="H668">
        <v>1</v>
      </c>
      <c r="I668" t="s">
        <v>89</v>
      </c>
      <c r="J668">
        <v>0</v>
      </c>
      <c r="K668">
        <v>2</v>
      </c>
      <c r="L668">
        <v>2</v>
      </c>
      <c r="AX668">
        <v>628</v>
      </c>
      <c r="AZ668" t="s">
        <v>156</v>
      </c>
      <c r="BA668">
        <v>0</v>
      </c>
      <c r="BC668" t="s">
        <v>1427</v>
      </c>
      <c r="BD668" s="4">
        <v>43283.631944444445</v>
      </c>
      <c r="BE668" s="4">
        <v>43283.634872685187</v>
      </c>
      <c r="BF668" s="4">
        <v>43283.634872685187</v>
      </c>
      <c r="BG668" t="s">
        <v>83</v>
      </c>
      <c r="BH668" t="s">
        <v>84</v>
      </c>
      <c r="BI668" t="s">
        <v>85</v>
      </c>
    </row>
    <row r="669" spans="1:61" x14ac:dyDescent="0.3">
      <c r="A669" t="str">
        <f>"200249B0100"</f>
        <v>200249B0100</v>
      </c>
      <c r="B669" t="s">
        <v>1428</v>
      </c>
      <c r="C669">
        <v>20</v>
      </c>
      <c r="D669" t="s">
        <v>79</v>
      </c>
      <c r="E669">
        <v>4</v>
      </c>
      <c r="F669" t="s">
        <v>1317</v>
      </c>
      <c r="G669">
        <v>249</v>
      </c>
      <c r="H669">
        <v>1</v>
      </c>
      <c r="I669" t="s">
        <v>81</v>
      </c>
      <c r="J669">
        <v>0</v>
      </c>
      <c r="K669">
        <v>2</v>
      </c>
      <c r="L669">
        <v>2</v>
      </c>
      <c r="M669">
        <v>120</v>
      </c>
      <c r="N669">
        <v>313</v>
      </c>
      <c r="O669">
        <v>2</v>
      </c>
      <c r="P669">
        <v>308</v>
      </c>
      <c r="Q669">
        <v>23</v>
      </c>
      <c r="R669">
        <v>58</v>
      </c>
      <c r="S669">
        <v>81</v>
      </c>
      <c r="T669">
        <v>2</v>
      </c>
      <c r="U669">
        <v>10</v>
      </c>
      <c r="V669">
        <v>0</v>
      </c>
      <c r="W669">
        <v>2</v>
      </c>
      <c r="X669">
        <v>22</v>
      </c>
      <c r="Y669">
        <v>82</v>
      </c>
      <c r="Z669">
        <v>0</v>
      </c>
      <c r="AA669">
        <v>8</v>
      </c>
      <c r="AC669">
        <v>0</v>
      </c>
      <c r="AD669">
        <v>2</v>
      </c>
      <c r="AE669">
        <v>0</v>
      </c>
      <c r="AF669">
        <v>1</v>
      </c>
      <c r="AG669">
        <v>1</v>
      </c>
      <c r="AH669">
        <v>2</v>
      </c>
      <c r="AI669">
        <v>0</v>
      </c>
      <c r="AJ669">
        <v>0</v>
      </c>
      <c r="AK669">
        <v>0</v>
      </c>
      <c r="AL669">
        <v>1</v>
      </c>
      <c r="AM669">
        <v>0</v>
      </c>
      <c r="AN669">
        <v>0</v>
      </c>
      <c r="AT669">
        <v>0</v>
      </c>
      <c r="AU669">
        <v>13</v>
      </c>
      <c r="AV669">
        <v>308</v>
      </c>
      <c r="AW669">
        <v>308</v>
      </c>
      <c r="AX669">
        <v>410</v>
      </c>
      <c r="BA669">
        <v>1</v>
      </c>
      <c r="BC669" t="s">
        <v>1429</v>
      </c>
      <c r="BD669" s="4">
        <v>43283.425000000003</v>
      </c>
      <c r="BE669" s="4">
        <v>43283.442465277774</v>
      </c>
      <c r="BF669" s="4">
        <v>43283.442465277774</v>
      </c>
      <c r="BG669" t="s">
        <v>83</v>
      </c>
      <c r="BH669" t="s">
        <v>84</v>
      </c>
      <c r="BI669" t="s">
        <v>85</v>
      </c>
    </row>
    <row r="670" spans="1:61" x14ac:dyDescent="0.3">
      <c r="A670" t="str">
        <f>"200249C0100"</f>
        <v>200249C0100</v>
      </c>
      <c r="B670" t="s">
        <v>1430</v>
      </c>
      <c r="C670">
        <v>20</v>
      </c>
      <c r="D670" t="s">
        <v>79</v>
      </c>
      <c r="E670">
        <v>4</v>
      </c>
      <c r="F670" t="s">
        <v>1317</v>
      </c>
      <c r="G670">
        <v>249</v>
      </c>
      <c r="H670">
        <v>1</v>
      </c>
      <c r="I670" t="s">
        <v>89</v>
      </c>
      <c r="J670">
        <v>0</v>
      </c>
      <c r="K670">
        <v>2</v>
      </c>
      <c r="L670">
        <v>2</v>
      </c>
      <c r="AX670">
        <v>409</v>
      </c>
      <c r="AZ670" t="s">
        <v>156</v>
      </c>
      <c r="BA670">
        <v>0</v>
      </c>
      <c r="BC670" t="s">
        <v>1431</v>
      </c>
      <c r="BD670" s="4">
        <v>43283.631249999999</v>
      </c>
      <c r="BE670" s="4">
        <v>43283.64502314815</v>
      </c>
      <c r="BF670" s="4">
        <v>43283.64502314815</v>
      </c>
      <c r="BG670" t="s">
        <v>83</v>
      </c>
      <c r="BH670" t="s">
        <v>84</v>
      </c>
      <c r="BI670" t="s">
        <v>85</v>
      </c>
    </row>
    <row r="671" spans="1:61" x14ac:dyDescent="0.3">
      <c r="A671" t="str">
        <f>"200250B0100"</f>
        <v>200250B0100</v>
      </c>
      <c r="B671" t="s">
        <v>1432</v>
      </c>
      <c r="C671">
        <v>20</v>
      </c>
      <c r="D671" t="s">
        <v>79</v>
      </c>
      <c r="E671">
        <v>4</v>
      </c>
      <c r="F671" t="s">
        <v>1317</v>
      </c>
      <c r="G671">
        <v>250</v>
      </c>
      <c r="H671">
        <v>1</v>
      </c>
      <c r="I671" t="s">
        <v>81</v>
      </c>
      <c r="J671">
        <v>0</v>
      </c>
      <c r="K671">
        <v>2</v>
      </c>
      <c r="L671">
        <v>2</v>
      </c>
      <c r="M671">
        <v>116</v>
      </c>
      <c r="N671">
        <v>261</v>
      </c>
      <c r="O671">
        <v>7</v>
      </c>
      <c r="P671">
        <v>261</v>
      </c>
      <c r="Q671">
        <v>1</v>
      </c>
      <c r="R671">
        <v>29</v>
      </c>
      <c r="S671">
        <v>89</v>
      </c>
      <c r="T671">
        <v>2</v>
      </c>
      <c r="U671">
        <v>6</v>
      </c>
      <c r="V671">
        <v>2</v>
      </c>
      <c r="W671">
        <v>1</v>
      </c>
      <c r="X671">
        <v>11</v>
      </c>
      <c r="Y671">
        <v>72</v>
      </c>
      <c r="Z671">
        <v>1</v>
      </c>
      <c r="AA671">
        <v>21</v>
      </c>
      <c r="AC671">
        <v>1</v>
      </c>
      <c r="AD671">
        <v>0</v>
      </c>
      <c r="AE671">
        <v>0</v>
      </c>
      <c r="AF671">
        <v>0</v>
      </c>
      <c r="AG671">
        <v>0</v>
      </c>
      <c r="AH671">
        <v>1</v>
      </c>
      <c r="AI671">
        <v>1</v>
      </c>
      <c r="AJ671">
        <v>0</v>
      </c>
      <c r="AK671">
        <v>0</v>
      </c>
      <c r="AL671">
        <v>1</v>
      </c>
      <c r="AM671">
        <v>0</v>
      </c>
      <c r="AN671">
        <v>0</v>
      </c>
      <c r="AT671">
        <v>1</v>
      </c>
      <c r="AU671">
        <v>21</v>
      </c>
      <c r="AV671">
        <v>261</v>
      </c>
      <c r="AW671">
        <v>261</v>
      </c>
      <c r="AX671">
        <v>355</v>
      </c>
      <c r="BA671">
        <v>1</v>
      </c>
      <c r="BC671" t="s">
        <v>1433</v>
      </c>
      <c r="BD671" s="4">
        <v>43283.34097222222</v>
      </c>
      <c r="BE671" s="4">
        <v>43283.365659722222</v>
      </c>
      <c r="BF671" s="4">
        <v>43283.365659722222</v>
      </c>
      <c r="BG671" t="s">
        <v>83</v>
      </c>
      <c r="BH671" t="s">
        <v>84</v>
      </c>
      <c r="BI671" t="s">
        <v>85</v>
      </c>
    </row>
    <row r="672" spans="1:61" x14ac:dyDescent="0.3">
      <c r="A672" t="str">
        <f>"200250E0100"</f>
        <v>200250E0100</v>
      </c>
      <c r="B672" s="2" t="s">
        <v>1434</v>
      </c>
      <c r="C672">
        <v>20</v>
      </c>
      <c r="D672" t="s">
        <v>79</v>
      </c>
      <c r="E672">
        <v>4</v>
      </c>
      <c r="F672" t="s">
        <v>1317</v>
      </c>
      <c r="G672">
        <v>250</v>
      </c>
      <c r="H672">
        <v>1</v>
      </c>
      <c r="I672" t="s">
        <v>145</v>
      </c>
      <c r="J672">
        <v>0</v>
      </c>
      <c r="K672">
        <v>2</v>
      </c>
      <c r="L672">
        <v>2</v>
      </c>
      <c r="M672" t="s">
        <v>100</v>
      </c>
      <c r="N672" t="s">
        <v>100</v>
      </c>
      <c r="O672">
        <v>1</v>
      </c>
      <c r="P672">
        <v>373</v>
      </c>
      <c r="Q672">
        <v>25</v>
      </c>
      <c r="R672">
        <v>35</v>
      </c>
      <c r="S672">
        <v>146</v>
      </c>
      <c r="T672">
        <v>1</v>
      </c>
      <c r="U672">
        <v>28</v>
      </c>
      <c r="V672" t="s">
        <v>315</v>
      </c>
      <c r="W672">
        <v>2</v>
      </c>
      <c r="X672" t="s">
        <v>315</v>
      </c>
      <c r="Y672">
        <v>123</v>
      </c>
      <c r="Z672">
        <v>1</v>
      </c>
      <c r="AA672">
        <v>2</v>
      </c>
      <c r="AC672">
        <v>0</v>
      </c>
      <c r="AD672">
        <v>1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1</v>
      </c>
      <c r="AK672">
        <v>0</v>
      </c>
      <c r="AL672">
        <v>0</v>
      </c>
      <c r="AM672">
        <v>0</v>
      </c>
      <c r="AN672">
        <v>0</v>
      </c>
      <c r="AT672">
        <v>0</v>
      </c>
      <c r="AU672">
        <v>14</v>
      </c>
      <c r="AV672">
        <v>389</v>
      </c>
      <c r="AW672">
        <v>379</v>
      </c>
      <c r="AX672">
        <v>533</v>
      </c>
      <c r="AZ672" t="s">
        <v>101</v>
      </c>
      <c r="BA672">
        <v>1</v>
      </c>
      <c r="BC672" t="s">
        <v>1435</v>
      </c>
      <c r="BD672" s="4">
        <v>43283.308333333334</v>
      </c>
      <c r="BE672" s="4">
        <v>43283.350254629629</v>
      </c>
      <c r="BF672" s="4">
        <v>43283.350254629629</v>
      </c>
      <c r="BG672" t="s">
        <v>83</v>
      </c>
      <c r="BH672" t="s">
        <v>84</v>
      </c>
      <c r="BI672" t="s">
        <v>548</v>
      </c>
    </row>
    <row r="673" spans="1:61" x14ac:dyDescent="0.3">
      <c r="A673" t="str">
        <f>"200250E0101"</f>
        <v>200250E0101</v>
      </c>
      <c r="B673" s="2" t="s">
        <v>1436</v>
      </c>
      <c r="C673">
        <v>20</v>
      </c>
      <c r="D673" t="s">
        <v>79</v>
      </c>
      <c r="E673">
        <v>4</v>
      </c>
      <c r="F673" t="s">
        <v>1317</v>
      </c>
      <c r="G673">
        <v>250</v>
      </c>
      <c r="H673">
        <v>1</v>
      </c>
      <c r="I673" t="s">
        <v>145</v>
      </c>
      <c r="J673">
        <v>1</v>
      </c>
      <c r="K673">
        <v>2</v>
      </c>
      <c r="L673">
        <v>2</v>
      </c>
      <c r="M673">
        <v>147</v>
      </c>
      <c r="N673">
        <v>408</v>
      </c>
      <c r="O673">
        <v>3</v>
      </c>
      <c r="P673" t="s">
        <v>100</v>
      </c>
      <c r="Q673">
        <v>32</v>
      </c>
      <c r="R673">
        <v>58</v>
      </c>
      <c r="S673">
        <v>152</v>
      </c>
      <c r="T673">
        <v>1</v>
      </c>
      <c r="U673">
        <v>12</v>
      </c>
      <c r="V673">
        <v>2</v>
      </c>
      <c r="W673">
        <v>4</v>
      </c>
      <c r="X673">
        <v>12</v>
      </c>
      <c r="Y673">
        <v>114</v>
      </c>
      <c r="Z673">
        <v>0</v>
      </c>
      <c r="AA673">
        <v>2</v>
      </c>
      <c r="AC673">
        <v>0</v>
      </c>
      <c r="AD673">
        <v>0</v>
      </c>
      <c r="AE673">
        <v>0</v>
      </c>
      <c r="AF673">
        <v>0</v>
      </c>
      <c r="AG673">
        <v>1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1</v>
      </c>
      <c r="AN673">
        <v>0</v>
      </c>
      <c r="AT673">
        <v>1</v>
      </c>
      <c r="AU673">
        <v>5</v>
      </c>
      <c r="AV673">
        <v>407</v>
      </c>
      <c r="AW673">
        <v>397</v>
      </c>
      <c r="AX673">
        <v>532</v>
      </c>
      <c r="BA673">
        <v>1</v>
      </c>
      <c r="BC673" t="s">
        <v>1437</v>
      </c>
      <c r="BD673" s="4">
        <v>43283.309027777781</v>
      </c>
      <c r="BE673" s="4">
        <v>43283.335474537038</v>
      </c>
      <c r="BF673" s="4">
        <v>43283.335474537038</v>
      </c>
      <c r="BG673" t="s">
        <v>83</v>
      </c>
      <c r="BH673" t="s">
        <v>84</v>
      </c>
      <c r="BI673" t="s">
        <v>548</v>
      </c>
    </row>
    <row r="674" spans="1:61" x14ac:dyDescent="0.3">
      <c r="A674" t="str">
        <f>"200251B0100"</f>
        <v>200251B0100</v>
      </c>
      <c r="B674" t="s">
        <v>1438</v>
      </c>
      <c r="C674">
        <v>20</v>
      </c>
      <c r="D674" t="s">
        <v>79</v>
      </c>
      <c r="E674">
        <v>4</v>
      </c>
      <c r="F674" t="s">
        <v>1317</v>
      </c>
      <c r="G674">
        <v>251</v>
      </c>
      <c r="H674">
        <v>1</v>
      </c>
      <c r="I674" t="s">
        <v>81</v>
      </c>
      <c r="J674">
        <v>0</v>
      </c>
      <c r="K674">
        <v>2</v>
      </c>
      <c r="L674">
        <v>2</v>
      </c>
      <c r="M674">
        <v>141</v>
      </c>
      <c r="N674">
        <v>492</v>
      </c>
      <c r="O674">
        <v>0</v>
      </c>
      <c r="P674">
        <v>492</v>
      </c>
      <c r="Q674">
        <v>1</v>
      </c>
      <c r="R674">
        <v>84</v>
      </c>
      <c r="S674">
        <v>123</v>
      </c>
      <c r="T674">
        <v>2</v>
      </c>
      <c r="U674">
        <v>8</v>
      </c>
      <c r="V674">
        <v>1</v>
      </c>
      <c r="W674">
        <v>14</v>
      </c>
      <c r="X674">
        <v>27</v>
      </c>
      <c r="Y674">
        <v>210</v>
      </c>
      <c r="Z674">
        <v>0</v>
      </c>
      <c r="AA674">
        <v>5</v>
      </c>
      <c r="AC674">
        <v>1</v>
      </c>
      <c r="AD674">
        <v>2</v>
      </c>
      <c r="AE674">
        <v>0</v>
      </c>
      <c r="AF674">
        <v>0</v>
      </c>
      <c r="AG674">
        <v>0</v>
      </c>
      <c r="AH674">
        <v>0</v>
      </c>
      <c r="AI674">
        <v>1</v>
      </c>
      <c r="AJ674">
        <v>0</v>
      </c>
      <c r="AK674">
        <v>0</v>
      </c>
      <c r="AL674">
        <v>2</v>
      </c>
      <c r="AM674">
        <v>0</v>
      </c>
      <c r="AN674">
        <v>0</v>
      </c>
      <c r="AT674">
        <v>0</v>
      </c>
      <c r="AU674">
        <v>11</v>
      </c>
      <c r="AV674">
        <v>492</v>
      </c>
      <c r="AW674">
        <v>492</v>
      </c>
      <c r="AX674">
        <v>611</v>
      </c>
      <c r="BA674">
        <v>1</v>
      </c>
      <c r="BC674" t="s">
        <v>1439</v>
      </c>
      <c r="BD674" s="4">
        <v>43283.295138888891</v>
      </c>
      <c r="BE674" s="4">
        <v>43283.323414351849</v>
      </c>
      <c r="BF674" s="4">
        <v>43283.323414351849</v>
      </c>
      <c r="BG674" t="s">
        <v>83</v>
      </c>
      <c r="BH674" t="s">
        <v>84</v>
      </c>
      <c r="BI674" t="s">
        <v>85</v>
      </c>
    </row>
    <row r="675" spans="1:61" x14ac:dyDescent="0.3">
      <c r="A675" t="str">
        <f>"200251C0100"</f>
        <v>200251C0100</v>
      </c>
      <c r="B675" t="s">
        <v>1440</v>
      </c>
      <c r="C675">
        <v>20</v>
      </c>
      <c r="D675" t="s">
        <v>79</v>
      </c>
      <c r="E675">
        <v>4</v>
      </c>
      <c r="F675" t="s">
        <v>1317</v>
      </c>
      <c r="G675">
        <v>251</v>
      </c>
      <c r="H675">
        <v>1</v>
      </c>
      <c r="I675" t="s">
        <v>89</v>
      </c>
      <c r="J675">
        <v>0</v>
      </c>
      <c r="K675">
        <v>2</v>
      </c>
      <c r="L675">
        <v>2</v>
      </c>
      <c r="M675">
        <v>135</v>
      </c>
      <c r="N675">
        <v>497</v>
      </c>
      <c r="O675">
        <v>0</v>
      </c>
      <c r="P675">
        <v>497</v>
      </c>
      <c r="Q675">
        <v>2</v>
      </c>
      <c r="R675">
        <v>67</v>
      </c>
      <c r="S675">
        <v>120</v>
      </c>
      <c r="T675">
        <v>2</v>
      </c>
      <c r="U675">
        <v>9</v>
      </c>
      <c r="V675">
        <v>3</v>
      </c>
      <c r="W675">
        <v>6</v>
      </c>
      <c r="X675">
        <v>22</v>
      </c>
      <c r="Y675">
        <v>226</v>
      </c>
      <c r="Z675">
        <v>2</v>
      </c>
      <c r="AA675">
        <v>4</v>
      </c>
      <c r="AC675">
        <v>3</v>
      </c>
      <c r="AD675">
        <v>1</v>
      </c>
      <c r="AE675">
        <v>0</v>
      </c>
      <c r="AF675">
        <v>0</v>
      </c>
      <c r="AG675">
        <v>0</v>
      </c>
      <c r="AH675">
        <v>0</v>
      </c>
      <c r="AI675">
        <v>2</v>
      </c>
      <c r="AJ675">
        <v>0</v>
      </c>
      <c r="AK675">
        <v>0</v>
      </c>
      <c r="AL675">
        <v>0</v>
      </c>
      <c r="AM675">
        <v>0</v>
      </c>
      <c r="AN675">
        <v>2</v>
      </c>
      <c r="AT675">
        <v>0</v>
      </c>
      <c r="AU675">
        <v>26</v>
      </c>
      <c r="AV675">
        <v>497</v>
      </c>
      <c r="AW675">
        <v>497</v>
      </c>
      <c r="AX675">
        <v>610</v>
      </c>
      <c r="BA675">
        <v>1</v>
      </c>
      <c r="BC675" t="s">
        <v>1441</v>
      </c>
      <c r="BD675" s="4">
        <v>43283.339583333334</v>
      </c>
      <c r="BE675" s="4">
        <v>43283.358807870369</v>
      </c>
      <c r="BF675" s="4">
        <v>43283.358807870369</v>
      </c>
      <c r="BG675" t="s">
        <v>83</v>
      </c>
      <c r="BH675" t="s">
        <v>84</v>
      </c>
      <c r="BI675" t="s">
        <v>85</v>
      </c>
    </row>
    <row r="676" spans="1:61" x14ac:dyDescent="0.3">
      <c r="A676" t="str">
        <f>"200252B0100"</f>
        <v>200252B0100</v>
      </c>
      <c r="B676" t="s">
        <v>1442</v>
      </c>
      <c r="C676">
        <v>20</v>
      </c>
      <c r="D676" t="s">
        <v>79</v>
      </c>
      <c r="E676">
        <v>4</v>
      </c>
      <c r="F676" t="s">
        <v>1317</v>
      </c>
      <c r="G676">
        <v>252</v>
      </c>
      <c r="H676">
        <v>1</v>
      </c>
      <c r="I676" t="s">
        <v>81</v>
      </c>
      <c r="J676">
        <v>0</v>
      </c>
      <c r="K676">
        <v>2</v>
      </c>
      <c r="L676">
        <v>2</v>
      </c>
      <c r="M676">
        <v>130</v>
      </c>
      <c r="N676">
        <v>440</v>
      </c>
      <c r="O676">
        <v>4</v>
      </c>
      <c r="P676">
        <v>440</v>
      </c>
      <c r="Q676">
        <v>2</v>
      </c>
      <c r="R676">
        <v>53</v>
      </c>
      <c r="S676">
        <v>71</v>
      </c>
      <c r="T676">
        <v>1</v>
      </c>
      <c r="U676">
        <v>30</v>
      </c>
      <c r="V676">
        <v>2</v>
      </c>
      <c r="W676">
        <v>10</v>
      </c>
      <c r="X676">
        <v>70</v>
      </c>
      <c r="Y676">
        <v>153</v>
      </c>
      <c r="Z676">
        <v>0</v>
      </c>
      <c r="AA676">
        <v>7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1</v>
      </c>
      <c r="AJ676">
        <v>0</v>
      </c>
      <c r="AK676">
        <v>0</v>
      </c>
      <c r="AL676">
        <v>1</v>
      </c>
      <c r="AM676">
        <v>0</v>
      </c>
      <c r="AN676">
        <v>0</v>
      </c>
      <c r="AT676">
        <v>0</v>
      </c>
      <c r="AU676">
        <v>31</v>
      </c>
      <c r="AV676">
        <v>440</v>
      </c>
      <c r="AW676">
        <v>432</v>
      </c>
      <c r="AX676">
        <v>548</v>
      </c>
      <c r="BA676">
        <v>1</v>
      </c>
      <c r="BC676" t="s">
        <v>1443</v>
      </c>
      <c r="BD676" s="4">
        <v>43283.568055555559</v>
      </c>
      <c r="BE676" s="4">
        <v>43283.575821759259</v>
      </c>
      <c r="BF676" s="4">
        <v>43283.575821759259</v>
      </c>
      <c r="BG676" t="s">
        <v>83</v>
      </c>
      <c r="BH676" t="s">
        <v>84</v>
      </c>
      <c r="BI676" t="s">
        <v>85</v>
      </c>
    </row>
    <row r="677" spans="1:61" x14ac:dyDescent="0.3">
      <c r="A677" t="str">
        <f>"200252C0100"</f>
        <v>200252C0100</v>
      </c>
      <c r="B677" t="s">
        <v>1444</v>
      </c>
      <c r="C677">
        <v>20</v>
      </c>
      <c r="D677" t="s">
        <v>79</v>
      </c>
      <c r="E677">
        <v>4</v>
      </c>
      <c r="F677" t="s">
        <v>1317</v>
      </c>
      <c r="G677">
        <v>252</v>
      </c>
      <c r="H677">
        <v>1</v>
      </c>
      <c r="I677" t="s">
        <v>89</v>
      </c>
      <c r="J677">
        <v>0</v>
      </c>
      <c r="K677">
        <v>2</v>
      </c>
      <c r="L677">
        <v>2</v>
      </c>
      <c r="M677">
        <v>137</v>
      </c>
      <c r="N677">
        <v>429</v>
      </c>
      <c r="O677">
        <v>5</v>
      </c>
      <c r="P677">
        <v>429</v>
      </c>
      <c r="Q677">
        <v>4</v>
      </c>
      <c r="R677">
        <v>86</v>
      </c>
      <c r="S677">
        <v>92</v>
      </c>
      <c r="T677">
        <v>2</v>
      </c>
      <c r="U677">
        <v>22</v>
      </c>
      <c r="V677">
        <v>0</v>
      </c>
      <c r="W677">
        <v>13</v>
      </c>
      <c r="X677">
        <v>60</v>
      </c>
      <c r="Y677">
        <v>108</v>
      </c>
      <c r="Z677">
        <v>0</v>
      </c>
      <c r="AA677">
        <v>9</v>
      </c>
      <c r="AC677">
        <v>1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1</v>
      </c>
      <c r="AJ677">
        <v>0</v>
      </c>
      <c r="AK677">
        <v>0</v>
      </c>
      <c r="AL677">
        <v>0</v>
      </c>
      <c r="AM677">
        <v>0</v>
      </c>
      <c r="AN677">
        <v>0</v>
      </c>
      <c r="AT677">
        <v>0</v>
      </c>
      <c r="AU677">
        <v>31</v>
      </c>
      <c r="AV677">
        <v>429</v>
      </c>
      <c r="AW677">
        <v>429</v>
      </c>
      <c r="AX677">
        <v>547</v>
      </c>
      <c r="BA677">
        <v>1</v>
      </c>
      <c r="BC677" t="s">
        <v>1445</v>
      </c>
      <c r="BD677" s="4">
        <v>43283.561805555553</v>
      </c>
      <c r="BE677" s="4">
        <v>43283.56832175926</v>
      </c>
      <c r="BF677" s="4">
        <v>43283.56832175926</v>
      </c>
      <c r="BG677" t="s">
        <v>83</v>
      </c>
      <c r="BH677" t="s">
        <v>84</v>
      </c>
      <c r="BI677" t="s">
        <v>1331</v>
      </c>
    </row>
    <row r="678" spans="1:61" x14ac:dyDescent="0.3">
      <c r="A678" t="str">
        <f>"200253B0100"</f>
        <v>200253B0100</v>
      </c>
      <c r="B678" t="s">
        <v>1446</v>
      </c>
      <c r="C678">
        <v>20</v>
      </c>
      <c r="D678" t="s">
        <v>79</v>
      </c>
      <c r="E678">
        <v>4</v>
      </c>
      <c r="F678" t="s">
        <v>1317</v>
      </c>
      <c r="G678">
        <v>253</v>
      </c>
      <c r="H678">
        <v>1</v>
      </c>
      <c r="I678" t="s">
        <v>81</v>
      </c>
      <c r="J678">
        <v>0</v>
      </c>
      <c r="K678">
        <v>2</v>
      </c>
      <c r="L678">
        <v>2</v>
      </c>
      <c r="M678">
        <v>133</v>
      </c>
      <c r="N678">
        <v>387</v>
      </c>
      <c r="O678">
        <v>5</v>
      </c>
      <c r="P678">
        <v>387</v>
      </c>
      <c r="Q678">
        <v>4</v>
      </c>
      <c r="R678">
        <v>80</v>
      </c>
      <c r="S678">
        <v>65</v>
      </c>
      <c r="T678">
        <v>2</v>
      </c>
      <c r="U678">
        <v>2</v>
      </c>
      <c r="V678">
        <v>2</v>
      </c>
      <c r="W678">
        <v>3</v>
      </c>
      <c r="X678">
        <v>117</v>
      </c>
      <c r="Y678">
        <v>101</v>
      </c>
      <c r="Z678">
        <v>1</v>
      </c>
      <c r="AA678">
        <v>7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1</v>
      </c>
      <c r="AJ678">
        <v>0</v>
      </c>
      <c r="AK678">
        <v>0</v>
      </c>
      <c r="AL678">
        <v>0</v>
      </c>
      <c r="AM678">
        <v>0</v>
      </c>
      <c r="AN678">
        <v>0</v>
      </c>
      <c r="AT678">
        <v>0</v>
      </c>
      <c r="AU678">
        <v>12</v>
      </c>
      <c r="AV678">
        <v>397</v>
      </c>
      <c r="AW678">
        <v>397</v>
      </c>
      <c r="AX678">
        <v>508</v>
      </c>
      <c r="BA678">
        <v>1</v>
      </c>
      <c r="BC678" t="s">
        <v>1447</v>
      </c>
      <c r="BD678" s="4">
        <v>43283.568749999999</v>
      </c>
      <c r="BE678" s="4">
        <v>43283.575821759259</v>
      </c>
      <c r="BF678" s="4">
        <v>43283.575821759259</v>
      </c>
      <c r="BG678" t="s">
        <v>83</v>
      </c>
      <c r="BH678" t="s">
        <v>84</v>
      </c>
      <c r="BI678" t="s">
        <v>85</v>
      </c>
    </row>
    <row r="679" spans="1:61" x14ac:dyDescent="0.3">
      <c r="A679" t="str">
        <f>"200253C0100"</f>
        <v>200253C0100</v>
      </c>
      <c r="B679" t="s">
        <v>1448</v>
      </c>
      <c r="C679">
        <v>20</v>
      </c>
      <c r="D679" t="s">
        <v>79</v>
      </c>
      <c r="E679">
        <v>4</v>
      </c>
      <c r="F679" t="s">
        <v>1317</v>
      </c>
      <c r="G679">
        <v>253</v>
      </c>
      <c r="H679">
        <v>1</v>
      </c>
      <c r="I679" t="s">
        <v>89</v>
      </c>
      <c r="J679">
        <v>0</v>
      </c>
      <c r="K679">
        <v>2</v>
      </c>
      <c r="L679">
        <v>2</v>
      </c>
      <c r="M679">
        <v>114</v>
      </c>
      <c r="N679">
        <v>416</v>
      </c>
      <c r="O679">
        <v>3</v>
      </c>
      <c r="P679">
        <v>416</v>
      </c>
      <c r="Q679">
        <v>4</v>
      </c>
      <c r="R679">
        <v>98</v>
      </c>
      <c r="S679">
        <v>57</v>
      </c>
      <c r="T679">
        <v>2</v>
      </c>
      <c r="U679">
        <v>3</v>
      </c>
      <c r="V679">
        <v>2</v>
      </c>
      <c r="W679">
        <v>8</v>
      </c>
      <c r="X679">
        <v>132</v>
      </c>
      <c r="Y679">
        <v>86</v>
      </c>
      <c r="Z679">
        <v>1</v>
      </c>
      <c r="AA679">
        <v>7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T679">
        <v>0</v>
      </c>
      <c r="AU679">
        <v>16</v>
      </c>
      <c r="AV679">
        <v>416</v>
      </c>
      <c r="AW679">
        <v>416</v>
      </c>
      <c r="AX679">
        <v>508</v>
      </c>
      <c r="BA679">
        <v>1</v>
      </c>
      <c r="BC679" t="s">
        <v>1449</v>
      </c>
      <c r="BD679" s="4">
        <v>43283.570138888892</v>
      </c>
      <c r="BE679" s="4">
        <v>43283.576226851852</v>
      </c>
      <c r="BF679" s="4">
        <v>43283.576226851852</v>
      </c>
      <c r="BG679" t="s">
        <v>83</v>
      </c>
      <c r="BH679" t="s">
        <v>84</v>
      </c>
      <c r="BI679" t="s">
        <v>85</v>
      </c>
    </row>
    <row r="680" spans="1:61" x14ac:dyDescent="0.3">
      <c r="A680" t="str">
        <f>"200254B0100"</f>
        <v>200254B0100</v>
      </c>
      <c r="B680" t="s">
        <v>1450</v>
      </c>
      <c r="C680">
        <v>20</v>
      </c>
      <c r="D680" t="s">
        <v>79</v>
      </c>
      <c r="E680">
        <v>4</v>
      </c>
      <c r="F680" t="s">
        <v>1317</v>
      </c>
      <c r="G680">
        <v>254</v>
      </c>
      <c r="H680">
        <v>1</v>
      </c>
      <c r="I680" t="s">
        <v>81</v>
      </c>
      <c r="J680">
        <v>0</v>
      </c>
      <c r="K680">
        <v>2</v>
      </c>
      <c r="L680">
        <v>2</v>
      </c>
      <c r="M680">
        <v>127</v>
      </c>
      <c r="N680" t="s">
        <v>100</v>
      </c>
      <c r="O680">
        <v>1</v>
      </c>
      <c r="P680" t="s">
        <v>100</v>
      </c>
      <c r="Q680">
        <v>4</v>
      </c>
      <c r="R680">
        <v>58</v>
      </c>
      <c r="S680">
        <v>80</v>
      </c>
      <c r="T680" t="s">
        <v>100</v>
      </c>
      <c r="U680">
        <v>12</v>
      </c>
      <c r="V680">
        <v>3</v>
      </c>
      <c r="W680">
        <v>20</v>
      </c>
      <c r="X680">
        <v>21</v>
      </c>
      <c r="Y680">
        <v>187</v>
      </c>
      <c r="Z680">
        <v>4</v>
      </c>
      <c r="AA680">
        <v>15</v>
      </c>
      <c r="AC680" t="s">
        <v>100</v>
      </c>
      <c r="AD680" t="s">
        <v>100</v>
      </c>
      <c r="AE680" t="s">
        <v>100</v>
      </c>
      <c r="AF680" t="s">
        <v>100</v>
      </c>
      <c r="AG680" t="s">
        <v>100</v>
      </c>
      <c r="AH680">
        <v>2</v>
      </c>
      <c r="AI680" t="s">
        <v>100</v>
      </c>
      <c r="AJ680" t="s">
        <v>100</v>
      </c>
      <c r="AK680" t="s">
        <v>100</v>
      </c>
      <c r="AL680" t="s">
        <v>100</v>
      </c>
      <c r="AM680" t="s">
        <v>100</v>
      </c>
      <c r="AN680">
        <v>1</v>
      </c>
      <c r="AT680" t="s">
        <v>100</v>
      </c>
      <c r="AU680">
        <v>20</v>
      </c>
      <c r="AV680">
        <v>427</v>
      </c>
      <c r="AW680">
        <v>427</v>
      </c>
      <c r="AX680">
        <v>532</v>
      </c>
      <c r="AZ680" t="s">
        <v>101</v>
      </c>
      <c r="BA680">
        <v>1</v>
      </c>
      <c r="BC680" t="s">
        <v>1451</v>
      </c>
      <c r="BD680" s="4">
        <v>43283.588194444441</v>
      </c>
      <c r="BE680" s="4">
        <v>43283.675879629627</v>
      </c>
      <c r="BF680" s="4">
        <v>43283.675879629627</v>
      </c>
      <c r="BG680" t="s">
        <v>83</v>
      </c>
      <c r="BH680" t="s">
        <v>84</v>
      </c>
      <c r="BI680" t="s">
        <v>85</v>
      </c>
    </row>
    <row r="681" spans="1:61" x14ac:dyDescent="0.3">
      <c r="A681" t="str">
        <f>"200422B0100"</f>
        <v>200422B0100</v>
      </c>
      <c r="B681" t="s">
        <v>1452</v>
      </c>
      <c r="C681">
        <v>20</v>
      </c>
      <c r="D681" t="s">
        <v>79</v>
      </c>
      <c r="E681">
        <v>4</v>
      </c>
      <c r="F681" t="s">
        <v>1317</v>
      </c>
      <c r="G681">
        <v>422</v>
      </c>
      <c r="H681">
        <v>1</v>
      </c>
      <c r="I681" t="s">
        <v>81</v>
      </c>
      <c r="J681">
        <v>0</v>
      </c>
      <c r="K681">
        <v>2</v>
      </c>
      <c r="L681">
        <v>2</v>
      </c>
      <c r="M681">
        <v>199</v>
      </c>
      <c r="N681">
        <v>524</v>
      </c>
      <c r="O681">
        <v>325</v>
      </c>
      <c r="P681">
        <v>325</v>
      </c>
      <c r="Q681">
        <v>7</v>
      </c>
      <c r="R681">
        <v>53</v>
      </c>
      <c r="S681">
        <v>14</v>
      </c>
      <c r="T681">
        <v>3</v>
      </c>
      <c r="U681">
        <v>23</v>
      </c>
      <c r="V681">
        <v>5</v>
      </c>
      <c r="W681">
        <v>5</v>
      </c>
      <c r="X681">
        <v>16</v>
      </c>
      <c r="Y681">
        <v>153</v>
      </c>
      <c r="Z681">
        <v>3</v>
      </c>
      <c r="AA681">
        <v>2</v>
      </c>
      <c r="AC681">
        <v>0</v>
      </c>
      <c r="AD681">
        <v>0</v>
      </c>
      <c r="AE681">
        <v>0</v>
      </c>
      <c r="AF681">
        <v>0</v>
      </c>
      <c r="AG681">
        <v>3</v>
      </c>
      <c r="AH681">
        <v>2</v>
      </c>
      <c r="AI681">
        <v>0</v>
      </c>
      <c r="AJ681">
        <v>0</v>
      </c>
      <c r="AK681">
        <v>5</v>
      </c>
      <c r="AL681">
        <v>3</v>
      </c>
      <c r="AM681">
        <v>0</v>
      </c>
      <c r="AN681">
        <v>2</v>
      </c>
      <c r="AT681">
        <v>0</v>
      </c>
      <c r="AU681">
        <v>26</v>
      </c>
      <c r="AV681">
        <v>325</v>
      </c>
      <c r="AW681">
        <v>325</v>
      </c>
      <c r="AX681">
        <v>503</v>
      </c>
      <c r="BA681">
        <v>1</v>
      </c>
      <c r="BC681" t="s">
        <v>1453</v>
      </c>
      <c r="BD681" s="4">
        <v>43283.222222222219</v>
      </c>
      <c r="BE681" s="4">
        <v>43283.245104166665</v>
      </c>
      <c r="BF681" s="4">
        <v>43283.245104166665</v>
      </c>
      <c r="BG681" t="s">
        <v>83</v>
      </c>
      <c r="BH681" t="s">
        <v>84</v>
      </c>
      <c r="BI681" t="s">
        <v>548</v>
      </c>
    </row>
    <row r="682" spans="1:61" x14ac:dyDescent="0.3">
      <c r="A682" t="str">
        <f>"200422C0100"</f>
        <v>200422C0100</v>
      </c>
      <c r="B682" t="s">
        <v>1454</v>
      </c>
      <c r="C682">
        <v>20</v>
      </c>
      <c r="D682" t="s">
        <v>79</v>
      </c>
      <c r="E682">
        <v>4</v>
      </c>
      <c r="F682" t="s">
        <v>1317</v>
      </c>
      <c r="G682">
        <v>422</v>
      </c>
      <c r="H682">
        <v>1</v>
      </c>
      <c r="I682" t="s">
        <v>89</v>
      </c>
      <c r="J682">
        <v>0</v>
      </c>
      <c r="K682">
        <v>2</v>
      </c>
      <c r="L682">
        <v>2</v>
      </c>
      <c r="M682">
        <v>189</v>
      </c>
      <c r="N682">
        <v>525</v>
      </c>
      <c r="O682">
        <v>0</v>
      </c>
      <c r="P682">
        <v>335</v>
      </c>
      <c r="Q682">
        <v>5</v>
      </c>
      <c r="R682">
        <v>77</v>
      </c>
      <c r="S682">
        <v>23</v>
      </c>
      <c r="T682">
        <v>2</v>
      </c>
      <c r="U682">
        <v>42</v>
      </c>
      <c r="V682">
        <v>11</v>
      </c>
      <c r="W682">
        <v>8</v>
      </c>
      <c r="X682">
        <v>9</v>
      </c>
      <c r="Y682">
        <v>111</v>
      </c>
      <c r="Z682">
        <v>3</v>
      </c>
      <c r="AA682">
        <v>1</v>
      </c>
      <c r="AC682">
        <v>0</v>
      </c>
      <c r="AD682">
        <v>0</v>
      </c>
      <c r="AE682">
        <v>0</v>
      </c>
      <c r="AF682">
        <v>1</v>
      </c>
      <c r="AG682">
        <v>0</v>
      </c>
      <c r="AH682">
        <v>0</v>
      </c>
      <c r="AI682">
        <v>0</v>
      </c>
      <c r="AJ682">
        <v>0</v>
      </c>
      <c r="AK682">
        <v>6</v>
      </c>
      <c r="AL682">
        <v>1</v>
      </c>
      <c r="AM682">
        <v>2</v>
      </c>
      <c r="AN682">
        <v>0</v>
      </c>
      <c r="AT682">
        <v>0</v>
      </c>
      <c r="AU682">
        <v>33</v>
      </c>
      <c r="AV682">
        <v>335</v>
      </c>
      <c r="AW682">
        <v>335</v>
      </c>
      <c r="AX682">
        <v>503</v>
      </c>
      <c r="BA682">
        <v>1</v>
      </c>
      <c r="BC682" t="s">
        <v>1455</v>
      </c>
      <c r="BD682" s="4">
        <v>43283.224305555559</v>
      </c>
      <c r="BE682" s="4">
        <v>43283.248472222222</v>
      </c>
      <c r="BF682" s="4">
        <v>43283.248472222222</v>
      </c>
      <c r="BG682" t="s">
        <v>83</v>
      </c>
      <c r="BH682" t="s">
        <v>84</v>
      </c>
      <c r="BI682" t="s">
        <v>1331</v>
      </c>
    </row>
    <row r="683" spans="1:61" x14ac:dyDescent="0.3">
      <c r="A683" t="str">
        <f>"200422C0200"</f>
        <v>200422C0200</v>
      </c>
      <c r="B683" t="s">
        <v>1456</v>
      </c>
      <c r="C683">
        <v>20</v>
      </c>
      <c r="D683" t="s">
        <v>79</v>
      </c>
      <c r="E683">
        <v>4</v>
      </c>
      <c r="F683" t="s">
        <v>1317</v>
      </c>
      <c r="G683">
        <v>422</v>
      </c>
      <c r="H683">
        <v>2</v>
      </c>
      <c r="I683" t="s">
        <v>89</v>
      </c>
      <c r="J683">
        <v>0</v>
      </c>
      <c r="K683">
        <v>2</v>
      </c>
      <c r="L683">
        <v>2</v>
      </c>
      <c r="M683">
        <v>218</v>
      </c>
      <c r="N683">
        <v>306</v>
      </c>
      <c r="O683">
        <v>1</v>
      </c>
      <c r="P683">
        <v>306</v>
      </c>
      <c r="Q683">
        <v>6</v>
      </c>
      <c r="R683">
        <v>51</v>
      </c>
      <c r="S683">
        <v>10</v>
      </c>
      <c r="T683">
        <v>1</v>
      </c>
      <c r="U683">
        <v>39</v>
      </c>
      <c r="V683">
        <v>6</v>
      </c>
      <c r="W683">
        <v>7</v>
      </c>
      <c r="X683">
        <v>12</v>
      </c>
      <c r="Y683">
        <v>128</v>
      </c>
      <c r="Z683">
        <v>6</v>
      </c>
      <c r="AA683">
        <v>0</v>
      </c>
      <c r="AC683">
        <v>0</v>
      </c>
      <c r="AD683">
        <v>2</v>
      </c>
      <c r="AE683">
        <v>0</v>
      </c>
      <c r="AF683">
        <v>0</v>
      </c>
      <c r="AG683">
        <v>2</v>
      </c>
      <c r="AH683">
        <v>0</v>
      </c>
      <c r="AI683">
        <v>0</v>
      </c>
      <c r="AJ683">
        <v>0</v>
      </c>
      <c r="AK683">
        <v>6</v>
      </c>
      <c r="AL683">
        <v>2</v>
      </c>
      <c r="AM683">
        <v>0</v>
      </c>
      <c r="AN683">
        <v>2</v>
      </c>
      <c r="AT683">
        <v>0</v>
      </c>
      <c r="AU683">
        <v>26</v>
      </c>
      <c r="AV683">
        <v>306</v>
      </c>
      <c r="AW683">
        <v>306</v>
      </c>
      <c r="AX683">
        <v>502</v>
      </c>
      <c r="BA683">
        <v>1</v>
      </c>
      <c r="BC683" t="s">
        <v>1457</v>
      </c>
      <c r="BD683" s="4">
        <v>43283.238194444442</v>
      </c>
      <c r="BE683" s="4">
        <v>43283.272048611114</v>
      </c>
      <c r="BF683" s="4">
        <v>43283.272048611114</v>
      </c>
      <c r="BG683" t="s">
        <v>83</v>
      </c>
      <c r="BH683" t="s">
        <v>84</v>
      </c>
      <c r="BI683" t="s">
        <v>85</v>
      </c>
    </row>
    <row r="684" spans="1:61" x14ac:dyDescent="0.3">
      <c r="A684" t="str">
        <f>"200422E0100"</f>
        <v>200422E0100</v>
      </c>
      <c r="B684" s="2" t="s">
        <v>1458</v>
      </c>
      <c r="C684">
        <v>20</v>
      </c>
      <c r="D684" t="s">
        <v>79</v>
      </c>
      <c r="E684">
        <v>4</v>
      </c>
      <c r="F684" t="s">
        <v>1317</v>
      </c>
      <c r="G684">
        <v>422</v>
      </c>
      <c r="H684">
        <v>1</v>
      </c>
      <c r="I684" t="s">
        <v>145</v>
      </c>
      <c r="J684">
        <v>0</v>
      </c>
      <c r="K684">
        <v>2</v>
      </c>
      <c r="L684">
        <v>2</v>
      </c>
      <c r="M684">
        <v>198</v>
      </c>
      <c r="N684">
        <v>295</v>
      </c>
      <c r="O684">
        <v>1</v>
      </c>
      <c r="P684">
        <v>295</v>
      </c>
      <c r="Q684">
        <v>2</v>
      </c>
      <c r="R684">
        <v>45</v>
      </c>
      <c r="S684">
        <v>17</v>
      </c>
      <c r="T684">
        <v>9</v>
      </c>
      <c r="U684">
        <v>61</v>
      </c>
      <c r="V684">
        <v>2</v>
      </c>
      <c r="W684">
        <v>3</v>
      </c>
      <c r="X684">
        <v>28</v>
      </c>
      <c r="Y684">
        <v>74</v>
      </c>
      <c r="Z684">
        <v>3</v>
      </c>
      <c r="AA684">
        <v>0</v>
      </c>
      <c r="AC684">
        <v>0</v>
      </c>
      <c r="AD684">
        <v>0</v>
      </c>
      <c r="AE684">
        <v>0</v>
      </c>
      <c r="AF684">
        <v>1</v>
      </c>
      <c r="AG684">
        <v>5</v>
      </c>
      <c r="AH684">
        <v>0</v>
      </c>
      <c r="AI684">
        <v>1</v>
      </c>
      <c r="AJ684">
        <v>0</v>
      </c>
      <c r="AK684">
        <v>2</v>
      </c>
      <c r="AL684">
        <v>1</v>
      </c>
      <c r="AM684">
        <v>0</v>
      </c>
      <c r="AN684">
        <v>1</v>
      </c>
      <c r="AT684">
        <v>0</v>
      </c>
      <c r="AU684">
        <v>40</v>
      </c>
      <c r="AV684">
        <v>295</v>
      </c>
      <c r="AW684">
        <v>295</v>
      </c>
      <c r="AX684">
        <v>471</v>
      </c>
      <c r="BA684">
        <v>1</v>
      </c>
      <c r="BC684" t="s">
        <v>1459</v>
      </c>
      <c r="BD684" s="4">
        <v>43283.236805555556</v>
      </c>
      <c r="BE684" s="4">
        <v>43283.260289351849</v>
      </c>
      <c r="BF684" s="4">
        <v>43283.260289351849</v>
      </c>
      <c r="BG684" t="s">
        <v>83</v>
      </c>
      <c r="BH684" t="s">
        <v>84</v>
      </c>
      <c r="BI684" t="s">
        <v>548</v>
      </c>
    </row>
    <row r="685" spans="1:61" x14ac:dyDescent="0.3">
      <c r="A685" t="str">
        <f>"200423B0100"</f>
        <v>200423B0100</v>
      </c>
      <c r="B685" t="s">
        <v>1460</v>
      </c>
      <c r="C685">
        <v>20</v>
      </c>
      <c r="D685" t="s">
        <v>79</v>
      </c>
      <c r="E685">
        <v>4</v>
      </c>
      <c r="F685" t="s">
        <v>1317</v>
      </c>
      <c r="G685">
        <v>423</v>
      </c>
      <c r="H685">
        <v>1</v>
      </c>
      <c r="I685" t="s">
        <v>81</v>
      </c>
      <c r="J685">
        <v>0</v>
      </c>
      <c r="K685">
        <v>2</v>
      </c>
      <c r="L685">
        <v>2</v>
      </c>
      <c r="M685">
        <v>201</v>
      </c>
      <c r="N685">
        <v>270</v>
      </c>
      <c r="O685">
        <v>4</v>
      </c>
      <c r="P685">
        <v>270</v>
      </c>
      <c r="Q685">
        <v>9</v>
      </c>
      <c r="R685">
        <v>49</v>
      </c>
      <c r="S685">
        <v>18</v>
      </c>
      <c r="T685">
        <v>3</v>
      </c>
      <c r="U685">
        <v>27</v>
      </c>
      <c r="V685">
        <v>4</v>
      </c>
      <c r="W685">
        <v>3</v>
      </c>
      <c r="X685">
        <v>3</v>
      </c>
      <c r="Y685">
        <v>120</v>
      </c>
      <c r="Z685">
        <v>2</v>
      </c>
      <c r="AA685">
        <v>1</v>
      </c>
      <c r="AC685">
        <v>0</v>
      </c>
      <c r="AD685">
        <v>1</v>
      </c>
      <c r="AE685">
        <v>0</v>
      </c>
      <c r="AF685">
        <v>0</v>
      </c>
      <c r="AG685">
        <v>1</v>
      </c>
      <c r="AH685">
        <v>1</v>
      </c>
      <c r="AI685">
        <v>1</v>
      </c>
      <c r="AJ685">
        <v>0</v>
      </c>
      <c r="AK685">
        <v>5</v>
      </c>
      <c r="AL685">
        <v>1</v>
      </c>
      <c r="AM685">
        <v>0</v>
      </c>
      <c r="AN685">
        <v>0</v>
      </c>
      <c r="AT685">
        <v>0</v>
      </c>
      <c r="AU685">
        <v>22</v>
      </c>
      <c r="AV685">
        <v>270</v>
      </c>
      <c r="AW685">
        <v>271</v>
      </c>
      <c r="AX685">
        <v>449</v>
      </c>
      <c r="BA685">
        <v>1</v>
      </c>
      <c r="BC685" t="s">
        <v>1461</v>
      </c>
      <c r="BD685" s="4">
        <v>43283.207638888889</v>
      </c>
      <c r="BE685" s="4">
        <v>43283.229826388888</v>
      </c>
      <c r="BF685" s="4">
        <v>43283.229826388888</v>
      </c>
      <c r="BG685" t="s">
        <v>83</v>
      </c>
      <c r="BH685" t="s">
        <v>84</v>
      </c>
      <c r="BI685" t="s">
        <v>85</v>
      </c>
    </row>
    <row r="686" spans="1:61" x14ac:dyDescent="0.3">
      <c r="A686" t="str">
        <f>"200424B0100"</f>
        <v>200424B0100</v>
      </c>
      <c r="B686" t="s">
        <v>1462</v>
      </c>
      <c r="C686">
        <v>20</v>
      </c>
      <c r="D686" t="s">
        <v>79</v>
      </c>
      <c r="E686">
        <v>4</v>
      </c>
      <c r="F686" t="s">
        <v>1317</v>
      </c>
      <c r="G686">
        <v>424</v>
      </c>
      <c r="H686">
        <v>1</v>
      </c>
      <c r="I686" t="s">
        <v>81</v>
      </c>
      <c r="J686">
        <v>0</v>
      </c>
      <c r="K686">
        <v>2</v>
      </c>
      <c r="L686">
        <v>2</v>
      </c>
      <c r="M686">
        <v>137</v>
      </c>
      <c r="N686">
        <v>285</v>
      </c>
      <c r="O686">
        <v>0</v>
      </c>
      <c r="P686">
        <v>285</v>
      </c>
      <c r="Q686">
        <v>12</v>
      </c>
      <c r="R686">
        <v>116</v>
      </c>
      <c r="S686">
        <v>10</v>
      </c>
      <c r="T686">
        <v>2</v>
      </c>
      <c r="U686">
        <v>14</v>
      </c>
      <c r="V686">
        <v>2</v>
      </c>
      <c r="W686">
        <v>3</v>
      </c>
      <c r="X686">
        <v>7</v>
      </c>
      <c r="Y686">
        <v>69</v>
      </c>
      <c r="Z686">
        <v>6</v>
      </c>
      <c r="AA686">
        <v>5</v>
      </c>
      <c r="AC686">
        <v>0</v>
      </c>
      <c r="AD686">
        <v>0</v>
      </c>
      <c r="AE686">
        <v>0</v>
      </c>
      <c r="AF686">
        <v>0</v>
      </c>
      <c r="AG686">
        <v>2</v>
      </c>
      <c r="AH686">
        <v>5</v>
      </c>
      <c r="AI686">
        <v>0</v>
      </c>
      <c r="AJ686">
        <v>1</v>
      </c>
      <c r="AK686">
        <v>3</v>
      </c>
      <c r="AL686">
        <v>1</v>
      </c>
      <c r="AM686">
        <v>0</v>
      </c>
      <c r="AN686">
        <v>0</v>
      </c>
      <c r="AT686">
        <v>0</v>
      </c>
      <c r="AU686">
        <v>27</v>
      </c>
      <c r="AV686">
        <v>287</v>
      </c>
      <c r="AW686">
        <v>285</v>
      </c>
      <c r="AX686">
        <v>400</v>
      </c>
      <c r="BA686">
        <v>1</v>
      </c>
      <c r="BC686" t="s">
        <v>1463</v>
      </c>
      <c r="BD686" s="4">
        <v>43283.34097222222</v>
      </c>
      <c r="BE686" s="4">
        <v>43283.356516203705</v>
      </c>
      <c r="BF686" s="4">
        <v>43283.356516203705</v>
      </c>
      <c r="BG686" t="s">
        <v>83</v>
      </c>
      <c r="BH686" t="s">
        <v>84</v>
      </c>
      <c r="BI686" t="s">
        <v>85</v>
      </c>
    </row>
    <row r="687" spans="1:61" x14ac:dyDescent="0.3">
      <c r="A687" t="str">
        <f>"200424E0100"</f>
        <v>200424E0100</v>
      </c>
      <c r="B687" s="2" t="s">
        <v>1464</v>
      </c>
      <c r="C687">
        <v>20</v>
      </c>
      <c r="D687" t="s">
        <v>79</v>
      </c>
      <c r="E687">
        <v>4</v>
      </c>
      <c r="F687" t="s">
        <v>1317</v>
      </c>
      <c r="G687">
        <v>424</v>
      </c>
      <c r="H687">
        <v>1</v>
      </c>
      <c r="I687" t="s">
        <v>145</v>
      </c>
      <c r="J687">
        <v>0</v>
      </c>
      <c r="K687">
        <v>2</v>
      </c>
      <c r="L687">
        <v>2</v>
      </c>
      <c r="M687">
        <v>99</v>
      </c>
      <c r="N687">
        <v>164</v>
      </c>
      <c r="O687">
        <v>0</v>
      </c>
      <c r="P687">
        <v>0</v>
      </c>
      <c r="Q687">
        <v>4</v>
      </c>
      <c r="R687">
        <v>26</v>
      </c>
      <c r="S687">
        <v>5</v>
      </c>
      <c r="T687">
        <v>3</v>
      </c>
      <c r="U687">
        <v>7</v>
      </c>
      <c r="V687">
        <v>1</v>
      </c>
      <c r="W687">
        <v>1</v>
      </c>
      <c r="X687">
        <v>5</v>
      </c>
      <c r="Y687">
        <v>57</v>
      </c>
      <c r="Z687">
        <v>4</v>
      </c>
      <c r="AA687">
        <v>33</v>
      </c>
      <c r="AC687">
        <v>0</v>
      </c>
      <c r="AD687">
        <v>0</v>
      </c>
      <c r="AE687">
        <v>0</v>
      </c>
      <c r="AF687">
        <v>0</v>
      </c>
      <c r="AG687">
        <v>1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T687">
        <v>0</v>
      </c>
      <c r="AU687">
        <v>18</v>
      </c>
      <c r="AV687">
        <v>165</v>
      </c>
      <c r="AW687">
        <v>165</v>
      </c>
      <c r="AX687">
        <v>242</v>
      </c>
      <c r="BA687">
        <v>1</v>
      </c>
      <c r="BC687" t="s">
        <v>1465</v>
      </c>
      <c r="BD687" s="4">
        <v>43283.34097222222</v>
      </c>
      <c r="BE687" s="4">
        <v>43283.355787037035</v>
      </c>
      <c r="BF687" s="4">
        <v>43283.355787037035</v>
      </c>
      <c r="BG687" t="s">
        <v>83</v>
      </c>
      <c r="BH687" t="s">
        <v>84</v>
      </c>
      <c r="BI687" t="s">
        <v>85</v>
      </c>
    </row>
    <row r="688" spans="1:61" x14ac:dyDescent="0.3">
      <c r="A688" t="str">
        <f>"200425B0100"</f>
        <v>200425B0100</v>
      </c>
      <c r="B688" t="s">
        <v>1466</v>
      </c>
      <c r="C688">
        <v>20</v>
      </c>
      <c r="D688" t="s">
        <v>79</v>
      </c>
      <c r="E688">
        <v>4</v>
      </c>
      <c r="F688" t="s">
        <v>1317</v>
      </c>
      <c r="G688">
        <v>425</v>
      </c>
      <c r="H688">
        <v>1</v>
      </c>
      <c r="I688" t="s">
        <v>81</v>
      </c>
      <c r="J688">
        <v>0</v>
      </c>
      <c r="K688">
        <v>2</v>
      </c>
      <c r="L688">
        <v>2</v>
      </c>
      <c r="M688">
        <v>244</v>
      </c>
      <c r="N688">
        <v>472</v>
      </c>
      <c r="O688">
        <v>0</v>
      </c>
      <c r="P688">
        <v>228</v>
      </c>
      <c r="Q688">
        <v>8</v>
      </c>
      <c r="R688">
        <v>38</v>
      </c>
      <c r="S688">
        <v>9</v>
      </c>
      <c r="T688">
        <v>2</v>
      </c>
      <c r="U688">
        <v>10</v>
      </c>
      <c r="V688">
        <v>2</v>
      </c>
      <c r="W688">
        <v>18</v>
      </c>
      <c r="X688">
        <v>10</v>
      </c>
      <c r="Y688">
        <v>88</v>
      </c>
      <c r="Z688">
        <v>7</v>
      </c>
      <c r="AA688">
        <v>3</v>
      </c>
      <c r="AC688">
        <v>0</v>
      </c>
      <c r="AD688">
        <v>0</v>
      </c>
      <c r="AE688">
        <v>0</v>
      </c>
      <c r="AF688">
        <v>0</v>
      </c>
      <c r="AG688">
        <v>1</v>
      </c>
      <c r="AH688">
        <v>1</v>
      </c>
      <c r="AI688">
        <v>4</v>
      </c>
      <c r="AJ688">
        <v>0</v>
      </c>
      <c r="AK688">
        <v>0</v>
      </c>
      <c r="AL688">
        <v>2</v>
      </c>
      <c r="AM688">
        <v>0</v>
      </c>
      <c r="AN688">
        <v>1</v>
      </c>
      <c r="AT688">
        <v>0</v>
      </c>
      <c r="AU688">
        <v>24</v>
      </c>
      <c r="AV688">
        <v>228</v>
      </c>
      <c r="AW688">
        <v>228</v>
      </c>
      <c r="AX688">
        <v>450</v>
      </c>
      <c r="BA688">
        <v>1</v>
      </c>
      <c r="BC688" t="s">
        <v>1467</v>
      </c>
      <c r="BD688" s="4">
        <v>43283.320138888892</v>
      </c>
      <c r="BE688" s="4">
        <v>43283.343101851853</v>
      </c>
      <c r="BF688" s="4">
        <v>43283.343101851853</v>
      </c>
      <c r="BG688" t="s">
        <v>83</v>
      </c>
      <c r="BH688" t="s">
        <v>84</v>
      </c>
      <c r="BI688" t="s">
        <v>85</v>
      </c>
    </row>
    <row r="689" spans="1:61" x14ac:dyDescent="0.3">
      <c r="A689" t="str">
        <f>"200425C0100"</f>
        <v>200425C0100</v>
      </c>
      <c r="B689" t="s">
        <v>1468</v>
      </c>
      <c r="C689">
        <v>20</v>
      </c>
      <c r="D689" t="s">
        <v>79</v>
      </c>
      <c r="E689">
        <v>4</v>
      </c>
      <c r="F689" t="s">
        <v>1317</v>
      </c>
      <c r="G689">
        <v>425</v>
      </c>
      <c r="H689">
        <v>1</v>
      </c>
      <c r="I689" t="s">
        <v>89</v>
      </c>
      <c r="J689">
        <v>0</v>
      </c>
      <c r="K689">
        <v>2</v>
      </c>
      <c r="L689">
        <v>2</v>
      </c>
      <c r="M689">
        <v>263</v>
      </c>
      <c r="N689">
        <v>492</v>
      </c>
      <c r="O689">
        <v>2</v>
      </c>
      <c r="P689" t="s">
        <v>100</v>
      </c>
      <c r="Q689">
        <v>6</v>
      </c>
      <c r="R689">
        <v>28</v>
      </c>
      <c r="S689">
        <v>4</v>
      </c>
      <c r="T689">
        <v>2</v>
      </c>
      <c r="U689">
        <v>12</v>
      </c>
      <c r="V689">
        <v>4</v>
      </c>
      <c r="W689">
        <v>16</v>
      </c>
      <c r="X689">
        <v>7</v>
      </c>
      <c r="Y689">
        <v>112</v>
      </c>
      <c r="Z689">
        <v>5</v>
      </c>
      <c r="AA689">
        <v>1</v>
      </c>
      <c r="AC689">
        <v>0</v>
      </c>
      <c r="AD689">
        <v>0</v>
      </c>
      <c r="AE689">
        <v>0</v>
      </c>
      <c r="AF689">
        <v>0</v>
      </c>
      <c r="AG689">
        <v>1</v>
      </c>
      <c r="AH689">
        <v>0</v>
      </c>
      <c r="AI689">
        <v>3</v>
      </c>
      <c r="AJ689">
        <v>1</v>
      </c>
      <c r="AK689">
        <v>3</v>
      </c>
      <c r="AL689">
        <v>2</v>
      </c>
      <c r="AM689">
        <v>0</v>
      </c>
      <c r="AN689">
        <v>1</v>
      </c>
      <c r="AT689">
        <v>0</v>
      </c>
      <c r="AU689">
        <v>22</v>
      </c>
      <c r="AV689">
        <v>230</v>
      </c>
      <c r="AW689">
        <v>230</v>
      </c>
      <c r="AX689">
        <v>450</v>
      </c>
      <c r="BA689">
        <v>1</v>
      </c>
      <c r="BC689" t="s">
        <v>1469</v>
      </c>
      <c r="BD689" s="4">
        <v>43283.321527777778</v>
      </c>
      <c r="BE689" s="4">
        <v>43283.342372685183</v>
      </c>
      <c r="BF689" s="4">
        <v>43283.342372685183</v>
      </c>
      <c r="BG689" t="s">
        <v>83</v>
      </c>
      <c r="BH689" t="s">
        <v>84</v>
      </c>
      <c r="BI689" t="s">
        <v>548</v>
      </c>
    </row>
    <row r="690" spans="1:61" x14ac:dyDescent="0.3">
      <c r="A690" t="str">
        <f>"200426B0100"</f>
        <v>200426B0100</v>
      </c>
      <c r="B690" t="s">
        <v>1470</v>
      </c>
      <c r="C690">
        <v>20</v>
      </c>
      <c r="D690" t="s">
        <v>79</v>
      </c>
      <c r="E690">
        <v>4</v>
      </c>
      <c r="F690" t="s">
        <v>1317</v>
      </c>
      <c r="G690">
        <v>426</v>
      </c>
      <c r="H690">
        <v>1</v>
      </c>
      <c r="I690" t="s">
        <v>81</v>
      </c>
      <c r="J690">
        <v>0</v>
      </c>
      <c r="K690">
        <v>2</v>
      </c>
      <c r="L690">
        <v>2</v>
      </c>
      <c r="M690">
        <v>185</v>
      </c>
      <c r="N690" t="s">
        <v>100</v>
      </c>
      <c r="O690" t="s">
        <v>100</v>
      </c>
      <c r="P690" t="s">
        <v>100</v>
      </c>
      <c r="Q690">
        <v>9</v>
      </c>
      <c r="R690">
        <v>46</v>
      </c>
      <c r="S690">
        <v>27</v>
      </c>
      <c r="T690">
        <v>2</v>
      </c>
      <c r="U690">
        <v>41</v>
      </c>
      <c r="V690">
        <v>3</v>
      </c>
      <c r="W690">
        <v>4</v>
      </c>
      <c r="X690">
        <v>13</v>
      </c>
      <c r="Y690">
        <v>125</v>
      </c>
      <c r="Z690">
        <v>2</v>
      </c>
      <c r="AA690">
        <v>1</v>
      </c>
      <c r="AC690">
        <v>0</v>
      </c>
      <c r="AD690">
        <v>1</v>
      </c>
      <c r="AE690">
        <v>0</v>
      </c>
      <c r="AF690">
        <v>0</v>
      </c>
      <c r="AG690">
        <v>0</v>
      </c>
      <c r="AH690">
        <v>3</v>
      </c>
      <c r="AI690">
        <v>1</v>
      </c>
      <c r="AJ690">
        <v>0</v>
      </c>
      <c r="AK690">
        <v>2</v>
      </c>
      <c r="AL690">
        <v>3</v>
      </c>
      <c r="AM690">
        <v>0</v>
      </c>
      <c r="AN690">
        <v>3</v>
      </c>
      <c r="AT690" t="s">
        <v>100</v>
      </c>
      <c r="AU690">
        <v>40</v>
      </c>
      <c r="AV690">
        <v>327</v>
      </c>
      <c r="AW690">
        <v>326</v>
      </c>
      <c r="AX690">
        <v>489</v>
      </c>
      <c r="AZ690" t="s">
        <v>101</v>
      </c>
      <c r="BA690">
        <v>1</v>
      </c>
      <c r="BC690" t="s">
        <v>1471</v>
      </c>
      <c r="BD690" s="4">
        <v>43283.254166666666</v>
      </c>
      <c r="BE690" s="4">
        <v>43283.293171296296</v>
      </c>
      <c r="BF690" s="4">
        <v>43283.293171296296</v>
      </c>
      <c r="BG690" t="s">
        <v>83</v>
      </c>
      <c r="BH690" t="s">
        <v>84</v>
      </c>
      <c r="BI690" t="s">
        <v>85</v>
      </c>
    </row>
    <row r="691" spans="1:61" x14ac:dyDescent="0.3">
      <c r="A691" t="str">
        <f>"200426C0100"</f>
        <v>200426C0100</v>
      </c>
      <c r="B691" t="s">
        <v>1472</v>
      </c>
      <c r="C691">
        <v>20</v>
      </c>
      <c r="D691" t="s">
        <v>79</v>
      </c>
      <c r="E691">
        <v>4</v>
      </c>
      <c r="F691" t="s">
        <v>1317</v>
      </c>
      <c r="G691">
        <v>426</v>
      </c>
      <c r="H691">
        <v>1</v>
      </c>
      <c r="I691" t="s">
        <v>89</v>
      </c>
      <c r="J691">
        <v>0</v>
      </c>
      <c r="K691">
        <v>2</v>
      </c>
      <c r="L691">
        <v>2</v>
      </c>
      <c r="M691">
        <v>210</v>
      </c>
      <c r="N691">
        <v>3</v>
      </c>
      <c r="O691">
        <v>3</v>
      </c>
      <c r="P691" t="s">
        <v>100</v>
      </c>
      <c r="Q691">
        <v>4</v>
      </c>
      <c r="R691">
        <v>47</v>
      </c>
      <c r="S691">
        <v>21</v>
      </c>
      <c r="T691">
        <v>5</v>
      </c>
      <c r="U691">
        <v>28</v>
      </c>
      <c r="V691">
        <v>7</v>
      </c>
      <c r="W691">
        <v>3</v>
      </c>
      <c r="X691">
        <v>13</v>
      </c>
      <c r="Y691">
        <v>122</v>
      </c>
      <c r="Z691">
        <v>6</v>
      </c>
      <c r="AA691">
        <v>1</v>
      </c>
      <c r="AC691" t="s">
        <v>100</v>
      </c>
      <c r="AD691" t="s">
        <v>100</v>
      </c>
      <c r="AE691" t="s">
        <v>100</v>
      </c>
      <c r="AF691" t="s">
        <v>100</v>
      </c>
      <c r="AG691">
        <v>2</v>
      </c>
      <c r="AH691">
        <v>1</v>
      </c>
      <c r="AI691">
        <v>1</v>
      </c>
      <c r="AJ691" t="s">
        <v>100</v>
      </c>
      <c r="AK691">
        <v>1</v>
      </c>
      <c r="AL691">
        <v>0</v>
      </c>
      <c r="AM691" t="s">
        <v>100</v>
      </c>
      <c r="AN691">
        <v>2</v>
      </c>
      <c r="AT691" t="s">
        <v>100</v>
      </c>
      <c r="AU691">
        <v>37</v>
      </c>
      <c r="AV691">
        <v>301</v>
      </c>
      <c r="AW691">
        <v>301</v>
      </c>
      <c r="AX691">
        <v>489</v>
      </c>
      <c r="AZ691" t="s">
        <v>101</v>
      </c>
      <c r="BA691">
        <v>1</v>
      </c>
      <c r="BC691" t="s">
        <v>1473</v>
      </c>
      <c r="BD691" s="4">
        <v>43283.254166666666</v>
      </c>
      <c r="BE691" s="4">
        <v>43283.281539351854</v>
      </c>
      <c r="BF691" s="4">
        <v>43283.281539351854</v>
      </c>
      <c r="BG691" t="s">
        <v>83</v>
      </c>
      <c r="BH691" t="s">
        <v>84</v>
      </c>
      <c r="BI691" t="s">
        <v>85</v>
      </c>
    </row>
    <row r="692" spans="1:61" x14ac:dyDescent="0.3">
      <c r="A692" t="str">
        <f>"200426E0100"</f>
        <v>200426E0100</v>
      </c>
      <c r="B692" s="2" t="s">
        <v>1474</v>
      </c>
      <c r="C692">
        <v>20</v>
      </c>
      <c r="D692" t="s">
        <v>79</v>
      </c>
      <c r="E692">
        <v>4</v>
      </c>
      <c r="F692" t="s">
        <v>1317</v>
      </c>
      <c r="G692">
        <v>426</v>
      </c>
      <c r="H692">
        <v>1</v>
      </c>
      <c r="I692" t="s">
        <v>145</v>
      </c>
      <c r="J692">
        <v>0</v>
      </c>
      <c r="K692">
        <v>2</v>
      </c>
      <c r="L692">
        <v>2</v>
      </c>
      <c r="M692">
        <v>144</v>
      </c>
      <c r="N692">
        <v>300</v>
      </c>
      <c r="O692">
        <v>0</v>
      </c>
      <c r="P692" t="s">
        <v>315</v>
      </c>
      <c r="Q692">
        <v>4</v>
      </c>
      <c r="R692">
        <v>34</v>
      </c>
      <c r="S692">
        <v>20</v>
      </c>
      <c r="T692">
        <v>4</v>
      </c>
      <c r="U692">
        <v>9</v>
      </c>
      <c r="V692">
        <v>2</v>
      </c>
      <c r="W692">
        <v>2</v>
      </c>
      <c r="X692">
        <v>1</v>
      </c>
      <c r="Y692">
        <v>63</v>
      </c>
      <c r="Z692">
        <v>2</v>
      </c>
      <c r="AA692">
        <v>0</v>
      </c>
      <c r="AC692">
        <v>2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T692">
        <v>0</v>
      </c>
      <c r="AU692">
        <v>13</v>
      </c>
      <c r="AV692">
        <v>156</v>
      </c>
      <c r="AW692">
        <v>156</v>
      </c>
      <c r="AX692">
        <v>278</v>
      </c>
      <c r="BA692">
        <v>1</v>
      </c>
      <c r="BC692" t="s">
        <v>1475</v>
      </c>
      <c r="BD692" s="4">
        <v>43283.306250000001</v>
      </c>
      <c r="BE692" s="4">
        <v>43283.330231481479</v>
      </c>
      <c r="BF692" s="4">
        <v>43283.330231481479</v>
      </c>
      <c r="BG692" t="s">
        <v>83</v>
      </c>
      <c r="BH692" t="s">
        <v>84</v>
      </c>
      <c r="BI692" t="s">
        <v>548</v>
      </c>
    </row>
    <row r="693" spans="1:61" x14ac:dyDescent="0.3">
      <c r="A693" t="str">
        <f>"200427B0100"</f>
        <v>200427B0100</v>
      </c>
      <c r="B693" t="s">
        <v>1476</v>
      </c>
      <c r="C693">
        <v>20</v>
      </c>
      <c r="D693" t="s">
        <v>79</v>
      </c>
      <c r="E693">
        <v>4</v>
      </c>
      <c r="F693" t="s">
        <v>1317</v>
      </c>
      <c r="G693">
        <v>427</v>
      </c>
      <c r="H693">
        <v>1</v>
      </c>
      <c r="I693" t="s">
        <v>81</v>
      </c>
      <c r="J693">
        <v>0</v>
      </c>
      <c r="K693">
        <v>2</v>
      </c>
      <c r="L693">
        <v>2</v>
      </c>
      <c r="M693">
        <v>143</v>
      </c>
      <c r="N693">
        <v>184</v>
      </c>
      <c r="O693">
        <v>0</v>
      </c>
      <c r="P693">
        <v>184</v>
      </c>
      <c r="Q693">
        <v>7</v>
      </c>
      <c r="R693">
        <v>52</v>
      </c>
      <c r="S693">
        <v>7</v>
      </c>
      <c r="T693">
        <v>0</v>
      </c>
      <c r="U693">
        <v>18</v>
      </c>
      <c r="V693">
        <v>8</v>
      </c>
      <c r="W693">
        <v>2</v>
      </c>
      <c r="X693">
        <v>6</v>
      </c>
      <c r="Y693">
        <v>62</v>
      </c>
      <c r="Z693">
        <v>3</v>
      </c>
      <c r="AA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2</v>
      </c>
      <c r="AI693">
        <v>1</v>
      </c>
      <c r="AJ693">
        <v>2</v>
      </c>
      <c r="AK693">
        <v>1</v>
      </c>
      <c r="AL693">
        <v>3</v>
      </c>
      <c r="AM693">
        <v>0</v>
      </c>
      <c r="AN693">
        <v>1</v>
      </c>
      <c r="AT693">
        <v>0</v>
      </c>
      <c r="AU693">
        <v>9</v>
      </c>
      <c r="AV693">
        <v>184</v>
      </c>
      <c r="AW693">
        <v>184</v>
      </c>
      <c r="AX693">
        <v>305</v>
      </c>
      <c r="BA693">
        <v>1</v>
      </c>
      <c r="BC693" t="s">
        <v>1477</v>
      </c>
      <c r="BD693" s="4">
        <v>43283.341666666667</v>
      </c>
      <c r="BE693" s="4">
        <v>43283.356979166667</v>
      </c>
      <c r="BF693" s="4">
        <v>43283.356979166667</v>
      </c>
      <c r="BG693" t="s">
        <v>83</v>
      </c>
      <c r="BH693" t="s">
        <v>84</v>
      </c>
      <c r="BI693" t="s">
        <v>85</v>
      </c>
    </row>
    <row r="694" spans="1:61" x14ac:dyDescent="0.3">
      <c r="A694" t="str">
        <f>"200427E0100"</f>
        <v>200427E0100</v>
      </c>
      <c r="B694" s="2" t="s">
        <v>1478</v>
      </c>
      <c r="C694">
        <v>20</v>
      </c>
      <c r="D694" t="s">
        <v>79</v>
      </c>
      <c r="E694">
        <v>4</v>
      </c>
      <c r="F694" t="s">
        <v>1317</v>
      </c>
      <c r="G694">
        <v>427</v>
      </c>
      <c r="H694">
        <v>1</v>
      </c>
      <c r="I694" t="s">
        <v>145</v>
      </c>
      <c r="J694">
        <v>0</v>
      </c>
      <c r="K694">
        <v>2</v>
      </c>
      <c r="L694">
        <v>2</v>
      </c>
      <c r="M694">
        <v>72</v>
      </c>
      <c r="N694">
        <v>86</v>
      </c>
      <c r="O694">
        <v>0</v>
      </c>
      <c r="P694">
        <v>86</v>
      </c>
      <c r="Q694">
        <v>9</v>
      </c>
      <c r="R694">
        <v>15</v>
      </c>
      <c r="S694">
        <v>3</v>
      </c>
      <c r="T694">
        <v>4</v>
      </c>
      <c r="U694">
        <v>4</v>
      </c>
      <c r="V694">
        <v>2</v>
      </c>
      <c r="W694">
        <v>1</v>
      </c>
      <c r="X694">
        <v>2</v>
      </c>
      <c r="Y694">
        <v>27</v>
      </c>
      <c r="Z694">
        <v>3</v>
      </c>
      <c r="AA694">
        <v>1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1</v>
      </c>
      <c r="AK694">
        <v>1</v>
      </c>
      <c r="AL694">
        <v>0</v>
      </c>
      <c r="AM694">
        <v>1</v>
      </c>
      <c r="AN694">
        <v>0</v>
      </c>
      <c r="AT694">
        <v>1</v>
      </c>
      <c r="AU694">
        <v>11</v>
      </c>
      <c r="AV694">
        <v>86</v>
      </c>
      <c r="AW694">
        <v>86</v>
      </c>
      <c r="AX694">
        <v>136</v>
      </c>
      <c r="BA694">
        <v>1</v>
      </c>
      <c r="BC694" t="s">
        <v>1479</v>
      </c>
      <c r="BD694" s="4">
        <v>43283.342361111114</v>
      </c>
      <c r="BE694" s="4">
        <v>43283.374340277776</v>
      </c>
      <c r="BF694" s="4">
        <v>43283.374340277776</v>
      </c>
      <c r="BG694" t="s">
        <v>83</v>
      </c>
      <c r="BH694" t="s">
        <v>84</v>
      </c>
      <c r="BI694" t="s">
        <v>85</v>
      </c>
    </row>
    <row r="695" spans="1:61" x14ac:dyDescent="0.3">
      <c r="A695" t="str">
        <f>"200428B0100"</f>
        <v>200428B0100</v>
      </c>
      <c r="B695" t="s">
        <v>1480</v>
      </c>
      <c r="C695">
        <v>20</v>
      </c>
      <c r="D695" t="s">
        <v>79</v>
      </c>
      <c r="E695">
        <v>4</v>
      </c>
      <c r="F695" t="s">
        <v>1317</v>
      </c>
      <c r="G695">
        <v>428</v>
      </c>
      <c r="H695">
        <v>1</v>
      </c>
      <c r="I695" t="s">
        <v>81</v>
      </c>
      <c r="J695">
        <v>0</v>
      </c>
      <c r="K695">
        <v>2</v>
      </c>
      <c r="L695">
        <v>2</v>
      </c>
      <c r="M695">
        <v>224</v>
      </c>
      <c r="N695">
        <v>219</v>
      </c>
      <c r="O695">
        <v>0</v>
      </c>
      <c r="P695">
        <v>219</v>
      </c>
      <c r="Q695">
        <v>8</v>
      </c>
      <c r="R695">
        <v>37</v>
      </c>
      <c r="S695">
        <v>26</v>
      </c>
      <c r="T695">
        <v>7</v>
      </c>
      <c r="U695">
        <v>31</v>
      </c>
      <c r="V695">
        <v>2</v>
      </c>
      <c r="W695">
        <v>6</v>
      </c>
      <c r="X695">
        <v>5</v>
      </c>
      <c r="Y695">
        <v>53</v>
      </c>
      <c r="Z695">
        <v>3</v>
      </c>
      <c r="AA695">
        <v>2</v>
      </c>
      <c r="AC695">
        <v>0</v>
      </c>
      <c r="AD695">
        <v>2</v>
      </c>
      <c r="AE695">
        <v>0</v>
      </c>
      <c r="AF695">
        <v>0</v>
      </c>
      <c r="AG695">
        <v>3</v>
      </c>
      <c r="AH695">
        <v>0</v>
      </c>
      <c r="AI695">
        <v>0</v>
      </c>
      <c r="AJ695">
        <v>0</v>
      </c>
      <c r="AK695">
        <v>1</v>
      </c>
      <c r="AL695">
        <v>1</v>
      </c>
      <c r="AM695">
        <v>0</v>
      </c>
      <c r="AN695">
        <v>1</v>
      </c>
      <c r="AT695">
        <v>0</v>
      </c>
      <c r="AU695">
        <v>32</v>
      </c>
      <c r="AV695">
        <v>219</v>
      </c>
      <c r="AW695">
        <v>220</v>
      </c>
      <c r="AX695">
        <v>421</v>
      </c>
      <c r="BA695">
        <v>1</v>
      </c>
      <c r="BC695" t="s">
        <v>1481</v>
      </c>
      <c r="BD695" s="4">
        <v>43283.460416666669</v>
      </c>
      <c r="BE695" s="4">
        <v>43283.46665509259</v>
      </c>
      <c r="BF695" s="4">
        <v>43283.46665509259</v>
      </c>
      <c r="BG695" t="s">
        <v>83</v>
      </c>
      <c r="BH695" t="s">
        <v>84</v>
      </c>
      <c r="BI695" t="s">
        <v>85</v>
      </c>
    </row>
    <row r="696" spans="1:61" x14ac:dyDescent="0.3">
      <c r="A696" t="str">
        <f>"200428C0100"</f>
        <v>200428C0100</v>
      </c>
      <c r="B696" t="s">
        <v>1482</v>
      </c>
      <c r="C696">
        <v>20</v>
      </c>
      <c r="D696" t="s">
        <v>79</v>
      </c>
      <c r="E696">
        <v>4</v>
      </c>
      <c r="F696" t="s">
        <v>1317</v>
      </c>
      <c r="G696">
        <v>428</v>
      </c>
      <c r="H696">
        <v>1</v>
      </c>
      <c r="I696" t="s">
        <v>89</v>
      </c>
      <c r="J696">
        <v>0</v>
      </c>
      <c r="K696">
        <v>2</v>
      </c>
      <c r="L696">
        <v>2</v>
      </c>
      <c r="M696">
        <v>246</v>
      </c>
      <c r="N696">
        <v>197</v>
      </c>
      <c r="O696">
        <v>0</v>
      </c>
      <c r="P696">
        <v>197</v>
      </c>
      <c r="Q696">
        <v>2</v>
      </c>
      <c r="R696">
        <v>36</v>
      </c>
      <c r="S696">
        <v>19</v>
      </c>
      <c r="T696">
        <v>4</v>
      </c>
      <c r="U696">
        <v>21</v>
      </c>
      <c r="V696">
        <v>6</v>
      </c>
      <c r="W696">
        <v>1</v>
      </c>
      <c r="X696">
        <v>11</v>
      </c>
      <c r="Y696">
        <v>57</v>
      </c>
      <c r="Z696">
        <v>0</v>
      </c>
      <c r="AA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6</v>
      </c>
      <c r="AL696">
        <v>2</v>
      </c>
      <c r="AM696">
        <v>0</v>
      </c>
      <c r="AN696">
        <v>0</v>
      </c>
      <c r="AT696">
        <v>0</v>
      </c>
      <c r="AU696">
        <v>32</v>
      </c>
      <c r="AV696">
        <v>197</v>
      </c>
      <c r="AW696">
        <v>197</v>
      </c>
      <c r="AX696">
        <v>421</v>
      </c>
      <c r="BA696">
        <v>1</v>
      </c>
      <c r="BC696" t="s">
        <v>1483</v>
      </c>
      <c r="BD696" s="4">
        <v>43283.228472222225</v>
      </c>
      <c r="BE696" s="4">
        <v>43283.274016203701</v>
      </c>
      <c r="BF696" s="4">
        <v>43283.274016203701</v>
      </c>
      <c r="BG696" t="s">
        <v>83</v>
      </c>
      <c r="BH696" t="s">
        <v>84</v>
      </c>
      <c r="BI696" t="s">
        <v>85</v>
      </c>
    </row>
    <row r="697" spans="1:61" x14ac:dyDescent="0.3">
      <c r="A697" t="str">
        <f>"200429B0100"</f>
        <v>200429B0100</v>
      </c>
      <c r="B697" t="s">
        <v>1484</v>
      </c>
      <c r="C697">
        <v>20</v>
      </c>
      <c r="D697" t="s">
        <v>79</v>
      </c>
      <c r="E697">
        <v>4</v>
      </c>
      <c r="F697" t="s">
        <v>1317</v>
      </c>
      <c r="G697">
        <v>429</v>
      </c>
      <c r="H697">
        <v>1</v>
      </c>
      <c r="I697" t="s">
        <v>81</v>
      </c>
      <c r="J697">
        <v>0</v>
      </c>
      <c r="K697">
        <v>2</v>
      </c>
      <c r="L697">
        <v>2</v>
      </c>
      <c r="M697">
        <v>167</v>
      </c>
      <c r="N697">
        <v>177</v>
      </c>
      <c r="O697">
        <v>0</v>
      </c>
      <c r="P697">
        <v>177</v>
      </c>
      <c r="Q697">
        <v>10</v>
      </c>
      <c r="R697">
        <v>44</v>
      </c>
      <c r="S697">
        <v>13</v>
      </c>
      <c r="T697">
        <v>8</v>
      </c>
      <c r="U697">
        <v>8</v>
      </c>
      <c r="V697">
        <v>3</v>
      </c>
      <c r="W697">
        <v>1</v>
      </c>
      <c r="X697">
        <v>9</v>
      </c>
      <c r="Y697">
        <v>3</v>
      </c>
      <c r="Z697">
        <v>4</v>
      </c>
      <c r="AA697">
        <v>0</v>
      </c>
      <c r="AC697">
        <v>0</v>
      </c>
      <c r="AD697">
        <v>2</v>
      </c>
      <c r="AE697">
        <v>0</v>
      </c>
      <c r="AF697">
        <v>0</v>
      </c>
      <c r="AG697">
        <v>1</v>
      </c>
      <c r="AH697">
        <v>4</v>
      </c>
      <c r="AI697">
        <v>1</v>
      </c>
      <c r="AJ697">
        <v>0</v>
      </c>
      <c r="AK697">
        <v>1</v>
      </c>
      <c r="AL697">
        <v>0</v>
      </c>
      <c r="AM697">
        <v>0</v>
      </c>
      <c r="AN697">
        <v>2</v>
      </c>
      <c r="AT697">
        <v>0</v>
      </c>
      <c r="AU697">
        <v>23</v>
      </c>
      <c r="AV697">
        <v>177</v>
      </c>
      <c r="AW697">
        <v>137</v>
      </c>
      <c r="AX697">
        <v>322</v>
      </c>
      <c r="BA697">
        <v>1</v>
      </c>
      <c r="BC697" t="s">
        <v>1485</v>
      </c>
      <c r="BD697" s="4">
        <v>43283.243750000001</v>
      </c>
      <c r="BE697" s="4">
        <v>43283.27952546296</v>
      </c>
      <c r="BF697" s="4">
        <v>43283.27952546296</v>
      </c>
      <c r="BG697" t="s">
        <v>83</v>
      </c>
      <c r="BH697" t="s">
        <v>84</v>
      </c>
      <c r="BI697" t="s">
        <v>85</v>
      </c>
    </row>
    <row r="698" spans="1:61" x14ac:dyDescent="0.3">
      <c r="A698" t="str">
        <f>"200429E0100"</f>
        <v>200429E0100</v>
      </c>
      <c r="B698" s="2" t="s">
        <v>1486</v>
      </c>
      <c r="C698">
        <v>20</v>
      </c>
      <c r="D698" t="s">
        <v>79</v>
      </c>
      <c r="E698">
        <v>4</v>
      </c>
      <c r="F698" t="s">
        <v>1317</v>
      </c>
      <c r="G698">
        <v>429</v>
      </c>
      <c r="H698">
        <v>1</v>
      </c>
      <c r="I698" t="s">
        <v>145</v>
      </c>
      <c r="J698">
        <v>0</v>
      </c>
      <c r="K698">
        <v>2</v>
      </c>
      <c r="L698">
        <v>2</v>
      </c>
      <c r="M698">
        <v>140</v>
      </c>
      <c r="N698">
        <v>189</v>
      </c>
      <c r="O698">
        <v>0</v>
      </c>
      <c r="P698">
        <v>189</v>
      </c>
      <c r="Q698">
        <v>5</v>
      </c>
      <c r="R698">
        <v>42</v>
      </c>
      <c r="S698">
        <v>16</v>
      </c>
      <c r="T698">
        <v>0</v>
      </c>
      <c r="U698">
        <v>43</v>
      </c>
      <c r="V698">
        <v>1</v>
      </c>
      <c r="W698">
        <v>0</v>
      </c>
      <c r="X698">
        <v>5</v>
      </c>
      <c r="Y698">
        <v>46</v>
      </c>
      <c r="Z698">
        <v>3</v>
      </c>
      <c r="AA698">
        <v>0</v>
      </c>
      <c r="AC698">
        <v>1</v>
      </c>
      <c r="AD698">
        <v>0</v>
      </c>
      <c r="AE698">
        <v>0</v>
      </c>
      <c r="AF698">
        <v>0</v>
      </c>
      <c r="AG698">
        <v>0</v>
      </c>
      <c r="AH698">
        <v>2</v>
      </c>
      <c r="AI698">
        <v>1</v>
      </c>
      <c r="AJ698">
        <v>0</v>
      </c>
      <c r="AK698">
        <v>2</v>
      </c>
      <c r="AL698">
        <v>1</v>
      </c>
      <c r="AM698">
        <v>0</v>
      </c>
      <c r="AN698">
        <v>0</v>
      </c>
      <c r="AT698">
        <v>0</v>
      </c>
      <c r="AU698">
        <v>21</v>
      </c>
      <c r="AV698">
        <v>189</v>
      </c>
      <c r="AW698">
        <v>189</v>
      </c>
      <c r="AX698">
        <v>307</v>
      </c>
      <c r="BA698">
        <v>1</v>
      </c>
      <c r="BC698" t="s">
        <v>1487</v>
      </c>
      <c r="BD698" s="4">
        <v>43283.273611111108</v>
      </c>
      <c r="BE698" s="4">
        <v>43283.305520833332</v>
      </c>
      <c r="BF698" s="4">
        <v>43283.305520833332</v>
      </c>
      <c r="BG698" t="s">
        <v>83</v>
      </c>
      <c r="BH698" t="s">
        <v>84</v>
      </c>
      <c r="BI698" t="s">
        <v>85</v>
      </c>
    </row>
    <row r="699" spans="1:61" x14ac:dyDescent="0.3">
      <c r="A699" t="str">
        <f>"200430B0100"</f>
        <v>200430B0100</v>
      </c>
      <c r="B699" t="s">
        <v>1488</v>
      </c>
      <c r="C699">
        <v>20</v>
      </c>
      <c r="D699" t="s">
        <v>79</v>
      </c>
      <c r="E699">
        <v>4</v>
      </c>
      <c r="F699" t="s">
        <v>1317</v>
      </c>
      <c r="G699">
        <v>430</v>
      </c>
      <c r="H699">
        <v>1</v>
      </c>
      <c r="I699" t="s">
        <v>81</v>
      </c>
      <c r="J699">
        <v>0</v>
      </c>
      <c r="K699">
        <v>2</v>
      </c>
      <c r="L699">
        <v>2</v>
      </c>
      <c r="M699">
        <v>107</v>
      </c>
      <c r="N699">
        <v>263</v>
      </c>
      <c r="O699">
        <v>156</v>
      </c>
      <c r="P699" t="s">
        <v>100</v>
      </c>
      <c r="Q699">
        <v>11</v>
      </c>
      <c r="R699">
        <v>27</v>
      </c>
      <c r="S699">
        <v>8</v>
      </c>
      <c r="T699">
        <v>0</v>
      </c>
      <c r="U699">
        <v>9</v>
      </c>
      <c r="V699">
        <v>6</v>
      </c>
      <c r="W699">
        <v>1</v>
      </c>
      <c r="X699">
        <v>16</v>
      </c>
      <c r="Y699">
        <v>42</v>
      </c>
      <c r="Z699">
        <v>4</v>
      </c>
      <c r="AA699">
        <v>2</v>
      </c>
      <c r="AC699">
        <v>0</v>
      </c>
      <c r="AD699">
        <v>0</v>
      </c>
      <c r="AE699">
        <v>0</v>
      </c>
      <c r="AF699">
        <v>0</v>
      </c>
      <c r="AG699">
        <v>1</v>
      </c>
      <c r="AH699">
        <v>0</v>
      </c>
      <c r="AI699">
        <v>3</v>
      </c>
      <c r="AJ699">
        <v>0</v>
      </c>
      <c r="AK699">
        <v>4</v>
      </c>
      <c r="AL699">
        <v>3</v>
      </c>
      <c r="AM699">
        <v>1</v>
      </c>
      <c r="AN699">
        <v>1</v>
      </c>
      <c r="AT699">
        <v>0</v>
      </c>
      <c r="AU699">
        <v>16</v>
      </c>
      <c r="AV699">
        <v>156</v>
      </c>
      <c r="AW699">
        <v>155</v>
      </c>
      <c r="AX699">
        <v>241</v>
      </c>
      <c r="BA699">
        <v>1</v>
      </c>
      <c r="BC699" t="s">
        <v>1489</v>
      </c>
      <c r="BD699" s="4">
        <v>43283.314583333333</v>
      </c>
      <c r="BE699" s="4">
        <v>43283.337719907409</v>
      </c>
      <c r="BF699" s="4">
        <v>43283.337719907409</v>
      </c>
      <c r="BG699" t="s">
        <v>83</v>
      </c>
      <c r="BH699" t="s">
        <v>84</v>
      </c>
      <c r="BI699" t="s">
        <v>548</v>
      </c>
    </row>
    <row r="700" spans="1:61" x14ac:dyDescent="0.3">
      <c r="A700" t="str">
        <f>"200430E0100"</f>
        <v>200430E0100</v>
      </c>
      <c r="B700" s="2" t="s">
        <v>1490</v>
      </c>
      <c r="C700">
        <v>20</v>
      </c>
      <c r="D700" t="s">
        <v>79</v>
      </c>
      <c r="E700">
        <v>4</v>
      </c>
      <c r="F700" t="s">
        <v>1317</v>
      </c>
      <c r="G700">
        <v>430</v>
      </c>
      <c r="H700">
        <v>1</v>
      </c>
      <c r="I700" t="s">
        <v>145</v>
      </c>
      <c r="J700">
        <v>0</v>
      </c>
      <c r="K700">
        <v>2</v>
      </c>
      <c r="L700">
        <v>2</v>
      </c>
      <c r="M700" t="s">
        <v>100</v>
      </c>
      <c r="N700" t="s">
        <v>100</v>
      </c>
      <c r="O700" t="s">
        <v>100</v>
      </c>
      <c r="P700" t="s">
        <v>100</v>
      </c>
      <c r="Q700">
        <v>11</v>
      </c>
      <c r="R700">
        <v>26</v>
      </c>
      <c r="S700">
        <v>3</v>
      </c>
      <c r="T700">
        <v>4</v>
      </c>
      <c r="U700">
        <v>11</v>
      </c>
      <c r="V700">
        <v>4</v>
      </c>
      <c r="W700">
        <v>18</v>
      </c>
      <c r="X700">
        <v>5</v>
      </c>
      <c r="Y700">
        <v>55</v>
      </c>
      <c r="Z700">
        <v>2</v>
      </c>
      <c r="AA700">
        <v>1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2</v>
      </c>
      <c r="AI700">
        <v>0</v>
      </c>
      <c r="AJ700">
        <v>0</v>
      </c>
      <c r="AK700">
        <v>0</v>
      </c>
      <c r="AL700">
        <v>1</v>
      </c>
      <c r="AM700">
        <v>1</v>
      </c>
      <c r="AN700">
        <v>1</v>
      </c>
      <c r="AT700">
        <v>0</v>
      </c>
      <c r="AU700">
        <v>15</v>
      </c>
      <c r="AV700" t="s">
        <v>315</v>
      </c>
      <c r="AW700">
        <v>160</v>
      </c>
      <c r="AX700">
        <v>245</v>
      </c>
      <c r="BA700">
        <v>1</v>
      </c>
      <c r="BC700" t="s">
        <v>1491</v>
      </c>
      <c r="BD700" s="4">
        <v>43283.3125</v>
      </c>
      <c r="BE700" s="4">
        <v>43283.356620370374</v>
      </c>
      <c r="BF700" s="4">
        <v>43283.356620370374</v>
      </c>
      <c r="BG700" t="s">
        <v>83</v>
      </c>
      <c r="BH700" t="s">
        <v>84</v>
      </c>
      <c r="BI700" t="s">
        <v>1331</v>
      </c>
    </row>
    <row r="701" spans="1:61" x14ac:dyDescent="0.3">
      <c r="A701" t="str">
        <f>"200431B0100"</f>
        <v>200431B0100</v>
      </c>
      <c r="B701" t="s">
        <v>1492</v>
      </c>
      <c r="C701">
        <v>20</v>
      </c>
      <c r="D701" t="s">
        <v>79</v>
      </c>
      <c r="E701">
        <v>4</v>
      </c>
      <c r="F701" t="s">
        <v>1317</v>
      </c>
      <c r="G701">
        <v>431</v>
      </c>
      <c r="H701">
        <v>1</v>
      </c>
      <c r="I701" t="s">
        <v>81</v>
      </c>
      <c r="J701">
        <v>0</v>
      </c>
      <c r="K701">
        <v>2</v>
      </c>
      <c r="L701">
        <v>2</v>
      </c>
      <c r="M701" t="s">
        <v>315</v>
      </c>
      <c r="N701" t="s">
        <v>315</v>
      </c>
      <c r="O701" t="s">
        <v>315</v>
      </c>
      <c r="P701" t="s">
        <v>315</v>
      </c>
      <c r="Q701">
        <v>10</v>
      </c>
      <c r="R701">
        <v>44</v>
      </c>
      <c r="S701">
        <v>20</v>
      </c>
      <c r="T701">
        <v>7</v>
      </c>
      <c r="U701">
        <v>12</v>
      </c>
      <c r="V701">
        <v>5</v>
      </c>
      <c r="W701">
        <v>5</v>
      </c>
      <c r="X701">
        <v>6</v>
      </c>
      <c r="Y701">
        <v>99</v>
      </c>
      <c r="Z701">
        <v>11</v>
      </c>
      <c r="AA701">
        <v>1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3</v>
      </c>
      <c r="AI701">
        <v>3</v>
      </c>
      <c r="AJ701">
        <v>1</v>
      </c>
      <c r="AK701">
        <v>1</v>
      </c>
      <c r="AL701">
        <v>3</v>
      </c>
      <c r="AM701">
        <v>3</v>
      </c>
      <c r="AN701">
        <v>8</v>
      </c>
      <c r="AT701" t="s">
        <v>100</v>
      </c>
      <c r="AU701">
        <v>25</v>
      </c>
      <c r="AV701" t="s">
        <v>315</v>
      </c>
      <c r="AW701">
        <v>267</v>
      </c>
      <c r="AX701">
        <v>547</v>
      </c>
      <c r="AZ701" t="s">
        <v>101</v>
      </c>
      <c r="BA701">
        <v>1</v>
      </c>
      <c r="BC701" t="s">
        <v>1493</v>
      </c>
      <c r="BD701" s="4">
        <v>43283.31527777778</v>
      </c>
      <c r="BE701" s="4">
        <v>43283.363611111112</v>
      </c>
      <c r="BF701" s="4">
        <v>43283.363611111112</v>
      </c>
      <c r="BG701" t="s">
        <v>83</v>
      </c>
      <c r="BH701" t="s">
        <v>84</v>
      </c>
      <c r="BI701" t="s">
        <v>548</v>
      </c>
    </row>
    <row r="702" spans="1:61" x14ac:dyDescent="0.3">
      <c r="A702" t="str">
        <f>"200759B0100"</f>
        <v>200759B0100</v>
      </c>
      <c r="B702" t="s">
        <v>1494</v>
      </c>
      <c r="C702">
        <v>20</v>
      </c>
      <c r="D702" t="s">
        <v>79</v>
      </c>
      <c r="E702">
        <v>4</v>
      </c>
      <c r="F702" t="s">
        <v>1317</v>
      </c>
      <c r="G702">
        <v>759</v>
      </c>
      <c r="H702">
        <v>1</v>
      </c>
      <c r="I702" t="s">
        <v>81</v>
      </c>
      <c r="J702">
        <v>0</v>
      </c>
      <c r="K702">
        <v>2</v>
      </c>
      <c r="L702">
        <v>2</v>
      </c>
      <c r="M702">
        <v>218</v>
      </c>
      <c r="N702">
        <v>387</v>
      </c>
      <c r="O702">
        <v>0</v>
      </c>
      <c r="P702">
        <v>387</v>
      </c>
      <c r="Q702">
        <v>4</v>
      </c>
      <c r="R702">
        <v>68</v>
      </c>
      <c r="S702">
        <v>4</v>
      </c>
      <c r="T702">
        <v>3</v>
      </c>
      <c r="U702">
        <v>19</v>
      </c>
      <c r="V702">
        <v>7</v>
      </c>
      <c r="W702">
        <v>4</v>
      </c>
      <c r="X702">
        <v>8</v>
      </c>
      <c r="Y702">
        <v>241</v>
      </c>
      <c r="Z702">
        <v>4</v>
      </c>
      <c r="AA702">
        <v>1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1</v>
      </c>
      <c r="AI702">
        <v>1</v>
      </c>
      <c r="AJ702">
        <v>0</v>
      </c>
      <c r="AK702">
        <v>0</v>
      </c>
      <c r="AL702">
        <v>0</v>
      </c>
      <c r="AM702">
        <v>0</v>
      </c>
      <c r="AN702">
        <v>1</v>
      </c>
      <c r="AT702">
        <v>0</v>
      </c>
      <c r="AU702">
        <v>21</v>
      </c>
      <c r="AV702">
        <v>387</v>
      </c>
      <c r="AW702">
        <v>387</v>
      </c>
      <c r="AX702">
        <v>586</v>
      </c>
      <c r="BA702">
        <v>1</v>
      </c>
      <c r="BC702" t="s">
        <v>1495</v>
      </c>
      <c r="BD702" s="4">
        <v>43283.424305555556</v>
      </c>
      <c r="BE702" s="4">
        <v>43283.431631944448</v>
      </c>
      <c r="BF702" s="4">
        <v>43283.431631944448</v>
      </c>
      <c r="BG702" t="s">
        <v>83</v>
      </c>
      <c r="BH702" t="s">
        <v>84</v>
      </c>
      <c r="BI702" t="s">
        <v>85</v>
      </c>
    </row>
    <row r="703" spans="1:61" x14ac:dyDescent="0.3">
      <c r="A703" t="str">
        <f>"200759C0100"</f>
        <v>200759C0100</v>
      </c>
      <c r="B703" t="s">
        <v>1496</v>
      </c>
      <c r="C703">
        <v>20</v>
      </c>
      <c r="D703" t="s">
        <v>79</v>
      </c>
      <c r="E703">
        <v>4</v>
      </c>
      <c r="F703" t="s">
        <v>1317</v>
      </c>
      <c r="G703">
        <v>759</v>
      </c>
      <c r="H703">
        <v>1</v>
      </c>
      <c r="I703" t="s">
        <v>89</v>
      </c>
      <c r="J703">
        <v>0</v>
      </c>
      <c r="K703">
        <v>2</v>
      </c>
      <c r="L703">
        <v>2</v>
      </c>
      <c r="M703">
        <v>201</v>
      </c>
      <c r="N703">
        <v>407</v>
      </c>
      <c r="O703">
        <v>0</v>
      </c>
      <c r="P703">
        <v>407</v>
      </c>
      <c r="Q703">
        <v>10</v>
      </c>
      <c r="R703">
        <v>50</v>
      </c>
      <c r="S703">
        <v>6</v>
      </c>
      <c r="T703">
        <v>5</v>
      </c>
      <c r="U703">
        <v>13</v>
      </c>
      <c r="V703">
        <v>4</v>
      </c>
      <c r="W703">
        <v>3</v>
      </c>
      <c r="X703">
        <v>7</v>
      </c>
      <c r="Y703">
        <v>263</v>
      </c>
      <c r="Z703">
        <v>6</v>
      </c>
      <c r="AA703">
        <v>0</v>
      </c>
      <c r="AC703">
        <v>0</v>
      </c>
      <c r="AD703">
        <v>1</v>
      </c>
      <c r="AE703">
        <v>0</v>
      </c>
      <c r="AF703">
        <v>0</v>
      </c>
      <c r="AG703">
        <v>0</v>
      </c>
      <c r="AH703">
        <v>1</v>
      </c>
      <c r="AI703">
        <v>0</v>
      </c>
      <c r="AJ703">
        <v>0</v>
      </c>
      <c r="AK703">
        <v>3</v>
      </c>
      <c r="AL703">
        <v>3</v>
      </c>
      <c r="AM703">
        <v>1</v>
      </c>
      <c r="AN703">
        <v>0</v>
      </c>
      <c r="AT703">
        <v>1</v>
      </c>
      <c r="AU703">
        <v>30</v>
      </c>
      <c r="AV703">
        <v>407</v>
      </c>
      <c r="AW703">
        <v>407</v>
      </c>
      <c r="AX703">
        <v>586</v>
      </c>
      <c r="BA703">
        <v>1</v>
      </c>
      <c r="BC703" t="s">
        <v>1497</v>
      </c>
      <c r="BD703" s="4">
        <v>43283.424305555556</v>
      </c>
      <c r="BE703" s="4">
        <v>43283.431701388887</v>
      </c>
      <c r="BF703" s="4">
        <v>43283.431701388887</v>
      </c>
      <c r="BG703" t="s">
        <v>83</v>
      </c>
      <c r="BH703" t="s">
        <v>84</v>
      </c>
      <c r="BI703" t="s">
        <v>85</v>
      </c>
    </row>
    <row r="704" spans="1:61" x14ac:dyDescent="0.3">
      <c r="A704" t="str">
        <f>"200759C0200"</f>
        <v>200759C0200</v>
      </c>
      <c r="B704" t="s">
        <v>1498</v>
      </c>
      <c r="C704">
        <v>20</v>
      </c>
      <c r="D704" t="s">
        <v>79</v>
      </c>
      <c r="E704">
        <v>4</v>
      </c>
      <c r="F704" t="s">
        <v>1317</v>
      </c>
      <c r="G704">
        <v>759</v>
      </c>
      <c r="H704">
        <v>2</v>
      </c>
      <c r="I704" t="s">
        <v>89</v>
      </c>
      <c r="J704">
        <v>0</v>
      </c>
      <c r="K704">
        <v>2</v>
      </c>
      <c r="L704">
        <v>2</v>
      </c>
      <c r="M704">
        <v>190</v>
      </c>
      <c r="N704">
        <v>416</v>
      </c>
      <c r="O704">
        <v>0</v>
      </c>
      <c r="P704">
        <v>416</v>
      </c>
      <c r="Q704">
        <v>7</v>
      </c>
      <c r="R704">
        <v>63</v>
      </c>
      <c r="S704">
        <v>7</v>
      </c>
      <c r="T704">
        <v>4</v>
      </c>
      <c r="U704">
        <v>12</v>
      </c>
      <c r="V704">
        <v>4</v>
      </c>
      <c r="W704">
        <v>3</v>
      </c>
      <c r="X704">
        <v>6</v>
      </c>
      <c r="Y704">
        <v>281</v>
      </c>
      <c r="Z704">
        <v>6</v>
      </c>
      <c r="AA704">
        <v>1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1</v>
      </c>
      <c r="AI704">
        <v>0</v>
      </c>
      <c r="AJ704">
        <v>0</v>
      </c>
      <c r="AK704">
        <v>2</v>
      </c>
      <c r="AL704">
        <v>3</v>
      </c>
      <c r="AM704">
        <v>0</v>
      </c>
      <c r="AN704">
        <v>0</v>
      </c>
      <c r="AT704" t="s">
        <v>100</v>
      </c>
      <c r="AU704">
        <v>16</v>
      </c>
      <c r="AV704">
        <v>416</v>
      </c>
      <c r="AW704">
        <v>416</v>
      </c>
      <c r="AX704">
        <v>585</v>
      </c>
      <c r="AZ704" t="s">
        <v>101</v>
      </c>
      <c r="BA704">
        <v>1</v>
      </c>
      <c r="BC704" t="s">
        <v>1499</v>
      </c>
      <c r="BD704" s="4">
        <v>43283.424305555556</v>
      </c>
      <c r="BE704" s="4">
        <v>43283.431215277778</v>
      </c>
      <c r="BF704" s="4">
        <v>43283.431215277778</v>
      </c>
      <c r="BG704" t="s">
        <v>83</v>
      </c>
      <c r="BH704" t="s">
        <v>84</v>
      </c>
      <c r="BI704" t="s">
        <v>85</v>
      </c>
    </row>
    <row r="705" spans="1:61" x14ac:dyDescent="0.3">
      <c r="A705" t="str">
        <f>"200759E0100"</f>
        <v>200759E0100</v>
      </c>
      <c r="B705" s="2" t="s">
        <v>1500</v>
      </c>
      <c r="C705">
        <v>20</v>
      </c>
      <c r="D705" t="s">
        <v>79</v>
      </c>
      <c r="E705">
        <v>4</v>
      </c>
      <c r="F705" t="s">
        <v>1317</v>
      </c>
      <c r="G705">
        <v>759</v>
      </c>
      <c r="H705">
        <v>1</v>
      </c>
      <c r="I705" t="s">
        <v>145</v>
      </c>
      <c r="J705">
        <v>0</v>
      </c>
      <c r="K705">
        <v>2</v>
      </c>
      <c r="L705">
        <v>2</v>
      </c>
      <c r="M705">
        <v>75</v>
      </c>
      <c r="N705">
        <v>106</v>
      </c>
      <c r="O705">
        <v>0</v>
      </c>
      <c r="P705">
        <v>106</v>
      </c>
      <c r="Q705">
        <v>7</v>
      </c>
      <c r="R705">
        <v>37</v>
      </c>
      <c r="S705">
        <v>1</v>
      </c>
      <c r="T705">
        <v>0</v>
      </c>
      <c r="U705">
        <v>1</v>
      </c>
      <c r="V705">
        <v>1</v>
      </c>
      <c r="W705">
        <v>1</v>
      </c>
      <c r="X705">
        <v>0</v>
      </c>
      <c r="Y705">
        <v>48</v>
      </c>
      <c r="Z705">
        <v>0</v>
      </c>
      <c r="AA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3</v>
      </c>
      <c r="AI705">
        <v>0</v>
      </c>
      <c r="AJ705">
        <v>0</v>
      </c>
      <c r="AK705">
        <v>3</v>
      </c>
      <c r="AL705">
        <v>0</v>
      </c>
      <c r="AM705">
        <v>0</v>
      </c>
      <c r="AN705">
        <v>1</v>
      </c>
      <c r="AT705">
        <v>0</v>
      </c>
      <c r="AU705">
        <v>3</v>
      </c>
      <c r="AV705">
        <v>106</v>
      </c>
      <c r="AW705">
        <v>106</v>
      </c>
      <c r="AX705">
        <v>159</v>
      </c>
      <c r="BA705">
        <v>1</v>
      </c>
      <c r="BC705" t="s">
        <v>1501</v>
      </c>
      <c r="BD705" s="4">
        <v>43283.420138888891</v>
      </c>
      <c r="BE705" s="4">
        <v>43283.431446759256</v>
      </c>
      <c r="BF705" s="4">
        <v>43283.431446759256</v>
      </c>
      <c r="BG705" t="s">
        <v>83</v>
      </c>
      <c r="BH705" t="s">
        <v>84</v>
      </c>
      <c r="BI705" t="s">
        <v>548</v>
      </c>
    </row>
    <row r="706" spans="1:61" x14ac:dyDescent="0.3">
      <c r="A706" t="str">
        <f>"200760B0100"</f>
        <v>200760B0100</v>
      </c>
      <c r="B706" t="s">
        <v>1502</v>
      </c>
      <c r="C706">
        <v>20</v>
      </c>
      <c r="D706" t="s">
        <v>79</v>
      </c>
      <c r="E706">
        <v>4</v>
      </c>
      <c r="F706" t="s">
        <v>1317</v>
      </c>
      <c r="G706">
        <v>760</v>
      </c>
      <c r="H706">
        <v>1</v>
      </c>
      <c r="I706" t="s">
        <v>81</v>
      </c>
      <c r="J706">
        <v>0</v>
      </c>
      <c r="K706">
        <v>2</v>
      </c>
      <c r="L706">
        <v>2</v>
      </c>
      <c r="M706">
        <v>164</v>
      </c>
      <c r="N706">
        <v>285</v>
      </c>
      <c r="O706">
        <v>0</v>
      </c>
      <c r="P706">
        <v>285</v>
      </c>
      <c r="Q706">
        <v>7</v>
      </c>
      <c r="R706">
        <v>65</v>
      </c>
      <c r="S706">
        <v>5</v>
      </c>
      <c r="T706">
        <v>0</v>
      </c>
      <c r="U706">
        <v>12</v>
      </c>
      <c r="V706">
        <v>5</v>
      </c>
      <c r="W706">
        <v>1</v>
      </c>
      <c r="X706">
        <v>6</v>
      </c>
      <c r="Y706">
        <v>157</v>
      </c>
      <c r="Z706">
        <v>4</v>
      </c>
      <c r="AA706">
        <v>2</v>
      </c>
      <c r="AC706">
        <v>0</v>
      </c>
      <c r="AD706">
        <v>0</v>
      </c>
      <c r="AE706">
        <v>0</v>
      </c>
      <c r="AF706">
        <v>0</v>
      </c>
      <c r="AG706">
        <v>4</v>
      </c>
      <c r="AH706">
        <v>1</v>
      </c>
      <c r="AI706">
        <v>1</v>
      </c>
      <c r="AJ706">
        <v>0</v>
      </c>
      <c r="AK706">
        <v>1</v>
      </c>
      <c r="AL706">
        <v>1</v>
      </c>
      <c r="AM706">
        <v>0</v>
      </c>
      <c r="AN706">
        <v>4</v>
      </c>
      <c r="AT706">
        <v>0</v>
      </c>
      <c r="AU706">
        <v>9</v>
      </c>
      <c r="AV706">
        <v>285</v>
      </c>
      <c r="AW706">
        <v>285</v>
      </c>
      <c r="AX706">
        <v>427</v>
      </c>
      <c r="BA706">
        <v>1</v>
      </c>
      <c r="BC706" t="s">
        <v>1503</v>
      </c>
      <c r="BD706" s="4">
        <v>43283.568749999999</v>
      </c>
      <c r="BE706" s="4">
        <v>43283.574895833335</v>
      </c>
      <c r="BF706" s="4">
        <v>43283.574895833335</v>
      </c>
      <c r="BG706" t="s">
        <v>83</v>
      </c>
      <c r="BH706" t="s">
        <v>84</v>
      </c>
      <c r="BI706" t="s">
        <v>85</v>
      </c>
    </row>
    <row r="707" spans="1:61" x14ac:dyDescent="0.3">
      <c r="A707" t="str">
        <f>"200760C0100"</f>
        <v>200760C0100</v>
      </c>
      <c r="B707" t="s">
        <v>1504</v>
      </c>
      <c r="C707">
        <v>20</v>
      </c>
      <c r="D707" t="s">
        <v>79</v>
      </c>
      <c r="E707">
        <v>4</v>
      </c>
      <c r="F707" t="s">
        <v>1317</v>
      </c>
      <c r="G707">
        <v>760</v>
      </c>
      <c r="H707">
        <v>1</v>
      </c>
      <c r="I707" t="s">
        <v>89</v>
      </c>
      <c r="J707">
        <v>0</v>
      </c>
      <c r="K707">
        <v>2</v>
      </c>
      <c r="L707">
        <v>2</v>
      </c>
      <c r="M707">
        <v>156</v>
      </c>
      <c r="N707">
        <v>291</v>
      </c>
      <c r="O707">
        <v>0</v>
      </c>
      <c r="P707">
        <v>291</v>
      </c>
      <c r="Q707">
        <v>13</v>
      </c>
      <c r="R707">
        <v>60</v>
      </c>
      <c r="S707">
        <v>2</v>
      </c>
      <c r="T707">
        <v>5</v>
      </c>
      <c r="U707">
        <v>13</v>
      </c>
      <c r="V707">
        <v>5</v>
      </c>
      <c r="W707">
        <v>0</v>
      </c>
      <c r="X707">
        <v>7</v>
      </c>
      <c r="Y707">
        <v>159</v>
      </c>
      <c r="Z707">
        <v>4</v>
      </c>
      <c r="AA707">
        <v>0</v>
      </c>
      <c r="AC707">
        <v>0</v>
      </c>
      <c r="AD707">
        <v>0</v>
      </c>
      <c r="AE707">
        <v>0</v>
      </c>
      <c r="AF707">
        <v>0</v>
      </c>
      <c r="AG707">
        <v>2</v>
      </c>
      <c r="AH707">
        <v>2</v>
      </c>
      <c r="AI707">
        <v>0</v>
      </c>
      <c r="AJ707">
        <v>0</v>
      </c>
      <c r="AK707">
        <v>3</v>
      </c>
      <c r="AL707">
        <v>0</v>
      </c>
      <c r="AM707">
        <v>0</v>
      </c>
      <c r="AN707">
        <v>0</v>
      </c>
      <c r="AT707">
        <v>1</v>
      </c>
      <c r="AU707">
        <v>4</v>
      </c>
      <c r="AV707">
        <v>291</v>
      </c>
      <c r="AW707">
        <v>280</v>
      </c>
      <c r="AX707">
        <v>426</v>
      </c>
      <c r="BA707">
        <v>1</v>
      </c>
      <c r="BC707" t="s">
        <v>1505</v>
      </c>
      <c r="BD707" s="4">
        <v>43283.568749999999</v>
      </c>
      <c r="BE707" s="4">
        <v>43283.57675925926</v>
      </c>
      <c r="BF707" s="4">
        <v>43283.57675925926</v>
      </c>
      <c r="BG707" t="s">
        <v>83</v>
      </c>
      <c r="BH707" t="s">
        <v>84</v>
      </c>
      <c r="BI707" t="s">
        <v>85</v>
      </c>
    </row>
    <row r="708" spans="1:61" x14ac:dyDescent="0.3">
      <c r="A708" t="str">
        <f>"200788B0100"</f>
        <v>200788B0100</v>
      </c>
      <c r="B708" t="s">
        <v>1506</v>
      </c>
      <c r="C708">
        <v>20</v>
      </c>
      <c r="D708" t="s">
        <v>79</v>
      </c>
      <c r="E708">
        <v>4</v>
      </c>
      <c r="F708" t="s">
        <v>1317</v>
      </c>
      <c r="G708">
        <v>788</v>
      </c>
      <c r="H708">
        <v>1</v>
      </c>
      <c r="I708" t="s">
        <v>81</v>
      </c>
      <c r="J708">
        <v>0</v>
      </c>
      <c r="K708">
        <v>2</v>
      </c>
      <c r="L708">
        <v>2</v>
      </c>
      <c r="M708">
        <v>233</v>
      </c>
      <c r="N708" t="s">
        <v>100</v>
      </c>
      <c r="O708">
        <v>0</v>
      </c>
      <c r="P708">
        <v>528</v>
      </c>
      <c r="Q708">
        <v>7</v>
      </c>
      <c r="R708">
        <v>61</v>
      </c>
      <c r="S708">
        <v>4</v>
      </c>
      <c r="T708">
        <v>5</v>
      </c>
      <c r="U708">
        <v>8</v>
      </c>
      <c r="V708">
        <v>2</v>
      </c>
      <c r="W708">
        <v>1</v>
      </c>
      <c r="X708">
        <v>90</v>
      </c>
      <c r="Y708">
        <v>314</v>
      </c>
      <c r="Z708">
        <v>9</v>
      </c>
      <c r="AA708">
        <v>2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6</v>
      </c>
      <c r="AJ708">
        <v>0</v>
      </c>
      <c r="AK708">
        <v>0</v>
      </c>
      <c r="AL708">
        <v>1</v>
      </c>
      <c r="AM708">
        <v>1</v>
      </c>
      <c r="AN708">
        <v>3</v>
      </c>
      <c r="AT708">
        <v>0</v>
      </c>
      <c r="AU708">
        <v>14</v>
      </c>
      <c r="AV708">
        <v>528</v>
      </c>
      <c r="AW708">
        <v>528</v>
      </c>
      <c r="AX708">
        <v>739</v>
      </c>
      <c r="BA708">
        <v>1</v>
      </c>
      <c r="BC708" t="s">
        <v>1507</v>
      </c>
      <c r="BD708" s="4">
        <v>43283.034722222219</v>
      </c>
      <c r="BE708" s="4">
        <v>43283.040335648147</v>
      </c>
      <c r="BF708" s="4">
        <v>43283.040335648147</v>
      </c>
      <c r="BG708" t="s">
        <v>83</v>
      </c>
      <c r="BH708" t="s">
        <v>84</v>
      </c>
      <c r="BI708" t="s">
        <v>85</v>
      </c>
    </row>
    <row r="709" spans="1:61" x14ac:dyDescent="0.3">
      <c r="A709" t="str">
        <f>"200788E0100"</f>
        <v>200788E0100</v>
      </c>
      <c r="B709" s="2" t="s">
        <v>1508</v>
      </c>
      <c r="C709">
        <v>20</v>
      </c>
      <c r="D709" t="s">
        <v>79</v>
      </c>
      <c r="E709">
        <v>4</v>
      </c>
      <c r="F709" t="s">
        <v>1317</v>
      </c>
      <c r="G709">
        <v>788</v>
      </c>
      <c r="H709">
        <v>1</v>
      </c>
      <c r="I709" t="s">
        <v>145</v>
      </c>
      <c r="J709">
        <v>0</v>
      </c>
      <c r="K709">
        <v>2</v>
      </c>
      <c r="L709">
        <v>2</v>
      </c>
      <c r="M709">
        <v>61</v>
      </c>
      <c r="N709">
        <v>227</v>
      </c>
      <c r="O709">
        <v>4</v>
      </c>
      <c r="P709">
        <v>227</v>
      </c>
      <c r="Q709">
        <v>7</v>
      </c>
      <c r="R709">
        <v>31</v>
      </c>
      <c r="S709">
        <v>0</v>
      </c>
      <c r="T709">
        <v>0</v>
      </c>
      <c r="U709">
        <v>6</v>
      </c>
      <c r="V709">
        <v>1</v>
      </c>
      <c r="W709">
        <v>20</v>
      </c>
      <c r="X709">
        <v>1</v>
      </c>
      <c r="Y709">
        <v>147</v>
      </c>
      <c r="Z709">
        <v>6</v>
      </c>
      <c r="AA709">
        <v>0</v>
      </c>
      <c r="AC709">
        <v>0</v>
      </c>
      <c r="AD709">
        <v>0</v>
      </c>
      <c r="AE709">
        <v>0</v>
      </c>
      <c r="AF709">
        <v>0</v>
      </c>
      <c r="AG709">
        <v>1</v>
      </c>
      <c r="AH709">
        <v>0</v>
      </c>
      <c r="AI709">
        <v>0</v>
      </c>
      <c r="AJ709">
        <v>0</v>
      </c>
      <c r="AK709">
        <v>1</v>
      </c>
      <c r="AL709">
        <v>0</v>
      </c>
      <c r="AM709">
        <v>0</v>
      </c>
      <c r="AN709">
        <v>1</v>
      </c>
      <c r="AT709">
        <v>0</v>
      </c>
      <c r="AU709">
        <v>5</v>
      </c>
      <c r="AV709">
        <v>227</v>
      </c>
      <c r="AW709">
        <v>227</v>
      </c>
      <c r="AX709">
        <v>267</v>
      </c>
      <c r="BA709">
        <v>1</v>
      </c>
      <c r="BC709" t="s">
        <v>1509</v>
      </c>
      <c r="BD709" s="4">
        <v>43283.009027777778</v>
      </c>
      <c r="BE709" s="4">
        <v>43283.014953703707</v>
      </c>
      <c r="BF709" s="4">
        <v>43283.014953703707</v>
      </c>
      <c r="BG709" t="s">
        <v>83</v>
      </c>
      <c r="BH709" t="s">
        <v>84</v>
      </c>
      <c r="BI709" t="s">
        <v>85</v>
      </c>
    </row>
    <row r="710" spans="1:61" x14ac:dyDescent="0.3">
      <c r="A710" t="str">
        <f>"200804B0100"</f>
        <v>200804B0100</v>
      </c>
      <c r="B710" t="s">
        <v>1510</v>
      </c>
      <c r="C710">
        <v>20</v>
      </c>
      <c r="D710" t="s">
        <v>79</v>
      </c>
      <c r="E710">
        <v>4</v>
      </c>
      <c r="F710" t="s">
        <v>1317</v>
      </c>
      <c r="G710">
        <v>804</v>
      </c>
      <c r="H710">
        <v>1</v>
      </c>
      <c r="I710" t="s">
        <v>81</v>
      </c>
      <c r="J710">
        <v>0</v>
      </c>
      <c r="K710">
        <v>2</v>
      </c>
      <c r="L710">
        <v>2</v>
      </c>
      <c r="M710">
        <v>122</v>
      </c>
      <c r="N710">
        <v>518</v>
      </c>
      <c r="O710">
        <v>0</v>
      </c>
      <c r="P710">
        <v>518</v>
      </c>
      <c r="Q710">
        <v>8</v>
      </c>
      <c r="R710">
        <v>93</v>
      </c>
      <c r="S710">
        <v>9</v>
      </c>
      <c r="T710">
        <v>0</v>
      </c>
      <c r="U710">
        <v>13</v>
      </c>
      <c r="V710">
        <v>7</v>
      </c>
      <c r="W710">
        <v>110</v>
      </c>
      <c r="X710">
        <v>78</v>
      </c>
      <c r="Y710">
        <v>61</v>
      </c>
      <c r="Z710">
        <v>5</v>
      </c>
      <c r="AA710">
        <v>80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T710">
        <v>0</v>
      </c>
      <c r="AU710">
        <v>0</v>
      </c>
      <c r="AV710">
        <v>0</v>
      </c>
      <c r="AW710">
        <v>464</v>
      </c>
      <c r="AX710">
        <v>618</v>
      </c>
      <c r="BA710">
        <v>1</v>
      </c>
      <c r="BC710" t="s">
        <v>1511</v>
      </c>
      <c r="BD710" s="4">
        <v>43283.35</v>
      </c>
      <c r="BE710" s="4">
        <v>43283.362986111111</v>
      </c>
      <c r="BF710" s="4">
        <v>43283.362986111111</v>
      </c>
      <c r="BG710" t="s">
        <v>83</v>
      </c>
      <c r="BH710" t="s">
        <v>84</v>
      </c>
      <c r="BI710" t="s">
        <v>85</v>
      </c>
    </row>
    <row r="711" spans="1:61" x14ac:dyDescent="0.3">
      <c r="A711" t="str">
        <f>"200804C0100"</f>
        <v>200804C0100</v>
      </c>
      <c r="B711" t="s">
        <v>1512</v>
      </c>
      <c r="C711">
        <v>20</v>
      </c>
      <c r="D711" t="s">
        <v>79</v>
      </c>
      <c r="E711">
        <v>4</v>
      </c>
      <c r="F711" t="s">
        <v>1317</v>
      </c>
      <c r="G711">
        <v>804</v>
      </c>
      <c r="H711">
        <v>1</v>
      </c>
      <c r="I711" t="s">
        <v>89</v>
      </c>
      <c r="J711">
        <v>0</v>
      </c>
      <c r="K711">
        <v>2</v>
      </c>
      <c r="L711">
        <v>2</v>
      </c>
      <c r="M711">
        <v>125</v>
      </c>
      <c r="N711" t="s">
        <v>100</v>
      </c>
      <c r="O711" t="s">
        <v>100</v>
      </c>
      <c r="P711" t="s">
        <v>100</v>
      </c>
      <c r="Q711">
        <v>7</v>
      </c>
      <c r="R711">
        <v>91</v>
      </c>
      <c r="S711">
        <v>9</v>
      </c>
      <c r="T711">
        <v>2</v>
      </c>
      <c r="U711">
        <v>21</v>
      </c>
      <c r="V711">
        <v>1</v>
      </c>
      <c r="W711">
        <v>92</v>
      </c>
      <c r="X711">
        <v>85</v>
      </c>
      <c r="Y711">
        <v>42</v>
      </c>
      <c r="Z711">
        <v>4</v>
      </c>
      <c r="AA711">
        <v>85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1</v>
      </c>
      <c r="AL711">
        <v>0</v>
      </c>
      <c r="AM711">
        <v>0</v>
      </c>
      <c r="AN711">
        <v>0</v>
      </c>
      <c r="AT711">
        <v>0</v>
      </c>
      <c r="AU711">
        <v>74</v>
      </c>
      <c r="AV711">
        <v>514</v>
      </c>
      <c r="AW711">
        <v>514</v>
      </c>
      <c r="AX711">
        <v>618</v>
      </c>
      <c r="BA711">
        <v>1</v>
      </c>
      <c r="BC711" t="s">
        <v>1513</v>
      </c>
      <c r="BD711" s="4">
        <v>43283.35</v>
      </c>
      <c r="BE711" s="4">
        <v>43283.363506944443</v>
      </c>
      <c r="BF711" s="4">
        <v>43283.363506944443</v>
      </c>
      <c r="BG711" t="s">
        <v>83</v>
      </c>
      <c r="BH711" t="s">
        <v>84</v>
      </c>
      <c r="BI711" t="s">
        <v>85</v>
      </c>
    </row>
    <row r="712" spans="1:61" x14ac:dyDescent="0.3">
      <c r="A712" t="str">
        <f>"200805B0100"</f>
        <v>200805B0100</v>
      </c>
      <c r="B712" t="s">
        <v>1514</v>
      </c>
      <c r="C712">
        <v>20</v>
      </c>
      <c r="D712" t="s">
        <v>79</v>
      </c>
      <c r="E712">
        <v>4</v>
      </c>
      <c r="F712" t="s">
        <v>1317</v>
      </c>
      <c r="G712">
        <v>805</v>
      </c>
      <c r="H712">
        <v>1</v>
      </c>
      <c r="I712" t="s">
        <v>81</v>
      </c>
      <c r="J712">
        <v>0</v>
      </c>
      <c r="K712">
        <v>2</v>
      </c>
      <c r="L712">
        <v>2</v>
      </c>
      <c r="M712">
        <v>85</v>
      </c>
      <c r="N712">
        <v>360</v>
      </c>
      <c r="O712">
        <v>0</v>
      </c>
      <c r="P712">
        <v>360</v>
      </c>
      <c r="Q712">
        <v>10</v>
      </c>
      <c r="R712">
        <v>68</v>
      </c>
      <c r="S712">
        <v>5</v>
      </c>
      <c r="T712">
        <v>2</v>
      </c>
      <c r="U712">
        <v>5</v>
      </c>
      <c r="V712">
        <v>0</v>
      </c>
      <c r="W712">
        <v>70</v>
      </c>
      <c r="X712">
        <v>51</v>
      </c>
      <c r="Y712">
        <v>53</v>
      </c>
      <c r="Z712">
        <v>3</v>
      </c>
      <c r="AA712">
        <v>63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T712">
        <v>0</v>
      </c>
      <c r="AU712">
        <v>30</v>
      </c>
      <c r="AV712">
        <v>360</v>
      </c>
      <c r="AW712">
        <v>360</v>
      </c>
      <c r="AX712">
        <v>423</v>
      </c>
      <c r="BA712">
        <v>1</v>
      </c>
      <c r="BC712" t="s">
        <v>1515</v>
      </c>
      <c r="BD712" s="4">
        <v>43283.35</v>
      </c>
      <c r="BE712" s="4">
        <v>43283.363194444442</v>
      </c>
      <c r="BF712" s="4">
        <v>43283.363194444442</v>
      </c>
      <c r="BG712" t="s">
        <v>83</v>
      </c>
      <c r="BH712" t="s">
        <v>84</v>
      </c>
      <c r="BI712" t="s">
        <v>85</v>
      </c>
    </row>
    <row r="713" spans="1:61" x14ac:dyDescent="0.3">
      <c r="A713" t="str">
        <f>"200805C0100"</f>
        <v>200805C0100</v>
      </c>
      <c r="B713" t="s">
        <v>1516</v>
      </c>
      <c r="C713">
        <v>20</v>
      </c>
      <c r="D713" t="s">
        <v>79</v>
      </c>
      <c r="E713">
        <v>4</v>
      </c>
      <c r="F713" t="s">
        <v>1317</v>
      </c>
      <c r="G713">
        <v>805</v>
      </c>
      <c r="H713">
        <v>1</v>
      </c>
      <c r="I713" t="s">
        <v>89</v>
      </c>
      <c r="J713">
        <v>0</v>
      </c>
      <c r="K713">
        <v>2</v>
      </c>
      <c r="L713">
        <v>2</v>
      </c>
      <c r="M713">
        <v>86</v>
      </c>
      <c r="N713">
        <v>357</v>
      </c>
      <c r="O713">
        <v>0</v>
      </c>
      <c r="P713">
        <v>357</v>
      </c>
      <c r="Q713">
        <v>5</v>
      </c>
      <c r="R713">
        <v>60</v>
      </c>
      <c r="S713">
        <v>5</v>
      </c>
      <c r="T713">
        <v>0</v>
      </c>
      <c r="U713">
        <v>10</v>
      </c>
      <c r="V713">
        <v>0</v>
      </c>
      <c r="W713">
        <v>54</v>
      </c>
      <c r="X713">
        <v>71</v>
      </c>
      <c r="Y713">
        <v>52</v>
      </c>
      <c r="Z713">
        <v>2</v>
      </c>
      <c r="AA713">
        <v>53</v>
      </c>
      <c r="AC713">
        <v>1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1</v>
      </c>
      <c r="AJ713">
        <v>0</v>
      </c>
      <c r="AK713">
        <v>0</v>
      </c>
      <c r="AL713">
        <v>0</v>
      </c>
      <c r="AM713">
        <v>0</v>
      </c>
      <c r="AN713">
        <v>0</v>
      </c>
      <c r="AT713">
        <v>0</v>
      </c>
      <c r="AU713">
        <v>43</v>
      </c>
      <c r="AV713">
        <v>357</v>
      </c>
      <c r="AW713">
        <v>357</v>
      </c>
      <c r="AX713">
        <v>423</v>
      </c>
      <c r="BA713">
        <v>1</v>
      </c>
      <c r="BC713" t="s">
        <v>1517</v>
      </c>
      <c r="BD713" s="4">
        <v>43283.35</v>
      </c>
      <c r="BE713" s="4">
        <v>43283.365497685183</v>
      </c>
      <c r="BF713" s="4">
        <v>43283.365497685183</v>
      </c>
      <c r="BG713" t="s">
        <v>83</v>
      </c>
      <c r="BH713" t="s">
        <v>84</v>
      </c>
      <c r="BI713" t="s">
        <v>85</v>
      </c>
    </row>
    <row r="714" spans="1:61" x14ac:dyDescent="0.3">
      <c r="A714" t="str">
        <f>"200806B0100"</f>
        <v>200806B0100</v>
      </c>
      <c r="B714" t="s">
        <v>1518</v>
      </c>
      <c r="C714">
        <v>20</v>
      </c>
      <c r="D714" t="s">
        <v>79</v>
      </c>
      <c r="E714">
        <v>4</v>
      </c>
      <c r="F714" t="s">
        <v>1317</v>
      </c>
      <c r="G714">
        <v>806</v>
      </c>
      <c r="H714">
        <v>1</v>
      </c>
      <c r="I714" t="s">
        <v>81</v>
      </c>
      <c r="J714">
        <v>0</v>
      </c>
      <c r="K714">
        <v>2</v>
      </c>
      <c r="L714">
        <v>2</v>
      </c>
      <c r="M714" t="s">
        <v>100</v>
      </c>
      <c r="N714" t="s">
        <v>100</v>
      </c>
      <c r="O714" t="s">
        <v>100</v>
      </c>
      <c r="P714" t="s">
        <v>100</v>
      </c>
      <c r="Q714">
        <v>5</v>
      </c>
      <c r="R714">
        <v>99</v>
      </c>
      <c r="S714">
        <v>1</v>
      </c>
      <c r="T714">
        <v>1</v>
      </c>
      <c r="U714">
        <v>4</v>
      </c>
      <c r="V714">
        <v>3</v>
      </c>
      <c r="W714">
        <v>69</v>
      </c>
      <c r="X714">
        <v>147</v>
      </c>
      <c r="Y714">
        <v>66</v>
      </c>
      <c r="Z714">
        <v>6</v>
      </c>
      <c r="AA714">
        <v>134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T714">
        <v>0</v>
      </c>
      <c r="AU714">
        <v>40</v>
      </c>
      <c r="AV714">
        <v>575</v>
      </c>
      <c r="AW714">
        <v>575</v>
      </c>
      <c r="AX714">
        <v>684</v>
      </c>
      <c r="BA714">
        <v>1</v>
      </c>
      <c r="BC714" t="s">
        <v>1519</v>
      </c>
      <c r="BD714" s="4">
        <v>43283.350694444445</v>
      </c>
      <c r="BE714" s="4">
        <v>43283.365844907406</v>
      </c>
      <c r="BF714" s="4">
        <v>43283.365844907406</v>
      </c>
      <c r="BG714" t="s">
        <v>83</v>
      </c>
      <c r="BH714" t="s">
        <v>84</v>
      </c>
      <c r="BI714" t="s">
        <v>85</v>
      </c>
    </row>
    <row r="715" spans="1:61" x14ac:dyDescent="0.3">
      <c r="A715" t="str">
        <f>"200875B0100"</f>
        <v>200875B0100</v>
      </c>
      <c r="B715" t="s">
        <v>1520</v>
      </c>
      <c r="C715">
        <v>20</v>
      </c>
      <c r="D715" t="s">
        <v>79</v>
      </c>
      <c r="E715">
        <v>4</v>
      </c>
      <c r="F715" t="s">
        <v>1317</v>
      </c>
      <c r="G715">
        <v>875</v>
      </c>
      <c r="H715">
        <v>1</v>
      </c>
      <c r="I715" t="s">
        <v>81</v>
      </c>
      <c r="J715">
        <v>0</v>
      </c>
      <c r="K715">
        <v>2</v>
      </c>
      <c r="L715">
        <v>2</v>
      </c>
      <c r="M715">
        <v>244</v>
      </c>
      <c r="N715">
        <v>362</v>
      </c>
      <c r="O715">
        <v>0</v>
      </c>
      <c r="P715">
        <v>362</v>
      </c>
      <c r="Q715">
        <v>8</v>
      </c>
      <c r="R715">
        <v>65</v>
      </c>
      <c r="S715">
        <v>14</v>
      </c>
      <c r="T715">
        <v>4</v>
      </c>
      <c r="U715">
        <v>22</v>
      </c>
      <c r="V715">
        <v>6</v>
      </c>
      <c r="W715">
        <v>17</v>
      </c>
      <c r="X715">
        <v>50</v>
      </c>
      <c r="Y715">
        <v>109</v>
      </c>
      <c r="Z715">
        <v>10</v>
      </c>
      <c r="AA715">
        <v>0</v>
      </c>
      <c r="AC715">
        <v>0</v>
      </c>
      <c r="AD715">
        <v>1</v>
      </c>
      <c r="AE715">
        <v>0</v>
      </c>
      <c r="AF715">
        <v>0</v>
      </c>
      <c r="AG715">
        <v>10</v>
      </c>
      <c r="AH715">
        <v>1</v>
      </c>
      <c r="AI715">
        <v>7</v>
      </c>
      <c r="AJ715">
        <v>0</v>
      </c>
      <c r="AK715">
        <v>3</v>
      </c>
      <c r="AL715">
        <v>0</v>
      </c>
      <c r="AM715">
        <v>0</v>
      </c>
      <c r="AN715">
        <v>2</v>
      </c>
      <c r="AT715">
        <v>0</v>
      </c>
      <c r="AU715">
        <v>33</v>
      </c>
      <c r="AV715">
        <v>362</v>
      </c>
      <c r="AW715">
        <v>362</v>
      </c>
      <c r="AX715">
        <v>584</v>
      </c>
      <c r="BA715">
        <v>1</v>
      </c>
      <c r="BC715" t="s">
        <v>1521</v>
      </c>
      <c r="BD715" s="4">
        <v>43283.328472222223</v>
      </c>
      <c r="BE715" s="4">
        <v>43283.34815972222</v>
      </c>
      <c r="BF715" s="4">
        <v>43283.34815972222</v>
      </c>
      <c r="BG715" t="s">
        <v>83</v>
      </c>
      <c r="BH715" t="s">
        <v>84</v>
      </c>
      <c r="BI715" t="s">
        <v>1331</v>
      </c>
    </row>
    <row r="716" spans="1:61" x14ac:dyDescent="0.3">
      <c r="A716" t="str">
        <f>"200875E0100"</f>
        <v>200875E0100</v>
      </c>
      <c r="B716" s="2" t="s">
        <v>1522</v>
      </c>
      <c r="C716">
        <v>20</v>
      </c>
      <c r="D716" t="s">
        <v>79</v>
      </c>
      <c r="E716">
        <v>4</v>
      </c>
      <c r="F716" t="s">
        <v>1317</v>
      </c>
      <c r="G716">
        <v>875</v>
      </c>
      <c r="H716">
        <v>1</v>
      </c>
      <c r="I716" t="s">
        <v>145</v>
      </c>
      <c r="J716">
        <v>0</v>
      </c>
      <c r="K716">
        <v>2</v>
      </c>
      <c r="L716">
        <v>2</v>
      </c>
      <c r="M716">
        <v>286</v>
      </c>
      <c r="N716">
        <v>465</v>
      </c>
      <c r="O716">
        <v>465</v>
      </c>
      <c r="P716">
        <v>465</v>
      </c>
      <c r="Q716">
        <v>3</v>
      </c>
      <c r="R716">
        <v>58</v>
      </c>
      <c r="S716">
        <v>6</v>
      </c>
      <c r="T716">
        <v>9</v>
      </c>
      <c r="U716">
        <v>24</v>
      </c>
      <c r="V716">
        <v>6</v>
      </c>
      <c r="W716">
        <v>11</v>
      </c>
      <c r="X716">
        <v>30</v>
      </c>
      <c r="Y716">
        <v>257</v>
      </c>
      <c r="Z716">
        <v>6</v>
      </c>
      <c r="AA716">
        <v>1</v>
      </c>
      <c r="AC716">
        <v>0</v>
      </c>
      <c r="AD716">
        <v>0</v>
      </c>
      <c r="AE716">
        <v>0</v>
      </c>
      <c r="AF716">
        <v>0</v>
      </c>
      <c r="AG716">
        <v>19</v>
      </c>
      <c r="AH716">
        <v>0</v>
      </c>
      <c r="AI716">
        <v>1</v>
      </c>
      <c r="AJ716">
        <v>0</v>
      </c>
      <c r="AK716">
        <v>12</v>
      </c>
      <c r="AL716">
        <v>3</v>
      </c>
      <c r="AM716">
        <v>1</v>
      </c>
      <c r="AN716">
        <v>1</v>
      </c>
      <c r="AT716">
        <v>0</v>
      </c>
      <c r="AU716">
        <v>17</v>
      </c>
      <c r="AV716">
        <v>465</v>
      </c>
      <c r="AW716">
        <v>465</v>
      </c>
      <c r="AX716">
        <v>729</v>
      </c>
      <c r="BA716">
        <v>1</v>
      </c>
      <c r="BC716" t="s">
        <v>1523</v>
      </c>
      <c r="BD716" s="4">
        <v>43283.343055555553</v>
      </c>
      <c r="BE716" s="4">
        <v>43283.358240740738</v>
      </c>
      <c r="BF716" s="4">
        <v>43283.358240740738</v>
      </c>
      <c r="BG716" t="s">
        <v>83</v>
      </c>
      <c r="BH716" t="s">
        <v>84</v>
      </c>
      <c r="BI716" t="s">
        <v>85</v>
      </c>
    </row>
    <row r="717" spans="1:61" x14ac:dyDescent="0.3">
      <c r="A717" t="str">
        <f>"200882B0100"</f>
        <v>200882B0100</v>
      </c>
      <c r="B717" t="s">
        <v>1524</v>
      </c>
      <c r="C717">
        <v>20</v>
      </c>
      <c r="D717" t="s">
        <v>79</v>
      </c>
      <c r="E717">
        <v>4</v>
      </c>
      <c r="F717" t="s">
        <v>1317</v>
      </c>
      <c r="G717">
        <v>882</v>
      </c>
      <c r="H717">
        <v>1</v>
      </c>
      <c r="I717" t="s">
        <v>81</v>
      </c>
      <c r="J717">
        <v>0</v>
      </c>
      <c r="K717">
        <v>2</v>
      </c>
      <c r="L717">
        <v>2</v>
      </c>
      <c r="M717">
        <v>318</v>
      </c>
      <c r="N717" t="s">
        <v>315</v>
      </c>
      <c r="O717">
        <v>0</v>
      </c>
      <c r="P717">
        <v>345</v>
      </c>
      <c r="Q717">
        <v>9</v>
      </c>
      <c r="R717">
        <v>49</v>
      </c>
      <c r="S717">
        <v>20</v>
      </c>
      <c r="T717">
        <v>3</v>
      </c>
      <c r="U717">
        <v>18</v>
      </c>
      <c r="V717">
        <v>5</v>
      </c>
      <c r="W717">
        <v>1</v>
      </c>
      <c r="X717">
        <v>5</v>
      </c>
      <c r="Y717">
        <v>167</v>
      </c>
      <c r="Z717">
        <v>8</v>
      </c>
      <c r="AA717">
        <v>0</v>
      </c>
      <c r="AC717">
        <v>1</v>
      </c>
      <c r="AD717">
        <v>1</v>
      </c>
      <c r="AE717">
        <v>0</v>
      </c>
      <c r="AF717">
        <v>0</v>
      </c>
      <c r="AG717">
        <v>6</v>
      </c>
      <c r="AH717">
        <v>1</v>
      </c>
      <c r="AI717">
        <v>4</v>
      </c>
      <c r="AJ717">
        <v>0</v>
      </c>
      <c r="AK717">
        <v>8</v>
      </c>
      <c r="AL717">
        <v>5</v>
      </c>
      <c r="AM717">
        <v>0</v>
      </c>
      <c r="AN717">
        <v>4</v>
      </c>
      <c r="AT717">
        <v>0</v>
      </c>
      <c r="AU717">
        <v>30</v>
      </c>
      <c r="AV717" t="s">
        <v>315</v>
      </c>
      <c r="AW717">
        <v>345</v>
      </c>
      <c r="AX717">
        <v>657</v>
      </c>
      <c r="BA717">
        <v>1</v>
      </c>
      <c r="BC717" t="s">
        <v>1525</v>
      </c>
      <c r="BD717" s="4">
        <v>43283.341666666667</v>
      </c>
      <c r="BE717" s="4">
        <v>43283.359201388892</v>
      </c>
      <c r="BF717" s="4">
        <v>43283.359201388892</v>
      </c>
      <c r="BG717" t="s">
        <v>83</v>
      </c>
      <c r="BH717" t="s">
        <v>84</v>
      </c>
      <c r="BI717" t="s">
        <v>85</v>
      </c>
    </row>
    <row r="718" spans="1:61" x14ac:dyDescent="0.3">
      <c r="A718" t="str">
        <f>"200932B0100"</f>
        <v>200932B0100</v>
      </c>
      <c r="B718" t="s">
        <v>1526</v>
      </c>
      <c r="C718">
        <v>20</v>
      </c>
      <c r="D718" t="s">
        <v>79</v>
      </c>
      <c r="E718">
        <v>4</v>
      </c>
      <c r="F718" t="s">
        <v>1317</v>
      </c>
      <c r="G718">
        <v>932</v>
      </c>
      <c r="H718">
        <v>1</v>
      </c>
      <c r="I718" t="s">
        <v>81</v>
      </c>
      <c r="J718">
        <v>0</v>
      </c>
      <c r="K718">
        <v>2</v>
      </c>
      <c r="L718">
        <v>2</v>
      </c>
      <c r="M718">
        <v>271</v>
      </c>
      <c r="N718">
        <v>421</v>
      </c>
      <c r="O718">
        <v>0</v>
      </c>
      <c r="P718">
        <v>421</v>
      </c>
      <c r="Q718">
        <v>8</v>
      </c>
      <c r="R718">
        <v>109</v>
      </c>
      <c r="S718">
        <v>13</v>
      </c>
      <c r="T718">
        <v>8</v>
      </c>
      <c r="U718">
        <v>13</v>
      </c>
      <c r="V718">
        <v>5</v>
      </c>
      <c r="W718">
        <v>3</v>
      </c>
      <c r="X718">
        <v>11</v>
      </c>
      <c r="Y718">
        <v>213</v>
      </c>
      <c r="Z718">
        <v>6</v>
      </c>
      <c r="AA718">
        <v>4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3</v>
      </c>
      <c r="AI718">
        <v>1</v>
      </c>
      <c r="AJ718">
        <v>0</v>
      </c>
      <c r="AK718">
        <v>3</v>
      </c>
      <c r="AL718">
        <v>1</v>
      </c>
      <c r="AM718">
        <v>1</v>
      </c>
      <c r="AN718">
        <v>5</v>
      </c>
      <c r="AT718">
        <v>0</v>
      </c>
      <c r="AU718">
        <v>19</v>
      </c>
      <c r="AV718">
        <v>421</v>
      </c>
      <c r="AW718">
        <v>426</v>
      </c>
      <c r="AX718">
        <v>676</v>
      </c>
      <c r="BA718">
        <v>1</v>
      </c>
      <c r="BC718" t="s">
        <v>1527</v>
      </c>
      <c r="BD718" s="4">
        <v>43283.150694444441</v>
      </c>
      <c r="BE718" s="4">
        <v>43283.16</v>
      </c>
      <c r="BF718" s="4">
        <v>43283.16</v>
      </c>
      <c r="BG718" t="s">
        <v>83</v>
      </c>
      <c r="BH718" t="s">
        <v>84</v>
      </c>
      <c r="BI718" t="s">
        <v>85</v>
      </c>
    </row>
    <row r="719" spans="1:61" x14ac:dyDescent="0.3">
      <c r="A719" t="str">
        <f>"200932E0100"</f>
        <v>200932E0100</v>
      </c>
      <c r="B719" s="2" t="s">
        <v>1528</v>
      </c>
      <c r="C719">
        <v>20</v>
      </c>
      <c r="D719" t="s">
        <v>79</v>
      </c>
      <c r="E719">
        <v>4</v>
      </c>
      <c r="F719" t="s">
        <v>1317</v>
      </c>
      <c r="G719">
        <v>932</v>
      </c>
      <c r="H719">
        <v>1</v>
      </c>
      <c r="I719" t="s">
        <v>145</v>
      </c>
      <c r="J719">
        <v>0</v>
      </c>
      <c r="K719">
        <v>2</v>
      </c>
      <c r="L719">
        <v>2</v>
      </c>
      <c r="M719">
        <v>165</v>
      </c>
      <c r="N719">
        <v>100</v>
      </c>
      <c r="O719">
        <v>3</v>
      </c>
      <c r="P719">
        <v>100</v>
      </c>
      <c r="Q719">
        <v>4</v>
      </c>
      <c r="R719">
        <v>16</v>
      </c>
      <c r="S719">
        <v>7</v>
      </c>
      <c r="T719">
        <v>2</v>
      </c>
      <c r="U719">
        <v>6</v>
      </c>
      <c r="V719">
        <v>3</v>
      </c>
      <c r="W719">
        <v>2</v>
      </c>
      <c r="X719">
        <v>1</v>
      </c>
      <c r="Y719">
        <v>34</v>
      </c>
      <c r="Z719">
        <v>4</v>
      </c>
      <c r="AA719">
        <v>1</v>
      </c>
      <c r="AC719">
        <v>0</v>
      </c>
      <c r="AD719">
        <v>0</v>
      </c>
      <c r="AE719">
        <v>0</v>
      </c>
      <c r="AF719">
        <v>0</v>
      </c>
      <c r="AG719">
        <v>2</v>
      </c>
      <c r="AH719">
        <v>3</v>
      </c>
      <c r="AI719">
        <v>3</v>
      </c>
      <c r="AJ719">
        <v>0</v>
      </c>
      <c r="AK719">
        <v>0</v>
      </c>
      <c r="AL719">
        <v>0</v>
      </c>
      <c r="AM719">
        <v>0</v>
      </c>
      <c r="AN719">
        <v>0</v>
      </c>
      <c r="AT719">
        <v>0</v>
      </c>
      <c r="AU719">
        <v>12</v>
      </c>
      <c r="AV719">
        <v>100</v>
      </c>
      <c r="AW719">
        <v>100</v>
      </c>
      <c r="AX719">
        <v>243</v>
      </c>
      <c r="BA719">
        <v>1</v>
      </c>
      <c r="BC719" t="s">
        <v>1529</v>
      </c>
      <c r="BD719" s="4">
        <v>43283.161111111112</v>
      </c>
      <c r="BE719" s="4">
        <v>43283.175567129627</v>
      </c>
      <c r="BF719" s="4">
        <v>43283.175567129627</v>
      </c>
      <c r="BG719" t="s">
        <v>83</v>
      </c>
      <c r="BH719" t="s">
        <v>84</v>
      </c>
      <c r="BI719" t="s">
        <v>85</v>
      </c>
    </row>
    <row r="720" spans="1:61" x14ac:dyDescent="0.3">
      <c r="A720" t="str">
        <f>"200933B0100"</f>
        <v>200933B0100</v>
      </c>
      <c r="B720" t="s">
        <v>1530</v>
      </c>
      <c r="C720">
        <v>20</v>
      </c>
      <c r="D720" t="s">
        <v>79</v>
      </c>
      <c r="E720">
        <v>4</v>
      </c>
      <c r="F720" t="s">
        <v>1317</v>
      </c>
      <c r="G720">
        <v>933</v>
      </c>
      <c r="H720">
        <v>1</v>
      </c>
      <c r="I720" t="s">
        <v>81</v>
      </c>
      <c r="J720">
        <v>0</v>
      </c>
      <c r="K720">
        <v>2</v>
      </c>
      <c r="L720">
        <v>2</v>
      </c>
      <c r="M720">
        <v>78</v>
      </c>
      <c r="N720">
        <v>106</v>
      </c>
      <c r="O720">
        <v>3</v>
      </c>
      <c r="P720">
        <v>106</v>
      </c>
      <c r="Q720">
        <v>1</v>
      </c>
      <c r="R720">
        <v>19</v>
      </c>
      <c r="S720">
        <v>3</v>
      </c>
      <c r="T720">
        <v>1</v>
      </c>
      <c r="U720">
        <v>5</v>
      </c>
      <c r="V720">
        <v>2</v>
      </c>
      <c r="W720">
        <v>0</v>
      </c>
      <c r="X720">
        <v>0</v>
      </c>
      <c r="Y720">
        <v>59</v>
      </c>
      <c r="Z720">
        <v>0</v>
      </c>
      <c r="AA720">
        <v>0</v>
      </c>
      <c r="AC720">
        <v>0</v>
      </c>
      <c r="AD720">
        <v>0</v>
      </c>
      <c r="AE720">
        <v>0</v>
      </c>
      <c r="AF720">
        <v>0</v>
      </c>
      <c r="AG720">
        <v>1</v>
      </c>
      <c r="AH720">
        <v>0</v>
      </c>
      <c r="AI720">
        <v>0</v>
      </c>
      <c r="AJ720">
        <v>0</v>
      </c>
      <c r="AK720">
        <v>3</v>
      </c>
      <c r="AL720">
        <v>1</v>
      </c>
      <c r="AM720">
        <v>0</v>
      </c>
      <c r="AN720">
        <v>1</v>
      </c>
      <c r="AT720">
        <v>0</v>
      </c>
      <c r="AU720">
        <v>10</v>
      </c>
      <c r="AV720">
        <v>106</v>
      </c>
      <c r="AW720">
        <v>106</v>
      </c>
      <c r="AX720">
        <v>162</v>
      </c>
      <c r="BA720">
        <v>1</v>
      </c>
      <c r="BC720" t="s">
        <v>1531</v>
      </c>
      <c r="BD720" s="4">
        <v>43283.169444444444</v>
      </c>
      <c r="BE720" s="4">
        <v>43283.182395833333</v>
      </c>
      <c r="BF720" s="4">
        <v>43283.182395833333</v>
      </c>
      <c r="BG720" t="s">
        <v>83</v>
      </c>
      <c r="BH720" t="s">
        <v>84</v>
      </c>
      <c r="BI720" t="s">
        <v>85</v>
      </c>
    </row>
    <row r="721" spans="1:61" x14ac:dyDescent="0.3">
      <c r="A721" t="str">
        <f>"200986B0100"</f>
        <v>200986B0100</v>
      </c>
      <c r="B721" t="s">
        <v>1532</v>
      </c>
      <c r="C721">
        <v>20</v>
      </c>
      <c r="D721" t="s">
        <v>79</v>
      </c>
      <c r="E721">
        <v>4</v>
      </c>
      <c r="F721" t="s">
        <v>1317</v>
      </c>
      <c r="G721">
        <v>986</v>
      </c>
      <c r="H721">
        <v>1</v>
      </c>
      <c r="I721" t="s">
        <v>81</v>
      </c>
      <c r="J721">
        <v>0</v>
      </c>
      <c r="K721">
        <v>1</v>
      </c>
      <c r="L721">
        <v>2</v>
      </c>
      <c r="M721">
        <v>161</v>
      </c>
      <c r="N721">
        <v>442</v>
      </c>
      <c r="O721">
        <v>3</v>
      </c>
      <c r="P721">
        <v>442</v>
      </c>
      <c r="Q721">
        <v>63</v>
      </c>
      <c r="R721">
        <v>107</v>
      </c>
      <c r="S721">
        <v>20</v>
      </c>
      <c r="T721">
        <v>6</v>
      </c>
      <c r="U721">
        <v>10</v>
      </c>
      <c r="V721">
        <v>3</v>
      </c>
      <c r="W721">
        <v>7</v>
      </c>
      <c r="X721">
        <v>15</v>
      </c>
      <c r="Y721">
        <v>148</v>
      </c>
      <c r="Z721">
        <v>4</v>
      </c>
      <c r="AA721">
        <v>30</v>
      </c>
      <c r="AC721">
        <v>0</v>
      </c>
      <c r="AD721">
        <v>1</v>
      </c>
      <c r="AE721">
        <v>0</v>
      </c>
      <c r="AF721">
        <v>0</v>
      </c>
      <c r="AG721">
        <v>3</v>
      </c>
      <c r="AH721">
        <v>0</v>
      </c>
      <c r="AI721">
        <v>0</v>
      </c>
      <c r="AJ721">
        <v>0</v>
      </c>
      <c r="AK721">
        <v>0</v>
      </c>
      <c r="AL721">
        <v>2</v>
      </c>
      <c r="AM721">
        <v>0</v>
      </c>
      <c r="AN721">
        <v>1</v>
      </c>
      <c r="AT721">
        <v>0</v>
      </c>
      <c r="AU721">
        <v>23</v>
      </c>
      <c r="AV721">
        <v>443</v>
      </c>
      <c r="AW721">
        <v>443</v>
      </c>
      <c r="AX721">
        <v>581</v>
      </c>
      <c r="BA721">
        <v>1</v>
      </c>
      <c r="BC721" t="s">
        <v>1533</v>
      </c>
      <c r="BD721" s="4">
        <v>43283.334027777775</v>
      </c>
      <c r="BE721" s="4">
        <v>43283.352233796293</v>
      </c>
      <c r="BF721" s="4">
        <v>43283.352233796293</v>
      </c>
      <c r="BG721" t="s">
        <v>83</v>
      </c>
      <c r="BH721" t="s">
        <v>84</v>
      </c>
      <c r="BI721" t="s">
        <v>548</v>
      </c>
    </row>
    <row r="722" spans="1:61" x14ac:dyDescent="0.3">
      <c r="A722" t="str">
        <f>"200986C0100"</f>
        <v>200986C0100</v>
      </c>
      <c r="B722" t="s">
        <v>1534</v>
      </c>
      <c r="C722">
        <v>20</v>
      </c>
      <c r="D722" t="s">
        <v>79</v>
      </c>
      <c r="E722">
        <v>4</v>
      </c>
      <c r="F722" t="s">
        <v>1317</v>
      </c>
      <c r="G722">
        <v>986</v>
      </c>
      <c r="H722">
        <v>1</v>
      </c>
      <c r="I722" t="s">
        <v>89</v>
      </c>
      <c r="J722">
        <v>0</v>
      </c>
      <c r="K722">
        <v>2</v>
      </c>
      <c r="L722">
        <v>2</v>
      </c>
      <c r="M722" t="s">
        <v>100</v>
      </c>
      <c r="N722" t="s">
        <v>100</v>
      </c>
      <c r="O722" t="s">
        <v>100</v>
      </c>
      <c r="P722" t="s">
        <v>100</v>
      </c>
      <c r="Q722">
        <v>80</v>
      </c>
      <c r="R722">
        <v>108</v>
      </c>
      <c r="S722">
        <v>7</v>
      </c>
      <c r="T722">
        <v>2</v>
      </c>
      <c r="U722">
        <v>7</v>
      </c>
      <c r="V722">
        <v>5</v>
      </c>
      <c r="W722">
        <v>8</v>
      </c>
      <c r="X722">
        <v>7</v>
      </c>
      <c r="Y722">
        <v>137</v>
      </c>
      <c r="Z722">
        <v>2</v>
      </c>
      <c r="AA722">
        <v>39</v>
      </c>
      <c r="AC722">
        <v>0</v>
      </c>
      <c r="AD722">
        <v>1</v>
      </c>
      <c r="AE722">
        <v>0</v>
      </c>
      <c r="AF722">
        <v>0</v>
      </c>
      <c r="AG722">
        <v>0</v>
      </c>
      <c r="AH722">
        <v>4</v>
      </c>
      <c r="AI722">
        <v>2</v>
      </c>
      <c r="AJ722">
        <v>1</v>
      </c>
      <c r="AK722">
        <v>0</v>
      </c>
      <c r="AL722">
        <v>1</v>
      </c>
      <c r="AM722">
        <v>1</v>
      </c>
      <c r="AN722">
        <v>0</v>
      </c>
      <c r="AT722">
        <v>0</v>
      </c>
      <c r="AU722">
        <v>24</v>
      </c>
      <c r="AV722">
        <v>436</v>
      </c>
      <c r="AW722">
        <v>436</v>
      </c>
      <c r="AX722">
        <v>580</v>
      </c>
      <c r="BA722">
        <v>1</v>
      </c>
      <c r="BC722" t="s">
        <v>1535</v>
      </c>
      <c r="BD722" s="4">
        <v>43283.349305555559</v>
      </c>
      <c r="BE722" s="4">
        <v>43283.363067129627</v>
      </c>
      <c r="BF722" s="4">
        <v>43283.363067129627</v>
      </c>
      <c r="BG722" t="s">
        <v>83</v>
      </c>
      <c r="BH722" t="s">
        <v>84</v>
      </c>
      <c r="BI722" t="s">
        <v>85</v>
      </c>
    </row>
    <row r="723" spans="1:61" x14ac:dyDescent="0.3">
      <c r="A723" t="str">
        <f>"200987B0100"</f>
        <v>200987B0100</v>
      </c>
      <c r="B723" t="s">
        <v>1536</v>
      </c>
      <c r="C723">
        <v>20</v>
      </c>
      <c r="D723" t="s">
        <v>79</v>
      </c>
      <c r="E723">
        <v>4</v>
      </c>
      <c r="F723" t="s">
        <v>1317</v>
      </c>
      <c r="G723">
        <v>987</v>
      </c>
      <c r="H723">
        <v>1</v>
      </c>
      <c r="I723" t="s">
        <v>81</v>
      </c>
      <c r="J723">
        <v>0</v>
      </c>
      <c r="K723">
        <v>1</v>
      </c>
      <c r="L723">
        <v>2</v>
      </c>
      <c r="M723">
        <v>149</v>
      </c>
      <c r="N723">
        <v>387</v>
      </c>
      <c r="O723">
        <v>1</v>
      </c>
      <c r="P723">
        <v>387</v>
      </c>
      <c r="Q723">
        <v>42</v>
      </c>
      <c r="R723">
        <v>88</v>
      </c>
      <c r="S723">
        <v>8</v>
      </c>
      <c r="T723">
        <v>5</v>
      </c>
      <c r="U723">
        <v>6</v>
      </c>
      <c r="V723">
        <v>3</v>
      </c>
      <c r="W723">
        <v>3</v>
      </c>
      <c r="X723">
        <v>11</v>
      </c>
      <c r="Y723">
        <v>157</v>
      </c>
      <c r="Z723">
        <v>4</v>
      </c>
      <c r="AA723">
        <v>33</v>
      </c>
      <c r="AC723">
        <v>0</v>
      </c>
      <c r="AD723">
        <v>1</v>
      </c>
      <c r="AE723">
        <v>0</v>
      </c>
      <c r="AF723">
        <v>0</v>
      </c>
      <c r="AG723">
        <v>1</v>
      </c>
      <c r="AH723">
        <v>3</v>
      </c>
      <c r="AI723">
        <v>0</v>
      </c>
      <c r="AJ723">
        <v>0</v>
      </c>
      <c r="AK723">
        <v>4</v>
      </c>
      <c r="AL723">
        <v>2</v>
      </c>
      <c r="AM723">
        <v>0</v>
      </c>
      <c r="AN723">
        <v>2</v>
      </c>
      <c r="AT723">
        <v>0</v>
      </c>
      <c r="AU723">
        <v>13</v>
      </c>
      <c r="AV723">
        <v>386</v>
      </c>
      <c r="AW723">
        <v>386</v>
      </c>
      <c r="AX723">
        <v>514</v>
      </c>
      <c r="BA723">
        <v>1</v>
      </c>
      <c r="BC723" t="s">
        <v>1537</v>
      </c>
      <c r="BD723" s="4">
        <v>43283.336111111108</v>
      </c>
      <c r="BE723" s="4">
        <v>43283.355405092596</v>
      </c>
      <c r="BF723" s="4">
        <v>43283.355405092596</v>
      </c>
      <c r="BG723" t="s">
        <v>83</v>
      </c>
      <c r="BH723" t="s">
        <v>84</v>
      </c>
      <c r="BI723" t="s">
        <v>548</v>
      </c>
    </row>
    <row r="724" spans="1:61" x14ac:dyDescent="0.3">
      <c r="A724" t="str">
        <f>"200987C0100"</f>
        <v>200987C0100</v>
      </c>
      <c r="B724" t="s">
        <v>1538</v>
      </c>
      <c r="C724">
        <v>20</v>
      </c>
      <c r="D724" t="s">
        <v>79</v>
      </c>
      <c r="E724">
        <v>4</v>
      </c>
      <c r="F724" t="s">
        <v>1317</v>
      </c>
      <c r="G724">
        <v>987</v>
      </c>
      <c r="H724">
        <v>1</v>
      </c>
      <c r="I724" t="s">
        <v>89</v>
      </c>
      <c r="J724">
        <v>0</v>
      </c>
      <c r="K724">
        <v>2</v>
      </c>
      <c r="L724">
        <v>2</v>
      </c>
      <c r="M724">
        <v>146</v>
      </c>
      <c r="N724">
        <v>388</v>
      </c>
      <c r="O724">
        <v>0</v>
      </c>
      <c r="P724">
        <v>388</v>
      </c>
      <c r="Q724">
        <v>48</v>
      </c>
      <c r="R724">
        <v>88</v>
      </c>
      <c r="S724">
        <v>14</v>
      </c>
      <c r="T724">
        <v>8</v>
      </c>
      <c r="U724">
        <v>4</v>
      </c>
      <c r="V724">
        <v>5</v>
      </c>
      <c r="W724">
        <v>0</v>
      </c>
      <c r="X724">
        <v>13</v>
      </c>
      <c r="Y724">
        <v>157</v>
      </c>
      <c r="Z724">
        <v>3</v>
      </c>
      <c r="AA724">
        <v>16</v>
      </c>
      <c r="AC724">
        <v>3</v>
      </c>
      <c r="AD724">
        <v>1</v>
      </c>
      <c r="AE724">
        <v>0</v>
      </c>
      <c r="AF724">
        <v>0</v>
      </c>
      <c r="AG724">
        <v>5</v>
      </c>
      <c r="AH724">
        <v>0</v>
      </c>
      <c r="AI724">
        <v>2</v>
      </c>
      <c r="AJ724">
        <v>0</v>
      </c>
      <c r="AK724">
        <v>0</v>
      </c>
      <c r="AL724">
        <v>3</v>
      </c>
      <c r="AM724">
        <v>0</v>
      </c>
      <c r="AN724">
        <v>0</v>
      </c>
      <c r="AT724">
        <v>0</v>
      </c>
      <c r="AU724">
        <v>18</v>
      </c>
      <c r="AV724">
        <v>388</v>
      </c>
      <c r="AW724">
        <v>388</v>
      </c>
      <c r="AX724">
        <v>513</v>
      </c>
      <c r="BA724">
        <v>1</v>
      </c>
      <c r="BC724" t="s">
        <v>1539</v>
      </c>
      <c r="BD724" s="4">
        <v>43283.347222222219</v>
      </c>
      <c r="BE724" s="4">
        <v>43283.361122685186</v>
      </c>
      <c r="BF724" s="4">
        <v>43283.361122685186</v>
      </c>
      <c r="BG724" t="s">
        <v>83</v>
      </c>
      <c r="BH724" t="s">
        <v>84</v>
      </c>
      <c r="BI724" t="s">
        <v>548</v>
      </c>
    </row>
    <row r="725" spans="1:61" x14ac:dyDescent="0.3">
      <c r="A725" t="str">
        <f>"200987C0200"</f>
        <v>200987C0200</v>
      </c>
      <c r="B725" t="s">
        <v>1540</v>
      </c>
      <c r="C725">
        <v>20</v>
      </c>
      <c r="D725" t="s">
        <v>79</v>
      </c>
      <c r="E725">
        <v>4</v>
      </c>
      <c r="F725" t="s">
        <v>1317</v>
      </c>
      <c r="G725">
        <v>987</v>
      </c>
      <c r="H725">
        <v>2</v>
      </c>
      <c r="I725" t="s">
        <v>89</v>
      </c>
      <c r="J725">
        <v>0</v>
      </c>
      <c r="K725">
        <v>2</v>
      </c>
      <c r="L725">
        <v>2</v>
      </c>
      <c r="M725">
        <v>129</v>
      </c>
      <c r="N725">
        <v>406</v>
      </c>
      <c r="O725">
        <v>5</v>
      </c>
      <c r="P725">
        <v>406</v>
      </c>
      <c r="Q725">
        <v>55</v>
      </c>
      <c r="R725">
        <v>87</v>
      </c>
      <c r="S725">
        <v>16</v>
      </c>
      <c r="T725">
        <v>14</v>
      </c>
      <c r="U725">
        <v>14</v>
      </c>
      <c r="V725">
        <v>2</v>
      </c>
      <c r="W725">
        <v>5</v>
      </c>
      <c r="X725">
        <v>21</v>
      </c>
      <c r="Y725">
        <v>147</v>
      </c>
      <c r="Z725">
        <v>3</v>
      </c>
      <c r="AA725">
        <v>14</v>
      </c>
      <c r="AC725">
        <v>2</v>
      </c>
      <c r="AD725">
        <v>0</v>
      </c>
      <c r="AE725">
        <v>0</v>
      </c>
      <c r="AF725">
        <v>0</v>
      </c>
      <c r="AG725">
        <v>7</v>
      </c>
      <c r="AH725">
        <v>2</v>
      </c>
      <c r="AI725">
        <v>2</v>
      </c>
      <c r="AJ725">
        <v>1</v>
      </c>
      <c r="AK725">
        <v>2</v>
      </c>
      <c r="AL725">
        <v>0</v>
      </c>
      <c r="AM725">
        <v>0</v>
      </c>
      <c r="AN725">
        <v>0</v>
      </c>
      <c r="AT725">
        <v>0</v>
      </c>
      <c r="AU725">
        <v>12</v>
      </c>
      <c r="AV725">
        <v>406</v>
      </c>
      <c r="AW725">
        <v>406</v>
      </c>
      <c r="AX725">
        <v>513</v>
      </c>
      <c r="BA725">
        <v>1</v>
      </c>
      <c r="BC725" t="s">
        <v>1541</v>
      </c>
      <c r="BD725" s="4">
        <v>43283.345138888886</v>
      </c>
      <c r="BE725" s="4">
        <v>43283.358634259261</v>
      </c>
      <c r="BF725" s="4">
        <v>43283.358634259261</v>
      </c>
      <c r="BG725" t="s">
        <v>83</v>
      </c>
      <c r="BH725" t="s">
        <v>84</v>
      </c>
      <c r="BI725" t="s">
        <v>85</v>
      </c>
    </row>
    <row r="726" spans="1:61" x14ac:dyDescent="0.3">
      <c r="A726" t="str">
        <f>"200988B0100"</f>
        <v>200988B0100</v>
      </c>
      <c r="B726" t="s">
        <v>1542</v>
      </c>
      <c r="C726">
        <v>20</v>
      </c>
      <c r="D726" t="s">
        <v>79</v>
      </c>
      <c r="E726">
        <v>4</v>
      </c>
      <c r="F726" t="s">
        <v>1317</v>
      </c>
      <c r="G726">
        <v>988</v>
      </c>
      <c r="H726">
        <v>1</v>
      </c>
      <c r="I726" t="s">
        <v>81</v>
      </c>
      <c r="J726">
        <v>0</v>
      </c>
      <c r="K726">
        <v>1</v>
      </c>
      <c r="L726">
        <v>2</v>
      </c>
      <c r="M726">
        <v>148</v>
      </c>
      <c r="N726">
        <v>343</v>
      </c>
      <c r="O726">
        <v>4</v>
      </c>
      <c r="P726">
        <v>343</v>
      </c>
      <c r="Q726">
        <v>44</v>
      </c>
      <c r="R726">
        <v>84</v>
      </c>
      <c r="S726">
        <v>14</v>
      </c>
      <c r="T726">
        <v>4</v>
      </c>
      <c r="U726">
        <v>6</v>
      </c>
      <c r="V726">
        <v>2</v>
      </c>
      <c r="W726">
        <v>4</v>
      </c>
      <c r="X726">
        <v>8</v>
      </c>
      <c r="Y726">
        <v>130</v>
      </c>
      <c r="Z726">
        <v>2</v>
      </c>
      <c r="AA726">
        <v>20</v>
      </c>
      <c r="AC726">
        <v>0</v>
      </c>
      <c r="AD726">
        <v>0</v>
      </c>
      <c r="AE726">
        <v>0</v>
      </c>
      <c r="AF726">
        <v>0</v>
      </c>
      <c r="AG726">
        <v>5</v>
      </c>
      <c r="AH726">
        <v>1</v>
      </c>
      <c r="AI726">
        <v>1</v>
      </c>
      <c r="AJ726">
        <v>0</v>
      </c>
      <c r="AK726">
        <v>2</v>
      </c>
      <c r="AL726">
        <v>0</v>
      </c>
      <c r="AM726">
        <v>0</v>
      </c>
      <c r="AN726">
        <v>0</v>
      </c>
      <c r="AT726">
        <v>0</v>
      </c>
      <c r="AU726">
        <v>16</v>
      </c>
      <c r="AV726">
        <v>343</v>
      </c>
      <c r="AW726">
        <v>343</v>
      </c>
      <c r="AX726">
        <v>469</v>
      </c>
      <c r="BA726">
        <v>1</v>
      </c>
      <c r="BC726" t="s">
        <v>1543</v>
      </c>
      <c r="BD726" s="4">
        <v>43283.344444444447</v>
      </c>
      <c r="BE726" s="4">
        <v>43283.3590625</v>
      </c>
      <c r="BF726" s="4">
        <v>43283.3590625</v>
      </c>
      <c r="BG726" t="s">
        <v>83</v>
      </c>
      <c r="BH726" t="s">
        <v>84</v>
      </c>
      <c r="BI726" t="s">
        <v>85</v>
      </c>
    </row>
    <row r="727" spans="1:61" x14ac:dyDescent="0.3">
      <c r="A727" t="str">
        <f>"200988C0100"</f>
        <v>200988C0100</v>
      </c>
      <c r="B727" t="s">
        <v>1544</v>
      </c>
      <c r="C727">
        <v>20</v>
      </c>
      <c r="D727" t="s">
        <v>79</v>
      </c>
      <c r="E727">
        <v>4</v>
      </c>
      <c r="F727" t="s">
        <v>1317</v>
      </c>
      <c r="G727">
        <v>988</v>
      </c>
      <c r="H727">
        <v>1</v>
      </c>
      <c r="I727" t="s">
        <v>89</v>
      </c>
      <c r="J727">
        <v>0</v>
      </c>
      <c r="K727">
        <v>2</v>
      </c>
      <c r="L727">
        <v>2</v>
      </c>
      <c r="M727">
        <v>138</v>
      </c>
      <c r="N727">
        <v>353</v>
      </c>
      <c r="O727">
        <v>6</v>
      </c>
      <c r="P727">
        <v>353</v>
      </c>
      <c r="Q727">
        <v>55</v>
      </c>
      <c r="R727">
        <v>87</v>
      </c>
      <c r="S727">
        <v>15</v>
      </c>
      <c r="T727">
        <v>6</v>
      </c>
      <c r="U727">
        <v>11</v>
      </c>
      <c r="V727">
        <v>3</v>
      </c>
      <c r="W727">
        <v>0</v>
      </c>
      <c r="X727">
        <v>8</v>
      </c>
      <c r="Y727">
        <v>121</v>
      </c>
      <c r="Z727">
        <v>4</v>
      </c>
      <c r="AA727">
        <v>25</v>
      </c>
      <c r="AC727">
        <v>0</v>
      </c>
      <c r="AD727">
        <v>0</v>
      </c>
      <c r="AE727">
        <v>0</v>
      </c>
      <c r="AF727">
        <v>0</v>
      </c>
      <c r="AG727">
        <v>2</v>
      </c>
      <c r="AH727">
        <v>1</v>
      </c>
      <c r="AI727">
        <v>0</v>
      </c>
      <c r="AJ727">
        <v>0</v>
      </c>
      <c r="AK727">
        <v>2</v>
      </c>
      <c r="AL727">
        <v>0</v>
      </c>
      <c r="AM727">
        <v>0</v>
      </c>
      <c r="AN727">
        <v>1</v>
      </c>
      <c r="AT727">
        <v>0</v>
      </c>
      <c r="AU727">
        <v>12</v>
      </c>
      <c r="AV727">
        <v>353</v>
      </c>
      <c r="AW727">
        <v>353</v>
      </c>
      <c r="AX727">
        <v>469</v>
      </c>
      <c r="BA727">
        <v>1</v>
      </c>
      <c r="BC727" t="s">
        <v>1545</v>
      </c>
      <c r="BD727" s="4">
        <v>43283.349305555559</v>
      </c>
      <c r="BE727" s="4">
        <v>43283.363275462965</v>
      </c>
      <c r="BF727" s="4">
        <v>43283.363275462965</v>
      </c>
      <c r="BG727" t="s">
        <v>83</v>
      </c>
      <c r="BH727" t="s">
        <v>84</v>
      </c>
      <c r="BI727" t="s">
        <v>85</v>
      </c>
    </row>
    <row r="728" spans="1:61" x14ac:dyDescent="0.3">
      <c r="A728" t="str">
        <f>"200988S0100"</f>
        <v>200988S0100</v>
      </c>
      <c r="B728" t="s">
        <v>1546</v>
      </c>
      <c r="C728">
        <v>20</v>
      </c>
      <c r="D728" t="s">
        <v>79</v>
      </c>
      <c r="E728">
        <v>4</v>
      </c>
      <c r="F728" t="s">
        <v>1317</v>
      </c>
      <c r="G728">
        <v>988</v>
      </c>
      <c r="H728">
        <v>1</v>
      </c>
      <c r="I728" t="s">
        <v>104</v>
      </c>
      <c r="J728">
        <v>0</v>
      </c>
      <c r="K728">
        <v>1</v>
      </c>
      <c r="L728">
        <v>3</v>
      </c>
      <c r="M728">
        <v>406</v>
      </c>
      <c r="N728">
        <v>141</v>
      </c>
      <c r="O728">
        <v>0</v>
      </c>
      <c r="P728">
        <v>141</v>
      </c>
      <c r="Q728">
        <v>6</v>
      </c>
      <c r="R728">
        <v>18</v>
      </c>
      <c r="S728">
        <v>4</v>
      </c>
      <c r="T728">
        <v>0</v>
      </c>
      <c r="U728">
        <v>6</v>
      </c>
      <c r="V728">
        <v>0</v>
      </c>
      <c r="W728">
        <v>1</v>
      </c>
      <c r="X728">
        <v>4</v>
      </c>
      <c r="Y728">
        <v>91</v>
      </c>
      <c r="Z728">
        <v>0</v>
      </c>
      <c r="AA728">
        <v>1</v>
      </c>
      <c r="AC728">
        <v>0</v>
      </c>
      <c r="AD728">
        <v>0</v>
      </c>
      <c r="AE728">
        <v>0</v>
      </c>
      <c r="AF728">
        <v>0</v>
      </c>
      <c r="AG728">
        <v>1</v>
      </c>
      <c r="AH728">
        <v>0</v>
      </c>
      <c r="AI728">
        <v>0</v>
      </c>
      <c r="AJ728">
        <v>0</v>
      </c>
      <c r="AK728">
        <v>1</v>
      </c>
      <c r="AL728">
        <v>0</v>
      </c>
      <c r="AM728">
        <v>0</v>
      </c>
      <c r="AN728">
        <v>3</v>
      </c>
      <c r="AT728">
        <v>0</v>
      </c>
      <c r="AU728">
        <v>5</v>
      </c>
      <c r="AV728">
        <v>141</v>
      </c>
      <c r="AW728">
        <v>141</v>
      </c>
      <c r="AX728">
        <v>0</v>
      </c>
      <c r="BA728">
        <v>1</v>
      </c>
      <c r="BC728" t="s">
        <v>1547</v>
      </c>
      <c r="BD728" s="4">
        <v>43283.337500000001</v>
      </c>
      <c r="BE728" s="4">
        <v>43283.354386574072</v>
      </c>
      <c r="BF728" s="4">
        <v>43283.354386574072</v>
      </c>
      <c r="BG728" t="s">
        <v>83</v>
      </c>
      <c r="BH728" t="s">
        <v>84</v>
      </c>
      <c r="BI728" t="s">
        <v>1331</v>
      </c>
    </row>
    <row r="729" spans="1:61" x14ac:dyDescent="0.3">
      <c r="A729" t="str">
        <f>"200989B0100"</f>
        <v>200989B0100</v>
      </c>
      <c r="B729" t="s">
        <v>1548</v>
      </c>
      <c r="C729">
        <v>20</v>
      </c>
      <c r="D729" t="s">
        <v>79</v>
      </c>
      <c r="E729">
        <v>4</v>
      </c>
      <c r="F729" t="s">
        <v>1317</v>
      </c>
      <c r="G729">
        <v>989</v>
      </c>
      <c r="H729">
        <v>1</v>
      </c>
      <c r="I729" t="s">
        <v>81</v>
      </c>
      <c r="J729">
        <v>0</v>
      </c>
      <c r="K729">
        <v>2</v>
      </c>
      <c r="L729">
        <v>2</v>
      </c>
      <c r="AX729">
        <v>454</v>
      </c>
      <c r="AZ729" t="s">
        <v>156</v>
      </c>
      <c r="BA729">
        <v>0</v>
      </c>
      <c r="BC729" t="s">
        <v>1549</v>
      </c>
      <c r="BD729" s="4">
        <v>43283.631944444445</v>
      </c>
      <c r="BE729" s="4">
        <v>43283.645590277774</v>
      </c>
      <c r="BF729" s="4">
        <v>43283.645590277774</v>
      </c>
      <c r="BG729" t="s">
        <v>83</v>
      </c>
      <c r="BH729" t="s">
        <v>84</v>
      </c>
      <c r="BI729" t="s">
        <v>85</v>
      </c>
    </row>
    <row r="730" spans="1:61" x14ac:dyDescent="0.3">
      <c r="A730" t="str">
        <f>"200990B0100"</f>
        <v>200990B0100</v>
      </c>
      <c r="B730" t="s">
        <v>1550</v>
      </c>
      <c r="C730">
        <v>20</v>
      </c>
      <c r="D730" t="s">
        <v>79</v>
      </c>
      <c r="E730">
        <v>4</v>
      </c>
      <c r="F730" t="s">
        <v>1317</v>
      </c>
      <c r="G730">
        <v>990</v>
      </c>
      <c r="H730">
        <v>1</v>
      </c>
      <c r="I730" t="s">
        <v>81</v>
      </c>
      <c r="J730">
        <v>0</v>
      </c>
      <c r="K730">
        <v>2</v>
      </c>
      <c r="L730">
        <v>2</v>
      </c>
      <c r="M730">
        <v>57</v>
      </c>
      <c r="N730">
        <v>189</v>
      </c>
      <c r="O730">
        <v>1</v>
      </c>
      <c r="P730">
        <v>189</v>
      </c>
      <c r="Q730">
        <v>19</v>
      </c>
      <c r="R730">
        <v>89</v>
      </c>
      <c r="S730">
        <v>1</v>
      </c>
      <c r="T730">
        <v>0</v>
      </c>
      <c r="U730">
        <v>4</v>
      </c>
      <c r="V730">
        <v>0</v>
      </c>
      <c r="W730">
        <v>0</v>
      </c>
      <c r="X730">
        <v>10</v>
      </c>
      <c r="Y730">
        <v>34</v>
      </c>
      <c r="Z730">
        <v>0</v>
      </c>
      <c r="AA730">
        <v>13</v>
      </c>
      <c r="AC730">
        <v>0</v>
      </c>
      <c r="AD730">
        <v>1</v>
      </c>
      <c r="AE730">
        <v>0</v>
      </c>
      <c r="AF730" t="s">
        <v>100</v>
      </c>
      <c r="AG730">
        <v>0</v>
      </c>
      <c r="AH730">
        <v>0</v>
      </c>
      <c r="AI730">
        <v>3</v>
      </c>
      <c r="AJ730" t="s">
        <v>100</v>
      </c>
      <c r="AK730" t="s">
        <v>100</v>
      </c>
      <c r="AL730" t="s">
        <v>100</v>
      </c>
      <c r="AM730" t="s">
        <v>100</v>
      </c>
      <c r="AN730" t="s">
        <v>100</v>
      </c>
      <c r="AT730" t="s">
        <v>100</v>
      </c>
      <c r="AU730">
        <v>15</v>
      </c>
      <c r="AV730">
        <v>189</v>
      </c>
      <c r="AW730">
        <v>189</v>
      </c>
      <c r="AX730">
        <v>224</v>
      </c>
      <c r="AZ730" t="s">
        <v>101</v>
      </c>
      <c r="BA730">
        <v>1</v>
      </c>
      <c r="BC730" t="s">
        <v>1551</v>
      </c>
      <c r="BD730" s="4">
        <v>43283.272916666669</v>
      </c>
      <c r="BE730" s="4">
        <v>43283.299074074072</v>
      </c>
      <c r="BF730" s="4">
        <v>43283.299074074072</v>
      </c>
      <c r="BG730" t="s">
        <v>83</v>
      </c>
      <c r="BH730" t="s">
        <v>84</v>
      </c>
      <c r="BI730" t="s">
        <v>85</v>
      </c>
    </row>
    <row r="731" spans="1:61" x14ac:dyDescent="0.3">
      <c r="A731" t="str">
        <f>"200991B0100"</f>
        <v>200991B0100</v>
      </c>
      <c r="B731" t="s">
        <v>1552</v>
      </c>
      <c r="C731">
        <v>20</v>
      </c>
      <c r="D731" t="s">
        <v>79</v>
      </c>
      <c r="E731">
        <v>4</v>
      </c>
      <c r="F731" t="s">
        <v>1317</v>
      </c>
      <c r="G731">
        <v>991</v>
      </c>
      <c r="H731">
        <v>1</v>
      </c>
      <c r="I731" t="s">
        <v>81</v>
      </c>
      <c r="J731">
        <v>0</v>
      </c>
      <c r="K731">
        <v>2</v>
      </c>
      <c r="L731">
        <v>2</v>
      </c>
      <c r="M731">
        <v>60</v>
      </c>
      <c r="N731">
        <v>140</v>
      </c>
      <c r="O731">
        <v>0</v>
      </c>
      <c r="P731">
        <v>140</v>
      </c>
      <c r="Q731">
        <v>32</v>
      </c>
      <c r="R731">
        <v>44</v>
      </c>
      <c r="S731">
        <v>12</v>
      </c>
      <c r="T731">
        <v>5</v>
      </c>
      <c r="U731">
        <v>2</v>
      </c>
      <c r="V731">
        <v>0</v>
      </c>
      <c r="W731">
        <v>2</v>
      </c>
      <c r="X731">
        <v>5</v>
      </c>
      <c r="Y731">
        <v>24</v>
      </c>
      <c r="Z731">
        <v>1</v>
      </c>
      <c r="AA731">
        <v>2</v>
      </c>
      <c r="AC731">
        <v>0</v>
      </c>
      <c r="AD731">
        <v>1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1</v>
      </c>
      <c r="AL731">
        <v>0</v>
      </c>
      <c r="AM731">
        <v>0</v>
      </c>
      <c r="AN731">
        <v>1</v>
      </c>
      <c r="AT731">
        <v>0</v>
      </c>
      <c r="AU731">
        <v>8</v>
      </c>
      <c r="AV731">
        <v>140</v>
      </c>
      <c r="AW731">
        <v>140</v>
      </c>
      <c r="AX731">
        <v>178</v>
      </c>
      <c r="BA731">
        <v>1</v>
      </c>
      <c r="BC731" t="s">
        <v>1553</v>
      </c>
      <c r="BD731" s="4">
        <v>43283.119444444441</v>
      </c>
      <c r="BE731" s="4">
        <v>43283.124386574076</v>
      </c>
      <c r="BF731" s="4">
        <v>43283.124386574076</v>
      </c>
      <c r="BG731" t="s">
        <v>83</v>
      </c>
      <c r="BH731" t="s">
        <v>84</v>
      </c>
      <c r="BI731" t="s">
        <v>85</v>
      </c>
    </row>
    <row r="732" spans="1:61" x14ac:dyDescent="0.3">
      <c r="A732" t="str">
        <f>"200992B0100"</f>
        <v>200992B0100</v>
      </c>
      <c r="B732" t="s">
        <v>1554</v>
      </c>
      <c r="C732">
        <v>20</v>
      </c>
      <c r="D732" t="s">
        <v>79</v>
      </c>
      <c r="E732">
        <v>4</v>
      </c>
      <c r="F732" t="s">
        <v>1317</v>
      </c>
      <c r="G732">
        <v>992</v>
      </c>
      <c r="H732">
        <v>1</v>
      </c>
      <c r="I732" t="s">
        <v>81</v>
      </c>
      <c r="J732">
        <v>0</v>
      </c>
      <c r="K732">
        <v>2</v>
      </c>
      <c r="L732">
        <v>2</v>
      </c>
      <c r="M732">
        <v>89</v>
      </c>
      <c r="N732">
        <v>283</v>
      </c>
      <c r="O732">
        <v>0</v>
      </c>
      <c r="P732">
        <v>283</v>
      </c>
      <c r="Q732">
        <v>43</v>
      </c>
      <c r="R732">
        <v>88</v>
      </c>
      <c r="S732">
        <v>8</v>
      </c>
      <c r="T732">
        <v>5</v>
      </c>
      <c r="U732">
        <v>8</v>
      </c>
      <c r="V732">
        <v>2</v>
      </c>
      <c r="W732">
        <v>2</v>
      </c>
      <c r="X732">
        <v>16</v>
      </c>
      <c r="Y732">
        <v>76</v>
      </c>
      <c r="Z732">
        <v>3</v>
      </c>
      <c r="AA732">
        <v>14</v>
      </c>
      <c r="AC732">
        <v>0</v>
      </c>
      <c r="AD732">
        <v>0</v>
      </c>
      <c r="AE732">
        <v>2</v>
      </c>
      <c r="AF732">
        <v>0</v>
      </c>
      <c r="AG732">
        <v>4</v>
      </c>
      <c r="AH732">
        <v>0</v>
      </c>
      <c r="AI732">
        <v>2</v>
      </c>
      <c r="AJ732">
        <v>0</v>
      </c>
      <c r="AK732">
        <v>2</v>
      </c>
      <c r="AL732">
        <v>0</v>
      </c>
      <c r="AM732">
        <v>0</v>
      </c>
      <c r="AN732">
        <v>0</v>
      </c>
      <c r="AT732">
        <v>0</v>
      </c>
      <c r="AU732">
        <v>0</v>
      </c>
      <c r="AV732" t="s">
        <v>100</v>
      </c>
      <c r="AW732">
        <v>275</v>
      </c>
      <c r="AX732">
        <v>353</v>
      </c>
      <c r="BA732">
        <v>1</v>
      </c>
      <c r="BC732" t="s">
        <v>1555</v>
      </c>
      <c r="BD732" s="4">
        <v>43283.117361111108</v>
      </c>
      <c r="BE732" s="4">
        <v>43283.135937500003</v>
      </c>
      <c r="BF732" s="4">
        <v>43283.135937500003</v>
      </c>
      <c r="BG732" t="s">
        <v>83</v>
      </c>
      <c r="BH732" t="s">
        <v>84</v>
      </c>
      <c r="BI732" t="s">
        <v>85</v>
      </c>
    </row>
    <row r="733" spans="1:61" x14ac:dyDescent="0.3">
      <c r="A733" t="str">
        <f>"200993B0100"</f>
        <v>200993B0100</v>
      </c>
      <c r="B733" t="s">
        <v>1556</v>
      </c>
      <c r="C733">
        <v>20</v>
      </c>
      <c r="D733" t="s">
        <v>79</v>
      </c>
      <c r="E733">
        <v>4</v>
      </c>
      <c r="F733" t="s">
        <v>1317</v>
      </c>
      <c r="G733">
        <v>993</v>
      </c>
      <c r="H733">
        <v>1</v>
      </c>
      <c r="I733" t="s">
        <v>81</v>
      </c>
      <c r="J733">
        <v>0</v>
      </c>
      <c r="K733">
        <v>2</v>
      </c>
      <c r="L733">
        <v>2</v>
      </c>
      <c r="M733">
        <v>94</v>
      </c>
      <c r="N733">
        <v>344</v>
      </c>
      <c r="O733">
        <v>0</v>
      </c>
      <c r="P733">
        <v>344</v>
      </c>
      <c r="Q733">
        <v>51</v>
      </c>
      <c r="R733">
        <v>127</v>
      </c>
      <c r="S733">
        <v>25</v>
      </c>
      <c r="T733">
        <v>3</v>
      </c>
      <c r="U733">
        <v>6</v>
      </c>
      <c r="V733">
        <v>4</v>
      </c>
      <c r="W733">
        <v>7</v>
      </c>
      <c r="X733">
        <v>7</v>
      </c>
      <c r="Y733">
        <v>66</v>
      </c>
      <c r="Z733">
        <v>3</v>
      </c>
      <c r="AA733">
        <v>10</v>
      </c>
      <c r="AC733">
        <v>6</v>
      </c>
      <c r="AD733">
        <v>0</v>
      </c>
      <c r="AE733">
        <v>0</v>
      </c>
      <c r="AF733">
        <v>0</v>
      </c>
      <c r="AG733">
        <v>7</v>
      </c>
      <c r="AH733">
        <v>1</v>
      </c>
      <c r="AI733">
        <v>1</v>
      </c>
      <c r="AJ733">
        <v>0</v>
      </c>
      <c r="AK733">
        <v>1</v>
      </c>
      <c r="AL733">
        <v>0</v>
      </c>
      <c r="AM733">
        <v>0</v>
      </c>
      <c r="AN733">
        <v>0</v>
      </c>
      <c r="AT733" t="s">
        <v>100</v>
      </c>
      <c r="AU733">
        <v>17</v>
      </c>
      <c r="AV733">
        <v>344</v>
      </c>
      <c r="AW733">
        <v>342</v>
      </c>
      <c r="AX733">
        <v>416</v>
      </c>
      <c r="AZ733" t="s">
        <v>101</v>
      </c>
      <c r="BA733">
        <v>1</v>
      </c>
      <c r="BC733" t="s">
        <v>1557</v>
      </c>
      <c r="BD733" s="4">
        <v>43283.272222222222</v>
      </c>
      <c r="BE733" s="4">
        <v>43283.299328703702</v>
      </c>
      <c r="BF733" s="4">
        <v>43283.299328703702</v>
      </c>
      <c r="BG733" t="s">
        <v>83</v>
      </c>
      <c r="BH733" t="s">
        <v>84</v>
      </c>
      <c r="BI733" t="s">
        <v>85</v>
      </c>
    </row>
    <row r="734" spans="1:61" x14ac:dyDescent="0.3">
      <c r="A734" t="str">
        <f>"200993C0100"</f>
        <v>200993C0100</v>
      </c>
      <c r="B734" t="s">
        <v>1558</v>
      </c>
      <c r="C734">
        <v>20</v>
      </c>
      <c r="D734" t="s">
        <v>79</v>
      </c>
      <c r="E734">
        <v>4</v>
      </c>
      <c r="F734" t="s">
        <v>1317</v>
      </c>
      <c r="G734">
        <v>993</v>
      </c>
      <c r="H734">
        <v>1</v>
      </c>
      <c r="I734" t="s">
        <v>89</v>
      </c>
      <c r="J734">
        <v>0</v>
      </c>
      <c r="K734">
        <v>2</v>
      </c>
      <c r="L734">
        <v>2</v>
      </c>
      <c r="M734">
        <v>97</v>
      </c>
      <c r="N734">
        <v>341</v>
      </c>
      <c r="O734">
        <v>0</v>
      </c>
      <c r="P734">
        <v>336</v>
      </c>
      <c r="Q734">
        <v>37</v>
      </c>
      <c r="R734">
        <v>134</v>
      </c>
      <c r="S734">
        <v>17</v>
      </c>
      <c r="T734">
        <v>1</v>
      </c>
      <c r="U734">
        <v>12</v>
      </c>
      <c r="V734">
        <v>1</v>
      </c>
      <c r="W734">
        <v>5</v>
      </c>
      <c r="X734">
        <v>9</v>
      </c>
      <c r="Y734">
        <v>78</v>
      </c>
      <c r="Z734">
        <v>5</v>
      </c>
      <c r="AA734">
        <v>6</v>
      </c>
      <c r="AC734">
        <v>3</v>
      </c>
      <c r="AD734">
        <v>0</v>
      </c>
      <c r="AE734">
        <v>0</v>
      </c>
      <c r="AF734">
        <v>0</v>
      </c>
      <c r="AG734">
        <v>2</v>
      </c>
      <c r="AH734">
        <v>2</v>
      </c>
      <c r="AI734">
        <v>2</v>
      </c>
      <c r="AJ734">
        <v>0</v>
      </c>
      <c r="AK734">
        <v>4</v>
      </c>
      <c r="AL734">
        <v>3</v>
      </c>
      <c r="AM734">
        <v>0</v>
      </c>
      <c r="AN734">
        <v>0</v>
      </c>
      <c r="AT734">
        <v>0</v>
      </c>
      <c r="AU734">
        <v>20</v>
      </c>
      <c r="AV734">
        <v>341</v>
      </c>
      <c r="AW734">
        <v>341</v>
      </c>
      <c r="AX734">
        <v>416</v>
      </c>
      <c r="BA734">
        <v>1</v>
      </c>
      <c r="BC734" t="s">
        <v>1559</v>
      </c>
      <c r="BD734" s="4">
        <v>43283.272222222222</v>
      </c>
      <c r="BE734" s="4">
        <v>43283.298854166664</v>
      </c>
      <c r="BF734" s="4">
        <v>43283.298854166664</v>
      </c>
      <c r="BG734" t="s">
        <v>83</v>
      </c>
      <c r="BH734" t="s">
        <v>84</v>
      </c>
      <c r="BI734" t="s">
        <v>85</v>
      </c>
    </row>
    <row r="735" spans="1:61" x14ac:dyDescent="0.3">
      <c r="A735" t="str">
        <f>"200994B0100"</f>
        <v>200994B0100</v>
      </c>
      <c r="B735" t="s">
        <v>1560</v>
      </c>
      <c r="C735">
        <v>20</v>
      </c>
      <c r="D735" t="s">
        <v>79</v>
      </c>
      <c r="E735">
        <v>4</v>
      </c>
      <c r="F735" t="s">
        <v>1317</v>
      </c>
      <c r="G735">
        <v>994</v>
      </c>
      <c r="H735">
        <v>1</v>
      </c>
      <c r="I735" t="s">
        <v>81</v>
      </c>
      <c r="J735">
        <v>0</v>
      </c>
      <c r="K735">
        <v>2</v>
      </c>
      <c r="L735">
        <v>2</v>
      </c>
      <c r="M735">
        <v>130</v>
      </c>
      <c r="N735">
        <v>400</v>
      </c>
      <c r="O735">
        <v>1</v>
      </c>
      <c r="P735">
        <v>400</v>
      </c>
      <c r="Q735">
        <v>23</v>
      </c>
      <c r="R735">
        <v>103</v>
      </c>
      <c r="S735">
        <v>7</v>
      </c>
      <c r="T735">
        <v>1</v>
      </c>
      <c r="U735">
        <v>12</v>
      </c>
      <c r="V735">
        <v>1</v>
      </c>
      <c r="W735">
        <v>4</v>
      </c>
      <c r="X735">
        <v>6</v>
      </c>
      <c r="Y735">
        <v>141</v>
      </c>
      <c r="Z735">
        <v>6</v>
      </c>
      <c r="AA735">
        <v>9</v>
      </c>
      <c r="AC735">
        <v>0</v>
      </c>
      <c r="AD735">
        <v>0</v>
      </c>
      <c r="AE735">
        <v>0</v>
      </c>
      <c r="AF735">
        <v>1</v>
      </c>
      <c r="AG735">
        <v>8</v>
      </c>
      <c r="AH735">
        <v>2</v>
      </c>
      <c r="AI735">
        <v>2</v>
      </c>
      <c r="AJ735">
        <v>0</v>
      </c>
      <c r="AK735">
        <v>7</v>
      </c>
      <c r="AL735">
        <v>0</v>
      </c>
      <c r="AM735">
        <v>0</v>
      </c>
      <c r="AN735">
        <v>0</v>
      </c>
      <c r="AT735">
        <v>0</v>
      </c>
      <c r="AU735">
        <v>67</v>
      </c>
      <c r="AV735">
        <v>400</v>
      </c>
      <c r="AW735">
        <v>400</v>
      </c>
      <c r="AX735">
        <v>508</v>
      </c>
      <c r="BA735">
        <v>1</v>
      </c>
      <c r="BC735" t="s">
        <v>1561</v>
      </c>
      <c r="BD735" s="4">
        <v>43283.325694444444</v>
      </c>
      <c r="BE735" s="4">
        <v>43283.34574074074</v>
      </c>
      <c r="BF735" s="4">
        <v>43283.34574074074</v>
      </c>
      <c r="BG735" t="s">
        <v>83</v>
      </c>
      <c r="BH735" t="s">
        <v>84</v>
      </c>
      <c r="BI735" t="s">
        <v>1331</v>
      </c>
    </row>
    <row r="736" spans="1:61" x14ac:dyDescent="0.3">
      <c r="A736" t="str">
        <f>"200995B0100"</f>
        <v>200995B0100</v>
      </c>
      <c r="B736" t="s">
        <v>1562</v>
      </c>
      <c r="C736">
        <v>20</v>
      </c>
      <c r="D736" t="s">
        <v>79</v>
      </c>
      <c r="E736">
        <v>4</v>
      </c>
      <c r="F736" t="s">
        <v>1317</v>
      </c>
      <c r="G736">
        <v>995</v>
      </c>
      <c r="H736">
        <v>1</v>
      </c>
      <c r="I736" t="s">
        <v>81</v>
      </c>
      <c r="J736">
        <v>0</v>
      </c>
      <c r="K736">
        <v>2</v>
      </c>
      <c r="L736">
        <v>2</v>
      </c>
      <c r="M736">
        <v>125</v>
      </c>
      <c r="N736">
        <v>419</v>
      </c>
      <c r="O736">
        <v>2</v>
      </c>
      <c r="P736">
        <v>419</v>
      </c>
      <c r="Q736">
        <v>35</v>
      </c>
      <c r="R736">
        <v>196</v>
      </c>
      <c r="S736">
        <v>10</v>
      </c>
      <c r="T736">
        <v>10</v>
      </c>
      <c r="U736">
        <v>3</v>
      </c>
      <c r="V736">
        <v>8</v>
      </c>
      <c r="W736">
        <v>1</v>
      </c>
      <c r="X736">
        <v>7</v>
      </c>
      <c r="Y736">
        <v>124</v>
      </c>
      <c r="Z736">
        <v>4</v>
      </c>
      <c r="AA736">
        <v>1</v>
      </c>
      <c r="AC736">
        <v>0</v>
      </c>
      <c r="AD736">
        <v>0</v>
      </c>
      <c r="AE736">
        <v>0</v>
      </c>
      <c r="AF736">
        <v>0</v>
      </c>
      <c r="AG736">
        <v>5</v>
      </c>
      <c r="AH736">
        <v>0</v>
      </c>
      <c r="AI736">
        <v>1</v>
      </c>
      <c r="AJ736">
        <v>0</v>
      </c>
      <c r="AK736">
        <v>1</v>
      </c>
      <c r="AL736">
        <v>0</v>
      </c>
      <c r="AM736">
        <v>0</v>
      </c>
      <c r="AN736">
        <v>1</v>
      </c>
      <c r="AT736">
        <v>0</v>
      </c>
      <c r="AU736">
        <v>12</v>
      </c>
      <c r="AV736">
        <v>419</v>
      </c>
      <c r="AW736">
        <v>419</v>
      </c>
      <c r="AX736">
        <v>522</v>
      </c>
      <c r="BA736">
        <v>1</v>
      </c>
      <c r="BC736" t="s">
        <v>1563</v>
      </c>
      <c r="BD736" s="4">
        <v>43283.445138888892</v>
      </c>
      <c r="BE736" s="4">
        <v>43283.449965277781</v>
      </c>
      <c r="BF736" s="4">
        <v>43283.449965277781</v>
      </c>
      <c r="BG736" t="s">
        <v>83</v>
      </c>
      <c r="BH736" t="s">
        <v>84</v>
      </c>
      <c r="BI736" t="s">
        <v>1331</v>
      </c>
    </row>
    <row r="737" spans="1:61" x14ac:dyDescent="0.3">
      <c r="A737" t="str">
        <f>"200996B0100"</f>
        <v>200996B0100</v>
      </c>
      <c r="B737" t="s">
        <v>1564</v>
      </c>
      <c r="C737">
        <v>20</v>
      </c>
      <c r="D737" t="s">
        <v>79</v>
      </c>
      <c r="E737">
        <v>4</v>
      </c>
      <c r="F737" t="s">
        <v>1317</v>
      </c>
      <c r="G737">
        <v>996</v>
      </c>
      <c r="H737">
        <v>1</v>
      </c>
      <c r="I737" t="s">
        <v>81</v>
      </c>
      <c r="J737">
        <v>0</v>
      </c>
      <c r="K737">
        <v>2</v>
      </c>
      <c r="L737">
        <v>2</v>
      </c>
      <c r="M737">
        <v>82</v>
      </c>
      <c r="N737">
        <v>220</v>
      </c>
      <c r="O737">
        <v>2</v>
      </c>
      <c r="P737">
        <v>220</v>
      </c>
      <c r="Q737">
        <v>52</v>
      </c>
      <c r="R737">
        <v>61</v>
      </c>
      <c r="S737">
        <v>16</v>
      </c>
      <c r="T737">
        <v>2</v>
      </c>
      <c r="U737">
        <v>0</v>
      </c>
      <c r="V737">
        <v>3</v>
      </c>
      <c r="W737">
        <v>0</v>
      </c>
      <c r="X737">
        <v>5</v>
      </c>
      <c r="Y737">
        <v>44</v>
      </c>
      <c r="Z737">
        <v>4</v>
      </c>
      <c r="AA737">
        <v>4</v>
      </c>
      <c r="AC737">
        <v>2</v>
      </c>
      <c r="AD737">
        <v>1</v>
      </c>
      <c r="AE737">
        <v>0</v>
      </c>
      <c r="AF737">
        <v>0</v>
      </c>
      <c r="AG737">
        <v>0</v>
      </c>
      <c r="AH737">
        <v>0</v>
      </c>
      <c r="AI737">
        <v>2</v>
      </c>
      <c r="AJ737">
        <v>2</v>
      </c>
      <c r="AK737">
        <v>5</v>
      </c>
      <c r="AL737">
        <v>0</v>
      </c>
      <c r="AM737">
        <v>0</v>
      </c>
      <c r="AN737">
        <v>0</v>
      </c>
      <c r="AT737">
        <v>0</v>
      </c>
      <c r="AU737">
        <v>17</v>
      </c>
      <c r="AV737">
        <v>220</v>
      </c>
      <c r="AW737">
        <v>220</v>
      </c>
      <c r="AX737">
        <v>280</v>
      </c>
      <c r="BA737">
        <v>1</v>
      </c>
      <c r="BC737" t="s">
        <v>1565</v>
      </c>
      <c r="BD737" s="4">
        <v>43283.272916666669</v>
      </c>
      <c r="BE737" s="4">
        <v>43283.301261574074</v>
      </c>
      <c r="BF737" s="4">
        <v>43283.301261574074</v>
      </c>
      <c r="BG737" t="s">
        <v>83</v>
      </c>
      <c r="BH737" t="s">
        <v>84</v>
      </c>
      <c r="BI737" t="s">
        <v>85</v>
      </c>
    </row>
    <row r="738" spans="1:61" x14ac:dyDescent="0.3">
      <c r="A738" t="str">
        <f>"200997B0100"</f>
        <v>200997B0100</v>
      </c>
      <c r="B738" t="s">
        <v>1566</v>
      </c>
      <c r="C738">
        <v>20</v>
      </c>
      <c r="D738" t="s">
        <v>79</v>
      </c>
      <c r="E738">
        <v>4</v>
      </c>
      <c r="F738" t="s">
        <v>1317</v>
      </c>
      <c r="G738">
        <v>997</v>
      </c>
      <c r="H738">
        <v>1</v>
      </c>
      <c r="I738" t="s">
        <v>81</v>
      </c>
      <c r="J738">
        <v>0</v>
      </c>
      <c r="K738">
        <v>2</v>
      </c>
      <c r="L738">
        <v>2</v>
      </c>
      <c r="AX738">
        <v>241</v>
      </c>
      <c r="AZ738" t="s">
        <v>156</v>
      </c>
      <c r="BA738">
        <v>0</v>
      </c>
      <c r="BC738" t="s">
        <v>1567</v>
      </c>
      <c r="BD738" s="4">
        <v>43283.631944444445</v>
      </c>
      <c r="BE738" s="4">
        <v>43283.634618055556</v>
      </c>
      <c r="BF738" s="4">
        <v>43283.634618055556</v>
      </c>
      <c r="BG738" t="s">
        <v>83</v>
      </c>
      <c r="BH738" t="s">
        <v>84</v>
      </c>
      <c r="BI738" t="s">
        <v>85</v>
      </c>
    </row>
    <row r="739" spans="1:61" x14ac:dyDescent="0.3">
      <c r="A739" t="str">
        <f>"200998B0100"</f>
        <v>200998B0100</v>
      </c>
      <c r="B739" t="s">
        <v>1568</v>
      </c>
      <c r="C739">
        <v>20</v>
      </c>
      <c r="D739" t="s">
        <v>79</v>
      </c>
      <c r="E739">
        <v>4</v>
      </c>
      <c r="F739" t="s">
        <v>1317</v>
      </c>
      <c r="G739">
        <v>998</v>
      </c>
      <c r="H739">
        <v>1</v>
      </c>
      <c r="I739" t="s">
        <v>81</v>
      </c>
      <c r="J739">
        <v>0</v>
      </c>
      <c r="K739">
        <v>2</v>
      </c>
      <c r="L739">
        <v>2</v>
      </c>
      <c r="M739">
        <v>33</v>
      </c>
      <c r="N739">
        <v>38</v>
      </c>
      <c r="O739">
        <v>3</v>
      </c>
      <c r="P739">
        <v>38</v>
      </c>
      <c r="Q739">
        <v>2</v>
      </c>
      <c r="R739">
        <v>26</v>
      </c>
      <c r="S739">
        <v>1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5</v>
      </c>
      <c r="Z739">
        <v>0</v>
      </c>
      <c r="AA739">
        <v>0</v>
      </c>
      <c r="AC739">
        <v>0</v>
      </c>
      <c r="AD739">
        <v>0</v>
      </c>
      <c r="AE739">
        <v>0</v>
      </c>
      <c r="AF739">
        <v>0</v>
      </c>
      <c r="AG739">
        <v>1</v>
      </c>
      <c r="AH739">
        <v>1</v>
      </c>
      <c r="AI739">
        <v>0</v>
      </c>
      <c r="AJ739">
        <v>0</v>
      </c>
      <c r="AK739">
        <v>1</v>
      </c>
      <c r="AL739">
        <v>0</v>
      </c>
      <c r="AM739">
        <v>0</v>
      </c>
      <c r="AN739">
        <v>0</v>
      </c>
      <c r="AT739">
        <v>0</v>
      </c>
      <c r="AU739">
        <v>1</v>
      </c>
      <c r="AV739">
        <v>38</v>
      </c>
      <c r="AW739">
        <v>38</v>
      </c>
      <c r="AX739">
        <v>49</v>
      </c>
      <c r="BA739">
        <v>1</v>
      </c>
      <c r="BC739" t="s">
        <v>1569</v>
      </c>
      <c r="BD739" s="4">
        <v>43283.443749999999</v>
      </c>
      <c r="BE739" s="4">
        <v>43283.451620370368</v>
      </c>
      <c r="BF739" s="4">
        <v>43283.451620370368</v>
      </c>
      <c r="BG739" t="s">
        <v>83</v>
      </c>
      <c r="BH739" t="s">
        <v>84</v>
      </c>
      <c r="BI739" t="s">
        <v>1331</v>
      </c>
    </row>
    <row r="740" spans="1:61" x14ac:dyDescent="0.3">
      <c r="A740" t="str">
        <f>"201108B0100"</f>
        <v>201108B0100</v>
      </c>
      <c r="B740" t="s">
        <v>1570</v>
      </c>
      <c r="C740">
        <v>20</v>
      </c>
      <c r="D740" t="s">
        <v>79</v>
      </c>
      <c r="E740">
        <v>4</v>
      </c>
      <c r="F740" t="s">
        <v>1317</v>
      </c>
      <c r="G740">
        <v>1108</v>
      </c>
      <c r="H740">
        <v>1</v>
      </c>
      <c r="I740" t="s">
        <v>81</v>
      </c>
      <c r="J740">
        <v>0</v>
      </c>
      <c r="K740">
        <v>2</v>
      </c>
      <c r="L740">
        <v>2</v>
      </c>
      <c r="M740">
        <v>302</v>
      </c>
      <c r="N740">
        <v>373</v>
      </c>
      <c r="O740">
        <v>0</v>
      </c>
      <c r="P740">
        <v>373</v>
      </c>
      <c r="Q740">
        <v>7</v>
      </c>
      <c r="R740">
        <v>106</v>
      </c>
      <c r="S740">
        <v>18</v>
      </c>
      <c r="T740">
        <v>2</v>
      </c>
      <c r="U740">
        <v>23</v>
      </c>
      <c r="V740">
        <v>4</v>
      </c>
      <c r="W740">
        <v>1</v>
      </c>
      <c r="X740">
        <v>5</v>
      </c>
      <c r="Y740">
        <v>158</v>
      </c>
      <c r="Z740">
        <v>4</v>
      </c>
      <c r="AA740">
        <v>2</v>
      </c>
      <c r="AC740">
        <v>0</v>
      </c>
      <c r="AD740">
        <v>0</v>
      </c>
      <c r="AE740">
        <v>0</v>
      </c>
      <c r="AF740">
        <v>0</v>
      </c>
      <c r="AG740">
        <v>3</v>
      </c>
      <c r="AH740">
        <v>4</v>
      </c>
      <c r="AI740">
        <v>0</v>
      </c>
      <c r="AJ740">
        <v>0</v>
      </c>
      <c r="AK740">
        <v>1</v>
      </c>
      <c r="AL740">
        <v>0</v>
      </c>
      <c r="AM740">
        <v>0</v>
      </c>
      <c r="AN740">
        <v>2</v>
      </c>
      <c r="AT740">
        <v>3</v>
      </c>
      <c r="AU740">
        <v>30</v>
      </c>
      <c r="AV740">
        <v>373</v>
      </c>
      <c r="AW740">
        <v>373</v>
      </c>
      <c r="AX740">
        <v>653</v>
      </c>
      <c r="BA740">
        <v>1</v>
      </c>
      <c r="BC740" t="s">
        <v>1571</v>
      </c>
      <c r="BD740" s="4">
        <v>43283.414583333331</v>
      </c>
      <c r="BE740" s="4">
        <v>43283.419895833336</v>
      </c>
      <c r="BF740" s="4">
        <v>43283.419895833336</v>
      </c>
      <c r="BG740" t="s">
        <v>83</v>
      </c>
      <c r="BH740" t="s">
        <v>84</v>
      </c>
      <c r="BI740" t="s">
        <v>548</v>
      </c>
    </row>
    <row r="741" spans="1:61" x14ac:dyDescent="0.3">
      <c r="A741" t="str">
        <f>"201109B0100"</f>
        <v>201109B0100</v>
      </c>
      <c r="B741" t="s">
        <v>1572</v>
      </c>
      <c r="C741">
        <v>20</v>
      </c>
      <c r="D741" t="s">
        <v>79</v>
      </c>
      <c r="E741">
        <v>4</v>
      </c>
      <c r="F741" t="s">
        <v>1317</v>
      </c>
      <c r="G741">
        <v>1109</v>
      </c>
      <c r="H741">
        <v>1</v>
      </c>
      <c r="I741" t="s">
        <v>81</v>
      </c>
      <c r="J741">
        <v>0</v>
      </c>
      <c r="K741">
        <v>2</v>
      </c>
      <c r="L741">
        <v>2</v>
      </c>
      <c r="M741">
        <v>219</v>
      </c>
      <c r="N741">
        <v>273</v>
      </c>
      <c r="O741">
        <v>0</v>
      </c>
      <c r="P741">
        <v>273</v>
      </c>
      <c r="Q741">
        <v>11</v>
      </c>
      <c r="R741">
        <v>98</v>
      </c>
      <c r="S741">
        <v>7</v>
      </c>
      <c r="T741">
        <v>4</v>
      </c>
      <c r="U741">
        <v>14</v>
      </c>
      <c r="V741">
        <v>7</v>
      </c>
      <c r="W741">
        <v>13</v>
      </c>
      <c r="X741">
        <v>9</v>
      </c>
      <c r="Y741">
        <v>74</v>
      </c>
      <c r="Z741">
        <v>1</v>
      </c>
      <c r="AA741">
        <v>0</v>
      </c>
      <c r="AC741">
        <v>2</v>
      </c>
      <c r="AD741">
        <v>0</v>
      </c>
      <c r="AE741">
        <v>0</v>
      </c>
      <c r="AF741">
        <v>0</v>
      </c>
      <c r="AG741">
        <v>7</v>
      </c>
      <c r="AH741">
        <v>3</v>
      </c>
      <c r="AI741">
        <v>0</v>
      </c>
      <c r="AJ741">
        <v>0</v>
      </c>
      <c r="AK741">
        <v>5</v>
      </c>
      <c r="AL741">
        <v>1</v>
      </c>
      <c r="AM741">
        <v>0</v>
      </c>
      <c r="AN741">
        <v>1</v>
      </c>
      <c r="AT741">
        <v>1</v>
      </c>
      <c r="AU741">
        <v>15</v>
      </c>
      <c r="AV741">
        <v>273</v>
      </c>
      <c r="AW741">
        <v>273</v>
      </c>
      <c r="AX741">
        <v>472</v>
      </c>
      <c r="BA741">
        <v>1</v>
      </c>
      <c r="BC741" t="s">
        <v>1573</v>
      </c>
      <c r="BD741" s="4">
        <v>43283.423611111109</v>
      </c>
      <c r="BE741" s="4">
        <v>43283.431215277778</v>
      </c>
      <c r="BF741" s="4">
        <v>43283.431215277778</v>
      </c>
      <c r="BG741" t="s">
        <v>83</v>
      </c>
      <c r="BH741" t="s">
        <v>84</v>
      </c>
      <c r="BI741" t="s">
        <v>85</v>
      </c>
    </row>
    <row r="742" spans="1:61" x14ac:dyDescent="0.3">
      <c r="A742" t="str">
        <f>"201109C0100"</f>
        <v>201109C0100</v>
      </c>
      <c r="B742" t="s">
        <v>1574</v>
      </c>
      <c r="C742">
        <v>20</v>
      </c>
      <c r="D742" t="s">
        <v>79</v>
      </c>
      <c r="E742">
        <v>4</v>
      </c>
      <c r="F742" t="s">
        <v>1317</v>
      </c>
      <c r="G742">
        <v>1109</v>
      </c>
      <c r="H742">
        <v>1</v>
      </c>
      <c r="I742" t="s">
        <v>89</v>
      </c>
      <c r="J742">
        <v>0</v>
      </c>
      <c r="K742">
        <v>2</v>
      </c>
      <c r="L742">
        <v>2</v>
      </c>
      <c r="M742">
        <v>212</v>
      </c>
      <c r="N742">
        <v>280</v>
      </c>
      <c r="O742">
        <v>0</v>
      </c>
      <c r="P742">
        <v>280</v>
      </c>
      <c r="Q742">
        <v>3</v>
      </c>
      <c r="R742">
        <v>79</v>
      </c>
      <c r="S742">
        <v>6</v>
      </c>
      <c r="T742">
        <v>3</v>
      </c>
      <c r="U742">
        <v>6</v>
      </c>
      <c r="V742">
        <v>6</v>
      </c>
      <c r="W742">
        <v>10</v>
      </c>
      <c r="X742">
        <v>6</v>
      </c>
      <c r="Y742">
        <v>120</v>
      </c>
      <c r="Z742">
        <v>2</v>
      </c>
      <c r="AA742">
        <v>1</v>
      </c>
      <c r="AC742">
        <v>0</v>
      </c>
      <c r="AD742">
        <v>0</v>
      </c>
      <c r="AE742">
        <v>0</v>
      </c>
      <c r="AF742">
        <v>0</v>
      </c>
      <c r="AG742">
        <v>6</v>
      </c>
      <c r="AH742">
        <v>6</v>
      </c>
      <c r="AI742">
        <v>3</v>
      </c>
      <c r="AJ742">
        <v>0</v>
      </c>
      <c r="AK742">
        <v>2</v>
      </c>
      <c r="AL742">
        <v>0</v>
      </c>
      <c r="AM742">
        <v>0</v>
      </c>
      <c r="AN742">
        <v>1</v>
      </c>
      <c r="AT742">
        <v>0</v>
      </c>
      <c r="AU742">
        <v>20</v>
      </c>
      <c r="AV742">
        <v>280</v>
      </c>
      <c r="AW742">
        <v>280</v>
      </c>
      <c r="AX742">
        <v>471</v>
      </c>
      <c r="BA742">
        <v>1</v>
      </c>
      <c r="BC742" t="s">
        <v>1575</v>
      </c>
      <c r="BD742" s="4">
        <v>43283.423611111109</v>
      </c>
      <c r="BE742" s="4">
        <v>43283.431006944447</v>
      </c>
      <c r="BF742" s="4">
        <v>43283.431006944447</v>
      </c>
      <c r="BG742" t="s">
        <v>83</v>
      </c>
      <c r="BH742" t="s">
        <v>84</v>
      </c>
      <c r="BI742" t="s">
        <v>85</v>
      </c>
    </row>
    <row r="743" spans="1:61" x14ac:dyDescent="0.3">
      <c r="A743" t="str">
        <f>"201111B0100"</f>
        <v>201111B0100</v>
      </c>
      <c r="B743" t="s">
        <v>1576</v>
      </c>
      <c r="C743">
        <v>20</v>
      </c>
      <c r="D743" t="s">
        <v>79</v>
      </c>
      <c r="E743">
        <v>4</v>
      </c>
      <c r="F743" t="s">
        <v>1317</v>
      </c>
      <c r="G743">
        <v>1111</v>
      </c>
      <c r="H743">
        <v>1</v>
      </c>
      <c r="I743" t="s">
        <v>81</v>
      </c>
      <c r="J743">
        <v>0</v>
      </c>
      <c r="K743">
        <v>2</v>
      </c>
      <c r="L743">
        <v>2</v>
      </c>
      <c r="M743">
        <v>168</v>
      </c>
      <c r="N743">
        <v>586</v>
      </c>
      <c r="O743">
        <v>0</v>
      </c>
      <c r="P743">
        <v>586</v>
      </c>
      <c r="Q743">
        <v>1</v>
      </c>
      <c r="R743">
        <v>21</v>
      </c>
      <c r="S743">
        <v>95</v>
      </c>
      <c r="T743">
        <v>165</v>
      </c>
      <c r="U743">
        <v>10</v>
      </c>
      <c r="V743">
        <v>2</v>
      </c>
      <c r="W743">
        <v>1</v>
      </c>
      <c r="X743">
        <v>5</v>
      </c>
      <c r="Y743">
        <v>253</v>
      </c>
      <c r="Z743">
        <v>3</v>
      </c>
      <c r="AA743">
        <v>9</v>
      </c>
      <c r="AC743">
        <v>0</v>
      </c>
      <c r="AD743">
        <v>0</v>
      </c>
      <c r="AE743">
        <v>1</v>
      </c>
      <c r="AF743">
        <v>0</v>
      </c>
      <c r="AG743">
        <v>0</v>
      </c>
      <c r="AH743">
        <v>2</v>
      </c>
      <c r="AI743">
        <v>1</v>
      </c>
      <c r="AJ743">
        <v>0</v>
      </c>
      <c r="AK743">
        <v>1</v>
      </c>
      <c r="AL743">
        <v>0</v>
      </c>
      <c r="AM743">
        <v>0</v>
      </c>
      <c r="AN743">
        <v>1</v>
      </c>
      <c r="AT743">
        <v>0</v>
      </c>
      <c r="AU743">
        <v>15</v>
      </c>
      <c r="AV743">
        <v>586</v>
      </c>
      <c r="AW743">
        <v>586</v>
      </c>
      <c r="AX743">
        <v>732</v>
      </c>
      <c r="BA743">
        <v>1</v>
      </c>
      <c r="BC743" t="s">
        <v>1577</v>
      </c>
      <c r="BD743" s="4">
        <v>43283.47152777778</v>
      </c>
      <c r="BE743" s="4">
        <v>43283.477210648147</v>
      </c>
      <c r="BF743" s="4">
        <v>43283.477210648147</v>
      </c>
      <c r="BG743" t="s">
        <v>83</v>
      </c>
      <c r="BH743" t="s">
        <v>84</v>
      </c>
      <c r="BI743" t="s">
        <v>85</v>
      </c>
    </row>
    <row r="744" spans="1:61" x14ac:dyDescent="0.3">
      <c r="A744" t="str">
        <f>"201111C0100"</f>
        <v>201111C0100</v>
      </c>
      <c r="B744" t="s">
        <v>1578</v>
      </c>
      <c r="C744">
        <v>20</v>
      </c>
      <c r="D744" t="s">
        <v>79</v>
      </c>
      <c r="E744">
        <v>4</v>
      </c>
      <c r="F744" t="s">
        <v>1317</v>
      </c>
      <c r="G744">
        <v>1111</v>
      </c>
      <c r="H744">
        <v>1</v>
      </c>
      <c r="I744" t="s">
        <v>89</v>
      </c>
      <c r="J744">
        <v>0</v>
      </c>
      <c r="K744">
        <v>2</v>
      </c>
      <c r="L744">
        <v>2</v>
      </c>
      <c r="M744">
        <v>177</v>
      </c>
      <c r="N744">
        <v>576</v>
      </c>
      <c r="O744">
        <v>0</v>
      </c>
      <c r="P744">
        <v>576</v>
      </c>
      <c r="Q744">
        <v>3</v>
      </c>
      <c r="R744">
        <v>25</v>
      </c>
      <c r="S744">
        <v>102</v>
      </c>
      <c r="T744">
        <v>181</v>
      </c>
      <c r="U744">
        <v>3</v>
      </c>
      <c r="V744">
        <v>4</v>
      </c>
      <c r="W744">
        <v>2</v>
      </c>
      <c r="X744">
        <v>5</v>
      </c>
      <c r="Y744">
        <v>207</v>
      </c>
      <c r="Z744">
        <v>4</v>
      </c>
      <c r="AA744">
        <v>6</v>
      </c>
      <c r="AC744">
        <v>1</v>
      </c>
      <c r="AD744">
        <v>0</v>
      </c>
      <c r="AE744">
        <v>0</v>
      </c>
      <c r="AF744">
        <v>0</v>
      </c>
      <c r="AG744">
        <v>4</v>
      </c>
      <c r="AH744">
        <v>3</v>
      </c>
      <c r="AI744">
        <v>0</v>
      </c>
      <c r="AJ744">
        <v>2</v>
      </c>
      <c r="AK744">
        <v>1</v>
      </c>
      <c r="AL744">
        <v>0</v>
      </c>
      <c r="AM744">
        <v>0</v>
      </c>
      <c r="AN744">
        <v>0</v>
      </c>
      <c r="AT744">
        <v>0</v>
      </c>
      <c r="AU744">
        <v>23</v>
      </c>
      <c r="AV744">
        <v>576</v>
      </c>
      <c r="AW744">
        <v>576</v>
      </c>
      <c r="AX744">
        <v>731</v>
      </c>
      <c r="BA744">
        <v>1</v>
      </c>
      <c r="BC744" t="s">
        <v>1579</v>
      </c>
      <c r="BD744" s="4">
        <v>43283.47152777778</v>
      </c>
      <c r="BE744" s="4">
        <v>43283.478726851848</v>
      </c>
      <c r="BF744" s="4">
        <v>43283.478726851848</v>
      </c>
      <c r="BG744" t="s">
        <v>83</v>
      </c>
      <c r="BH744" t="s">
        <v>84</v>
      </c>
      <c r="BI744" t="s">
        <v>1331</v>
      </c>
    </row>
    <row r="745" spans="1:61" x14ac:dyDescent="0.3">
      <c r="A745" t="str">
        <f>"201129B0100"</f>
        <v>201129B0100</v>
      </c>
      <c r="B745" t="s">
        <v>1580</v>
      </c>
      <c r="C745">
        <v>20</v>
      </c>
      <c r="D745" t="s">
        <v>79</v>
      </c>
      <c r="E745">
        <v>4</v>
      </c>
      <c r="F745" t="s">
        <v>1317</v>
      </c>
      <c r="G745">
        <v>1129</v>
      </c>
      <c r="H745">
        <v>1</v>
      </c>
      <c r="I745" t="s">
        <v>81</v>
      </c>
      <c r="J745">
        <v>0</v>
      </c>
      <c r="K745">
        <v>2</v>
      </c>
      <c r="L745">
        <v>2</v>
      </c>
      <c r="M745">
        <v>218</v>
      </c>
      <c r="N745">
        <v>458</v>
      </c>
      <c r="O745">
        <v>0</v>
      </c>
      <c r="P745">
        <v>458</v>
      </c>
      <c r="Q745">
        <v>22</v>
      </c>
      <c r="R745">
        <v>93</v>
      </c>
      <c r="S745">
        <v>40</v>
      </c>
      <c r="T745">
        <v>3</v>
      </c>
      <c r="U745">
        <v>15</v>
      </c>
      <c r="V745">
        <v>4</v>
      </c>
      <c r="W745">
        <v>14</v>
      </c>
      <c r="X745">
        <v>6</v>
      </c>
      <c r="Y745">
        <v>192</v>
      </c>
      <c r="Z745">
        <v>13</v>
      </c>
      <c r="AA745">
        <v>8</v>
      </c>
      <c r="AC745">
        <v>0</v>
      </c>
      <c r="AD745">
        <v>0</v>
      </c>
      <c r="AE745">
        <v>0</v>
      </c>
      <c r="AF745">
        <v>1</v>
      </c>
      <c r="AG745">
        <v>10</v>
      </c>
      <c r="AH745">
        <v>1</v>
      </c>
      <c r="AI745">
        <v>1</v>
      </c>
      <c r="AJ745">
        <v>0</v>
      </c>
      <c r="AK745">
        <v>6</v>
      </c>
      <c r="AL745">
        <v>0</v>
      </c>
      <c r="AM745">
        <v>0</v>
      </c>
      <c r="AN745">
        <v>0</v>
      </c>
      <c r="AT745">
        <v>0</v>
      </c>
      <c r="AU745">
        <v>28</v>
      </c>
      <c r="AV745">
        <v>458</v>
      </c>
      <c r="AW745">
        <v>457</v>
      </c>
      <c r="AX745">
        <v>654</v>
      </c>
      <c r="BA745">
        <v>1</v>
      </c>
      <c r="BC745" t="s">
        <v>1581</v>
      </c>
      <c r="BD745" s="4">
        <v>43283.056944444441</v>
      </c>
      <c r="BE745" s="4">
        <v>43283.061562499999</v>
      </c>
      <c r="BF745" s="4">
        <v>43283.061562499999</v>
      </c>
      <c r="BG745" t="s">
        <v>83</v>
      </c>
      <c r="BH745" t="s">
        <v>84</v>
      </c>
      <c r="BI745" t="s">
        <v>85</v>
      </c>
    </row>
    <row r="746" spans="1:61" x14ac:dyDescent="0.3">
      <c r="A746" t="str">
        <f>"201129C0100"</f>
        <v>201129C0100</v>
      </c>
      <c r="B746" t="s">
        <v>1582</v>
      </c>
      <c r="C746">
        <v>20</v>
      </c>
      <c r="D746" t="s">
        <v>79</v>
      </c>
      <c r="E746">
        <v>4</v>
      </c>
      <c r="F746" t="s">
        <v>1317</v>
      </c>
      <c r="G746">
        <v>1129</v>
      </c>
      <c r="H746">
        <v>1</v>
      </c>
      <c r="I746" t="s">
        <v>89</v>
      </c>
      <c r="J746">
        <v>0</v>
      </c>
      <c r="K746">
        <v>2</v>
      </c>
      <c r="L746">
        <v>2</v>
      </c>
      <c r="M746">
        <v>268</v>
      </c>
      <c r="N746">
        <v>408</v>
      </c>
      <c r="O746">
        <v>0</v>
      </c>
      <c r="P746">
        <v>408</v>
      </c>
      <c r="Q746">
        <v>15</v>
      </c>
      <c r="R746">
        <v>96</v>
      </c>
      <c r="S746">
        <v>21</v>
      </c>
      <c r="T746">
        <v>10</v>
      </c>
      <c r="U746">
        <v>11</v>
      </c>
      <c r="V746">
        <v>4</v>
      </c>
      <c r="W746">
        <v>25</v>
      </c>
      <c r="X746">
        <v>10</v>
      </c>
      <c r="Y746">
        <v>162</v>
      </c>
      <c r="Z746">
        <v>5</v>
      </c>
      <c r="AA746">
        <v>6</v>
      </c>
      <c r="AC746">
        <v>0</v>
      </c>
      <c r="AD746">
        <v>0</v>
      </c>
      <c r="AE746">
        <v>0</v>
      </c>
      <c r="AF746">
        <v>0</v>
      </c>
      <c r="AG746">
        <v>11</v>
      </c>
      <c r="AH746">
        <v>1</v>
      </c>
      <c r="AI746">
        <v>0</v>
      </c>
      <c r="AJ746">
        <v>0</v>
      </c>
      <c r="AK746">
        <v>3</v>
      </c>
      <c r="AL746">
        <v>2</v>
      </c>
      <c r="AM746">
        <v>0</v>
      </c>
      <c r="AN746">
        <v>1</v>
      </c>
      <c r="AT746">
        <v>0</v>
      </c>
      <c r="AU746">
        <v>25</v>
      </c>
      <c r="AV746">
        <v>408</v>
      </c>
      <c r="AW746">
        <v>408</v>
      </c>
      <c r="AX746">
        <v>654</v>
      </c>
      <c r="BA746">
        <v>1</v>
      </c>
      <c r="BC746" t="s">
        <v>1583</v>
      </c>
      <c r="BD746" s="4">
        <v>43283.05972222222</v>
      </c>
      <c r="BE746" s="4">
        <v>43283.062858796293</v>
      </c>
      <c r="BF746" s="4">
        <v>43283.062858796293</v>
      </c>
      <c r="BG746" t="s">
        <v>83</v>
      </c>
      <c r="BH746" t="s">
        <v>84</v>
      </c>
      <c r="BI746" t="s">
        <v>85</v>
      </c>
    </row>
    <row r="747" spans="1:61" x14ac:dyDescent="0.3">
      <c r="A747" t="str">
        <f>"201130B0100"</f>
        <v>201130B0100</v>
      </c>
      <c r="B747" t="s">
        <v>1584</v>
      </c>
      <c r="C747">
        <v>20</v>
      </c>
      <c r="D747" t="s">
        <v>79</v>
      </c>
      <c r="E747">
        <v>4</v>
      </c>
      <c r="F747" t="s">
        <v>1317</v>
      </c>
      <c r="G747">
        <v>1130</v>
      </c>
      <c r="H747">
        <v>1</v>
      </c>
      <c r="I747" t="s">
        <v>81</v>
      </c>
      <c r="J747">
        <v>0</v>
      </c>
      <c r="K747">
        <v>2</v>
      </c>
      <c r="L747">
        <v>2</v>
      </c>
      <c r="M747">
        <v>154</v>
      </c>
      <c r="N747">
        <v>519</v>
      </c>
      <c r="O747">
        <v>0</v>
      </c>
      <c r="P747">
        <v>366</v>
      </c>
      <c r="Q747">
        <v>5</v>
      </c>
      <c r="R747">
        <v>55</v>
      </c>
      <c r="S747">
        <v>5</v>
      </c>
      <c r="T747">
        <v>3</v>
      </c>
      <c r="U747">
        <v>2</v>
      </c>
      <c r="V747">
        <v>1</v>
      </c>
      <c r="W747">
        <v>8</v>
      </c>
      <c r="X747">
        <v>36</v>
      </c>
      <c r="Y747">
        <v>221</v>
      </c>
      <c r="Z747">
        <v>2</v>
      </c>
      <c r="AA747">
        <v>0</v>
      </c>
      <c r="AC747">
        <v>0</v>
      </c>
      <c r="AD747">
        <v>0</v>
      </c>
      <c r="AE747">
        <v>0</v>
      </c>
      <c r="AF747">
        <v>0</v>
      </c>
      <c r="AG747">
        <v>5</v>
      </c>
      <c r="AH747">
        <v>0</v>
      </c>
      <c r="AI747">
        <v>1</v>
      </c>
      <c r="AJ747">
        <v>1</v>
      </c>
      <c r="AK747">
        <v>1</v>
      </c>
      <c r="AL747">
        <v>0</v>
      </c>
      <c r="AM747">
        <v>0</v>
      </c>
      <c r="AN747">
        <v>0</v>
      </c>
      <c r="AT747">
        <v>0</v>
      </c>
      <c r="AU747">
        <v>20</v>
      </c>
      <c r="AV747">
        <v>366</v>
      </c>
      <c r="AW747">
        <v>366</v>
      </c>
      <c r="AX747">
        <v>501</v>
      </c>
      <c r="BA747">
        <v>1</v>
      </c>
      <c r="BC747" t="s">
        <v>1585</v>
      </c>
      <c r="BD747" s="4">
        <v>43283.540277777778</v>
      </c>
      <c r="BE747" s="4">
        <v>43283.54546296296</v>
      </c>
      <c r="BF747" s="4">
        <v>43283.54546296296</v>
      </c>
      <c r="BG747" t="s">
        <v>83</v>
      </c>
      <c r="BH747" t="s">
        <v>84</v>
      </c>
      <c r="BI747" t="s">
        <v>85</v>
      </c>
    </row>
    <row r="748" spans="1:61" x14ac:dyDescent="0.3">
      <c r="A748" t="str">
        <f>"201228B0100"</f>
        <v>201228B0100</v>
      </c>
      <c r="B748" t="s">
        <v>1586</v>
      </c>
      <c r="C748">
        <v>20</v>
      </c>
      <c r="D748" t="s">
        <v>79</v>
      </c>
      <c r="E748">
        <v>4</v>
      </c>
      <c r="F748" t="s">
        <v>1317</v>
      </c>
      <c r="G748">
        <v>1228</v>
      </c>
      <c r="H748">
        <v>1</v>
      </c>
      <c r="I748" t="s">
        <v>81</v>
      </c>
      <c r="J748">
        <v>0</v>
      </c>
      <c r="K748">
        <v>1</v>
      </c>
      <c r="L748">
        <v>2</v>
      </c>
      <c r="M748">
        <v>155</v>
      </c>
      <c r="N748">
        <v>206</v>
      </c>
      <c r="O748">
        <v>0</v>
      </c>
      <c r="P748">
        <v>206</v>
      </c>
      <c r="Q748">
        <v>10</v>
      </c>
      <c r="R748">
        <v>46</v>
      </c>
      <c r="S748">
        <v>8</v>
      </c>
      <c r="T748">
        <v>2</v>
      </c>
      <c r="U748">
        <v>8</v>
      </c>
      <c r="V748">
        <v>2</v>
      </c>
      <c r="W748">
        <v>1</v>
      </c>
      <c r="X748">
        <v>4</v>
      </c>
      <c r="Y748">
        <v>104</v>
      </c>
      <c r="Z748">
        <v>5</v>
      </c>
      <c r="AA748">
        <v>0</v>
      </c>
      <c r="AC748">
        <v>0</v>
      </c>
      <c r="AD748">
        <v>0</v>
      </c>
      <c r="AE748">
        <v>0</v>
      </c>
      <c r="AF748">
        <v>0</v>
      </c>
      <c r="AG748">
        <v>2</v>
      </c>
      <c r="AH748">
        <v>0</v>
      </c>
      <c r="AI748">
        <v>0</v>
      </c>
      <c r="AJ748">
        <v>0</v>
      </c>
      <c r="AK748">
        <v>5</v>
      </c>
      <c r="AL748">
        <v>1</v>
      </c>
      <c r="AM748">
        <v>1</v>
      </c>
      <c r="AN748">
        <v>1</v>
      </c>
      <c r="AT748">
        <v>1</v>
      </c>
      <c r="AU748">
        <v>5</v>
      </c>
      <c r="AV748" t="s">
        <v>100</v>
      </c>
      <c r="AW748">
        <v>206</v>
      </c>
      <c r="AX748">
        <v>339</v>
      </c>
      <c r="BA748">
        <v>1</v>
      </c>
      <c r="BC748" t="s">
        <v>1587</v>
      </c>
      <c r="BD748" s="4">
        <v>43283.344444444447</v>
      </c>
      <c r="BE748" s="4">
        <v>43283.358668981484</v>
      </c>
      <c r="BF748" s="4">
        <v>43283.358668981484</v>
      </c>
      <c r="BG748" t="s">
        <v>83</v>
      </c>
      <c r="BH748" t="s">
        <v>84</v>
      </c>
      <c r="BI748" t="s">
        <v>85</v>
      </c>
    </row>
    <row r="749" spans="1:61" x14ac:dyDescent="0.3">
      <c r="A749" t="str">
        <f>"201229B0100"</f>
        <v>201229B0100</v>
      </c>
      <c r="B749" t="s">
        <v>1588</v>
      </c>
      <c r="C749">
        <v>20</v>
      </c>
      <c r="D749" t="s">
        <v>79</v>
      </c>
      <c r="E749">
        <v>4</v>
      </c>
      <c r="F749" t="s">
        <v>1317</v>
      </c>
      <c r="G749">
        <v>1229</v>
      </c>
      <c r="H749">
        <v>1</v>
      </c>
      <c r="I749" t="s">
        <v>81</v>
      </c>
      <c r="J749">
        <v>0</v>
      </c>
      <c r="K749">
        <v>2</v>
      </c>
      <c r="L749">
        <v>2</v>
      </c>
      <c r="M749">
        <v>277</v>
      </c>
      <c r="N749">
        <v>452</v>
      </c>
      <c r="O749">
        <v>2</v>
      </c>
      <c r="P749">
        <v>452</v>
      </c>
      <c r="Q749">
        <v>10</v>
      </c>
      <c r="R749">
        <v>68</v>
      </c>
      <c r="S749">
        <v>17</v>
      </c>
      <c r="T749">
        <v>3</v>
      </c>
      <c r="U749">
        <v>31</v>
      </c>
      <c r="V749">
        <v>10</v>
      </c>
      <c r="W749">
        <v>14</v>
      </c>
      <c r="X749">
        <v>7</v>
      </c>
      <c r="Y749">
        <v>241</v>
      </c>
      <c r="Z749">
        <v>9</v>
      </c>
      <c r="AA749">
        <v>0</v>
      </c>
      <c r="AC749">
        <v>0</v>
      </c>
      <c r="AD749">
        <v>0</v>
      </c>
      <c r="AE749">
        <v>0</v>
      </c>
      <c r="AF749">
        <v>0</v>
      </c>
      <c r="AG749">
        <v>3</v>
      </c>
      <c r="AH749">
        <v>1</v>
      </c>
      <c r="AI749">
        <v>0</v>
      </c>
      <c r="AJ749">
        <v>0</v>
      </c>
      <c r="AK749">
        <v>10</v>
      </c>
      <c r="AL749">
        <v>7</v>
      </c>
      <c r="AM749">
        <v>0</v>
      </c>
      <c r="AN749">
        <v>0</v>
      </c>
      <c r="AT749">
        <v>0</v>
      </c>
      <c r="AU749">
        <v>21</v>
      </c>
      <c r="AV749">
        <v>452</v>
      </c>
      <c r="AW749">
        <v>452</v>
      </c>
      <c r="AX749">
        <v>707</v>
      </c>
      <c r="BA749">
        <v>1</v>
      </c>
      <c r="BC749" t="s">
        <v>1589</v>
      </c>
      <c r="BD749" s="4">
        <v>43283.32916666667</v>
      </c>
      <c r="BE749" s="4">
        <v>43283.349212962959</v>
      </c>
      <c r="BF749" s="4">
        <v>43283.349212962959</v>
      </c>
      <c r="BG749" t="s">
        <v>83</v>
      </c>
      <c r="BH749" t="s">
        <v>84</v>
      </c>
      <c r="BI749" t="s">
        <v>548</v>
      </c>
    </row>
    <row r="750" spans="1:61" x14ac:dyDescent="0.3">
      <c r="A750" t="str">
        <f>"201230B0100"</f>
        <v>201230B0100</v>
      </c>
      <c r="B750" t="s">
        <v>1590</v>
      </c>
      <c r="C750">
        <v>20</v>
      </c>
      <c r="D750" t="s">
        <v>79</v>
      </c>
      <c r="E750">
        <v>4</v>
      </c>
      <c r="F750" t="s">
        <v>1317</v>
      </c>
      <c r="G750">
        <v>1230</v>
      </c>
      <c r="H750">
        <v>1</v>
      </c>
      <c r="I750" t="s">
        <v>81</v>
      </c>
      <c r="J750">
        <v>0</v>
      </c>
      <c r="K750">
        <v>2</v>
      </c>
      <c r="L750">
        <v>2</v>
      </c>
      <c r="M750">
        <v>223</v>
      </c>
      <c r="N750">
        <v>456</v>
      </c>
      <c r="O750">
        <v>0</v>
      </c>
      <c r="P750">
        <v>233</v>
      </c>
      <c r="Q750">
        <v>16</v>
      </c>
      <c r="R750">
        <v>118</v>
      </c>
      <c r="S750">
        <v>6</v>
      </c>
      <c r="T750">
        <v>4</v>
      </c>
      <c r="U750">
        <v>9</v>
      </c>
      <c r="V750">
        <v>0</v>
      </c>
      <c r="W750">
        <v>5</v>
      </c>
      <c r="X750">
        <v>3</v>
      </c>
      <c r="Y750">
        <v>50</v>
      </c>
      <c r="Z750">
        <v>2</v>
      </c>
      <c r="AA750">
        <v>1</v>
      </c>
      <c r="AC750">
        <v>0</v>
      </c>
      <c r="AD750">
        <v>2</v>
      </c>
      <c r="AE750">
        <v>0</v>
      </c>
      <c r="AF750">
        <v>0</v>
      </c>
      <c r="AG750">
        <v>2</v>
      </c>
      <c r="AH750">
        <v>1</v>
      </c>
      <c r="AI750">
        <v>0</v>
      </c>
      <c r="AJ750">
        <v>0</v>
      </c>
      <c r="AK750">
        <v>1</v>
      </c>
      <c r="AL750">
        <v>2</v>
      </c>
      <c r="AM750">
        <v>0</v>
      </c>
      <c r="AN750">
        <v>0</v>
      </c>
      <c r="AT750">
        <v>0</v>
      </c>
      <c r="AU750">
        <v>11</v>
      </c>
      <c r="AV750">
        <v>233</v>
      </c>
      <c r="AW750">
        <v>233</v>
      </c>
      <c r="AX750">
        <v>434</v>
      </c>
      <c r="BA750">
        <v>1</v>
      </c>
      <c r="BC750" t="s">
        <v>1591</v>
      </c>
      <c r="BD750" s="4">
        <v>43283.329861111109</v>
      </c>
      <c r="BE750" s="4">
        <v>43283.348715277774</v>
      </c>
      <c r="BF750" s="4">
        <v>43283.348715277774</v>
      </c>
      <c r="BG750" t="s">
        <v>83</v>
      </c>
      <c r="BH750" t="s">
        <v>84</v>
      </c>
      <c r="BI750" t="s">
        <v>548</v>
      </c>
    </row>
    <row r="751" spans="1:61" x14ac:dyDescent="0.3">
      <c r="A751" t="str">
        <f>"201231B0100"</f>
        <v>201231B0100</v>
      </c>
      <c r="B751" t="s">
        <v>1592</v>
      </c>
      <c r="C751">
        <v>20</v>
      </c>
      <c r="D751" t="s">
        <v>79</v>
      </c>
      <c r="E751">
        <v>4</v>
      </c>
      <c r="F751" t="s">
        <v>1317</v>
      </c>
      <c r="G751">
        <v>1231</v>
      </c>
      <c r="H751">
        <v>1</v>
      </c>
      <c r="I751" t="s">
        <v>81</v>
      </c>
      <c r="J751">
        <v>0</v>
      </c>
      <c r="K751">
        <v>2</v>
      </c>
      <c r="L751">
        <v>2</v>
      </c>
      <c r="M751">
        <v>137</v>
      </c>
      <c r="N751">
        <v>205</v>
      </c>
      <c r="O751">
        <v>0</v>
      </c>
      <c r="P751">
        <v>206</v>
      </c>
      <c r="Q751">
        <v>3</v>
      </c>
      <c r="R751">
        <v>22</v>
      </c>
      <c r="S751">
        <v>4</v>
      </c>
      <c r="T751">
        <v>4</v>
      </c>
      <c r="U751">
        <v>13</v>
      </c>
      <c r="V751">
        <v>6</v>
      </c>
      <c r="W751">
        <v>11</v>
      </c>
      <c r="X751">
        <v>7</v>
      </c>
      <c r="Y751">
        <v>118</v>
      </c>
      <c r="Z751">
        <v>2</v>
      </c>
      <c r="AA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1</v>
      </c>
      <c r="AL751">
        <v>1</v>
      </c>
      <c r="AM751">
        <v>0</v>
      </c>
      <c r="AN751">
        <v>4</v>
      </c>
      <c r="AT751">
        <v>0</v>
      </c>
      <c r="AU751">
        <v>10</v>
      </c>
      <c r="AV751">
        <v>206</v>
      </c>
      <c r="AW751">
        <v>206</v>
      </c>
      <c r="AX751">
        <v>321</v>
      </c>
      <c r="BA751">
        <v>1</v>
      </c>
      <c r="BC751" t="s">
        <v>1593</v>
      </c>
      <c r="BD751" s="4">
        <v>43283.344444444447</v>
      </c>
      <c r="BE751" s="4">
        <v>43283.358726851853</v>
      </c>
      <c r="BF751" s="4">
        <v>43283.358726851853</v>
      </c>
      <c r="BG751" t="s">
        <v>83</v>
      </c>
      <c r="BH751" t="s">
        <v>84</v>
      </c>
      <c r="BI751" t="s">
        <v>85</v>
      </c>
    </row>
    <row r="752" spans="1:61" x14ac:dyDescent="0.3">
      <c r="A752" t="str">
        <f>"201248B0100"</f>
        <v>201248B0100</v>
      </c>
      <c r="B752" t="s">
        <v>1594</v>
      </c>
      <c r="C752">
        <v>20</v>
      </c>
      <c r="D752" t="s">
        <v>79</v>
      </c>
      <c r="E752">
        <v>4</v>
      </c>
      <c r="F752" t="s">
        <v>1317</v>
      </c>
      <c r="G752">
        <v>1248</v>
      </c>
      <c r="H752">
        <v>1</v>
      </c>
      <c r="I752" t="s">
        <v>81</v>
      </c>
      <c r="J752">
        <v>0</v>
      </c>
      <c r="K752">
        <v>1</v>
      </c>
      <c r="L752">
        <v>2</v>
      </c>
      <c r="M752">
        <v>163</v>
      </c>
      <c r="N752">
        <v>322</v>
      </c>
      <c r="O752">
        <v>0</v>
      </c>
      <c r="P752">
        <v>322</v>
      </c>
      <c r="Q752">
        <v>3</v>
      </c>
      <c r="R752">
        <v>138</v>
      </c>
      <c r="S752">
        <v>3</v>
      </c>
      <c r="T752">
        <v>0</v>
      </c>
      <c r="U752">
        <v>23</v>
      </c>
      <c r="V752">
        <v>3</v>
      </c>
      <c r="W752">
        <v>2</v>
      </c>
      <c r="X752">
        <v>4</v>
      </c>
      <c r="Y752">
        <v>9</v>
      </c>
      <c r="Z752">
        <v>2</v>
      </c>
      <c r="AA752">
        <v>0</v>
      </c>
      <c r="AC752">
        <v>0</v>
      </c>
      <c r="AD752">
        <v>0</v>
      </c>
      <c r="AE752">
        <v>0</v>
      </c>
      <c r="AF752">
        <v>0</v>
      </c>
      <c r="AG752">
        <v>7</v>
      </c>
      <c r="AH752">
        <v>3</v>
      </c>
      <c r="AI752">
        <v>0</v>
      </c>
      <c r="AJ752">
        <v>0</v>
      </c>
      <c r="AK752">
        <v>5</v>
      </c>
      <c r="AL752">
        <v>1</v>
      </c>
      <c r="AM752">
        <v>1</v>
      </c>
      <c r="AN752">
        <v>0</v>
      </c>
      <c r="AT752">
        <v>0</v>
      </c>
      <c r="AU752">
        <v>17</v>
      </c>
      <c r="AV752">
        <v>322</v>
      </c>
      <c r="AW752">
        <v>221</v>
      </c>
      <c r="AX752">
        <v>463</v>
      </c>
      <c r="BA752">
        <v>1</v>
      </c>
      <c r="BC752" t="s">
        <v>1595</v>
      </c>
      <c r="BD752" s="4">
        <v>43283.171527777777</v>
      </c>
      <c r="BE752" s="4">
        <v>43283.187337962961</v>
      </c>
      <c r="BF752" s="4">
        <v>43283.187337962961</v>
      </c>
      <c r="BG752" t="s">
        <v>83</v>
      </c>
      <c r="BH752" t="s">
        <v>84</v>
      </c>
      <c r="BI752" t="s">
        <v>1331</v>
      </c>
    </row>
    <row r="753" spans="1:61" x14ac:dyDescent="0.3">
      <c r="A753" t="str">
        <f>"201267B0100"</f>
        <v>201267B0100</v>
      </c>
      <c r="B753" t="s">
        <v>1596</v>
      </c>
      <c r="C753">
        <v>20</v>
      </c>
      <c r="D753" t="s">
        <v>79</v>
      </c>
      <c r="E753">
        <v>4</v>
      </c>
      <c r="F753" t="s">
        <v>1317</v>
      </c>
      <c r="G753">
        <v>1267</v>
      </c>
      <c r="H753">
        <v>1</v>
      </c>
      <c r="I753" t="s">
        <v>81</v>
      </c>
      <c r="J753">
        <v>0</v>
      </c>
      <c r="K753">
        <v>2</v>
      </c>
      <c r="L753">
        <v>2</v>
      </c>
      <c r="M753">
        <v>416</v>
      </c>
      <c r="N753" t="s">
        <v>100</v>
      </c>
      <c r="O753">
        <v>4</v>
      </c>
      <c r="P753" t="s">
        <v>100</v>
      </c>
      <c r="Q753">
        <v>75</v>
      </c>
      <c r="R753">
        <v>55</v>
      </c>
      <c r="S753">
        <v>12</v>
      </c>
      <c r="T753">
        <v>9</v>
      </c>
      <c r="U753">
        <v>23</v>
      </c>
      <c r="V753">
        <v>5</v>
      </c>
      <c r="W753">
        <v>9</v>
      </c>
      <c r="X753">
        <v>7</v>
      </c>
      <c r="Y753">
        <v>104</v>
      </c>
      <c r="Z753">
        <v>4</v>
      </c>
      <c r="AA753">
        <v>7</v>
      </c>
      <c r="AC753">
        <v>2</v>
      </c>
      <c r="AD753">
        <v>1</v>
      </c>
      <c r="AE753">
        <v>1</v>
      </c>
      <c r="AF753">
        <v>0</v>
      </c>
      <c r="AG753">
        <v>10</v>
      </c>
      <c r="AH753">
        <v>5</v>
      </c>
      <c r="AI753">
        <v>10</v>
      </c>
      <c r="AJ753">
        <v>0</v>
      </c>
      <c r="AK753">
        <v>13</v>
      </c>
      <c r="AL753">
        <v>3</v>
      </c>
      <c r="AM753">
        <v>0</v>
      </c>
      <c r="AN753">
        <v>2</v>
      </c>
      <c r="AT753">
        <v>0</v>
      </c>
      <c r="AU753">
        <v>47</v>
      </c>
      <c r="AV753" t="s">
        <v>100</v>
      </c>
      <c r="AW753">
        <v>404</v>
      </c>
      <c r="AX753">
        <v>645</v>
      </c>
      <c r="BA753">
        <v>1</v>
      </c>
      <c r="BC753" t="s">
        <v>1597</v>
      </c>
      <c r="BD753" s="4">
        <v>43283.275000000001</v>
      </c>
      <c r="BE753" s="4">
        <v>43283.308391203704</v>
      </c>
      <c r="BF753" s="4">
        <v>43283.308391203704</v>
      </c>
      <c r="BG753" t="s">
        <v>83</v>
      </c>
      <c r="BH753" t="s">
        <v>84</v>
      </c>
      <c r="BI753" t="s">
        <v>85</v>
      </c>
    </row>
    <row r="754" spans="1:61" x14ac:dyDescent="0.3">
      <c r="A754" t="str">
        <f>"201267C0100"</f>
        <v>201267C0100</v>
      </c>
      <c r="B754" t="s">
        <v>1598</v>
      </c>
      <c r="C754">
        <v>20</v>
      </c>
      <c r="D754" t="s">
        <v>79</v>
      </c>
      <c r="E754">
        <v>4</v>
      </c>
      <c r="F754" t="s">
        <v>1317</v>
      </c>
      <c r="G754">
        <v>1267</v>
      </c>
      <c r="H754">
        <v>1</v>
      </c>
      <c r="I754" t="s">
        <v>89</v>
      </c>
      <c r="J754">
        <v>0</v>
      </c>
      <c r="K754">
        <v>2</v>
      </c>
      <c r="L754">
        <v>2</v>
      </c>
      <c r="M754">
        <v>278</v>
      </c>
      <c r="N754">
        <v>387</v>
      </c>
      <c r="O754">
        <v>3</v>
      </c>
      <c r="P754" t="s">
        <v>100</v>
      </c>
      <c r="Q754">
        <v>74</v>
      </c>
      <c r="R754">
        <v>72</v>
      </c>
      <c r="S754">
        <v>8</v>
      </c>
      <c r="T754">
        <v>8</v>
      </c>
      <c r="U754">
        <v>20</v>
      </c>
      <c r="V754">
        <v>10</v>
      </c>
      <c r="W754">
        <v>4</v>
      </c>
      <c r="X754">
        <v>13</v>
      </c>
      <c r="Y754">
        <v>119</v>
      </c>
      <c r="Z754">
        <v>7</v>
      </c>
      <c r="AA754">
        <v>6</v>
      </c>
      <c r="AC754">
        <v>0</v>
      </c>
      <c r="AD754">
        <v>0</v>
      </c>
      <c r="AE754">
        <v>0</v>
      </c>
      <c r="AF754">
        <v>0</v>
      </c>
      <c r="AG754">
        <v>1</v>
      </c>
      <c r="AH754">
        <v>2</v>
      </c>
      <c r="AI754">
        <v>3</v>
      </c>
      <c r="AJ754">
        <v>0</v>
      </c>
      <c r="AK754">
        <v>6</v>
      </c>
      <c r="AL754">
        <v>0</v>
      </c>
      <c r="AM754">
        <v>0</v>
      </c>
      <c r="AN754">
        <v>4</v>
      </c>
      <c r="AT754" t="s">
        <v>100</v>
      </c>
      <c r="AU754" t="s">
        <v>100</v>
      </c>
      <c r="AV754" t="s">
        <v>100</v>
      </c>
      <c r="AW754">
        <v>357</v>
      </c>
      <c r="AX754">
        <v>644</v>
      </c>
      <c r="AZ754" t="s">
        <v>101</v>
      </c>
      <c r="BA754">
        <v>1</v>
      </c>
      <c r="BC754" t="s">
        <v>1599</v>
      </c>
      <c r="BD754" s="4">
        <v>43283.275694444441</v>
      </c>
      <c r="BE754" s="4">
        <v>43283.303460648145</v>
      </c>
      <c r="BF754" s="4">
        <v>43283.303460648145</v>
      </c>
      <c r="BG754" t="s">
        <v>83</v>
      </c>
      <c r="BH754" t="s">
        <v>84</v>
      </c>
      <c r="BI754" t="s">
        <v>85</v>
      </c>
    </row>
    <row r="755" spans="1:61" x14ac:dyDescent="0.3">
      <c r="A755" t="str">
        <f>"201268B0100"</f>
        <v>201268B0100</v>
      </c>
      <c r="B755" t="s">
        <v>1600</v>
      </c>
      <c r="C755">
        <v>20</v>
      </c>
      <c r="D755" t="s">
        <v>79</v>
      </c>
      <c r="E755">
        <v>4</v>
      </c>
      <c r="F755" t="s">
        <v>1317</v>
      </c>
      <c r="G755">
        <v>1268</v>
      </c>
      <c r="H755">
        <v>1</v>
      </c>
      <c r="I755" t="s">
        <v>81</v>
      </c>
      <c r="J755">
        <v>0</v>
      </c>
      <c r="K755">
        <v>2</v>
      </c>
      <c r="L755">
        <v>2</v>
      </c>
      <c r="M755">
        <v>290</v>
      </c>
      <c r="N755">
        <v>736</v>
      </c>
      <c r="O755">
        <v>446</v>
      </c>
      <c r="P755">
        <v>366</v>
      </c>
      <c r="Q755">
        <v>76</v>
      </c>
      <c r="R755">
        <v>104</v>
      </c>
      <c r="S755">
        <v>12</v>
      </c>
      <c r="T755">
        <v>4</v>
      </c>
      <c r="U755">
        <v>14</v>
      </c>
      <c r="V755">
        <v>5</v>
      </c>
      <c r="W755">
        <v>3</v>
      </c>
      <c r="X755">
        <v>7</v>
      </c>
      <c r="Y755">
        <v>10</v>
      </c>
      <c r="Z755">
        <v>10</v>
      </c>
      <c r="AA755">
        <v>1</v>
      </c>
      <c r="AC755">
        <v>1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3</v>
      </c>
      <c r="AL755">
        <v>5</v>
      </c>
      <c r="AM755">
        <v>0</v>
      </c>
      <c r="AN755">
        <v>0</v>
      </c>
      <c r="AT755">
        <v>24</v>
      </c>
      <c r="AU755">
        <v>24</v>
      </c>
      <c r="AV755">
        <v>366</v>
      </c>
      <c r="AW755">
        <v>303</v>
      </c>
      <c r="AX755">
        <v>721</v>
      </c>
      <c r="BA755">
        <v>1</v>
      </c>
      <c r="BC755" t="s">
        <v>1601</v>
      </c>
      <c r="BD755" s="4">
        <v>43283.272916666669</v>
      </c>
      <c r="BE755" s="4">
        <v>43283.301203703704</v>
      </c>
      <c r="BF755" s="4">
        <v>43283.301203703704</v>
      </c>
      <c r="BG755" t="s">
        <v>83</v>
      </c>
      <c r="BH755" t="s">
        <v>84</v>
      </c>
      <c r="BI755" t="s">
        <v>85</v>
      </c>
    </row>
    <row r="756" spans="1:61" x14ac:dyDescent="0.3">
      <c r="A756" t="str">
        <f>"201269B0100"</f>
        <v>201269B0100</v>
      </c>
      <c r="B756" t="s">
        <v>1602</v>
      </c>
      <c r="C756">
        <v>20</v>
      </c>
      <c r="D756" t="s">
        <v>79</v>
      </c>
      <c r="E756">
        <v>4</v>
      </c>
      <c r="F756" t="s">
        <v>1317</v>
      </c>
      <c r="G756">
        <v>1269</v>
      </c>
      <c r="H756">
        <v>1</v>
      </c>
      <c r="I756" t="s">
        <v>81</v>
      </c>
      <c r="J756">
        <v>0</v>
      </c>
      <c r="K756">
        <v>2</v>
      </c>
      <c r="L756">
        <v>2</v>
      </c>
      <c r="M756">
        <v>289</v>
      </c>
      <c r="N756">
        <v>395</v>
      </c>
      <c r="O756">
        <v>0</v>
      </c>
      <c r="P756">
        <v>393</v>
      </c>
      <c r="Q756">
        <v>29</v>
      </c>
      <c r="R756">
        <v>100</v>
      </c>
      <c r="S756">
        <v>9</v>
      </c>
      <c r="T756">
        <v>9</v>
      </c>
      <c r="U756">
        <v>16</v>
      </c>
      <c r="V756">
        <v>3</v>
      </c>
      <c r="W756">
        <v>1</v>
      </c>
      <c r="X756">
        <v>3</v>
      </c>
      <c r="Y756">
        <v>149</v>
      </c>
      <c r="Z756">
        <v>6</v>
      </c>
      <c r="AA756">
        <v>11</v>
      </c>
      <c r="AC756">
        <v>0</v>
      </c>
      <c r="AD756">
        <v>0</v>
      </c>
      <c r="AE756">
        <v>0</v>
      </c>
      <c r="AF756">
        <v>0</v>
      </c>
      <c r="AG756">
        <v>13</v>
      </c>
      <c r="AH756">
        <v>2</v>
      </c>
      <c r="AI756">
        <v>0</v>
      </c>
      <c r="AJ756">
        <v>1</v>
      </c>
      <c r="AK756">
        <v>5</v>
      </c>
      <c r="AL756">
        <v>0</v>
      </c>
      <c r="AM756">
        <v>1</v>
      </c>
      <c r="AN756">
        <v>7</v>
      </c>
      <c r="AT756">
        <v>0</v>
      </c>
      <c r="AU756">
        <v>28</v>
      </c>
      <c r="AV756">
        <v>393</v>
      </c>
      <c r="AW756">
        <v>393</v>
      </c>
      <c r="AX756">
        <v>661</v>
      </c>
      <c r="BA756">
        <v>1</v>
      </c>
      <c r="BC756" t="s">
        <v>1603</v>
      </c>
      <c r="BD756" s="4">
        <v>43283.274305555555</v>
      </c>
      <c r="BE756" s="4">
        <v>43283.303148148145</v>
      </c>
      <c r="BF756" s="4">
        <v>43283.303148148145</v>
      </c>
      <c r="BG756" t="s">
        <v>83</v>
      </c>
      <c r="BH756" t="s">
        <v>84</v>
      </c>
      <c r="BI756" t="s">
        <v>85</v>
      </c>
    </row>
    <row r="757" spans="1:61" x14ac:dyDescent="0.3">
      <c r="A757" t="str">
        <f>"201269E0100"</f>
        <v>201269E0100</v>
      </c>
      <c r="B757" s="2" t="s">
        <v>1604</v>
      </c>
      <c r="C757">
        <v>20</v>
      </c>
      <c r="D757" t="s">
        <v>79</v>
      </c>
      <c r="E757">
        <v>4</v>
      </c>
      <c r="F757" t="s">
        <v>1317</v>
      </c>
      <c r="G757">
        <v>1269</v>
      </c>
      <c r="H757">
        <v>1</v>
      </c>
      <c r="I757" t="s">
        <v>145</v>
      </c>
      <c r="J757">
        <v>0</v>
      </c>
      <c r="K757">
        <v>2</v>
      </c>
      <c r="L757">
        <v>2</v>
      </c>
      <c r="M757">
        <v>125</v>
      </c>
      <c r="N757">
        <v>209</v>
      </c>
      <c r="O757">
        <v>4</v>
      </c>
      <c r="P757">
        <v>205</v>
      </c>
      <c r="Q757">
        <v>32</v>
      </c>
      <c r="R757">
        <v>52</v>
      </c>
      <c r="S757">
        <v>5</v>
      </c>
      <c r="T757">
        <v>3</v>
      </c>
      <c r="U757">
        <v>3</v>
      </c>
      <c r="V757">
        <v>2</v>
      </c>
      <c r="W757">
        <v>2</v>
      </c>
      <c r="X757">
        <v>3</v>
      </c>
      <c r="Y757">
        <v>79</v>
      </c>
      <c r="Z757">
        <v>3</v>
      </c>
      <c r="AA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T757">
        <v>0</v>
      </c>
      <c r="AU757">
        <v>25</v>
      </c>
      <c r="AV757">
        <v>209</v>
      </c>
      <c r="AW757">
        <v>209</v>
      </c>
      <c r="AX757">
        <v>312</v>
      </c>
      <c r="BA757">
        <v>1</v>
      </c>
      <c r="BC757" t="s">
        <v>1605</v>
      </c>
      <c r="BD757" s="4">
        <v>43283.569444444445</v>
      </c>
      <c r="BE757" s="4">
        <v>43283.576481481483</v>
      </c>
      <c r="BF757" s="4">
        <v>43283.576481481483</v>
      </c>
      <c r="BG757" t="s">
        <v>83</v>
      </c>
      <c r="BH757" t="s">
        <v>84</v>
      </c>
      <c r="BI757" t="s">
        <v>85</v>
      </c>
    </row>
    <row r="758" spans="1:61" x14ac:dyDescent="0.3">
      <c r="A758" t="str">
        <f>"201270B0100"</f>
        <v>201270B0100</v>
      </c>
      <c r="B758" t="s">
        <v>1606</v>
      </c>
      <c r="C758">
        <v>20</v>
      </c>
      <c r="D758" t="s">
        <v>79</v>
      </c>
      <c r="E758">
        <v>4</v>
      </c>
      <c r="F758" t="s">
        <v>1317</v>
      </c>
      <c r="G758">
        <v>1270</v>
      </c>
      <c r="H758">
        <v>1</v>
      </c>
      <c r="I758" t="s">
        <v>81</v>
      </c>
      <c r="J758">
        <v>0</v>
      </c>
      <c r="K758">
        <v>2</v>
      </c>
      <c r="L758">
        <v>2</v>
      </c>
      <c r="M758">
        <v>245</v>
      </c>
      <c r="N758">
        <v>504</v>
      </c>
      <c r="O758">
        <v>8</v>
      </c>
      <c r="P758">
        <v>504</v>
      </c>
      <c r="Q758">
        <v>62</v>
      </c>
      <c r="R758">
        <v>85</v>
      </c>
      <c r="S758">
        <v>10</v>
      </c>
      <c r="T758">
        <v>89</v>
      </c>
      <c r="U758">
        <v>22</v>
      </c>
      <c r="V758">
        <v>3</v>
      </c>
      <c r="W758">
        <v>9</v>
      </c>
      <c r="X758">
        <v>24</v>
      </c>
      <c r="Y758">
        <v>146</v>
      </c>
      <c r="Z758">
        <v>8</v>
      </c>
      <c r="AA758">
        <v>1</v>
      </c>
      <c r="AC758">
        <v>1</v>
      </c>
      <c r="AD758">
        <v>1</v>
      </c>
      <c r="AE758">
        <v>0</v>
      </c>
      <c r="AF758">
        <v>0</v>
      </c>
      <c r="AG758">
        <v>0</v>
      </c>
      <c r="AH758">
        <v>2</v>
      </c>
      <c r="AI758">
        <v>2</v>
      </c>
      <c r="AJ758">
        <v>0</v>
      </c>
      <c r="AK758">
        <v>1</v>
      </c>
      <c r="AL758">
        <v>1</v>
      </c>
      <c r="AM758">
        <v>0</v>
      </c>
      <c r="AN758">
        <v>1</v>
      </c>
      <c r="AT758">
        <v>0</v>
      </c>
      <c r="AU758">
        <v>36</v>
      </c>
      <c r="AV758">
        <v>504</v>
      </c>
      <c r="AW758">
        <v>504</v>
      </c>
      <c r="AX758">
        <v>727</v>
      </c>
      <c r="BA758">
        <v>1</v>
      </c>
      <c r="BC758" t="s">
        <v>1607</v>
      </c>
      <c r="BD758" s="4">
        <v>43283.45208333333</v>
      </c>
      <c r="BE758" s="4">
        <v>43283.455925925926</v>
      </c>
      <c r="BF758" s="4">
        <v>43283.455925925926</v>
      </c>
      <c r="BG758" t="s">
        <v>83</v>
      </c>
      <c r="BH758" t="s">
        <v>84</v>
      </c>
      <c r="BI758" t="s">
        <v>1331</v>
      </c>
    </row>
    <row r="759" spans="1:61" x14ac:dyDescent="0.3">
      <c r="A759" t="str">
        <f>"201270E0100"</f>
        <v>201270E0100</v>
      </c>
      <c r="B759" s="2" t="s">
        <v>1608</v>
      </c>
      <c r="C759">
        <v>20</v>
      </c>
      <c r="D759" t="s">
        <v>79</v>
      </c>
      <c r="E759">
        <v>4</v>
      </c>
      <c r="F759" t="s">
        <v>1317</v>
      </c>
      <c r="G759">
        <v>1270</v>
      </c>
      <c r="H759">
        <v>1</v>
      </c>
      <c r="I759" t="s">
        <v>145</v>
      </c>
      <c r="J759">
        <v>0</v>
      </c>
      <c r="K759">
        <v>2</v>
      </c>
      <c r="L759">
        <v>2</v>
      </c>
      <c r="M759">
        <v>272</v>
      </c>
      <c r="N759">
        <v>449</v>
      </c>
      <c r="O759">
        <v>5</v>
      </c>
      <c r="P759" t="s">
        <v>100</v>
      </c>
      <c r="Q759">
        <v>154</v>
      </c>
      <c r="R759">
        <v>106</v>
      </c>
      <c r="S759">
        <v>6</v>
      </c>
      <c r="T759">
        <v>7</v>
      </c>
      <c r="U759">
        <v>8</v>
      </c>
      <c r="V759">
        <v>2</v>
      </c>
      <c r="W759">
        <v>3</v>
      </c>
      <c r="X759">
        <v>2</v>
      </c>
      <c r="Y759">
        <v>48</v>
      </c>
      <c r="Z759">
        <v>3</v>
      </c>
      <c r="AA759">
        <v>3</v>
      </c>
      <c r="AC759">
        <v>0</v>
      </c>
      <c r="AD759">
        <v>0</v>
      </c>
      <c r="AE759">
        <v>0</v>
      </c>
      <c r="AF759">
        <v>0</v>
      </c>
      <c r="AG759">
        <v>7</v>
      </c>
      <c r="AH759">
        <v>7</v>
      </c>
      <c r="AI759">
        <v>7</v>
      </c>
      <c r="AJ759">
        <v>1</v>
      </c>
      <c r="AK759">
        <v>0</v>
      </c>
      <c r="AL759">
        <v>2</v>
      </c>
      <c r="AM759">
        <v>0</v>
      </c>
      <c r="AN759">
        <v>2</v>
      </c>
      <c r="AT759">
        <v>1</v>
      </c>
      <c r="AU759">
        <v>36</v>
      </c>
      <c r="AV759">
        <v>450</v>
      </c>
      <c r="AW759">
        <v>405</v>
      </c>
      <c r="AX759">
        <v>700</v>
      </c>
      <c r="BA759">
        <v>1</v>
      </c>
      <c r="BC759" t="s">
        <v>1609</v>
      </c>
      <c r="BD759" s="4">
        <v>43283.460416666669</v>
      </c>
      <c r="BE759" s="4">
        <v>43283.466921296298</v>
      </c>
      <c r="BF759" s="4">
        <v>43283.466921296298</v>
      </c>
      <c r="BG759" t="s">
        <v>83</v>
      </c>
      <c r="BH759" t="s">
        <v>84</v>
      </c>
      <c r="BI759" t="s">
        <v>85</v>
      </c>
    </row>
    <row r="760" spans="1:61" x14ac:dyDescent="0.3">
      <c r="A760" t="str">
        <f>"201292B0100"</f>
        <v>201292B0100</v>
      </c>
      <c r="B760" t="s">
        <v>1610</v>
      </c>
      <c r="C760">
        <v>20</v>
      </c>
      <c r="D760" t="s">
        <v>79</v>
      </c>
      <c r="E760">
        <v>4</v>
      </c>
      <c r="F760" t="s">
        <v>1317</v>
      </c>
      <c r="G760">
        <v>1292</v>
      </c>
      <c r="H760">
        <v>1</v>
      </c>
      <c r="I760" t="s">
        <v>81</v>
      </c>
      <c r="J760">
        <v>0</v>
      </c>
      <c r="K760">
        <v>2</v>
      </c>
      <c r="L760">
        <v>2</v>
      </c>
      <c r="M760">
        <v>190</v>
      </c>
      <c r="N760">
        <v>360</v>
      </c>
      <c r="O760">
        <v>0</v>
      </c>
      <c r="P760">
        <v>366</v>
      </c>
      <c r="Q760">
        <v>6</v>
      </c>
      <c r="R760">
        <v>65</v>
      </c>
      <c r="S760">
        <v>12</v>
      </c>
      <c r="T760">
        <v>1</v>
      </c>
      <c r="U760">
        <v>3</v>
      </c>
      <c r="V760">
        <v>1</v>
      </c>
      <c r="W760">
        <v>46</v>
      </c>
      <c r="X760">
        <v>16</v>
      </c>
      <c r="Y760">
        <v>179</v>
      </c>
      <c r="Z760">
        <v>3</v>
      </c>
      <c r="AA760">
        <v>2</v>
      </c>
      <c r="AC760" t="s">
        <v>100</v>
      </c>
      <c r="AD760" t="s">
        <v>100</v>
      </c>
      <c r="AE760" t="s">
        <v>100</v>
      </c>
      <c r="AF760" t="s">
        <v>100</v>
      </c>
      <c r="AG760">
        <v>2</v>
      </c>
      <c r="AH760">
        <v>2</v>
      </c>
      <c r="AI760" t="s">
        <v>100</v>
      </c>
      <c r="AJ760">
        <v>2</v>
      </c>
      <c r="AK760">
        <v>5</v>
      </c>
      <c r="AL760">
        <v>3</v>
      </c>
      <c r="AM760">
        <v>3</v>
      </c>
      <c r="AN760" t="s">
        <v>100</v>
      </c>
      <c r="AT760" t="s">
        <v>100</v>
      </c>
      <c r="AU760">
        <v>9</v>
      </c>
      <c r="AV760">
        <v>360</v>
      </c>
      <c r="AW760">
        <v>360</v>
      </c>
      <c r="AX760">
        <v>528</v>
      </c>
      <c r="AZ760" t="s">
        <v>101</v>
      </c>
      <c r="BA760">
        <v>1</v>
      </c>
      <c r="BC760" t="s">
        <v>1611</v>
      </c>
      <c r="BD760" s="4">
        <v>43283.054166666669</v>
      </c>
      <c r="BE760" s="4">
        <v>43283.059224537035</v>
      </c>
      <c r="BF760" s="4">
        <v>43283.059224537035</v>
      </c>
      <c r="BG760" t="s">
        <v>83</v>
      </c>
      <c r="BH760" t="s">
        <v>84</v>
      </c>
      <c r="BI760" t="s">
        <v>85</v>
      </c>
    </row>
    <row r="761" spans="1:61" x14ac:dyDescent="0.3">
      <c r="A761" t="str">
        <f>"201292C0100"</f>
        <v>201292C0100</v>
      </c>
      <c r="B761" t="s">
        <v>1612</v>
      </c>
      <c r="C761">
        <v>20</v>
      </c>
      <c r="D761" t="s">
        <v>79</v>
      </c>
      <c r="E761">
        <v>4</v>
      </c>
      <c r="F761" t="s">
        <v>1317</v>
      </c>
      <c r="G761">
        <v>1292</v>
      </c>
      <c r="H761">
        <v>1</v>
      </c>
      <c r="I761" t="s">
        <v>89</v>
      </c>
      <c r="J761">
        <v>0</v>
      </c>
      <c r="K761">
        <v>2</v>
      </c>
      <c r="L761">
        <v>2</v>
      </c>
      <c r="M761">
        <v>184</v>
      </c>
      <c r="N761">
        <v>365</v>
      </c>
      <c r="O761">
        <v>0</v>
      </c>
      <c r="P761">
        <v>365</v>
      </c>
      <c r="Q761">
        <v>8</v>
      </c>
      <c r="R761">
        <v>77</v>
      </c>
      <c r="S761">
        <v>13</v>
      </c>
      <c r="T761">
        <v>3</v>
      </c>
      <c r="U761">
        <v>7</v>
      </c>
      <c r="V761">
        <v>2</v>
      </c>
      <c r="W761">
        <v>26</v>
      </c>
      <c r="X761">
        <v>15</v>
      </c>
      <c r="Y761">
        <v>183</v>
      </c>
      <c r="Z761">
        <v>4</v>
      </c>
      <c r="AA761">
        <v>0</v>
      </c>
      <c r="AC761">
        <v>0</v>
      </c>
      <c r="AD761">
        <v>0</v>
      </c>
      <c r="AE761">
        <v>0</v>
      </c>
      <c r="AF761">
        <v>0</v>
      </c>
      <c r="AG761">
        <v>2</v>
      </c>
      <c r="AH761">
        <v>1</v>
      </c>
      <c r="AI761">
        <v>2</v>
      </c>
      <c r="AJ761">
        <v>0</v>
      </c>
      <c r="AK761">
        <v>8</v>
      </c>
      <c r="AL761">
        <v>1</v>
      </c>
      <c r="AM761">
        <v>0</v>
      </c>
      <c r="AN761">
        <v>1</v>
      </c>
      <c r="AT761">
        <v>0</v>
      </c>
      <c r="AU761">
        <v>12</v>
      </c>
      <c r="AV761">
        <v>365</v>
      </c>
      <c r="AW761">
        <v>365</v>
      </c>
      <c r="AX761">
        <v>527</v>
      </c>
      <c r="BA761">
        <v>1</v>
      </c>
      <c r="BC761" t="s">
        <v>1613</v>
      </c>
      <c r="BD761" s="4">
        <v>43283.051388888889</v>
      </c>
      <c r="BE761" s="4">
        <v>43283.056018518517</v>
      </c>
      <c r="BF761" s="4">
        <v>43283.056018518517</v>
      </c>
      <c r="BG761" t="s">
        <v>83</v>
      </c>
      <c r="BH761" t="s">
        <v>84</v>
      </c>
      <c r="BI761" t="s">
        <v>85</v>
      </c>
    </row>
    <row r="762" spans="1:61" x14ac:dyDescent="0.3">
      <c r="A762" t="str">
        <f>"201292C0200"</f>
        <v>201292C0200</v>
      </c>
      <c r="B762" t="s">
        <v>1614</v>
      </c>
      <c r="C762">
        <v>20</v>
      </c>
      <c r="D762" t="s">
        <v>79</v>
      </c>
      <c r="E762">
        <v>4</v>
      </c>
      <c r="F762" t="s">
        <v>1317</v>
      </c>
      <c r="G762">
        <v>1292</v>
      </c>
      <c r="H762">
        <v>2</v>
      </c>
      <c r="I762" t="s">
        <v>89</v>
      </c>
      <c r="J762">
        <v>0</v>
      </c>
      <c r="K762">
        <v>2</v>
      </c>
      <c r="L762">
        <v>2</v>
      </c>
      <c r="M762">
        <v>389</v>
      </c>
      <c r="N762">
        <v>549</v>
      </c>
      <c r="O762">
        <v>0</v>
      </c>
      <c r="P762">
        <v>360</v>
      </c>
      <c r="Q762">
        <v>8</v>
      </c>
      <c r="R762">
        <v>54</v>
      </c>
      <c r="S762">
        <v>18</v>
      </c>
      <c r="T762">
        <v>4</v>
      </c>
      <c r="U762">
        <v>13</v>
      </c>
      <c r="V762">
        <v>4</v>
      </c>
      <c r="W762">
        <v>45</v>
      </c>
      <c r="X762">
        <v>15</v>
      </c>
      <c r="Y762">
        <v>162</v>
      </c>
      <c r="Z762">
        <v>4</v>
      </c>
      <c r="AA762">
        <v>1</v>
      </c>
      <c r="AC762">
        <v>1</v>
      </c>
      <c r="AD762">
        <v>0</v>
      </c>
      <c r="AE762">
        <v>0</v>
      </c>
      <c r="AF762">
        <v>0</v>
      </c>
      <c r="AG762">
        <v>8</v>
      </c>
      <c r="AH762">
        <v>0</v>
      </c>
      <c r="AI762">
        <v>0</v>
      </c>
      <c r="AJ762">
        <v>0</v>
      </c>
      <c r="AK762">
        <v>8</v>
      </c>
      <c r="AL762">
        <v>0</v>
      </c>
      <c r="AM762">
        <v>0</v>
      </c>
      <c r="AN762">
        <v>0</v>
      </c>
      <c r="AT762">
        <v>0</v>
      </c>
      <c r="AU762">
        <v>15</v>
      </c>
      <c r="AV762">
        <v>360</v>
      </c>
      <c r="AW762">
        <v>360</v>
      </c>
      <c r="AX762">
        <v>527</v>
      </c>
      <c r="BA762">
        <v>1</v>
      </c>
      <c r="BC762" t="s">
        <v>1615</v>
      </c>
      <c r="BD762" s="4">
        <v>43283.04791666667</v>
      </c>
      <c r="BE762" s="4">
        <v>43283.055173611108</v>
      </c>
      <c r="BF762" s="4">
        <v>43283.055173611108</v>
      </c>
      <c r="BG762" t="s">
        <v>83</v>
      </c>
      <c r="BH762" t="s">
        <v>84</v>
      </c>
      <c r="BI762" t="s">
        <v>85</v>
      </c>
    </row>
    <row r="763" spans="1:61" x14ac:dyDescent="0.3">
      <c r="A763" t="str">
        <f>"201293B0100"</f>
        <v>201293B0100</v>
      </c>
      <c r="B763" t="s">
        <v>1616</v>
      </c>
      <c r="C763">
        <v>20</v>
      </c>
      <c r="D763" t="s">
        <v>79</v>
      </c>
      <c r="E763">
        <v>4</v>
      </c>
      <c r="F763" t="s">
        <v>1317</v>
      </c>
      <c r="G763">
        <v>1293</v>
      </c>
      <c r="H763">
        <v>1</v>
      </c>
      <c r="I763" t="s">
        <v>81</v>
      </c>
      <c r="J763">
        <v>0</v>
      </c>
      <c r="K763">
        <v>2</v>
      </c>
      <c r="L763">
        <v>2</v>
      </c>
      <c r="M763">
        <v>463</v>
      </c>
      <c r="N763">
        <v>286</v>
      </c>
      <c r="O763">
        <v>1</v>
      </c>
      <c r="P763">
        <v>286</v>
      </c>
      <c r="Q763">
        <v>8</v>
      </c>
      <c r="R763">
        <v>41</v>
      </c>
      <c r="S763">
        <v>6</v>
      </c>
      <c r="T763">
        <v>2</v>
      </c>
      <c r="U763">
        <v>9</v>
      </c>
      <c r="V763">
        <v>2</v>
      </c>
      <c r="W763">
        <v>27</v>
      </c>
      <c r="X763">
        <v>26</v>
      </c>
      <c r="Y763">
        <v>131</v>
      </c>
      <c r="Z763">
        <v>3</v>
      </c>
      <c r="AA763">
        <v>0</v>
      </c>
      <c r="AC763">
        <v>0</v>
      </c>
      <c r="AD763">
        <v>0</v>
      </c>
      <c r="AE763">
        <v>0</v>
      </c>
      <c r="AF763">
        <v>0</v>
      </c>
      <c r="AG763">
        <v>5</v>
      </c>
      <c r="AH763">
        <v>0</v>
      </c>
      <c r="AI763">
        <v>2</v>
      </c>
      <c r="AJ763">
        <v>0</v>
      </c>
      <c r="AK763">
        <v>1</v>
      </c>
      <c r="AL763">
        <v>1</v>
      </c>
      <c r="AM763">
        <v>0</v>
      </c>
      <c r="AN763">
        <v>0</v>
      </c>
      <c r="AT763">
        <v>0</v>
      </c>
      <c r="AU763">
        <v>22</v>
      </c>
      <c r="AV763">
        <v>286</v>
      </c>
      <c r="AW763">
        <v>286</v>
      </c>
      <c r="AX763">
        <v>727</v>
      </c>
      <c r="BA763">
        <v>1</v>
      </c>
      <c r="BC763" t="s">
        <v>1617</v>
      </c>
      <c r="BD763" s="4">
        <v>43283.136805555558</v>
      </c>
      <c r="BE763" s="4">
        <v>43283.146793981483</v>
      </c>
      <c r="BF763" s="4">
        <v>43283.146793981483</v>
      </c>
      <c r="BG763" t="s">
        <v>83</v>
      </c>
      <c r="BH763" t="s">
        <v>84</v>
      </c>
      <c r="BI763" t="s">
        <v>85</v>
      </c>
    </row>
    <row r="764" spans="1:61" x14ac:dyDescent="0.3">
      <c r="A764" t="str">
        <f>"201293E0100"</f>
        <v>201293E0100</v>
      </c>
      <c r="B764" s="2" t="s">
        <v>1618</v>
      </c>
      <c r="C764">
        <v>20</v>
      </c>
      <c r="D764" t="s">
        <v>79</v>
      </c>
      <c r="E764">
        <v>4</v>
      </c>
      <c r="F764" t="s">
        <v>1317</v>
      </c>
      <c r="G764">
        <v>1293</v>
      </c>
      <c r="H764">
        <v>1</v>
      </c>
      <c r="I764" t="s">
        <v>145</v>
      </c>
      <c r="J764">
        <v>0</v>
      </c>
      <c r="K764">
        <v>2</v>
      </c>
      <c r="L764">
        <v>2</v>
      </c>
      <c r="M764">
        <v>139</v>
      </c>
      <c r="N764">
        <v>163</v>
      </c>
      <c r="O764">
        <v>2</v>
      </c>
      <c r="P764">
        <v>163</v>
      </c>
      <c r="Q764">
        <v>4</v>
      </c>
      <c r="R764">
        <v>15</v>
      </c>
      <c r="S764">
        <v>1</v>
      </c>
      <c r="T764">
        <v>3</v>
      </c>
      <c r="U764">
        <v>14</v>
      </c>
      <c r="V764">
        <v>2</v>
      </c>
      <c r="W764">
        <v>28</v>
      </c>
      <c r="X764">
        <v>2</v>
      </c>
      <c r="Y764">
        <v>68</v>
      </c>
      <c r="Z764">
        <v>8</v>
      </c>
      <c r="AA764">
        <v>1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2</v>
      </c>
      <c r="AJ764">
        <v>0</v>
      </c>
      <c r="AK764">
        <v>2</v>
      </c>
      <c r="AL764">
        <v>1</v>
      </c>
      <c r="AM764">
        <v>0</v>
      </c>
      <c r="AN764">
        <v>1</v>
      </c>
      <c r="AT764">
        <v>0</v>
      </c>
      <c r="AU764">
        <v>11</v>
      </c>
      <c r="AV764">
        <v>163</v>
      </c>
      <c r="AW764">
        <v>163</v>
      </c>
      <c r="AX764">
        <v>278</v>
      </c>
      <c r="BA764">
        <v>1</v>
      </c>
      <c r="BC764" t="s">
        <v>1619</v>
      </c>
      <c r="BD764" s="4">
        <v>43283.136805555558</v>
      </c>
      <c r="BE764" s="4">
        <v>43283.14644675926</v>
      </c>
      <c r="BF764" s="4">
        <v>43283.14644675926</v>
      </c>
      <c r="BG764" t="s">
        <v>83</v>
      </c>
      <c r="BH764" t="s">
        <v>84</v>
      </c>
      <c r="BI764" t="s">
        <v>85</v>
      </c>
    </row>
    <row r="765" spans="1:61" x14ac:dyDescent="0.3">
      <c r="A765" t="str">
        <f>"201316B0100"</f>
        <v>201316B0100</v>
      </c>
      <c r="B765" t="s">
        <v>1620</v>
      </c>
      <c r="C765">
        <v>20</v>
      </c>
      <c r="D765" t="s">
        <v>79</v>
      </c>
      <c r="E765">
        <v>4</v>
      </c>
      <c r="F765" t="s">
        <v>1317</v>
      </c>
      <c r="G765">
        <v>1316</v>
      </c>
      <c r="H765">
        <v>1</v>
      </c>
      <c r="I765" t="s">
        <v>81</v>
      </c>
      <c r="J765">
        <v>0</v>
      </c>
      <c r="K765">
        <v>2</v>
      </c>
      <c r="L765">
        <v>2</v>
      </c>
      <c r="M765">
        <v>259</v>
      </c>
      <c r="N765">
        <v>423</v>
      </c>
      <c r="O765">
        <v>0</v>
      </c>
      <c r="P765">
        <v>423</v>
      </c>
      <c r="Q765">
        <v>15</v>
      </c>
      <c r="R765">
        <v>117</v>
      </c>
      <c r="S765">
        <v>7</v>
      </c>
      <c r="T765">
        <v>3</v>
      </c>
      <c r="U765">
        <v>15</v>
      </c>
      <c r="V765">
        <v>6</v>
      </c>
      <c r="W765">
        <v>9</v>
      </c>
      <c r="X765">
        <v>8</v>
      </c>
      <c r="Y765">
        <v>191</v>
      </c>
      <c r="Z765">
        <v>7</v>
      </c>
      <c r="AA765">
        <v>3</v>
      </c>
      <c r="AC765">
        <v>0</v>
      </c>
      <c r="AD765">
        <v>0</v>
      </c>
      <c r="AE765">
        <v>0</v>
      </c>
      <c r="AF765">
        <v>1</v>
      </c>
      <c r="AG765">
        <v>0</v>
      </c>
      <c r="AH765">
        <v>3</v>
      </c>
      <c r="AI765">
        <v>2</v>
      </c>
      <c r="AJ765">
        <v>0</v>
      </c>
      <c r="AK765">
        <v>2</v>
      </c>
      <c r="AL765">
        <v>1</v>
      </c>
      <c r="AM765">
        <v>0</v>
      </c>
      <c r="AN765">
        <v>1</v>
      </c>
      <c r="AT765">
        <v>0</v>
      </c>
      <c r="AU765">
        <v>32</v>
      </c>
      <c r="AV765">
        <v>423</v>
      </c>
      <c r="AW765">
        <v>423</v>
      </c>
      <c r="AX765">
        <v>660</v>
      </c>
      <c r="BA765">
        <v>1</v>
      </c>
      <c r="BC765" t="s">
        <v>1621</v>
      </c>
      <c r="BD765" s="4">
        <v>43283.271527777775</v>
      </c>
      <c r="BE765" s="4">
        <v>43283.298645833333</v>
      </c>
      <c r="BF765" s="4">
        <v>43283.298645833333</v>
      </c>
      <c r="BG765" t="s">
        <v>83</v>
      </c>
      <c r="BH765" t="s">
        <v>84</v>
      </c>
      <c r="BI765" t="s">
        <v>85</v>
      </c>
    </row>
    <row r="766" spans="1:61" x14ac:dyDescent="0.3">
      <c r="A766" t="str">
        <f>"201316C0100"</f>
        <v>201316C0100</v>
      </c>
      <c r="B766" t="s">
        <v>1622</v>
      </c>
      <c r="C766">
        <v>20</v>
      </c>
      <c r="D766" t="s">
        <v>79</v>
      </c>
      <c r="E766">
        <v>4</v>
      </c>
      <c r="F766" t="s">
        <v>1317</v>
      </c>
      <c r="G766">
        <v>1316</v>
      </c>
      <c r="H766">
        <v>1</v>
      </c>
      <c r="I766" t="s">
        <v>89</v>
      </c>
      <c r="J766">
        <v>0</v>
      </c>
      <c r="K766">
        <v>2</v>
      </c>
      <c r="L766">
        <v>2</v>
      </c>
      <c r="M766">
        <v>273</v>
      </c>
      <c r="N766">
        <v>408</v>
      </c>
      <c r="O766">
        <v>4</v>
      </c>
      <c r="P766">
        <v>408</v>
      </c>
      <c r="Q766">
        <v>12</v>
      </c>
      <c r="R766">
        <v>131</v>
      </c>
      <c r="S766">
        <v>9</v>
      </c>
      <c r="T766">
        <v>4</v>
      </c>
      <c r="U766">
        <v>20</v>
      </c>
      <c r="V766">
        <v>1</v>
      </c>
      <c r="W766">
        <v>10</v>
      </c>
      <c r="X766">
        <v>4</v>
      </c>
      <c r="Y766">
        <v>170</v>
      </c>
      <c r="Z766">
        <v>7</v>
      </c>
      <c r="AA766">
        <v>2</v>
      </c>
      <c r="AC766">
        <v>0</v>
      </c>
      <c r="AD766">
        <v>0</v>
      </c>
      <c r="AE766">
        <v>0</v>
      </c>
      <c r="AF766">
        <v>0</v>
      </c>
      <c r="AG766">
        <v>2</v>
      </c>
      <c r="AH766">
        <v>3</v>
      </c>
      <c r="AI766">
        <v>1</v>
      </c>
      <c r="AJ766">
        <v>0</v>
      </c>
      <c r="AK766">
        <v>11</v>
      </c>
      <c r="AL766">
        <v>2</v>
      </c>
      <c r="AM766">
        <v>0</v>
      </c>
      <c r="AN766">
        <v>3</v>
      </c>
      <c r="AT766">
        <v>0</v>
      </c>
      <c r="AU766">
        <v>16</v>
      </c>
      <c r="AV766">
        <v>408</v>
      </c>
      <c r="AW766">
        <v>408</v>
      </c>
      <c r="AX766">
        <v>659</v>
      </c>
      <c r="BA766">
        <v>1</v>
      </c>
      <c r="BC766" t="s">
        <v>1623</v>
      </c>
      <c r="BD766" s="4">
        <v>43283.271527777775</v>
      </c>
      <c r="BE766" s="4">
        <v>43283.299224537041</v>
      </c>
      <c r="BF766" s="4">
        <v>43283.299224537041</v>
      </c>
      <c r="BG766" t="s">
        <v>83</v>
      </c>
      <c r="BH766" t="s">
        <v>84</v>
      </c>
      <c r="BI766" t="s">
        <v>85</v>
      </c>
    </row>
    <row r="767" spans="1:61" x14ac:dyDescent="0.3">
      <c r="A767" t="str">
        <f>"201317B0100"</f>
        <v>201317B0100</v>
      </c>
      <c r="B767" t="s">
        <v>1624</v>
      </c>
      <c r="C767">
        <v>20</v>
      </c>
      <c r="D767" t="s">
        <v>79</v>
      </c>
      <c r="E767">
        <v>4</v>
      </c>
      <c r="F767" t="s">
        <v>1317</v>
      </c>
      <c r="G767">
        <v>1317</v>
      </c>
      <c r="H767">
        <v>1</v>
      </c>
      <c r="I767" t="s">
        <v>81</v>
      </c>
      <c r="J767">
        <v>0</v>
      </c>
      <c r="K767">
        <v>2</v>
      </c>
      <c r="L767">
        <v>2</v>
      </c>
      <c r="M767">
        <v>260</v>
      </c>
      <c r="N767">
        <v>379</v>
      </c>
      <c r="O767">
        <v>0</v>
      </c>
      <c r="P767">
        <v>379</v>
      </c>
      <c r="Q767">
        <v>13</v>
      </c>
      <c r="R767">
        <v>122</v>
      </c>
      <c r="S767">
        <v>8</v>
      </c>
      <c r="T767">
        <v>2</v>
      </c>
      <c r="U767">
        <v>14</v>
      </c>
      <c r="V767">
        <v>1</v>
      </c>
      <c r="W767">
        <v>13</v>
      </c>
      <c r="X767">
        <v>6</v>
      </c>
      <c r="Y767">
        <v>159</v>
      </c>
      <c r="Z767">
        <v>5</v>
      </c>
      <c r="AA767">
        <v>8</v>
      </c>
      <c r="AC767">
        <v>0</v>
      </c>
      <c r="AD767">
        <v>1</v>
      </c>
      <c r="AE767">
        <v>1</v>
      </c>
      <c r="AF767">
        <v>0</v>
      </c>
      <c r="AG767">
        <v>3</v>
      </c>
      <c r="AH767">
        <v>2</v>
      </c>
      <c r="AI767">
        <v>1</v>
      </c>
      <c r="AJ767">
        <v>0</v>
      </c>
      <c r="AK767">
        <v>6</v>
      </c>
      <c r="AL767">
        <v>0</v>
      </c>
      <c r="AM767">
        <v>0</v>
      </c>
      <c r="AN767">
        <v>1</v>
      </c>
      <c r="AT767">
        <v>0</v>
      </c>
      <c r="AU767">
        <v>13</v>
      </c>
      <c r="AV767">
        <v>379</v>
      </c>
      <c r="AW767">
        <v>379</v>
      </c>
      <c r="AX767">
        <v>617</v>
      </c>
      <c r="BA767">
        <v>1</v>
      </c>
      <c r="BC767" t="s">
        <v>1625</v>
      </c>
      <c r="BD767" s="4">
        <v>43283.240277777775</v>
      </c>
      <c r="BE767" s="4">
        <v>43283.263726851852</v>
      </c>
      <c r="BF767" s="4">
        <v>43283.263726851852</v>
      </c>
      <c r="BG767" t="s">
        <v>83</v>
      </c>
      <c r="BH767" t="s">
        <v>84</v>
      </c>
      <c r="BI767" t="s">
        <v>85</v>
      </c>
    </row>
    <row r="768" spans="1:61" x14ac:dyDescent="0.3">
      <c r="A768" t="str">
        <f>"201317E0100"</f>
        <v>201317E0100</v>
      </c>
      <c r="B768" s="2" t="s">
        <v>1626</v>
      </c>
      <c r="C768">
        <v>20</v>
      </c>
      <c r="D768" t="s">
        <v>79</v>
      </c>
      <c r="E768">
        <v>4</v>
      </c>
      <c r="F768" t="s">
        <v>1317</v>
      </c>
      <c r="G768">
        <v>1317</v>
      </c>
      <c r="H768">
        <v>1</v>
      </c>
      <c r="I768" t="s">
        <v>145</v>
      </c>
      <c r="J768">
        <v>0</v>
      </c>
      <c r="K768">
        <v>2</v>
      </c>
      <c r="L768">
        <v>2</v>
      </c>
      <c r="M768">
        <v>197</v>
      </c>
      <c r="N768">
        <v>248</v>
      </c>
      <c r="O768">
        <v>0</v>
      </c>
      <c r="P768">
        <v>282</v>
      </c>
      <c r="Q768">
        <v>3</v>
      </c>
      <c r="R768">
        <v>92</v>
      </c>
      <c r="S768">
        <v>12</v>
      </c>
      <c r="T768">
        <v>4</v>
      </c>
      <c r="U768">
        <v>19</v>
      </c>
      <c r="V768">
        <v>3</v>
      </c>
      <c r="W768">
        <v>4</v>
      </c>
      <c r="X768">
        <v>2</v>
      </c>
      <c r="Y768">
        <v>109</v>
      </c>
      <c r="Z768">
        <v>5</v>
      </c>
      <c r="AA768">
        <v>5</v>
      </c>
      <c r="AC768">
        <v>1</v>
      </c>
      <c r="AD768">
        <v>0</v>
      </c>
      <c r="AE768">
        <v>0</v>
      </c>
      <c r="AF768">
        <v>0</v>
      </c>
      <c r="AG768">
        <v>1</v>
      </c>
      <c r="AH768">
        <v>0</v>
      </c>
      <c r="AI768">
        <v>0</v>
      </c>
      <c r="AJ768">
        <v>0</v>
      </c>
      <c r="AK768">
        <v>1</v>
      </c>
      <c r="AL768">
        <v>2</v>
      </c>
      <c r="AM768">
        <v>1</v>
      </c>
      <c r="AN768">
        <v>0</v>
      </c>
      <c r="AT768">
        <v>0</v>
      </c>
      <c r="AU768">
        <v>18</v>
      </c>
      <c r="AV768">
        <v>282</v>
      </c>
      <c r="AW768">
        <v>282</v>
      </c>
      <c r="AX768">
        <v>457</v>
      </c>
      <c r="BA768">
        <v>1</v>
      </c>
      <c r="BC768" t="s">
        <v>1627</v>
      </c>
      <c r="BD768" s="4">
        <v>43283.239583333336</v>
      </c>
      <c r="BE768" s="4">
        <v>43283.2653587963</v>
      </c>
      <c r="BF768" s="4">
        <v>43283.2653587963</v>
      </c>
      <c r="BG768" t="s">
        <v>83</v>
      </c>
      <c r="BH768" t="s">
        <v>84</v>
      </c>
      <c r="BI768" t="s">
        <v>85</v>
      </c>
    </row>
    <row r="769" spans="1:61" x14ac:dyDescent="0.3">
      <c r="A769" t="str">
        <f>"201371B0100"</f>
        <v>201371B0100</v>
      </c>
      <c r="B769" t="s">
        <v>1628</v>
      </c>
      <c r="C769">
        <v>20</v>
      </c>
      <c r="D769" t="s">
        <v>79</v>
      </c>
      <c r="E769">
        <v>4</v>
      </c>
      <c r="F769" t="s">
        <v>1317</v>
      </c>
      <c r="G769">
        <v>1371</v>
      </c>
      <c r="H769">
        <v>1</v>
      </c>
      <c r="I769" t="s">
        <v>81</v>
      </c>
      <c r="J769">
        <v>0</v>
      </c>
      <c r="K769">
        <v>2</v>
      </c>
      <c r="L769">
        <v>2</v>
      </c>
      <c r="M769">
        <v>264</v>
      </c>
      <c r="N769">
        <v>323</v>
      </c>
      <c r="O769">
        <v>0</v>
      </c>
      <c r="P769">
        <v>323</v>
      </c>
      <c r="Q769">
        <v>8</v>
      </c>
      <c r="R769">
        <v>64</v>
      </c>
      <c r="S769">
        <v>4</v>
      </c>
      <c r="T769">
        <v>10</v>
      </c>
      <c r="U769">
        <v>22</v>
      </c>
      <c r="V769">
        <v>11</v>
      </c>
      <c r="W769">
        <v>0</v>
      </c>
      <c r="X769">
        <v>41</v>
      </c>
      <c r="Y769">
        <v>72</v>
      </c>
      <c r="Z769">
        <v>3</v>
      </c>
      <c r="AA769">
        <v>0</v>
      </c>
      <c r="AC769">
        <v>0</v>
      </c>
      <c r="AD769">
        <v>0</v>
      </c>
      <c r="AE769">
        <v>1</v>
      </c>
      <c r="AF769">
        <v>0</v>
      </c>
      <c r="AG769">
        <v>15</v>
      </c>
      <c r="AH769">
        <v>4</v>
      </c>
      <c r="AI769">
        <v>4</v>
      </c>
      <c r="AJ769">
        <v>3</v>
      </c>
      <c r="AK769">
        <v>5</v>
      </c>
      <c r="AL769">
        <v>4</v>
      </c>
      <c r="AM769">
        <v>1</v>
      </c>
      <c r="AN769">
        <v>4</v>
      </c>
      <c r="AT769">
        <v>0</v>
      </c>
      <c r="AU769">
        <v>47</v>
      </c>
      <c r="AV769">
        <v>323</v>
      </c>
      <c r="AW769">
        <v>323</v>
      </c>
      <c r="AX769">
        <v>565</v>
      </c>
      <c r="BA769">
        <v>1</v>
      </c>
      <c r="BC769" t="s">
        <v>1629</v>
      </c>
      <c r="BD769" s="4">
        <v>43283.342361111114</v>
      </c>
      <c r="BE769" s="4">
        <v>43283.358518518522</v>
      </c>
      <c r="BF769" s="4">
        <v>43283.358518518522</v>
      </c>
      <c r="BG769" t="s">
        <v>83</v>
      </c>
      <c r="BH769" t="s">
        <v>84</v>
      </c>
      <c r="BI769" t="s">
        <v>85</v>
      </c>
    </row>
    <row r="770" spans="1:61" x14ac:dyDescent="0.3">
      <c r="A770" t="str">
        <f>"201484B0100"</f>
        <v>201484B0100</v>
      </c>
      <c r="B770" t="s">
        <v>1630</v>
      </c>
      <c r="C770">
        <v>20</v>
      </c>
      <c r="D770" t="s">
        <v>79</v>
      </c>
      <c r="E770">
        <v>4</v>
      </c>
      <c r="F770" t="s">
        <v>1317</v>
      </c>
      <c r="G770">
        <v>1484</v>
      </c>
      <c r="H770">
        <v>1</v>
      </c>
      <c r="I770" t="s">
        <v>81</v>
      </c>
      <c r="J770">
        <v>0</v>
      </c>
      <c r="K770">
        <v>1</v>
      </c>
      <c r="L770">
        <v>2</v>
      </c>
      <c r="M770">
        <v>182</v>
      </c>
      <c r="N770" t="s">
        <v>100</v>
      </c>
      <c r="O770" t="s">
        <v>100</v>
      </c>
      <c r="P770">
        <v>212</v>
      </c>
      <c r="Q770">
        <v>6</v>
      </c>
      <c r="R770">
        <v>48</v>
      </c>
      <c r="S770">
        <v>10</v>
      </c>
      <c r="T770">
        <v>10</v>
      </c>
      <c r="U770">
        <v>11</v>
      </c>
      <c r="V770">
        <v>6</v>
      </c>
      <c r="W770">
        <v>9</v>
      </c>
      <c r="X770">
        <v>3</v>
      </c>
      <c r="Y770">
        <v>65</v>
      </c>
      <c r="Z770">
        <v>3</v>
      </c>
      <c r="AA770">
        <v>15</v>
      </c>
      <c r="AC770">
        <v>0</v>
      </c>
      <c r="AD770">
        <v>0</v>
      </c>
      <c r="AE770">
        <v>0</v>
      </c>
      <c r="AF770">
        <v>0</v>
      </c>
      <c r="AG770">
        <v>2</v>
      </c>
      <c r="AH770">
        <v>0</v>
      </c>
      <c r="AI770">
        <v>0</v>
      </c>
      <c r="AJ770">
        <v>0</v>
      </c>
      <c r="AK770">
        <v>2</v>
      </c>
      <c r="AL770">
        <v>1</v>
      </c>
      <c r="AM770">
        <v>0</v>
      </c>
      <c r="AN770">
        <v>0</v>
      </c>
      <c r="AT770">
        <v>0</v>
      </c>
      <c r="AU770">
        <v>23</v>
      </c>
      <c r="AV770">
        <v>214</v>
      </c>
      <c r="AW770">
        <v>214</v>
      </c>
      <c r="AX770">
        <v>372</v>
      </c>
      <c r="BA770">
        <v>1</v>
      </c>
      <c r="BC770" t="s">
        <v>1631</v>
      </c>
      <c r="BD770" s="4">
        <v>43283.274305555555</v>
      </c>
      <c r="BE770" s="4">
        <v>43283.302187499998</v>
      </c>
      <c r="BF770" s="4">
        <v>43283.302187499998</v>
      </c>
      <c r="BG770" t="s">
        <v>83</v>
      </c>
      <c r="BH770" t="s">
        <v>84</v>
      </c>
      <c r="BI770" t="s">
        <v>85</v>
      </c>
    </row>
    <row r="771" spans="1:61" x14ac:dyDescent="0.3">
      <c r="A771" t="str">
        <f>"201492B0100"</f>
        <v>201492B0100</v>
      </c>
      <c r="B771" t="s">
        <v>1632</v>
      </c>
      <c r="C771">
        <v>20</v>
      </c>
      <c r="D771" t="s">
        <v>79</v>
      </c>
      <c r="E771">
        <v>4</v>
      </c>
      <c r="F771" t="s">
        <v>1317</v>
      </c>
      <c r="G771">
        <v>1492</v>
      </c>
      <c r="H771">
        <v>1</v>
      </c>
      <c r="I771" t="s">
        <v>81</v>
      </c>
      <c r="J771">
        <v>0</v>
      </c>
      <c r="K771">
        <v>1</v>
      </c>
      <c r="L771">
        <v>2</v>
      </c>
      <c r="M771">
        <v>320</v>
      </c>
      <c r="N771">
        <v>343</v>
      </c>
      <c r="O771">
        <v>0</v>
      </c>
      <c r="P771">
        <v>343</v>
      </c>
      <c r="Q771">
        <v>8</v>
      </c>
      <c r="R771">
        <v>119</v>
      </c>
      <c r="S771">
        <v>13</v>
      </c>
      <c r="T771">
        <v>3</v>
      </c>
      <c r="U771">
        <v>18</v>
      </c>
      <c r="V771">
        <v>7</v>
      </c>
      <c r="W771">
        <v>2</v>
      </c>
      <c r="X771">
        <v>3</v>
      </c>
      <c r="Y771">
        <v>130</v>
      </c>
      <c r="Z771">
        <v>4</v>
      </c>
      <c r="AA771">
        <v>0</v>
      </c>
      <c r="AC771">
        <v>0</v>
      </c>
      <c r="AD771">
        <v>0</v>
      </c>
      <c r="AE771">
        <v>0</v>
      </c>
      <c r="AF771">
        <v>1</v>
      </c>
      <c r="AG771">
        <v>0</v>
      </c>
      <c r="AH771">
        <v>2</v>
      </c>
      <c r="AI771">
        <v>1</v>
      </c>
      <c r="AJ771">
        <v>0</v>
      </c>
      <c r="AK771">
        <v>2</v>
      </c>
      <c r="AL771">
        <v>1</v>
      </c>
      <c r="AM771">
        <v>1</v>
      </c>
      <c r="AN771">
        <v>2</v>
      </c>
      <c r="AT771">
        <v>0</v>
      </c>
      <c r="AU771">
        <v>26</v>
      </c>
      <c r="AV771">
        <v>343</v>
      </c>
      <c r="AW771">
        <v>343</v>
      </c>
      <c r="AX771">
        <v>641</v>
      </c>
      <c r="BA771">
        <v>1</v>
      </c>
      <c r="BC771" t="s">
        <v>1633</v>
      </c>
      <c r="BD771" s="4">
        <v>43283.120833333334</v>
      </c>
      <c r="BE771" s="4">
        <v>43283.127500000002</v>
      </c>
      <c r="BF771" s="4">
        <v>43283.127500000002</v>
      </c>
      <c r="BG771" t="s">
        <v>83</v>
      </c>
      <c r="BH771" t="s">
        <v>84</v>
      </c>
      <c r="BI771" t="s">
        <v>85</v>
      </c>
    </row>
    <row r="772" spans="1:61" x14ac:dyDescent="0.3">
      <c r="A772" t="str">
        <f>"201514B0100"</f>
        <v>201514B0100</v>
      </c>
      <c r="B772" t="s">
        <v>1634</v>
      </c>
      <c r="C772">
        <v>20</v>
      </c>
      <c r="D772" t="s">
        <v>79</v>
      </c>
      <c r="E772">
        <v>4</v>
      </c>
      <c r="F772" t="s">
        <v>1317</v>
      </c>
      <c r="G772">
        <v>1514</v>
      </c>
      <c r="H772">
        <v>1</v>
      </c>
      <c r="I772" t="s">
        <v>81</v>
      </c>
      <c r="J772">
        <v>0</v>
      </c>
      <c r="K772">
        <v>1</v>
      </c>
      <c r="L772">
        <v>2</v>
      </c>
      <c r="M772">
        <v>218</v>
      </c>
      <c r="N772">
        <v>371</v>
      </c>
      <c r="O772">
        <v>0</v>
      </c>
      <c r="P772">
        <v>371</v>
      </c>
      <c r="Q772">
        <v>5</v>
      </c>
      <c r="R772">
        <v>188</v>
      </c>
      <c r="S772">
        <v>6</v>
      </c>
      <c r="T772">
        <v>5</v>
      </c>
      <c r="U772">
        <v>16</v>
      </c>
      <c r="V772">
        <v>3</v>
      </c>
      <c r="W772">
        <v>4</v>
      </c>
      <c r="X772">
        <v>4</v>
      </c>
      <c r="Y772">
        <v>86</v>
      </c>
      <c r="Z772">
        <v>6</v>
      </c>
      <c r="AA772">
        <v>0</v>
      </c>
      <c r="AC772">
        <v>0</v>
      </c>
      <c r="AD772">
        <v>0</v>
      </c>
      <c r="AE772">
        <v>0</v>
      </c>
      <c r="AF772">
        <v>0</v>
      </c>
      <c r="AG772">
        <v>4</v>
      </c>
      <c r="AH772">
        <v>4</v>
      </c>
      <c r="AI772">
        <v>0</v>
      </c>
      <c r="AJ772">
        <v>0</v>
      </c>
      <c r="AK772">
        <v>3</v>
      </c>
      <c r="AL772">
        <v>1</v>
      </c>
      <c r="AM772">
        <v>0</v>
      </c>
      <c r="AN772">
        <v>1</v>
      </c>
      <c r="AT772">
        <v>0</v>
      </c>
      <c r="AU772">
        <v>38</v>
      </c>
      <c r="AV772">
        <v>371</v>
      </c>
      <c r="AW772">
        <v>374</v>
      </c>
      <c r="AX772">
        <v>567</v>
      </c>
      <c r="BA772">
        <v>1</v>
      </c>
      <c r="BC772" t="s">
        <v>1635</v>
      </c>
      <c r="BD772" s="4">
        <v>43283.154166666667</v>
      </c>
      <c r="BE772" s="4">
        <v>43283.178530092591</v>
      </c>
      <c r="BF772" s="4">
        <v>43283.178530092591</v>
      </c>
      <c r="BG772" t="s">
        <v>83</v>
      </c>
      <c r="BH772" t="s">
        <v>84</v>
      </c>
      <c r="BI772" t="s">
        <v>85</v>
      </c>
    </row>
    <row r="773" spans="1:61" x14ac:dyDescent="0.3">
      <c r="A773" t="str">
        <f>"201541B0100"</f>
        <v>201541B0100</v>
      </c>
      <c r="B773" t="s">
        <v>1636</v>
      </c>
      <c r="C773">
        <v>20</v>
      </c>
      <c r="D773" t="s">
        <v>79</v>
      </c>
      <c r="E773">
        <v>4</v>
      </c>
      <c r="F773" t="s">
        <v>1317</v>
      </c>
      <c r="G773">
        <v>1541</v>
      </c>
      <c r="H773">
        <v>1</v>
      </c>
      <c r="I773" t="s">
        <v>81</v>
      </c>
      <c r="J773">
        <v>0</v>
      </c>
      <c r="K773">
        <v>2</v>
      </c>
      <c r="L773">
        <v>2</v>
      </c>
      <c r="M773">
        <v>325</v>
      </c>
      <c r="N773">
        <v>371</v>
      </c>
      <c r="O773">
        <v>0</v>
      </c>
      <c r="P773">
        <v>371</v>
      </c>
      <c r="Q773">
        <v>21</v>
      </c>
      <c r="R773">
        <v>99</v>
      </c>
      <c r="S773">
        <v>18</v>
      </c>
      <c r="T773">
        <v>4</v>
      </c>
      <c r="U773">
        <v>12</v>
      </c>
      <c r="V773">
        <v>1</v>
      </c>
      <c r="W773">
        <v>9</v>
      </c>
      <c r="X773">
        <v>9</v>
      </c>
      <c r="Y773">
        <v>168</v>
      </c>
      <c r="Z773">
        <v>4</v>
      </c>
      <c r="AA773" t="s">
        <v>100</v>
      </c>
      <c r="AC773" t="s">
        <v>100</v>
      </c>
      <c r="AD773" t="s">
        <v>100</v>
      </c>
      <c r="AE773" t="s">
        <v>100</v>
      </c>
      <c r="AF773">
        <v>1</v>
      </c>
      <c r="AG773">
        <v>2</v>
      </c>
      <c r="AH773">
        <v>3</v>
      </c>
      <c r="AI773">
        <v>2</v>
      </c>
      <c r="AJ773">
        <v>1</v>
      </c>
      <c r="AK773">
        <v>3</v>
      </c>
      <c r="AL773">
        <v>0</v>
      </c>
      <c r="AM773">
        <v>1</v>
      </c>
      <c r="AN773">
        <v>0</v>
      </c>
      <c r="AT773" t="s">
        <v>100</v>
      </c>
      <c r="AU773">
        <v>13</v>
      </c>
      <c r="AV773">
        <v>371</v>
      </c>
      <c r="AW773">
        <v>371</v>
      </c>
      <c r="AX773">
        <v>674</v>
      </c>
      <c r="AZ773" t="s">
        <v>101</v>
      </c>
      <c r="BA773">
        <v>1</v>
      </c>
      <c r="BC773" t="s">
        <v>1637</v>
      </c>
      <c r="BD773" s="4">
        <v>43283.317361111112</v>
      </c>
      <c r="BE773" s="4">
        <v>43283.339097222219</v>
      </c>
      <c r="BF773" s="4">
        <v>43283.339097222219</v>
      </c>
      <c r="BG773" t="s">
        <v>83</v>
      </c>
      <c r="BH773" t="s">
        <v>84</v>
      </c>
      <c r="BI773" t="s">
        <v>548</v>
      </c>
    </row>
    <row r="774" spans="1:61" x14ac:dyDescent="0.3">
      <c r="A774" t="str">
        <f>"201541C0100"</f>
        <v>201541C0100</v>
      </c>
      <c r="B774" t="s">
        <v>1638</v>
      </c>
      <c r="C774">
        <v>20</v>
      </c>
      <c r="D774" t="s">
        <v>79</v>
      </c>
      <c r="E774">
        <v>4</v>
      </c>
      <c r="F774" t="s">
        <v>1317</v>
      </c>
      <c r="G774">
        <v>1541</v>
      </c>
      <c r="H774">
        <v>1</v>
      </c>
      <c r="I774" t="s">
        <v>89</v>
      </c>
      <c r="J774">
        <v>0</v>
      </c>
      <c r="K774">
        <v>2</v>
      </c>
      <c r="L774">
        <v>2</v>
      </c>
      <c r="M774">
        <v>312</v>
      </c>
      <c r="N774">
        <v>383</v>
      </c>
      <c r="O774">
        <v>0</v>
      </c>
      <c r="P774">
        <v>383</v>
      </c>
      <c r="Q774">
        <v>25</v>
      </c>
      <c r="R774">
        <v>106</v>
      </c>
      <c r="S774">
        <v>17</v>
      </c>
      <c r="T774">
        <v>7</v>
      </c>
      <c r="U774">
        <v>13</v>
      </c>
      <c r="V774">
        <v>5</v>
      </c>
      <c r="W774">
        <v>7</v>
      </c>
      <c r="X774">
        <v>11</v>
      </c>
      <c r="Y774">
        <v>170</v>
      </c>
      <c r="Z774">
        <v>4</v>
      </c>
      <c r="AA774" t="s">
        <v>100</v>
      </c>
      <c r="AC774">
        <v>0</v>
      </c>
      <c r="AD774">
        <v>0</v>
      </c>
      <c r="AE774">
        <v>0</v>
      </c>
      <c r="AF774">
        <v>0</v>
      </c>
      <c r="AG774" t="s">
        <v>315</v>
      </c>
      <c r="AH774">
        <v>13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T774">
        <v>0</v>
      </c>
      <c r="AU774">
        <v>14</v>
      </c>
      <c r="AV774" t="s">
        <v>315</v>
      </c>
      <c r="AW774">
        <v>392</v>
      </c>
      <c r="AX774">
        <v>673</v>
      </c>
      <c r="AZ774" t="s">
        <v>101</v>
      </c>
      <c r="BA774">
        <v>1</v>
      </c>
      <c r="BC774" t="s">
        <v>1639</v>
      </c>
      <c r="BD774" s="4">
        <v>43283.343055555553</v>
      </c>
      <c r="BE774" s="4">
        <v>43283.372083333335</v>
      </c>
      <c r="BF774" s="4">
        <v>43283.372083333335</v>
      </c>
      <c r="BG774" t="s">
        <v>83</v>
      </c>
      <c r="BH774" t="s">
        <v>84</v>
      </c>
      <c r="BI774" t="s">
        <v>85</v>
      </c>
    </row>
    <row r="775" spans="1:61" x14ac:dyDescent="0.3">
      <c r="A775" t="str">
        <f>"201541E0100"</f>
        <v>201541E0100</v>
      </c>
      <c r="B775" s="2" t="s">
        <v>1640</v>
      </c>
      <c r="C775">
        <v>20</v>
      </c>
      <c r="D775" t="s">
        <v>79</v>
      </c>
      <c r="E775">
        <v>4</v>
      </c>
      <c r="F775" t="s">
        <v>1317</v>
      </c>
      <c r="G775">
        <v>1541</v>
      </c>
      <c r="H775">
        <v>1</v>
      </c>
      <c r="I775" t="s">
        <v>145</v>
      </c>
      <c r="J775">
        <v>0</v>
      </c>
      <c r="K775">
        <v>2</v>
      </c>
      <c r="L775">
        <v>2</v>
      </c>
      <c r="M775">
        <v>158</v>
      </c>
      <c r="N775">
        <v>89</v>
      </c>
      <c r="O775">
        <v>5</v>
      </c>
      <c r="P775" t="s">
        <v>315</v>
      </c>
      <c r="Q775">
        <v>7</v>
      </c>
      <c r="R775">
        <v>19</v>
      </c>
      <c r="S775">
        <v>3</v>
      </c>
      <c r="T775">
        <v>2</v>
      </c>
      <c r="U775">
        <v>8</v>
      </c>
      <c r="V775">
        <v>3</v>
      </c>
      <c r="W775">
        <v>2</v>
      </c>
      <c r="X775">
        <v>7</v>
      </c>
      <c r="Y775">
        <v>32</v>
      </c>
      <c r="Z775">
        <v>2</v>
      </c>
      <c r="AA775">
        <v>1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1</v>
      </c>
      <c r="AM775">
        <v>0</v>
      </c>
      <c r="AN775">
        <v>0</v>
      </c>
      <c r="AT775">
        <v>0</v>
      </c>
      <c r="AU775">
        <v>2</v>
      </c>
      <c r="AV775">
        <v>89</v>
      </c>
      <c r="AW775">
        <v>89</v>
      </c>
      <c r="AX775">
        <v>235</v>
      </c>
      <c r="BA775">
        <v>1</v>
      </c>
      <c r="BC775" t="s">
        <v>1641</v>
      </c>
      <c r="BD775" s="4">
        <v>43283.313194444447</v>
      </c>
      <c r="BE775" s="4">
        <v>43283.336481481485</v>
      </c>
      <c r="BF775" s="4">
        <v>43283.336481481485</v>
      </c>
      <c r="BG775" t="s">
        <v>83</v>
      </c>
      <c r="BH775" t="s">
        <v>84</v>
      </c>
      <c r="BI775" t="s">
        <v>548</v>
      </c>
    </row>
    <row r="776" spans="1:61" x14ac:dyDescent="0.3">
      <c r="A776" t="str">
        <f>"201541E0200"</f>
        <v>201541E0200</v>
      </c>
      <c r="B776" s="2" t="s">
        <v>1642</v>
      </c>
      <c r="C776">
        <v>20</v>
      </c>
      <c r="D776" t="s">
        <v>79</v>
      </c>
      <c r="E776">
        <v>4</v>
      </c>
      <c r="F776" t="s">
        <v>1317</v>
      </c>
      <c r="G776">
        <v>1541</v>
      </c>
      <c r="H776">
        <v>2</v>
      </c>
      <c r="I776" t="s">
        <v>145</v>
      </c>
      <c r="J776">
        <v>0</v>
      </c>
      <c r="K776">
        <v>2</v>
      </c>
      <c r="L776">
        <v>2</v>
      </c>
      <c r="M776">
        <v>60</v>
      </c>
      <c r="N776">
        <v>94</v>
      </c>
      <c r="O776">
        <v>5</v>
      </c>
      <c r="P776">
        <v>91</v>
      </c>
      <c r="Q776">
        <v>11</v>
      </c>
      <c r="R776">
        <v>33</v>
      </c>
      <c r="S776">
        <v>4</v>
      </c>
      <c r="T776">
        <v>3</v>
      </c>
      <c r="U776">
        <v>0</v>
      </c>
      <c r="V776">
        <v>1</v>
      </c>
      <c r="W776">
        <v>2</v>
      </c>
      <c r="X776">
        <v>5</v>
      </c>
      <c r="Y776">
        <v>29</v>
      </c>
      <c r="Z776">
        <v>2</v>
      </c>
      <c r="AA776">
        <v>0</v>
      </c>
      <c r="AC776" t="s">
        <v>100</v>
      </c>
      <c r="AD776" t="s">
        <v>100</v>
      </c>
      <c r="AE776" t="s">
        <v>100</v>
      </c>
      <c r="AF776" t="s">
        <v>100</v>
      </c>
      <c r="AG776" t="s">
        <v>100</v>
      </c>
      <c r="AH776" t="s">
        <v>100</v>
      </c>
      <c r="AI776" t="s">
        <v>100</v>
      </c>
      <c r="AJ776" t="s">
        <v>100</v>
      </c>
      <c r="AK776" t="s">
        <v>100</v>
      </c>
      <c r="AL776" t="s">
        <v>100</v>
      </c>
      <c r="AM776" t="s">
        <v>100</v>
      </c>
      <c r="AN776" t="s">
        <v>100</v>
      </c>
      <c r="AT776" t="s">
        <v>100</v>
      </c>
      <c r="AU776" t="s">
        <v>100</v>
      </c>
      <c r="AV776">
        <v>90</v>
      </c>
      <c r="AW776">
        <v>90</v>
      </c>
      <c r="AX776">
        <v>132</v>
      </c>
      <c r="AZ776" t="s">
        <v>101</v>
      </c>
      <c r="BA776">
        <v>1</v>
      </c>
      <c r="BC776" t="s">
        <v>1643</v>
      </c>
      <c r="BD776" s="4">
        <v>43283.322916666664</v>
      </c>
      <c r="BE776" s="4">
        <v>43283.344108796293</v>
      </c>
      <c r="BF776" s="4">
        <v>43283.344108796293</v>
      </c>
      <c r="BG776" t="s">
        <v>83</v>
      </c>
      <c r="BH776" t="s">
        <v>84</v>
      </c>
      <c r="BI776" t="s">
        <v>548</v>
      </c>
    </row>
    <row r="777" spans="1:61" x14ac:dyDescent="0.3">
      <c r="A777" t="str">
        <f>"201542B0100"</f>
        <v>201542B0100</v>
      </c>
      <c r="B777" t="s">
        <v>1644</v>
      </c>
      <c r="C777">
        <v>20</v>
      </c>
      <c r="D777" t="s">
        <v>79</v>
      </c>
      <c r="E777">
        <v>4</v>
      </c>
      <c r="F777" t="s">
        <v>1317</v>
      </c>
      <c r="G777">
        <v>1542</v>
      </c>
      <c r="H777">
        <v>1</v>
      </c>
      <c r="I777" t="s">
        <v>81</v>
      </c>
      <c r="J777">
        <v>0</v>
      </c>
      <c r="K777">
        <v>2</v>
      </c>
      <c r="L777">
        <v>2</v>
      </c>
      <c r="M777">
        <v>353</v>
      </c>
      <c r="N777">
        <v>381</v>
      </c>
      <c r="O777">
        <v>0</v>
      </c>
      <c r="P777">
        <v>381</v>
      </c>
      <c r="Q777">
        <v>14</v>
      </c>
      <c r="R777">
        <v>133</v>
      </c>
      <c r="S777">
        <v>6</v>
      </c>
      <c r="T777">
        <v>5</v>
      </c>
      <c r="U777">
        <v>18</v>
      </c>
      <c r="V777">
        <v>3</v>
      </c>
      <c r="W777">
        <v>19</v>
      </c>
      <c r="X777">
        <v>13</v>
      </c>
      <c r="Y777">
        <v>142</v>
      </c>
      <c r="Z777">
        <v>6</v>
      </c>
      <c r="AA777">
        <v>2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T777">
        <v>0</v>
      </c>
      <c r="AU777">
        <v>19</v>
      </c>
      <c r="AV777">
        <v>381</v>
      </c>
      <c r="AW777">
        <v>380</v>
      </c>
      <c r="AX777">
        <v>712</v>
      </c>
      <c r="BA777">
        <v>1</v>
      </c>
      <c r="BC777" t="s">
        <v>1645</v>
      </c>
      <c r="BD777" s="4">
        <v>43283.342361111114</v>
      </c>
      <c r="BE777" s="4">
        <v>43283.358171296299</v>
      </c>
      <c r="BF777" s="4">
        <v>43283.358171296299</v>
      </c>
      <c r="BG777" t="s">
        <v>83</v>
      </c>
      <c r="BH777" t="s">
        <v>84</v>
      </c>
      <c r="BI777" t="s">
        <v>85</v>
      </c>
    </row>
    <row r="778" spans="1:61" x14ac:dyDescent="0.3">
      <c r="A778" t="str">
        <f>"201543B0100"</f>
        <v>201543B0100</v>
      </c>
      <c r="B778" t="s">
        <v>1646</v>
      </c>
      <c r="C778">
        <v>20</v>
      </c>
      <c r="D778" t="s">
        <v>79</v>
      </c>
      <c r="E778">
        <v>4</v>
      </c>
      <c r="F778" t="s">
        <v>1317</v>
      </c>
      <c r="G778">
        <v>1543</v>
      </c>
      <c r="H778">
        <v>1</v>
      </c>
      <c r="I778" t="s">
        <v>81</v>
      </c>
      <c r="J778">
        <v>0</v>
      </c>
      <c r="K778">
        <v>2</v>
      </c>
      <c r="L778">
        <v>2</v>
      </c>
      <c r="M778">
        <v>310</v>
      </c>
      <c r="N778">
        <v>330</v>
      </c>
      <c r="O778">
        <v>2</v>
      </c>
      <c r="P778">
        <v>330</v>
      </c>
      <c r="Q778">
        <v>8</v>
      </c>
      <c r="R778">
        <v>49</v>
      </c>
      <c r="S778">
        <v>8</v>
      </c>
      <c r="T778">
        <v>0</v>
      </c>
      <c r="U778">
        <v>20</v>
      </c>
      <c r="V778">
        <v>8</v>
      </c>
      <c r="W778">
        <v>3</v>
      </c>
      <c r="X778">
        <v>12</v>
      </c>
      <c r="Y778">
        <v>158</v>
      </c>
      <c r="Z778">
        <v>11</v>
      </c>
      <c r="AA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9</v>
      </c>
      <c r="AL778">
        <v>0</v>
      </c>
      <c r="AM778">
        <v>0</v>
      </c>
      <c r="AN778">
        <v>0</v>
      </c>
      <c r="AT778">
        <v>0</v>
      </c>
      <c r="AU778">
        <v>44</v>
      </c>
      <c r="AV778">
        <v>330</v>
      </c>
      <c r="AW778">
        <v>330</v>
      </c>
      <c r="AX778">
        <v>618</v>
      </c>
      <c r="BA778">
        <v>1</v>
      </c>
      <c r="BC778" t="s">
        <v>1647</v>
      </c>
      <c r="BD778" s="4">
        <v>43283.341666666667</v>
      </c>
      <c r="BE778" s="4">
        <v>43283.357939814814</v>
      </c>
      <c r="BF778" s="4">
        <v>43283.357939814814</v>
      </c>
      <c r="BG778" t="s">
        <v>83</v>
      </c>
      <c r="BH778" t="s">
        <v>84</v>
      </c>
      <c r="BI778" t="s">
        <v>85</v>
      </c>
    </row>
    <row r="779" spans="1:61" x14ac:dyDescent="0.3">
      <c r="A779" t="str">
        <f>"201555B0100"</f>
        <v>201555B0100</v>
      </c>
      <c r="B779" t="s">
        <v>1648</v>
      </c>
      <c r="C779">
        <v>20</v>
      </c>
      <c r="D779" t="s">
        <v>79</v>
      </c>
      <c r="E779">
        <v>4</v>
      </c>
      <c r="F779" t="s">
        <v>1317</v>
      </c>
      <c r="G779">
        <v>1555</v>
      </c>
      <c r="H779">
        <v>1</v>
      </c>
      <c r="I779" t="s">
        <v>81</v>
      </c>
      <c r="J779">
        <v>0</v>
      </c>
      <c r="K779">
        <v>2</v>
      </c>
      <c r="L779">
        <v>2</v>
      </c>
      <c r="M779" t="s">
        <v>315</v>
      </c>
      <c r="N779">
        <v>417</v>
      </c>
      <c r="O779" t="s">
        <v>315</v>
      </c>
      <c r="P779">
        <v>417</v>
      </c>
      <c r="Q779">
        <v>14</v>
      </c>
      <c r="R779">
        <v>91</v>
      </c>
      <c r="S779">
        <v>9</v>
      </c>
      <c r="T779">
        <v>5</v>
      </c>
      <c r="U779">
        <v>21</v>
      </c>
      <c r="V779">
        <v>0</v>
      </c>
      <c r="W779">
        <v>4</v>
      </c>
      <c r="X779">
        <v>13</v>
      </c>
      <c r="Y779">
        <v>212</v>
      </c>
      <c r="Z779">
        <v>6</v>
      </c>
      <c r="AA779">
        <v>2</v>
      </c>
      <c r="AC779">
        <v>0</v>
      </c>
      <c r="AD779">
        <v>0</v>
      </c>
      <c r="AE779">
        <v>0</v>
      </c>
      <c r="AF779">
        <v>0</v>
      </c>
      <c r="AG779">
        <v>2</v>
      </c>
      <c r="AH779">
        <v>3</v>
      </c>
      <c r="AI779">
        <v>2</v>
      </c>
      <c r="AJ779">
        <v>0</v>
      </c>
      <c r="AK779">
        <v>6</v>
      </c>
      <c r="AL779">
        <v>1</v>
      </c>
      <c r="AM779">
        <v>0</v>
      </c>
      <c r="AN779">
        <v>2</v>
      </c>
      <c r="AT779" t="s">
        <v>100</v>
      </c>
      <c r="AU779">
        <v>24</v>
      </c>
      <c r="AV779" t="s">
        <v>315</v>
      </c>
      <c r="AW779">
        <v>417</v>
      </c>
      <c r="AX779">
        <v>614</v>
      </c>
      <c r="AZ779" t="s">
        <v>101</v>
      </c>
      <c r="BA779">
        <v>1</v>
      </c>
      <c r="BC779" t="s">
        <v>1649</v>
      </c>
      <c r="BD779" s="4">
        <v>43283.567361111112</v>
      </c>
      <c r="BE779" s="4">
        <v>43283.578148148146</v>
      </c>
      <c r="BF779" s="4">
        <v>43283.578148148146</v>
      </c>
      <c r="BG779" t="s">
        <v>83</v>
      </c>
      <c r="BH779" t="s">
        <v>84</v>
      </c>
      <c r="BI779" t="s">
        <v>85</v>
      </c>
    </row>
    <row r="780" spans="1:61" x14ac:dyDescent="0.3">
      <c r="A780" t="str">
        <f>"201555C0100"</f>
        <v>201555C0100</v>
      </c>
      <c r="B780" t="s">
        <v>1650</v>
      </c>
      <c r="C780">
        <v>20</v>
      </c>
      <c r="D780" t="s">
        <v>79</v>
      </c>
      <c r="E780">
        <v>4</v>
      </c>
      <c r="F780" t="s">
        <v>1317</v>
      </c>
      <c r="G780">
        <v>1555</v>
      </c>
      <c r="H780">
        <v>1</v>
      </c>
      <c r="I780" t="s">
        <v>89</v>
      </c>
      <c r="J780">
        <v>0</v>
      </c>
      <c r="K780">
        <v>2</v>
      </c>
      <c r="L780">
        <v>2</v>
      </c>
      <c r="M780">
        <v>198</v>
      </c>
      <c r="N780">
        <v>437</v>
      </c>
      <c r="O780">
        <v>0</v>
      </c>
      <c r="P780">
        <v>437</v>
      </c>
      <c r="Q780">
        <v>12</v>
      </c>
      <c r="R780">
        <v>103</v>
      </c>
      <c r="S780">
        <v>14</v>
      </c>
      <c r="T780">
        <v>4</v>
      </c>
      <c r="U780">
        <v>14</v>
      </c>
      <c r="V780">
        <v>2</v>
      </c>
      <c r="W780">
        <v>4</v>
      </c>
      <c r="X780">
        <v>10</v>
      </c>
      <c r="Y780">
        <v>236</v>
      </c>
      <c r="Z780">
        <v>7</v>
      </c>
      <c r="AA780">
        <v>0</v>
      </c>
      <c r="AC780">
        <v>0</v>
      </c>
      <c r="AD780">
        <v>0</v>
      </c>
      <c r="AE780">
        <v>0</v>
      </c>
      <c r="AF780">
        <v>0</v>
      </c>
      <c r="AG780">
        <v>2</v>
      </c>
      <c r="AH780">
        <v>1</v>
      </c>
      <c r="AI780">
        <v>0</v>
      </c>
      <c r="AJ780">
        <v>0</v>
      </c>
      <c r="AK780">
        <v>1</v>
      </c>
      <c r="AL780">
        <v>3</v>
      </c>
      <c r="AM780">
        <v>0</v>
      </c>
      <c r="AN780">
        <v>2</v>
      </c>
      <c r="AT780">
        <v>1</v>
      </c>
      <c r="AU780">
        <v>19</v>
      </c>
      <c r="AV780">
        <v>437</v>
      </c>
      <c r="AW780">
        <v>435</v>
      </c>
      <c r="AX780">
        <v>613</v>
      </c>
      <c r="BA780">
        <v>1</v>
      </c>
      <c r="BC780" t="s">
        <v>1651</v>
      </c>
      <c r="BD780" s="4">
        <v>43283.566666666666</v>
      </c>
      <c r="BE780" s="4">
        <v>43283.573125000003</v>
      </c>
      <c r="BF780" s="4">
        <v>43283.573125000003</v>
      </c>
      <c r="BG780" t="s">
        <v>83</v>
      </c>
      <c r="BH780" t="s">
        <v>84</v>
      </c>
      <c r="BI780" t="s">
        <v>85</v>
      </c>
    </row>
    <row r="781" spans="1:61" x14ac:dyDescent="0.3">
      <c r="A781" t="str">
        <f>"201556B0100"</f>
        <v>201556B0100</v>
      </c>
      <c r="B781" t="s">
        <v>1652</v>
      </c>
      <c r="C781">
        <v>20</v>
      </c>
      <c r="D781" t="s">
        <v>79</v>
      </c>
      <c r="E781">
        <v>4</v>
      </c>
      <c r="F781" t="s">
        <v>1317</v>
      </c>
      <c r="G781">
        <v>1556</v>
      </c>
      <c r="H781">
        <v>1</v>
      </c>
      <c r="I781" t="s">
        <v>81</v>
      </c>
      <c r="J781">
        <v>0</v>
      </c>
      <c r="K781">
        <v>2</v>
      </c>
      <c r="L781">
        <v>2</v>
      </c>
      <c r="M781">
        <v>181</v>
      </c>
      <c r="N781">
        <v>248</v>
      </c>
      <c r="O781">
        <v>0</v>
      </c>
      <c r="P781">
        <v>248</v>
      </c>
      <c r="Q781">
        <v>2</v>
      </c>
      <c r="R781">
        <v>32</v>
      </c>
      <c r="S781">
        <v>5</v>
      </c>
      <c r="T781">
        <v>2</v>
      </c>
      <c r="U781">
        <v>7</v>
      </c>
      <c r="V781">
        <v>1</v>
      </c>
      <c r="W781">
        <v>4</v>
      </c>
      <c r="X781">
        <v>1</v>
      </c>
      <c r="Y781">
        <v>172</v>
      </c>
      <c r="Z781">
        <v>3</v>
      </c>
      <c r="AA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2</v>
      </c>
      <c r="AM781">
        <v>0</v>
      </c>
      <c r="AN781">
        <v>3</v>
      </c>
      <c r="AT781">
        <v>0</v>
      </c>
      <c r="AU781">
        <v>14</v>
      </c>
      <c r="AV781">
        <v>248</v>
      </c>
      <c r="AW781">
        <v>248</v>
      </c>
      <c r="AX781">
        <v>401</v>
      </c>
      <c r="BA781">
        <v>1</v>
      </c>
      <c r="BC781" t="s">
        <v>1653</v>
      </c>
      <c r="BD781" s="4">
        <v>43283.566666666666</v>
      </c>
      <c r="BE781" s="4">
        <v>43283.572476851848</v>
      </c>
      <c r="BF781" s="4">
        <v>43283.572476851848</v>
      </c>
      <c r="BG781" t="s">
        <v>83</v>
      </c>
      <c r="BH781" t="s">
        <v>84</v>
      </c>
      <c r="BI781" t="s">
        <v>85</v>
      </c>
    </row>
    <row r="782" spans="1:61" x14ac:dyDescent="0.3">
      <c r="A782" t="str">
        <f>"201556C0100"</f>
        <v>201556C0100</v>
      </c>
      <c r="B782" t="s">
        <v>1654</v>
      </c>
      <c r="C782">
        <v>20</v>
      </c>
      <c r="D782" t="s">
        <v>79</v>
      </c>
      <c r="E782">
        <v>4</v>
      </c>
      <c r="F782" t="s">
        <v>1317</v>
      </c>
      <c r="G782">
        <v>1556</v>
      </c>
      <c r="H782">
        <v>1</v>
      </c>
      <c r="I782" t="s">
        <v>89</v>
      </c>
      <c r="J782">
        <v>0</v>
      </c>
      <c r="K782">
        <v>2</v>
      </c>
      <c r="L782">
        <v>2</v>
      </c>
      <c r="M782">
        <v>158</v>
      </c>
      <c r="N782">
        <v>265</v>
      </c>
      <c r="O782">
        <v>0</v>
      </c>
      <c r="P782">
        <v>265</v>
      </c>
      <c r="Q782">
        <v>5</v>
      </c>
      <c r="R782">
        <v>23</v>
      </c>
      <c r="S782">
        <v>5</v>
      </c>
      <c r="T782">
        <v>0</v>
      </c>
      <c r="U782">
        <v>6</v>
      </c>
      <c r="V782">
        <v>2</v>
      </c>
      <c r="W782">
        <v>0</v>
      </c>
      <c r="X782">
        <v>0</v>
      </c>
      <c r="Y782">
        <v>204</v>
      </c>
      <c r="Z782">
        <v>2</v>
      </c>
      <c r="AA782">
        <v>0</v>
      </c>
      <c r="AC782">
        <v>1</v>
      </c>
      <c r="AD782">
        <v>0</v>
      </c>
      <c r="AE782">
        <v>0</v>
      </c>
      <c r="AF782">
        <v>0</v>
      </c>
      <c r="AG782">
        <v>3</v>
      </c>
      <c r="AH782">
        <v>0</v>
      </c>
      <c r="AI782">
        <v>0</v>
      </c>
      <c r="AJ782">
        <v>0</v>
      </c>
      <c r="AK782">
        <v>4</v>
      </c>
      <c r="AL782">
        <v>1</v>
      </c>
      <c r="AM782">
        <v>0</v>
      </c>
      <c r="AN782">
        <v>2</v>
      </c>
      <c r="AT782">
        <v>0</v>
      </c>
      <c r="AU782">
        <v>7</v>
      </c>
      <c r="AV782">
        <v>265</v>
      </c>
      <c r="AW782">
        <v>265</v>
      </c>
      <c r="AX782">
        <v>401</v>
      </c>
      <c r="BA782">
        <v>1</v>
      </c>
      <c r="BC782" t="s">
        <v>1655</v>
      </c>
      <c r="BD782" s="4">
        <v>43283.569444444445</v>
      </c>
      <c r="BE782" s="4">
        <v>43283.576435185183</v>
      </c>
      <c r="BF782" s="4">
        <v>43283.576435185183</v>
      </c>
      <c r="BG782" t="s">
        <v>83</v>
      </c>
      <c r="BH782" t="s">
        <v>84</v>
      </c>
      <c r="BI782" t="s">
        <v>85</v>
      </c>
    </row>
    <row r="783" spans="1:61" x14ac:dyDescent="0.3">
      <c r="A783" t="str">
        <f>"201556E0100"</f>
        <v>201556E0100</v>
      </c>
      <c r="B783" s="2" t="s">
        <v>1656</v>
      </c>
      <c r="C783">
        <v>20</v>
      </c>
      <c r="D783" t="s">
        <v>79</v>
      </c>
      <c r="E783">
        <v>4</v>
      </c>
      <c r="F783" t="s">
        <v>1317</v>
      </c>
      <c r="G783">
        <v>1556</v>
      </c>
      <c r="H783">
        <v>1</v>
      </c>
      <c r="I783" t="s">
        <v>145</v>
      </c>
      <c r="J783">
        <v>0</v>
      </c>
      <c r="K783">
        <v>2</v>
      </c>
      <c r="L783">
        <v>2</v>
      </c>
      <c r="M783">
        <v>223</v>
      </c>
      <c r="N783">
        <v>538</v>
      </c>
      <c r="O783">
        <v>0</v>
      </c>
      <c r="P783">
        <v>538</v>
      </c>
      <c r="Q783">
        <v>2</v>
      </c>
      <c r="R783">
        <v>230</v>
      </c>
      <c r="S783">
        <v>1</v>
      </c>
      <c r="T783">
        <v>0</v>
      </c>
      <c r="U783">
        <v>2</v>
      </c>
      <c r="V783">
        <v>6</v>
      </c>
      <c r="W783">
        <v>0</v>
      </c>
      <c r="X783">
        <v>3</v>
      </c>
      <c r="Y783">
        <v>245</v>
      </c>
      <c r="Z783">
        <v>12</v>
      </c>
      <c r="AA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3</v>
      </c>
      <c r="AI783">
        <v>0</v>
      </c>
      <c r="AJ783">
        <v>0</v>
      </c>
      <c r="AK783">
        <v>1</v>
      </c>
      <c r="AL783">
        <v>0</v>
      </c>
      <c r="AM783">
        <v>0</v>
      </c>
      <c r="AN783">
        <v>1</v>
      </c>
      <c r="AT783">
        <v>0</v>
      </c>
      <c r="AU783">
        <v>32</v>
      </c>
      <c r="AV783">
        <v>538</v>
      </c>
      <c r="AW783">
        <v>538</v>
      </c>
      <c r="AX783">
        <v>739</v>
      </c>
      <c r="BA783">
        <v>1</v>
      </c>
      <c r="BC783" t="s">
        <v>1657</v>
      </c>
      <c r="BD783" s="4">
        <v>43283.567361111112</v>
      </c>
      <c r="BE783" s="4">
        <v>43283.573148148149</v>
      </c>
      <c r="BF783" s="4">
        <v>43283.573148148149</v>
      </c>
      <c r="BG783" t="s">
        <v>83</v>
      </c>
      <c r="BH783" t="s">
        <v>84</v>
      </c>
      <c r="BI783" t="s">
        <v>85</v>
      </c>
    </row>
    <row r="784" spans="1:61" x14ac:dyDescent="0.3">
      <c r="A784" t="str">
        <f>"201557B0100"</f>
        <v>201557B0100</v>
      </c>
      <c r="B784" t="s">
        <v>1658</v>
      </c>
      <c r="C784">
        <v>20</v>
      </c>
      <c r="D784" t="s">
        <v>79</v>
      </c>
      <c r="E784">
        <v>4</v>
      </c>
      <c r="F784" t="s">
        <v>1317</v>
      </c>
      <c r="G784">
        <v>1557</v>
      </c>
      <c r="H784">
        <v>1</v>
      </c>
      <c r="I784" t="s">
        <v>81</v>
      </c>
      <c r="J784">
        <v>0</v>
      </c>
      <c r="K784">
        <v>2</v>
      </c>
      <c r="L784">
        <v>2</v>
      </c>
      <c r="AX784">
        <v>229</v>
      </c>
      <c r="AZ784" t="s">
        <v>156</v>
      </c>
      <c r="BA784">
        <v>0</v>
      </c>
      <c r="BC784" t="s">
        <v>1659</v>
      </c>
      <c r="BD784" s="4">
        <v>43283.631249999999</v>
      </c>
      <c r="BE784" s="4">
        <v>43283.63318287037</v>
      </c>
      <c r="BF784" s="4">
        <v>43283.63318287037</v>
      </c>
      <c r="BG784" t="s">
        <v>83</v>
      </c>
      <c r="BH784" t="s">
        <v>84</v>
      </c>
      <c r="BI784" t="s">
        <v>85</v>
      </c>
    </row>
    <row r="785" spans="1:61" x14ac:dyDescent="0.3">
      <c r="A785" t="str">
        <f>"201642B0100"</f>
        <v>201642B0100</v>
      </c>
      <c r="B785" t="s">
        <v>1660</v>
      </c>
      <c r="C785">
        <v>20</v>
      </c>
      <c r="D785" t="s">
        <v>79</v>
      </c>
      <c r="E785">
        <v>4</v>
      </c>
      <c r="F785" t="s">
        <v>1317</v>
      </c>
      <c r="G785">
        <v>1642</v>
      </c>
      <c r="H785">
        <v>1</v>
      </c>
      <c r="I785" t="s">
        <v>81</v>
      </c>
      <c r="J785">
        <v>0</v>
      </c>
      <c r="K785">
        <v>2</v>
      </c>
      <c r="L785">
        <v>2</v>
      </c>
      <c r="M785">
        <v>149</v>
      </c>
      <c r="N785">
        <v>196</v>
      </c>
      <c r="O785">
        <v>0</v>
      </c>
      <c r="P785">
        <v>196</v>
      </c>
      <c r="Q785">
        <v>5</v>
      </c>
      <c r="R785">
        <v>47</v>
      </c>
      <c r="S785">
        <v>10</v>
      </c>
      <c r="T785">
        <v>1</v>
      </c>
      <c r="U785">
        <v>13</v>
      </c>
      <c r="V785">
        <v>0</v>
      </c>
      <c r="W785">
        <v>6</v>
      </c>
      <c r="X785">
        <v>4</v>
      </c>
      <c r="Y785">
        <v>78</v>
      </c>
      <c r="Z785">
        <v>2</v>
      </c>
      <c r="AA785">
        <v>3</v>
      </c>
      <c r="AC785">
        <v>0</v>
      </c>
      <c r="AD785">
        <v>1</v>
      </c>
      <c r="AE785">
        <v>0</v>
      </c>
      <c r="AF785">
        <v>0</v>
      </c>
      <c r="AG785">
        <v>2</v>
      </c>
      <c r="AH785">
        <v>1</v>
      </c>
      <c r="AI785">
        <v>2</v>
      </c>
      <c r="AJ785">
        <v>6</v>
      </c>
      <c r="AK785">
        <v>2</v>
      </c>
      <c r="AL785">
        <v>2</v>
      </c>
      <c r="AM785" t="s">
        <v>100</v>
      </c>
      <c r="AN785" t="s">
        <v>100</v>
      </c>
      <c r="AT785" t="s">
        <v>100</v>
      </c>
      <c r="AU785">
        <v>13</v>
      </c>
      <c r="AV785" t="s">
        <v>100</v>
      </c>
      <c r="AW785">
        <v>198</v>
      </c>
      <c r="AX785">
        <v>323</v>
      </c>
      <c r="AZ785" t="s">
        <v>101</v>
      </c>
      <c r="BA785">
        <v>1</v>
      </c>
      <c r="BC785" t="s">
        <v>1661</v>
      </c>
      <c r="BD785" s="4">
        <v>43283.17083333333</v>
      </c>
      <c r="BE785" s="4">
        <v>43283.183993055558</v>
      </c>
      <c r="BF785" s="4">
        <v>43283.183993055558</v>
      </c>
      <c r="BG785" t="s">
        <v>83</v>
      </c>
      <c r="BH785" t="s">
        <v>84</v>
      </c>
      <c r="BI785" t="s">
        <v>85</v>
      </c>
    </row>
    <row r="786" spans="1:61" x14ac:dyDescent="0.3">
      <c r="A786" t="str">
        <f>"201643B0100"</f>
        <v>201643B0100</v>
      </c>
      <c r="B786" t="s">
        <v>1662</v>
      </c>
      <c r="C786">
        <v>20</v>
      </c>
      <c r="D786" t="s">
        <v>79</v>
      </c>
      <c r="E786">
        <v>4</v>
      </c>
      <c r="F786" t="s">
        <v>1317</v>
      </c>
      <c r="G786">
        <v>1643</v>
      </c>
      <c r="H786">
        <v>1</v>
      </c>
      <c r="I786" t="s">
        <v>81</v>
      </c>
      <c r="J786">
        <v>0</v>
      </c>
      <c r="K786">
        <v>2</v>
      </c>
      <c r="L786">
        <v>2</v>
      </c>
      <c r="AX786">
        <v>497</v>
      </c>
      <c r="AZ786" t="s">
        <v>156</v>
      </c>
      <c r="BA786">
        <v>0</v>
      </c>
      <c r="BC786" t="s">
        <v>1663</v>
      </c>
      <c r="BD786" s="4">
        <v>43283.631249999999</v>
      </c>
      <c r="BE786" s="4">
        <v>43283.63380787037</v>
      </c>
      <c r="BF786" s="4">
        <v>43283.63380787037</v>
      </c>
      <c r="BG786" t="s">
        <v>83</v>
      </c>
      <c r="BH786" t="s">
        <v>84</v>
      </c>
      <c r="BI786" t="s">
        <v>85</v>
      </c>
    </row>
    <row r="787" spans="1:61" x14ac:dyDescent="0.3">
      <c r="A787" t="str">
        <f>"201685B0100"</f>
        <v>201685B0100</v>
      </c>
      <c r="B787" t="s">
        <v>1664</v>
      </c>
      <c r="C787">
        <v>20</v>
      </c>
      <c r="D787" t="s">
        <v>79</v>
      </c>
      <c r="E787">
        <v>4</v>
      </c>
      <c r="F787" t="s">
        <v>1317</v>
      </c>
      <c r="G787">
        <v>1685</v>
      </c>
      <c r="H787">
        <v>1</v>
      </c>
      <c r="I787" t="s">
        <v>81</v>
      </c>
      <c r="J787">
        <v>0</v>
      </c>
      <c r="K787">
        <v>2</v>
      </c>
      <c r="L787">
        <v>2</v>
      </c>
      <c r="M787">
        <v>184</v>
      </c>
      <c r="N787">
        <v>334</v>
      </c>
      <c r="O787">
        <v>0</v>
      </c>
      <c r="P787">
        <v>334</v>
      </c>
      <c r="Q787">
        <v>4</v>
      </c>
      <c r="R787">
        <v>74</v>
      </c>
      <c r="S787">
        <v>100</v>
      </c>
      <c r="T787">
        <v>2</v>
      </c>
      <c r="U787">
        <v>11</v>
      </c>
      <c r="V787">
        <v>1</v>
      </c>
      <c r="W787">
        <v>1</v>
      </c>
      <c r="X787">
        <v>7</v>
      </c>
      <c r="Y787">
        <v>87</v>
      </c>
      <c r="Z787">
        <v>4</v>
      </c>
      <c r="AA787">
        <v>17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1</v>
      </c>
      <c r="AL787">
        <v>1</v>
      </c>
      <c r="AM787">
        <v>0</v>
      </c>
      <c r="AN787">
        <v>0</v>
      </c>
      <c r="AT787">
        <v>0</v>
      </c>
      <c r="AU787">
        <v>24</v>
      </c>
      <c r="AV787">
        <v>334</v>
      </c>
      <c r="AW787">
        <v>334</v>
      </c>
      <c r="AX787">
        <v>496</v>
      </c>
      <c r="BA787">
        <v>1</v>
      </c>
      <c r="BC787" t="s">
        <v>1665</v>
      </c>
      <c r="BD787" s="4">
        <v>43283.149305555555</v>
      </c>
      <c r="BE787" s="4">
        <v>43283.158182870371</v>
      </c>
      <c r="BF787" s="4">
        <v>43283.158182870371</v>
      </c>
      <c r="BG787" t="s">
        <v>83</v>
      </c>
      <c r="BH787" t="s">
        <v>84</v>
      </c>
      <c r="BI787" t="s">
        <v>85</v>
      </c>
    </row>
    <row r="788" spans="1:61" x14ac:dyDescent="0.3">
      <c r="A788" t="str">
        <f>"201685C0100"</f>
        <v>201685C0100</v>
      </c>
      <c r="B788" t="s">
        <v>1666</v>
      </c>
      <c r="C788">
        <v>20</v>
      </c>
      <c r="D788" t="s">
        <v>79</v>
      </c>
      <c r="E788">
        <v>4</v>
      </c>
      <c r="F788" t="s">
        <v>1317</v>
      </c>
      <c r="G788">
        <v>1685</v>
      </c>
      <c r="H788">
        <v>1</v>
      </c>
      <c r="I788" t="s">
        <v>89</v>
      </c>
      <c r="J788">
        <v>0</v>
      </c>
      <c r="K788">
        <v>2</v>
      </c>
      <c r="L788">
        <v>2</v>
      </c>
      <c r="M788">
        <v>179</v>
      </c>
      <c r="N788">
        <v>339</v>
      </c>
      <c r="O788" t="s">
        <v>100</v>
      </c>
      <c r="P788">
        <v>339</v>
      </c>
      <c r="Q788">
        <v>3</v>
      </c>
      <c r="R788">
        <v>55</v>
      </c>
      <c r="S788">
        <v>121</v>
      </c>
      <c r="T788">
        <v>3</v>
      </c>
      <c r="U788">
        <v>10</v>
      </c>
      <c r="V788">
        <v>2</v>
      </c>
      <c r="W788">
        <v>4</v>
      </c>
      <c r="X788">
        <v>11</v>
      </c>
      <c r="Y788">
        <v>85</v>
      </c>
      <c r="Z788">
        <v>2</v>
      </c>
      <c r="AA788">
        <v>0</v>
      </c>
      <c r="AC788">
        <v>0</v>
      </c>
      <c r="AD788">
        <v>0</v>
      </c>
      <c r="AE788">
        <v>0</v>
      </c>
      <c r="AF788">
        <v>0</v>
      </c>
      <c r="AG788">
        <v>2</v>
      </c>
      <c r="AH788">
        <v>2</v>
      </c>
      <c r="AI788">
        <v>0</v>
      </c>
      <c r="AJ788">
        <v>0</v>
      </c>
      <c r="AK788">
        <v>3</v>
      </c>
      <c r="AL788">
        <v>1</v>
      </c>
      <c r="AM788">
        <v>0</v>
      </c>
      <c r="AN788">
        <v>0</v>
      </c>
      <c r="AT788">
        <v>0</v>
      </c>
      <c r="AU788">
        <v>30</v>
      </c>
      <c r="AV788">
        <v>339</v>
      </c>
      <c r="AW788">
        <v>334</v>
      </c>
      <c r="AX788">
        <v>496</v>
      </c>
      <c r="BA788">
        <v>1</v>
      </c>
      <c r="BC788" t="s">
        <v>1667</v>
      </c>
      <c r="BD788" s="4">
        <v>43283.154166666667</v>
      </c>
      <c r="BE788" s="4">
        <v>43283.165289351855</v>
      </c>
      <c r="BF788" s="4">
        <v>43283.165289351855</v>
      </c>
      <c r="BG788" t="s">
        <v>83</v>
      </c>
      <c r="BH788" t="s">
        <v>84</v>
      </c>
      <c r="BI788" t="s">
        <v>85</v>
      </c>
    </row>
    <row r="789" spans="1:61" x14ac:dyDescent="0.3">
      <c r="A789" t="str">
        <f>"201782B0100"</f>
        <v>201782B0100</v>
      </c>
      <c r="B789" t="s">
        <v>1668</v>
      </c>
      <c r="C789">
        <v>20</v>
      </c>
      <c r="D789" t="s">
        <v>79</v>
      </c>
      <c r="E789">
        <v>4</v>
      </c>
      <c r="F789" t="s">
        <v>1317</v>
      </c>
      <c r="G789">
        <v>1782</v>
      </c>
      <c r="H789">
        <v>1</v>
      </c>
      <c r="I789" t="s">
        <v>81</v>
      </c>
      <c r="J789">
        <v>0</v>
      </c>
      <c r="K789">
        <v>1</v>
      </c>
      <c r="L789">
        <v>2</v>
      </c>
      <c r="M789">
        <v>203</v>
      </c>
      <c r="N789">
        <v>372</v>
      </c>
      <c r="O789">
        <v>0</v>
      </c>
      <c r="P789">
        <v>0</v>
      </c>
      <c r="Q789">
        <v>116</v>
      </c>
      <c r="R789">
        <v>133</v>
      </c>
      <c r="S789">
        <v>4</v>
      </c>
      <c r="T789">
        <v>5</v>
      </c>
      <c r="U789">
        <v>7</v>
      </c>
      <c r="V789">
        <v>1</v>
      </c>
      <c r="W789">
        <v>0</v>
      </c>
      <c r="X789">
        <v>6</v>
      </c>
      <c r="Y789">
        <v>53</v>
      </c>
      <c r="Z789">
        <v>5</v>
      </c>
      <c r="AA789">
        <v>6</v>
      </c>
      <c r="AC789">
        <v>0</v>
      </c>
      <c r="AD789">
        <v>0</v>
      </c>
      <c r="AE789">
        <v>0</v>
      </c>
      <c r="AF789">
        <v>0</v>
      </c>
      <c r="AG789">
        <v>1</v>
      </c>
      <c r="AH789">
        <v>0</v>
      </c>
      <c r="AI789">
        <v>0</v>
      </c>
      <c r="AJ789">
        <v>0</v>
      </c>
      <c r="AK789">
        <v>1</v>
      </c>
      <c r="AL789">
        <v>1</v>
      </c>
      <c r="AM789">
        <v>0</v>
      </c>
      <c r="AN789">
        <v>2</v>
      </c>
      <c r="AT789">
        <v>31</v>
      </c>
      <c r="AU789">
        <v>31</v>
      </c>
      <c r="AV789">
        <v>372</v>
      </c>
      <c r="AW789">
        <v>403</v>
      </c>
      <c r="AX789">
        <v>553</v>
      </c>
      <c r="BA789">
        <v>1</v>
      </c>
      <c r="BC789" t="s">
        <v>1669</v>
      </c>
      <c r="BD789" s="4">
        <v>43283.568055555559</v>
      </c>
      <c r="BE789" s="4">
        <v>43283.575497685182</v>
      </c>
      <c r="BF789" s="4">
        <v>43283.575497685182</v>
      </c>
      <c r="BG789" t="s">
        <v>83</v>
      </c>
      <c r="BH789" t="s">
        <v>84</v>
      </c>
      <c r="BI789" t="s">
        <v>85</v>
      </c>
    </row>
    <row r="790" spans="1:61" x14ac:dyDescent="0.3">
      <c r="A790" t="str">
        <f>"201782C0100"</f>
        <v>201782C0100</v>
      </c>
      <c r="B790" t="s">
        <v>1670</v>
      </c>
      <c r="C790">
        <v>20</v>
      </c>
      <c r="D790" t="s">
        <v>79</v>
      </c>
      <c r="E790">
        <v>4</v>
      </c>
      <c r="F790" t="s">
        <v>1317</v>
      </c>
      <c r="G790">
        <v>1782</v>
      </c>
      <c r="H790">
        <v>1</v>
      </c>
      <c r="I790" t="s">
        <v>89</v>
      </c>
      <c r="J790">
        <v>0</v>
      </c>
      <c r="K790">
        <v>2</v>
      </c>
      <c r="L790">
        <v>2</v>
      </c>
      <c r="M790">
        <v>206</v>
      </c>
      <c r="N790" t="s">
        <v>100</v>
      </c>
      <c r="O790">
        <v>0</v>
      </c>
      <c r="P790" t="s">
        <v>100</v>
      </c>
      <c r="Q790">
        <v>91</v>
      </c>
      <c r="R790">
        <v>135</v>
      </c>
      <c r="S790">
        <v>4</v>
      </c>
      <c r="T790">
        <v>2</v>
      </c>
      <c r="U790">
        <v>3</v>
      </c>
      <c r="V790">
        <v>5</v>
      </c>
      <c r="W790">
        <v>1</v>
      </c>
      <c r="X790">
        <v>2</v>
      </c>
      <c r="Y790">
        <v>67</v>
      </c>
      <c r="Z790">
        <v>6</v>
      </c>
      <c r="AA790">
        <v>3</v>
      </c>
      <c r="AC790">
        <v>0</v>
      </c>
      <c r="AD790">
        <v>1</v>
      </c>
      <c r="AE790">
        <v>0</v>
      </c>
      <c r="AF790">
        <v>0</v>
      </c>
      <c r="AG790" t="s">
        <v>100</v>
      </c>
      <c r="AH790">
        <v>1</v>
      </c>
      <c r="AI790" t="s">
        <v>100</v>
      </c>
      <c r="AJ790" t="s">
        <v>100</v>
      </c>
      <c r="AK790">
        <v>3</v>
      </c>
      <c r="AL790">
        <v>1</v>
      </c>
      <c r="AM790" t="s">
        <v>100</v>
      </c>
      <c r="AN790">
        <v>1</v>
      </c>
      <c r="AT790" t="s">
        <v>100</v>
      </c>
      <c r="AU790">
        <v>39</v>
      </c>
      <c r="AV790">
        <v>365</v>
      </c>
      <c r="AW790">
        <v>365</v>
      </c>
      <c r="AX790">
        <v>552</v>
      </c>
      <c r="AZ790" t="s">
        <v>101</v>
      </c>
      <c r="BA790">
        <v>1</v>
      </c>
      <c r="BC790" t="s">
        <v>1671</v>
      </c>
      <c r="BD790" s="4">
        <v>43283.569444444445</v>
      </c>
      <c r="BE790" s="4">
        <v>43283.577569444446</v>
      </c>
      <c r="BF790" s="4">
        <v>43283.577569444446</v>
      </c>
      <c r="BG790" t="s">
        <v>83</v>
      </c>
      <c r="BH790" t="s">
        <v>84</v>
      </c>
      <c r="BI790" t="s">
        <v>85</v>
      </c>
    </row>
    <row r="791" spans="1:61" x14ac:dyDescent="0.3">
      <c r="A791" t="str">
        <f>"201783B0100"</f>
        <v>201783B0100</v>
      </c>
      <c r="B791" t="s">
        <v>1672</v>
      </c>
      <c r="C791">
        <v>20</v>
      </c>
      <c r="D791" t="s">
        <v>79</v>
      </c>
      <c r="E791">
        <v>4</v>
      </c>
      <c r="F791" t="s">
        <v>1317</v>
      </c>
      <c r="G791">
        <v>1783</v>
      </c>
      <c r="H791">
        <v>1</v>
      </c>
      <c r="I791" t="s">
        <v>81</v>
      </c>
      <c r="J791">
        <v>0</v>
      </c>
      <c r="K791">
        <v>2</v>
      </c>
      <c r="L791">
        <v>2</v>
      </c>
      <c r="AX791">
        <v>390</v>
      </c>
      <c r="AZ791" t="s">
        <v>156</v>
      </c>
      <c r="BA791">
        <v>0</v>
      </c>
      <c r="BC791" t="s">
        <v>1673</v>
      </c>
      <c r="BD791" s="4">
        <v>43283.663194444445</v>
      </c>
      <c r="BE791" s="4">
        <v>43283.6643287037</v>
      </c>
      <c r="BF791" s="4">
        <v>43283.6643287037</v>
      </c>
      <c r="BG791" t="s">
        <v>83</v>
      </c>
      <c r="BH791" t="s">
        <v>84</v>
      </c>
      <c r="BI791" t="s">
        <v>85</v>
      </c>
    </row>
    <row r="792" spans="1:61" x14ac:dyDescent="0.3">
      <c r="A792" t="str">
        <f>"201783C0100"</f>
        <v>201783C0100</v>
      </c>
      <c r="B792" t="s">
        <v>1674</v>
      </c>
      <c r="C792">
        <v>20</v>
      </c>
      <c r="D792" t="s">
        <v>79</v>
      </c>
      <c r="E792">
        <v>4</v>
      </c>
      <c r="F792" t="s">
        <v>1317</v>
      </c>
      <c r="G792">
        <v>1783</v>
      </c>
      <c r="H792">
        <v>1</v>
      </c>
      <c r="I792" t="s">
        <v>89</v>
      </c>
      <c r="J792">
        <v>0</v>
      </c>
      <c r="K792">
        <v>2</v>
      </c>
      <c r="L792">
        <v>2</v>
      </c>
      <c r="M792">
        <v>184</v>
      </c>
      <c r="N792" t="s">
        <v>100</v>
      </c>
      <c r="O792" t="s">
        <v>100</v>
      </c>
      <c r="P792">
        <v>202</v>
      </c>
      <c r="Q792">
        <v>69</v>
      </c>
      <c r="R792">
        <v>55</v>
      </c>
      <c r="S792">
        <v>0</v>
      </c>
      <c r="T792">
        <v>0</v>
      </c>
      <c r="U792">
        <v>8</v>
      </c>
      <c r="V792">
        <v>1</v>
      </c>
      <c r="W792">
        <v>0</v>
      </c>
      <c r="X792">
        <v>1</v>
      </c>
      <c r="Y792">
        <v>52</v>
      </c>
      <c r="Z792">
        <v>0</v>
      </c>
      <c r="AA792">
        <v>16</v>
      </c>
      <c r="AC792" t="s">
        <v>100</v>
      </c>
      <c r="AD792" t="s">
        <v>100</v>
      </c>
      <c r="AE792" t="s">
        <v>100</v>
      </c>
      <c r="AF792" t="s">
        <v>100</v>
      </c>
      <c r="AG792" t="s">
        <v>100</v>
      </c>
      <c r="AH792" t="s">
        <v>100</v>
      </c>
      <c r="AI792" t="s">
        <v>100</v>
      </c>
      <c r="AJ792" t="s">
        <v>100</v>
      </c>
      <c r="AK792" t="s">
        <v>100</v>
      </c>
      <c r="AL792" t="s">
        <v>100</v>
      </c>
      <c r="AM792" t="s">
        <v>100</v>
      </c>
      <c r="AN792" t="s">
        <v>100</v>
      </c>
      <c r="AT792" t="s">
        <v>100</v>
      </c>
      <c r="AU792" t="s">
        <v>100</v>
      </c>
      <c r="AV792">
        <v>202</v>
      </c>
      <c r="AW792">
        <v>202</v>
      </c>
      <c r="AX792">
        <v>390</v>
      </c>
      <c r="AZ792" t="s">
        <v>101</v>
      </c>
      <c r="BA792">
        <v>1</v>
      </c>
      <c r="BC792" t="s">
        <v>1675</v>
      </c>
      <c r="BD792" s="4">
        <v>43283.564583333333</v>
      </c>
      <c r="BE792" s="4">
        <v>43283.567812499998</v>
      </c>
      <c r="BF792" s="4">
        <v>43283.567812499998</v>
      </c>
      <c r="BG792" t="s">
        <v>83</v>
      </c>
      <c r="BH792" t="s">
        <v>84</v>
      </c>
      <c r="BI792" t="s">
        <v>1331</v>
      </c>
    </row>
    <row r="793" spans="1:61" x14ac:dyDescent="0.3">
      <c r="A793" t="str">
        <f>"201783E0100"</f>
        <v>201783E0100</v>
      </c>
      <c r="B793" s="2" t="s">
        <v>1676</v>
      </c>
      <c r="C793">
        <v>20</v>
      </c>
      <c r="D793" t="s">
        <v>79</v>
      </c>
      <c r="E793">
        <v>4</v>
      </c>
      <c r="F793" t="s">
        <v>1317</v>
      </c>
      <c r="G793">
        <v>1783</v>
      </c>
      <c r="H793">
        <v>1</v>
      </c>
      <c r="I793" t="s">
        <v>145</v>
      </c>
      <c r="J793">
        <v>0</v>
      </c>
      <c r="K793">
        <v>2</v>
      </c>
      <c r="L793">
        <v>2</v>
      </c>
      <c r="M793">
        <v>102</v>
      </c>
      <c r="N793">
        <v>141</v>
      </c>
      <c r="O793">
        <v>0</v>
      </c>
      <c r="P793">
        <v>141</v>
      </c>
      <c r="Q793">
        <v>41</v>
      </c>
      <c r="R793">
        <v>44</v>
      </c>
      <c r="S793">
        <v>2</v>
      </c>
      <c r="T793">
        <v>0</v>
      </c>
      <c r="U793">
        <v>2</v>
      </c>
      <c r="V793">
        <v>0</v>
      </c>
      <c r="W793">
        <v>0</v>
      </c>
      <c r="X793">
        <v>2</v>
      </c>
      <c r="Y793">
        <v>38</v>
      </c>
      <c r="Z793">
        <v>0</v>
      </c>
      <c r="AA793">
        <v>0</v>
      </c>
      <c r="AC793">
        <v>0</v>
      </c>
      <c r="AD793">
        <v>2</v>
      </c>
      <c r="AE793">
        <v>0</v>
      </c>
      <c r="AF793">
        <v>0</v>
      </c>
      <c r="AG793">
        <v>0</v>
      </c>
      <c r="AH793">
        <v>2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T793">
        <v>0</v>
      </c>
      <c r="AU793">
        <v>8</v>
      </c>
      <c r="AV793">
        <v>141</v>
      </c>
      <c r="AW793">
        <v>141</v>
      </c>
      <c r="AX793">
        <v>221</v>
      </c>
      <c r="BA793">
        <v>1</v>
      </c>
      <c r="BC793" t="s">
        <v>1677</v>
      </c>
      <c r="BD793" s="4">
        <v>43283.568055555559</v>
      </c>
      <c r="BE793" s="4">
        <v>43283.574050925927</v>
      </c>
      <c r="BF793" s="4">
        <v>43283.574050925927</v>
      </c>
      <c r="BG793" t="s">
        <v>83</v>
      </c>
      <c r="BH793" t="s">
        <v>84</v>
      </c>
      <c r="BI793" t="s">
        <v>85</v>
      </c>
    </row>
    <row r="794" spans="1:61" x14ac:dyDescent="0.3">
      <c r="A794" t="str">
        <f>"201859B0100"</f>
        <v>201859B0100</v>
      </c>
      <c r="B794" t="s">
        <v>1678</v>
      </c>
      <c r="C794">
        <v>20</v>
      </c>
      <c r="D794" t="s">
        <v>79</v>
      </c>
      <c r="E794">
        <v>4</v>
      </c>
      <c r="F794" t="s">
        <v>1317</v>
      </c>
      <c r="G794">
        <v>1859</v>
      </c>
      <c r="H794">
        <v>1</v>
      </c>
      <c r="I794" t="s">
        <v>81</v>
      </c>
      <c r="J794">
        <v>0</v>
      </c>
      <c r="K794">
        <v>1</v>
      </c>
      <c r="L794">
        <v>2</v>
      </c>
      <c r="M794">
        <v>143</v>
      </c>
      <c r="N794">
        <v>262</v>
      </c>
      <c r="O794">
        <v>0</v>
      </c>
      <c r="P794">
        <v>262</v>
      </c>
      <c r="Q794">
        <v>8</v>
      </c>
      <c r="R794">
        <v>107</v>
      </c>
      <c r="S794">
        <v>11</v>
      </c>
      <c r="T794">
        <v>6</v>
      </c>
      <c r="U794">
        <v>8</v>
      </c>
      <c r="V794">
        <v>6</v>
      </c>
      <c r="W794">
        <v>3</v>
      </c>
      <c r="X794">
        <v>13</v>
      </c>
      <c r="Y794">
        <v>77</v>
      </c>
      <c r="Z794">
        <v>4</v>
      </c>
      <c r="AA794">
        <v>1</v>
      </c>
      <c r="AC794">
        <v>1</v>
      </c>
      <c r="AD794">
        <v>1</v>
      </c>
      <c r="AE794">
        <v>0</v>
      </c>
      <c r="AF794">
        <v>0</v>
      </c>
      <c r="AG794">
        <v>0</v>
      </c>
      <c r="AH794">
        <v>2</v>
      </c>
      <c r="AI794">
        <v>0</v>
      </c>
      <c r="AJ794">
        <v>0</v>
      </c>
      <c r="AK794">
        <v>0</v>
      </c>
      <c r="AL794">
        <v>2</v>
      </c>
      <c r="AM794">
        <v>0</v>
      </c>
      <c r="AN794">
        <v>0</v>
      </c>
      <c r="AT794">
        <v>0</v>
      </c>
      <c r="AU794">
        <v>12</v>
      </c>
      <c r="AV794">
        <v>262</v>
      </c>
      <c r="AW794">
        <v>262</v>
      </c>
      <c r="AX794">
        <v>383</v>
      </c>
      <c r="BA794">
        <v>1</v>
      </c>
      <c r="BC794" t="s">
        <v>1679</v>
      </c>
      <c r="BD794" s="4">
        <v>43283.118055555555</v>
      </c>
      <c r="BE794" s="4">
        <v>43283.125659722224</v>
      </c>
      <c r="BF794" s="4">
        <v>43283.125659722224</v>
      </c>
      <c r="BG794" t="s">
        <v>83</v>
      </c>
      <c r="BH794" t="s">
        <v>84</v>
      </c>
      <c r="BI794" t="s">
        <v>85</v>
      </c>
    </row>
    <row r="795" spans="1:61" x14ac:dyDescent="0.3">
      <c r="A795" t="str">
        <f>"201887B0100"</f>
        <v>201887B0100</v>
      </c>
      <c r="B795" t="s">
        <v>1680</v>
      </c>
      <c r="C795">
        <v>20</v>
      </c>
      <c r="D795" t="s">
        <v>79</v>
      </c>
      <c r="E795">
        <v>4</v>
      </c>
      <c r="F795" t="s">
        <v>1317</v>
      </c>
      <c r="G795">
        <v>1887</v>
      </c>
      <c r="H795">
        <v>1</v>
      </c>
      <c r="I795" t="s">
        <v>81</v>
      </c>
      <c r="J795">
        <v>0</v>
      </c>
      <c r="K795">
        <v>2</v>
      </c>
      <c r="L795">
        <v>2</v>
      </c>
      <c r="M795">
        <v>211</v>
      </c>
      <c r="N795">
        <v>344</v>
      </c>
      <c r="O795">
        <v>2</v>
      </c>
      <c r="P795">
        <v>344</v>
      </c>
      <c r="Q795">
        <v>7</v>
      </c>
      <c r="R795">
        <v>76</v>
      </c>
      <c r="S795">
        <v>18</v>
      </c>
      <c r="T795">
        <v>8</v>
      </c>
      <c r="U795">
        <v>21</v>
      </c>
      <c r="V795">
        <v>10</v>
      </c>
      <c r="W795">
        <v>22</v>
      </c>
      <c r="X795">
        <v>9</v>
      </c>
      <c r="Y795">
        <v>138</v>
      </c>
      <c r="Z795">
        <v>6</v>
      </c>
      <c r="AA795">
        <v>3</v>
      </c>
      <c r="AC795">
        <v>0</v>
      </c>
      <c r="AD795">
        <v>0</v>
      </c>
      <c r="AE795">
        <v>0</v>
      </c>
      <c r="AF795">
        <v>0</v>
      </c>
      <c r="AG795">
        <v>1</v>
      </c>
      <c r="AH795">
        <v>1</v>
      </c>
      <c r="AI795">
        <v>0</v>
      </c>
      <c r="AJ795">
        <v>0</v>
      </c>
      <c r="AK795">
        <v>1</v>
      </c>
      <c r="AL795">
        <v>1</v>
      </c>
      <c r="AM795">
        <v>0</v>
      </c>
      <c r="AN795">
        <v>0</v>
      </c>
      <c r="AT795">
        <v>0</v>
      </c>
      <c r="AU795">
        <v>22</v>
      </c>
      <c r="AV795">
        <v>344</v>
      </c>
      <c r="AW795">
        <v>344</v>
      </c>
      <c r="AX795">
        <v>533</v>
      </c>
      <c r="BA795">
        <v>1</v>
      </c>
      <c r="BC795" t="s">
        <v>1681</v>
      </c>
      <c r="BD795" s="4">
        <v>43283.34375</v>
      </c>
      <c r="BE795" s="4">
        <v>43283.360254629632</v>
      </c>
      <c r="BF795" s="4">
        <v>43283.360254629632</v>
      </c>
      <c r="BG795" t="s">
        <v>83</v>
      </c>
      <c r="BH795" t="s">
        <v>84</v>
      </c>
      <c r="BI795" t="s">
        <v>85</v>
      </c>
    </row>
    <row r="796" spans="1:61" x14ac:dyDescent="0.3">
      <c r="A796" t="str">
        <f>"201887C0100"</f>
        <v>201887C0100</v>
      </c>
      <c r="B796" t="s">
        <v>1682</v>
      </c>
      <c r="C796">
        <v>20</v>
      </c>
      <c r="D796" t="s">
        <v>79</v>
      </c>
      <c r="E796">
        <v>4</v>
      </c>
      <c r="F796" t="s">
        <v>1317</v>
      </c>
      <c r="G796">
        <v>1887</v>
      </c>
      <c r="H796">
        <v>1</v>
      </c>
      <c r="I796" t="s">
        <v>89</v>
      </c>
      <c r="J796">
        <v>0</v>
      </c>
      <c r="K796">
        <v>1</v>
      </c>
      <c r="L796">
        <v>2</v>
      </c>
      <c r="M796">
        <v>195</v>
      </c>
      <c r="N796">
        <v>360</v>
      </c>
      <c r="O796">
        <v>3</v>
      </c>
      <c r="P796">
        <v>360</v>
      </c>
      <c r="Q796">
        <v>11</v>
      </c>
      <c r="R796">
        <v>74</v>
      </c>
      <c r="S796">
        <v>13</v>
      </c>
      <c r="T796">
        <v>10</v>
      </c>
      <c r="U796">
        <v>25</v>
      </c>
      <c r="V796">
        <v>2</v>
      </c>
      <c r="W796">
        <v>19</v>
      </c>
      <c r="X796">
        <v>12</v>
      </c>
      <c r="Y796">
        <v>151</v>
      </c>
      <c r="Z796">
        <v>5</v>
      </c>
      <c r="AA796">
        <v>7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1</v>
      </c>
      <c r="AN796">
        <v>2</v>
      </c>
      <c r="AT796">
        <v>0</v>
      </c>
      <c r="AU796">
        <v>28</v>
      </c>
      <c r="AV796">
        <v>360</v>
      </c>
      <c r="AW796">
        <v>360</v>
      </c>
      <c r="AX796">
        <v>533</v>
      </c>
      <c r="BA796">
        <v>1</v>
      </c>
      <c r="BC796" t="s">
        <v>1683</v>
      </c>
      <c r="BD796" s="4">
        <v>43283.343055555553</v>
      </c>
      <c r="BE796" s="4">
        <v>43283.357349537036</v>
      </c>
      <c r="BF796" s="4">
        <v>43283.357349537036</v>
      </c>
      <c r="BG796" t="s">
        <v>83</v>
      </c>
      <c r="BH796" t="s">
        <v>84</v>
      </c>
      <c r="BI796" t="s">
        <v>85</v>
      </c>
    </row>
    <row r="797" spans="1:61" x14ac:dyDescent="0.3">
      <c r="A797" t="str">
        <f>"201887E0100"</f>
        <v>201887E0100</v>
      </c>
      <c r="B797" s="2" t="s">
        <v>1684</v>
      </c>
      <c r="C797">
        <v>20</v>
      </c>
      <c r="D797" t="s">
        <v>79</v>
      </c>
      <c r="E797">
        <v>4</v>
      </c>
      <c r="F797" t="s">
        <v>1317</v>
      </c>
      <c r="G797">
        <v>1887</v>
      </c>
      <c r="H797">
        <v>1</v>
      </c>
      <c r="I797" t="s">
        <v>145</v>
      </c>
      <c r="J797">
        <v>0</v>
      </c>
      <c r="K797">
        <v>2</v>
      </c>
      <c r="L797">
        <v>2</v>
      </c>
      <c r="M797">
        <v>120</v>
      </c>
      <c r="N797">
        <v>311</v>
      </c>
      <c r="O797">
        <v>0</v>
      </c>
      <c r="P797">
        <v>311</v>
      </c>
      <c r="Q797">
        <v>3</v>
      </c>
      <c r="R797">
        <v>34</v>
      </c>
      <c r="S797">
        <v>10</v>
      </c>
      <c r="T797">
        <v>4</v>
      </c>
      <c r="U797">
        <v>19</v>
      </c>
      <c r="V797">
        <v>8</v>
      </c>
      <c r="W797">
        <v>27</v>
      </c>
      <c r="X797">
        <v>10</v>
      </c>
      <c r="Y797">
        <v>125</v>
      </c>
      <c r="Z797">
        <v>7</v>
      </c>
      <c r="AA797">
        <v>33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7</v>
      </c>
      <c r="AL797">
        <v>1</v>
      </c>
      <c r="AM797">
        <v>0</v>
      </c>
      <c r="AN797">
        <v>1</v>
      </c>
      <c r="AT797">
        <v>0</v>
      </c>
      <c r="AU797">
        <v>22</v>
      </c>
      <c r="AV797">
        <v>311</v>
      </c>
      <c r="AW797">
        <v>311</v>
      </c>
      <c r="AX797">
        <v>409</v>
      </c>
      <c r="BA797">
        <v>1</v>
      </c>
      <c r="BC797" t="s">
        <v>1685</v>
      </c>
      <c r="BD797" s="4">
        <v>43283.343055555553</v>
      </c>
      <c r="BE797" s="4">
        <v>43283.35769675926</v>
      </c>
      <c r="BF797" s="4">
        <v>43283.35769675926</v>
      </c>
      <c r="BG797" t="s">
        <v>83</v>
      </c>
      <c r="BH797" t="s">
        <v>84</v>
      </c>
      <c r="BI797" t="s">
        <v>85</v>
      </c>
    </row>
    <row r="798" spans="1:61" x14ac:dyDescent="0.3">
      <c r="A798" t="str">
        <f>"201906B0100"</f>
        <v>201906B0100</v>
      </c>
      <c r="B798" t="s">
        <v>1686</v>
      </c>
      <c r="C798">
        <v>20</v>
      </c>
      <c r="D798" t="s">
        <v>79</v>
      </c>
      <c r="E798">
        <v>4</v>
      </c>
      <c r="F798" t="s">
        <v>1317</v>
      </c>
      <c r="G798">
        <v>1906</v>
      </c>
      <c r="H798">
        <v>1</v>
      </c>
      <c r="I798" t="s">
        <v>81</v>
      </c>
      <c r="J798">
        <v>0</v>
      </c>
      <c r="K798">
        <v>2</v>
      </c>
      <c r="L798">
        <v>2</v>
      </c>
      <c r="M798">
        <v>165</v>
      </c>
      <c r="N798">
        <v>571</v>
      </c>
      <c r="O798">
        <v>1</v>
      </c>
      <c r="P798">
        <v>571</v>
      </c>
      <c r="Q798">
        <v>2</v>
      </c>
      <c r="R798">
        <v>121</v>
      </c>
      <c r="S798">
        <v>6</v>
      </c>
      <c r="T798">
        <v>5</v>
      </c>
      <c r="U798">
        <v>5</v>
      </c>
      <c r="V798">
        <v>2</v>
      </c>
      <c r="W798">
        <v>1</v>
      </c>
      <c r="X798">
        <v>16</v>
      </c>
      <c r="Y798">
        <v>274</v>
      </c>
      <c r="Z798">
        <v>2</v>
      </c>
      <c r="AA798">
        <v>96</v>
      </c>
      <c r="AC798">
        <v>0</v>
      </c>
      <c r="AD798">
        <v>0</v>
      </c>
      <c r="AE798">
        <v>0</v>
      </c>
      <c r="AF798">
        <v>0</v>
      </c>
      <c r="AG798">
        <v>4</v>
      </c>
      <c r="AH798">
        <v>2</v>
      </c>
      <c r="AI798">
        <v>2</v>
      </c>
      <c r="AJ798">
        <v>0</v>
      </c>
      <c r="AK798">
        <v>2</v>
      </c>
      <c r="AL798">
        <v>0</v>
      </c>
      <c r="AM798">
        <v>0</v>
      </c>
      <c r="AN798">
        <v>1</v>
      </c>
      <c r="AT798">
        <v>0</v>
      </c>
      <c r="AU798">
        <v>30</v>
      </c>
      <c r="AV798">
        <v>571</v>
      </c>
      <c r="AW798">
        <v>571</v>
      </c>
      <c r="AX798">
        <v>714</v>
      </c>
      <c r="BA798">
        <v>1</v>
      </c>
      <c r="BC798" t="s">
        <v>1687</v>
      </c>
      <c r="BD798" s="4">
        <v>43283.231944444444</v>
      </c>
      <c r="BE798" s="4">
        <v>43283.254143518519</v>
      </c>
      <c r="BF798" s="4">
        <v>43283.254143518519</v>
      </c>
      <c r="BG798" t="s">
        <v>83</v>
      </c>
      <c r="BH798" t="s">
        <v>84</v>
      </c>
      <c r="BI798" t="s">
        <v>85</v>
      </c>
    </row>
    <row r="799" spans="1:61" x14ac:dyDescent="0.3">
      <c r="A799" t="str">
        <f>"201906C0100"</f>
        <v>201906C0100</v>
      </c>
      <c r="B799" t="s">
        <v>1688</v>
      </c>
      <c r="C799">
        <v>20</v>
      </c>
      <c r="D799" t="s">
        <v>79</v>
      </c>
      <c r="E799">
        <v>4</v>
      </c>
      <c r="F799" t="s">
        <v>1317</v>
      </c>
      <c r="G799">
        <v>1906</v>
      </c>
      <c r="H799">
        <v>1</v>
      </c>
      <c r="I799" t="s">
        <v>89</v>
      </c>
      <c r="J799">
        <v>0</v>
      </c>
      <c r="K799">
        <v>2</v>
      </c>
      <c r="L799">
        <v>2</v>
      </c>
      <c r="M799">
        <v>171</v>
      </c>
      <c r="N799">
        <v>735</v>
      </c>
      <c r="O799">
        <v>2</v>
      </c>
      <c r="P799">
        <v>564</v>
      </c>
      <c r="Q799">
        <v>2</v>
      </c>
      <c r="R799">
        <v>153</v>
      </c>
      <c r="S799">
        <v>11</v>
      </c>
      <c r="T799">
        <v>10</v>
      </c>
      <c r="U799">
        <v>3</v>
      </c>
      <c r="V799">
        <v>2</v>
      </c>
      <c r="W799">
        <v>2</v>
      </c>
      <c r="X799">
        <v>8</v>
      </c>
      <c r="Y799">
        <v>241</v>
      </c>
      <c r="Z799">
        <v>0</v>
      </c>
      <c r="AA799">
        <v>86</v>
      </c>
      <c r="AC799">
        <v>0</v>
      </c>
      <c r="AD799">
        <v>0</v>
      </c>
      <c r="AE799">
        <v>0</v>
      </c>
      <c r="AF799">
        <v>0</v>
      </c>
      <c r="AG799">
        <v>7</v>
      </c>
      <c r="AH799">
        <v>4</v>
      </c>
      <c r="AI799">
        <v>1</v>
      </c>
      <c r="AJ799">
        <v>0</v>
      </c>
      <c r="AK799">
        <v>0</v>
      </c>
      <c r="AL799">
        <v>0</v>
      </c>
      <c r="AM799">
        <v>1</v>
      </c>
      <c r="AN799">
        <v>0</v>
      </c>
      <c r="AT799">
        <v>0</v>
      </c>
      <c r="AU799">
        <v>33</v>
      </c>
      <c r="AV799" t="s">
        <v>100</v>
      </c>
      <c r="AW799">
        <v>564</v>
      </c>
      <c r="AX799">
        <v>713</v>
      </c>
      <c r="BA799">
        <v>1</v>
      </c>
      <c r="BC799" t="s">
        <v>1689</v>
      </c>
      <c r="BD799" s="4">
        <v>43283.230555555558</v>
      </c>
      <c r="BE799" s="4">
        <v>43283.254675925928</v>
      </c>
      <c r="BF799" s="4">
        <v>43283.254675925928</v>
      </c>
      <c r="BG799" t="s">
        <v>83</v>
      </c>
      <c r="BH799" t="s">
        <v>84</v>
      </c>
      <c r="BI799" t="s">
        <v>548</v>
      </c>
    </row>
    <row r="800" spans="1:61" x14ac:dyDescent="0.3">
      <c r="A800" t="str">
        <f>"201909B0100"</f>
        <v>201909B0100</v>
      </c>
      <c r="B800" t="s">
        <v>1690</v>
      </c>
      <c r="C800">
        <v>20</v>
      </c>
      <c r="D800" t="s">
        <v>79</v>
      </c>
      <c r="E800">
        <v>4</v>
      </c>
      <c r="F800" t="s">
        <v>1317</v>
      </c>
      <c r="G800">
        <v>1909</v>
      </c>
      <c r="H800">
        <v>1</v>
      </c>
      <c r="I800" t="s">
        <v>81</v>
      </c>
      <c r="J800">
        <v>0</v>
      </c>
      <c r="K800">
        <v>2</v>
      </c>
      <c r="L800">
        <v>2</v>
      </c>
      <c r="AX800">
        <v>739</v>
      </c>
      <c r="AZ800" t="s">
        <v>156</v>
      </c>
      <c r="BA800">
        <v>0</v>
      </c>
      <c r="BC800" t="s">
        <v>1691</v>
      </c>
      <c r="BD800" s="4">
        <v>43283.631249999999</v>
      </c>
      <c r="BE800" s="4">
        <v>43283.633587962962</v>
      </c>
      <c r="BF800" s="4">
        <v>43283.633587962962</v>
      </c>
      <c r="BG800" t="s">
        <v>83</v>
      </c>
      <c r="BH800" t="s">
        <v>84</v>
      </c>
      <c r="BI800" t="s">
        <v>85</v>
      </c>
    </row>
    <row r="801" spans="1:61" x14ac:dyDescent="0.3">
      <c r="A801" t="str">
        <f>"201909C0100"</f>
        <v>201909C0100</v>
      </c>
      <c r="B801" t="s">
        <v>1692</v>
      </c>
      <c r="C801">
        <v>20</v>
      </c>
      <c r="D801" t="s">
        <v>79</v>
      </c>
      <c r="E801">
        <v>4</v>
      </c>
      <c r="F801" t="s">
        <v>1317</v>
      </c>
      <c r="G801">
        <v>1909</v>
      </c>
      <c r="H801">
        <v>1</v>
      </c>
      <c r="I801" t="s">
        <v>89</v>
      </c>
      <c r="J801">
        <v>0</v>
      </c>
      <c r="K801">
        <v>2</v>
      </c>
      <c r="L801">
        <v>2</v>
      </c>
      <c r="M801">
        <v>247</v>
      </c>
      <c r="N801">
        <v>514</v>
      </c>
      <c r="O801">
        <v>0</v>
      </c>
      <c r="P801">
        <v>514</v>
      </c>
      <c r="Q801">
        <v>6</v>
      </c>
      <c r="R801">
        <v>232</v>
      </c>
      <c r="S801">
        <v>5</v>
      </c>
      <c r="T801">
        <v>1</v>
      </c>
      <c r="U801">
        <v>6</v>
      </c>
      <c r="V801">
        <v>5</v>
      </c>
      <c r="W801">
        <v>0</v>
      </c>
      <c r="X801">
        <v>8</v>
      </c>
      <c r="Y801">
        <v>211</v>
      </c>
      <c r="Z801">
        <v>3</v>
      </c>
      <c r="AA801">
        <v>0</v>
      </c>
      <c r="AC801">
        <v>0</v>
      </c>
      <c r="AD801">
        <v>0</v>
      </c>
      <c r="AE801">
        <v>0</v>
      </c>
      <c r="AF801">
        <v>0</v>
      </c>
      <c r="AG801">
        <v>8</v>
      </c>
      <c r="AH801">
        <v>1</v>
      </c>
      <c r="AI801">
        <v>1</v>
      </c>
      <c r="AJ801">
        <v>0</v>
      </c>
      <c r="AK801">
        <v>5</v>
      </c>
      <c r="AL801">
        <v>2</v>
      </c>
      <c r="AM801">
        <v>0</v>
      </c>
      <c r="AN801">
        <v>2</v>
      </c>
      <c r="AT801">
        <v>0</v>
      </c>
      <c r="AU801">
        <v>18</v>
      </c>
      <c r="AV801">
        <v>514</v>
      </c>
      <c r="AW801">
        <v>514</v>
      </c>
      <c r="AX801">
        <v>739</v>
      </c>
      <c r="BA801">
        <v>1</v>
      </c>
      <c r="BC801" t="s">
        <v>1693</v>
      </c>
      <c r="BD801" s="4">
        <v>43283.340277777781</v>
      </c>
      <c r="BE801" s="4">
        <v>43283.356504629628</v>
      </c>
      <c r="BF801" s="4">
        <v>43283.356504629628</v>
      </c>
      <c r="BG801" t="s">
        <v>83</v>
      </c>
      <c r="BH801" t="s">
        <v>84</v>
      </c>
      <c r="BI801" t="s">
        <v>85</v>
      </c>
    </row>
    <row r="802" spans="1:61" x14ac:dyDescent="0.3">
      <c r="A802" t="str">
        <f>"201910B0100"</f>
        <v>201910B0100</v>
      </c>
      <c r="B802" t="s">
        <v>1694</v>
      </c>
      <c r="C802">
        <v>20</v>
      </c>
      <c r="D802" t="s">
        <v>79</v>
      </c>
      <c r="E802">
        <v>4</v>
      </c>
      <c r="F802" t="s">
        <v>1317</v>
      </c>
      <c r="G802">
        <v>1910</v>
      </c>
      <c r="H802">
        <v>1</v>
      </c>
      <c r="I802" t="s">
        <v>81</v>
      </c>
      <c r="J802">
        <v>0</v>
      </c>
      <c r="K802">
        <v>2</v>
      </c>
      <c r="L802">
        <v>2</v>
      </c>
      <c r="M802">
        <v>167</v>
      </c>
      <c r="N802">
        <v>264</v>
      </c>
      <c r="O802">
        <v>8</v>
      </c>
      <c r="P802">
        <v>264</v>
      </c>
      <c r="Q802">
        <v>1</v>
      </c>
      <c r="R802">
        <v>127</v>
      </c>
      <c r="S802">
        <v>3</v>
      </c>
      <c r="T802">
        <v>1</v>
      </c>
      <c r="U802">
        <v>9</v>
      </c>
      <c r="V802">
        <v>1</v>
      </c>
      <c r="W802">
        <v>12</v>
      </c>
      <c r="X802">
        <v>3</v>
      </c>
      <c r="Y802">
        <v>80</v>
      </c>
      <c r="Z802">
        <v>1</v>
      </c>
      <c r="AA802">
        <v>0</v>
      </c>
      <c r="AC802">
        <v>1</v>
      </c>
      <c r="AD802">
        <v>1</v>
      </c>
      <c r="AE802">
        <v>0</v>
      </c>
      <c r="AF802">
        <v>0</v>
      </c>
      <c r="AG802">
        <v>0</v>
      </c>
      <c r="AH802">
        <v>2</v>
      </c>
      <c r="AI802">
        <v>2</v>
      </c>
      <c r="AJ802">
        <v>0</v>
      </c>
      <c r="AK802">
        <v>2</v>
      </c>
      <c r="AL802">
        <v>0</v>
      </c>
      <c r="AM802">
        <v>0</v>
      </c>
      <c r="AN802">
        <v>0</v>
      </c>
      <c r="AT802">
        <v>0</v>
      </c>
      <c r="AU802">
        <v>18</v>
      </c>
      <c r="AV802">
        <v>264</v>
      </c>
      <c r="AW802">
        <v>264</v>
      </c>
      <c r="AX802">
        <v>409</v>
      </c>
      <c r="BA802">
        <v>1</v>
      </c>
      <c r="BC802" t="s">
        <v>1695</v>
      </c>
      <c r="BD802" s="4">
        <v>43283.340277777781</v>
      </c>
      <c r="BE802" s="4">
        <v>43283.35701388889</v>
      </c>
      <c r="BF802" s="4">
        <v>43283.35701388889</v>
      </c>
      <c r="BG802" t="s">
        <v>83</v>
      </c>
      <c r="BH802" t="s">
        <v>84</v>
      </c>
      <c r="BI802" t="s">
        <v>85</v>
      </c>
    </row>
    <row r="803" spans="1:61" x14ac:dyDescent="0.3">
      <c r="A803" t="str">
        <f>"201910C0100"</f>
        <v>201910C0100</v>
      </c>
      <c r="B803" t="s">
        <v>1696</v>
      </c>
      <c r="C803">
        <v>20</v>
      </c>
      <c r="D803" t="s">
        <v>79</v>
      </c>
      <c r="E803">
        <v>4</v>
      </c>
      <c r="F803" t="s">
        <v>1317</v>
      </c>
      <c r="G803">
        <v>1910</v>
      </c>
      <c r="H803">
        <v>1</v>
      </c>
      <c r="I803" t="s">
        <v>89</v>
      </c>
      <c r="J803">
        <v>0</v>
      </c>
      <c r="K803">
        <v>2</v>
      </c>
      <c r="L803">
        <v>2</v>
      </c>
      <c r="M803">
        <v>160</v>
      </c>
      <c r="N803">
        <v>270</v>
      </c>
      <c r="O803">
        <v>2</v>
      </c>
      <c r="P803">
        <v>270</v>
      </c>
      <c r="Q803" t="s">
        <v>100</v>
      </c>
      <c r="R803">
        <v>104</v>
      </c>
      <c r="S803">
        <v>2</v>
      </c>
      <c r="T803">
        <v>4</v>
      </c>
      <c r="U803">
        <v>5</v>
      </c>
      <c r="V803">
        <v>1</v>
      </c>
      <c r="W803">
        <v>19</v>
      </c>
      <c r="X803">
        <v>6</v>
      </c>
      <c r="Y803">
        <v>103</v>
      </c>
      <c r="Z803">
        <v>5</v>
      </c>
      <c r="AA803" t="s">
        <v>100</v>
      </c>
      <c r="AC803" t="s">
        <v>100</v>
      </c>
      <c r="AD803" t="s">
        <v>100</v>
      </c>
      <c r="AE803" t="s">
        <v>100</v>
      </c>
      <c r="AF803" t="s">
        <v>100</v>
      </c>
      <c r="AG803" t="s">
        <v>100</v>
      </c>
      <c r="AH803" t="s">
        <v>100</v>
      </c>
      <c r="AI803" t="s">
        <v>100</v>
      </c>
      <c r="AJ803" t="s">
        <v>100</v>
      </c>
      <c r="AK803">
        <v>2</v>
      </c>
      <c r="AL803" t="s">
        <v>100</v>
      </c>
      <c r="AM803" t="s">
        <v>100</v>
      </c>
      <c r="AN803" t="s">
        <v>100</v>
      </c>
      <c r="AT803" t="s">
        <v>100</v>
      </c>
      <c r="AU803" t="s">
        <v>100</v>
      </c>
      <c r="AV803">
        <v>270</v>
      </c>
      <c r="AW803">
        <v>251</v>
      </c>
      <c r="AX803">
        <v>408</v>
      </c>
      <c r="AZ803" t="s">
        <v>101</v>
      </c>
      <c r="BA803">
        <v>1</v>
      </c>
      <c r="BC803" t="s">
        <v>1697</v>
      </c>
      <c r="BD803" s="4">
        <v>43283.340277777781</v>
      </c>
      <c r="BE803" s="4">
        <v>43283.354826388888</v>
      </c>
      <c r="BF803" s="4">
        <v>43283.354826388888</v>
      </c>
      <c r="BG803" t="s">
        <v>83</v>
      </c>
      <c r="BH803" t="s">
        <v>84</v>
      </c>
      <c r="BI803" t="s">
        <v>85</v>
      </c>
    </row>
    <row r="804" spans="1:61" x14ac:dyDescent="0.3">
      <c r="A804" t="str">
        <f>"201910E0100"</f>
        <v>201910E0100</v>
      </c>
      <c r="B804" s="2" t="s">
        <v>1698</v>
      </c>
      <c r="C804">
        <v>20</v>
      </c>
      <c r="D804" t="s">
        <v>79</v>
      </c>
      <c r="E804">
        <v>4</v>
      </c>
      <c r="F804" t="s">
        <v>1317</v>
      </c>
      <c r="G804">
        <v>1910</v>
      </c>
      <c r="H804">
        <v>1</v>
      </c>
      <c r="I804" t="s">
        <v>145</v>
      </c>
      <c r="J804">
        <v>0</v>
      </c>
      <c r="K804">
        <v>2</v>
      </c>
      <c r="L804">
        <v>2</v>
      </c>
      <c r="M804">
        <v>134</v>
      </c>
      <c r="N804">
        <v>249</v>
      </c>
      <c r="O804">
        <v>7</v>
      </c>
      <c r="P804">
        <v>249</v>
      </c>
      <c r="Q804">
        <v>2</v>
      </c>
      <c r="R804">
        <v>142</v>
      </c>
      <c r="S804">
        <v>2</v>
      </c>
      <c r="T804">
        <v>5</v>
      </c>
      <c r="U804">
        <v>5</v>
      </c>
      <c r="V804">
        <v>1</v>
      </c>
      <c r="W804">
        <v>5</v>
      </c>
      <c r="X804">
        <v>2</v>
      </c>
      <c r="Y804">
        <v>68</v>
      </c>
      <c r="Z804">
        <v>6</v>
      </c>
      <c r="AA804">
        <v>0</v>
      </c>
      <c r="AC804">
        <v>0</v>
      </c>
      <c r="AD804">
        <v>0</v>
      </c>
      <c r="AE804">
        <v>0</v>
      </c>
      <c r="AF804">
        <v>0</v>
      </c>
      <c r="AG804">
        <v>3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T804">
        <v>0</v>
      </c>
      <c r="AU804">
        <v>10</v>
      </c>
      <c r="AV804" t="s">
        <v>100</v>
      </c>
      <c r="AW804">
        <v>251</v>
      </c>
      <c r="AX804">
        <v>361</v>
      </c>
      <c r="BA804">
        <v>1</v>
      </c>
      <c r="BC804" t="s">
        <v>1699</v>
      </c>
      <c r="BD804" s="4">
        <v>43283.303472222222</v>
      </c>
      <c r="BE804" s="4">
        <v>43283.327731481484</v>
      </c>
      <c r="BF804" s="4">
        <v>43283.327731481484</v>
      </c>
      <c r="BG804" t="s">
        <v>83</v>
      </c>
      <c r="BH804" t="s">
        <v>84</v>
      </c>
      <c r="BI804" t="s">
        <v>548</v>
      </c>
    </row>
    <row r="805" spans="1:61" x14ac:dyDescent="0.3">
      <c r="A805" t="str">
        <f>"201910E0200"</f>
        <v>201910E0200</v>
      </c>
      <c r="B805" s="2" t="s">
        <v>1700</v>
      </c>
      <c r="C805">
        <v>20</v>
      </c>
      <c r="D805" t="s">
        <v>79</v>
      </c>
      <c r="E805">
        <v>4</v>
      </c>
      <c r="F805" t="s">
        <v>1317</v>
      </c>
      <c r="G805">
        <v>1910</v>
      </c>
      <c r="H805">
        <v>2</v>
      </c>
      <c r="I805" t="s">
        <v>145</v>
      </c>
      <c r="J805">
        <v>0</v>
      </c>
      <c r="K805">
        <v>2</v>
      </c>
      <c r="L805">
        <v>2</v>
      </c>
      <c r="M805">
        <v>148</v>
      </c>
      <c r="N805">
        <v>204</v>
      </c>
      <c r="O805">
        <v>1</v>
      </c>
      <c r="P805">
        <v>204</v>
      </c>
      <c r="Q805">
        <v>1</v>
      </c>
      <c r="R805">
        <v>88</v>
      </c>
      <c r="S805">
        <v>0</v>
      </c>
      <c r="T805">
        <v>1</v>
      </c>
      <c r="U805">
        <v>3</v>
      </c>
      <c r="V805">
        <v>5</v>
      </c>
      <c r="W805">
        <v>1</v>
      </c>
      <c r="X805">
        <v>1</v>
      </c>
      <c r="Y805">
        <v>83</v>
      </c>
      <c r="Z805">
        <v>1</v>
      </c>
      <c r="AA805">
        <v>0</v>
      </c>
      <c r="AC805">
        <v>0</v>
      </c>
      <c r="AD805">
        <v>0</v>
      </c>
      <c r="AE805">
        <v>0</v>
      </c>
      <c r="AF805">
        <v>0</v>
      </c>
      <c r="AG805">
        <v>5</v>
      </c>
      <c r="AH805">
        <v>1</v>
      </c>
      <c r="AI805">
        <v>0</v>
      </c>
      <c r="AJ805">
        <v>0</v>
      </c>
      <c r="AK805">
        <v>1</v>
      </c>
      <c r="AL805">
        <v>0</v>
      </c>
      <c r="AM805">
        <v>0</v>
      </c>
      <c r="AN805">
        <v>1</v>
      </c>
      <c r="AT805">
        <v>0</v>
      </c>
      <c r="AU805">
        <v>12</v>
      </c>
      <c r="AV805">
        <v>204</v>
      </c>
      <c r="AW805">
        <v>204</v>
      </c>
      <c r="AX805">
        <v>330</v>
      </c>
      <c r="BA805">
        <v>1</v>
      </c>
      <c r="BC805" t="s">
        <v>1701</v>
      </c>
      <c r="BD805" s="4">
        <v>43283.310416666667</v>
      </c>
      <c r="BE805" s="4">
        <v>43283.337233796294</v>
      </c>
      <c r="BF805" s="4">
        <v>43283.337233796294</v>
      </c>
      <c r="BG805" t="s">
        <v>83</v>
      </c>
      <c r="BH805" t="s">
        <v>84</v>
      </c>
      <c r="BI805" t="s">
        <v>548</v>
      </c>
    </row>
    <row r="806" spans="1:61" x14ac:dyDescent="0.3">
      <c r="A806" t="str">
        <f>"201913B0100"</f>
        <v>201913B0100</v>
      </c>
      <c r="B806" t="s">
        <v>1702</v>
      </c>
      <c r="C806">
        <v>20</v>
      </c>
      <c r="D806" t="s">
        <v>79</v>
      </c>
      <c r="E806">
        <v>4</v>
      </c>
      <c r="F806" t="s">
        <v>1317</v>
      </c>
      <c r="G806">
        <v>1913</v>
      </c>
      <c r="H806">
        <v>1</v>
      </c>
      <c r="I806" t="s">
        <v>81</v>
      </c>
      <c r="J806">
        <v>0</v>
      </c>
      <c r="K806">
        <v>1</v>
      </c>
      <c r="L806">
        <v>2</v>
      </c>
      <c r="M806">
        <v>127</v>
      </c>
      <c r="N806">
        <v>273</v>
      </c>
      <c r="O806">
        <v>0</v>
      </c>
      <c r="P806">
        <v>273</v>
      </c>
      <c r="Q806">
        <v>0</v>
      </c>
      <c r="R806">
        <v>125</v>
      </c>
      <c r="S806">
        <v>106</v>
      </c>
      <c r="T806">
        <v>0</v>
      </c>
      <c r="U806">
        <v>0</v>
      </c>
      <c r="V806">
        <v>0</v>
      </c>
      <c r="W806">
        <v>1</v>
      </c>
      <c r="X806">
        <v>0</v>
      </c>
      <c r="Y806">
        <v>31</v>
      </c>
      <c r="Z806">
        <v>0</v>
      </c>
      <c r="AA806">
        <v>1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T806">
        <v>0</v>
      </c>
      <c r="AU806">
        <v>9</v>
      </c>
      <c r="AV806" t="s">
        <v>100</v>
      </c>
      <c r="AW806">
        <v>273</v>
      </c>
      <c r="AX806">
        <v>378</v>
      </c>
      <c r="BA806">
        <v>1</v>
      </c>
      <c r="BC806" t="s">
        <v>1703</v>
      </c>
      <c r="BD806" s="4">
        <v>43283.098761574074</v>
      </c>
      <c r="BE806" s="4">
        <v>43283.102303240739</v>
      </c>
      <c r="BF806" s="4">
        <v>43283.102303240739</v>
      </c>
      <c r="BG806" t="s">
        <v>373</v>
      </c>
      <c r="BH806" t="s">
        <v>374</v>
      </c>
      <c r="BI806" t="s">
        <v>85</v>
      </c>
    </row>
    <row r="807" spans="1:61" x14ac:dyDescent="0.3">
      <c r="A807" t="str">
        <f>"201913C0100"</f>
        <v>201913C0100</v>
      </c>
      <c r="B807" t="s">
        <v>1704</v>
      </c>
      <c r="C807">
        <v>20</v>
      </c>
      <c r="D807" t="s">
        <v>79</v>
      </c>
      <c r="E807">
        <v>4</v>
      </c>
      <c r="F807" t="s">
        <v>1317</v>
      </c>
      <c r="G807">
        <v>1913</v>
      </c>
      <c r="H807">
        <v>1</v>
      </c>
      <c r="I807" t="s">
        <v>89</v>
      </c>
      <c r="J807">
        <v>0</v>
      </c>
      <c r="K807">
        <v>2</v>
      </c>
      <c r="L807">
        <v>2</v>
      </c>
      <c r="M807">
        <v>112</v>
      </c>
      <c r="N807">
        <v>288</v>
      </c>
      <c r="O807">
        <v>0</v>
      </c>
      <c r="P807">
        <v>288</v>
      </c>
      <c r="Q807" t="s">
        <v>100</v>
      </c>
      <c r="R807">
        <v>127</v>
      </c>
      <c r="S807">
        <v>115</v>
      </c>
      <c r="T807" t="s">
        <v>100</v>
      </c>
      <c r="U807">
        <v>2</v>
      </c>
      <c r="V807">
        <v>3</v>
      </c>
      <c r="W807" t="s">
        <v>100</v>
      </c>
      <c r="X807" t="s">
        <v>100</v>
      </c>
      <c r="Y807">
        <v>29</v>
      </c>
      <c r="Z807" t="s">
        <v>100</v>
      </c>
      <c r="AA807">
        <v>2</v>
      </c>
      <c r="AC807" t="s">
        <v>100</v>
      </c>
      <c r="AD807" t="s">
        <v>100</v>
      </c>
      <c r="AE807" t="s">
        <v>100</v>
      </c>
      <c r="AF807" t="s">
        <v>100</v>
      </c>
      <c r="AG807" t="s">
        <v>100</v>
      </c>
      <c r="AH807" t="s">
        <v>100</v>
      </c>
      <c r="AI807" t="s">
        <v>100</v>
      </c>
      <c r="AJ807" t="s">
        <v>100</v>
      </c>
      <c r="AK807">
        <v>1</v>
      </c>
      <c r="AL807" t="s">
        <v>100</v>
      </c>
      <c r="AM807" t="s">
        <v>100</v>
      </c>
      <c r="AN807" t="s">
        <v>100</v>
      </c>
      <c r="AT807" t="s">
        <v>100</v>
      </c>
      <c r="AU807">
        <v>9</v>
      </c>
      <c r="AV807">
        <v>288</v>
      </c>
      <c r="AW807">
        <v>288</v>
      </c>
      <c r="AX807">
        <v>378</v>
      </c>
      <c r="AZ807" t="s">
        <v>101</v>
      </c>
      <c r="BA807">
        <v>1</v>
      </c>
      <c r="BC807" t="s">
        <v>1705</v>
      </c>
      <c r="BD807" s="4">
        <v>43283.098923611113</v>
      </c>
      <c r="BE807" s="4">
        <v>43283.102743055555</v>
      </c>
      <c r="BF807" s="4">
        <v>43283.102743055555</v>
      </c>
      <c r="BG807" t="s">
        <v>373</v>
      </c>
      <c r="BH807" t="s">
        <v>374</v>
      </c>
      <c r="BI807" t="s">
        <v>85</v>
      </c>
    </row>
    <row r="808" spans="1:61" x14ac:dyDescent="0.3">
      <c r="A808" t="str">
        <f>"201918B0100"</f>
        <v>201918B0100</v>
      </c>
      <c r="B808" t="s">
        <v>1706</v>
      </c>
      <c r="C808">
        <v>20</v>
      </c>
      <c r="D808" t="s">
        <v>79</v>
      </c>
      <c r="E808">
        <v>4</v>
      </c>
      <c r="F808" t="s">
        <v>1317</v>
      </c>
      <c r="G808">
        <v>1918</v>
      </c>
      <c r="H808">
        <v>1</v>
      </c>
      <c r="I808" t="s">
        <v>81</v>
      </c>
      <c r="J808">
        <v>0</v>
      </c>
      <c r="K808">
        <v>2</v>
      </c>
      <c r="L808">
        <v>2</v>
      </c>
      <c r="M808">
        <v>160</v>
      </c>
      <c r="N808">
        <v>471</v>
      </c>
      <c r="O808">
        <v>0</v>
      </c>
      <c r="P808">
        <v>311</v>
      </c>
      <c r="Q808">
        <v>9</v>
      </c>
      <c r="R808">
        <v>49</v>
      </c>
      <c r="S808">
        <v>6</v>
      </c>
      <c r="T808">
        <v>4</v>
      </c>
      <c r="U808">
        <v>12</v>
      </c>
      <c r="V808">
        <v>10</v>
      </c>
      <c r="W808">
        <v>3</v>
      </c>
      <c r="X808">
        <v>15</v>
      </c>
      <c r="Y808">
        <v>140</v>
      </c>
      <c r="Z808">
        <v>2</v>
      </c>
      <c r="AA808">
        <v>2</v>
      </c>
      <c r="AC808">
        <v>0</v>
      </c>
      <c r="AD808">
        <v>0</v>
      </c>
      <c r="AE808">
        <v>0</v>
      </c>
      <c r="AF808">
        <v>0</v>
      </c>
      <c r="AG808">
        <v>12</v>
      </c>
      <c r="AH808">
        <v>3</v>
      </c>
      <c r="AI808">
        <v>5</v>
      </c>
      <c r="AJ808">
        <v>0</v>
      </c>
      <c r="AK808">
        <v>8</v>
      </c>
      <c r="AL808">
        <v>6</v>
      </c>
      <c r="AM808">
        <v>0</v>
      </c>
      <c r="AN808">
        <v>2</v>
      </c>
      <c r="AT808" t="s">
        <v>100</v>
      </c>
      <c r="AU808">
        <v>23</v>
      </c>
      <c r="AV808">
        <v>311</v>
      </c>
      <c r="AW808">
        <v>311</v>
      </c>
      <c r="AX808">
        <v>449</v>
      </c>
      <c r="AZ808" t="s">
        <v>101</v>
      </c>
      <c r="BA808">
        <v>1</v>
      </c>
      <c r="BC808" t="s">
        <v>1707</v>
      </c>
      <c r="BD808" s="4">
        <v>43283.418749999997</v>
      </c>
      <c r="BE808" s="4">
        <v>43283.426689814813</v>
      </c>
      <c r="BF808" s="4">
        <v>43283.426689814813</v>
      </c>
      <c r="BG808" t="s">
        <v>83</v>
      </c>
      <c r="BH808" t="s">
        <v>84</v>
      </c>
      <c r="BI808" t="s">
        <v>548</v>
      </c>
    </row>
    <row r="809" spans="1:61" x14ac:dyDescent="0.3">
      <c r="A809" t="str">
        <f>"201918C0100"</f>
        <v>201918C0100</v>
      </c>
      <c r="B809" t="s">
        <v>1708</v>
      </c>
      <c r="C809">
        <v>20</v>
      </c>
      <c r="D809" t="s">
        <v>79</v>
      </c>
      <c r="E809">
        <v>4</v>
      </c>
      <c r="F809" t="s">
        <v>1317</v>
      </c>
      <c r="G809">
        <v>1918</v>
      </c>
      <c r="H809">
        <v>1</v>
      </c>
      <c r="I809" t="s">
        <v>89</v>
      </c>
      <c r="J809">
        <v>0</v>
      </c>
      <c r="K809">
        <v>2</v>
      </c>
      <c r="L809">
        <v>2</v>
      </c>
      <c r="M809">
        <v>185</v>
      </c>
      <c r="N809" t="s">
        <v>100</v>
      </c>
      <c r="O809">
        <v>0</v>
      </c>
      <c r="P809">
        <v>285</v>
      </c>
      <c r="Q809">
        <v>5</v>
      </c>
      <c r="R809">
        <v>26</v>
      </c>
      <c r="S809">
        <v>5</v>
      </c>
      <c r="T809">
        <v>6</v>
      </c>
      <c r="U809">
        <v>14</v>
      </c>
      <c r="V809">
        <v>4</v>
      </c>
      <c r="W809">
        <v>2</v>
      </c>
      <c r="X809">
        <v>17</v>
      </c>
      <c r="Y809">
        <v>155</v>
      </c>
      <c r="Z809">
        <v>5</v>
      </c>
      <c r="AA809">
        <v>1</v>
      </c>
      <c r="AC809">
        <v>0</v>
      </c>
      <c r="AD809">
        <v>0</v>
      </c>
      <c r="AE809">
        <v>0</v>
      </c>
      <c r="AF809">
        <v>0</v>
      </c>
      <c r="AG809">
        <v>13</v>
      </c>
      <c r="AH809">
        <v>2</v>
      </c>
      <c r="AI809">
        <v>1</v>
      </c>
      <c r="AJ809">
        <v>0</v>
      </c>
      <c r="AK809">
        <v>3</v>
      </c>
      <c r="AL809">
        <v>1</v>
      </c>
      <c r="AM809">
        <v>0</v>
      </c>
      <c r="AN809">
        <v>3</v>
      </c>
      <c r="AT809">
        <v>0</v>
      </c>
      <c r="AU809">
        <v>22</v>
      </c>
      <c r="AV809">
        <v>285</v>
      </c>
      <c r="AW809">
        <v>285</v>
      </c>
      <c r="AX809">
        <v>448</v>
      </c>
      <c r="BA809">
        <v>1</v>
      </c>
      <c r="BC809" t="s">
        <v>1709</v>
      </c>
      <c r="BD809" s="4">
        <v>43283.423611111109</v>
      </c>
      <c r="BE809" s="4">
        <v>43283.431134259263</v>
      </c>
      <c r="BF809" s="4">
        <v>43283.431134259263</v>
      </c>
      <c r="BG809" t="s">
        <v>83</v>
      </c>
      <c r="BH809" t="s">
        <v>84</v>
      </c>
      <c r="BI809" t="s">
        <v>85</v>
      </c>
    </row>
    <row r="810" spans="1:61" x14ac:dyDescent="0.3">
      <c r="A810" t="str">
        <f>"201918E0100"</f>
        <v>201918E0100</v>
      </c>
      <c r="B810" s="2" t="s">
        <v>1710</v>
      </c>
      <c r="C810">
        <v>20</v>
      </c>
      <c r="D810" t="s">
        <v>79</v>
      </c>
      <c r="E810">
        <v>4</v>
      </c>
      <c r="F810" t="s">
        <v>1317</v>
      </c>
      <c r="G810">
        <v>1918</v>
      </c>
      <c r="H810">
        <v>1</v>
      </c>
      <c r="I810" t="s">
        <v>145</v>
      </c>
      <c r="J810">
        <v>0</v>
      </c>
      <c r="K810">
        <v>2</v>
      </c>
      <c r="L810">
        <v>2</v>
      </c>
      <c r="M810">
        <v>100</v>
      </c>
      <c r="N810">
        <v>171</v>
      </c>
      <c r="O810">
        <v>0</v>
      </c>
      <c r="P810" t="s">
        <v>100</v>
      </c>
      <c r="Q810">
        <v>22</v>
      </c>
      <c r="R810">
        <v>60</v>
      </c>
      <c r="S810">
        <v>10</v>
      </c>
      <c r="T810">
        <v>6</v>
      </c>
      <c r="U810">
        <v>5</v>
      </c>
      <c r="V810">
        <v>2</v>
      </c>
      <c r="W810">
        <v>1</v>
      </c>
      <c r="X810">
        <v>9</v>
      </c>
      <c r="Y810">
        <v>22</v>
      </c>
      <c r="Z810">
        <v>5</v>
      </c>
      <c r="AA810">
        <v>0</v>
      </c>
      <c r="AC810">
        <v>0</v>
      </c>
      <c r="AD810">
        <v>1</v>
      </c>
      <c r="AE810">
        <v>0</v>
      </c>
      <c r="AF810">
        <v>0</v>
      </c>
      <c r="AG810">
        <v>6</v>
      </c>
      <c r="AH810">
        <v>5</v>
      </c>
      <c r="AI810">
        <v>3</v>
      </c>
      <c r="AJ810">
        <v>0</v>
      </c>
      <c r="AK810">
        <v>0</v>
      </c>
      <c r="AL810">
        <v>0</v>
      </c>
      <c r="AM810">
        <v>0</v>
      </c>
      <c r="AN810">
        <v>0</v>
      </c>
      <c r="AT810" t="s">
        <v>100</v>
      </c>
      <c r="AU810" t="s">
        <v>100</v>
      </c>
      <c r="AV810" t="s">
        <v>100</v>
      </c>
      <c r="AW810">
        <v>157</v>
      </c>
      <c r="AX810">
        <v>249</v>
      </c>
      <c r="AZ810" t="s">
        <v>101</v>
      </c>
      <c r="BA810">
        <v>1</v>
      </c>
      <c r="BC810" t="s">
        <v>1711</v>
      </c>
      <c r="BD810" s="4">
        <v>43283.331250000003</v>
      </c>
      <c r="BE810" s="4">
        <v>43283.349942129629</v>
      </c>
      <c r="BF810" s="4">
        <v>43283.349942129629</v>
      </c>
      <c r="BG810" t="s">
        <v>83</v>
      </c>
      <c r="BH810" t="s">
        <v>84</v>
      </c>
      <c r="BI810" t="s">
        <v>548</v>
      </c>
    </row>
    <row r="811" spans="1:61" x14ac:dyDescent="0.3">
      <c r="A811" t="str">
        <f>"202131B0100"</f>
        <v>202131B0100</v>
      </c>
      <c r="B811" t="s">
        <v>1712</v>
      </c>
      <c r="C811">
        <v>20</v>
      </c>
      <c r="D811" t="s">
        <v>79</v>
      </c>
      <c r="E811">
        <v>4</v>
      </c>
      <c r="F811" t="s">
        <v>1317</v>
      </c>
      <c r="G811">
        <v>2131</v>
      </c>
      <c r="H811">
        <v>1</v>
      </c>
      <c r="I811" t="s">
        <v>81</v>
      </c>
      <c r="J811">
        <v>0</v>
      </c>
      <c r="K811">
        <v>1</v>
      </c>
      <c r="L811">
        <v>2</v>
      </c>
      <c r="M811">
        <v>163</v>
      </c>
      <c r="N811">
        <v>471</v>
      </c>
      <c r="O811">
        <v>0</v>
      </c>
      <c r="P811">
        <v>308</v>
      </c>
      <c r="Q811">
        <v>4</v>
      </c>
      <c r="R811">
        <v>185</v>
      </c>
      <c r="S811">
        <v>2</v>
      </c>
      <c r="T811">
        <v>7</v>
      </c>
      <c r="U811">
        <v>11</v>
      </c>
      <c r="V811">
        <v>2</v>
      </c>
      <c r="W811">
        <v>3</v>
      </c>
      <c r="X811">
        <v>20</v>
      </c>
      <c r="Y811">
        <v>45</v>
      </c>
      <c r="Z811">
        <v>3</v>
      </c>
      <c r="AA811">
        <v>0</v>
      </c>
      <c r="AC811">
        <v>0</v>
      </c>
      <c r="AD811">
        <v>0</v>
      </c>
      <c r="AE811">
        <v>0</v>
      </c>
      <c r="AF811">
        <v>0</v>
      </c>
      <c r="AG811">
        <v>7</v>
      </c>
      <c r="AH811">
        <v>2</v>
      </c>
      <c r="AI811">
        <v>5</v>
      </c>
      <c r="AJ811">
        <v>0</v>
      </c>
      <c r="AK811">
        <v>0</v>
      </c>
      <c r="AL811">
        <v>0</v>
      </c>
      <c r="AM811">
        <v>0</v>
      </c>
      <c r="AN811">
        <v>0</v>
      </c>
      <c r="AT811">
        <v>0</v>
      </c>
      <c r="AU811">
        <v>12</v>
      </c>
      <c r="AV811">
        <v>308</v>
      </c>
      <c r="AW811">
        <v>308</v>
      </c>
      <c r="AX811">
        <v>449</v>
      </c>
      <c r="BA811">
        <v>1</v>
      </c>
      <c r="BC811" t="s">
        <v>1713</v>
      </c>
      <c r="BD811" s="4">
        <v>43283.094444444447</v>
      </c>
      <c r="BE811" s="4">
        <v>43283.105775462966</v>
      </c>
      <c r="BF811" s="4">
        <v>43283.105775462966</v>
      </c>
      <c r="BG811" t="s">
        <v>83</v>
      </c>
      <c r="BH811" t="s">
        <v>84</v>
      </c>
      <c r="BI811" t="s">
        <v>85</v>
      </c>
    </row>
    <row r="812" spans="1:61" x14ac:dyDescent="0.3">
      <c r="A812" t="str">
        <f>"202131C0100"</f>
        <v>202131C0100</v>
      </c>
      <c r="B812" t="s">
        <v>1714</v>
      </c>
      <c r="C812">
        <v>20</v>
      </c>
      <c r="D812" t="s">
        <v>79</v>
      </c>
      <c r="E812">
        <v>4</v>
      </c>
      <c r="F812" t="s">
        <v>1317</v>
      </c>
      <c r="G812">
        <v>2131</v>
      </c>
      <c r="H812">
        <v>1</v>
      </c>
      <c r="I812" t="s">
        <v>89</v>
      </c>
      <c r="J812">
        <v>0</v>
      </c>
      <c r="K812">
        <v>2</v>
      </c>
      <c r="L812">
        <v>2</v>
      </c>
      <c r="M812">
        <v>174</v>
      </c>
      <c r="N812">
        <v>297</v>
      </c>
      <c r="O812">
        <v>0</v>
      </c>
      <c r="P812">
        <v>297</v>
      </c>
      <c r="Q812">
        <v>3</v>
      </c>
      <c r="R812">
        <v>170</v>
      </c>
      <c r="S812">
        <v>1</v>
      </c>
      <c r="T812">
        <v>4</v>
      </c>
      <c r="U812">
        <v>7</v>
      </c>
      <c r="V812">
        <v>0</v>
      </c>
      <c r="W812">
        <v>2</v>
      </c>
      <c r="X812">
        <v>13</v>
      </c>
      <c r="Y812">
        <v>50</v>
      </c>
      <c r="Z812">
        <v>7</v>
      </c>
      <c r="AA812">
        <v>1</v>
      </c>
      <c r="AC812">
        <v>0</v>
      </c>
      <c r="AD812">
        <v>0</v>
      </c>
      <c r="AE812">
        <v>0</v>
      </c>
      <c r="AF812">
        <v>0</v>
      </c>
      <c r="AG812">
        <v>13</v>
      </c>
      <c r="AH812">
        <v>3</v>
      </c>
      <c r="AI812">
        <v>10</v>
      </c>
      <c r="AJ812">
        <v>0</v>
      </c>
      <c r="AK812">
        <v>1</v>
      </c>
      <c r="AL812">
        <v>2</v>
      </c>
      <c r="AM812">
        <v>0</v>
      </c>
      <c r="AN812">
        <v>1</v>
      </c>
      <c r="AT812">
        <v>0</v>
      </c>
      <c r="AU812">
        <v>15</v>
      </c>
      <c r="AV812">
        <v>297</v>
      </c>
      <c r="AW812">
        <v>303</v>
      </c>
      <c r="AX812">
        <v>449</v>
      </c>
      <c r="BA812">
        <v>1</v>
      </c>
      <c r="BC812" t="s">
        <v>1715</v>
      </c>
      <c r="BD812" s="4">
        <v>43283.09375</v>
      </c>
      <c r="BE812" s="4">
        <v>43283.103136574071</v>
      </c>
      <c r="BF812" s="4">
        <v>43283.103136574071</v>
      </c>
      <c r="BG812" t="s">
        <v>83</v>
      </c>
      <c r="BH812" t="s">
        <v>84</v>
      </c>
      <c r="BI812" t="s">
        <v>85</v>
      </c>
    </row>
    <row r="813" spans="1:61" x14ac:dyDescent="0.3">
      <c r="A813" t="str">
        <f>"202132B0100"</f>
        <v>202132B0100</v>
      </c>
      <c r="B813" t="s">
        <v>1716</v>
      </c>
      <c r="C813">
        <v>20</v>
      </c>
      <c r="D813" t="s">
        <v>79</v>
      </c>
      <c r="E813">
        <v>4</v>
      </c>
      <c r="F813" t="s">
        <v>1317</v>
      </c>
      <c r="G813">
        <v>2132</v>
      </c>
      <c r="H813">
        <v>1</v>
      </c>
      <c r="I813" t="s">
        <v>81</v>
      </c>
      <c r="J813">
        <v>0</v>
      </c>
      <c r="K813">
        <v>2</v>
      </c>
      <c r="L813">
        <v>2</v>
      </c>
      <c r="M813">
        <v>145</v>
      </c>
      <c r="N813">
        <v>314</v>
      </c>
      <c r="O813">
        <v>0</v>
      </c>
      <c r="P813">
        <v>314</v>
      </c>
      <c r="Q813">
        <v>9</v>
      </c>
      <c r="R813">
        <v>188</v>
      </c>
      <c r="S813">
        <v>4</v>
      </c>
      <c r="T813">
        <v>7</v>
      </c>
      <c r="U813">
        <v>4</v>
      </c>
      <c r="V813">
        <v>1</v>
      </c>
      <c r="W813">
        <v>15</v>
      </c>
      <c r="X813">
        <v>10</v>
      </c>
      <c r="Y813">
        <v>41</v>
      </c>
      <c r="Z813">
        <v>3</v>
      </c>
      <c r="AA813">
        <v>0</v>
      </c>
      <c r="AC813">
        <v>2</v>
      </c>
      <c r="AD813">
        <v>0</v>
      </c>
      <c r="AE813">
        <v>0</v>
      </c>
      <c r="AF813">
        <v>0</v>
      </c>
      <c r="AG813">
        <v>2</v>
      </c>
      <c r="AH813">
        <v>5</v>
      </c>
      <c r="AI813">
        <v>6</v>
      </c>
      <c r="AJ813">
        <v>0</v>
      </c>
      <c r="AK813">
        <v>2</v>
      </c>
      <c r="AL813">
        <v>0</v>
      </c>
      <c r="AM813">
        <v>0</v>
      </c>
      <c r="AN813">
        <v>1</v>
      </c>
      <c r="AT813">
        <v>0</v>
      </c>
      <c r="AU813">
        <v>14</v>
      </c>
      <c r="AV813">
        <v>314</v>
      </c>
      <c r="AW813">
        <v>314</v>
      </c>
      <c r="AX813">
        <v>437</v>
      </c>
      <c r="BA813">
        <v>1</v>
      </c>
      <c r="BC813" t="s">
        <v>1717</v>
      </c>
      <c r="BD813" s="4">
        <v>43283.102777777778</v>
      </c>
      <c r="BE813" s="4">
        <v>43283.111493055556</v>
      </c>
      <c r="BF813" s="4">
        <v>43283.111493055556</v>
      </c>
      <c r="BG813" t="s">
        <v>83</v>
      </c>
      <c r="BH813" t="s">
        <v>84</v>
      </c>
      <c r="BI813" t="s">
        <v>85</v>
      </c>
    </row>
    <row r="814" spans="1:61" x14ac:dyDescent="0.3">
      <c r="A814" t="str">
        <f>"202132C0100"</f>
        <v>202132C0100</v>
      </c>
      <c r="B814" t="s">
        <v>1718</v>
      </c>
      <c r="C814">
        <v>20</v>
      </c>
      <c r="D814" t="s">
        <v>79</v>
      </c>
      <c r="E814">
        <v>4</v>
      </c>
      <c r="F814" t="s">
        <v>1317</v>
      </c>
      <c r="G814">
        <v>2132</v>
      </c>
      <c r="H814">
        <v>1</v>
      </c>
      <c r="I814" t="s">
        <v>89</v>
      </c>
      <c r="J814">
        <v>0</v>
      </c>
      <c r="K814">
        <v>2</v>
      </c>
      <c r="L814">
        <v>2</v>
      </c>
      <c r="M814">
        <v>174</v>
      </c>
      <c r="N814">
        <v>459</v>
      </c>
      <c r="O814">
        <v>0</v>
      </c>
      <c r="P814">
        <v>282</v>
      </c>
      <c r="Q814">
        <v>4</v>
      </c>
      <c r="R814">
        <v>166</v>
      </c>
      <c r="S814">
        <v>4</v>
      </c>
      <c r="T814">
        <v>5</v>
      </c>
      <c r="U814">
        <v>7</v>
      </c>
      <c r="V814">
        <v>2</v>
      </c>
      <c r="W814">
        <v>15</v>
      </c>
      <c r="X814">
        <v>11</v>
      </c>
      <c r="Y814">
        <v>36</v>
      </c>
      <c r="Z814">
        <v>0</v>
      </c>
      <c r="AA814">
        <v>0</v>
      </c>
      <c r="AC814">
        <v>0</v>
      </c>
      <c r="AD814">
        <v>0</v>
      </c>
      <c r="AE814">
        <v>0</v>
      </c>
      <c r="AF814">
        <v>0</v>
      </c>
      <c r="AG814">
        <v>5</v>
      </c>
      <c r="AH814">
        <v>2</v>
      </c>
      <c r="AI814">
        <v>1</v>
      </c>
      <c r="AJ814">
        <v>0</v>
      </c>
      <c r="AK814">
        <v>2</v>
      </c>
      <c r="AL814">
        <v>1</v>
      </c>
      <c r="AM814">
        <v>0</v>
      </c>
      <c r="AN814">
        <v>3</v>
      </c>
      <c r="AT814">
        <v>0</v>
      </c>
      <c r="AU814">
        <v>19</v>
      </c>
      <c r="AV814">
        <v>282</v>
      </c>
      <c r="AW814">
        <v>283</v>
      </c>
      <c r="AX814">
        <v>437</v>
      </c>
      <c r="BA814">
        <v>1</v>
      </c>
      <c r="BC814" t="s">
        <v>1719</v>
      </c>
      <c r="BD814" s="4">
        <v>43283.10833333333</v>
      </c>
      <c r="BE814" s="4">
        <v>43283.116562499999</v>
      </c>
      <c r="BF814" s="4">
        <v>43283.116562499999</v>
      </c>
      <c r="BG814" t="s">
        <v>83</v>
      </c>
      <c r="BH814" t="s">
        <v>84</v>
      </c>
      <c r="BI814" t="s">
        <v>548</v>
      </c>
    </row>
    <row r="815" spans="1:61" x14ac:dyDescent="0.3">
      <c r="A815" t="str">
        <f>"202272B0100"</f>
        <v>202272B0100</v>
      </c>
      <c r="B815" t="s">
        <v>1720</v>
      </c>
      <c r="C815">
        <v>20</v>
      </c>
      <c r="D815" t="s">
        <v>79</v>
      </c>
      <c r="E815">
        <v>4</v>
      </c>
      <c r="F815" t="s">
        <v>1317</v>
      </c>
      <c r="G815">
        <v>2272</v>
      </c>
      <c r="H815">
        <v>1</v>
      </c>
      <c r="I815" t="s">
        <v>81</v>
      </c>
      <c r="J815">
        <v>0</v>
      </c>
      <c r="K815">
        <v>2</v>
      </c>
      <c r="L815">
        <v>2</v>
      </c>
      <c r="M815">
        <v>512</v>
      </c>
      <c r="N815" t="s">
        <v>315</v>
      </c>
      <c r="O815">
        <v>0</v>
      </c>
      <c r="P815" t="s">
        <v>100</v>
      </c>
      <c r="Q815">
        <v>18</v>
      </c>
      <c r="R815">
        <v>99</v>
      </c>
      <c r="S815">
        <v>3</v>
      </c>
      <c r="T815">
        <v>2</v>
      </c>
      <c r="U815">
        <v>8</v>
      </c>
      <c r="V815">
        <v>1</v>
      </c>
      <c r="W815">
        <v>4</v>
      </c>
      <c r="X815">
        <v>23</v>
      </c>
      <c r="Y815">
        <v>60</v>
      </c>
      <c r="Z815">
        <v>3</v>
      </c>
      <c r="AA815">
        <v>0</v>
      </c>
      <c r="AC815">
        <v>0</v>
      </c>
      <c r="AD815">
        <v>0</v>
      </c>
      <c r="AE815">
        <v>0</v>
      </c>
      <c r="AF815">
        <v>0</v>
      </c>
      <c r="AG815">
        <v>2</v>
      </c>
      <c r="AH815">
        <v>1</v>
      </c>
      <c r="AI815">
        <v>1</v>
      </c>
      <c r="AJ815">
        <v>0</v>
      </c>
      <c r="AK815">
        <v>1</v>
      </c>
      <c r="AL815">
        <v>0</v>
      </c>
      <c r="AM815">
        <v>0</v>
      </c>
      <c r="AN815">
        <v>0</v>
      </c>
      <c r="AT815" t="s">
        <v>100</v>
      </c>
      <c r="AU815">
        <v>16</v>
      </c>
      <c r="AV815">
        <v>243</v>
      </c>
      <c r="AW815">
        <v>242</v>
      </c>
      <c r="AX815">
        <v>733</v>
      </c>
      <c r="AZ815" t="s">
        <v>101</v>
      </c>
      <c r="BA815">
        <v>1</v>
      </c>
      <c r="BC815" t="s">
        <v>1721</v>
      </c>
      <c r="BD815" s="4">
        <v>43283.275000000001</v>
      </c>
      <c r="BE815" s="4">
        <v>43283.303252314814</v>
      </c>
      <c r="BF815" s="4">
        <v>43283.303252314814</v>
      </c>
      <c r="BG815" t="s">
        <v>83</v>
      </c>
      <c r="BH815" t="s">
        <v>84</v>
      </c>
      <c r="BI815" t="s">
        <v>85</v>
      </c>
    </row>
    <row r="816" spans="1:61" x14ac:dyDescent="0.3">
      <c r="A816" t="str">
        <f>"202272C0100"</f>
        <v>202272C0100</v>
      </c>
      <c r="B816" t="s">
        <v>1722</v>
      </c>
      <c r="C816">
        <v>20</v>
      </c>
      <c r="D816" t="s">
        <v>79</v>
      </c>
      <c r="E816">
        <v>4</v>
      </c>
      <c r="F816" t="s">
        <v>1317</v>
      </c>
      <c r="G816">
        <v>2272</v>
      </c>
      <c r="H816">
        <v>1</v>
      </c>
      <c r="I816" t="s">
        <v>89</v>
      </c>
      <c r="J816">
        <v>0</v>
      </c>
      <c r="K816">
        <v>2</v>
      </c>
      <c r="L816">
        <v>2</v>
      </c>
      <c r="M816">
        <v>532</v>
      </c>
      <c r="N816">
        <v>0</v>
      </c>
      <c r="O816">
        <v>755</v>
      </c>
      <c r="P816">
        <v>0</v>
      </c>
      <c r="Q816">
        <v>11</v>
      </c>
      <c r="R816">
        <v>78</v>
      </c>
      <c r="S816">
        <v>5</v>
      </c>
      <c r="T816">
        <v>1</v>
      </c>
      <c r="U816">
        <v>17</v>
      </c>
      <c r="V816">
        <v>2</v>
      </c>
      <c r="W816">
        <v>2</v>
      </c>
      <c r="X816">
        <v>13</v>
      </c>
      <c r="Y816">
        <v>64</v>
      </c>
      <c r="Z816">
        <v>3</v>
      </c>
      <c r="AA816">
        <v>0</v>
      </c>
      <c r="AC816">
        <v>1</v>
      </c>
      <c r="AD816">
        <v>0</v>
      </c>
      <c r="AE816">
        <v>0</v>
      </c>
      <c r="AF816">
        <v>0</v>
      </c>
      <c r="AG816">
        <v>2</v>
      </c>
      <c r="AH816">
        <v>2</v>
      </c>
      <c r="AI816">
        <v>2</v>
      </c>
      <c r="AJ816">
        <v>0</v>
      </c>
      <c r="AK816">
        <v>0</v>
      </c>
      <c r="AL816">
        <v>0</v>
      </c>
      <c r="AM816">
        <v>1</v>
      </c>
      <c r="AN816">
        <v>3</v>
      </c>
      <c r="AT816">
        <v>0</v>
      </c>
      <c r="AU816">
        <v>16</v>
      </c>
      <c r="AV816">
        <v>223</v>
      </c>
      <c r="AW816">
        <v>223</v>
      </c>
      <c r="AX816">
        <v>733</v>
      </c>
      <c r="BA816">
        <v>1</v>
      </c>
      <c r="BC816" t="s">
        <v>1723</v>
      </c>
      <c r="BD816" s="4">
        <v>43283.274305555555</v>
      </c>
      <c r="BE816" s="4">
        <v>43283.305868055555</v>
      </c>
      <c r="BF816" s="4">
        <v>43283.305868055555</v>
      </c>
      <c r="BG816" t="s">
        <v>83</v>
      </c>
      <c r="BH816" t="s">
        <v>84</v>
      </c>
      <c r="BI816" t="s">
        <v>85</v>
      </c>
    </row>
    <row r="817" spans="1:61" x14ac:dyDescent="0.3">
      <c r="A817" t="str">
        <f>"202272E0100"</f>
        <v>202272E0100</v>
      </c>
      <c r="B817" s="2" t="s">
        <v>1724</v>
      </c>
      <c r="C817">
        <v>20</v>
      </c>
      <c r="D817" t="s">
        <v>79</v>
      </c>
      <c r="E817">
        <v>4</v>
      </c>
      <c r="F817" t="s">
        <v>1317</v>
      </c>
      <c r="G817">
        <v>2272</v>
      </c>
      <c r="H817">
        <v>1</v>
      </c>
      <c r="I817" t="s">
        <v>145</v>
      </c>
      <c r="J817">
        <v>0</v>
      </c>
      <c r="K817">
        <v>2</v>
      </c>
      <c r="L817">
        <v>2</v>
      </c>
      <c r="M817">
        <v>136</v>
      </c>
      <c r="N817">
        <v>139</v>
      </c>
      <c r="O817">
        <v>0</v>
      </c>
      <c r="P817">
        <v>139</v>
      </c>
      <c r="Q817">
        <v>1</v>
      </c>
      <c r="R817">
        <v>64</v>
      </c>
      <c r="S817">
        <v>8</v>
      </c>
      <c r="T817">
        <v>3</v>
      </c>
      <c r="U817">
        <v>3</v>
      </c>
      <c r="V817">
        <v>1</v>
      </c>
      <c r="W817">
        <v>15</v>
      </c>
      <c r="X817">
        <v>1</v>
      </c>
      <c r="Y817">
        <v>31</v>
      </c>
      <c r="Z817">
        <v>2</v>
      </c>
      <c r="AA817">
        <v>0</v>
      </c>
      <c r="AC817">
        <v>2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1</v>
      </c>
      <c r="AM817">
        <v>0</v>
      </c>
      <c r="AN817">
        <v>1</v>
      </c>
      <c r="AT817">
        <v>0</v>
      </c>
      <c r="AU817">
        <v>6</v>
      </c>
      <c r="AV817">
        <v>139</v>
      </c>
      <c r="AW817">
        <v>139</v>
      </c>
      <c r="AX817">
        <v>253</v>
      </c>
      <c r="BA817">
        <v>1</v>
      </c>
      <c r="BC817" t="s">
        <v>1725</v>
      </c>
      <c r="BD817" s="4">
        <v>43283.318749999999</v>
      </c>
      <c r="BE817" s="4">
        <v>43283.340277777781</v>
      </c>
      <c r="BF817" s="4">
        <v>43283.340277777781</v>
      </c>
      <c r="BG817" t="s">
        <v>83</v>
      </c>
      <c r="BH817" t="s">
        <v>84</v>
      </c>
      <c r="BI817" t="s">
        <v>85</v>
      </c>
    </row>
    <row r="818" spans="1:61" x14ac:dyDescent="0.3">
      <c r="A818" t="str">
        <f>"202325B0100"</f>
        <v>202325B0100</v>
      </c>
      <c r="B818" t="s">
        <v>1726</v>
      </c>
      <c r="C818">
        <v>20</v>
      </c>
      <c r="D818" t="s">
        <v>79</v>
      </c>
      <c r="E818">
        <v>4</v>
      </c>
      <c r="F818" t="s">
        <v>1317</v>
      </c>
      <c r="G818">
        <v>2325</v>
      </c>
      <c r="H818">
        <v>1</v>
      </c>
      <c r="I818" t="s">
        <v>81</v>
      </c>
      <c r="J818">
        <v>0</v>
      </c>
      <c r="K818">
        <v>2</v>
      </c>
      <c r="L818">
        <v>2</v>
      </c>
      <c r="M818">
        <v>214</v>
      </c>
      <c r="N818">
        <v>447</v>
      </c>
      <c r="O818">
        <v>1</v>
      </c>
      <c r="P818">
        <v>447</v>
      </c>
      <c r="Q818">
        <v>10</v>
      </c>
      <c r="R818">
        <v>77</v>
      </c>
      <c r="S818">
        <v>15</v>
      </c>
      <c r="T818">
        <v>3</v>
      </c>
      <c r="U818">
        <v>5</v>
      </c>
      <c r="V818">
        <v>6</v>
      </c>
      <c r="W818">
        <v>35</v>
      </c>
      <c r="X818">
        <v>12</v>
      </c>
      <c r="Y818">
        <v>219</v>
      </c>
      <c r="Z818">
        <v>14</v>
      </c>
      <c r="AA818">
        <v>27</v>
      </c>
      <c r="AC818">
        <v>0</v>
      </c>
      <c r="AD818">
        <v>0</v>
      </c>
      <c r="AE818">
        <v>0</v>
      </c>
      <c r="AF818">
        <v>0</v>
      </c>
      <c r="AG818">
        <v>1</v>
      </c>
      <c r="AH818">
        <v>0</v>
      </c>
      <c r="AI818">
        <v>0</v>
      </c>
      <c r="AJ818">
        <v>0</v>
      </c>
      <c r="AK818">
        <v>2</v>
      </c>
      <c r="AL818">
        <v>1</v>
      </c>
      <c r="AM818">
        <v>0</v>
      </c>
      <c r="AN818">
        <v>3</v>
      </c>
      <c r="AT818">
        <v>0</v>
      </c>
      <c r="AU818">
        <v>17</v>
      </c>
      <c r="AV818">
        <v>447</v>
      </c>
      <c r="AW818">
        <v>447</v>
      </c>
      <c r="AX818">
        <v>641</v>
      </c>
      <c r="BA818">
        <v>1</v>
      </c>
      <c r="BC818" t="s">
        <v>1727</v>
      </c>
      <c r="BD818" s="4">
        <v>43283.125694444447</v>
      </c>
      <c r="BE818" s="4">
        <v>43283.139409722222</v>
      </c>
      <c r="BF818" s="4">
        <v>43283.139409722222</v>
      </c>
      <c r="BG818" t="s">
        <v>83</v>
      </c>
      <c r="BH818" t="s">
        <v>84</v>
      </c>
      <c r="BI818" t="s">
        <v>85</v>
      </c>
    </row>
    <row r="819" spans="1:61" x14ac:dyDescent="0.3">
      <c r="A819" t="str">
        <f>"202325C0100"</f>
        <v>202325C0100</v>
      </c>
      <c r="B819" t="s">
        <v>1728</v>
      </c>
      <c r="C819">
        <v>20</v>
      </c>
      <c r="D819" t="s">
        <v>79</v>
      </c>
      <c r="E819">
        <v>4</v>
      </c>
      <c r="F819" t="s">
        <v>1317</v>
      </c>
      <c r="G819">
        <v>2325</v>
      </c>
      <c r="H819">
        <v>1</v>
      </c>
      <c r="I819" t="s">
        <v>89</v>
      </c>
      <c r="J819">
        <v>0</v>
      </c>
      <c r="K819">
        <v>2</v>
      </c>
      <c r="L819">
        <v>2</v>
      </c>
      <c r="M819">
        <v>162</v>
      </c>
      <c r="N819">
        <v>501</v>
      </c>
      <c r="O819">
        <v>6</v>
      </c>
      <c r="P819">
        <v>497</v>
      </c>
      <c r="Q819">
        <v>16</v>
      </c>
      <c r="R819">
        <v>88</v>
      </c>
      <c r="S819">
        <v>22</v>
      </c>
      <c r="T819">
        <v>4</v>
      </c>
      <c r="U819">
        <v>12</v>
      </c>
      <c r="V819">
        <v>4</v>
      </c>
      <c r="W819">
        <v>23</v>
      </c>
      <c r="X819">
        <v>11</v>
      </c>
      <c r="Y819">
        <v>258</v>
      </c>
      <c r="Z819">
        <v>13</v>
      </c>
      <c r="AA819">
        <v>27</v>
      </c>
      <c r="AC819">
        <v>0</v>
      </c>
      <c r="AD819">
        <v>0</v>
      </c>
      <c r="AE819">
        <v>0</v>
      </c>
      <c r="AF819">
        <v>0</v>
      </c>
      <c r="AG819">
        <v>2</v>
      </c>
      <c r="AH819">
        <v>2</v>
      </c>
      <c r="AI819">
        <v>0</v>
      </c>
      <c r="AJ819">
        <v>0</v>
      </c>
      <c r="AK819">
        <v>3</v>
      </c>
      <c r="AL819">
        <v>1</v>
      </c>
      <c r="AM819">
        <v>0</v>
      </c>
      <c r="AN819">
        <v>3</v>
      </c>
      <c r="AT819">
        <v>0</v>
      </c>
      <c r="AU819">
        <v>8</v>
      </c>
      <c r="AV819">
        <v>497</v>
      </c>
      <c r="AW819">
        <v>497</v>
      </c>
      <c r="AX819">
        <v>641</v>
      </c>
      <c r="BA819">
        <v>1</v>
      </c>
      <c r="BC819" t="s">
        <v>1729</v>
      </c>
      <c r="BD819" s="4">
        <v>43283.184027777781</v>
      </c>
      <c r="BE819" s="4">
        <v>43283.203055555554</v>
      </c>
      <c r="BF819" s="4">
        <v>43283.203055555554</v>
      </c>
      <c r="BG819" t="s">
        <v>83</v>
      </c>
      <c r="BH819" t="s">
        <v>84</v>
      </c>
      <c r="BI819" t="s">
        <v>85</v>
      </c>
    </row>
    <row r="820" spans="1:61" x14ac:dyDescent="0.3">
      <c r="A820" t="str">
        <f>"202325S0100"</f>
        <v>202325S0100</v>
      </c>
      <c r="B820" t="s">
        <v>1730</v>
      </c>
      <c r="C820">
        <v>20</v>
      </c>
      <c r="D820" t="s">
        <v>79</v>
      </c>
      <c r="E820">
        <v>4</v>
      </c>
      <c r="F820" t="s">
        <v>1317</v>
      </c>
      <c r="G820">
        <v>2325</v>
      </c>
      <c r="H820">
        <v>1</v>
      </c>
      <c r="I820" t="s">
        <v>104</v>
      </c>
      <c r="J820">
        <v>0</v>
      </c>
      <c r="K820">
        <v>2</v>
      </c>
      <c r="L820">
        <v>3</v>
      </c>
      <c r="M820">
        <v>387</v>
      </c>
      <c r="N820">
        <v>386</v>
      </c>
      <c r="O820">
        <v>0</v>
      </c>
      <c r="P820">
        <v>386</v>
      </c>
      <c r="Q820">
        <v>5</v>
      </c>
      <c r="R820">
        <v>36</v>
      </c>
      <c r="S820">
        <v>12</v>
      </c>
      <c r="T820">
        <v>5</v>
      </c>
      <c r="U820">
        <v>11</v>
      </c>
      <c r="V820">
        <v>4</v>
      </c>
      <c r="W820">
        <v>10</v>
      </c>
      <c r="X820">
        <v>6</v>
      </c>
      <c r="Y820">
        <v>254</v>
      </c>
      <c r="Z820">
        <v>9</v>
      </c>
      <c r="AA820">
        <v>7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2</v>
      </c>
      <c r="AI820">
        <v>0</v>
      </c>
      <c r="AJ820">
        <v>1</v>
      </c>
      <c r="AK820">
        <v>8</v>
      </c>
      <c r="AL820">
        <v>1</v>
      </c>
      <c r="AM820">
        <v>1</v>
      </c>
      <c r="AN820">
        <v>1</v>
      </c>
      <c r="AT820">
        <v>1</v>
      </c>
      <c r="AU820">
        <v>12</v>
      </c>
      <c r="AV820">
        <v>386</v>
      </c>
      <c r="AW820">
        <v>386</v>
      </c>
      <c r="AX820">
        <v>0</v>
      </c>
      <c r="BA820">
        <v>1</v>
      </c>
      <c r="BC820" t="s">
        <v>1731</v>
      </c>
      <c r="BD820" s="4">
        <v>43283.131249999999</v>
      </c>
      <c r="BE820" s="4">
        <v>43283.140613425923</v>
      </c>
      <c r="BF820" s="4">
        <v>43283.140613425923</v>
      </c>
      <c r="BG820" t="s">
        <v>83</v>
      </c>
      <c r="BH820" t="s">
        <v>84</v>
      </c>
      <c r="BI820" t="s">
        <v>85</v>
      </c>
    </row>
    <row r="821" spans="1:61" x14ac:dyDescent="0.3">
      <c r="A821" t="str">
        <f>"202326B0100"</f>
        <v>202326B0100</v>
      </c>
      <c r="B821" t="s">
        <v>1732</v>
      </c>
      <c r="C821">
        <v>20</v>
      </c>
      <c r="D821" t="s">
        <v>79</v>
      </c>
      <c r="E821">
        <v>4</v>
      </c>
      <c r="F821" t="s">
        <v>1317</v>
      </c>
      <c r="G821">
        <v>2326</v>
      </c>
      <c r="H821">
        <v>1</v>
      </c>
      <c r="I821" t="s">
        <v>81</v>
      </c>
      <c r="J821">
        <v>0</v>
      </c>
      <c r="K821">
        <v>2</v>
      </c>
      <c r="L821">
        <v>2</v>
      </c>
      <c r="M821">
        <v>195</v>
      </c>
      <c r="N821">
        <v>484</v>
      </c>
      <c r="O821">
        <v>2</v>
      </c>
      <c r="P821">
        <v>484</v>
      </c>
      <c r="Q821">
        <v>6</v>
      </c>
      <c r="R821">
        <v>79</v>
      </c>
      <c r="S821">
        <v>16</v>
      </c>
      <c r="T821">
        <v>4</v>
      </c>
      <c r="U821">
        <v>10</v>
      </c>
      <c r="V821">
        <v>2</v>
      </c>
      <c r="W821">
        <v>23</v>
      </c>
      <c r="X821">
        <v>11</v>
      </c>
      <c r="Y821">
        <v>237</v>
      </c>
      <c r="Z821">
        <v>10</v>
      </c>
      <c r="AA821">
        <v>39</v>
      </c>
      <c r="AC821">
        <v>3</v>
      </c>
      <c r="AD821">
        <v>0</v>
      </c>
      <c r="AE821">
        <v>0</v>
      </c>
      <c r="AF821">
        <v>0</v>
      </c>
      <c r="AG821">
        <v>7</v>
      </c>
      <c r="AH821">
        <v>0</v>
      </c>
      <c r="AI821">
        <v>0</v>
      </c>
      <c r="AJ821">
        <v>0</v>
      </c>
      <c r="AK821">
        <v>6</v>
      </c>
      <c r="AL821">
        <v>2</v>
      </c>
      <c r="AM821">
        <v>0</v>
      </c>
      <c r="AN821">
        <v>0</v>
      </c>
      <c r="AT821">
        <v>0</v>
      </c>
      <c r="AU821">
        <v>33</v>
      </c>
      <c r="AV821">
        <v>488</v>
      </c>
      <c r="AW821">
        <v>488</v>
      </c>
      <c r="AX821">
        <v>659</v>
      </c>
      <c r="BA821">
        <v>1</v>
      </c>
      <c r="BC821" t="s">
        <v>1733</v>
      </c>
      <c r="BD821" s="4">
        <v>43283.184027777781</v>
      </c>
      <c r="BE821" s="4">
        <v>43283.210613425923</v>
      </c>
      <c r="BF821" s="4">
        <v>43283.210613425923</v>
      </c>
      <c r="BG821" t="s">
        <v>83</v>
      </c>
      <c r="BH821" t="s">
        <v>84</v>
      </c>
      <c r="BI821" t="s">
        <v>1331</v>
      </c>
    </row>
    <row r="822" spans="1:61" x14ac:dyDescent="0.3">
      <c r="A822" t="str">
        <f>"202326C0100"</f>
        <v>202326C0100</v>
      </c>
      <c r="B822" t="s">
        <v>1734</v>
      </c>
      <c r="C822">
        <v>20</v>
      </c>
      <c r="D822" t="s">
        <v>79</v>
      </c>
      <c r="E822">
        <v>4</v>
      </c>
      <c r="F822" t="s">
        <v>1317</v>
      </c>
      <c r="G822">
        <v>2326</v>
      </c>
      <c r="H822">
        <v>1</v>
      </c>
      <c r="I822" t="s">
        <v>89</v>
      </c>
      <c r="J822">
        <v>0</v>
      </c>
      <c r="K822">
        <v>2</v>
      </c>
      <c r="L822">
        <v>2</v>
      </c>
      <c r="M822">
        <v>201</v>
      </c>
      <c r="N822">
        <v>478</v>
      </c>
      <c r="O822">
        <v>0</v>
      </c>
      <c r="P822">
        <v>476</v>
      </c>
      <c r="Q822">
        <v>10</v>
      </c>
      <c r="R822">
        <v>86</v>
      </c>
      <c r="S822">
        <v>20</v>
      </c>
      <c r="T822">
        <v>8</v>
      </c>
      <c r="U822">
        <v>15</v>
      </c>
      <c r="V822">
        <v>4</v>
      </c>
      <c r="W822">
        <v>17</v>
      </c>
      <c r="X822">
        <v>16</v>
      </c>
      <c r="Y822">
        <v>219</v>
      </c>
      <c r="Z822">
        <v>15</v>
      </c>
      <c r="AA822">
        <v>28</v>
      </c>
      <c r="AC822">
        <v>0</v>
      </c>
      <c r="AD822">
        <v>0</v>
      </c>
      <c r="AE822">
        <v>0</v>
      </c>
      <c r="AF822">
        <v>0</v>
      </c>
      <c r="AG822">
        <v>1</v>
      </c>
      <c r="AH822">
        <v>1</v>
      </c>
      <c r="AI822">
        <v>0</v>
      </c>
      <c r="AJ822">
        <v>0</v>
      </c>
      <c r="AK822">
        <v>7</v>
      </c>
      <c r="AL822">
        <v>1</v>
      </c>
      <c r="AM822">
        <v>1</v>
      </c>
      <c r="AN822">
        <v>2</v>
      </c>
      <c r="AT822">
        <v>0</v>
      </c>
      <c r="AU822">
        <v>25</v>
      </c>
      <c r="AV822">
        <v>476</v>
      </c>
      <c r="AW822">
        <v>476</v>
      </c>
      <c r="AX822">
        <v>658</v>
      </c>
      <c r="BA822">
        <v>1</v>
      </c>
      <c r="BC822" t="s">
        <v>1735</v>
      </c>
      <c r="BD822" s="4">
        <v>43283.184027777781</v>
      </c>
      <c r="BE822" s="4">
        <v>43283.211678240739</v>
      </c>
      <c r="BF822" s="4">
        <v>43283.211678240739</v>
      </c>
      <c r="BG822" t="s">
        <v>83</v>
      </c>
      <c r="BH822" t="s">
        <v>84</v>
      </c>
      <c r="BI822" t="s">
        <v>85</v>
      </c>
    </row>
    <row r="823" spans="1:61" x14ac:dyDescent="0.3">
      <c r="A823" t="str">
        <f>"202326C0200"</f>
        <v>202326C0200</v>
      </c>
      <c r="B823" t="s">
        <v>1736</v>
      </c>
      <c r="C823">
        <v>20</v>
      </c>
      <c r="D823" t="s">
        <v>79</v>
      </c>
      <c r="E823">
        <v>4</v>
      </c>
      <c r="F823" t="s">
        <v>1317</v>
      </c>
      <c r="G823">
        <v>2326</v>
      </c>
      <c r="H823">
        <v>2</v>
      </c>
      <c r="I823" t="s">
        <v>89</v>
      </c>
      <c r="J823">
        <v>0</v>
      </c>
      <c r="K823">
        <v>2</v>
      </c>
      <c r="L823">
        <v>2</v>
      </c>
      <c r="M823">
        <v>203</v>
      </c>
      <c r="N823">
        <v>476</v>
      </c>
      <c r="O823">
        <v>0</v>
      </c>
      <c r="P823">
        <v>476</v>
      </c>
      <c r="Q823">
        <v>5</v>
      </c>
      <c r="R823">
        <v>75</v>
      </c>
      <c r="S823">
        <v>27</v>
      </c>
      <c r="T823">
        <v>4</v>
      </c>
      <c r="U823">
        <v>10</v>
      </c>
      <c r="V823">
        <v>4</v>
      </c>
      <c r="W823">
        <v>24</v>
      </c>
      <c r="X823">
        <v>11</v>
      </c>
      <c r="Y823">
        <v>221</v>
      </c>
      <c r="Z823">
        <v>12</v>
      </c>
      <c r="AA823">
        <v>38</v>
      </c>
      <c r="AC823">
        <v>0</v>
      </c>
      <c r="AD823">
        <v>1</v>
      </c>
      <c r="AE823">
        <v>0</v>
      </c>
      <c r="AF823">
        <v>0</v>
      </c>
      <c r="AG823">
        <v>10</v>
      </c>
      <c r="AH823">
        <v>1</v>
      </c>
      <c r="AI823">
        <v>0</v>
      </c>
      <c r="AJ823">
        <v>0</v>
      </c>
      <c r="AK823">
        <v>5</v>
      </c>
      <c r="AL823">
        <v>0</v>
      </c>
      <c r="AM823">
        <v>0</v>
      </c>
      <c r="AN823">
        <v>0</v>
      </c>
      <c r="AT823">
        <v>0</v>
      </c>
      <c r="AU823">
        <v>25</v>
      </c>
      <c r="AV823">
        <v>473</v>
      </c>
      <c r="AW823">
        <v>473</v>
      </c>
      <c r="AX823">
        <v>658</v>
      </c>
      <c r="BA823">
        <v>1</v>
      </c>
      <c r="BC823" t="s">
        <v>1737</v>
      </c>
      <c r="BD823" s="4">
        <v>43283.210416666669</v>
      </c>
      <c r="BE823" s="4">
        <v>43283.232476851852</v>
      </c>
      <c r="BF823" s="4">
        <v>43283.232476851852</v>
      </c>
      <c r="BG823" t="s">
        <v>83</v>
      </c>
      <c r="BH823" t="s">
        <v>84</v>
      </c>
      <c r="BI823" t="s">
        <v>85</v>
      </c>
    </row>
    <row r="824" spans="1:61" x14ac:dyDescent="0.3">
      <c r="A824" t="str">
        <f>"202326E0100"</f>
        <v>202326E0100</v>
      </c>
      <c r="B824" s="2" t="s">
        <v>1738</v>
      </c>
      <c r="C824">
        <v>20</v>
      </c>
      <c r="D824" t="s">
        <v>79</v>
      </c>
      <c r="E824">
        <v>4</v>
      </c>
      <c r="F824" t="s">
        <v>1317</v>
      </c>
      <c r="G824">
        <v>2326</v>
      </c>
      <c r="H824">
        <v>1</v>
      </c>
      <c r="I824" t="s">
        <v>145</v>
      </c>
      <c r="J824">
        <v>0</v>
      </c>
      <c r="K824">
        <v>2</v>
      </c>
      <c r="L824">
        <v>2</v>
      </c>
      <c r="M824">
        <v>37</v>
      </c>
      <c r="N824">
        <v>92</v>
      </c>
      <c r="O824">
        <v>3</v>
      </c>
      <c r="P824">
        <v>92</v>
      </c>
      <c r="Q824">
        <v>1</v>
      </c>
      <c r="R824">
        <v>22</v>
      </c>
      <c r="S824">
        <v>2</v>
      </c>
      <c r="T824">
        <v>0</v>
      </c>
      <c r="U824">
        <v>0</v>
      </c>
      <c r="V824">
        <v>2</v>
      </c>
      <c r="W824">
        <v>0</v>
      </c>
      <c r="X824">
        <v>18</v>
      </c>
      <c r="Y824">
        <v>28</v>
      </c>
      <c r="Z824">
        <v>1</v>
      </c>
      <c r="AA824">
        <v>13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1</v>
      </c>
      <c r="AJ824">
        <v>0</v>
      </c>
      <c r="AK824">
        <v>0</v>
      </c>
      <c r="AL824">
        <v>0</v>
      </c>
      <c r="AM824">
        <v>0</v>
      </c>
      <c r="AN824">
        <v>0</v>
      </c>
      <c r="AT824">
        <v>0</v>
      </c>
      <c r="AU824">
        <v>4</v>
      </c>
      <c r="AV824">
        <v>92</v>
      </c>
      <c r="AW824">
        <v>92</v>
      </c>
      <c r="AX824">
        <v>106</v>
      </c>
      <c r="BA824">
        <v>1</v>
      </c>
      <c r="BC824" t="s">
        <v>1739</v>
      </c>
      <c r="BD824" s="4">
        <v>43283.113194444442</v>
      </c>
      <c r="BE824" s="4">
        <v>43283.119212962964</v>
      </c>
      <c r="BF824" s="4">
        <v>43283.119212962964</v>
      </c>
      <c r="BG824" t="s">
        <v>83</v>
      </c>
      <c r="BH824" t="s">
        <v>84</v>
      </c>
      <c r="BI824" t="s">
        <v>1331</v>
      </c>
    </row>
    <row r="825" spans="1:61" x14ac:dyDescent="0.3">
      <c r="A825" t="str">
        <f>"202327B0100"</f>
        <v>202327B0100</v>
      </c>
      <c r="B825" t="s">
        <v>1740</v>
      </c>
      <c r="C825">
        <v>20</v>
      </c>
      <c r="D825" t="s">
        <v>79</v>
      </c>
      <c r="E825">
        <v>4</v>
      </c>
      <c r="F825" t="s">
        <v>1317</v>
      </c>
      <c r="G825">
        <v>2327</v>
      </c>
      <c r="H825">
        <v>1</v>
      </c>
      <c r="I825" t="s">
        <v>81</v>
      </c>
      <c r="J825">
        <v>0</v>
      </c>
      <c r="K825">
        <v>1</v>
      </c>
      <c r="L825">
        <v>2</v>
      </c>
      <c r="M825">
        <v>219</v>
      </c>
      <c r="N825">
        <v>514</v>
      </c>
      <c r="O825">
        <v>4</v>
      </c>
      <c r="P825">
        <v>514</v>
      </c>
      <c r="Q825">
        <v>3</v>
      </c>
      <c r="R825">
        <v>85</v>
      </c>
      <c r="S825">
        <v>17</v>
      </c>
      <c r="T825">
        <v>2</v>
      </c>
      <c r="U825">
        <v>10</v>
      </c>
      <c r="V825">
        <v>3</v>
      </c>
      <c r="W825">
        <v>13</v>
      </c>
      <c r="X825">
        <v>22</v>
      </c>
      <c r="Y825">
        <v>253</v>
      </c>
      <c r="Z825">
        <v>16</v>
      </c>
      <c r="AA825">
        <v>48</v>
      </c>
      <c r="AC825">
        <v>0</v>
      </c>
      <c r="AD825">
        <v>0</v>
      </c>
      <c r="AE825">
        <v>0</v>
      </c>
      <c r="AF825">
        <v>0</v>
      </c>
      <c r="AG825">
        <v>10</v>
      </c>
      <c r="AH825">
        <v>1</v>
      </c>
      <c r="AI825">
        <v>1</v>
      </c>
      <c r="AJ825">
        <v>0</v>
      </c>
      <c r="AK825">
        <v>8</v>
      </c>
      <c r="AL825">
        <v>0</v>
      </c>
      <c r="AM825">
        <v>1</v>
      </c>
      <c r="AN825">
        <v>0</v>
      </c>
      <c r="AT825">
        <v>0</v>
      </c>
      <c r="AU825">
        <v>21</v>
      </c>
      <c r="AV825">
        <v>514</v>
      </c>
      <c r="AW825">
        <v>514</v>
      </c>
      <c r="AX825">
        <v>711</v>
      </c>
      <c r="BA825">
        <v>1</v>
      </c>
      <c r="BC825" s="2" t="s">
        <v>1741</v>
      </c>
      <c r="BD825" s="4">
        <v>43283.203472222223</v>
      </c>
      <c r="BE825" s="4">
        <v>43283.220879629633</v>
      </c>
      <c r="BF825" s="4">
        <v>43283.220879629633</v>
      </c>
      <c r="BG825" t="s">
        <v>83</v>
      </c>
      <c r="BH825" t="s">
        <v>84</v>
      </c>
      <c r="BI825" t="s">
        <v>85</v>
      </c>
    </row>
    <row r="826" spans="1:61" x14ac:dyDescent="0.3">
      <c r="A826" t="str">
        <f>"202327C0100"</f>
        <v>202327C0100</v>
      </c>
      <c r="B826" t="s">
        <v>1742</v>
      </c>
      <c r="C826">
        <v>20</v>
      </c>
      <c r="D826" t="s">
        <v>79</v>
      </c>
      <c r="E826">
        <v>4</v>
      </c>
      <c r="F826" t="s">
        <v>1317</v>
      </c>
      <c r="G826">
        <v>2327</v>
      </c>
      <c r="H826">
        <v>1</v>
      </c>
      <c r="I826" t="s">
        <v>89</v>
      </c>
      <c r="J826">
        <v>0</v>
      </c>
      <c r="K826">
        <v>2</v>
      </c>
      <c r="L826">
        <v>2</v>
      </c>
      <c r="M826">
        <v>187</v>
      </c>
      <c r="N826">
        <v>531</v>
      </c>
      <c r="O826">
        <v>0</v>
      </c>
      <c r="P826">
        <v>531</v>
      </c>
      <c r="Q826">
        <v>6</v>
      </c>
      <c r="R826">
        <v>68</v>
      </c>
      <c r="S826">
        <v>18</v>
      </c>
      <c r="T826">
        <v>4</v>
      </c>
      <c r="U826">
        <v>10</v>
      </c>
      <c r="V826">
        <v>5</v>
      </c>
      <c r="W826">
        <v>10</v>
      </c>
      <c r="X826">
        <v>16</v>
      </c>
      <c r="Y826">
        <v>276</v>
      </c>
      <c r="Z826">
        <v>10</v>
      </c>
      <c r="AA826">
        <v>61</v>
      </c>
      <c r="AC826">
        <v>0</v>
      </c>
      <c r="AD826">
        <v>0</v>
      </c>
      <c r="AE826">
        <v>0</v>
      </c>
      <c r="AF826">
        <v>0</v>
      </c>
      <c r="AG826">
        <v>6</v>
      </c>
      <c r="AH826">
        <v>2</v>
      </c>
      <c r="AI826">
        <v>0</v>
      </c>
      <c r="AJ826">
        <v>0</v>
      </c>
      <c r="AK826">
        <v>7</v>
      </c>
      <c r="AL826">
        <v>1</v>
      </c>
      <c r="AM826">
        <v>1</v>
      </c>
      <c r="AN826">
        <v>1</v>
      </c>
      <c r="AT826">
        <v>0</v>
      </c>
      <c r="AU826">
        <v>29</v>
      </c>
      <c r="AV826">
        <v>531</v>
      </c>
      <c r="AW826">
        <v>531</v>
      </c>
      <c r="AX826">
        <v>711</v>
      </c>
      <c r="BA826">
        <v>1</v>
      </c>
      <c r="BC826" t="s">
        <v>1743</v>
      </c>
      <c r="BD826" s="4">
        <v>43283.185416666667</v>
      </c>
      <c r="BE826" s="4">
        <v>43283.205312500002</v>
      </c>
      <c r="BF826" s="4">
        <v>43283.205312500002</v>
      </c>
      <c r="BG826" t="s">
        <v>83</v>
      </c>
      <c r="BH826" t="s">
        <v>84</v>
      </c>
      <c r="BI826" t="s">
        <v>85</v>
      </c>
    </row>
    <row r="827" spans="1:61" x14ac:dyDescent="0.3">
      <c r="A827" t="str">
        <f>"202328B0100"</f>
        <v>202328B0100</v>
      </c>
      <c r="B827" t="s">
        <v>1744</v>
      </c>
      <c r="C827">
        <v>20</v>
      </c>
      <c r="D827" t="s">
        <v>79</v>
      </c>
      <c r="E827">
        <v>4</v>
      </c>
      <c r="F827" t="s">
        <v>1317</v>
      </c>
      <c r="G827">
        <v>2328</v>
      </c>
      <c r="H827">
        <v>1</v>
      </c>
      <c r="I827" t="s">
        <v>81</v>
      </c>
      <c r="J827">
        <v>0</v>
      </c>
      <c r="K827">
        <v>2</v>
      </c>
      <c r="L827">
        <v>2</v>
      </c>
      <c r="M827">
        <v>149</v>
      </c>
      <c r="N827">
        <v>379</v>
      </c>
      <c r="O827">
        <v>0</v>
      </c>
      <c r="P827">
        <v>379</v>
      </c>
      <c r="Q827">
        <v>9</v>
      </c>
      <c r="R827">
        <v>55</v>
      </c>
      <c r="S827">
        <v>12</v>
      </c>
      <c r="T827">
        <v>5</v>
      </c>
      <c r="U827">
        <v>15</v>
      </c>
      <c r="V827">
        <v>4</v>
      </c>
      <c r="W827">
        <v>6</v>
      </c>
      <c r="X827">
        <v>8</v>
      </c>
      <c r="Y827">
        <v>200</v>
      </c>
      <c r="Z827">
        <v>10</v>
      </c>
      <c r="AA827">
        <v>24</v>
      </c>
      <c r="AC827">
        <v>0</v>
      </c>
      <c r="AD827">
        <v>1</v>
      </c>
      <c r="AE827">
        <v>0</v>
      </c>
      <c r="AF827">
        <v>0</v>
      </c>
      <c r="AG827">
        <v>4</v>
      </c>
      <c r="AH827">
        <v>0</v>
      </c>
      <c r="AI827">
        <v>1</v>
      </c>
      <c r="AJ827">
        <v>0</v>
      </c>
      <c r="AK827">
        <v>3</v>
      </c>
      <c r="AL827">
        <v>1</v>
      </c>
      <c r="AM827">
        <v>0</v>
      </c>
      <c r="AN827">
        <v>1</v>
      </c>
      <c r="AT827">
        <v>0</v>
      </c>
      <c r="AU827">
        <v>20</v>
      </c>
      <c r="AV827">
        <v>379</v>
      </c>
      <c r="AW827">
        <v>379</v>
      </c>
      <c r="AX827">
        <v>505</v>
      </c>
      <c r="BA827">
        <v>1</v>
      </c>
      <c r="BC827" t="s">
        <v>1745</v>
      </c>
      <c r="BD827" s="4">
        <v>43283.07916666667</v>
      </c>
      <c r="BE827" s="4">
        <v>43283.086655092593</v>
      </c>
      <c r="BF827" s="4">
        <v>43283.086655092593</v>
      </c>
      <c r="BG827" t="s">
        <v>83</v>
      </c>
      <c r="BH827" t="s">
        <v>84</v>
      </c>
      <c r="BI827" t="s">
        <v>85</v>
      </c>
    </row>
    <row r="828" spans="1:61" x14ac:dyDescent="0.3">
      <c r="A828" t="str">
        <f>"202328C0100"</f>
        <v>202328C0100</v>
      </c>
      <c r="B828" t="s">
        <v>1746</v>
      </c>
      <c r="C828">
        <v>20</v>
      </c>
      <c r="D828" t="s">
        <v>79</v>
      </c>
      <c r="E828">
        <v>4</v>
      </c>
      <c r="F828" t="s">
        <v>1317</v>
      </c>
      <c r="G828">
        <v>2328</v>
      </c>
      <c r="H828">
        <v>1</v>
      </c>
      <c r="I828" t="s">
        <v>89</v>
      </c>
      <c r="J828">
        <v>0</v>
      </c>
      <c r="K828">
        <v>2</v>
      </c>
      <c r="L828">
        <v>2</v>
      </c>
      <c r="M828">
        <v>146</v>
      </c>
      <c r="N828">
        <v>381</v>
      </c>
      <c r="O828">
        <v>3</v>
      </c>
      <c r="P828">
        <v>381</v>
      </c>
      <c r="Q828">
        <v>14</v>
      </c>
      <c r="R828">
        <v>66</v>
      </c>
      <c r="S828">
        <v>9</v>
      </c>
      <c r="T828">
        <v>1</v>
      </c>
      <c r="U828">
        <v>9</v>
      </c>
      <c r="V828">
        <v>2</v>
      </c>
      <c r="W828">
        <v>6</v>
      </c>
      <c r="X828">
        <v>17</v>
      </c>
      <c r="Y828">
        <v>190</v>
      </c>
      <c r="Z828">
        <v>11</v>
      </c>
      <c r="AA828">
        <v>23</v>
      </c>
      <c r="AC828">
        <v>1</v>
      </c>
      <c r="AD828">
        <v>0</v>
      </c>
      <c r="AE828">
        <v>0</v>
      </c>
      <c r="AF828">
        <v>1</v>
      </c>
      <c r="AG828">
        <v>4</v>
      </c>
      <c r="AH828">
        <v>0</v>
      </c>
      <c r="AI828">
        <v>0</v>
      </c>
      <c r="AJ828">
        <v>0</v>
      </c>
      <c r="AK828">
        <v>5</v>
      </c>
      <c r="AL828">
        <v>1</v>
      </c>
      <c r="AM828">
        <v>0</v>
      </c>
      <c r="AN828">
        <v>1</v>
      </c>
      <c r="AT828">
        <v>2</v>
      </c>
      <c r="AU828">
        <v>18</v>
      </c>
      <c r="AV828">
        <v>381</v>
      </c>
      <c r="AW828">
        <v>381</v>
      </c>
      <c r="AX828">
        <v>505</v>
      </c>
      <c r="BA828">
        <v>1</v>
      </c>
      <c r="BC828" t="s">
        <v>1747</v>
      </c>
      <c r="BD828" s="4">
        <v>43283.131249999999</v>
      </c>
      <c r="BE828" s="4">
        <v>43283.149814814817</v>
      </c>
      <c r="BF828" s="4">
        <v>43283.149814814817</v>
      </c>
      <c r="BG828" t="s">
        <v>83</v>
      </c>
      <c r="BH828" t="s">
        <v>84</v>
      </c>
      <c r="BI828" t="s">
        <v>85</v>
      </c>
    </row>
    <row r="829" spans="1:61" x14ac:dyDescent="0.3">
      <c r="A829" t="str">
        <f>"202328C0200"</f>
        <v>202328C0200</v>
      </c>
      <c r="B829" t="s">
        <v>1748</v>
      </c>
      <c r="C829">
        <v>20</v>
      </c>
      <c r="D829" t="s">
        <v>79</v>
      </c>
      <c r="E829">
        <v>4</v>
      </c>
      <c r="F829" t="s">
        <v>1317</v>
      </c>
      <c r="G829">
        <v>2328</v>
      </c>
      <c r="H829">
        <v>2</v>
      </c>
      <c r="I829" t="s">
        <v>89</v>
      </c>
      <c r="J829">
        <v>0</v>
      </c>
      <c r="K829">
        <v>2</v>
      </c>
      <c r="L829">
        <v>2</v>
      </c>
      <c r="M829">
        <v>152</v>
      </c>
      <c r="N829">
        <v>376</v>
      </c>
      <c r="O829">
        <v>1</v>
      </c>
      <c r="P829">
        <v>376</v>
      </c>
      <c r="Q829">
        <v>11</v>
      </c>
      <c r="R829">
        <v>59</v>
      </c>
      <c r="S829">
        <v>16</v>
      </c>
      <c r="T829">
        <v>3</v>
      </c>
      <c r="U829">
        <v>9</v>
      </c>
      <c r="V829">
        <v>8</v>
      </c>
      <c r="W829">
        <v>15</v>
      </c>
      <c r="X829">
        <v>10</v>
      </c>
      <c r="Y829">
        <v>175</v>
      </c>
      <c r="Z829">
        <v>4</v>
      </c>
      <c r="AA829">
        <v>26</v>
      </c>
      <c r="AC829">
        <v>1</v>
      </c>
      <c r="AD829">
        <v>0</v>
      </c>
      <c r="AE829">
        <v>0</v>
      </c>
      <c r="AF829">
        <v>0</v>
      </c>
      <c r="AG829">
        <v>4</v>
      </c>
      <c r="AH829">
        <v>1</v>
      </c>
      <c r="AI829">
        <v>1</v>
      </c>
      <c r="AJ829">
        <v>0</v>
      </c>
      <c r="AK829">
        <v>5</v>
      </c>
      <c r="AL829">
        <v>1</v>
      </c>
      <c r="AM829">
        <v>0</v>
      </c>
      <c r="AN829">
        <v>0</v>
      </c>
      <c r="AT829">
        <v>1</v>
      </c>
      <c r="AU829">
        <v>22</v>
      </c>
      <c r="AV829">
        <v>372</v>
      </c>
      <c r="AW829">
        <v>372</v>
      </c>
      <c r="AX829">
        <v>505</v>
      </c>
      <c r="BA829">
        <v>1</v>
      </c>
      <c r="BC829" t="s">
        <v>1749</v>
      </c>
      <c r="BD829" s="4">
        <v>43283.129166666666</v>
      </c>
      <c r="BE829" s="4">
        <v>43283.138182870367</v>
      </c>
      <c r="BF829" s="4">
        <v>43283.138182870367</v>
      </c>
      <c r="BG829" t="s">
        <v>83</v>
      </c>
      <c r="BH829" t="s">
        <v>84</v>
      </c>
      <c r="BI829" t="s">
        <v>85</v>
      </c>
    </row>
    <row r="830" spans="1:61" x14ac:dyDescent="0.3">
      <c r="A830" t="str">
        <f>"202329B0100"</f>
        <v>202329B0100</v>
      </c>
      <c r="B830" t="s">
        <v>1750</v>
      </c>
      <c r="C830">
        <v>20</v>
      </c>
      <c r="D830" t="s">
        <v>79</v>
      </c>
      <c r="E830">
        <v>4</v>
      </c>
      <c r="F830" t="s">
        <v>1317</v>
      </c>
      <c r="G830">
        <v>2329</v>
      </c>
      <c r="H830">
        <v>1</v>
      </c>
      <c r="I830" t="s">
        <v>81</v>
      </c>
      <c r="J830">
        <v>0</v>
      </c>
      <c r="K830">
        <v>2</v>
      </c>
      <c r="L830">
        <v>2</v>
      </c>
      <c r="M830">
        <v>92</v>
      </c>
      <c r="N830">
        <v>281</v>
      </c>
      <c r="O830">
        <v>3</v>
      </c>
      <c r="P830">
        <v>281</v>
      </c>
      <c r="Q830">
        <v>6</v>
      </c>
      <c r="R830">
        <v>79</v>
      </c>
      <c r="S830">
        <v>17</v>
      </c>
      <c r="T830">
        <v>7</v>
      </c>
      <c r="U830">
        <v>3</v>
      </c>
      <c r="V830">
        <v>1</v>
      </c>
      <c r="W830">
        <v>42</v>
      </c>
      <c r="X830">
        <v>6</v>
      </c>
      <c r="Y830">
        <v>54</v>
      </c>
      <c r="Z830">
        <v>4</v>
      </c>
      <c r="AA830">
        <v>36</v>
      </c>
      <c r="AC830">
        <v>1</v>
      </c>
      <c r="AD830">
        <v>0</v>
      </c>
      <c r="AE830">
        <v>0</v>
      </c>
      <c r="AF830">
        <v>1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T830">
        <v>0</v>
      </c>
      <c r="AU830">
        <v>24</v>
      </c>
      <c r="AV830">
        <v>281</v>
      </c>
      <c r="AW830">
        <v>281</v>
      </c>
      <c r="AX830">
        <v>350</v>
      </c>
      <c r="BA830">
        <v>1</v>
      </c>
      <c r="BC830" t="s">
        <v>1751</v>
      </c>
      <c r="BD830" s="4">
        <v>43283.138888888891</v>
      </c>
      <c r="BE830" s="4">
        <v>43283.145856481482</v>
      </c>
      <c r="BF830" s="4">
        <v>43283.145856481482</v>
      </c>
      <c r="BG830" t="s">
        <v>83</v>
      </c>
      <c r="BH830" t="s">
        <v>84</v>
      </c>
      <c r="BI830" t="s">
        <v>85</v>
      </c>
    </row>
    <row r="831" spans="1:61" x14ac:dyDescent="0.3">
      <c r="A831" t="str">
        <f>"202330B0100"</f>
        <v>202330B0100</v>
      </c>
      <c r="B831" t="s">
        <v>1752</v>
      </c>
      <c r="C831">
        <v>20</v>
      </c>
      <c r="D831" t="s">
        <v>79</v>
      </c>
      <c r="E831">
        <v>4</v>
      </c>
      <c r="F831" t="s">
        <v>1317</v>
      </c>
      <c r="G831">
        <v>2330</v>
      </c>
      <c r="H831">
        <v>1</v>
      </c>
      <c r="I831" t="s">
        <v>81</v>
      </c>
      <c r="J831">
        <v>0</v>
      </c>
      <c r="K831">
        <v>2</v>
      </c>
      <c r="L831">
        <v>2</v>
      </c>
      <c r="M831">
        <v>108</v>
      </c>
      <c r="N831">
        <v>339</v>
      </c>
      <c r="O831">
        <v>0</v>
      </c>
      <c r="P831">
        <v>339</v>
      </c>
      <c r="Q831">
        <v>2</v>
      </c>
      <c r="R831">
        <v>88</v>
      </c>
      <c r="S831">
        <v>13</v>
      </c>
      <c r="T831">
        <v>4</v>
      </c>
      <c r="U831">
        <v>9</v>
      </c>
      <c r="V831">
        <v>4</v>
      </c>
      <c r="W831">
        <v>21</v>
      </c>
      <c r="X831">
        <v>6</v>
      </c>
      <c r="Y831">
        <v>145</v>
      </c>
      <c r="Z831">
        <v>11</v>
      </c>
      <c r="AA831">
        <v>11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3</v>
      </c>
      <c r="AI831">
        <v>2</v>
      </c>
      <c r="AJ831">
        <v>0</v>
      </c>
      <c r="AK831">
        <v>4</v>
      </c>
      <c r="AL831">
        <v>0</v>
      </c>
      <c r="AM831">
        <v>0</v>
      </c>
      <c r="AN831">
        <v>2</v>
      </c>
      <c r="AT831">
        <v>0</v>
      </c>
      <c r="AU831">
        <v>14</v>
      </c>
      <c r="AV831">
        <v>339</v>
      </c>
      <c r="AW831">
        <v>339</v>
      </c>
      <c r="AX831">
        <v>424</v>
      </c>
      <c r="BA831">
        <v>1</v>
      </c>
      <c r="BC831" t="s">
        <v>1753</v>
      </c>
      <c r="BD831" s="4">
        <v>43283.005555555559</v>
      </c>
      <c r="BE831" s="4">
        <v>43283.011446759258</v>
      </c>
      <c r="BF831" s="4">
        <v>43283.011446759258</v>
      </c>
      <c r="BG831" t="s">
        <v>83</v>
      </c>
      <c r="BH831" t="s">
        <v>84</v>
      </c>
      <c r="BI831" t="s">
        <v>85</v>
      </c>
    </row>
    <row r="832" spans="1:61" x14ac:dyDescent="0.3">
      <c r="A832" t="str">
        <f>"202405B0100"</f>
        <v>202405B0100</v>
      </c>
      <c r="B832" t="s">
        <v>1754</v>
      </c>
      <c r="C832">
        <v>20</v>
      </c>
      <c r="D832" t="s">
        <v>79</v>
      </c>
      <c r="E832">
        <v>4</v>
      </c>
      <c r="F832" t="s">
        <v>1317</v>
      </c>
      <c r="G832">
        <v>2405</v>
      </c>
      <c r="H832">
        <v>1</v>
      </c>
      <c r="I832" t="s">
        <v>81</v>
      </c>
      <c r="J832">
        <v>0</v>
      </c>
      <c r="K832">
        <v>1</v>
      </c>
      <c r="L832">
        <v>2</v>
      </c>
      <c r="M832" t="s">
        <v>100</v>
      </c>
      <c r="N832">
        <v>602</v>
      </c>
      <c r="O832">
        <v>0</v>
      </c>
      <c r="P832">
        <v>602</v>
      </c>
      <c r="Q832">
        <v>6</v>
      </c>
      <c r="R832">
        <v>63</v>
      </c>
      <c r="S832">
        <v>87</v>
      </c>
      <c r="T832">
        <v>44</v>
      </c>
      <c r="U832">
        <v>1</v>
      </c>
      <c r="V832">
        <v>6</v>
      </c>
      <c r="W832">
        <v>180</v>
      </c>
      <c r="X832">
        <v>4</v>
      </c>
      <c r="Y832">
        <v>149</v>
      </c>
      <c r="Z832">
        <v>10</v>
      </c>
      <c r="AA832">
        <v>31</v>
      </c>
      <c r="AC832">
        <v>0</v>
      </c>
      <c r="AD832">
        <v>0</v>
      </c>
      <c r="AE832">
        <v>0</v>
      </c>
      <c r="AF832">
        <v>0</v>
      </c>
      <c r="AG832">
        <v>1</v>
      </c>
      <c r="AH832">
        <v>2</v>
      </c>
      <c r="AI832">
        <v>0</v>
      </c>
      <c r="AJ832">
        <v>0</v>
      </c>
      <c r="AK832">
        <v>1</v>
      </c>
      <c r="AL832">
        <v>1</v>
      </c>
      <c r="AM832">
        <v>0</v>
      </c>
      <c r="AN832">
        <v>1</v>
      </c>
      <c r="AT832">
        <v>0</v>
      </c>
      <c r="AU832">
        <v>15</v>
      </c>
      <c r="AV832">
        <v>602</v>
      </c>
      <c r="AW832">
        <v>602</v>
      </c>
      <c r="AX832">
        <v>739</v>
      </c>
      <c r="BA832">
        <v>1</v>
      </c>
      <c r="BC832" t="s">
        <v>1755</v>
      </c>
      <c r="BD832" s="4">
        <v>43283.21875</v>
      </c>
      <c r="BE832" s="4">
        <v>43283.242418981485</v>
      </c>
      <c r="BF832" s="4">
        <v>43283.242418981485</v>
      </c>
      <c r="BG832" t="s">
        <v>83</v>
      </c>
      <c r="BH832" t="s">
        <v>84</v>
      </c>
      <c r="BI832" t="s">
        <v>85</v>
      </c>
    </row>
    <row r="833" spans="1:61" x14ac:dyDescent="0.3">
      <c r="A833" t="str">
        <f>"202406B0100"</f>
        <v>202406B0100</v>
      </c>
      <c r="B833" t="s">
        <v>1756</v>
      </c>
      <c r="C833">
        <v>20</v>
      </c>
      <c r="D833" t="s">
        <v>79</v>
      </c>
      <c r="E833">
        <v>4</v>
      </c>
      <c r="F833" t="s">
        <v>1317</v>
      </c>
      <c r="G833">
        <v>2406</v>
      </c>
      <c r="H833">
        <v>1</v>
      </c>
      <c r="I833" t="s">
        <v>81</v>
      </c>
      <c r="J833">
        <v>0</v>
      </c>
      <c r="K833">
        <v>2</v>
      </c>
      <c r="L833">
        <v>2</v>
      </c>
      <c r="M833" t="s">
        <v>100</v>
      </c>
      <c r="N833" t="s">
        <v>100</v>
      </c>
      <c r="O833" t="s">
        <v>100</v>
      </c>
      <c r="P833" t="s">
        <v>100</v>
      </c>
      <c r="Q833">
        <v>3</v>
      </c>
      <c r="R833">
        <v>39</v>
      </c>
      <c r="S833">
        <v>9</v>
      </c>
      <c r="T833">
        <v>45</v>
      </c>
      <c r="U833">
        <v>3</v>
      </c>
      <c r="V833">
        <v>1</v>
      </c>
      <c r="W833">
        <v>90</v>
      </c>
      <c r="X833">
        <v>4</v>
      </c>
      <c r="Y833">
        <v>153</v>
      </c>
      <c r="Z833">
        <v>9</v>
      </c>
      <c r="AA833">
        <v>30</v>
      </c>
      <c r="AC833">
        <v>1</v>
      </c>
      <c r="AD833">
        <v>0</v>
      </c>
      <c r="AE833">
        <v>0</v>
      </c>
      <c r="AF833">
        <v>0</v>
      </c>
      <c r="AG833">
        <v>2</v>
      </c>
      <c r="AH833">
        <v>3</v>
      </c>
      <c r="AI833">
        <v>0</v>
      </c>
      <c r="AJ833">
        <v>0</v>
      </c>
      <c r="AK833">
        <v>5</v>
      </c>
      <c r="AL833">
        <v>1</v>
      </c>
      <c r="AM833">
        <v>0</v>
      </c>
      <c r="AN833">
        <v>1</v>
      </c>
      <c r="AT833">
        <v>0</v>
      </c>
      <c r="AU833">
        <v>23</v>
      </c>
      <c r="AV833">
        <v>422</v>
      </c>
      <c r="AW833">
        <v>422</v>
      </c>
      <c r="AX833">
        <v>511</v>
      </c>
      <c r="BA833">
        <v>1</v>
      </c>
      <c r="BC833" t="s">
        <v>1757</v>
      </c>
      <c r="BD833" s="4">
        <v>43283.23333333333</v>
      </c>
      <c r="BE833" s="4">
        <v>43283.255983796298</v>
      </c>
      <c r="BF833" s="4">
        <v>43283.255983796298</v>
      </c>
      <c r="BG833" t="s">
        <v>83</v>
      </c>
      <c r="BH833" t="s">
        <v>84</v>
      </c>
      <c r="BI833" t="s">
        <v>85</v>
      </c>
    </row>
    <row r="834" spans="1:61" x14ac:dyDescent="0.3">
      <c r="A834" t="str">
        <f>"200057B0100"</f>
        <v>200057B0100</v>
      </c>
      <c r="B834" t="s">
        <v>1758</v>
      </c>
      <c r="C834">
        <v>20</v>
      </c>
      <c r="D834" t="s">
        <v>79</v>
      </c>
      <c r="E834">
        <v>5</v>
      </c>
      <c r="F834" t="s">
        <v>1759</v>
      </c>
      <c r="G834">
        <v>57</v>
      </c>
      <c r="H834">
        <v>1</v>
      </c>
      <c r="I834" t="s">
        <v>81</v>
      </c>
      <c r="J834">
        <v>0</v>
      </c>
      <c r="K834">
        <v>2</v>
      </c>
      <c r="L834">
        <v>2</v>
      </c>
      <c r="M834">
        <v>178</v>
      </c>
      <c r="N834">
        <v>451</v>
      </c>
      <c r="O834">
        <v>6</v>
      </c>
      <c r="P834">
        <v>451</v>
      </c>
      <c r="Q834">
        <v>16</v>
      </c>
      <c r="R834">
        <v>62</v>
      </c>
      <c r="S834">
        <v>74</v>
      </c>
      <c r="T834">
        <v>7</v>
      </c>
      <c r="U834">
        <v>53</v>
      </c>
      <c r="V834">
        <v>14</v>
      </c>
      <c r="W834">
        <v>28</v>
      </c>
      <c r="X834">
        <v>22</v>
      </c>
      <c r="Y834">
        <v>134</v>
      </c>
      <c r="Z834">
        <v>7</v>
      </c>
      <c r="AA834">
        <v>1</v>
      </c>
      <c r="AB834">
        <v>6</v>
      </c>
      <c r="AC834">
        <v>1</v>
      </c>
      <c r="AD834">
        <v>0</v>
      </c>
      <c r="AE834">
        <v>0</v>
      </c>
      <c r="AF834">
        <v>0</v>
      </c>
      <c r="AG834">
        <v>2</v>
      </c>
      <c r="AH834">
        <v>0</v>
      </c>
      <c r="AI834">
        <v>0</v>
      </c>
      <c r="AJ834">
        <v>0</v>
      </c>
      <c r="AK834">
        <v>6</v>
      </c>
      <c r="AL834">
        <v>1</v>
      </c>
      <c r="AM834">
        <v>0</v>
      </c>
      <c r="AN834">
        <v>0</v>
      </c>
      <c r="AT834">
        <v>0</v>
      </c>
      <c r="AU834">
        <v>0</v>
      </c>
      <c r="AV834">
        <v>451</v>
      </c>
      <c r="AW834">
        <v>434</v>
      </c>
      <c r="AX834">
        <v>608</v>
      </c>
      <c r="BA834">
        <v>1</v>
      </c>
      <c r="BC834" t="s">
        <v>1760</v>
      </c>
      <c r="BD834" s="4">
        <v>43283.224305555559</v>
      </c>
      <c r="BE834" s="4">
        <v>43283.249074074076</v>
      </c>
      <c r="BF834" s="4">
        <v>43283.249074074076</v>
      </c>
      <c r="BG834" t="s">
        <v>83</v>
      </c>
      <c r="BH834" t="s">
        <v>84</v>
      </c>
      <c r="BI834" t="s">
        <v>85</v>
      </c>
    </row>
    <row r="835" spans="1:61" x14ac:dyDescent="0.3">
      <c r="A835" t="str">
        <f>"200057C0100"</f>
        <v>200057C0100</v>
      </c>
      <c r="B835" t="s">
        <v>1761</v>
      </c>
      <c r="C835">
        <v>20</v>
      </c>
      <c r="D835" t="s">
        <v>79</v>
      </c>
      <c r="E835">
        <v>5</v>
      </c>
      <c r="F835" t="s">
        <v>1759</v>
      </c>
      <c r="G835">
        <v>57</v>
      </c>
      <c r="H835">
        <v>1</v>
      </c>
      <c r="I835" t="s">
        <v>89</v>
      </c>
      <c r="J835">
        <v>0</v>
      </c>
      <c r="K835">
        <v>2</v>
      </c>
      <c r="L835">
        <v>2</v>
      </c>
      <c r="M835">
        <v>199</v>
      </c>
      <c r="N835">
        <v>432</v>
      </c>
      <c r="O835">
        <v>0</v>
      </c>
      <c r="P835">
        <v>432</v>
      </c>
      <c r="Q835">
        <v>26</v>
      </c>
      <c r="R835">
        <v>57</v>
      </c>
      <c r="S835">
        <v>68</v>
      </c>
      <c r="T835">
        <v>3</v>
      </c>
      <c r="U835">
        <v>48</v>
      </c>
      <c r="V835">
        <v>11</v>
      </c>
      <c r="W835">
        <v>21</v>
      </c>
      <c r="X835">
        <v>26</v>
      </c>
      <c r="Y835">
        <v>117</v>
      </c>
      <c r="Z835">
        <v>7</v>
      </c>
      <c r="AA835">
        <v>5</v>
      </c>
      <c r="AB835">
        <v>8</v>
      </c>
      <c r="AC835">
        <v>1</v>
      </c>
      <c r="AD835">
        <v>0</v>
      </c>
      <c r="AE835">
        <v>0</v>
      </c>
      <c r="AF835">
        <v>0</v>
      </c>
      <c r="AG835">
        <v>2</v>
      </c>
      <c r="AH835">
        <v>0</v>
      </c>
      <c r="AI835">
        <v>6</v>
      </c>
      <c r="AJ835">
        <v>1</v>
      </c>
      <c r="AK835">
        <v>4</v>
      </c>
      <c r="AL835">
        <v>1</v>
      </c>
      <c r="AM835">
        <v>1</v>
      </c>
      <c r="AN835">
        <v>0</v>
      </c>
      <c r="AT835">
        <v>0</v>
      </c>
      <c r="AU835">
        <v>19</v>
      </c>
      <c r="AV835">
        <v>432</v>
      </c>
      <c r="AW835">
        <v>432</v>
      </c>
      <c r="AX835">
        <v>608</v>
      </c>
      <c r="BA835">
        <v>1</v>
      </c>
      <c r="BC835" t="s">
        <v>1762</v>
      </c>
      <c r="BD835" s="4">
        <v>43283.219444444447</v>
      </c>
      <c r="BE835" s="4">
        <v>43283.244571759256</v>
      </c>
      <c r="BF835" s="4">
        <v>43283.244571759256</v>
      </c>
      <c r="BG835" t="s">
        <v>83</v>
      </c>
      <c r="BH835" t="s">
        <v>84</v>
      </c>
      <c r="BI835" t="s">
        <v>85</v>
      </c>
    </row>
    <row r="836" spans="1:61" x14ac:dyDescent="0.3">
      <c r="A836" t="str">
        <f>"200057C0200"</f>
        <v>200057C0200</v>
      </c>
      <c r="B836" t="s">
        <v>1763</v>
      </c>
      <c r="C836">
        <v>20</v>
      </c>
      <c r="D836" t="s">
        <v>79</v>
      </c>
      <c r="E836">
        <v>5</v>
      </c>
      <c r="F836" t="s">
        <v>1759</v>
      </c>
      <c r="G836">
        <v>57</v>
      </c>
      <c r="H836">
        <v>2</v>
      </c>
      <c r="I836" t="s">
        <v>89</v>
      </c>
      <c r="J836">
        <v>0</v>
      </c>
      <c r="K836">
        <v>2</v>
      </c>
      <c r="L836">
        <v>2</v>
      </c>
      <c r="M836">
        <v>214</v>
      </c>
      <c r="N836" t="s">
        <v>315</v>
      </c>
      <c r="O836">
        <v>1</v>
      </c>
      <c r="P836" t="s">
        <v>315</v>
      </c>
      <c r="Q836">
        <v>10</v>
      </c>
      <c r="R836">
        <v>60</v>
      </c>
      <c r="S836">
        <v>59</v>
      </c>
      <c r="T836">
        <v>2</v>
      </c>
      <c r="U836">
        <v>45</v>
      </c>
      <c r="V836">
        <v>6</v>
      </c>
      <c r="W836">
        <v>33</v>
      </c>
      <c r="X836">
        <v>32</v>
      </c>
      <c r="Y836">
        <v>127</v>
      </c>
      <c r="Z836">
        <v>5</v>
      </c>
      <c r="AA836">
        <v>1</v>
      </c>
      <c r="AB836">
        <v>8</v>
      </c>
      <c r="AC836">
        <v>3</v>
      </c>
      <c r="AD836">
        <v>1</v>
      </c>
      <c r="AE836">
        <v>0</v>
      </c>
      <c r="AF836">
        <v>0</v>
      </c>
      <c r="AG836">
        <v>3</v>
      </c>
      <c r="AH836">
        <v>1</v>
      </c>
      <c r="AI836">
        <v>0</v>
      </c>
      <c r="AJ836">
        <v>0</v>
      </c>
      <c r="AK836">
        <v>6</v>
      </c>
      <c r="AL836">
        <v>0</v>
      </c>
      <c r="AM836">
        <v>0</v>
      </c>
      <c r="AN836">
        <v>1</v>
      </c>
      <c r="AT836">
        <v>0</v>
      </c>
      <c r="AU836">
        <v>13</v>
      </c>
      <c r="AV836">
        <v>416</v>
      </c>
      <c r="AW836">
        <v>416</v>
      </c>
      <c r="AX836">
        <v>608</v>
      </c>
      <c r="BA836">
        <v>1</v>
      </c>
      <c r="BC836" t="s">
        <v>1764</v>
      </c>
      <c r="BD836" s="4">
        <v>43283.222916666666</v>
      </c>
      <c r="BE836" s="4">
        <v>43283.253391203703</v>
      </c>
      <c r="BF836" s="4">
        <v>43283.253391203703</v>
      </c>
      <c r="BG836" t="s">
        <v>83</v>
      </c>
      <c r="BH836" t="s">
        <v>84</v>
      </c>
      <c r="BI836" t="s">
        <v>85</v>
      </c>
    </row>
    <row r="837" spans="1:61" x14ac:dyDescent="0.3">
      <c r="A837" t="str">
        <f>"200057C0300"</f>
        <v>200057C0300</v>
      </c>
      <c r="B837" t="s">
        <v>1765</v>
      </c>
      <c r="C837">
        <v>20</v>
      </c>
      <c r="D837" t="s">
        <v>79</v>
      </c>
      <c r="E837">
        <v>5</v>
      </c>
      <c r="F837" t="s">
        <v>1759</v>
      </c>
      <c r="G837">
        <v>57</v>
      </c>
      <c r="H837">
        <v>3</v>
      </c>
      <c r="I837" t="s">
        <v>89</v>
      </c>
      <c r="J837">
        <v>0</v>
      </c>
      <c r="K837">
        <v>2</v>
      </c>
      <c r="L837">
        <v>2</v>
      </c>
      <c r="M837">
        <v>193</v>
      </c>
      <c r="N837">
        <v>438</v>
      </c>
      <c r="O837">
        <v>5</v>
      </c>
      <c r="P837">
        <v>438</v>
      </c>
      <c r="Q837">
        <v>20</v>
      </c>
      <c r="R837">
        <v>56</v>
      </c>
      <c r="S837">
        <v>76</v>
      </c>
      <c r="T837">
        <v>2</v>
      </c>
      <c r="U837">
        <v>39</v>
      </c>
      <c r="V837">
        <v>10</v>
      </c>
      <c r="W837">
        <v>28</v>
      </c>
      <c r="X837">
        <v>31</v>
      </c>
      <c r="Y837">
        <v>132</v>
      </c>
      <c r="Z837">
        <v>7</v>
      </c>
      <c r="AA837">
        <v>2</v>
      </c>
      <c r="AB837">
        <v>8</v>
      </c>
      <c r="AC837">
        <v>1</v>
      </c>
      <c r="AD837">
        <v>1</v>
      </c>
      <c r="AE837">
        <v>0</v>
      </c>
      <c r="AF837">
        <v>0</v>
      </c>
      <c r="AG837">
        <v>0</v>
      </c>
      <c r="AH837">
        <v>1</v>
      </c>
      <c r="AI837">
        <v>1</v>
      </c>
      <c r="AJ837">
        <v>0</v>
      </c>
      <c r="AK837">
        <v>6</v>
      </c>
      <c r="AL837">
        <v>1</v>
      </c>
      <c r="AM837">
        <v>0</v>
      </c>
      <c r="AN837">
        <v>2</v>
      </c>
      <c r="AT837">
        <v>0</v>
      </c>
      <c r="AU837">
        <v>14</v>
      </c>
      <c r="AV837">
        <v>438</v>
      </c>
      <c r="AW837">
        <v>438</v>
      </c>
      <c r="AX837">
        <v>608</v>
      </c>
      <c r="BA837">
        <v>1</v>
      </c>
      <c r="BC837" t="s">
        <v>1766</v>
      </c>
      <c r="BD837" s="4">
        <v>43283.219444444447</v>
      </c>
      <c r="BE837" s="4">
        <v>43283.242708333331</v>
      </c>
      <c r="BF837" s="4">
        <v>43283.242708333331</v>
      </c>
      <c r="BG837" t="s">
        <v>83</v>
      </c>
      <c r="BH837" t="s">
        <v>84</v>
      </c>
      <c r="BI837" t="s">
        <v>85</v>
      </c>
    </row>
    <row r="838" spans="1:61" x14ac:dyDescent="0.3">
      <c r="A838" t="str">
        <f>"200057C0400"</f>
        <v>200057C0400</v>
      </c>
      <c r="B838" t="s">
        <v>1767</v>
      </c>
      <c r="C838">
        <v>20</v>
      </c>
      <c r="D838" t="s">
        <v>79</v>
      </c>
      <c r="E838">
        <v>5</v>
      </c>
      <c r="F838" t="s">
        <v>1759</v>
      </c>
      <c r="G838">
        <v>57</v>
      </c>
      <c r="H838">
        <v>4</v>
      </c>
      <c r="I838" t="s">
        <v>89</v>
      </c>
      <c r="J838">
        <v>0</v>
      </c>
      <c r="K838">
        <v>2</v>
      </c>
      <c r="L838">
        <v>2</v>
      </c>
      <c r="M838">
        <v>222</v>
      </c>
      <c r="N838">
        <v>409</v>
      </c>
      <c r="O838">
        <v>1</v>
      </c>
      <c r="P838">
        <v>409</v>
      </c>
      <c r="Q838">
        <v>16</v>
      </c>
      <c r="R838">
        <v>67</v>
      </c>
      <c r="S838">
        <v>56</v>
      </c>
      <c r="T838">
        <v>0</v>
      </c>
      <c r="U838">
        <v>39</v>
      </c>
      <c r="V838">
        <v>11</v>
      </c>
      <c r="W838">
        <v>29</v>
      </c>
      <c r="X838">
        <v>22</v>
      </c>
      <c r="Y838">
        <v>128</v>
      </c>
      <c r="Z838">
        <v>4</v>
      </c>
      <c r="AA838">
        <v>3</v>
      </c>
      <c r="AB838">
        <v>10</v>
      </c>
      <c r="AC838">
        <v>1</v>
      </c>
      <c r="AD838">
        <v>0</v>
      </c>
      <c r="AE838">
        <v>0</v>
      </c>
      <c r="AF838">
        <v>0</v>
      </c>
      <c r="AG838">
        <v>1</v>
      </c>
      <c r="AH838">
        <v>3</v>
      </c>
      <c r="AI838">
        <v>1</v>
      </c>
      <c r="AJ838">
        <v>1</v>
      </c>
      <c r="AK838">
        <v>3</v>
      </c>
      <c r="AL838">
        <v>2</v>
      </c>
      <c r="AM838">
        <v>0</v>
      </c>
      <c r="AN838">
        <v>2</v>
      </c>
      <c r="AT838">
        <v>0</v>
      </c>
      <c r="AU838">
        <v>17</v>
      </c>
      <c r="AV838">
        <v>416</v>
      </c>
      <c r="AW838">
        <v>416</v>
      </c>
      <c r="AX838">
        <v>608</v>
      </c>
      <c r="BA838">
        <v>1</v>
      </c>
      <c r="BC838" t="s">
        <v>1768</v>
      </c>
      <c r="BD838" s="4">
        <v>43283.222916666666</v>
      </c>
      <c r="BE838" s="4">
        <v>43283.24622685185</v>
      </c>
      <c r="BF838" s="4">
        <v>43283.24622685185</v>
      </c>
      <c r="BG838" t="s">
        <v>83</v>
      </c>
      <c r="BH838" t="s">
        <v>84</v>
      </c>
      <c r="BI838" t="s">
        <v>85</v>
      </c>
    </row>
    <row r="839" spans="1:61" x14ac:dyDescent="0.3">
      <c r="A839" t="str">
        <f>"200058B0100"</f>
        <v>200058B0100</v>
      </c>
      <c r="B839" t="s">
        <v>1769</v>
      </c>
      <c r="C839">
        <v>20</v>
      </c>
      <c r="D839" t="s">
        <v>79</v>
      </c>
      <c r="E839">
        <v>5</v>
      </c>
      <c r="F839" t="s">
        <v>1759</v>
      </c>
      <c r="G839">
        <v>58</v>
      </c>
      <c r="H839">
        <v>1</v>
      </c>
      <c r="I839" t="s">
        <v>81</v>
      </c>
      <c r="J839">
        <v>0</v>
      </c>
      <c r="K839">
        <v>1</v>
      </c>
      <c r="L839">
        <v>2</v>
      </c>
      <c r="M839">
        <v>199</v>
      </c>
      <c r="N839">
        <v>530</v>
      </c>
      <c r="O839">
        <v>2</v>
      </c>
      <c r="P839">
        <v>530</v>
      </c>
      <c r="Q839">
        <v>11</v>
      </c>
      <c r="R839">
        <v>90</v>
      </c>
      <c r="S839">
        <v>79</v>
      </c>
      <c r="T839">
        <v>3</v>
      </c>
      <c r="U839">
        <v>61</v>
      </c>
      <c r="V839">
        <v>10</v>
      </c>
      <c r="W839">
        <v>51</v>
      </c>
      <c r="X839">
        <v>49</v>
      </c>
      <c r="Y839">
        <v>120</v>
      </c>
      <c r="Z839">
        <v>1</v>
      </c>
      <c r="AA839">
        <v>1</v>
      </c>
      <c r="AB839">
        <v>13</v>
      </c>
      <c r="AC839">
        <v>1</v>
      </c>
      <c r="AD839">
        <v>0</v>
      </c>
      <c r="AE839">
        <v>0</v>
      </c>
      <c r="AF839">
        <v>0</v>
      </c>
      <c r="AG839">
        <v>2</v>
      </c>
      <c r="AH839">
        <v>2</v>
      </c>
      <c r="AI839">
        <v>3</v>
      </c>
      <c r="AJ839">
        <v>0</v>
      </c>
      <c r="AK839">
        <v>7</v>
      </c>
      <c r="AL839">
        <v>2</v>
      </c>
      <c r="AM839">
        <v>0</v>
      </c>
      <c r="AN839">
        <v>2</v>
      </c>
      <c r="AT839">
        <v>0</v>
      </c>
      <c r="AU839">
        <v>22</v>
      </c>
      <c r="AV839">
        <v>530</v>
      </c>
      <c r="AW839">
        <v>530</v>
      </c>
      <c r="AX839">
        <v>708</v>
      </c>
      <c r="BA839">
        <v>1</v>
      </c>
      <c r="BC839" t="s">
        <v>1770</v>
      </c>
      <c r="BD839" s="4">
        <v>43283.15902777778</v>
      </c>
      <c r="BE839" s="4">
        <v>43283.170659722222</v>
      </c>
      <c r="BF839" s="4">
        <v>43283.170659722222</v>
      </c>
      <c r="BG839" t="s">
        <v>83</v>
      </c>
      <c r="BH839" t="s">
        <v>84</v>
      </c>
      <c r="BI839" t="s">
        <v>85</v>
      </c>
    </row>
    <row r="840" spans="1:61" x14ac:dyDescent="0.3">
      <c r="A840" t="str">
        <f>"200058C0100"</f>
        <v>200058C0100</v>
      </c>
      <c r="B840" t="s">
        <v>1771</v>
      </c>
      <c r="C840">
        <v>20</v>
      </c>
      <c r="D840" t="s">
        <v>79</v>
      </c>
      <c r="E840">
        <v>5</v>
      </c>
      <c r="F840" t="s">
        <v>1759</v>
      </c>
      <c r="G840">
        <v>58</v>
      </c>
      <c r="H840">
        <v>1</v>
      </c>
      <c r="I840" t="s">
        <v>89</v>
      </c>
      <c r="J840">
        <v>0</v>
      </c>
      <c r="K840">
        <v>1</v>
      </c>
      <c r="L840">
        <v>2</v>
      </c>
      <c r="M840">
        <v>217</v>
      </c>
      <c r="N840">
        <v>514</v>
      </c>
      <c r="O840">
        <v>0</v>
      </c>
      <c r="P840">
        <v>514</v>
      </c>
      <c r="Q840">
        <v>27</v>
      </c>
      <c r="R840">
        <v>63</v>
      </c>
      <c r="S840">
        <v>80</v>
      </c>
      <c r="T840">
        <v>5</v>
      </c>
      <c r="U840">
        <v>66</v>
      </c>
      <c r="V840">
        <v>9</v>
      </c>
      <c r="W840">
        <v>35</v>
      </c>
      <c r="X840">
        <v>32</v>
      </c>
      <c r="Y840">
        <v>141</v>
      </c>
      <c r="Z840">
        <v>5</v>
      </c>
      <c r="AA840">
        <v>2</v>
      </c>
      <c r="AB840">
        <v>14</v>
      </c>
      <c r="AC840">
        <v>2</v>
      </c>
      <c r="AD840">
        <v>1</v>
      </c>
      <c r="AE840">
        <v>0</v>
      </c>
      <c r="AF840">
        <v>1</v>
      </c>
      <c r="AG840">
        <v>2</v>
      </c>
      <c r="AH840">
        <v>1</v>
      </c>
      <c r="AI840">
        <v>5</v>
      </c>
      <c r="AJ840">
        <v>0</v>
      </c>
      <c r="AK840">
        <v>3</v>
      </c>
      <c r="AL840">
        <v>1</v>
      </c>
      <c r="AM840">
        <v>0</v>
      </c>
      <c r="AN840">
        <v>0</v>
      </c>
      <c r="AT840">
        <v>0</v>
      </c>
      <c r="AU840">
        <v>19</v>
      </c>
      <c r="AV840">
        <v>514</v>
      </c>
      <c r="AW840">
        <v>514</v>
      </c>
      <c r="AX840">
        <v>708</v>
      </c>
      <c r="BA840">
        <v>1</v>
      </c>
      <c r="BC840" t="s">
        <v>1772</v>
      </c>
      <c r="BD840" s="4">
        <v>43283.15902777778</v>
      </c>
      <c r="BE840" s="4">
        <v>43283.170057870368</v>
      </c>
      <c r="BF840" s="4">
        <v>43283.170057870368</v>
      </c>
      <c r="BG840" t="s">
        <v>83</v>
      </c>
      <c r="BH840" t="s">
        <v>84</v>
      </c>
      <c r="BI840" t="s">
        <v>85</v>
      </c>
    </row>
    <row r="841" spans="1:61" x14ac:dyDescent="0.3">
      <c r="A841" t="str">
        <f>"200058C0200"</f>
        <v>200058C0200</v>
      </c>
      <c r="B841" t="s">
        <v>1773</v>
      </c>
      <c r="C841">
        <v>20</v>
      </c>
      <c r="D841" t="s">
        <v>79</v>
      </c>
      <c r="E841">
        <v>5</v>
      </c>
      <c r="F841" t="s">
        <v>1759</v>
      </c>
      <c r="G841">
        <v>58</v>
      </c>
      <c r="H841">
        <v>2</v>
      </c>
      <c r="I841" t="s">
        <v>89</v>
      </c>
      <c r="J841">
        <v>0</v>
      </c>
      <c r="K841">
        <v>1</v>
      </c>
      <c r="L841">
        <v>2</v>
      </c>
      <c r="M841">
        <v>208</v>
      </c>
      <c r="N841">
        <v>522</v>
      </c>
      <c r="O841">
        <v>1</v>
      </c>
      <c r="P841">
        <v>522</v>
      </c>
      <c r="Q841">
        <v>31</v>
      </c>
      <c r="R841">
        <v>65</v>
      </c>
      <c r="S841">
        <v>78</v>
      </c>
      <c r="T841">
        <v>6</v>
      </c>
      <c r="U841">
        <v>61</v>
      </c>
      <c r="V841">
        <v>6</v>
      </c>
      <c r="W841">
        <v>28</v>
      </c>
      <c r="X841">
        <v>30</v>
      </c>
      <c r="Y841">
        <v>156</v>
      </c>
      <c r="Z841">
        <v>2</v>
      </c>
      <c r="AA841">
        <v>2</v>
      </c>
      <c r="AB841">
        <v>15</v>
      </c>
      <c r="AC841">
        <v>2</v>
      </c>
      <c r="AD841">
        <v>1</v>
      </c>
      <c r="AE841">
        <v>0</v>
      </c>
      <c r="AF841">
        <v>0</v>
      </c>
      <c r="AG841">
        <v>6</v>
      </c>
      <c r="AH841">
        <v>0</v>
      </c>
      <c r="AI841">
        <v>3</v>
      </c>
      <c r="AJ841">
        <v>1</v>
      </c>
      <c r="AK841">
        <v>3</v>
      </c>
      <c r="AL841">
        <v>1</v>
      </c>
      <c r="AM841">
        <v>0</v>
      </c>
      <c r="AN841">
        <v>0</v>
      </c>
      <c r="AT841">
        <v>0</v>
      </c>
      <c r="AU841">
        <v>25</v>
      </c>
      <c r="AV841">
        <v>522</v>
      </c>
      <c r="AW841">
        <v>522</v>
      </c>
      <c r="AX841">
        <v>707</v>
      </c>
      <c r="BA841">
        <v>1</v>
      </c>
      <c r="BC841" t="s">
        <v>1774</v>
      </c>
      <c r="BD841" s="4">
        <v>43283.156944444447</v>
      </c>
      <c r="BE841" s="4">
        <v>43283.169664351852</v>
      </c>
      <c r="BF841" s="4">
        <v>43283.169664351852</v>
      </c>
      <c r="BG841" t="s">
        <v>83</v>
      </c>
      <c r="BH841" t="s">
        <v>84</v>
      </c>
      <c r="BI841" t="s">
        <v>85</v>
      </c>
    </row>
    <row r="842" spans="1:61" x14ac:dyDescent="0.3">
      <c r="A842" t="str">
        <f>"200058C0300"</f>
        <v>200058C0300</v>
      </c>
      <c r="B842" t="s">
        <v>1775</v>
      </c>
      <c r="C842">
        <v>20</v>
      </c>
      <c r="D842" t="s">
        <v>79</v>
      </c>
      <c r="E842">
        <v>5</v>
      </c>
      <c r="F842" t="s">
        <v>1759</v>
      </c>
      <c r="G842">
        <v>58</v>
      </c>
      <c r="H842">
        <v>3</v>
      </c>
      <c r="I842" t="s">
        <v>89</v>
      </c>
      <c r="J842">
        <v>0</v>
      </c>
      <c r="K842">
        <v>1</v>
      </c>
      <c r="L842">
        <v>2</v>
      </c>
      <c r="M842">
        <v>202</v>
      </c>
      <c r="N842">
        <v>528</v>
      </c>
      <c r="O842">
        <v>2</v>
      </c>
      <c r="P842">
        <v>528</v>
      </c>
      <c r="Q842">
        <v>26</v>
      </c>
      <c r="R842">
        <v>73</v>
      </c>
      <c r="S842" t="s">
        <v>315</v>
      </c>
      <c r="T842">
        <v>5</v>
      </c>
      <c r="U842" t="s">
        <v>315</v>
      </c>
      <c r="V842">
        <v>16</v>
      </c>
      <c r="W842" t="s">
        <v>315</v>
      </c>
      <c r="X842" t="s">
        <v>315</v>
      </c>
      <c r="Y842">
        <v>138</v>
      </c>
      <c r="Z842">
        <v>7</v>
      </c>
      <c r="AA842">
        <v>0</v>
      </c>
      <c r="AB842">
        <v>14</v>
      </c>
      <c r="AC842">
        <v>0</v>
      </c>
      <c r="AD842">
        <v>2</v>
      </c>
      <c r="AE842" t="s">
        <v>315</v>
      </c>
      <c r="AF842">
        <v>0</v>
      </c>
      <c r="AG842">
        <v>5</v>
      </c>
      <c r="AH842">
        <v>1</v>
      </c>
      <c r="AI842">
        <v>1</v>
      </c>
      <c r="AJ842">
        <v>0</v>
      </c>
      <c r="AK842">
        <v>3</v>
      </c>
      <c r="AL842">
        <v>3</v>
      </c>
      <c r="AM842">
        <v>1</v>
      </c>
      <c r="AN842">
        <v>0</v>
      </c>
      <c r="AT842">
        <v>0</v>
      </c>
      <c r="AU842" t="s">
        <v>315</v>
      </c>
      <c r="AV842" t="s">
        <v>315</v>
      </c>
      <c r="AW842">
        <v>295</v>
      </c>
      <c r="AX842">
        <v>707</v>
      </c>
      <c r="AZ842" t="s">
        <v>101</v>
      </c>
      <c r="BA842">
        <v>1</v>
      </c>
      <c r="BC842" t="s">
        <v>1776</v>
      </c>
      <c r="BD842" s="4">
        <v>43283.227777777778</v>
      </c>
      <c r="BE842" s="4">
        <v>43283.262835648151</v>
      </c>
      <c r="BF842" s="4">
        <v>43283.262835648151</v>
      </c>
      <c r="BG842" t="s">
        <v>83</v>
      </c>
      <c r="BH842" t="s">
        <v>84</v>
      </c>
      <c r="BI842" t="s">
        <v>548</v>
      </c>
    </row>
    <row r="843" spans="1:61" x14ac:dyDescent="0.3">
      <c r="A843" t="str">
        <f>"200059B0100"</f>
        <v>200059B0100</v>
      </c>
      <c r="B843" t="s">
        <v>1777</v>
      </c>
      <c r="C843">
        <v>20</v>
      </c>
      <c r="D843" t="s">
        <v>79</v>
      </c>
      <c r="E843">
        <v>5</v>
      </c>
      <c r="F843" t="s">
        <v>1759</v>
      </c>
      <c r="G843">
        <v>59</v>
      </c>
      <c r="H843">
        <v>1</v>
      </c>
      <c r="I843" t="s">
        <v>81</v>
      </c>
      <c r="J843">
        <v>0</v>
      </c>
      <c r="K843">
        <v>2</v>
      </c>
      <c r="L843">
        <v>2</v>
      </c>
      <c r="M843">
        <v>220</v>
      </c>
      <c r="N843">
        <v>519</v>
      </c>
      <c r="O843">
        <v>4</v>
      </c>
      <c r="P843">
        <v>519</v>
      </c>
      <c r="Q843">
        <v>12</v>
      </c>
      <c r="R843">
        <v>154</v>
      </c>
      <c r="S843">
        <v>67</v>
      </c>
      <c r="T843">
        <v>3</v>
      </c>
      <c r="U843">
        <v>56</v>
      </c>
      <c r="V843">
        <v>16</v>
      </c>
      <c r="W843">
        <v>13</v>
      </c>
      <c r="X843">
        <v>24</v>
      </c>
      <c r="Y843">
        <v>112</v>
      </c>
      <c r="Z843">
        <v>4</v>
      </c>
      <c r="AA843">
        <v>3</v>
      </c>
      <c r="AB843">
        <v>21</v>
      </c>
      <c r="AC843">
        <v>2</v>
      </c>
      <c r="AD843">
        <v>0</v>
      </c>
      <c r="AE843">
        <v>0</v>
      </c>
      <c r="AF843">
        <v>0</v>
      </c>
      <c r="AG843">
        <v>8</v>
      </c>
      <c r="AH843">
        <v>1</v>
      </c>
      <c r="AI843">
        <v>4</v>
      </c>
      <c r="AJ843">
        <v>0</v>
      </c>
      <c r="AK843">
        <v>1</v>
      </c>
      <c r="AL843">
        <v>1</v>
      </c>
      <c r="AM843">
        <v>0</v>
      </c>
      <c r="AN843">
        <v>2</v>
      </c>
      <c r="AT843">
        <v>0</v>
      </c>
      <c r="AU843">
        <v>15</v>
      </c>
      <c r="AV843">
        <v>519</v>
      </c>
      <c r="AW843">
        <v>519</v>
      </c>
      <c r="AX843">
        <v>716</v>
      </c>
      <c r="BA843">
        <v>1</v>
      </c>
      <c r="BC843" t="s">
        <v>1778</v>
      </c>
      <c r="BD843" s="4">
        <v>43283.227777777778</v>
      </c>
      <c r="BE843" s="4">
        <v>43283.252824074072</v>
      </c>
      <c r="BF843" s="4">
        <v>43283.252824074072</v>
      </c>
      <c r="BG843" t="s">
        <v>83</v>
      </c>
      <c r="BH843" t="s">
        <v>84</v>
      </c>
      <c r="BI843" t="s">
        <v>85</v>
      </c>
    </row>
    <row r="844" spans="1:61" x14ac:dyDescent="0.3">
      <c r="A844" t="str">
        <f>"200059C0100"</f>
        <v>200059C0100</v>
      </c>
      <c r="B844" t="s">
        <v>1779</v>
      </c>
      <c r="C844">
        <v>20</v>
      </c>
      <c r="D844" t="s">
        <v>79</v>
      </c>
      <c r="E844">
        <v>5</v>
      </c>
      <c r="F844" t="s">
        <v>1759</v>
      </c>
      <c r="G844">
        <v>59</v>
      </c>
      <c r="H844">
        <v>1</v>
      </c>
      <c r="I844" t="s">
        <v>89</v>
      </c>
      <c r="J844">
        <v>0</v>
      </c>
      <c r="K844">
        <v>2</v>
      </c>
      <c r="L844">
        <v>2</v>
      </c>
      <c r="M844">
        <v>221</v>
      </c>
      <c r="N844">
        <v>518</v>
      </c>
      <c r="O844">
        <v>7</v>
      </c>
      <c r="P844">
        <v>518</v>
      </c>
      <c r="Q844">
        <v>19</v>
      </c>
      <c r="R844">
        <v>101</v>
      </c>
      <c r="S844">
        <v>81</v>
      </c>
      <c r="T844">
        <v>0</v>
      </c>
      <c r="U844">
        <v>52</v>
      </c>
      <c r="V844">
        <v>15</v>
      </c>
      <c r="W844">
        <v>22</v>
      </c>
      <c r="X844">
        <v>25</v>
      </c>
      <c r="Y844">
        <v>150</v>
      </c>
      <c r="Z844">
        <v>3</v>
      </c>
      <c r="AA844">
        <v>0</v>
      </c>
      <c r="AB844">
        <v>6</v>
      </c>
      <c r="AC844">
        <v>0</v>
      </c>
      <c r="AD844">
        <v>1</v>
      </c>
      <c r="AE844">
        <v>0</v>
      </c>
      <c r="AF844">
        <v>2</v>
      </c>
      <c r="AG844">
        <v>7</v>
      </c>
      <c r="AH844">
        <v>3</v>
      </c>
      <c r="AI844">
        <v>6</v>
      </c>
      <c r="AJ844">
        <v>0</v>
      </c>
      <c r="AK844">
        <v>5</v>
      </c>
      <c r="AL844">
        <v>2</v>
      </c>
      <c r="AM844">
        <v>1</v>
      </c>
      <c r="AN844">
        <v>0</v>
      </c>
      <c r="AT844">
        <v>0</v>
      </c>
      <c r="AU844">
        <v>17</v>
      </c>
      <c r="AV844">
        <v>518</v>
      </c>
      <c r="AW844">
        <v>518</v>
      </c>
      <c r="AX844">
        <v>716</v>
      </c>
      <c r="BA844">
        <v>1</v>
      </c>
      <c r="BC844" t="s">
        <v>1780</v>
      </c>
      <c r="BD844" s="4">
        <v>43283.222916666666</v>
      </c>
      <c r="BE844" s="4">
        <v>43283.247476851851</v>
      </c>
      <c r="BF844" s="4">
        <v>43283.247476851851</v>
      </c>
      <c r="BG844" t="s">
        <v>83</v>
      </c>
      <c r="BH844" t="s">
        <v>84</v>
      </c>
      <c r="BI844" t="s">
        <v>85</v>
      </c>
    </row>
    <row r="845" spans="1:61" x14ac:dyDescent="0.3">
      <c r="A845" t="str">
        <f>"200059C0200"</f>
        <v>200059C0200</v>
      </c>
      <c r="B845" t="s">
        <v>1781</v>
      </c>
      <c r="C845">
        <v>20</v>
      </c>
      <c r="D845" t="s">
        <v>79</v>
      </c>
      <c r="E845">
        <v>5</v>
      </c>
      <c r="F845" t="s">
        <v>1759</v>
      </c>
      <c r="G845">
        <v>59</v>
      </c>
      <c r="H845">
        <v>2</v>
      </c>
      <c r="I845" t="s">
        <v>89</v>
      </c>
      <c r="J845">
        <v>0</v>
      </c>
      <c r="K845">
        <v>2</v>
      </c>
      <c r="L845">
        <v>2</v>
      </c>
      <c r="M845">
        <v>225</v>
      </c>
      <c r="N845">
        <v>512</v>
      </c>
      <c r="O845">
        <v>5</v>
      </c>
      <c r="P845">
        <v>512</v>
      </c>
      <c r="Q845">
        <v>22</v>
      </c>
      <c r="R845">
        <v>150</v>
      </c>
      <c r="S845">
        <v>72</v>
      </c>
      <c r="T845">
        <v>8</v>
      </c>
      <c r="U845">
        <v>28</v>
      </c>
      <c r="V845">
        <v>11</v>
      </c>
      <c r="W845">
        <v>17</v>
      </c>
      <c r="X845">
        <v>25</v>
      </c>
      <c r="Y845">
        <v>114</v>
      </c>
      <c r="Z845">
        <v>4</v>
      </c>
      <c r="AA845">
        <v>2</v>
      </c>
      <c r="AB845">
        <v>19</v>
      </c>
      <c r="AC845">
        <v>0</v>
      </c>
      <c r="AD845">
        <v>0</v>
      </c>
      <c r="AE845">
        <v>0</v>
      </c>
      <c r="AF845">
        <v>0</v>
      </c>
      <c r="AG845">
        <v>7</v>
      </c>
      <c r="AH845">
        <v>0</v>
      </c>
      <c r="AI845">
        <v>0</v>
      </c>
      <c r="AJ845">
        <v>5</v>
      </c>
      <c r="AK845">
        <v>7</v>
      </c>
      <c r="AL845">
        <v>0</v>
      </c>
      <c r="AM845">
        <v>0</v>
      </c>
      <c r="AN845">
        <v>1</v>
      </c>
      <c r="AT845">
        <v>0</v>
      </c>
      <c r="AU845">
        <v>11</v>
      </c>
      <c r="AV845">
        <v>513</v>
      </c>
      <c r="AW845">
        <v>503</v>
      </c>
      <c r="AX845">
        <v>715</v>
      </c>
      <c r="BA845">
        <v>1</v>
      </c>
      <c r="BC845" t="s">
        <v>1782</v>
      </c>
      <c r="BD845" s="4">
        <v>43283.222916666666</v>
      </c>
      <c r="BE845" s="4">
        <v>43283.247476851851</v>
      </c>
      <c r="BF845" s="4">
        <v>43283.247476851851</v>
      </c>
      <c r="BG845" t="s">
        <v>83</v>
      </c>
      <c r="BH845" t="s">
        <v>84</v>
      </c>
      <c r="BI845" t="s">
        <v>85</v>
      </c>
    </row>
    <row r="846" spans="1:61" x14ac:dyDescent="0.3">
      <c r="A846" t="str">
        <f>"200059S0100"</f>
        <v>200059S0100</v>
      </c>
      <c r="B846" t="s">
        <v>1783</v>
      </c>
      <c r="C846">
        <v>20</v>
      </c>
      <c r="D846" t="s">
        <v>79</v>
      </c>
      <c r="E846">
        <v>5</v>
      </c>
      <c r="F846" t="s">
        <v>1759</v>
      </c>
      <c r="G846">
        <v>59</v>
      </c>
      <c r="H846">
        <v>1</v>
      </c>
      <c r="I846" t="s">
        <v>104</v>
      </c>
      <c r="J846">
        <v>0</v>
      </c>
      <c r="K846">
        <v>2</v>
      </c>
      <c r="L846">
        <v>3</v>
      </c>
      <c r="M846">
        <v>384</v>
      </c>
      <c r="N846">
        <v>173</v>
      </c>
      <c r="O846">
        <v>0</v>
      </c>
      <c r="P846">
        <v>173</v>
      </c>
      <c r="Q846">
        <v>5</v>
      </c>
      <c r="R846">
        <v>22</v>
      </c>
      <c r="S846">
        <v>19</v>
      </c>
      <c r="T846">
        <v>0</v>
      </c>
      <c r="U846">
        <v>23</v>
      </c>
      <c r="V846">
        <v>5</v>
      </c>
      <c r="W846">
        <v>6</v>
      </c>
      <c r="X846">
        <v>0</v>
      </c>
      <c r="Y846">
        <v>77</v>
      </c>
      <c r="Z846">
        <v>1</v>
      </c>
      <c r="AA846">
        <v>0</v>
      </c>
      <c r="AB846">
        <v>4</v>
      </c>
      <c r="AC846">
        <v>1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1</v>
      </c>
      <c r="AJ846">
        <v>0</v>
      </c>
      <c r="AK846">
        <v>0</v>
      </c>
      <c r="AL846">
        <v>3</v>
      </c>
      <c r="AM846">
        <v>0</v>
      </c>
      <c r="AN846">
        <v>0</v>
      </c>
      <c r="AT846" t="s">
        <v>100</v>
      </c>
      <c r="AU846">
        <v>6</v>
      </c>
      <c r="AV846">
        <v>173</v>
      </c>
      <c r="AW846">
        <v>173</v>
      </c>
      <c r="AX846">
        <v>0</v>
      </c>
      <c r="AZ846" t="s">
        <v>101</v>
      </c>
      <c r="BA846">
        <v>1</v>
      </c>
      <c r="BC846" t="s">
        <v>1784</v>
      </c>
      <c r="BD846" s="4">
        <v>43283.236111111109</v>
      </c>
      <c r="BE846" s="4">
        <v>43283.265775462962</v>
      </c>
      <c r="BF846" s="4">
        <v>43283.265775462962</v>
      </c>
      <c r="BG846" t="s">
        <v>83</v>
      </c>
      <c r="BH846" t="s">
        <v>84</v>
      </c>
      <c r="BI846" t="s">
        <v>85</v>
      </c>
    </row>
    <row r="847" spans="1:61" x14ac:dyDescent="0.3">
      <c r="A847" t="str">
        <f>"200060B0100"</f>
        <v>200060B0100</v>
      </c>
      <c r="B847" t="s">
        <v>1785</v>
      </c>
      <c r="C847">
        <v>20</v>
      </c>
      <c r="D847" t="s">
        <v>79</v>
      </c>
      <c r="E847">
        <v>5</v>
      </c>
      <c r="F847" t="s">
        <v>1759</v>
      </c>
      <c r="G847">
        <v>60</v>
      </c>
      <c r="H847">
        <v>1</v>
      </c>
      <c r="I847" t="s">
        <v>81</v>
      </c>
      <c r="J847">
        <v>0</v>
      </c>
      <c r="K847">
        <v>2</v>
      </c>
      <c r="L847">
        <v>2</v>
      </c>
      <c r="M847">
        <v>250</v>
      </c>
      <c r="N847">
        <v>513</v>
      </c>
      <c r="O847">
        <v>2</v>
      </c>
      <c r="P847">
        <v>513</v>
      </c>
      <c r="Q847">
        <v>27</v>
      </c>
      <c r="R847">
        <v>100</v>
      </c>
      <c r="S847">
        <v>76</v>
      </c>
      <c r="T847">
        <v>4</v>
      </c>
      <c r="U847">
        <v>50</v>
      </c>
      <c r="V847">
        <v>7</v>
      </c>
      <c r="W847">
        <v>20</v>
      </c>
      <c r="X847">
        <v>19</v>
      </c>
      <c r="Y847">
        <v>152</v>
      </c>
      <c r="Z847">
        <v>6</v>
      </c>
      <c r="AA847">
        <v>7</v>
      </c>
      <c r="AB847">
        <v>10</v>
      </c>
      <c r="AC847">
        <v>10</v>
      </c>
      <c r="AD847">
        <v>0</v>
      </c>
      <c r="AE847">
        <v>0</v>
      </c>
      <c r="AF847">
        <v>1</v>
      </c>
      <c r="AG847">
        <v>1</v>
      </c>
      <c r="AH847">
        <v>1</v>
      </c>
      <c r="AI847">
        <v>1</v>
      </c>
      <c r="AJ847">
        <v>2</v>
      </c>
      <c r="AK847">
        <v>3</v>
      </c>
      <c r="AL847">
        <v>4</v>
      </c>
      <c r="AM847">
        <v>0</v>
      </c>
      <c r="AN847">
        <v>1</v>
      </c>
      <c r="AT847">
        <v>0</v>
      </c>
      <c r="AU847">
        <v>1</v>
      </c>
      <c r="AV847">
        <v>513</v>
      </c>
      <c r="AW847">
        <v>503</v>
      </c>
      <c r="AX847">
        <v>740</v>
      </c>
      <c r="BA847">
        <v>1</v>
      </c>
      <c r="BC847" t="s">
        <v>1786</v>
      </c>
      <c r="BD847" s="4">
        <v>43283.213888888888</v>
      </c>
      <c r="BE847" s="4">
        <v>43283.236192129632</v>
      </c>
      <c r="BF847" s="4">
        <v>43283.236192129632</v>
      </c>
      <c r="BG847" t="s">
        <v>83</v>
      </c>
      <c r="BH847" t="s">
        <v>84</v>
      </c>
      <c r="BI847" t="s">
        <v>85</v>
      </c>
    </row>
    <row r="848" spans="1:61" x14ac:dyDescent="0.3">
      <c r="A848" t="str">
        <f>"200060C0100"</f>
        <v>200060C0100</v>
      </c>
      <c r="B848" t="s">
        <v>1787</v>
      </c>
      <c r="C848">
        <v>20</v>
      </c>
      <c r="D848" t="s">
        <v>79</v>
      </c>
      <c r="E848">
        <v>5</v>
      </c>
      <c r="F848" t="s">
        <v>1759</v>
      </c>
      <c r="G848">
        <v>60</v>
      </c>
      <c r="H848">
        <v>1</v>
      </c>
      <c r="I848" t="s">
        <v>89</v>
      </c>
      <c r="J848">
        <v>0</v>
      </c>
      <c r="K848">
        <v>2</v>
      </c>
      <c r="L848">
        <v>2</v>
      </c>
      <c r="M848">
        <v>255</v>
      </c>
      <c r="N848">
        <v>508</v>
      </c>
      <c r="O848">
        <v>3</v>
      </c>
      <c r="P848">
        <v>508</v>
      </c>
      <c r="Q848">
        <v>22</v>
      </c>
      <c r="R848">
        <v>82</v>
      </c>
      <c r="S848">
        <v>70</v>
      </c>
      <c r="T848">
        <v>12</v>
      </c>
      <c r="U848">
        <v>46</v>
      </c>
      <c r="V848">
        <v>12</v>
      </c>
      <c r="W848">
        <v>25</v>
      </c>
      <c r="X848">
        <v>23</v>
      </c>
      <c r="Y848">
        <v>148</v>
      </c>
      <c r="Z848">
        <v>7</v>
      </c>
      <c r="AA848">
        <v>2</v>
      </c>
      <c r="AB848">
        <v>19</v>
      </c>
      <c r="AC848">
        <v>3</v>
      </c>
      <c r="AD848">
        <v>1</v>
      </c>
      <c r="AE848">
        <v>0</v>
      </c>
      <c r="AF848">
        <v>1</v>
      </c>
      <c r="AG848">
        <v>2</v>
      </c>
      <c r="AH848">
        <v>1</v>
      </c>
      <c r="AI848">
        <v>3</v>
      </c>
      <c r="AJ848">
        <v>0</v>
      </c>
      <c r="AK848">
        <v>7</v>
      </c>
      <c r="AL848">
        <v>1</v>
      </c>
      <c r="AM848">
        <v>1</v>
      </c>
      <c r="AN848">
        <v>1</v>
      </c>
      <c r="AT848">
        <v>1</v>
      </c>
      <c r="AU848">
        <v>18</v>
      </c>
      <c r="AV848">
        <v>508</v>
      </c>
      <c r="AW848">
        <v>508</v>
      </c>
      <c r="AX848">
        <v>740</v>
      </c>
      <c r="BA848">
        <v>1</v>
      </c>
      <c r="BC848" t="s">
        <v>1788</v>
      </c>
      <c r="BD848" s="4">
        <v>43283.207638888889</v>
      </c>
      <c r="BE848" s="4">
        <v>43283.22929398148</v>
      </c>
      <c r="BF848" s="4">
        <v>43283.22929398148</v>
      </c>
      <c r="BG848" t="s">
        <v>83</v>
      </c>
      <c r="BH848" t="s">
        <v>84</v>
      </c>
      <c r="BI848" t="s">
        <v>85</v>
      </c>
    </row>
    <row r="849" spans="1:61" x14ac:dyDescent="0.3">
      <c r="A849" t="str">
        <f>"200060C0200"</f>
        <v>200060C0200</v>
      </c>
      <c r="B849" t="s">
        <v>1789</v>
      </c>
      <c r="C849">
        <v>20</v>
      </c>
      <c r="D849" t="s">
        <v>79</v>
      </c>
      <c r="E849">
        <v>5</v>
      </c>
      <c r="F849" t="s">
        <v>1759</v>
      </c>
      <c r="G849">
        <v>60</v>
      </c>
      <c r="H849">
        <v>2</v>
      </c>
      <c r="I849" t="s">
        <v>89</v>
      </c>
      <c r="J849">
        <v>0</v>
      </c>
      <c r="K849">
        <v>2</v>
      </c>
      <c r="L849">
        <v>2</v>
      </c>
      <c r="M849">
        <v>231</v>
      </c>
      <c r="N849">
        <v>531</v>
      </c>
      <c r="O849">
        <v>3</v>
      </c>
      <c r="P849">
        <v>531</v>
      </c>
      <c r="Q849">
        <v>26</v>
      </c>
      <c r="R849">
        <v>109</v>
      </c>
      <c r="S849">
        <v>82</v>
      </c>
      <c r="T849">
        <v>7</v>
      </c>
      <c r="U849">
        <v>45</v>
      </c>
      <c r="V849">
        <v>9</v>
      </c>
      <c r="W849">
        <v>21</v>
      </c>
      <c r="X849">
        <v>19</v>
      </c>
      <c r="Y849">
        <v>160</v>
      </c>
      <c r="Z849">
        <v>7</v>
      </c>
      <c r="AA849">
        <v>0</v>
      </c>
      <c r="AB849">
        <v>15</v>
      </c>
      <c r="AC849">
        <v>0</v>
      </c>
      <c r="AD849">
        <v>1</v>
      </c>
      <c r="AE849">
        <v>0</v>
      </c>
      <c r="AF849">
        <v>0</v>
      </c>
      <c r="AG849">
        <v>0</v>
      </c>
      <c r="AH849">
        <v>0</v>
      </c>
      <c r="AI849">
        <v>2</v>
      </c>
      <c r="AJ849">
        <v>0</v>
      </c>
      <c r="AK849">
        <v>0</v>
      </c>
      <c r="AL849">
        <v>3</v>
      </c>
      <c r="AM849">
        <v>0</v>
      </c>
      <c r="AN849">
        <v>6</v>
      </c>
      <c r="AT849">
        <v>0</v>
      </c>
      <c r="AU849">
        <v>19</v>
      </c>
      <c r="AV849">
        <v>531</v>
      </c>
      <c r="AW849">
        <v>531</v>
      </c>
      <c r="AX849">
        <v>739</v>
      </c>
      <c r="BA849">
        <v>1</v>
      </c>
      <c r="BC849" t="s">
        <v>1790</v>
      </c>
      <c r="BD849" s="4">
        <v>43283.207638888889</v>
      </c>
      <c r="BE849" s="4">
        <v>43283.230509259258</v>
      </c>
      <c r="BF849" s="4">
        <v>43283.230509259258</v>
      </c>
      <c r="BG849" t="s">
        <v>83</v>
      </c>
      <c r="BH849" t="s">
        <v>84</v>
      </c>
      <c r="BI849" t="s">
        <v>85</v>
      </c>
    </row>
    <row r="850" spans="1:61" x14ac:dyDescent="0.3">
      <c r="A850" t="str">
        <f>"200060C0300"</f>
        <v>200060C0300</v>
      </c>
      <c r="B850" t="s">
        <v>1791</v>
      </c>
      <c r="C850">
        <v>20</v>
      </c>
      <c r="D850" t="s">
        <v>79</v>
      </c>
      <c r="E850">
        <v>5</v>
      </c>
      <c r="F850" t="s">
        <v>1759</v>
      </c>
      <c r="G850">
        <v>60</v>
      </c>
      <c r="H850">
        <v>3</v>
      </c>
      <c r="I850" t="s">
        <v>89</v>
      </c>
      <c r="J850">
        <v>0</v>
      </c>
      <c r="K850">
        <v>2</v>
      </c>
      <c r="L850">
        <v>2</v>
      </c>
      <c r="M850">
        <v>255</v>
      </c>
      <c r="N850">
        <v>507</v>
      </c>
      <c r="O850">
        <v>2</v>
      </c>
      <c r="P850">
        <v>507</v>
      </c>
      <c r="Q850">
        <v>16</v>
      </c>
      <c r="R850">
        <v>75</v>
      </c>
      <c r="S850">
        <v>102</v>
      </c>
      <c r="T850">
        <v>6</v>
      </c>
      <c r="U850">
        <v>64</v>
      </c>
      <c r="V850">
        <v>9</v>
      </c>
      <c r="W850">
        <v>22</v>
      </c>
      <c r="X850">
        <v>32</v>
      </c>
      <c r="Y850">
        <v>136</v>
      </c>
      <c r="Z850">
        <v>4</v>
      </c>
      <c r="AA850">
        <v>1</v>
      </c>
      <c r="AB850">
        <v>5</v>
      </c>
      <c r="AC850">
        <v>5</v>
      </c>
      <c r="AD850">
        <v>1</v>
      </c>
      <c r="AE850">
        <v>0</v>
      </c>
      <c r="AF850">
        <v>0</v>
      </c>
      <c r="AG850">
        <v>1</v>
      </c>
      <c r="AH850">
        <v>3</v>
      </c>
      <c r="AI850">
        <v>0</v>
      </c>
      <c r="AJ850">
        <v>0</v>
      </c>
      <c r="AK850">
        <v>6</v>
      </c>
      <c r="AL850">
        <v>4</v>
      </c>
      <c r="AM850">
        <v>1</v>
      </c>
      <c r="AN850">
        <v>1</v>
      </c>
      <c r="AT850">
        <v>1</v>
      </c>
      <c r="AU850">
        <v>12</v>
      </c>
      <c r="AV850">
        <v>507</v>
      </c>
      <c r="AW850">
        <v>507</v>
      </c>
      <c r="AX850">
        <v>739</v>
      </c>
      <c r="BA850">
        <v>1</v>
      </c>
      <c r="BC850" t="s">
        <v>1792</v>
      </c>
      <c r="BD850" s="4">
        <v>43283.212500000001</v>
      </c>
      <c r="BE850" s="4">
        <v>43283.235648148147</v>
      </c>
      <c r="BF850" s="4">
        <v>43283.235648148147</v>
      </c>
      <c r="BG850" t="s">
        <v>83</v>
      </c>
      <c r="BH850" t="s">
        <v>84</v>
      </c>
      <c r="BI850" t="s">
        <v>85</v>
      </c>
    </row>
    <row r="851" spans="1:61" x14ac:dyDescent="0.3">
      <c r="A851" t="str">
        <f>"200061B0100"</f>
        <v>200061B0100</v>
      </c>
      <c r="B851" t="s">
        <v>1793</v>
      </c>
      <c r="C851">
        <v>20</v>
      </c>
      <c r="D851" t="s">
        <v>79</v>
      </c>
      <c r="E851">
        <v>5</v>
      </c>
      <c r="F851" t="s">
        <v>1759</v>
      </c>
      <c r="G851">
        <v>61</v>
      </c>
      <c r="H851">
        <v>1</v>
      </c>
      <c r="I851" t="s">
        <v>81</v>
      </c>
      <c r="J851">
        <v>0</v>
      </c>
      <c r="K851">
        <v>2</v>
      </c>
      <c r="L851">
        <v>2</v>
      </c>
      <c r="M851">
        <v>80</v>
      </c>
      <c r="N851">
        <v>93</v>
      </c>
      <c r="O851">
        <v>7</v>
      </c>
      <c r="P851">
        <v>93</v>
      </c>
      <c r="Q851">
        <v>1</v>
      </c>
      <c r="R851">
        <v>12</v>
      </c>
      <c r="S851">
        <v>16</v>
      </c>
      <c r="T851">
        <v>1</v>
      </c>
      <c r="U851">
        <v>18</v>
      </c>
      <c r="V851">
        <v>1</v>
      </c>
      <c r="W851">
        <v>15</v>
      </c>
      <c r="X851">
        <v>7</v>
      </c>
      <c r="Y851">
        <v>13</v>
      </c>
      <c r="Z851">
        <v>3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T851">
        <v>0</v>
      </c>
      <c r="AU851">
        <v>6</v>
      </c>
      <c r="AV851">
        <v>93</v>
      </c>
      <c r="AW851">
        <v>93</v>
      </c>
      <c r="AX851">
        <v>150</v>
      </c>
      <c r="BA851">
        <v>1</v>
      </c>
      <c r="BC851" t="s">
        <v>1794</v>
      </c>
      <c r="BD851" s="4">
        <v>43283.137499999997</v>
      </c>
      <c r="BE851" s="4">
        <v>43283.141689814816</v>
      </c>
      <c r="BF851" s="4">
        <v>43283.141689814816</v>
      </c>
      <c r="BG851" t="s">
        <v>83</v>
      </c>
      <c r="BH851" t="s">
        <v>84</v>
      </c>
      <c r="BI851" t="s">
        <v>85</v>
      </c>
    </row>
    <row r="852" spans="1:61" x14ac:dyDescent="0.3">
      <c r="A852" t="str">
        <f>"200061E0100"</f>
        <v>200061E0100</v>
      </c>
      <c r="B852" s="2" t="s">
        <v>1795</v>
      </c>
      <c r="C852">
        <v>20</v>
      </c>
      <c r="D852" t="s">
        <v>79</v>
      </c>
      <c r="E852">
        <v>5</v>
      </c>
      <c r="F852" t="s">
        <v>1759</v>
      </c>
      <c r="G852">
        <v>61</v>
      </c>
      <c r="H852">
        <v>1</v>
      </c>
      <c r="I852" t="s">
        <v>145</v>
      </c>
      <c r="J852">
        <v>0</v>
      </c>
      <c r="K852">
        <v>2</v>
      </c>
      <c r="L852">
        <v>2</v>
      </c>
      <c r="M852">
        <v>124</v>
      </c>
      <c r="N852">
        <v>223</v>
      </c>
      <c r="O852">
        <v>4</v>
      </c>
      <c r="P852">
        <v>223</v>
      </c>
      <c r="Q852">
        <v>6</v>
      </c>
      <c r="R852">
        <v>41</v>
      </c>
      <c r="S852">
        <v>55</v>
      </c>
      <c r="T852">
        <v>6</v>
      </c>
      <c r="U852">
        <v>31</v>
      </c>
      <c r="V852">
        <v>3</v>
      </c>
      <c r="W852">
        <v>9</v>
      </c>
      <c r="X852">
        <v>5</v>
      </c>
      <c r="Y852">
        <v>46</v>
      </c>
      <c r="Z852">
        <v>2</v>
      </c>
      <c r="AA852">
        <v>0</v>
      </c>
      <c r="AB852">
        <v>0</v>
      </c>
      <c r="AC852">
        <v>1</v>
      </c>
      <c r="AD852">
        <v>0</v>
      </c>
      <c r="AE852">
        <v>0</v>
      </c>
      <c r="AF852">
        <v>0</v>
      </c>
      <c r="AG852">
        <v>2</v>
      </c>
      <c r="AH852">
        <v>0</v>
      </c>
      <c r="AI852">
        <v>0</v>
      </c>
      <c r="AJ852">
        <v>0</v>
      </c>
      <c r="AK852">
        <v>0</v>
      </c>
      <c r="AL852">
        <v>1</v>
      </c>
      <c r="AM852">
        <v>0</v>
      </c>
      <c r="AN852">
        <v>0</v>
      </c>
      <c r="AT852">
        <v>0</v>
      </c>
      <c r="AU852">
        <v>15</v>
      </c>
      <c r="AV852">
        <v>223</v>
      </c>
      <c r="AW852">
        <v>223</v>
      </c>
      <c r="AX852">
        <v>324</v>
      </c>
      <c r="BA852">
        <v>1</v>
      </c>
      <c r="BC852" t="s">
        <v>1796</v>
      </c>
      <c r="BD852" s="4">
        <v>43283.011111111111</v>
      </c>
      <c r="BE852" s="4">
        <v>43283.014988425923</v>
      </c>
      <c r="BF852" s="4">
        <v>43283.014988425923</v>
      </c>
      <c r="BG852" t="s">
        <v>83</v>
      </c>
      <c r="BH852" t="s">
        <v>84</v>
      </c>
      <c r="BI852" t="s">
        <v>85</v>
      </c>
    </row>
    <row r="853" spans="1:61" x14ac:dyDescent="0.3">
      <c r="A853" t="str">
        <f>"200061E0200"</f>
        <v>200061E0200</v>
      </c>
      <c r="B853" s="2" t="s">
        <v>1797</v>
      </c>
      <c r="C853">
        <v>20</v>
      </c>
      <c r="D853" t="s">
        <v>79</v>
      </c>
      <c r="E853">
        <v>5</v>
      </c>
      <c r="F853" t="s">
        <v>1759</v>
      </c>
      <c r="G853">
        <v>61</v>
      </c>
      <c r="H853">
        <v>2</v>
      </c>
      <c r="I853" t="s">
        <v>145</v>
      </c>
      <c r="J853">
        <v>0</v>
      </c>
      <c r="K853">
        <v>2</v>
      </c>
      <c r="L853">
        <v>2</v>
      </c>
      <c r="M853">
        <v>108</v>
      </c>
      <c r="N853">
        <v>290</v>
      </c>
      <c r="O853">
        <v>4</v>
      </c>
      <c r="P853">
        <v>182</v>
      </c>
      <c r="Q853">
        <v>5</v>
      </c>
      <c r="R853">
        <v>20</v>
      </c>
      <c r="S853">
        <v>36</v>
      </c>
      <c r="T853">
        <v>2</v>
      </c>
      <c r="U853">
        <v>21</v>
      </c>
      <c r="V853">
        <v>7</v>
      </c>
      <c r="W853">
        <v>24</v>
      </c>
      <c r="X853">
        <v>4</v>
      </c>
      <c r="Y853">
        <v>34</v>
      </c>
      <c r="Z853">
        <v>3</v>
      </c>
      <c r="AA853">
        <v>1</v>
      </c>
      <c r="AB853">
        <v>3</v>
      </c>
      <c r="AC853">
        <v>1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1</v>
      </c>
      <c r="AJ853">
        <v>0</v>
      </c>
      <c r="AK853">
        <v>0</v>
      </c>
      <c r="AL853">
        <v>1</v>
      </c>
      <c r="AM853">
        <v>0</v>
      </c>
      <c r="AN853">
        <v>0</v>
      </c>
      <c r="AT853">
        <v>0</v>
      </c>
      <c r="AU853">
        <v>19</v>
      </c>
      <c r="AV853">
        <v>182</v>
      </c>
      <c r="AW853">
        <v>182</v>
      </c>
      <c r="AX853">
        <v>267</v>
      </c>
      <c r="BA853">
        <v>1</v>
      </c>
      <c r="BC853" t="s">
        <v>1798</v>
      </c>
      <c r="BD853" s="4">
        <v>43283.136805555558</v>
      </c>
      <c r="BE853" s="4">
        <v>43283.155509259261</v>
      </c>
      <c r="BF853" s="4">
        <v>43283.155509259261</v>
      </c>
      <c r="BG853" t="s">
        <v>83</v>
      </c>
      <c r="BH853" t="s">
        <v>84</v>
      </c>
      <c r="BI853" t="s">
        <v>85</v>
      </c>
    </row>
    <row r="854" spans="1:61" x14ac:dyDescent="0.3">
      <c r="A854" t="str">
        <f>"200062B0100"</f>
        <v>200062B0100</v>
      </c>
      <c r="B854" t="s">
        <v>1799</v>
      </c>
      <c r="C854">
        <v>20</v>
      </c>
      <c r="D854" t="s">
        <v>79</v>
      </c>
      <c r="E854">
        <v>5</v>
      </c>
      <c r="F854" t="s">
        <v>1759</v>
      </c>
      <c r="G854">
        <v>62</v>
      </c>
      <c r="H854">
        <v>1</v>
      </c>
      <c r="I854" t="s">
        <v>81</v>
      </c>
      <c r="J854">
        <v>0</v>
      </c>
      <c r="K854">
        <v>2</v>
      </c>
      <c r="L854">
        <v>2</v>
      </c>
      <c r="M854">
        <v>69</v>
      </c>
      <c r="N854">
        <v>123</v>
      </c>
      <c r="O854">
        <v>6</v>
      </c>
      <c r="P854">
        <v>123</v>
      </c>
      <c r="Q854">
        <v>1</v>
      </c>
      <c r="R854">
        <v>17</v>
      </c>
      <c r="S854">
        <v>14</v>
      </c>
      <c r="T854">
        <v>1</v>
      </c>
      <c r="U854">
        <v>20</v>
      </c>
      <c r="V854">
        <v>0</v>
      </c>
      <c r="W854">
        <v>12</v>
      </c>
      <c r="X854">
        <v>7</v>
      </c>
      <c r="Y854">
        <v>31</v>
      </c>
      <c r="Z854">
        <v>2</v>
      </c>
      <c r="AA854">
        <v>1</v>
      </c>
      <c r="AB854">
        <v>1</v>
      </c>
      <c r="AC854">
        <v>1</v>
      </c>
      <c r="AD854">
        <v>0</v>
      </c>
      <c r="AE854">
        <v>0</v>
      </c>
      <c r="AF854">
        <v>0</v>
      </c>
      <c r="AG854">
        <v>1</v>
      </c>
      <c r="AH854">
        <v>0</v>
      </c>
      <c r="AI854">
        <v>0</v>
      </c>
      <c r="AJ854">
        <v>0</v>
      </c>
      <c r="AK854">
        <v>3</v>
      </c>
      <c r="AL854">
        <v>3</v>
      </c>
      <c r="AM854">
        <v>0</v>
      </c>
      <c r="AN854">
        <v>0</v>
      </c>
      <c r="AT854">
        <v>0</v>
      </c>
      <c r="AU854">
        <v>8</v>
      </c>
      <c r="AV854">
        <v>123</v>
      </c>
      <c r="AW854">
        <v>123</v>
      </c>
      <c r="AX854">
        <v>169</v>
      </c>
      <c r="BA854">
        <v>1</v>
      </c>
      <c r="BC854" t="s">
        <v>1800</v>
      </c>
      <c r="BD854" s="4">
        <v>43283.240277777775</v>
      </c>
      <c r="BE854" s="4">
        <v>43283.273182870369</v>
      </c>
      <c r="BF854" s="4">
        <v>43283.273182870369</v>
      </c>
      <c r="BG854" t="s">
        <v>83</v>
      </c>
      <c r="BH854" t="s">
        <v>84</v>
      </c>
      <c r="BI854" t="s">
        <v>85</v>
      </c>
    </row>
    <row r="855" spans="1:61" x14ac:dyDescent="0.3">
      <c r="A855" t="str">
        <f>"200062E0100"</f>
        <v>200062E0100</v>
      </c>
      <c r="B855" s="2" t="s">
        <v>1801</v>
      </c>
      <c r="C855">
        <v>20</v>
      </c>
      <c r="D855" t="s">
        <v>79</v>
      </c>
      <c r="E855">
        <v>5</v>
      </c>
      <c r="F855" t="s">
        <v>1759</v>
      </c>
      <c r="G855">
        <v>62</v>
      </c>
      <c r="H855">
        <v>1</v>
      </c>
      <c r="I855" t="s">
        <v>145</v>
      </c>
      <c r="J855">
        <v>0</v>
      </c>
      <c r="K855">
        <v>2</v>
      </c>
      <c r="L855">
        <v>2</v>
      </c>
      <c r="M855">
        <v>117</v>
      </c>
      <c r="N855">
        <v>254</v>
      </c>
      <c r="O855">
        <v>4</v>
      </c>
      <c r="P855">
        <v>240</v>
      </c>
      <c r="Q855">
        <v>5</v>
      </c>
      <c r="R855">
        <v>8</v>
      </c>
      <c r="S855">
        <v>51</v>
      </c>
      <c r="T855">
        <v>4</v>
      </c>
      <c r="U855">
        <v>36</v>
      </c>
      <c r="V855">
        <v>4</v>
      </c>
      <c r="W855">
        <v>14</v>
      </c>
      <c r="X855">
        <v>1</v>
      </c>
      <c r="Y855">
        <v>93</v>
      </c>
      <c r="Z855">
        <v>2</v>
      </c>
      <c r="AA855">
        <v>2</v>
      </c>
      <c r="AB855">
        <v>13</v>
      </c>
      <c r="AC855">
        <v>0</v>
      </c>
      <c r="AD855">
        <v>2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1</v>
      </c>
      <c r="AL855">
        <v>4</v>
      </c>
      <c r="AM855">
        <v>0</v>
      </c>
      <c r="AN855">
        <v>0</v>
      </c>
      <c r="AT855">
        <v>0</v>
      </c>
      <c r="AU855">
        <v>14</v>
      </c>
      <c r="AV855">
        <v>254</v>
      </c>
      <c r="AW855">
        <v>254</v>
      </c>
      <c r="AX855">
        <v>348</v>
      </c>
      <c r="BA855">
        <v>1</v>
      </c>
      <c r="BC855" t="s">
        <v>1802</v>
      </c>
      <c r="BD855" s="4">
        <v>43283.240277777775</v>
      </c>
      <c r="BE855" s="4">
        <v>43283.265821759262</v>
      </c>
      <c r="BF855" s="4">
        <v>43283.265821759262</v>
      </c>
      <c r="BG855" t="s">
        <v>83</v>
      </c>
      <c r="BH855" t="s">
        <v>84</v>
      </c>
      <c r="BI855" t="s">
        <v>85</v>
      </c>
    </row>
    <row r="856" spans="1:61" x14ac:dyDescent="0.3">
      <c r="A856" t="str">
        <f>"200063B0100"</f>
        <v>200063B0100</v>
      </c>
      <c r="B856" t="s">
        <v>1803</v>
      </c>
      <c r="C856">
        <v>20</v>
      </c>
      <c r="D856" t="s">
        <v>79</v>
      </c>
      <c r="E856">
        <v>5</v>
      </c>
      <c r="F856" t="s">
        <v>1759</v>
      </c>
      <c r="G856">
        <v>63</v>
      </c>
      <c r="H856">
        <v>1</v>
      </c>
      <c r="I856" t="s">
        <v>81</v>
      </c>
      <c r="J856">
        <v>0</v>
      </c>
      <c r="K856">
        <v>2</v>
      </c>
      <c r="L856">
        <v>2</v>
      </c>
      <c r="M856">
        <v>187</v>
      </c>
      <c r="N856">
        <v>305</v>
      </c>
      <c r="O856">
        <v>4</v>
      </c>
      <c r="P856">
        <v>305</v>
      </c>
      <c r="Q856">
        <v>11</v>
      </c>
      <c r="R856">
        <v>52</v>
      </c>
      <c r="S856">
        <v>59</v>
      </c>
      <c r="T856">
        <v>4</v>
      </c>
      <c r="U856">
        <v>40</v>
      </c>
      <c r="V856">
        <v>2</v>
      </c>
      <c r="W856">
        <v>12</v>
      </c>
      <c r="X856">
        <v>21</v>
      </c>
      <c r="Y856">
        <v>72</v>
      </c>
      <c r="Z856" t="s">
        <v>100</v>
      </c>
      <c r="AA856">
        <v>1</v>
      </c>
      <c r="AB856">
        <v>11</v>
      </c>
      <c r="AC856" t="s">
        <v>100</v>
      </c>
      <c r="AD856" t="s">
        <v>100</v>
      </c>
      <c r="AE856" t="s">
        <v>100</v>
      </c>
      <c r="AF856" t="s">
        <v>100</v>
      </c>
      <c r="AG856">
        <v>1</v>
      </c>
      <c r="AH856" t="s">
        <v>100</v>
      </c>
      <c r="AI856">
        <v>1</v>
      </c>
      <c r="AJ856" t="s">
        <v>100</v>
      </c>
      <c r="AK856" t="s">
        <v>100</v>
      </c>
      <c r="AL856">
        <v>4</v>
      </c>
      <c r="AM856" t="s">
        <v>100</v>
      </c>
      <c r="AN856" t="s">
        <v>100</v>
      </c>
      <c r="AT856" t="s">
        <v>100</v>
      </c>
      <c r="AU856">
        <v>14</v>
      </c>
      <c r="AV856" t="s">
        <v>100</v>
      </c>
      <c r="AW856">
        <v>305</v>
      </c>
      <c r="AX856">
        <v>469</v>
      </c>
      <c r="AZ856" t="s">
        <v>101</v>
      </c>
      <c r="BA856">
        <v>1</v>
      </c>
      <c r="BC856" t="s">
        <v>1804</v>
      </c>
      <c r="BD856" s="4">
        <v>43283.120833333334</v>
      </c>
      <c r="BE856" s="4">
        <v>43283.12704861111</v>
      </c>
      <c r="BF856" s="4">
        <v>43283.12704861111</v>
      </c>
      <c r="BG856" t="s">
        <v>83</v>
      </c>
      <c r="BH856" t="s">
        <v>84</v>
      </c>
      <c r="BI856" t="s">
        <v>85</v>
      </c>
    </row>
    <row r="857" spans="1:61" x14ac:dyDescent="0.3">
      <c r="A857" t="str">
        <f>"200064B0100"</f>
        <v>200064B0100</v>
      </c>
      <c r="B857" t="s">
        <v>1805</v>
      </c>
      <c r="C857">
        <v>20</v>
      </c>
      <c r="D857" t="s">
        <v>79</v>
      </c>
      <c r="E857">
        <v>5</v>
      </c>
      <c r="F857" t="s">
        <v>1759</v>
      </c>
      <c r="G857">
        <v>64</v>
      </c>
      <c r="H857">
        <v>1</v>
      </c>
      <c r="I857" t="s">
        <v>81</v>
      </c>
      <c r="J857">
        <v>0</v>
      </c>
      <c r="K857">
        <v>2</v>
      </c>
      <c r="L857">
        <v>2</v>
      </c>
      <c r="M857">
        <v>158</v>
      </c>
      <c r="N857">
        <v>304</v>
      </c>
      <c r="O857">
        <v>4</v>
      </c>
      <c r="P857">
        <v>300</v>
      </c>
      <c r="Q857">
        <v>28</v>
      </c>
      <c r="R857">
        <v>20</v>
      </c>
      <c r="S857">
        <v>41</v>
      </c>
      <c r="T857">
        <v>6</v>
      </c>
      <c r="U857">
        <v>54</v>
      </c>
      <c r="V857">
        <v>9</v>
      </c>
      <c r="W857">
        <v>18</v>
      </c>
      <c r="X857">
        <v>17</v>
      </c>
      <c r="Y857">
        <v>79</v>
      </c>
      <c r="Z857">
        <v>7</v>
      </c>
      <c r="AA857">
        <v>3</v>
      </c>
      <c r="AB857">
        <v>7</v>
      </c>
      <c r="AC857">
        <v>0</v>
      </c>
      <c r="AD857">
        <v>2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T857">
        <v>0</v>
      </c>
      <c r="AU857">
        <v>10</v>
      </c>
      <c r="AV857">
        <v>300</v>
      </c>
      <c r="AW857">
        <v>301</v>
      </c>
      <c r="AX857">
        <v>437</v>
      </c>
      <c r="BA857">
        <v>1</v>
      </c>
      <c r="BC857" t="s">
        <v>1806</v>
      </c>
      <c r="BD857" s="4">
        <v>43283.119444444441</v>
      </c>
      <c r="BE857" s="4">
        <v>43283.126620370371</v>
      </c>
      <c r="BF857" s="4">
        <v>43283.126620370371</v>
      </c>
      <c r="BG857" t="s">
        <v>83</v>
      </c>
      <c r="BH857" t="s">
        <v>84</v>
      </c>
      <c r="BI857" t="s">
        <v>85</v>
      </c>
    </row>
    <row r="858" spans="1:61" x14ac:dyDescent="0.3">
      <c r="A858" t="str">
        <f>"200125B0100"</f>
        <v>200125B0100</v>
      </c>
      <c r="B858" t="s">
        <v>1807</v>
      </c>
      <c r="C858">
        <v>20</v>
      </c>
      <c r="D858" t="s">
        <v>79</v>
      </c>
      <c r="E858">
        <v>5</v>
      </c>
      <c r="F858" t="s">
        <v>1759</v>
      </c>
      <c r="G858">
        <v>125</v>
      </c>
      <c r="H858">
        <v>1</v>
      </c>
      <c r="I858" t="s">
        <v>81</v>
      </c>
      <c r="J858">
        <v>0</v>
      </c>
      <c r="K858">
        <v>2</v>
      </c>
      <c r="L858">
        <v>2</v>
      </c>
      <c r="M858">
        <v>115</v>
      </c>
      <c r="N858">
        <v>144</v>
      </c>
      <c r="O858">
        <v>1</v>
      </c>
      <c r="P858">
        <v>144</v>
      </c>
      <c r="Q858">
        <v>9</v>
      </c>
      <c r="R858">
        <v>27</v>
      </c>
      <c r="S858">
        <v>19</v>
      </c>
      <c r="T858">
        <v>2</v>
      </c>
      <c r="U858">
        <v>8</v>
      </c>
      <c r="V858">
        <v>6</v>
      </c>
      <c r="W858">
        <v>15</v>
      </c>
      <c r="X858">
        <v>2</v>
      </c>
      <c r="Y858">
        <v>49</v>
      </c>
      <c r="Z858">
        <v>2</v>
      </c>
      <c r="AA858">
        <v>0</v>
      </c>
      <c r="AB858">
        <v>0</v>
      </c>
      <c r="AC858">
        <v>0</v>
      </c>
      <c r="AD858">
        <v>1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T858">
        <v>0</v>
      </c>
      <c r="AU858">
        <v>4</v>
      </c>
      <c r="AV858">
        <v>144</v>
      </c>
      <c r="AW858">
        <v>144</v>
      </c>
      <c r="AX858">
        <v>237</v>
      </c>
      <c r="BA858">
        <v>1</v>
      </c>
      <c r="BC858" t="s">
        <v>1808</v>
      </c>
      <c r="BD858" s="4">
        <v>43283.422222222223</v>
      </c>
      <c r="BE858" s="4">
        <v>43283.425798611112</v>
      </c>
      <c r="BF858" s="4">
        <v>43283.425798611112</v>
      </c>
      <c r="BG858" t="s">
        <v>83</v>
      </c>
      <c r="BH858" t="s">
        <v>84</v>
      </c>
      <c r="BI858" t="s">
        <v>85</v>
      </c>
    </row>
    <row r="859" spans="1:61" x14ac:dyDescent="0.3">
      <c r="A859" t="str">
        <f>"200126B0100"</f>
        <v>200126B0100</v>
      </c>
      <c r="B859" t="s">
        <v>1809</v>
      </c>
      <c r="C859">
        <v>20</v>
      </c>
      <c r="D859" t="s">
        <v>79</v>
      </c>
      <c r="E859">
        <v>5</v>
      </c>
      <c r="F859" t="s">
        <v>1759</v>
      </c>
      <c r="G859">
        <v>126</v>
      </c>
      <c r="H859">
        <v>1</v>
      </c>
      <c r="I859" t="s">
        <v>81</v>
      </c>
      <c r="J859">
        <v>0</v>
      </c>
      <c r="K859">
        <v>2</v>
      </c>
      <c r="L859">
        <v>2</v>
      </c>
      <c r="M859">
        <v>170</v>
      </c>
      <c r="N859">
        <v>153</v>
      </c>
      <c r="O859">
        <v>1</v>
      </c>
      <c r="P859">
        <v>153</v>
      </c>
      <c r="Q859">
        <v>7</v>
      </c>
      <c r="R859">
        <v>26</v>
      </c>
      <c r="S859">
        <v>6</v>
      </c>
      <c r="T859">
        <v>7</v>
      </c>
      <c r="U859">
        <v>10</v>
      </c>
      <c r="V859">
        <v>1</v>
      </c>
      <c r="W859">
        <v>26</v>
      </c>
      <c r="X859">
        <v>2</v>
      </c>
      <c r="Y859">
        <v>47</v>
      </c>
      <c r="Z859">
        <v>0</v>
      </c>
      <c r="AA859">
        <v>0</v>
      </c>
      <c r="AB859">
        <v>2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3</v>
      </c>
      <c r="AI859">
        <v>0</v>
      </c>
      <c r="AJ859">
        <v>0</v>
      </c>
      <c r="AK859">
        <v>7</v>
      </c>
      <c r="AL859">
        <v>0</v>
      </c>
      <c r="AM859">
        <v>0</v>
      </c>
      <c r="AN859">
        <v>1</v>
      </c>
      <c r="AT859">
        <v>0</v>
      </c>
      <c r="AU859">
        <v>8</v>
      </c>
      <c r="AV859">
        <v>153</v>
      </c>
      <c r="AW859">
        <v>153</v>
      </c>
      <c r="AX859">
        <v>301</v>
      </c>
      <c r="BA859">
        <v>1</v>
      </c>
      <c r="BC859" t="s">
        <v>1810</v>
      </c>
      <c r="BD859" s="4">
        <v>43283.429861111108</v>
      </c>
      <c r="BE859" s="4">
        <v>43283.437303240738</v>
      </c>
      <c r="BF859" s="4">
        <v>43283.437303240738</v>
      </c>
      <c r="BG859" t="s">
        <v>83</v>
      </c>
      <c r="BH859" t="s">
        <v>84</v>
      </c>
      <c r="BI859" t="s">
        <v>85</v>
      </c>
    </row>
    <row r="860" spans="1:61" x14ac:dyDescent="0.3">
      <c r="A860" t="str">
        <f>"200369B0100"</f>
        <v>200369B0100</v>
      </c>
      <c r="B860" t="s">
        <v>1811</v>
      </c>
      <c r="C860">
        <v>20</v>
      </c>
      <c r="D860" t="s">
        <v>79</v>
      </c>
      <c r="E860">
        <v>5</v>
      </c>
      <c r="F860" t="s">
        <v>1759</v>
      </c>
      <c r="G860">
        <v>369</v>
      </c>
      <c r="H860">
        <v>1</v>
      </c>
      <c r="I860" t="s">
        <v>81</v>
      </c>
      <c r="J860">
        <v>0</v>
      </c>
      <c r="K860">
        <v>2</v>
      </c>
      <c r="L860">
        <v>2</v>
      </c>
      <c r="M860">
        <v>291</v>
      </c>
      <c r="N860">
        <v>202</v>
      </c>
      <c r="O860">
        <v>0</v>
      </c>
      <c r="P860">
        <v>202</v>
      </c>
      <c r="Q860">
        <v>21</v>
      </c>
      <c r="R860">
        <v>38</v>
      </c>
      <c r="S860">
        <v>17</v>
      </c>
      <c r="T860">
        <v>2</v>
      </c>
      <c r="U860">
        <v>26</v>
      </c>
      <c r="V860">
        <v>11</v>
      </c>
      <c r="W860">
        <v>8</v>
      </c>
      <c r="X860">
        <v>7</v>
      </c>
      <c r="Y860">
        <v>49</v>
      </c>
      <c r="Z860">
        <v>5</v>
      </c>
      <c r="AA860">
        <v>1</v>
      </c>
      <c r="AB860">
        <v>2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3</v>
      </c>
      <c r="AL860">
        <v>1</v>
      </c>
      <c r="AM860">
        <v>0</v>
      </c>
      <c r="AN860">
        <v>0</v>
      </c>
      <c r="AT860">
        <v>0</v>
      </c>
      <c r="AU860">
        <v>11</v>
      </c>
      <c r="AV860">
        <v>202</v>
      </c>
      <c r="AW860">
        <v>202</v>
      </c>
      <c r="AX860">
        <v>471</v>
      </c>
      <c r="BA860">
        <v>1</v>
      </c>
      <c r="BC860" t="s">
        <v>1812</v>
      </c>
      <c r="BD860" s="4">
        <v>43283.305555555555</v>
      </c>
      <c r="BE860" s="4">
        <v>43283.335011574076</v>
      </c>
      <c r="BF860" s="4">
        <v>43283.335011574076</v>
      </c>
      <c r="BG860" t="s">
        <v>83</v>
      </c>
      <c r="BH860" t="s">
        <v>84</v>
      </c>
      <c r="BI860" t="s">
        <v>85</v>
      </c>
    </row>
    <row r="861" spans="1:61" x14ac:dyDescent="0.3">
      <c r="A861" t="str">
        <f>"200369C0100"</f>
        <v>200369C0100</v>
      </c>
      <c r="B861" t="s">
        <v>1813</v>
      </c>
      <c r="C861">
        <v>20</v>
      </c>
      <c r="D861" t="s">
        <v>79</v>
      </c>
      <c r="E861">
        <v>5</v>
      </c>
      <c r="F861" t="s">
        <v>1759</v>
      </c>
      <c r="G861">
        <v>369</v>
      </c>
      <c r="H861">
        <v>1</v>
      </c>
      <c r="I861" t="s">
        <v>89</v>
      </c>
      <c r="J861">
        <v>0</v>
      </c>
      <c r="K861">
        <v>2</v>
      </c>
      <c r="L861">
        <v>2</v>
      </c>
      <c r="M861">
        <v>262</v>
      </c>
      <c r="N861">
        <v>230</v>
      </c>
      <c r="O861">
        <v>0</v>
      </c>
      <c r="P861">
        <v>230</v>
      </c>
      <c r="Q861">
        <v>27</v>
      </c>
      <c r="R861">
        <v>28</v>
      </c>
      <c r="S861">
        <v>20</v>
      </c>
      <c r="T861">
        <v>4</v>
      </c>
      <c r="U861">
        <v>39</v>
      </c>
      <c r="V861">
        <v>2</v>
      </c>
      <c r="W861">
        <v>5</v>
      </c>
      <c r="X861">
        <v>4</v>
      </c>
      <c r="Y861">
        <v>76</v>
      </c>
      <c r="Z861">
        <v>3</v>
      </c>
      <c r="AA861">
        <v>1</v>
      </c>
      <c r="AB861">
        <v>9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1</v>
      </c>
      <c r="AL861">
        <v>0</v>
      </c>
      <c r="AM861">
        <v>0</v>
      </c>
      <c r="AN861">
        <v>2</v>
      </c>
      <c r="AT861">
        <v>0</v>
      </c>
      <c r="AU861">
        <v>9</v>
      </c>
      <c r="AV861">
        <v>230</v>
      </c>
      <c r="AW861">
        <v>230</v>
      </c>
      <c r="AX861">
        <v>470</v>
      </c>
      <c r="BA861">
        <v>1</v>
      </c>
      <c r="BC861" t="s">
        <v>1814</v>
      </c>
      <c r="BD861" s="4">
        <v>43283.292361111111</v>
      </c>
      <c r="BE861" s="4">
        <v>43283.323680555557</v>
      </c>
      <c r="BF861" s="4">
        <v>43283.323680555557</v>
      </c>
      <c r="BG861" t="s">
        <v>83</v>
      </c>
      <c r="BH861" t="s">
        <v>84</v>
      </c>
      <c r="BI861" t="s">
        <v>85</v>
      </c>
    </row>
    <row r="862" spans="1:61" x14ac:dyDescent="0.3">
      <c r="A862" t="str">
        <f>"200370B0100"</f>
        <v>200370B0100</v>
      </c>
      <c r="B862" t="s">
        <v>1815</v>
      </c>
      <c r="C862">
        <v>20</v>
      </c>
      <c r="D862" t="s">
        <v>79</v>
      </c>
      <c r="E862">
        <v>5</v>
      </c>
      <c r="F862" t="s">
        <v>1759</v>
      </c>
      <c r="G862">
        <v>370</v>
      </c>
      <c r="H862">
        <v>1</v>
      </c>
      <c r="I862" t="s">
        <v>81</v>
      </c>
      <c r="J862">
        <v>0</v>
      </c>
      <c r="K862">
        <v>2</v>
      </c>
      <c r="L862">
        <v>2</v>
      </c>
      <c r="M862">
        <v>255</v>
      </c>
      <c r="N862" t="s">
        <v>100</v>
      </c>
      <c r="O862">
        <v>1</v>
      </c>
      <c r="P862">
        <v>195</v>
      </c>
      <c r="Q862">
        <v>16</v>
      </c>
      <c r="R862">
        <v>29</v>
      </c>
      <c r="S862">
        <v>15</v>
      </c>
      <c r="T862">
        <v>3</v>
      </c>
      <c r="U862">
        <v>34</v>
      </c>
      <c r="V862">
        <v>1</v>
      </c>
      <c r="W862">
        <v>15</v>
      </c>
      <c r="X862">
        <v>2</v>
      </c>
      <c r="Y862">
        <v>59</v>
      </c>
      <c r="Z862">
        <v>5</v>
      </c>
      <c r="AA862" t="s">
        <v>100</v>
      </c>
      <c r="AB862">
        <v>1</v>
      </c>
      <c r="AC862">
        <v>1</v>
      </c>
      <c r="AD862" t="s">
        <v>100</v>
      </c>
      <c r="AE862" t="s">
        <v>100</v>
      </c>
      <c r="AF862" t="s">
        <v>100</v>
      </c>
      <c r="AG862" t="s">
        <v>100</v>
      </c>
      <c r="AH862">
        <v>1</v>
      </c>
      <c r="AI862" t="s">
        <v>100</v>
      </c>
      <c r="AJ862" t="s">
        <v>100</v>
      </c>
      <c r="AK862">
        <v>4</v>
      </c>
      <c r="AL862">
        <v>4</v>
      </c>
      <c r="AM862" t="s">
        <v>100</v>
      </c>
      <c r="AN862" t="s">
        <v>100</v>
      </c>
      <c r="AT862" t="s">
        <v>100</v>
      </c>
      <c r="AU862">
        <v>5</v>
      </c>
      <c r="AV862">
        <v>195</v>
      </c>
      <c r="AW862">
        <v>195</v>
      </c>
      <c r="AX862">
        <v>428</v>
      </c>
      <c r="AZ862" t="s">
        <v>101</v>
      </c>
      <c r="BA862">
        <v>1</v>
      </c>
      <c r="BC862" t="s">
        <v>1816</v>
      </c>
      <c r="BD862" s="4">
        <v>43283.081944444442</v>
      </c>
      <c r="BE862" s="4">
        <v>43283.085532407407</v>
      </c>
      <c r="BF862" s="4">
        <v>43283.085532407407</v>
      </c>
      <c r="BG862" t="s">
        <v>83</v>
      </c>
      <c r="BH862" t="s">
        <v>84</v>
      </c>
      <c r="BI862" t="s">
        <v>85</v>
      </c>
    </row>
    <row r="863" spans="1:61" x14ac:dyDescent="0.3">
      <c r="A863" t="str">
        <f>"200371B0100"</f>
        <v>200371B0100</v>
      </c>
      <c r="B863" t="s">
        <v>1817</v>
      </c>
      <c r="C863">
        <v>20</v>
      </c>
      <c r="D863" t="s">
        <v>79</v>
      </c>
      <c r="E863">
        <v>5</v>
      </c>
      <c r="F863" t="s">
        <v>1759</v>
      </c>
      <c r="G863">
        <v>371</v>
      </c>
      <c r="H863">
        <v>1</v>
      </c>
      <c r="I863" t="s">
        <v>81</v>
      </c>
      <c r="J863">
        <v>0</v>
      </c>
      <c r="K863">
        <v>2</v>
      </c>
      <c r="L863">
        <v>2</v>
      </c>
      <c r="M863">
        <v>478</v>
      </c>
      <c r="N863">
        <v>277</v>
      </c>
      <c r="O863">
        <v>0</v>
      </c>
      <c r="P863">
        <v>277</v>
      </c>
      <c r="Q863">
        <v>21</v>
      </c>
      <c r="R863">
        <v>38</v>
      </c>
      <c r="S863">
        <v>27</v>
      </c>
      <c r="T863">
        <v>4</v>
      </c>
      <c r="U863">
        <v>57</v>
      </c>
      <c r="V863">
        <v>2</v>
      </c>
      <c r="W863">
        <v>15</v>
      </c>
      <c r="X863">
        <v>7</v>
      </c>
      <c r="Y863">
        <v>66</v>
      </c>
      <c r="Z863">
        <v>3</v>
      </c>
      <c r="AA863">
        <v>0</v>
      </c>
      <c r="AB863">
        <v>4</v>
      </c>
      <c r="AC863">
        <v>0</v>
      </c>
      <c r="AD863">
        <v>1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7</v>
      </c>
      <c r="AL863">
        <v>2</v>
      </c>
      <c r="AM863">
        <v>1</v>
      </c>
      <c r="AN863">
        <v>2</v>
      </c>
      <c r="AT863" t="s">
        <v>100</v>
      </c>
      <c r="AU863">
        <v>20</v>
      </c>
      <c r="AV863">
        <v>277</v>
      </c>
      <c r="AW863">
        <v>277</v>
      </c>
      <c r="AX863">
        <v>733</v>
      </c>
      <c r="AZ863" t="s">
        <v>101</v>
      </c>
      <c r="BA863">
        <v>1</v>
      </c>
      <c r="BC863" t="s">
        <v>1818</v>
      </c>
      <c r="BD863" s="4">
        <v>43283.081944444442</v>
      </c>
      <c r="BE863" s="4">
        <v>43283.086388888885</v>
      </c>
      <c r="BF863" s="4">
        <v>43283.086388888885</v>
      </c>
      <c r="BG863" t="s">
        <v>83</v>
      </c>
      <c r="BH863" t="s">
        <v>84</v>
      </c>
      <c r="BI863" t="s">
        <v>85</v>
      </c>
    </row>
    <row r="864" spans="1:61" x14ac:dyDescent="0.3">
      <c r="A864" t="str">
        <f>"200372B0100"</f>
        <v>200372B0100</v>
      </c>
      <c r="B864" t="s">
        <v>1819</v>
      </c>
      <c r="C864">
        <v>20</v>
      </c>
      <c r="D864" t="s">
        <v>79</v>
      </c>
      <c r="E864">
        <v>5</v>
      </c>
      <c r="F864" t="s">
        <v>1759</v>
      </c>
      <c r="G864">
        <v>372</v>
      </c>
      <c r="H864">
        <v>1</v>
      </c>
      <c r="I864" t="s">
        <v>81</v>
      </c>
      <c r="J864">
        <v>0</v>
      </c>
      <c r="K864">
        <v>2</v>
      </c>
      <c r="L864">
        <v>2</v>
      </c>
      <c r="M864">
        <v>157</v>
      </c>
      <c r="N864">
        <v>165</v>
      </c>
      <c r="O864">
        <v>3</v>
      </c>
      <c r="P864">
        <v>165</v>
      </c>
      <c r="Q864">
        <v>6</v>
      </c>
      <c r="R864">
        <v>7</v>
      </c>
      <c r="S864">
        <v>14</v>
      </c>
      <c r="T864">
        <v>2</v>
      </c>
      <c r="U864">
        <v>48</v>
      </c>
      <c r="V864">
        <v>2</v>
      </c>
      <c r="W864">
        <v>2</v>
      </c>
      <c r="X864">
        <v>3</v>
      </c>
      <c r="Y864">
        <v>54</v>
      </c>
      <c r="Z864">
        <v>3</v>
      </c>
      <c r="AA864">
        <v>0</v>
      </c>
      <c r="AB864">
        <v>1</v>
      </c>
      <c r="AC864">
        <v>1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4</v>
      </c>
      <c r="AL864">
        <v>1</v>
      </c>
      <c r="AM864">
        <v>2</v>
      </c>
      <c r="AN864">
        <v>0</v>
      </c>
      <c r="AT864">
        <v>0</v>
      </c>
      <c r="AU864">
        <v>15</v>
      </c>
      <c r="AV864">
        <v>165</v>
      </c>
      <c r="AW864">
        <v>165</v>
      </c>
      <c r="AX864">
        <v>300</v>
      </c>
      <c r="BA864">
        <v>1</v>
      </c>
      <c r="BC864" t="s">
        <v>1820</v>
      </c>
      <c r="BD864" s="4">
        <v>43283.118055555555</v>
      </c>
      <c r="BE864" s="4">
        <v>43283.124398148146</v>
      </c>
      <c r="BF864" s="4">
        <v>43283.124398148146</v>
      </c>
      <c r="BG864" t="s">
        <v>83</v>
      </c>
      <c r="BH864" t="s">
        <v>84</v>
      </c>
      <c r="BI864" t="s">
        <v>85</v>
      </c>
    </row>
    <row r="865" spans="1:61" x14ac:dyDescent="0.3">
      <c r="A865" t="str">
        <f>"200387B0100"</f>
        <v>200387B0100</v>
      </c>
      <c r="B865" t="s">
        <v>1821</v>
      </c>
      <c r="C865">
        <v>20</v>
      </c>
      <c r="D865" t="s">
        <v>79</v>
      </c>
      <c r="E865">
        <v>5</v>
      </c>
      <c r="F865" t="s">
        <v>1759</v>
      </c>
      <c r="G865">
        <v>387</v>
      </c>
      <c r="H865">
        <v>1</v>
      </c>
      <c r="I865" t="s">
        <v>81</v>
      </c>
      <c r="J865">
        <v>0</v>
      </c>
      <c r="K865">
        <v>2</v>
      </c>
      <c r="L865">
        <v>2</v>
      </c>
      <c r="M865">
        <v>284</v>
      </c>
      <c r="N865">
        <v>274</v>
      </c>
      <c r="O865">
        <v>2</v>
      </c>
      <c r="P865">
        <v>274</v>
      </c>
      <c r="Q865">
        <v>16</v>
      </c>
      <c r="R865">
        <v>58</v>
      </c>
      <c r="S865">
        <v>11</v>
      </c>
      <c r="T865">
        <v>3</v>
      </c>
      <c r="U865">
        <v>39</v>
      </c>
      <c r="V865">
        <v>3</v>
      </c>
      <c r="W865">
        <v>31</v>
      </c>
      <c r="X865">
        <v>2</v>
      </c>
      <c r="Y865">
        <v>78</v>
      </c>
      <c r="Z865">
        <v>9</v>
      </c>
      <c r="AA865">
        <v>2</v>
      </c>
      <c r="AB865">
        <v>4</v>
      </c>
      <c r="AC865">
        <v>0</v>
      </c>
      <c r="AD865">
        <v>0</v>
      </c>
      <c r="AE865">
        <v>0</v>
      </c>
      <c r="AF865">
        <v>0</v>
      </c>
      <c r="AG865">
        <v>4</v>
      </c>
      <c r="AH865">
        <v>0</v>
      </c>
      <c r="AI865">
        <v>0</v>
      </c>
      <c r="AJ865">
        <v>0</v>
      </c>
      <c r="AK865">
        <v>3</v>
      </c>
      <c r="AL865">
        <v>2</v>
      </c>
      <c r="AM865">
        <v>0</v>
      </c>
      <c r="AN865">
        <v>0</v>
      </c>
      <c r="AT865">
        <v>0</v>
      </c>
      <c r="AU865">
        <v>9</v>
      </c>
      <c r="AV865">
        <v>274</v>
      </c>
      <c r="AW865">
        <v>274</v>
      </c>
      <c r="AX865">
        <v>536</v>
      </c>
      <c r="BA865">
        <v>1</v>
      </c>
      <c r="BC865" t="s">
        <v>1822</v>
      </c>
      <c r="BD865" s="4">
        <v>43283.310416666667</v>
      </c>
      <c r="BE865" s="4">
        <v>43283.3359375</v>
      </c>
      <c r="BF865" s="4">
        <v>43283.3359375</v>
      </c>
      <c r="BG865" t="s">
        <v>83</v>
      </c>
      <c r="BH865" t="s">
        <v>84</v>
      </c>
      <c r="BI865" t="s">
        <v>85</v>
      </c>
    </row>
    <row r="866" spans="1:61" x14ac:dyDescent="0.3">
      <c r="A866" t="str">
        <f>"200387C0100"</f>
        <v>200387C0100</v>
      </c>
      <c r="B866" t="s">
        <v>1823</v>
      </c>
      <c r="C866">
        <v>20</v>
      </c>
      <c r="D866" t="s">
        <v>79</v>
      </c>
      <c r="E866">
        <v>5</v>
      </c>
      <c r="F866" t="s">
        <v>1759</v>
      </c>
      <c r="G866">
        <v>387</v>
      </c>
      <c r="H866">
        <v>1</v>
      </c>
      <c r="I866" t="s">
        <v>89</v>
      </c>
      <c r="J866">
        <v>0</v>
      </c>
      <c r="K866">
        <v>2</v>
      </c>
      <c r="L866">
        <v>2</v>
      </c>
      <c r="M866">
        <v>265</v>
      </c>
      <c r="N866">
        <v>293</v>
      </c>
      <c r="O866">
        <v>3</v>
      </c>
      <c r="P866">
        <v>293</v>
      </c>
      <c r="Q866">
        <v>15</v>
      </c>
      <c r="R866">
        <v>66</v>
      </c>
      <c r="S866">
        <v>9</v>
      </c>
      <c r="T866">
        <v>4</v>
      </c>
      <c r="U866">
        <v>46</v>
      </c>
      <c r="V866">
        <v>1</v>
      </c>
      <c r="W866">
        <v>41</v>
      </c>
      <c r="X866">
        <v>3</v>
      </c>
      <c r="Y866">
        <v>66</v>
      </c>
      <c r="Z866">
        <v>16</v>
      </c>
      <c r="AA866">
        <v>2</v>
      </c>
      <c r="AB866">
        <v>4</v>
      </c>
      <c r="AC866">
        <v>1</v>
      </c>
      <c r="AD866">
        <v>1</v>
      </c>
      <c r="AE866">
        <v>0</v>
      </c>
      <c r="AF866">
        <v>0</v>
      </c>
      <c r="AG866">
        <v>4</v>
      </c>
      <c r="AH866">
        <v>0</v>
      </c>
      <c r="AI866">
        <v>0</v>
      </c>
      <c r="AJ866">
        <v>0</v>
      </c>
      <c r="AK866">
        <v>1</v>
      </c>
      <c r="AL866">
        <v>3</v>
      </c>
      <c r="AM866">
        <v>0</v>
      </c>
      <c r="AN866">
        <v>1</v>
      </c>
      <c r="AT866">
        <v>0</v>
      </c>
      <c r="AU866">
        <v>9</v>
      </c>
      <c r="AV866">
        <v>293</v>
      </c>
      <c r="AW866">
        <v>293</v>
      </c>
      <c r="AX866">
        <v>536</v>
      </c>
      <c r="BA866">
        <v>1</v>
      </c>
      <c r="BC866" t="s">
        <v>1824</v>
      </c>
      <c r="BD866" s="4">
        <v>43283.599305555559</v>
      </c>
      <c r="BE866" s="4">
        <v>43283.606226851851</v>
      </c>
      <c r="BF866" s="4">
        <v>43283.606226851851</v>
      </c>
      <c r="BG866" t="s">
        <v>83</v>
      </c>
      <c r="BH866" t="s">
        <v>84</v>
      </c>
      <c r="BI866" t="s">
        <v>548</v>
      </c>
    </row>
    <row r="867" spans="1:61" x14ac:dyDescent="0.3">
      <c r="A867" t="str">
        <f>"200388B0100"</f>
        <v>200388B0100</v>
      </c>
      <c r="B867" t="s">
        <v>1825</v>
      </c>
      <c r="C867">
        <v>20</v>
      </c>
      <c r="D867" t="s">
        <v>79</v>
      </c>
      <c r="E867">
        <v>5</v>
      </c>
      <c r="F867" t="s">
        <v>1759</v>
      </c>
      <c r="G867">
        <v>388</v>
      </c>
      <c r="H867">
        <v>1</v>
      </c>
      <c r="I867" t="s">
        <v>81</v>
      </c>
      <c r="J867">
        <v>0</v>
      </c>
      <c r="K867">
        <v>2</v>
      </c>
      <c r="L867">
        <v>2</v>
      </c>
      <c r="M867">
        <v>149</v>
      </c>
      <c r="N867">
        <v>176</v>
      </c>
      <c r="O867">
        <v>5</v>
      </c>
      <c r="P867">
        <v>176</v>
      </c>
      <c r="Q867">
        <v>16</v>
      </c>
      <c r="R867">
        <v>30</v>
      </c>
      <c r="S867">
        <v>15</v>
      </c>
      <c r="T867">
        <v>5</v>
      </c>
      <c r="U867">
        <v>27</v>
      </c>
      <c r="V867">
        <v>4</v>
      </c>
      <c r="W867">
        <v>0</v>
      </c>
      <c r="X867">
        <v>3</v>
      </c>
      <c r="Y867">
        <v>55</v>
      </c>
      <c r="Z867">
        <v>1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2</v>
      </c>
      <c r="AH867">
        <v>1</v>
      </c>
      <c r="AI867">
        <v>1</v>
      </c>
      <c r="AJ867">
        <v>0</v>
      </c>
      <c r="AK867">
        <v>5</v>
      </c>
      <c r="AL867">
        <v>2</v>
      </c>
      <c r="AM867">
        <v>0</v>
      </c>
      <c r="AN867">
        <v>2</v>
      </c>
      <c r="AT867">
        <v>0</v>
      </c>
      <c r="AU867">
        <v>7</v>
      </c>
      <c r="AV867">
        <v>176</v>
      </c>
      <c r="AW867">
        <v>176</v>
      </c>
      <c r="AX867">
        <v>303</v>
      </c>
      <c r="BA867">
        <v>1</v>
      </c>
      <c r="BC867" t="s">
        <v>1826</v>
      </c>
      <c r="BD867" s="4">
        <v>43283.305555555555</v>
      </c>
      <c r="BE867" s="4">
        <v>43283.332314814812</v>
      </c>
      <c r="BF867" s="4">
        <v>43283.332314814812</v>
      </c>
      <c r="BG867" t="s">
        <v>83</v>
      </c>
      <c r="BH867" t="s">
        <v>84</v>
      </c>
      <c r="BI867" t="s">
        <v>85</v>
      </c>
    </row>
    <row r="868" spans="1:61" x14ac:dyDescent="0.3">
      <c r="A868" t="str">
        <f>"200741B0100"</f>
        <v>200741B0100</v>
      </c>
      <c r="B868" t="s">
        <v>1827</v>
      </c>
      <c r="C868">
        <v>20</v>
      </c>
      <c r="D868" t="s">
        <v>79</v>
      </c>
      <c r="E868">
        <v>5</v>
      </c>
      <c r="F868" t="s">
        <v>1759</v>
      </c>
      <c r="G868">
        <v>741</v>
      </c>
      <c r="H868">
        <v>1</v>
      </c>
      <c r="I868" t="s">
        <v>81</v>
      </c>
      <c r="J868">
        <v>0</v>
      </c>
      <c r="K868">
        <v>2</v>
      </c>
      <c r="L868">
        <v>2</v>
      </c>
      <c r="M868">
        <v>139</v>
      </c>
      <c r="N868">
        <v>309</v>
      </c>
      <c r="O868">
        <v>8</v>
      </c>
      <c r="P868" t="s">
        <v>100</v>
      </c>
      <c r="Q868">
        <v>8</v>
      </c>
      <c r="R868">
        <v>63</v>
      </c>
      <c r="S868">
        <v>114</v>
      </c>
      <c r="T868">
        <v>25</v>
      </c>
      <c r="U868">
        <v>9</v>
      </c>
      <c r="V868">
        <v>2</v>
      </c>
      <c r="W868">
        <v>1</v>
      </c>
      <c r="X868">
        <v>1</v>
      </c>
      <c r="Y868">
        <v>50</v>
      </c>
      <c r="Z868">
        <v>2</v>
      </c>
      <c r="AA868">
        <v>0</v>
      </c>
      <c r="AB868">
        <v>0</v>
      </c>
      <c r="AC868">
        <v>1</v>
      </c>
      <c r="AD868">
        <v>1</v>
      </c>
      <c r="AE868">
        <v>1</v>
      </c>
      <c r="AF868">
        <v>1</v>
      </c>
      <c r="AG868">
        <v>2</v>
      </c>
      <c r="AH868">
        <v>6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1</v>
      </c>
      <c r="AT868">
        <v>0</v>
      </c>
      <c r="AU868">
        <v>22</v>
      </c>
      <c r="AV868" t="s">
        <v>100</v>
      </c>
      <c r="AW868">
        <v>310</v>
      </c>
      <c r="AX868">
        <v>426</v>
      </c>
      <c r="BA868">
        <v>1</v>
      </c>
      <c r="BC868" t="s">
        <v>1828</v>
      </c>
      <c r="BD868" s="4">
        <v>43283.445138888892</v>
      </c>
      <c r="BE868" s="4">
        <v>43283.449062500003</v>
      </c>
      <c r="BF868" s="4">
        <v>43283.449062500003</v>
      </c>
      <c r="BG868" t="s">
        <v>83</v>
      </c>
      <c r="BH868" t="s">
        <v>84</v>
      </c>
      <c r="BI868" t="s">
        <v>85</v>
      </c>
    </row>
    <row r="869" spans="1:61" x14ac:dyDescent="0.3">
      <c r="A869" t="str">
        <f>"200741C0100"</f>
        <v>200741C0100</v>
      </c>
      <c r="B869" t="s">
        <v>1829</v>
      </c>
      <c r="C869">
        <v>20</v>
      </c>
      <c r="D869" t="s">
        <v>79</v>
      </c>
      <c r="E869">
        <v>5</v>
      </c>
      <c r="F869" t="s">
        <v>1759</v>
      </c>
      <c r="G869">
        <v>741</v>
      </c>
      <c r="H869">
        <v>1</v>
      </c>
      <c r="I869" t="s">
        <v>89</v>
      </c>
      <c r="J869">
        <v>0</v>
      </c>
      <c r="K869">
        <v>2</v>
      </c>
      <c r="L869">
        <v>2</v>
      </c>
      <c r="M869">
        <v>136</v>
      </c>
      <c r="N869" t="s">
        <v>315</v>
      </c>
      <c r="O869" t="s">
        <v>315</v>
      </c>
      <c r="P869" t="s">
        <v>315</v>
      </c>
      <c r="Q869">
        <v>2</v>
      </c>
      <c r="R869">
        <v>51</v>
      </c>
      <c r="S869">
        <v>114</v>
      </c>
      <c r="T869">
        <v>38</v>
      </c>
      <c r="U869">
        <v>8</v>
      </c>
      <c r="V869">
        <v>4</v>
      </c>
      <c r="W869">
        <v>0</v>
      </c>
      <c r="X869">
        <v>3</v>
      </c>
      <c r="Y869">
        <v>58</v>
      </c>
      <c r="Z869">
        <v>1</v>
      </c>
      <c r="AA869">
        <v>1</v>
      </c>
      <c r="AB869">
        <v>2</v>
      </c>
      <c r="AC869">
        <v>0</v>
      </c>
      <c r="AD869">
        <v>1</v>
      </c>
      <c r="AE869">
        <v>0</v>
      </c>
      <c r="AF869">
        <v>0</v>
      </c>
      <c r="AG869">
        <v>0</v>
      </c>
      <c r="AH869">
        <v>4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T869">
        <v>0</v>
      </c>
      <c r="AU869">
        <v>25</v>
      </c>
      <c r="AV869" t="s">
        <v>100</v>
      </c>
      <c r="AW869">
        <v>312</v>
      </c>
      <c r="AX869">
        <v>426</v>
      </c>
      <c r="BA869">
        <v>1</v>
      </c>
      <c r="BC869" t="s">
        <v>1830</v>
      </c>
      <c r="BD869" s="4">
        <v>43283.413194444445</v>
      </c>
      <c r="BE869" s="4">
        <v>43283.434710648151</v>
      </c>
      <c r="BF869" s="4">
        <v>43283.434710648151</v>
      </c>
      <c r="BG869" t="s">
        <v>83</v>
      </c>
      <c r="BH869" t="s">
        <v>84</v>
      </c>
      <c r="BI869" t="s">
        <v>85</v>
      </c>
    </row>
    <row r="870" spans="1:61" x14ac:dyDescent="0.3">
      <c r="A870" t="str">
        <f>"200741E0100"</f>
        <v>200741E0100</v>
      </c>
      <c r="B870" s="2" t="s">
        <v>1831</v>
      </c>
      <c r="C870">
        <v>20</v>
      </c>
      <c r="D870" t="s">
        <v>79</v>
      </c>
      <c r="E870">
        <v>5</v>
      </c>
      <c r="F870" t="s">
        <v>1759</v>
      </c>
      <c r="G870">
        <v>741</v>
      </c>
      <c r="H870">
        <v>1</v>
      </c>
      <c r="I870" t="s">
        <v>145</v>
      </c>
      <c r="J870">
        <v>0</v>
      </c>
      <c r="K870">
        <v>2</v>
      </c>
      <c r="L870">
        <v>2</v>
      </c>
      <c r="M870">
        <v>137</v>
      </c>
      <c r="N870" t="s">
        <v>100</v>
      </c>
      <c r="O870">
        <v>310</v>
      </c>
      <c r="P870">
        <v>310</v>
      </c>
      <c r="Q870">
        <v>126</v>
      </c>
      <c r="R870">
        <v>126</v>
      </c>
      <c r="S870">
        <v>19</v>
      </c>
      <c r="T870" t="s">
        <v>100</v>
      </c>
      <c r="U870" t="s">
        <v>100</v>
      </c>
      <c r="V870" t="s">
        <v>100</v>
      </c>
      <c r="W870" t="s">
        <v>100</v>
      </c>
      <c r="X870" t="s">
        <v>100</v>
      </c>
      <c r="Y870">
        <v>143</v>
      </c>
      <c r="Z870" t="s">
        <v>100</v>
      </c>
      <c r="AA870" t="s">
        <v>100</v>
      </c>
      <c r="AB870" t="s">
        <v>100</v>
      </c>
      <c r="AC870" t="s">
        <v>100</v>
      </c>
      <c r="AD870" t="s">
        <v>100</v>
      </c>
      <c r="AE870" t="s">
        <v>100</v>
      </c>
      <c r="AF870" t="s">
        <v>100</v>
      </c>
      <c r="AG870" t="s">
        <v>100</v>
      </c>
      <c r="AH870" t="s">
        <v>100</v>
      </c>
      <c r="AI870" t="s">
        <v>100</v>
      </c>
      <c r="AJ870" t="s">
        <v>100</v>
      </c>
      <c r="AK870" t="s">
        <v>100</v>
      </c>
      <c r="AL870" t="s">
        <v>100</v>
      </c>
      <c r="AM870" t="s">
        <v>100</v>
      </c>
      <c r="AN870" t="s">
        <v>100</v>
      </c>
      <c r="AT870" t="s">
        <v>100</v>
      </c>
      <c r="AU870" t="s">
        <v>100</v>
      </c>
      <c r="AV870" t="s">
        <v>100</v>
      </c>
      <c r="AW870">
        <v>414</v>
      </c>
      <c r="AX870">
        <v>425</v>
      </c>
      <c r="AZ870" t="s">
        <v>101</v>
      </c>
      <c r="BA870">
        <v>1</v>
      </c>
      <c r="BC870" t="s">
        <v>1832</v>
      </c>
      <c r="BD870" s="4">
        <v>43283.415277777778</v>
      </c>
      <c r="BE870" s="4">
        <v>43283.420798611114</v>
      </c>
      <c r="BF870" s="4">
        <v>43283.420798611114</v>
      </c>
      <c r="BG870" t="s">
        <v>83</v>
      </c>
      <c r="BH870" t="s">
        <v>84</v>
      </c>
      <c r="BI870" t="s">
        <v>85</v>
      </c>
    </row>
    <row r="871" spans="1:61" x14ac:dyDescent="0.3">
      <c r="A871" t="str">
        <f>"200742B0100"</f>
        <v>200742B0100</v>
      </c>
      <c r="B871" t="s">
        <v>1833</v>
      </c>
      <c r="C871">
        <v>20</v>
      </c>
      <c r="D871" t="s">
        <v>79</v>
      </c>
      <c r="E871">
        <v>5</v>
      </c>
      <c r="F871" t="s">
        <v>1759</v>
      </c>
      <c r="G871">
        <v>742</v>
      </c>
      <c r="H871">
        <v>1</v>
      </c>
      <c r="I871" t="s">
        <v>81</v>
      </c>
      <c r="J871">
        <v>0</v>
      </c>
      <c r="K871">
        <v>2</v>
      </c>
      <c r="L871">
        <v>2</v>
      </c>
      <c r="M871">
        <v>81</v>
      </c>
      <c r="N871">
        <v>105</v>
      </c>
      <c r="O871">
        <v>7</v>
      </c>
      <c r="P871">
        <v>105</v>
      </c>
      <c r="Q871">
        <v>1</v>
      </c>
      <c r="R871">
        <v>8</v>
      </c>
      <c r="S871">
        <v>30</v>
      </c>
      <c r="T871">
        <v>4</v>
      </c>
      <c r="U871">
        <v>14</v>
      </c>
      <c r="V871">
        <v>3</v>
      </c>
      <c r="W871">
        <v>1</v>
      </c>
      <c r="X871">
        <v>1</v>
      </c>
      <c r="Y871">
        <v>30</v>
      </c>
      <c r="Z871">
        <v>5</v>
      </c>
      <c r="AA871">
        <v>0</v>
      </c>
      <c r="AB871">
        <v>2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1</v>
      </c>
      <c r="AL871">
        <v>2</v>
      </c>
      <c r="AM871">
        <v>0</v>
      </c>
      <c r="AN871">
        <v>0</v>
      </c>
      <c r="AT871">
        <v>0</v>
      </c>
      <c r="AU871">
        <v>3</v>
      </c>
      <c r="AV871">
        <v>165</v>
      </c>
      <c r="AW871">
        <v>105</v>
      </c>
      <c r="AX871">
        <v>164</v>
      </c>
      <c r="BA871">
        <v>1</v>
      </c>
      <c r="BC871" t="s">
        <v>1834</v>
      </c>
      <c r="BD871" s="4">
        <v>43283.422222222223</v>
      </c>
      <c r="BE871" s="4">
        <v>43283.429039351853</v>
      </c>
      <c r="BF871" s="4">
        <v>43283.429039351853</v>
      </c>
      <c r="BG871" t="s">
        <v>83</v>
      </c>
      <c r="BH871" t="s">
        <v>84</v>
      </c>
      <c r="BI871" t="s">
        <v>85</v>
      </c>
    </row>
    <row r="872" spans="1:61" x14ac:dyDescent="0.3">
      <c r="A872" t="str">
        <f>"200742E0100"</f>
        <v>200742E0100</v>
      </c>
      <c r="B872" s="2" t="s">
        <v>1835</v>
      </c>
      <c r="C872">
        <v>20</v>
      </c>
      <c r="D872" t="s">
        <v>79</v>
      </c>
      <c r="E872">
        <v>5</v>
      </c>
      <c r="F872" t="s">
        <v>1759</v>
      </c>
      <c r="G872">
        <v>742</v>
      </c>
      <c r="H872">
        <v>1</v>
      </c>
      <c r="I872" t="s">
        <v>145</v>
      </c>
      <c r="J872">
        <v>0</v>
      </c>
      <c r="K872">
        <v>2</v>
      </c>
      <c r="L872">
        <v>2</v>
      </c>
      <c r="M872">
        <v>68</v>
      </c>
      <c r="N872">
        <v>109</v>
      </c>
      <c r="O872">
        <v>6</v>
      </c>
      <c r="P872">
        <v>109</v>
      </c>
      <c r="Q872">
        <v>3</v>
      </c>
      <c r="R872">
        <v>31</v>
      </c>
      <c r="S872">
        <v>37</v>
      </c>
      <c r="T872">
        <v>17</v>
      </c>
      <c r="U872">
        <v>1</v>
      </c>
      <c r="V872">
        <v>0</v>
      </c>
      <c r="W872">
        <v>1</v>
      </c>
      <c r="X872">
        <v>1</v>
      </c>
      <c r="Y872">
        <v>10</v>
      </c>
      <c r="Z872">
        <v>0</v>
      </c>
      <c r="AA872">
        <v>0</v>
      </c>
      <c r="AB872">
        <v>1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1</v>
      </c>
      <c r="AI872">
        <v>0</v>
      </c>
      <c r="AJ872">
        <v>0</v>
      </c>
      <c r="AK872">
        <v>0</v>
      </c>
      <c r="AL872">
        <v>1</v>
      </c>
      <c r="AM872">
        <v>0</v>
      </c>
      <c r="AN872">
        <v>0</v>
      </c>
      <c r="AT872">
        <v>0</v>
      </c>
      <c r="AU872">
        <v>5</v>
      </c>
      <c r="AV872">
        <v>109</v>
      </c>
      <c r="AW872">
        <v>109</v>
      </c>
      <c r="AX872">
        <v>155</v>
      </c>
      <c r="BA872">
        <v>1</v>
      </c>
      <c r="BC872" t="s">
        <v>1836</v>
      </c>
      <c r="BD872" s="4">
        <v>43283.445138888892</v>
      </c>
      <c r="BE872" s="4">
        <v>43283.449918981481</v>
      </c>
      <c r="BF872" s="4">
        <v>43283.449918981481</v>
      </c>
      <c r="BG872" t="s">
        <v>83</v>
      </c>
      <c r="BH872" t="s">
        <v>84</v>
      </c>
      <c r="BI872" t="s">
        <v>85</v>
      </c>
    </row>
    <row r="873" spans="1:61" x14ac:dyDescent="0.3">
      <c r="A873" t="str">
        <f>"200743B0100"</f>
        <v>200743B0100</v>
      </c>
      <c r="B873" t="s">
        <v>1837</v>
      </c>
      <c r="C873">
        <v>20</v>
      </c>
      <c r="D873" t="s">
        <v>79</v>
      </c>
      <c r="E873">
        <v>5</v>
      </c>
      <c r="F873" t="s">
        <v>1759</v>
      </c>
      <c r="G873">
        <v>743</v>
      </c>
      <c r="H873">
        <v>1</v>
      </c>
      <c r="I873" t="s">
        <v>81</v>
      </c>
      <c r="J873">
        <v>0</v>
      </c>
      <c r="K873">
        <v>2</v>
      </c>
      <c r="L873">
        <v>2</v>
      </c>
      <c r="M873">
        <v>47</v>
      </c>
      <c r="N873">
        <v>78</v>
      </c>
      <c r="O873">
        <v>9</v>
      </c>
      <c r="P873">
        <v>78</v>
      </c>
      <c r="Q873">
        <v>0</v>
      </c>
      <c r="R873">
        <v>13</v>
      </c>
      <c r="S873">
        <v>16</v>
      </c>
      <c r="T873">
        <v>8</v>
      </c>
      <c r="U873">
        <v>2</v>
      </c>
      <c r="V873">
        <v>1</v>
      </c>
      <c r="W873">
        <v>1</v>
      </c>
      <c r="X873">
        <v>1</v>
      </c>
      <c r="Y873">
        <v>29</v>
      </c>
      <c r="Z873">
        <v>0</v>
      </c>
      <c r="AA873">
        <v>0</v>
      </c>
      <c r="AB873">
        <v>1</v>
      </c>
      <c r="AC873">
        <v>0</v>
      </c>
      <c r="AD873">
        <v>0</v>
      </c>
      <c r="AE873">
        <v>0</v>
      </c>
      <c r="AF873">
        <v>0</v>
      </c>
      <c r="AG873">
        <v>1</v>
      </c>
      <c r="AH873">
        <v>0</v>
      </c>
      <c r="AI873">
        <v>0</v>
      </c>
      <c r="AJ873">
        <v>0</v>
      </c>
      <c r="AK873">
        <v>2</v>
      </c>
      <c r="AL873">
        <v>0</v>
      </c>
      <c r="AM873">
        <v>0</v>
      </c>
      <c r="AN873">
        <v>0</v>
      </c>
      <c r="AT873">
        <v>0</v>
      </c>
      <c r="AU873">
        <v>2</v>
      </c>
      <c r="AV873">
        <v>78</v>
      </c>
      <c r="AW873">
        <v>77</v>
      </c>
      <c r="AX873">
        <v>103</v>
      </c>
      <c r="BA873">
        <v>1</v>
      </c>
      <c r="BC873" t="s">
        <v>1838</v>
      </c>
      <c r="BD873" s="4">
        <v>43283.415277777778</v>
      </c>
      <c r="BE873" s="4">
        <v>43283.422673611109</v>
      </c>
      <c r="BF873" s="4">
        <v>43283.422673611109</v>
      </c>
      <c r="BG873" t="s">
        <v>83</v>
      </c>
      <c r="BH873" t="s">
        <v>84</v>
      </c>
      <c r="BI873" t="s">
        <v>85</v>
      </c>
    </row>
    <row r="874" spans="1:61" x14ac:dyDescent="0.3">
      <c r="A874" t="str">
        <f>"200750B0100"</f>
        <v>200750B0100</v>
      </c>
      <c r="B874" t="s">
        <v>1839</v>
      </c>
      <c r="C874">
        <v>20</v>
      </c>
      <c r="D874" t="s">
        <v>79</v>
      </c>
      <c r="E874">
        <v>5</v>
      </c>
      <c r="F874" t="s">
        <v>1759</v>
      </c>
      <c r="G874">
        <v>750</v>
      </c>
      <c r="H874">
        <v>1</v>
      </c>
      <c r="I874" t="s">
        <v>81</v>
      </c>
      <c r="J874">
        <v>0</v>
      </c>
      <c r="K874">
        <v>2</v>
      </c>
      <c r="L874">
        <v>2</v>
      </c>
      <c r="M874">
        <v>194</v>
      </c>
      <c r="N874">
        <v>211</v>
      </c>
      <c r="O874">
        <v>0</v>
      </c>
      <c r="P874">
        <v>211</v>
      </c>
      <c r="Q874">
        <v>11</v>
      </c>
      <c r="R874">
        <v>81</v>
      </c>
      <c r="S874">
        <v>7</v>
      </c>
      <c r="T874">
        <v>6</v>
      </c>
      <c r="U874">
        <v>20</v>
      </c>
      <c r="V874">
        <v>3</v>
      </c>
      <c r="W874">
        <v>4</v>
      </c>
      <c r="X874">
        <v>3</v>
      </c>
      <c r="Y874">
        <v>61</v>
      </c>
      <c r="Z874">
        <v>3</v>
      </c>
      <c r="AA874">
        <v>1</v>
      </c>
      <c r="AB874">
        <v>2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1</v>
      </c>
      <c r="AI874">
        <v>0</v>
      </c>
      <c r="AJ874">
        <v>0</v>
      </c>
      <c r="AK874">
        <v>0</v>
      </c>
      <c r="AL874">
        <v>1</v>
      </c>
      <c r="AM874">
        <v>0</v>
      </c>
      <c r="AN874">
        <v>0</v>
      </c>
      <c r="AT874">
        <v>0</v>
      </c>
      <c r="AU874">
        <v>7</v>
      </c>
      <c r="AV874">
        <v>211</v>
      </c>
      <c r="AW874">
        <v>211</v>
      </c>
      <c r="AX874">
        <v>383</v>
      </c>
      <c r="BA874">
        <v>1</v>
      </c>
      <c r="BC874" t="s">
        <v>1840</v>
      </c>
      <c r="BD874" s="4">
        <v>43283.098611111112</v>
      </c>
      <c r="BE874" s="4">
        <v>43283.103784722225</v>
      </c>
      <c r="BF874" s="4">
        <v>43283.103784722225</v>
      </c>
      <c r="BG874" t="s">
        <v>83</v>
      </c>
      <c r="BH874" t="s">
        <v>84</v>
      </c>
      <c r="BI874" t="s">
        <v>85</v>
      </c>
    </row>
    <row r="875" spans="1:61" x14ac:dyDescent="0.3">
      <c r="A875" t="str">
        <f>"200751B0100"</f>
        <v>200751B0100</v>
      </c>
      <c r="B875" t="s">
        <v>1841</v>
      </c>
      <c r="C875">
        <v>20</v>
      </c>
      <c r="D875" t="s">
        <v>79</v>
      </c>
      <c r="E875">
        <v>5</v>
      </c>
      <c r="F875" t="s">
        <v>1759</v>
      </c>
      <c r="G875">
        <v>751</v>
      </c>
      <c r="H875">
        <v>1</v>
      </c>
      <c r="I875" t="s">
        <v>81</v>
      </c>
      <c r="J875">
        <v>0</v>
      </c>
      <c r="K875">
        <v>2</v>
      </c>
      <c r="L875">
        <v>2</v>
      </c>
      <c r="M875">
        <v>385</v>
      </c>
      <c r="N875">
        <v>298</v>
      </c>
      <c r="O875">
        <v>0</v>
      </c>
      <c r="P875">
        <v>298</v>
      </c>
      <c r="Q875">
        <v>10</v>
      </c>
      <c r="R875">
        <v>187</v>
      </c>
      <c r="S875">
        <v>7</v>
      </c>
      <c r="T875">
        <v>2</v>
      </c>
      <c r="U875">
        <v>42</v>
      </c>
      <c r="V875">
        <v>1</v>
      </c>
      <c r="W875">
        <v>0</v>
      </c>
      <c r="X875">
        <v>0</v>
      </c>
      <c r="Y875">
        <v>30</v>
      </c>
      <c r="Z875">
        <v>3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1</v>
      </c>
      <c r="AH875">
        <v>1</v>
      </c>
      <c r="AI875">
        <v>0</v>
      </c>
      <c r="AJ875">
        <v>0</v>
      </c>
      <c r="AK875">
        <v>1</v>
      </c>
      <c r="AL875">
        <v>1</v>
      </c>
      <c r="AM875">
        <v>0</v>
      </c>
      <c r="AN875">
        <v>0</v>
      </c>
      <c r="AT875" t="s">
        <v>100</v>
      </c>
      <c r="AU875">
        <v>12</v>
      </c>
      <c r="AV875">
        <v>298</v>
      </c>
      <c r="AW875">
        <v>298</v>
      </c>
      <c r="AX875">
        <v>661</v>
      </c>
      <c r="AZ875" t="s">
        <v>101</v>
      </c>
      <c r="BA875">
        <v>1</v>
      </c>
      <c r="BC875" t="s">
        <v>1842</v>
      </c>
      <c r="BD875" s="4">
        <v>43283.02847222222</v>
      </c>
      <c r="BE875" s="4">
        <v>43283.033055555556</v>
      </c>
      <c r="BF875" s="4">
        <v>43283.033055555556</v>
      </c>
      <c r="BG875" t="s">
        <v>83</v>
      </c>
      <c r="BH875" t="s">
        <v>84</v>
      </c>
      <c r="BI875" t="s">
        <v>85</v>
      </c>
    </row>
    <row r="876" spans="1:61" x14ac:dyDescent="0.3">
      <c r="A876" t="str">
        <f>"200752B0100"</f>
        <v>200752B0100</v>
      </c>
      <c r="B876" t="s">
        <v>1843</v>
      </c>
      <c r="C876">
        <v>20</v>
      </c>
      <c r="D876" t="s">
        <v>79</v>
      </c>
      <c r="E876">
        <v>5</v>
      </c>
      <c r="F876" t="s">
        <v>1759</v>
      </c>
      <c r="G876">
        <v>752</v>
      </c>
      <c r="H876">
        <v>1</v>
      </c>
      <c r="I876" t="s">
        <v>81</v>
      </c>
      <c r="J876">
        <v>0</v>
      </c>
      <c r="K876">
        <v>2</v>
      </c>
      <c r="L876">
        <v>2</v>
      </c>
      <c r="M876">
        <v>138</v>
      </c>
      <c r="N876">
        <v>201</v>
      </c>
      <c r="O876">
        <v>1</v>
      </c>
      <c r="P876">
        <v>201</v>
      </c>
      <c r="Q876">
        <v>15</v>
      </c>
      <c r="R876">
        <v>45</v>
      </c>
      <c r="S876">
        <v>12</v>
      </c>
      <c r="T876">
        <v>3</v>
      </c>
      <c r="U876">
        <v>35</v>
      </c>
      <c r="V876">
        <v>4</v>
      </c>
      <c r="W876">
        <v>3</v>
      </c>
      <c r="X876">
        <v>0</v>
      </c>
      <c r="Y876">
        <v>54</v>
      </c>
      <c r="Z876">
        <v>3</v>
      </c>
      <c r="AA876">
        <v>3</v>
      </c>
      <c r="AB876">
        <v>2</v>
      </c>
      <c r="AC876">
        <v>0</v>
      </c>
      <c r="AD876">
        <v>0</v>
      </c>
      <c r="AE876">
        <v>2</v>
      </c>
      <c r="AF876">
        <v>0</v>
      </c>
      <c r="AG876">
        <v>2</v>
      </c>
      <c r="AH876">
        <v>6</v>
      </c>
      <c r="AI876">
        <v>0</v>
      </c>
      <c r="AJ876">
        <v>0</v>
      </c>
      <c r="AK876">
        <v>1</v>
      </c>
      <c r="AL876">
        <v>1</v>
      </c>
      <c r="AM876">
        <v>0</v>
      </c>
      <c r="AN876">
        <v>0</v>
      </c>
      <c r="AT876" t="s">
        <v>100</v>
      </c>
      <c r="AU876" t="s">
        <v>100</v>
      </c>
      <c r="AV876" t="s">
        <v>100</v>
      </c>
      <c r="AW876">
        <v>191</v>
      </c>
      <c r="AX876">
        <v>317</v>
      </c>
      <c r="AZ876" t="s">
        <v>101</v>
      </c>
      <c r="BA876">
        <v>1</v>
      </c>
      <c r="BC876" t="s">
        <v>1844</v>
      </c>
      <c r="BD876" s="4">
        <v>43283.030555555553</v>
      </c>
      <c r="BE876" s="4">
        <v>43283.0465625</v>
      </c>
      <c r="BF876" s="4">
        <v>43283.0465625</v>
      </c>
      <c r="BG876" t="s">
        <v>83</v>
      </c>
      <c r="BH876" t="s">
        <v>84</v>
      </c>
      <c r="BI876" t="s">
        <v>85</v>
      </c>
    </row>
    <row r="877" spans="1:61" x14ac:dyDescent="0.3">
      <c r="A877" t="str">
        <f>"200752E0100"</f>
        <v>200752E0100</v>
      </c>
      <c r="B877" s="2" t="s">
        <v>1845</v>
      </c>
      <c r="C877">
        <v>20</v>
      </c>
      <c r="D877" t="s">
        <v>79</v>
      </c>
      <c r="E877">
        <v>5</v>
      </c>
      <c r="F877" t="s">
        <v>1759</v>
      </c>
      <c r="G877">
        <v>752</v>
      </c>
      <c r="H877">
        <v>1</v>
      </c>
      <c r="I877" t="s">
        <v>145</v>
      </c>
      <c r="J877">
        <v>0</v>
      </c>
      <c r="K877">
        <v>2</v>
      </c>
      <c r="L877">
        <v>2</v>
      </c>
      <c r="M877">
        <v>183</v>
      </c>
      <c r="N877">
        <v>186</v>
      </c>
      <c r="O877">
        <v>0</v>
      </c>
      <c r="P877">
        <v>186</v>
      </c>
      <c r="Q877">
        <v>12</v>
      </c>
      <c r="R877">
        <v>32</v>
      </c>
      <c r="S877">
        <v>9</v>
      </c>
      <c r="T877">
        <v>1</v>
      </c>
      <c r="U877">
        <v>49</v>
      </c>
      <c r="V877">
        <v>2</v>
      </c>
      <c r="W877">
        <v>1</v>
      </c>
      <c r="X877">
        <v>4</v>
      </c>
      <c r="Y877">
        <v>57</v>
      </c>
      <c r="Z877">
        <v>3</v>
      </c>
      <c r="AA877">
        <v>0</v>
      </c>
      <c r="AB877">
        <v>2</v>
      </c>
      <c r="AC877">
        <v>1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1</v>
      </c>
      <c r="AL877">
        <v>3</v>
      </c>
      <c r="AM877">
        <v>0</v>
      </c>
      <c r="AN877">
        <v>0</v>
      </c>
      <c r="AT877">
        <v>0</v>
      </c>
      <c r="AU877">
        <v>9</v>
      </c>
      <c r="AV877">
        <v>186</v>
      </c>
      <c r="AW877">
        <v>186</v>
      </c>
      <c r="AX877">
        <v>347</v>
      </c>
      <c r="BA877">
        <v>1</v>
      </c>
      <c r="BC877" t="s">
        <v>1846</v>
      </c>
      <c r="BD877" s="4">
        <v>43283.026388888888</v>
      </c>
      <c r="BE877" s="4">
        <v>43283.030324074076</v>
      </c>
      <c r="BF877" s="4">
        <v>43283.030324074076</v>
      </c>
      <c r="BG877" t="s">
        <v>83</v>
      </c>
      <c r="BH877" t="s">
        <v>84</v>
      </c>
      <c r="BI877" t="s">
        <v>85</v>
      </c>
    </row>
    <row r="878" spans="1:61" x14ac:dyDescent="0.3">
      <c r="A878" t="str">
        <f>"200756B0100"</f>
        <v>200756B0100</v>
      </c>
      <c r="B878" t="s">
        <v>1847</v>
      </c>
      <c r="C878">
        <v>20</v>
      </c>
      <c r="D878" t="s">
        <v>79</v>
      </c>
      <c r="E878">
        <v>5</v>
      </c>
      <c r="F878" t="s">
        <v>1759</v>
      </c>
      <c r="G878">
        <v>756</v>
      </c>
      <c r="H878">
        <v>1</v>
      </c>
      <c r="I878" t="s">
        <v>81</v>
      </c>
      <c r="J878">
        <v>0</v>
      </c>
      <c r="K878">
        <v>2</v>
      </c>
      <c r="L878">
        <v>2</v>
      </c>
      <c r="M878">
        <v>204</v>
      </c>
      <c r="N878">
        <v>377</v>
      </c>
      <c r="O878">
        <v>1</v>
      </c>
      <c r="P878" t="s">
        <v>100</v>
      </c>
      <c r="Q878">
        <v>26</v>
      </c>
      <c r="R878">
        <v>50</v>
      </c>
      <c r="S878">
        <v>65</v>
      </c>
      <c r="T878">
        <v>1</v>
      </c>
      <c r="U878">
        <v>46</v>
      </c>
      <c r="V878">
        <v>10</v>
      </c>
      <c r="W878">
        <v>8</v>
      </c>
      <c r="X878">
        <v>6</v>
      </c>
      <c r="Y878">
        <v>142</v>
      </c>
      <c r="Z878">
        <v>5</v>
      </c>
      <c r="AA878">
        <v>0</v>
      </c>
      <c r="AB878">
        <v>5</v>
      </c>
      <c r="AC878">
        <v>1</v>
      </c>
      <c r="AD878">
        <v>2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3</v>
      </c>
      <c r="AL878">
        <v>0</v>
      </c>
      <c r="AM878">
        <v>0</v>
      </c>
      <c r="AN878">
        <v>1</v>
      </c>
      <c r="AT878">
        <v>0</v>
      </c>
      <c r="AU878">
        <v>6</v>
      </c>
      <c r="AV878">
        <v>377</v>
      </c>
      <c r="AW878">
        <v>377</v>
      </c>
      <c r="AX878">
        <v>559</v>
      </c>
      <c r="BA878">
        <v>1</v>
      </c>
      <c r="BC878" t="s">
        <v>1848</v>
      </c>
      <c r="BD878" s="4">
        <v>43283.313888888886</v>
      </c>
      <c r="BE878" s="4">
        <v>43283.341550925928</v>
      </c>
      <c r="BF878" s="4">
        <v>43283.341550925928</v>
      </c>
      <c r="BG878" t="s">
        <v>83</v>
      </c>
      <c r="BH878" t="s">
        <v>84</v>
      </c>
      <c r="BI878" t="s">
        <v>85</v>
      </c>
    </row>
    <row r="879" spans="1:61" x14ac:dyDescent="0.3">
      <c r="A879" t="str">
        <f>"200764B0100"</f>
        <v>200764B0100</v>
      </c>
      <c r="B879" t="s">
        <v>1849</v>
      </c>
      <c r="C879">
        <v>20</v>
      </c>
      <c r="D879" t="s">
        <v>79</v>
      </c>
      <c r="E879">
        <v>5</v>
      </c>
      <c r="F879" t="s">
        <v>1759</v>
      </c>
      <c r="G879">
        <v>764</v>
      </c>
      <c r="H879">
        <v>1</v>
      </c>
      <c r="I879" t="s">
        <v>81</v>
      </c>
      <c r="J879">
        <v>0</v>
      </c>
      <c r="K879">
        <v>2</v>
      </c>
      <c r="L879">
        <v>2</v>
      </c>
      <c r="M879">
        <v>125</v>
      </c>
      <c r="N879">
        <v>495</v>
      </c>
      <c r="O879">
        <v>0</v>
      </c>
      <c r="P879">
        <v>3</v>
      </c>
      <c r="Q879">
        <v>8</v>
      </c>
      <c r="R879">
        <v>157</v>
      </c>
      <c r="S879">
        <v>5</v>
      </c>
      <c r="T879">
        <v>8</v>
      </c>
      <c r="U879">
        <v>18</v>
      </c>
      <c r="V879">
        <v>3</v>
      </c>
      <c r="W879">
        <v>3</v>
      </c>
      <c r="X879">
        <v>2</v>
      </c>
      <c r="Y879">
        <v>169</v>
      </c>
      <c r="Z879">
        <v>9</v>
      </c>
      <c r="AA879">
        <v>0</v>
      </c>
      <c r="AB879">
        <v>100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1</v>
      </c>
      <c r="AI879">
        <v>0</v>
      </c>
      <c r="AJ879">
        <v>0</v>
      </c>
      <c r="AK879">
        <v>1</v>
      </c>
      <c r="AL879">
        <v>2</v>
      </c>
      <c r="AM879">
        <v>0</v>
      </c>
      <c r="AN879">
        <v>1</v>
      </c>
      <c r="AT879">
        <v>0</v>
      </c>
      <c r="AU879">
        <v>14</v>
      </c>
      <c r="AV879">
        <v>495</v>
      </c>
      <c r="AW879">
        <v>501</v>
      </c>
      <c r="AX879">
        <v>598</v>
      </c>
      <c r="BA879">
        <v>1</v>
      </c>
      <c r="BC879" t="s">
        <v>1850</v>
      </c>
      <c r="BD879" s="4">
        <v>43283.215277777781</v>
      </c>
      <c r="BE879" s="4">
        <v>43283.241805555554</v>
      </c>
      <c r="BF879" s="4">
        <v>43283.241805555554</v>
      </c>
      <c r="BG879" t="s">
        <v>83</v>
      </c>
      <c r="BH879" t="s">
        <v>84</v>
      </c>
      <c r="BI879" t="s">
        <v>85</v>
      </c>
    </row>
    <row r="880" spans="1:61" x14ac:dyDescent="0.3">
      <c r="A880" t="str">
        <f>"200764C0100"</f>
        <v>200764C0100</v>
      </c>
      <c r="B880" t="s">
        <v>1851</v>
      </c>
      <c r="C880">
        <v>20</v>
      </c>
      <c r="D880" t="s">
        <v>79</v>
      </c>
      <c r="E880">
        <v>5</v>
      </c>
      <c r="F880" t="s">
        <v>1759</v>
      </c>
      <c r="G880">
        <v>764</v>
      </c>
      <c r="H880">
        <v>1</v>
      </c>
      <c r="I880" t="s">
        <v>89</v>
      </c>
      <c r="J880">
        <v>0</v>
      </c>
      <c r="K880">
        <v>2</v>
      </c>
      <c r="L880">
        <v>2</v>
      </c>
      <c r="M880">
        <v>120</v>
      </c>
      <c r="N880">
        <v>499</v>
      </c>
      <c r="O880">
        <v>0</v>
      </c>
      <c r="P880">
        <v>499</v>
      </c>
      <c r="Q880">
        <v>5</v>
      </c>
      <c r="R880">
        <v>160</v>
      </c>
      <c r="S880">
        <v>4</v>
      </c>
      <c r="T880">
        <v>2</v>
      </c>
      <c r="U880">
        <v>8</v>
      </c>
      <c r="V880">
        <v>5</v>
      </c>
      <c r="W880">
        <v>2</v>
      </c>
      <c r="X880">
        <v>3</v>
      </c>
      <c r="Y880">
        <v>146</v>
      </c>
      <c r="Z880">
        <v>10</v>
      </c>
      <c r="AA880">
        <v>1</v>
      </c>
      <c r="AB880">
        <v>129</v>
      </c>
      <c r="AC880">
        <v>1</v>
      </c>
      <c r="AD880">
        <v>0</v>
      </c>
      <c r="AE880">
        <v>0</v>
      </c>
      <c r="AF880">
        <v>0</v>
      </c>
      <c r="AG880">
        <v>0</v>
      </c>
      <c r="AH880">
        <v>2</v>
      </c>
      <c r="AI880">
        <v>0</v>
      </c>
      <c r="AJ880">
        <v>0</v>
      </c>
      <c r="AK880">
        <v>2</v>
      </c>
      <c r="AL880">
        <v>3</v>
      </c>
      <c r="AM880">
        <v>0</v>
      </c>
      <c r="AN880">
        <v>0</v>
      </c>
      <c r="AT880">
        <v>1</v>
      </c>
      <c r="AU880">
        <v>15</v>
      </c>
      <c r="AV880">
        <v>499</v>
      </c>
      <c r="AW880">
        <v>499</v>
      </c>
      <c r="AX880">
        <v>598</v>
      </c>
      <c r="BA880">
        <v>1</v>
      </c>
      <c r="BC880" t="s">
        <v>1852</v>
      </c>
      <c r="BD880" s="4">
        <v>43283.22152777778</v>
      </c>
      <c r="BE880" s="4">
        <v>43283.244166666664</v>
      </c>
      <c r="BF880" s="4">
        <v>43283.244166666664</v>
      </c>
      <c r="BG880" t="s">
        <v>83</v>
      </c>
      <c r="BH880" t="s">
        <v>84</v>
      </c>
      <c r="BI880" t="s">
        <v>85</v>
      </c>
    </row>
    <row r="881" spans="1:61" x14ac:dyDescent="0.3">
      <c r="A881" t="str">
        <f>"200764C0200"</f>
        <v>200764C0200</v>
      </c>
      <c r="B881" t="s">
        <v>1853</v>
      </c>
      <c r="C881">
        <v>20</v>
      </c>
      <c r="D881" t="s">
        <v>79</v>
      </c>
      <c r="E881">
        <v>5</v>
      </c>
      <c r="F881" t="s">
        <v>1759</v>
      </c>
      <c r="G881">
        <v>764</v>
      </c>
      <c r="H881">
        <v>2</v>
      </c>
      <c r="I881" t="s">
        <v>89</v>
      </c>
      <c r="J881">
        <v>0</v>
      </c>
      <c r="K881">
        <v>2</v>
      </c>
      <c r="L881">
        <v>2</v>
      </c>
      <c r="M881">
        <v>138</v>
      </c>
      <c r="N881">
        <v>482</v>
      </c>
      <c r="O881">
        <v>0</v>
      </c>
      <c r="P881">
        <v>482</v>
      </c>
      <c r="Q881">
        <v>5</v>
      </c>
      <c r="R881">
        <v>126</v>
      </c>
      <c r="S881">
        <v>13</v>
      </c>
      <c r="T881">
        <v>6</v>
      </c>
      <c r="U881">
        <v>9</v>
      </c>
      <c r="V881">
        <v>0</v>
      </c>
      <c r="W881">
        <v>5</v>
      </c>
      <c r="X881">
        <v>2</v>
      </c>
      <c r="Y881">
        <v>186</v>
      </c>
      <c r="Z881">
        <v>3</v>
      </c>
      <c r="AA881">
        <v>1</v>
      </c>
      <c r="AB881">
        <v>98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1</v>
      </c>
      <c r="AI881">
        <v>0</v>
      </c>
      <c r="AJ881">
        <v>0</v>
      </c>
      <c r="AK881">
        <v>0</v>
      </c>
      <c r="AL881">
        <v>1</v>
      </c>
      <c r="AM881">
        <v>0</v>
      </c>
      <c r="AN881">
        <v>1</v>
      </c>
      <c r="AT881">
        <v>0</v>
      </c>
      <c r="AU881">
        <v>25</v>
      </c>
      <c r="AV881">
        <v>482</v>
      </c>
      <c r="AW881">
        <v>482</v>
      </c>
      <c r="AX881">
        <v>597</v>
      </c>
      <c r="BA881">
        <v>1</v>
      </c>
      <c r="BC881" t="s">
        <v>1854</v>
      </c>
      <c r="BD881" s="4">
        <v>43283.215277777781</v>
      </c>
      <c r="BE881" s="4">
        <v>43283.239004629628</v>
      </c>
      <c r="BF881" s="4">
        <v>43283.239004629628</v>
      </c>
      <c r="BG881" t="s">
        <v>83</v>
      </c>
      <c r="BH881" t="s">
        <v>84</v>
      </c>
      <c r="BI881" t="s">
        <v>85</v>
      </c>
    </row>
    <row r="882" spans="1:61" x14ac:dyDescent="0.3">
      <c r="A882" t="str">
        <f>"200765B0100"</f>
        <v>200765B0100</v>
      </c>
      <c r="B882" t="s">
        <v>1855</v>
      </c>
      <c r="C882">
        <v>20</v>
      </c>
      <c r="D882" t="s">
        <v>79</v>
      </c>
      <c r="E882">
        <v>5</v>
      </c>
      <c r="F882" t="s">
        <v>1759</v>
      </c>
      <c r="G882">
        <v>765</v>
      </c>
      <c r="H882">
        <v>1</v>
      </c>
      <c r="I882" t="s">
        <v>81</v>
      </c>
      <c r="J882">
        <v>0</v>
      </c>
      <c r="K882">
        <v>2</v>
      </c>
      <c r="L882">
        <v>2</v>
      </c>
      <c r="M882">
        <v>195</v>
      </c>
      <c r="N882">
        <v>425</v>
      </c>
      <c r="O882">
        <v>0</v>
      </c>
      <c r="P882">
        <v>425</v>
      </c>
      <c r="Q882">
        <v>5</v>
      </c>
      <c r="R882">
        <v>73</v>
      </c>
      <c r="S882">
        <v>8</v>
      </c>
      <c r="T882">
        <v>6</v>
      </c>
      <c r="U882">
        <v>24</v>
      </c>
      <c r="V882">
        <v>5</v>
      </c>
      <c r="W882">
        <v>3</v>
      </c>
      <c r="X882">
        <v>2</v>
      </c>
      <c r="Y882">
        <v>174</v>
      </c>
      <c r="Z882">
        <v>3</v>
      </c>
      <c r="AA882">
        <v>0</v>
      </c>
      <c r="AB882">
        <v>88</v>
      </c>
      <c r="AC882">
        <v>0</v>
      </c>
      <c r="AD882">
        <v>0</v>
      </c>
      <c r="AE882">
        <v>1</v>
      </c>
      <c r="AF882">
        <v>0</v>
      </c>
      <c r="AG882">
        <v>1</v>
      </c>
      <c r="AH882">
        <v>1</v>
      </c>
      <c r="AI882">
        <v>0</v>
      </c>
      <c r="AJ882">
        <v>0</v>
      </c>
      <c r="AK882">
        <v>5</v>
      </c>
      <c r="AL882">
        <v>2</v>
      </c>
      <c r="AM882">
        <v>1</v>
      </c>
      <c r="AN882">
        <v>3</v>
      </c>
      <c r="AT882">
        <v>0</v>
      </c>
      <c r="AU882">
        <v>20</v>
      </c>
      <c r="AV882">
        <v>425</v>
      </c>
      <c r="AW882">
        <v>425</v>
      </c>
      <c r="AX882">
        <v>598</v>
      </c>
      <c r="BA882">
        <v>1</v>
      </c>
      <c r="BC882" t="s">
        <v>1856</v>
      </c>
      <c r="BD882" s="4">
        <v>43283.217361111114</v>
      </c>
      <c r="BE882" s="4">
        <v>43283.243784722225</v>
      </c>
      <c r="BF882" s="4">
        <v>43283.243784722225</v>
      </c>
      <c r="BG882" t="s">
        <v>83</v>
      </c>
      <c r="BH882" t="s">
        <v>84</v>
      </c>
      <c r="BI882" t="s">
        <v>85</v>
      </c>
    </row>
    <row r="883" spans="1:61" x14ac:dyDescent="0.3">
      <c r="A883" t="str">
        <f>"200765C0100"</f>
        <v>200765C0100</v>
      </c>
      <c r="B883" t="s">
        <v>1857</v>
      </c>
      <c r="C883">
        <v>20</v>
      </c>
      <c r="D883" t="s">
        <v>79</v>
      </c>
      <c r="E883">
        <v>5</v>
      </c>
      <c r="F883" t="s">
        <v>1759</v>
      </c>
      <c r="G883">
        <v>765</v>
      </c>
      <c r="H883">
        <v>1</v>
      </c>
      <c r="I883" t="s">
        <v>89</v>
      </c>
      <c r="J883">
        <v>0</v>
      </c>
      <c r="K883">
        <v>2</v>
      </c>
      <c r="L883">
        <v>2</v>
      </c>
      <c r="M883">
        <v>202</v>
      </c>
      <c r="N883">
        <v>417</v>
      </c>
      <c r="O883">
        <v>0</v>
      </c>
      <c r="P883">
        <v>414</v>
      </c>
      <c r="Q883">
        <v>5</v>
      </c>
      <c r="R883">
        <v>92</v>
      </c>
      <c r="S883">
        <v>5</v>
      </c>
      <c r="T883">
        <v>6</v>
      </c>
      <c r="U883">
        <v>32</v>
      </c>
      <c r="V883">
        <v>4</v>
      </c>
      <c r="W883">
        <v>3</v>
      </c>
      <c r="X883">
        <v>2</v>
      </c>
      <c r="Y883">
        <v>138</v>
      </c>
      <c r="Z883">
        <v>5</v>
      </c>
      <c r="AA883">
        <v>3</v>
      </c>
      <c r="AB883">
        <v>92</v>
      </c>
      <c r="AC883">
        <v>1</v>
      </c>
      <c r="AD883">
        <v>0</v>
      </c>
      <c r="AE883">
        <v>0</v>
      </c>
      <c r="AF883">
        <v>0</v>
      </c>
      <c r="AG883">
        <v>1</v>
      </c>
      <c r="AH883">
        <v>2</v>
      </c>
      <c r="AI883">
        <v>0</v>
      </c>
      <c r="AJ883">
        <v>0</v>
      </c>
      <c r="AK883">
        <v>8</v>
      </c>
      <c r="AL883">
        <v>1</v>
      </c>
      <c r="AM883">
        <v>0</v>
      </c>
      <c r="AN883">
        <v>2</v>
      </c>
      <c r="AT883">
        <v>0</v>
      </c>
      <c r="AU883">
        <v>12</v>
      </c>
      <c r="AV883">
        <v>414</v>
      </c>
      <c r="AW883">
        <v>414</v>
      </c>
      <c r="AX883">
        <v>597</v>
      </c>
      <c r="BA883">
        <v>1</v>
      </c>
      <c r="BC883" t="s">
        <v>1858</v>
      </c>
      <c r="BD883" s="4">
        <v>43283.21597222222</v>
      </c>
      <c r="BE883" s="4">
        <v>43283.239537037036</v>
      </c>
      <c r="BF883" s="4">
        <v>43283.239537037036</v>
      </c>
      <c r="BG883" t="s">
        <v>83</v>
      </c>
      <c r="BH883" t="s">
        <v>84</v>
      </c>
      <c r="BI883" t="s">
        <v>85</v>
      </c>
    </row>
    <row r="884" spans="1:61" x14ac:dyDescent="0.3">
      <c r="A884" t="str">
        <f>"200776B0100"</f>
        <v>200776B0100</v>
      </c>
      <c r="B884" t="s">
        <v>1859</v>
      </c>
      <c r="C884">
        <v>20</v>
      </c>
      <c r="D884" t="s">
        <v>79</v>
      </c>
      <c r="E884">
        <v>5</v>
      </c>
      <c r="F884" t="s">
        <v>1759</v>
      </c>
      <c r="G884">
        <v>776</v>
      </c>
      <c r="H884">
        <v>1</v>
      </c>
      <c r="I884" t="s">
        <v>81</v>
      </c>
      <c r="J884">
        <v>0</v>
      </c>
      <c r="K884">
        <v>2</v>
      </c>
      <c r="L884">
        <v>2</v>
      </c>
      <c r="M884">
        <v>95</v>
      </c>
      <c r="N884">
        <v>139</v>
      </c>
      <c r="O884">
        <v>0</v>
      </c>
      <c r="P884">
        <v>139</v>
      </c>
      <c r="Q884">
        <v>1</v>
      </c>
      <c r="R884">
        <v>11</v>
      </c>
      <c r="S884">
        <v>16</v>
      </c>
      <c r="T884">
        <v>0</v>
      </c>
      <c r="U884">
        <v>21</v>
      </c>
      <c r="V884">
        <v>0</v>
      </c>
      <c r="W884">
        <v>9</v>
      </c>
      <c r="X884">
        <v>1</v>
      </c>
      <c r="Y884">
        <v>59</v>
      </c>
      <c r="Z884">
        <v>5</v>
      </c>
      <c r="AA884">
        <v>0</v>
      </c>
      <c r="AB884">
        <v>1</v>
      </c>
      <c r="AC884">
        <v>0</v>
      </c>
      <c r="AD884">
        <v>0</v>
      </c>
      <c r="AE884">
        <v>0</v>
      </c>
      <c r="AF884">
        <v>1</v>
      </c>
      <c r="AG884">
        <v>0</v>
      </c>
      <c r="AH884">
        <v>0</v>
      </c>
      <c r="AI884">
        <v>0</v>
      </c>
      <c r="AJ884">
        <v>1</v>
      </c>
      <c r="AK884">
        <v>2</v>
      </c>
      <c r="AL884">
        <v>0</v>
      </c>
      <c r="AM884">
        <v>0</v>
      </c>
      <c r="AN884">
        <v>0</v>
      </c>
      <c r="AT884">
        <v>0</v>
      </c>
      <c r="AU884">
        <v>11</v>
      </c>
      <c r="AV884">
        <v>139</v>
      </c>
      <c r="AW884">
        <v>139</v>
      </c>
      <c r="AX884">
        <v>212</v>
      </c>
      <c r="BA884">
        <v>1</v>
      </c>
      <c r="BC884" s="2" t="s">
        <v>1860</v>
      </c>
      <c r="BD884" s="4">
        <v>43283.161805555559</v>
      </c>
      <c r="BE884" s="4">
        <v>43283.173368055555</v>
      </c>
      <c r="BF884" s="4">
        <v>43283.173368055555</v>
      </c>
      <c r="BG884" t="s">
        <v>83</v>
      </c>
      <c r="BH884" t="s">
        <v>84</v>
      </c>
      <c r="BI884" t="s">
        <v>85</v>
      </c>
    </row>
    <row r="885" spans="1:61" x14ac:dyDescent="0.3">
      <c r="A885" t="str">
        <f>"200801B0100"</f>
        <v>200801B0100</v>
      </c>
      <c r="B885" t="s">
        <v>1861</v>
      </c>
      <c r="C885">
        <v>20</v>
      </c>
      <c r="D885" t="s">
        <v>79</v>
      </c>
      <c r="E885">
        <v>5</v>
      </c>
      <c r="F885" t="s">
        <v>1759</v>
      </c>
      <c r="G885">
        <v>801</v>
      </c>
      <c r="H885">
        <v>1</v>
      </c>
      <c r="I885" t="s">
        <v>81</v>
      </c>
      <c r="J885">
        <v>0</v>
      </c>
      <c r="K885">
        <v>2</v>
      </c>
      <c r="L885">
        <v>2</v>
      </c>
      <c r="M885">
        <v>173</v>
      </c>
      <c r="N885">
        <v>215</v>
      </c>
      <c r="O885">
        <v>0</v>
      </c>
      <c r="P885">
        <v>215</v>
      </c>
      <c r="Q885">
        <v>7</v>
      </c>
      <c r="R885">
        <v>42</v>
      </c>
      <c r="S885">
        <v>8</v>
      </c>
      <c r="T885">
        <v>4</v>
      </c>
      <c r="U885">
        <v>21</v>
      </c>
      <c r="V885">
        <v>1</v>
      </c>
      <c r="W885">
        <v>19</v>
      </c>
      <c r="X885">
        <v>3</v>
      </c>
      <c r="Y885">
        <v>91</v>
      </c>
      <c r="Z885">
        <v>4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2</v>
      </c>
      <c r="AH885">
        <v>1</v>
      </c>
      <c r="AI885">
        <v>0</v>
      </c>
      <c r="AJ885">
        <v>0</v>
      </c>
      <c r="AK885">
        <v>3</v>
      </c>
      <c r="AL885">
        <v>0</v>
      </c>
      <c r="AM885">
        <v>0</v>
      </c>
      <c r="AN885">
        <v>0</v>
      </c>
      <c r="AT885">
        <v>0</v>
      </c>
      <c r="AU885">
        <v>9</v>
      </c>
      <c r="AV885">
        <v>215</v>
      </c>
      <c r="AW885">
        <v>215</v>
      </c>
      <c r="AX885">
        <v>366</v>
      </c>
      <c r="BA885">
        <v>1</v>
      </c>
      <c r="BC885" t="s">
        <v>1862</v>
      </c>
      <c r="BD885" s="4">
        <v>43283.302777777775</v>
      </c>
      <c r="BE885" s="4">
        <v>43283.34747685185</v>
      </c>
      <c r="BF885" s="4">
        <v>43283.34747685185</v>
      </c>
      <c r="BG885" t="s">
        <v>83</v>
      </c>
      <c r="BH885" t="s">
        <v>84</v>
      </c>
      <c r="BI885" t="s">
        <v>85</v>
      </c>
    </row>
    <row r="886" spans="1:61" x14ac:dyDescent="0.3">
      <c r="A886" t="str">
        <f>"200802B0100"</f>
        <v>200802B0100</v>
      </c>
      <c r="B886" t="s">
        <v>1863</v>
      </c>
      <c r="C886">
        <v>20</v>
      </c>
      <c r="D886" t="s">
        <v>79</v>
      </c>
      <c r="E886">
        <v>5</v>
      </c>
      <c r="F886" t="s">
        <v>1759</v>
      </c>
      <c r="G886">
        <v>802</v>
      </c>
      <c r="H886">
        <v>1</v>
      </c>
      <c r="I886" t="s">
        <v>81</v>
      </c>
      <c r="J886">
        <v>0</v>
      </c>
      <c r="K886">
        <v>2</v>
      </c>
      <c r="L886">
        <v>2</v>
      </c>
      <c r="M886">
        <v>83</v>
      </c>
      <c r="N886">
        <v>75</v>
      </c>
      <c r="O886">
        <v>3</v>
      </c>
      <c r="P886" t="s">
        <v>315</v>
      </c>
      <c r="Q886">
        <v>10</v>
      </c>
      <c r="R886">
        <v>3</v>
      </c>
      <c r="S886">
        <v>14</v>
      </c>
      <c r="T886">
        <v>2</v>
      </c>
      <c r="U886">
        <v>11</v>
      </c>
      <c r="V886">
        <v>4</v>
      </c>
      <c r="W886">
        <v>0</v>
      </c>
      <c r="X886">
        <v>1</v>
      </c>
      <c r="Y886">
        <v>26</v>
      </c>
      <c r="Z886">
        <v>1</v>
      </c>
      <c r="AA886">
        <v>0</v>
      </c>
      <c r="AB886">
        <v>0</v>
      </c>
      <c r="AC886">
        <v>1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T886" t="s">
        <v>100</v>
      </c>
      <c r="AU886">
        <v>2</v>
      </c>
      <c r="AV886">
        <v>75</v>
      </c>
      <c r="AW886">
        <v>75</v>
      </c>
      <c r="AX886">
        <v>136</v>
      </c>
      <c r="AZ886" t="s">
        <v>101</v>
      </c>
      <c r="BA886">
        <v>1</v>
      </c>
      <c r="BC886" t="s">
        <v>1864</v>
      </c>
      <c r="BD886" s="4">
        <v>43282.967361111114</v>
      </c>
      <c r="BE886" s="4">
        <v>43282.972233796296</v>
      </c>
      <c r="BF886" s="4">
        <v>43282.972233796296</v>
      </c>
      <c r="BG886" t="s">
        <v>83</v>
      </c>
      <c r="BH886" t="s">
        <v>84</v>
      </c>
      <c r="BI886" t="s">
        <v>85</v>
      </c>
    </row>
    <row r="887" spans="1:61" x14ac:dyDescent="0.3">
      <c r="A887" t="str">
        <f>"200837B0100"</f>
        <v>200837B0100</v>
      </c>
      <c r="B887" t="s">
        <v>1865</v>
      </c>
      <c r="C887">
        <v>20</v>
      </c>
      <c r="D887" t="s">
        <v>79</v>
      </c>
      <c r="E887">
        <v>5</v>
      </c>
      <c r="F887" t="s">
        <v>1759</v>
      </c>
      <c r="G887">
        <v>837</v>
      </c>
      <c r="H887">
        <v>1</v>
      </c>
      <c r="I887" t="s">
        <v>81</v>
      </c>
      <c r="J887">
        <v>0</v>
      </c>
      <c r="K887">
        <v>1</v>
      </c>
      <c r="L887">
        <v>2</v>
      </c>
      <c r="M887">
        <v>94</v>
      </c>
      <c r="N887">
        <v>174</v>
      </c>
      <c r="O887">
        <v>1</v>
      </c>
      <c r="P887">
        <v>174</v>
      </c>
      <c r="Q887">
        <v>9</v>
      </c>
      <c r="R887">
        <v>19</v>
      </c>
      <c r="S887">
        <v>17</v>
      </c>
      <c r="T887">
        <v>4</v>
      </c>
      <c r="U887">
        <v>16</v>
      </c>
      <c r="V887">
        <v>4</v>
      </c>
      <c r="W887">
        <v>1</v>
      </c>
      <c r="X887">
        <v>2</v>
      </c>
      <c r="Y887">
        <v>83</v>
      </c>
      <c r="Z887">
        <v>5</v>
      </c>
      <c r="AA887">
        <v>2</v>
      </c>
      <c r="AB887">
        <v>1</v>
      </c>
      <c r="AC887">
        <v>0</v>
      </c>
      <c r="AD887">
        <v>0</v>
      </c>
      <c r="AE887">
        <v>0</v>
      </c>
      <c r="AF887">
        <v>0</v>
      </c>
      <c r="AG887">
        <v>1</v>
      </c>
      <c r="AH887">
        <v>0</v>
      </c>
      <c r="AI887">
        <v>0</v>
      </c>
      <c r="AJ887">
        <v>0</v>
      </c>
      <c r="AK887">
        <v>1</v>
      </c>
      <c r="AL887">
        <v>2</v>
      </c>
      <c r="AM887">
        <v>0</v>
      </c>
      <c r="AN887">
        <v>2</v>
      </c>
      <c r="AT887">
        <v>0</v>
      </c>
      <c r="AU887">
        <v>5</v>
      </c>
      <c r="AV887">
        <v>174</v>
      </c>
      <c r="AW887">
        <v>174</v>
      </c>
      <c r="AX887">
        <v>246</v>
      </c>
      <c r="BA887">
        <v>1</v>
      </c>
      <c r="BC887" t="s">
        <v>1866</v>
      </c>
      <c r="BD887" s="4">
        <v>43283.161111111112</v>
      </c>
      <c r="BE887" s="4">
        <v>43283.176423611112</v>
      </c>
      <c r="BF887" s="4">
        <v>43283.176423611112</v>
      </c>
      <c r="BG887" t="s">
        <v>83</v>
      </c>
      <c r="BH887" t="s">
        <v>84</v>
      </c>
      <c r="BI887" t="s">
        <v>85</v>
      </c>
    </row>
    <row r="888" spans="1:61" x14ac:dyDescent="0.3">
      <c r="A888" t="str">
        <f>"200876B0100"</f>
        <v>200876B0100</v>
      </c>
      <c r="B888" t="s">
        <v>1867</v>
      </c>
      <c r="C888">
        <v>20</v>
      </c>
      <c r="D888" t="s">
        <v>79</v>
      </c>
      <c r="E888">
        <v>5</v>
      </c>
      <c r="F888" t="s">
        <v>1759</v>
      </c>
      <c r="G888">
        <v>876</v>
      </c>
      <c r="H888">
        <v>1</v>
      </c>
      <c r="I888" t="s">
        <v>81</v>
      </c>
      <c r="J888">
        <v>0</v>
      </c>
      <c r="K888">
        <v>1</v>
      </c>
      <c r="L888">
        <v>2</v>
      </c>
      <c r="AX888">
        <v>557</v>
      </c>
      <c r="AZ888" t="s">
        <v>1868</v>
      </c>
      <c r="BA888">
        <v>0</v>
      </c>
      <c r="BC888" t="s">
        <v>1869</v>
      </c>
      <c r="BD888" s="4">
        <v>43283.317361111112</v>
      </c>
      <c r="BE888" s="4">
        <v>43283.354814814818</v>
      </c>
      <c r="BF888" s="4">
        <v>43283.354814814818</v>
      </c>
      <c r="BG888" t="s">
        <v>83</v>
      </c>
      <c r="BH888" t="s">
        <v>84</v>
      </c>
      <c r="BI888" t="s">
        <v>85</v>
      </c>
    </row>
    <row r="889" spans="1:61" x14ac:dyDescent="0.3">
      <c r="A889" t="str">
        <f>"200891B0100"</f>
        <v>200891B0100</v>
      </c>
      <c r="B889" t="s">
        <v>1870</v>
      </c>
      <c r="C889">
        <v>20</v>
      </c>
      <c r="D889" t="s">
        <v>79</v>
      </c>
      <c r="E889">
        <v>5</v>
      </c>
      <c r="F889" t="s">
        <v>1759</v>
      </c>
      <c r="G889">
        <v>891</v>
      </c>
      <c r="H889">
        <v>1</v>
      </c>
      <c r="I889" t="s">
        <v>81</v>
      </c>
      <c r="J889">
        <v>0</v>
      </c>
      <c r="K889">
        <v>2</v>
      </c>
      <c r="L889">
        <v>2</v>
      </c>
      <c r="M889">
        <v>237</v>
      </c>
      <c r="N889">
        <v>292</v>
      </c>
      <c r="O889">
        <v>0</v>
      </c>
      <c r="P889">
        <v>292</v>
      </c>
      <c r="Q889">
        <v>8</v>
      </c>
      <c r="R889">
        <v>49</v>
      </c>
      <c r="S889">
        <v>26</v>
      </c>
      <c r="T889">
        <v>4</v>
      </c>
      <c r="U889">
        <v>53</v>
      </c>
      <c r="V889">
        <v>7</v>
      </c>
      <c r="W889">
        <v>31</v>
      </c>
      <c r="X889">
        <v>1</v>
      </c>
      <c r="Y889">
        <v>81</v>
      </c>
      <c r="Z889">
        <v>4</v>
      </c>
      <c r="AA889">
        <v>2</v>
      </c>
      <c r="AB889">
        <v>1</v>
      </c>
      <c r="AC889">
        <v>0</v>
      </c>
      <c r="AD889">
        <v>0</v>
      </c>
      <c r="AE889">
        <v>0</v>
      </c>
      <c r="AF889">
        <v>0</v>
      </c>
      <c r="AG889">
        <v>2</v>
      </c>
      <c r="AH889">
        <v>1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T889">
        <v>0</v>
      </c>
      <c r="AU889">
        <v>18</v>
      </c>
      <c r="AV889">
        <v>292</v>
      </c>
      <c r="AW889">
        <v>288</v>
      </c>
      <c r="AX889">
        <v>507</v>
      </c>
      <c r="BA889">
        <v>1</v>
      </c>
      <c r="BC889" t="s">
        <v>1871</v>
      </c>
      <c r="BD889" s="4">
        <v>43283.599305555559</v>
      </c>
      <c r="BE889" s="4">
        <v>43283.607928240737</v>
      </c>
      <c r="BF889" s="4">
        <v>43283.607928240737</v>
      </c>
      <c r="BG889" t="s">
        <v>83</v>
      </c>
      <c r="BH889" t="s">
        <v>84</v>
      </c>
      <c r="BI889" t="s">
        <v>548</v>
      </c>
    </row>
    <row r="890" spans="1:61" x14ac:dyDescent="0.3">
      <c r="A890" t="str">
        <f>"200892B0100"</f>
        <v>200892B0100</v>
      </c>
      <c r="B890" t="s">
        <v>1872</v>
      </c>
      <c r="C890">
        <v>20</v>
      </c>
      <c r="D890" t="s">
        <v>79</v>
      </c>
      <c r="E890">
        <v>5</v>
      </c>
      <c r="F890" t="s">
        <v>1759</v>
      </c>
      <c r="G890">
        <v>892</v>
      </c>
      <c r="H890">
        <v>1</v>
      </c>
      <c r="I890" t="s">
        <v>81</v>
      </c>
      <c r="J890">
        <v>0</v>
      </c>
      <c r="K890">
        <v>2</v>
      </c>
      <c r="L890">
        <v>2</v>
      </c>
      <c r="M890">
        <v>104</v>
      </c>
      <c r="N890">
        <v>201</v>
      </c>
      <c r="O890">
        <v>2</v>
      </c>
      <c r="P890">
        <v>201</v>
      </c>
      <c r="Q890">
        <v>6</v>
      </c>
      <c r="R890">
        <v>22</v>
      </c>
      <c r="S890">
        <v>41</v>
      </c>
      <c r="T890">
        <v>1</v>
      </c>
      <c r="U890">
        <v>46</v>
      </c>
      <c r="V890">
        <v>3</v>
      </c>
      <c r="W890">
        <v>6</v>
      </c>
      <c r="X890">
        <v>2</v>
      </c>
      <c r="Y890">
        <v>47</v>
      </c>
      <c r="Z890">
        <v>1</v>
      </c>
      <c r="AA890">
        <v>4</v>
      </c>
      <c r="AB890">
        <v>1</v>
      </c>
      <c r="AC890">
        <v>1</v>
      </c>
      <c r="AD890">
        <v>1</v>
      </c>
      <c r="AE890">
        <v>0</v>
      </c>
      <c r="AF890">
        <v>0</v>
      </c>
      <c r="AG890">
        <v>1</v>
      </c>
      <c r="AH890">
        <v>0</v>
      </c>
      <c r="AI890">
        <v>0</v>
      </c>
      <c r="AJ890">
        <v>0</v>
      </c>
      <c r="AK890">
        <v>2</v>
      </c>
      <c r="AL890">
        <v>4</v>
      </c>
      <c r="AM890">
        <v>0</v>
      </c>
      <c r="AN890">
        <v>1</v>
      </c>
      <c r="AT890">
        <v>0</v>
      </c>
      <c r="AU890">
        <v>11</v>
      </c>
      <c r="AV890">
        <v>201</v>
      </c>
      <c r="AW890">
        <v>201</v>
      </c>
      <c r="AX890">
        <v>283</v>
      </c>
      <c r="BA890">
        <v>1</v>
      </c>
      <c r="BC890" t="s">
        <v>1873</v>
      </c>
      <c r="BD890" s="4">
        <v>43283.080555555556</v>
      </c>
      <c r="BE890" s="4">
        <v>43283.085740740738</v>
      </c>
      <c r="BF890" s="4">
        <v>43283.085740740738</v>
      </c>
      <c r="BG890" t="s">
        <v>83</v>
      </c>
      <c r="BH890" t="s">
        <v>84</v>
      </c>
      <c r="BI890" t="s">
        <v>85</v>
      </c>
    </row>
    <row r="891" spans="1:61" x14ac:dyDescent="0.3">
      <c r="A891" t="str">
        <f>"200896B0100"</f>
        <v>200896B0100</v>
      </c>
      <c r="B891" t="s">
        <v>1874</v>
      </c>
      <c r="C891">
        <v>20</v>
      </c>
      <c r="D891" t="s">
        <v>79</v>
      </c>
      <c r="E891">
        <v>5</v>
      </c>
      <c r="F891" t="s">
        <v>1759</v>
      </c>
      <c r="G891">
        <v>896</v>
      </c>
      <c r="H891">
        <v>1</v>
      </c>
      <c r="I891" t="s">
        <v>81</v>
      </c>
      <c r="J891">
        <v>0</v>
      </c>
      <c r="K891">
        <v>1</v>
      </c>
      <c r="L891">
        <v>2</v>
      </c>
      <c r="M891">
        <v>137</v>
      </c>
      <c r="N891">
        <v>158</v>
      </c>
      <c r="O891">
        <v>12</v>
      </c>
      <c r="P891" t="s">
        <v>100</v>
      </c>
      <c r="Q891">
        <v>12</v>
      </c>
      <c r="R891">
        <v>56</v>
      </c>
      <c r="S891">
        <v>11</v>
      </c>
      <c r="T891">
        <v>5</v>
      </c>
      <c r="U891">
        <v>16</v>
      </c>
      <c r="V891">
        <v>1</v>
      </c>
      <c r="W891">
        <v>19</v>
      </c>
      <c r="X891">
        <v>3</v>
      </c>
      <c r="Y891">
        <v>18</v>
      </c>
      <c r="Z891">
        <v>0</v>
      </c>
      <c r="AA891">
        <v>0</v>
      </c>
      <c r="AB891">
        <v>3</v>
      </c>
      <c r="AC891">
        <v>0</v>
      </c>
      <c r="AD891">
        <v>0</v>
      </c>
      <c r="AE891">
        <v>0</v>
      </c>
      <c r="AF891">
        <v>1</v>
      </c>
      <c r="AG891">
        <v>3</v>
      </c>
      <c r="AH891">
        <v>1</v>
      </c>
      <c r="AI891">
        <v>0</v>
      </c>
      <c r="AJ891">
        <v>0</v>
      </c>
      <c r="AK891">
        <v>1</v>
      </c>
      <c r="AL891">
        <v>1</v>
      </c>
      <c r="AM891">
        <v>0</v>
      </c>
      <c r="AN891">
        <v>0</v>
      </c>
      <c r="AT891">
        <v>0</v>
      </c>
      <c r="AU891">
        <v>6</v>
      </c>
      <c r="AV891">
        <v>158</v>
      </c>
      <c r="AW891">
        <v>157</v>
      </c>
      <c r="AX891">
        <v>273</v>
      </c>
      <c r="BA891">
        <v>1</v>
      </c>
      <c r="BC891" t="s">
        <v>1875</v>
      </c>
      <c r="BD891" s="4">
        <v>43283.295138888891</v>
      </c>
      <c r="BE891" s="4">
        <v>43283.322500000002</v>
      </c>
      <c r="BF891" s="4">
        <v>43283.322500000002</v>
      </c>
      <c r="BG891" t="s">
        <v>83</v>
      </c>
      <c r="BH891" t="s">
        <v>84</v>
      </c>
      <c r="BI891" t="s">
        <v>85</v>
      </c>
    </row>
    <row r="892" spans="1:61" x14ac:dyDescent="0.3">
      <c r="A892" t="str">
        <f>"200900B0100"</f>
        <v>200900B0100</v>
      </c>
      <c r="B892" t="s">
        <v>1876</v>
      </c>
      <c r="C892">
        <v>20</v>
      </c>
      <c r="D892" t="s">
        <v>79</v>
      </c>
      <c r="E892">
        <v>5</v>
      </c>
      <c r="F892" t="s">
        <v>1759</v>
      </c>
      <c r="G892">
        <v>900</v>
      </c>
      <c r="H892">
        <v>1</v>
      </c>
      <c r="I892" t="s">
        <v>81</v>
      </c>
      <c r="J892">
        <v>0</v>
      </c>
      <c r="K892">
        <v>2</v>
      </c>
      <c r="L892">
        <v>2</v>
      </c>
      <c r="M892">
        <v>205</v>
      </c>
      <c r="N892">
        <v>520</v>
      </c>
      <c r="O892">
        <v>4</v>
      </c>
      <c r="P892">
        <v>519</v>
      </c>
      <c r="Q892">
        <v>17</v>
      </c>
      <c r="R892">
        <v>93</v>
      </c>
      <c r="S892">
        <v>14</v>
      </c>
      <c r="T892">
        <v>15</v>
      </c>
      <c r="U892">
        <v>36</v>
      </c>
      <c r="V892">
        <v>7</v>
      </c>
      <c r="W892">
        <v>64</v>
      </c>
      <c r="X892">
        <v>9</v>
      </c>
      <c r="Y892">
        <v>141</v>
      </c>
      <c r="Z892">
        <v>5</v>
      </c>
      <c r="AA892">
        <v>65</v>
      </c>
      <c r="AB892">
        <v>18</v>
      </c>
      <c r="AC892">
        <v>0</v>
      </c>
      <c r="AD892">
        <v>0</v>
      </c>
      <c r="AE892">
        <v>0</v>
      </c>
      <c r="AF892">
        <v>0</v>
      </c>
      <c r="AG892">
        <v>2</v>
      </c>
      <c r="AH892">
        <v>6</v>
      </c>
      <c r="AI892">
        <v>0</v>
      </c>
      <c r="AJ892">
        <v>0</v>
      </c>
      <c r="AK892">
        <v>3</v>
      </c>
      <c r="AL892">
        <v>3</v>
      </c>
      <c r="AM892">
        <v>0</v>
      </c>
      <c r="AN892">
        <v>0</v>
      </c>
      <c r="AT892">
        <v>1</v>
      </c>
      <c r="AU892">
        <v>20</v>
      </c>
      <c r="AV892">
        <v>519</v>
      </c>
      <c r="AW892">
        <v>519</v>
      </c>
      <c r="AX892">
        <v>703</v>
      </c>
      <c r="BA892">
        <v>1</v>
      </c>
      <c r="BC892" t="s">
        <v>1877</v>
      </c>
      <c r="BD892" s="4">
        <v>43283.186111111114</v>
      </c>
      <c r="BE892" s="4">
        <v>43283.205648148149</v>
      </c>
      <c r="BF892" s="4">
        <v>43283.205648148149</v>
      </c>
      <c r="BG892" t="s">
        <v>83</v>
      </c>
      <c r="BH892" t="s">
        <v>84</v>
      </c>
      <c r="BI892" t="s">
        <v>85</v>
      </c>
    </row>
    <row r="893" spans="1:61" x14ac:dyDescent="0.3">
      <c r="A893" t="str">
        <f>"200900C0100"</f>
        <v>200900C0100</v>
      </c>
      <c r="B893" t="s">
        <v>1878</v>
      </c>
      <c r="C893">
        <v>20</v>
      </c>
      <c r="D893" t="s">
        <v>79</v>
      </c>
      <c r="E893">
        <v>5</v>
      </c>
      <c r="F893" t="s">
        <v>1759</v>
      </c>
      <c r="G893">
        <v>900</v>
      </c>
      <c r="H893">
        <v>1</v>
      </c>
      <c r="I893" t="s">
        <v>89</v>
      </c>
      <c r="J893">
        <v>0</v>
      </c>
      <c r="K893">
        <v>2</v>
      </c>
      <c r="L893">
        <v>2</v>
      </c>
      <c r="M893">
        <v>200</v>
      </c>
      <c r="N893">
        <v>525</v>
      </c>
      <c r="O893">
        <v>0</v>
      </c>
      <c r="P893">
        <v>525</v>
      </c>
      <c r="Q893">
        <v>6</v>
      </c>
      <c r="R893">
        <v>91</v>
      </c>
      <c r="S893">
        <v>19</v>
      </c>
      <c r="T893">
        <v>20</v>
      </c>
      <c r="U893">
        <v>45</v>
      </c>
      <c r="V893">
        <v>2</v>
      </c>
      <c r="W893">
        <v>39</v>
      </c>
      <c r="X893">
        <v>7</v>
      </c>
      <c r="Y893">
        <v>160</v>
      </c>
      <c r="Z893">
        <v>7</v>
      </c>
      <c r="AA893">
        <v>70</v>
      </c>
      <c r="AB893">
        <v>19</v>
      </c>
      <c r="AC893">
        <v>0</v>
      </c>
      <c r="AD893">
        <v>1</v>
      </c>
      <c r="AE893">
        <v>0</v>
      </c>
      <c r="AF893">
        <v>0</v>
      </c>
      <c r="AG893">
        <v>2</v>
      </c>
      <c r="AH893">
        <v>1</v>
      </c>
      <c r="AI893">
        <v>0</v>
      </c>
      <c r="AJ893">
        <v>0</v>
      </c>
      <c r="AK893">
        <v>4</v>
      </c>
      <c r="AL893">
        <v>3</v>
      </c>
      <c r="AM893">
        <v>0</v>
      </c>
      <c r="AN893">
        <v>0</v>
      </c>
      <c r="AT893">
        <v>0</v>
      </c>
      <c r="AU893">
        <v>29</v>
      </c>
      <c r="AV893">
        <v>525</v>
      </c>
      <c r="AW893">
        <v>525</v>
      </c>
      <c r="AX893">
        <v>703</v>
      </c>
      <c r="BA893">
        <v>1</v>
      </c>
      <c r="BC893" t="s">
        <v>1879</v>
      </c>
      <c r="BD893" s="4">
        <v>43283.186111111114</v>
      </c>
      <c r="BE893" s="4">
        <v>43283.20752314815</v>
      </c>
      <c r="BF893" s="4">
        <v>43283.20752314815</v>
      </c>
      <c r="BG893" t="s">
        <v>83</v>
      </c>
      <c r="BH893" t="s">
        <v>84</v>
      </c>
      <c r="BI893" t="s">
        <v>85</v>
      </c>
    </row>
    <row r="894" spans="1:61" x14ac:dyDescent="0.3">
      <c r="A894" t="str">
        <f>"200900C0200"</f>
        <v>200900C0200</v>
      </c>
      <c r="B894" t="s">
        <v>1880</v>
      </c>
      <c r="C894">
        <v>20</v>
      </c>
      <c r="D894" t="s">
        <v>79</v>
      </c>
      <c r="E894">
        <v>5</v>
      </c>
      <c r="F894" t="s">
        <v>1759</v>
      </c>
      <c r="G894">
        <v>900</v>
      </c>
      <c r="H894">
        <v>2</v>
      </c>
      <c r="I894" t="s">
        <v>89</v>
      </c>
      <c r="J894">
        <v>0</v>
      </c>
      <c r="K894">
        <v>2</v>
      </c>
      <c r="L894">
        <v>2</v>
      </c>
      <c r="M894">
        <v>196</v>
      </c>
      <c r="N894">
        <v>528</v>
      </c>
      <c r="O894">
        <v>0</v>
      </c>
      <c r="P894">
        <v>528</v>
      </c>
      <c r="Q894">
        <v>7</v>
      </c>
      <c r="R894">
        <v>88</v>
      </c>
      <c r="S894">
        <v>24</v>
      </c>
      <c r="T894">
        <v>5</v>
      </c>
      <c r="U894">
        <v>46</v>
      </c>
      <c r="V894">
        <v>6</v>
      </c>
      <c r="W894">
        <v>58</v>
      </c>
      <c r="X894">
        <v>9</v>
      </c>
      <c r="Y894">
        <v>147</v>
      </c>
      <c r="Z894">
        <v>1</v>
      </c>
      <c r="AA894">
        <v>82</v>
      </c>
      <c r="AB894">
        <v>18</v>
      </c>
      <c r="AC894">
        <v>1</v>
      </c>
      <c r="AD894">
        <v>0</v>
      </c>
      <c r="AE894">
        <v>0</v>
      </c>
      <c r="AF894">
        <v>0</v>
      </c>
      <c r="AG894">
        <v>2</v>
      </c>
      <c r="AH894">
        <v>0</v>
      </c>
      <c r="AI894">
        <v>0</v>
      </c>
      <c r="AJ894">
        <v>0</v>
      </c>
      <c r="AK894">
        <v>2</v>
      </c>
      <c r="AL894">
        <v>1</v>
      </c>
      <c r="AM894">
        <v>0</v>
      </c>
      <c r="AN894">
        <v>1</v>
      </c>
      <c r="AT894">
        <v>0</v>
      </c>
      <c r="AU894">
        <v>29</v>
      </c>
      <c r="AV894" t="s">
        <v>100</v>
      </c>
      <c r="AW894">
        <v>527</v>
      </c>
      <c r="AX894">
        <v>702</v>
      </c>
      <c r="BA894">
        <v>1</v>
      </c>
      <c r="BC894" t="s">
        <v>1881</v>
      </c>
      <c r="BD894" s="4">
        <v>43283.188888888886</v>
      </c>
      <c r="BE894" s="4">
        <v>43283.209363425929</v>
      </c>
      <c r="BF894" s="4">
        <v>43283.209363425929</v>
      </c>
      <c r="BG894" t="s">
        <v>83</v>
      </c>
      <c r="BH894" t="s">
        <v>84</v>
      </c>
      <c r="BI894" t="s">
        <v>85</v>
      </c>
    </row>
    <row r="895" spans="1:61" x14ac:dyDescent="0.3">
      <c r="A895" t="str">
        <f>"200901B0100"</f>
        <v>200901B0100</v>
      </c>
      <c r="B895" t="s">
        <v>1882</v>
      </c>
      <c r="C895">
        <v>20</v>
      </c>
      <c r="D895" t="s">
        <v>79</v>
      </c>
      <c r="E895">
        <v>5</v>
      </c>
      <c r="F895" t="s">
        <v>1759</v>
      </c>
      <c r="G895">
        <v>901</v>
      </c>
      <c r="H895">
        <v>1</v>
      </c>
      <c r="I895" t="s">
        <v>81</v>
      </c>
      <c r="J895">
        <v>0</v>
      </c>
      <c r="K895">
        <v>2</v>
      </c>
      <c r="L895">
        <v>2</v>
      </c>
      <c r="M895">
        <v>157</v>
      </c>
      <c r="N895">
        <v>480</v>
      </c>
      <c r="O895">
        <v>1</v>
      </c>
      <c r="P895">
        <v>480</v>
      </c>
      <c r="Q895">
        <v>7</v>
      </c>
      <c r="R895">
        <v>113</v>
      </c>
      <c r="S895">
        <v>4</v>
      </c>
      <c r="T895">
        <v>4</v>
      </c>
      <c r="U895">
        <v>82</v>
      </c>
      <c r="V895">
        <v>4</v>
      </c>
      <c r="W895">
        <v>38</v>
      </c>
      <c r="X895">
        <v>7</v>
      </c>
      <c r="Y895">
        <v>136</v>
      </c>
      <c r="Z895">
        <v>0</v>
      </c>
      <c r="AA895">
        <v>38</v>
      </c>
      <c r="AB895">
        <v>7</v>
      </c>
      <c r="AC895">
        <v>1</v>
      </c>
      <c r="AD895">
        <v>0</v>
      </c>
      <c r="AE895">
        <v>0</v>
      </c>
      <c r="AF895">
        <v>0</v>
      </c>
      <c r="AG895">
        <v>0</v>
      </c>
      <c r="AH895">
        <v>3</v>
      </c>
      <c r="AI895">
        <v>0</v>
      </c>
      <c r="AJ895">
        <v>0</v>
      </c>
      <c r="AK895">
        <v>2</v>
      </c>
      <c r="AL895">
        <v>3</v>
      </c>
      <c r="AM895">
        <v>2</v>
      </c>
      <c r="AN895">
        <v>1</v>
      </c>
      <c r="AT895">
        <v>0</v>
      </c>
      <c r="AU895">
        <v>28</v>
      </c>
      <c r="AV895">
        <v>480</v>
      </c>
      <c r="AW895">
        <v>480</v>
      </c>
      <c r="AX895">
        <v>615</v>
      </c>
      <c r="BA895">
        <v>1</v>
      </c>
      <c r="BC895" t="s">
        <v>1883</v>
      </c>
      <c r="BD895" s="4">
        <v>43283.186111111114</v>
      </c>
      <c r="BE895" s="4">
        <v>43283.207326388889</v>
      </c>
      <c r="BF895" s="4">
        <v>43283.207326388889</v>
      </c>
      <c r="BG895" t="s">
        <v>83</v>
      </c>
      <c r="BH895" t="s">
        <v>84</v>
      </c>
      <c r="BI895" t="s">
        <v>85</v>
      </c>
    </row>
    <row r="896" spans="1:61" x14ac:dyDescent="0.3">
      <c r="A896" t="str">
        <f>"200901C0100"</f>
        <v>200901C0100</v>
      </c>
      <c r="B896" t="s">
        <v>1884</v>
      </c>
      <c r="C896">
        <v>20</v>
      </c>
      <c r="D896" t="s">
        <v>79</v>
      </c>
      <c r="E896">
        <v>5</v>
      </c>
      <c r="F896" t="s">
        <v>1759</v>
      </c>
      <c r="G896">
        <v>901</v>
      </c>
      <c r="H896">
        <v>1</v>
      </c>
      <c r="I896" t="s">
        <v>89</v>
      </c>
      <c r="J896">
        <v>0</v>
      </c>
      <c r="K896">
        <v>2</v>
      </c>
      <c r="L896">
        <v>2</v>
      </c>
      <c r="M896">
        <v>175</v>
      </c>
      <c r="N896">
        <v>462</v>
      </c>
      <c r="O896">
        <v>0</v>
      </c>
      <c r="P896" t="s">
        <v>100</v>
      </c>
      <c r="Q896">
        <v>15</v>
      </c>
      <c r="R896">
        <v>92</v>
      </c>
      <c r="S896">
        <v>11</v>
      </c>
      <c r="T896">
        <v>8</v>
      </c>
      <c r="U896">
        <v>44</v>
      </c>
      <c r="V896">
        <v>2</v>
      </c>
      <c r="W896">
        <v>52</v>
      </c>
      <c r="X896">
        <v>14</v>
      </c>
      <c r="Y896">
        <v>111</v>
      </c>
      <c r="Z896">
        <v>3</v>
      </c>
      <c r="AA896">
        <v>57</v>
      </c>
      <c r="AB896">
        <v>20</v>
      </c>
      <c r="AC896">
        <v>1</v>
      </c>
      <c r="AD896">
        <v>0</v>
      </c>
      <c r="AE896">
        <v>0</v>
      </c>
      <c r="AF896">
        <v>0</v>
      </c>
      <c r="AG896">
        <v>0</v>
      </c>
      <c r="AH896">
        <v>3</v>
      </c>
      <c r="AI896">
        <v>0</v>
      </c>
      <c r="AJ896">
        <v>1</v>
      </c>
      <c r="AK896">
        <v>2</v>
      </c>
      <c r="AL896">
        <v>1</v>
      </c>
      <c r="AM896">
        <v>0</v>
      </c>
      <c r="AN896">
        <v>0</v>
      </c>
      <c r="AT896">
        <v>0</v>
      </c>
      <c r="AU896">
        <v>24</v>
      </c>
      <c r="AV896">
        <v>460</v>
      </c>
      <c r="AW896">
        <v>461</v>
      </c>
      <c r="AX896">
        <v>615</v>
      </c>
      <c r="BA896">
        <v>1</v>
      </c>
      <c r="BC896" t="s">
        <v>1885</v>
      </c>
      <c r="BD896" s="4">
        <v>43283.18472222222</v>
      </c>
      <c r="BE896" s="4">
        <v>43283.204560185186</v>
      </c>
      <c r="BF896" s="4">
        <v>43283.204560185186</v>
      </c>
      <c r="BG896" t="s">
        <v>83</v>
      </c>
      <c r="BH896" t="s">
        <v>84</v>
      </c>
      <c r="BI896" t="s">
        <v>85</v>
      </c>
    </row>
    <row r="897" spans="1:61" x14ac:dyDescent="0.3">
      <c r="A897" t="str">
        <f>"200901C0200"</f>
        <v>200901C0200</v>
      </c>
      <c r="B897" t="s">
        <v>1886</v>
      </c>
      <c r="C897">
        <v>20</v>
      </c>
      <c r="D897" t="s">
        <v>79</v>
      </c>
      <c r="E897">
        <v>5</v>
      </c>
      <c r="F897" t="s">
        <v>1759</v>
      </c>
      <c r="G897">
        <v>901</v>
      </c>
      <c r="H897">
        <v>2</v>
      </c>
      <c r="I897" t="s">
        <v>89</v>
      </c>
      <c r="J897">
        <v>0</v>
      </c>
      <c r="K897">
        <v>2</v>
      </c>
      <c r="L897">
        <v>2</v>
      </c>
      <c r="M897">
        <v>189</v>
      </c>
      <c r="N897">
        <v>448</v>
      </c>
      <c r="O897">
        <v>6</v>
      </c>
      <c r="P897">
        <v>448</v>
      </c>
      <c r="Q897">
        <v>15</v>
      </c>
      <c r="R897">
        <v>77</v>
      </c>
      <c r="S897">
        <v>15</v>
      </c>
      <c r="T897">
        <v>10</v>
      </c>
      <c r="U897">
        <v>60</v>
      </c>
      <c r="V897">
        <v>1</v>
      </c>
      <c r="W897">
        <v>40</v>
      </c>
      <c r="X897">
        <v>9</v>
      </c>
      <c r="Y897">
        <v>134</v>
      </c>
      <c r="Z897">
        <v>6</v>
      </c>
      <c r="AA897">
        <v>50</v>
      </c>
      <c r="AB897">
        <v>12</v>
      </c>
      <c r="AC897">
        <v>0</v>
      </c>
      <c r="AD897">
        <v>0</v>
      </c>
      <c r="AE897">
        <v>0</v>
      </c>
      <c r="AF897">
        <v>0</v>
      </c>
      <c r="AG897">
        <v>1</v>
      </c>
      <c r="AH897">
        <v>2</v>
      </c>
      <c r="AI897">
        <v>0</v>
      </c>
      <c r="AJ897">
        <v>0</v>
      </c>
      <c r="AK897">
        <v>0</v>
      </c>
      <c r="AL897">
        <v>2</v>
      </c>
      <c r="AM897">
        <v>1</v>
      </c>
      <c r="AN897">
        <v>0</v>
      </c>
      <c r="AT897">
        <v>0</v>
      </c>
      <c r="AU897">
        <v>13</v>
      </c>
      <c r="AV897">
        <v>448</v>
      </c>
      <c r="AW897">
        <v>448</v>
      </c>
      <c r="AX897">
        <v>615</v>
      </c>
      <c r="BA897">
        <v>1</v>
      </c>
      <c r="BC897" t="s">
        <v>1887</v>
      </c>
      <c r="BD897" s="4">
        <v>43283.184027777781</v>
      </c>
      <c r="BE897" s="4">
        <v>43283.201099537036</v>
      </c>
      <c r="BF897" s="4">
        <v>43283.201099537036</v>
      </c>
      <c r="BG897" t="s">
        <v>83</v>
      </c>
      <c r="BH897" t="s">
        <v>84</v>
      </c>
      <c r="BI897" t="s">
        <v>85</v>
      </c>
    </row>
    <row r="898" spans="1:61" x14ac:dyDescent="0.3">
      <c r="A898" t="str">
        <f>"200901C0300"</f>
        <v>200901C0300</v>
      </c>
      <c r="B898" t="s">
        <v>1888</v>
      </c>
      <c r="C898">
        <v>20</v>
      </c>
      <c r="D898" t="s">
        <v>79</v>
      </c>
      <c r="E898">
        <v>5</v>
      </c>
      <c r="F898" t="s">
        <v>1759</v>
      </c>
      <c r="G898">
        <v>901</v>
      </c>
      <c r="H898">
        <v>3</v>
      </c>
      <c r="I898" t="s">
        <v>89</v>
      </c>
      <c r="J898">
        <v>0</v>
      </c>
      <c r="K898">
        <v>2</v>
      </c>
      <c r="L898">
        <v>2</v>
      </c>
      <c r="M898">
        <v>159</v>
      </c>
      <c r="N898">
        <v>477</v>
      </c>
      <c r="O898">
        <v>4</v>
      </c>
      <c r="P898">
        <v>477</v>
      </c>
      <c r="Q898">
        <v>8</v>
      </c>
      <c r="R898">
        <v>99</v>
      </c>
      <c r="S898">
        <v>17</v>
      </c>
      <c r="T898">
        <v>11</v>
      </c>
      <c r="U898">
        <v>51</v>
      </c>
      <c r="V898">
        <v>4</v>
      </c>
      <c r="W898">
        <v>57</v>
      </c>
      <c r="X898">
        <v>7</v>
      </c>
      <c r="Y898">
        <v>126</v>
      </c>
      <c r="Z898">
        <v>6</v>
      </c>
      <c r="AA898">
        <v>54</v>
      </c>
      <c r="AB898">
        <v>11</v>
      </c>
      <c r="AC898">
        <v>0</v>
      </c>
      <c r="AD898">
        <v>0</v>
      </c>
      <c r="AE898">
        <v>0</v>
      </c>
      <c r="AF898">
        <v>0</v>
      </c>
      <c r="AG898">
        <v>1</v>
      </c>
      <c r="AH898">
        <v>0</v>
      </c>
      <c r="AI898">
        <v>0</v>
      </c>
      <c r="AJ898">
        <v>0</v>
      </c>
      <c r="AK898">
        <v>3</v>
      </c>
      <c r="AL898">
        <v>2</v>
      </c>
      <c r="AM898">
        <v>0</v>
      </c>
      <c r="AN898">
        <v>1</v>
      </c>
      <c r="AT898">
        <v>0</v>
      </c>
      <c r="AU898">
        <v>14</v>
      </c>
      <c r="AV898">
        <v>477</v>
      </c>
      <c r="AW898">
        <v>472</v>
      </c>
      <c r="AX898">
        <v>614</v>
      </c>
      <c r="BA898">
        <v>1</v>
      </c>
      <c r="BC898" t="s">
        <v>1889</v>
      </c>
      <c r="BD898" s="4">
        <v>43283.186111111114</v>
      </c>
      <c r="BE898" s="4">
        <v>43283.204791666663</v>
      </c>
      <c r="BF898" s="4">
        <v>43283.204791666663</v>
      </c>
      <c r="BG898" t="s">
        <v>83</v>
      </c>
      <c r="BH898" t="s">
        <v>84</v>
      </c>
      <c r="BI898" t="s">
        <v>85</v>
      </c>
    </row>
    <row r="899" spans="1:61" x14ac:dyDescent="0.3">
      <c r="A899" t="str">
        <f>"200902B0100"</f>
        <v>200902B0100</v>
      </c>
      <c r="B899" t="s">
        <v>1890</v>
      </c>
      <c r="C899">
        <v>20</v>
      </c>
      <c r="D899" t="s">
        <v>79</v>
      </c>
      <c r="E899">
        <v>5</v>
      </c>
      <c r="F899" t="s">
        <v>1759</v>
      </c>
      <c r="G899">
        <v>902</v>
      </c>
      <c r="H899">
        <v>1</v>
      </c>
      <c r="I899" t="s">
        <v>81</v>
      </c>
      <c r="J899">
        <v>0</v>
      </c>
      <c r="K899">
        <v>1</v>
      </c>
      <c r="L899">
        <v>2</v>
      </c>
      <c r="M899">
        <v>136</v>
      </c>
      <c r="N899">
        <v>433</v>
      </c>
      <c r="O899">
        <v>5</v>
      </c>
      <c r="P899">
        <v>433</v>
      </c>
      <c r="Q899">
        <v>4</v>
      </c>
      <c r="R899">
        <v>67</v>
      </c>
      <c r="S899">
        <v>8</v>
      </c>
      <c r="T899">
        <v>6</v>
      </c>
      <c r="U899">
        <v>37</v>
      </c>
      <c r="V899">
        <v>4</v>
      </c>
      <c r="W899">
        <v>39</v>
      </c>
      <c r="X899">
        <v>4</v>
      </c>
      <c r="Y899">
        <v>193</v>
      </c>
      <c r="Z899">
        <v>3</v>
      </c>
      <c r="AA899">
        <v>33</v>
      </c>
      <c r="AB899">
        <v>6</v>
      </c>
      <c r="AC899">
        <v>1</v>
      </c>
      <c r="AD899" t="s">
        <v>100</v>
      </c>
      <c r="AE899" t="s">
        <v>100</v>
      </c>
      <c r="AF899" t="s">
        <v>100</v>
      </c>
      <c r="AG899">
        <v>1</v>
      </c>
      <c r="AH899">
        <v>2</v>
      </c>
      <c r="AI899" t="s">
        <v>100</v>
      </c>
      <c r="AJ899" t="s">
        <v>100</v>
      </c>
      <c r="AK899">
        <v>3</v>
      </c>
      <c r="AL899">
        <v>2</v>
      </c>
      <c r="AM899">
        <v>1</v>
      </c>
      <c r="AN899">
        <v>1</v>
      </c>
      <c r="AT899">
        <v>3</v>
      </c>
      <c r="AU899">
        <v>15</v>
      </c>
      <c r="AV899" t="s">
        <v>100</v>
      </c>
      <c r="AW899">
        <v>433</v>
      </c>
      <c r="AX899">
        <v>547</v>
      </c>
      <c r="AZ899" t="s">
        <v>101</v>
      </c>
      <c r="BA899">
        <v>1</v>
      </c>
      <c r="BC899" t="s">
        <v>1891</v>
      </c>
      <c r="BD899" s="4">
        <v>43283.170138888891</v>
      </c>
      <c r="BE899" s="4">
        <v>43283.187164351853</v>
      </c>
      <c r="BF899" s="4">
        <v>43283.187164351853</v>
      </c>
      <c r="BG899" t="s">
        <v>83</v>
      </c>
      <c r="BH899" t="s">
        <v>84</v>
      </c>
      <c r="BI899" t="s">
        <v>85</v>
      </c>
    </row>
    <row r="900" spans="1:61" x14ac:dyDescent="0.3">
      <c r="A900" t="str">
        <f>"200902C0100"</f>
        <v>200902C0100</v>
      </c>
      <c r="B900" t="s">
        <v>1892</v>
      </c>
      <c r="C900">
        <v>20</v>
      </c>
      <c r="D900" t="s">
        <v>79</v>
      </c>
      <c r="E900">
        <v>5</v>
      </c>
      <c r="F900" t="s">
        <v>1759</v>
      </c>
      <c r="G900">
        <v>902</v>
      </c>
      <c r="H900">
        <v>1</v>
      </c>
      <c r="I900" t="s">
        <v>89</v>
      </c>
      <c r="J900">
        <v>0</v>
      </c>
      <c r="K900">
        <v>1</v>
      </c>
      <c r="L900">
        <v>2</v>
      </c>
      <c r="M900">
        <v>122</v>
      </c>
      <c r="N900">
        <v>447</v>
      </c>
      <c r="O900">
        <v>4</v>
      </c>
      <c r="P900">
        <v>447</v>
      </c>
      <c r="Q900">
        <v>6</v>
      </c>
      <c r="R900">
        <v>51</v>
      </c>
      <c r="S900">
        <v>12</v>
      </c>
      <c r="T900">
        <v>9</v>
      </c>
      <c r="U900">
        <v>37</v>
      </c>
      <c r="V900">
        <v>1</v>
      </c>
      <c r="W900">
        <v>46</v>
      </c>
      <c r="X900">
        <v>7</v>
      </c>
      <c r="Y900">
        <v>193</v>
      </c>
      <c r="Z900">
        <v>16</v>
      </c>
      <c r="AA900">
        <v>33</v>
      </c>
      <c r="AB900">
        <v>11</v>
      </c>
      <c r="AC900">
        <v>2</v>
      </c>
      <c r="AD900">
        <v>1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4</v>
      </c>
      <c r="AL900">
        <v>1</v>
      </c>
      <c r="AM900">
        <v>1</v>
      </c>
      <c r="AN900">
        <v>0</v>
      </c>
      <c r="AT900">
        <v>1</v>
      </c>
      <c r="AU900">
        <v>14</v>
      </c>
      <c r="AV900">
        <v>447</v>
      </c>
      <c r="AW900">
        <v>446</v>
      </c>
      <c r="AX900">
        <v>547</v>
      </c>
      <c r="BA900">
        <v>1</v>
      </c>
      <c r="BC900" t="s">
        <v>1893</v>
      </c>
      <c r="BD900" s="4">
        <v>43283.172222222223</v>
      </c>
      <c r="BE900" s="4">
        <v>43283.191504629627</v>
      </c>
      <c r="BF900" s="4">
        <v>43283.191504629627</v>
      </c>
      <c r="BG900" t="s">
        <v>83</v>
      </c>
      <c r="BH900" t="s">
        <v>84</v>
      </c>
      <c r="BI900" t="s">
        <v>85</v>
      </c>
    </row>
    <row r="901" spans="1:61" x14ac:dyDescent="0.3">
      <c r="A901" t="str">
        <f>"200902C0200"</f>
        <v>200902C0200</v>
      </c>
      <c r="B901" t="s">
        <v>1894</v>
      </c>
      <c r="C901">
        <v>20</v>
      </c>
      <c r="D901" t="s">
        <v>79</v>
      </c>
      <c r="E901">
        <v>5</v>
      </c>
      <c r="F901" t="s">
        <v>1759</v>
      </c>
      <c r="G901">
        <v>902</v>
      </c>
      <c r="H901">
        <v>2</v>
      </c>
      <c r="I901" t="s">
        <v>89</v>
      </c>
      <c r="J901">
        <v>0</v>
      </c>
      <c r="K901">
        <v>1</v>
      </c>
      <c r="L901">
        <v>2</v>
      </c>
      <c r="M901">
        <v>126</v>
      </c>
      <c r="N901">
        <v>443</v>
      </c>
      <c r="O901">
        <v>6</v>
      </c>
      <c r="P901">
        <v>443</v>
      </c>
      <c r="Q901">
        <v>16</v>
      </c>
      <c r="R901">
        <v>78</v>
      </c>
      <c r="S901">
        <v>14</v>
      </c>
      <c r="T901">
        <v>5</v>
      </c>
      <c r="U901">
        <v>29</v>
      </c>
      <c r="V901">
        <v>2</v>
      </c>
      <c r="W901">
        <v>22</v>
      </c>
      <c r="X901">
        <v>6</v>
      </c>
      <c r="Y901">
        <v>205</v>
      </c>
      <c r="Z901">
        <v>7</v>
      </c>
      <c r="AA901">
        <v>29</v>
      </c>
      <c r="AB901">
        <v>15</v>
      </c>
      <c r="AC901">
        <v>0</v>
      </c>
      <c r="AD901">
        <v>1</v>
      </c>
      <c r="AE901">
        <v>0</v>
      </c>
      <c r="AF901">
        <v>0</v>
      </c>
      <c r="AG901">
        <v>1</v>
      </c>
      <c r="AH901">
        <v>0</v>
      </c>
      <c r="AI901">
        <v>0</v>
      </c>
      <c r="AJ901">
        <v>0</v>
      </c>
      <c r="AK901">
        <v>1</v>
      </c>
      <c r="AL901">
        <v>0</v>
      </c>
      <c r="AM901">
        <v>0</v>
      </c>
      <c r="AN901">
        <v>0</v>
      </c>
      <c r="AT901">
        <v>0</v>
      </c>
      <c r="AU901">
        <v>12</v>
      </c>
      <c r="AV901">
        <v>443</v>
      </c>
      <c r="AW901">
        <v>443</v>
      </c>
      <c r="AX901">
        <v>547</v>
      </c>
      <c r="BA901">
        <v>1</v>
      </c>
      <c r="BC901" t="s">
        <v>1895</v>
      </c>
      <c r="BD901" s="4">
        <v>43283.172222222223</v>
      </c>
      <c r="BE901" s="4">
        <v>43283.1872337963</v>
      </c>
      <c r="BF901" s="4">
        <v>43283.1872337963</v>
      </c>
      <c r="BG901" t="s">
        <v>83</v>
      </c>
      <c r="BH901" t="s">
        <v>84</v>
      </c>
      <c r="BI901" t="s">
        <v>85</v>
      </c>
    </row>
    <row r="902" spans="1:61" x14ac:dyDescent="0.3">
      <c r="A902" t="str">
        <f>"200903B0100"</f>
        <v>200903B0100</v>
      </c>
      <c r="B902" t="s">
        <v>1896</v>
      </c>
      <c r="C902">
        <v>20</v>
      </c>
      <c r="D902" t="s">
        <v>79</v>
      </c>
      <c r="E902">
        <v>5</v>
      </c>
      <c r="F902" t="s">
        <v>1759</v>
      </c>
      <c r="G902">
        <v>903</v>
      </c>
      <c r="H902">
        <v>1</v>
      </c>
      <c r="I902" t="s">
        <v>81</v>
      </c>
      <c r="J902">
        <v>0</v>
      </c>
      <c r="K902">
        <v>1</v>
      </c>
      <c r="L902">
        <v>2</v>
      </c>
      <c r="M902">
        <v>127</v>
      </c>
      <c r="N902">
        <v>527</v>
      </c>
      <c r="O902">
        <v>1</v>
      </c>
      <c r="P902">
        <v>527</v>
      </c>
      <c r="Q902">
        <v>15</v>
      </c>
      <c r="R902">
        <v>83</v>
      </c>
      <c r="S902">
        <v>14</v>
      </c>
      <c r="T902">
        <v>9</v>
      </c>
      <c r="U902">
        <v>32</v>
      </c>
      <c r="V902">
        <v>9</v>
      </c>
      <c r="W902">
        <v>30</v>
      </c>
      <c r="X902">
        <v>14</v>
      </c>
      <c r="Y902">
        <v>216</v>
      </c>
      <c r="Z902">
        <v>8</v>
      </c>
      <c r="AA902">
        <v>50</v>
      </c>
      <c r="AB902">
        <v>23</v>
      </c>
      <c r="AC902">
        <v>0</v>
      </c>
      <c r="AD902">
        <v>0</v>
      </c>
      <c r="AE902">
        <v>0</v>
      </c>
      <c r="AF902">
        <v>0</v>
      </c>
      <c r="AG902">
        <v>1</v>
      </c>
      <c r="AH902">
        <v>1</v>
      </c>
      <c r="AI902">
        <v>0</v>
      </c>
      <c r="AJ902">
        <v>0</v>
      </c>
      <c r="AK902">
        <v>3</v>
      </c>
      <c r="AL902">
        <v>1</v>
      </c>
      <c r="AM902" t="s">
        <v>315</v>
      </c>
      <c r="AN902">
        <v>0</v>
      </c>
      <c r="AT902">
        <v>1</v>
      </c>
      <c r="AU902">
        <v>16</v>
      </c>
      <c r="AV902">
        <v>527</v>
      </c>
      <c r="AW902">
        <v>526</v>
      </c>
      <c r="AX902">
        <v>632</v>
      </c>
      <c r="AZ902" t="s">
        <v>101</v>
      </c>
      <c r="BA902">
        <v>1</v>
      </c>
      <c r="BC902" t="s">
        <v>1897</v>
      </c>
      <c r="BD902" s="4">
        <v>43283.170138888891</v>
      </c>
      <c r="BE902" s="4">
        <v>43283.188726851855</v>
      </c>
      <c r="BF902" s="4">
        <v>43283.188726851855</v>
      </c>
      <c r="BG902" t="s">
        <v>83</v>
      </c>
      <c r="BH902" t="s">
        <v>84</v>
      </c>
      <c r="BI902" t="s">
        <v>85</v>
      </c>
    </row>
    <row r="903" spans="1:61" x14ac:dyDescent="0.3">
      <c r="A903" t="str">
        <f>"200903C0100"</f>
        <v>200903C0100</v>
      </c>
      <c r="B903" t="s">
        <v>1898</v>
      </c>
      <c r="C903">
        <v>20</v>
      </c>
      <c r="D903" t="s">
        <v>79</v>
      </c>
      <c r="E903">
        <v>5</v>
      </c>
      <c r="F903" t="s">
        <v>1759</v>
      </c>
      <c r="G903">
        <v>903</v>
      </c>
      <c r="H903">
        <v>1</v>
      </c>
      <c r="I903" t="s">
        <v>89</v>
      </c>
      <c r="J903">
        <v>0</v>
      </c>
      <c r="K903">
        <v>1</v>
      </c>
      <c r="L903">
        <v>2</v>
      </c>
      <c r="M903">
        <v>169</v>
      </c>
      <c r="N903">
        <v>485</v>
      </c>
      <c r="O903">
        <v>2</v>
      </c>
      <c r="P903">
        <v>485</v>
      </c>
      <c r="Q903">
        <v>17</v>
      </c>
      <c r="R903">
        <v>56</v>
      </c>
      <c r="S903">
        <v>16</v>
      </c>
      <c r="T903">
        <v>10</v>
      </c>
      <c r="U903">
        <v>55</v>
      </c>
      <c r="V903">
        <v>3</v>
      </c>
      <c r="W903">
        <v>25</v>
      </c>
      <c r="X903">
        <v>7</v>
      </c>
      <c r="Y903">
        <v>189</v>
      </c>
      <c r="Z903">
        <v>10</v>
      </c>
      <c r="AA903">
        <v>57</v>
      </c>
      <c r="AB903">
        <v>19</v>
      </c>
      <c r="AC903">
        <v>0</v>
      </c>
      <c r="AD903">
        <v>1</v>
      </c>
      <c r="AE903">
        <v>0</v>
      </c>
      <c r="AF903">
        <v>0</v>
      </c>
      <c r="AG903">
        <v>1</v>
      </c>
      <c r="AH903">
        <v>1</v>
      </c>
      <c r="AI903">
        <v>0</v>
      </c>
      <c r="AJ903">
        <v>0</v>
      </c>
      <c r="AK903">
        <v>3</v>
      </c>
      <c r="AL903">
        <v>1</v>
      </c>
      <c r="AM903">
        <v>1</v>
      </c>
      <c r="AN903">
        <v>0</v>
      </c>
      <c r="AT903">
        <v>0</v>
      </c>
      <c r="AU903">
        <v>13</v>
      </c>
      <c r="AV903">
        <v>485</v>
      </c>
      <c r="AW903">
        <v>485</v>
      </c>
      <c r="AX903">
        <v>632</v>
      </c>
      <c r="BA903">
        <v>1</v>
      </c>
      <c r="BC903" t="s">
        <v>1899</v>
      </c>
      <c r="BD903" s="4">
        <v>43283.170138888891</v>
      </c>
      <c r="BE903" s="4">
        <v>43283.184999999998</v>
      </c>
      <c r="BF903" s="4">
        <v>43283.184999999998</v>
      </c>
      <c r="BG903" t="s">
        <v>83</v>
      </c>
      <c r="BH903" t="s">
        <v>84</v>
      </c>
      <c r="BI903" t="s">
        <v>85</v>
      </c>
    </row>
    <row r="904" spans="1:61" x14ac:dyDescent="0.3">
      <c r="A904" t="str">
        <f>"200903C0200"</f>
        <v>200903C0200</v>
      </c>
      <c r="B904" t="s">
        <v>1900</v>
      </c>
      <c r="C904">
        <v>20</v>
      </c>
      <c r="D904" t="s">
        <v>79</v>
      </c>
      <c r="E904">
        <v>5</v>
      </c>
      <c r="F904" t="s">
        <v>1759</v>
      </c>
      <c r="G904">
        <v>903</v>
      </c>
      <c r="H904">
        <v>2</v>
      </c>
      <c r="I904" t="s">
        <v>89</v>
      </c>
      <c r="J904">
        <v>0</v>
      </c>
      <c r="K904">
        <v>1</v>
      </c>
      <c r="L904">
        <v>2</v>
      </c>
      <c r="M904">
        <v>147</v>
      </c>
      <c r="N904">
        <v>504</v>
      </c>
      <c r="O904">
        <v>8</v>
      </c>
      <c r="P904">
        <v>504</v>
      </c>
      <c r="Q904">
        <v>17</v>
      </c>
      <c r="R904">
        <v>69</v>
      </c>
      <c r="S904">
        <v>6</v>
      </c>
      <c r="T904">
        <v>15</v>
      </c>
      <c r="U904">
        <v>31</v>
      </c>
      <c r="V904">
        <v>2</v>
      </c>
      <c r="W904">
        <v>35</v>
      </c>
      <c r="X904">
        <v>16</v>
      </c>
      <c r="Y904">
        <v>209</v>
      </c>
      <c r="Z904">
        <v>3</v>
      </c>
      <c r="AA904">
        <v>50</v>
      </c>
      <c r="AB904">
        <v>17</v>
      </c>
      <c r="AC904">
        <v>1</v>
      </c>
      <c r="AD904">
        <v>0</v>
      </c>
      <c r="AE904">
        <v>0</v>
      </c>
      <c r="AF904">
        <v>0</v>
      </c>
      <c r="AG904">
        <v>0</v>
      </c>
      <c r="AH904">
        <v>3</v>
      </c>
      <c r="AI904">
        <v>0</v>
      </c>
      <c r="AJ904">
        <v>0</v>
      </c>
      <c r="AK904">
        <v>0</v>
      </c>
      <c r="AL904">
        <v>2</v>
      </c>
      <c r="AM904">
        <v>1</v>
      </c>
      <c r="AN904">
        <v>0</v>
      </c>
      <c r="AT904">
        <v>1</v>
      </c>
      <c r="AU904">
        <v>25</v>
      </c>
      <c r="AV904">
        <v>504</v>
      </c>
      <c r="AW904">
        <v>503</v>
      </c>
      <c r="AX904">
        <v>632</v>
      </c>
      <c r="BA904">
        <v>1</v>
      </c>
      <c r="BC904" t="s">
        <v>1901</v>
      </c>
      <c r="BD904" s="4">
        <v>43283.172222222223</v>
      </c>
      <c r="BE904" s="4">
        <v>43283.187523148146</v>
      </c>
      <c r="BF904" s="4">
        <v>43283.187523148146</v>
      </c>
      <c r="BG904" t="s">
        <v>83</v>
      </c>
      <c r="BH904" t="s">
        <v>84</v>
      </c>
      <c r="BI904" t="s">
        <v>85</v>
      </c>
    </row>
    <row r="905" spans="1:61" x14ac:dyDescent="0.3">
      <c r="A905" t="str">
        <f>"200903C0300"</f>
        <v>200903C0300</v>
      </c>
      <c r="B905" t="s">
        <v>1902</v>
      </c>
      <c r="C905">
        <v>20</v>
      </c>
      <c r="D905" t="s">
        <v>79</v>
      </c>
      <c r="E905">
        <v>5</v>
      </c>
      <c r="F905" t="s">
        <v>1759</v>
      </c>
      <c r="G905">
        <v>903</v>
      </c>
      <c r="H905">
        <v>3</v>
      </c>
      <c r="I905" t="s">
        <v>89</v>
      </c>
      <c r="J905">
        <v>0</v>
      </c>
      <c r="K905">
        <v>1</v>
      </c>
      <c r="L905">
        <v>2</v>
      </c>
      <c r="M905">
        <v>176</v>
      </c>
      <c r="N905">
        <v>478</v>
      </c>
      <c r="O905">
        <v>8</v>
      </c>
      <c r="P905">
        <v>478</v>
      </c>
      <c r="Q905">
        <v>21</v>
      </c>
      <c r="R905">
        <v>77</v>
      </c>
      <c r="S905">
        <v>5</v>
      </c>
      <c r="T905">
        <v>5</v>
      </c>
      <c r="U905">
        <v>57</v>
      </c>
      <c r="V905">
        <v>3</v>
      </c>
      <c r="W905">
        <v>21</v>
      </c>
      <c r="X905">
        <v>12</v>
      </c>
      <c r="Y905">
        <v>182</v>
      </c>
      <c r="Z905">
        <v>4</v>
      </c>
      <c r="AA905">
        <v>42</v>
      </c>
      <c r="AB905">
        <v>17</v>
      </c>
      <c r="AC905">
        <v>0</v>
      </c>
      <c r="AD905">
        <v>0</v>
      </c>
      <c r="AE905">
        <v>0</v>
      </c>
      <c r="AF905">
        <v>0</v>
      </c>
      <c r="AG905">
        <v>1</v>
      </c>
      <c r="AH905">
        <v>1</v>
      </c>
      <c r="AI905">
        <v>0</v>
      </c>
      <c r="AJ905">
        <v>1</v>
      </c>
      <c r="AK905">
        <v>0</v>
      </c>
      <c r="AL905">
        <v>2</v>
      </c>
      <c r="AM905">
        <v>0</v>
      </c>
      <c r="AN905">
        <v>0</v>
      </c>
      <c r="AT905">
        <v>2</v>
      </c>
      <c r="AU905">
        <v>25</v>
      </c>
      <c r="AV905">
        <v>478</v>
      </c>
      <c r="AW905">
        <v>478</v>
      </c>
      <c r="AX905">
        <v>632</v>
      </c>
      <c r="BA905">
        <v>1</v>
      </c>
      <c r="BC905" t="s">
        <v>1903</v>
      </c>
      <c r="BD905" s="4">
        <v>43283.172222222223</v>
      </c>
      <c r="BE905" s="4">
        <v>43283.191643518519</v>
      </c>
      <c r="BF905" s="4">
        <v>43283.191643518519</v>
      </c>
      <c r="BG905" t="s">
        <v>83</v>
      </c>
      <c r="BH905" t="s">
        <v>84</v>
      </c>
      <c r="BI905" t="s">
        <v>85</v>
      </c>
    </row>
    <row r="906" spans="1:61" x14ac:dyDescent="0.3">
      <c r="A906" t="str">
        <f>"200904B0100"</f>
        <v>200904B0100</v>
      </c>
      <c r="B906" t="s">
        <v>1904</v>
      </c>
      <c r="C906">
        <v>20</v>
      </c>
      <c r="D906" t="s">
        <v>79</v>
      </c>
      <c r="E906">
        <v>5</v>
      </c>
      <c r="F906" t="s">
        <v>1759</v>
      </c>
      <c r="G906">
        <v>904</v>
      </c>
      <c r="H906">
        <v>1</v>
      </c>
      <c r="I906" t="s">
        <v>81</v>
      </c>
      <c r="J906">
        <v>0</v>
      </c>
      <c r="K906">
        <v>2</v>
      </c>
      <c r="L906">
        <v>2</v>
      </c>
      <c r="M906">
        <v>31</v>
      </c>
      <c r="N906">
        <v>75</v>
      </c>
      <c r="O906">
        <v>7</v>
      </c>
      <c r="P906">
        <v>75</v>
      </c>
      <c r="Q906">
        <v>3</v>
      </c>
      <c r="R906">
        <v>17</v>
      </c>
      <c r="S906">
        <v>1</v>
      </c>
      <c r="T906">
        <v>0</v>
      </c>
      <c r="U906">
        <v>1</v>
      </c>
      <c r="V906">
        <v>1</v>
      </c>
      <c r="W906">
        <v>11</v>
      </c>
      <c r="X906">
        <v>0</v>
      </c>
      <c r="Y906">
        <v>8</v>
      </c>
      <c r="Z906">
        <v>0</v>
      </c>
      <c r="AA906">
        <v>29</v>
      </c>
      <c r="AB906">
        <v>2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1</v>
      </c>
      <c r="AL906">
        <v>0</v>
      </c>
      <c r="AM906">
        <v>0</v>
      </c>
      <c r="AN906">
        <v>0</v>
      </c>
      <c r="AT906">
        <v>0</v>
      </c>
      <c r="AU906">
        <v>2</v>
      </c>
      <c r="AV906">
        <v>76</v>
      </c>
      <c r="AW906">
        <v>76</v>
      </c>
      <c r="AX906">
        <v>84</v>
      </c>
      <c r="BA906">
        <v>1</v>
      </c>
      <c r="BC906" t="s">
        <v>1905</v>
      </c>
      <c r="BD906" s="4">
        <v>43283.154166666667</v>
      </c>
      <c r="BE906" s="4">
        <v>43283.169560185182</v>
      </c>
      <c r="BF906" s="4">
        <v>43283.169560185182</v>
      </c>
      <c r="BG906" t="s">
        <v>83</v>
      </c>
      <c r="BH906" t="s">
        <v>84</v>
      </c>
      <c r="BI906" t="s">
        <v>85</v>
      </c>
    </row>
    <row r="907" spans="1:61" x14ac:dyDescent="0.3">
      <c r="A907" t="str">
        <f>"200905B0100"</f>
        <v>200905B0100</v>
      </c>
      <c r="B907" t="s">
        <v>1906</v>
      </c>
      <c r="C907">
        <v>20</v>
      </c>
      <c r="D907" t="s">
        <v>79</v>
      </c>
      <c r="E907">
        <v>5</v>
      </c>
      <c r="F907" t="s">
        <v>1759</v>
      </c>
      <c r="G907">
        <v>905</v>
      </c>
      <c r="H907">
        <v>1</v>
      </c>
      <c r="I907" t="s">
        <v>81</v>
      </c>
      <c r="J907">
        <v>0</v>
      </c>
      <c r="K907">
        <v>2</v>
      </c>
      <c r="L907">
        <v>2</v>
      </c>
      <c r="M907">
        <v>80</v>
      </c>
      <c r="N907">
        <v>303</v>
      </c>
      <c r="O907">
        <v>2</v>
      </c>
      <c r="P907">
        <v>303</v>
      </c>
      <c r="Q907">
        <v>7</v>
      </c>
      <c r="R907">
        <v>60</v>
      </c>
      <c r="S907">
        <v>5</v>
      </c>
      <c r="T907">
        <v>10</v>
      </c>
      <c r="U907">
        <v>27</v>
      </c>
      <c r="V907">
        <v>0</v>
      </c>
      <c r="W907">
        <v>29</v>
      </c>
      <c r="X907">
        <v>15</v>
      </c>
      <c r="Y907">
        <v>70</v>
      </c>
      <c r="Z907">
        <v>3</v>
      </c>
      <c r="AA907">
        <v>59</v>
      </c>
      <c r="AB907">
        <v>1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1</v>
      </c>
      <c r="AL907">
        <v>0</v>
      </c>
      <c r="AM907">
        <v>0</v>
      </c>
      <c r="AN907">
        <v>0</v>
      </c>
      <c r="AT907">
        <v>0</v>
      </c>
      <c r="AU907">
        <v>16</v>
      </c>
      <c r="AV907">
        <v>303</v>
      </c>
      <c r="AW907">
        <v>303</v>
      </c>
      <c r="AX907">
        <v>361</v>
      </c>
      <c r="BA907">
        <v>1</v>
      </c>
      <c r="BC907" t="s">
        <v>1907</v>
      </c>
      <c r="BD907" s="4">
        <v>43283.161805555559</v>
      </c>
      <c r="BE907" s="4">
        <v>43283.174120370371</v>
      </c>
      <c r="BF907" s="4">
        <v>43283.174120370371</v>
      </c>
      <c r="BG907" t="s">
        <v>83</v>
      </c>
      <c r="BH907" t="s">
        <v>84</v>
      </c>
      <c r="BI907" t="s">
        <v>85</v>
      </c>
    </row>
    <row r="908" spans="1:61" x14ac:dyDescent="0.3">
      <c r="A908" t="str">
        <f>"200906B0100"</f>
        <v>200906B0100</v>
      </c>
      <c r="B908" t="s">
        <v>1908</v>
      </c>
      <c r="C908">
        <v>20</v>
      </c>
      <c r="D908" t="s">
        <v>79</v>
      </c>
      <c r="E908">
        <v>5</v>
      </c>
      <c r="F908" t="s">
        <v>1759</v>
      </c>
      <c r="G908">
        <v>906</v>
      </c>
      <c r="H908">
        <v>1</v>
      </c>
      <c r="I908" t="s">
        <v>81</v>
      </c>
      <c r="J908">
        <v>0</v>
      </c>
      <c r="K908">
        <v>2</v>
      </c>
      <c r="L908">
        <v>2</v>
      </c>
      <c r="M908">
        <v>99</v>
      </c>
      <c r="N908">
        <v>176</v>
      </c>
      <c r="O908">
        <v>176</v>
      </c>
      <c r="P908">
        <v>9</v>
      </c>
      <c r="Q908">
        <v>20</v>
      </c>
      <c r="R908">
        <v>39</v>
      </c>
      <c r="S908">
        <v>20</v>
      </c>
      <c r="T908">
        <v>2</v>
      </c>
      <c r="U908">
        <v>15</v>
      </c>
      <c r="V908">
        <v>6</v>
      </c>
      <c r="W908">
        <v>2</v>
      </c>
      <c r="X908">
        <v>49</v>
      </c>
      <c r="Y908">
        <v>4</v>
      </c>
      <c r="Z908">
        <v>1</v>
      </c>
      <c r="AA908">
        <v>0</v>
      </c>
      <c r="AB908">
        <v>0</v>
      </c>
      <c r="AC908">
        <v>4</v>
      </c>
      <c r="AD908">
        <v>0</v>
      </c>
      <c r="AE908">
        <v>0</v>
      </c>
      <c r="AF908">
        <v>0</v>
      </c>
      <c r="AG908">
        <v>0</v>
      </c>
      <c r="AH908">
        <v>1</v>
      </c>
      <c r="AI908">
        <v>0</v>
      </c>
      <c r="AJ908">
        <v>0</v>
      </c>
      <c r="AK908">
        <v>0</v>
      </c>
      <c r="AL908">
        <v>3</v>
      </c>
      <c r="AM908">
        <v>0</v>
      </c>
      <c r="AN908">
        <v>1</v>
      </c>
      <c r="AT908">
        <v>0</v>
      </c>
      <c r="AU908">
        <v>9</v>
      </c>
      <c r="AV908">
        <v>176</v>
      </c>
      <c r="AW908">
        <v>176</v>
      </c>
      <c r="AX908">
        <v>253</v>
      </c>
      <c r="BA908">
        <v>1</v>
      </c>
      <c r="BC908" t="s">
        <v>1909</v>
      </c>
      <c r="BD908" s="4">
        <v>43283.423611111109</v>
      </c>
      <c r="BE908" s="4">
        <v>43283.427789351852</v>
      </c>
      <c r="BF908" s="4">
        <v>43283.427789351852</v>
      </c>
      <c r="BG908" t="s">
        <v>83</v>
      </c>
      <c r="BH908" t="s">
        <v>84</v>
      </c>
      <c r="BI908" t="s">
        <v>85</v>
      </c>
    </row>
    <row r="909" spans="1:61" x14ac:dyDescent="0.3">
      <c r="A909" t="str">
        <f>"200927B0100"</f>
        <v>200927B0100</v>
      </c>
      <c r="B909" t="s">
        <v>1910</v>
      </c>
      <c r="C909">
        <v>20</v>
      </c>
      <c r="D909" t="s">
        <v>79</v>
      </c>
      <c r="E909">
        <v>5</v>
      </c>
      <c r="F909" t="s">
        <v>1759</v>
      </c>
      <c r="G909">
        <v>927</v>
      </c>
      <c r="H909">
        <v>1</v>
      </c>
      <c r="I909" t="s">
        <v>81</v>
      </c>
      <c r="J909">
        <v>0</v>
      </c>
      <c r="K909">
        <v>2</v>
      </c>
      <c r="L909">
        <v>2</v>
      </c>
      <c r="M909">
        <v>206</v>
      </c>
      <c r="N909">
        <v>273</v>
      </c>
      <c r="O909">
        <v>2</v>
      </c>
      <c r="P909">
        <v>273</v>
      </c>
      <c r="Q909">
        <v>6</v>
      </c>
      <c r="R909">
        <v>80</v>
      </c>
      <c r="S909">
        <v>12</v>
      </c>
      <c r="T909">
        <v>10</v>
      </c>
      <c r="U909">
        <v>32</v>
      </c>
      <c r="V909">
        <v>2</v>
      </c>
      <c r="W909">
        <v>3</v>
      </c>
      <c r="X909">
        <v>6</v>
      </c>
      <c r="Y909">
        <v>96</v>
      </c>
      <c r="Z909">
        <v>4</v>
      </c>
      <c r="AA909">
        <v>1</v>
      </c>
      <c r="AB909">
        <v>2</v>
      </c>
      <c r="AC909">
        <v>1</v>
      </c>
      <c r="AD909">
        <v>0</v>
      </c>
      <c r="AE909">
        <v>0</v>
      </c>
      <c r="AF909">
        <v>0</v>
      </c>
      <c r="AG909">
        <v>2</v>
      </c>
      <c r="AH909">
        <v>0</v>
      </c>
      <c r="AI909">
        <v>0</v>
      </c>
      <c r="AJ909">
        <v>0</v>
      </c>
      <c r="AK909">
        <v>3</v>
      </c>
      <c r="AL909">
        <v>4</v>
      </c>
      <c r="AM909">
        <v>1</v>
      </c>
      <c r="AN909">
        <v>0</v>
      </c>
      <c r="AT909">
        <v>0</v>
      </c>
      <c r="AU909">
        <v>8</v>
      </c>
      <c r="AV909">
        <v>273</v>
      </c>
      <c r="AW909">
        <v>273</v>
      </c>
      <c r="AX909">
        <v>457</v>
      </c>
      <c r="BA909">
        <v>1</v>
      </c>
      <c r="BC909" t="s">
        <v>1911</v>
      </c>
      <c r="BD909" s="4">
        <v>43283.131249999999</v>
      </c>
      <c r="BE909" s="4">
        <v>43283.135370370372</v>
      </c>
      <c r="BF909" s="4">
        <v>43283.135370370372</v>
      </c>
      <c r="BG909" t="s">
        <v>83</v>
      </c>
      <c r="BH909" t="s">
        <v>84</v>
      </c>
      <c r="BI909" t="s">
        <v>85</v>
      </c>
    </row>
    <row r="910" spans="1:61" x14ac:dyDescent="0.3">
      <c r="A910" t="str">
        <f>"200928B0100"</f>
        <v>200928B0100</v>
      </c>
      <c r="B910" t="s">
        <v>1912</v>
      </c>
      <c r="C910">
        <v>20</v>
      </c>
      <c r="D910" t="s">
        <v>79</v>
      </c>
      <c r="E910">
        <v>5</v>
      </c>
      <c r="F910" t="s">
        <v>1759</v>
      </c>
      <c r="G910">
        <v>928</v>
      </c>
      <c r="H910">
        <v>1</v>
      </c>
      <c r="I910" t="s">
        <v>81</v>
      </c>
      <c r="J910">
        <v>0</v>
      </c>
      <c r="K910">
        <v>2</v>
      </c>
      <c r="L910">
        <v>2</v>
      </c>
      <c r="M910">
        <v>117</v>
      </c>
      <c r="N910">
        <v>151</v>
      </c>
      <c r="O910">
        <v>0</v>
      </c>
      <c r="P910">
        <v>151</v>
      </c>
      <c r="Q910">
        <v>14</v>
      </c>
      <c r="R910">
        <v>33</v>
      </c>
      <c r="S910">
        <v>4</v>
      </c>
      <c r="T910">
        <v>2</v>
      </c>
      <c r="U910">
        <v>6</v>
      </c>
      <c r="V910">
        <v>1</v>
      </c>
      <c r="W910">
        <v>7</v>
      </c>
      <c r="X910">
        <v>1</v>
      </c>
      <c r="Y910">
        <v>71</v>
      </c>
      <c r="Z910">
        <v>3</v>
      </c>
      <c r="AA910">
        <v>2</v>
      </c>
      <c r="AB910">
        <v>1</v>
      </c>
      <c r="AC910">
        <v>1</v>
      </c>
      <c r="AD910">
        <v>0</v>
      </c>
      <c r="AE910">
        <v>0</v>
      </c>
      <c r="AF910">
        <v>0</v>
      </c>
      <c r="AG910">
        <v>0</v>
      </c>
      <c r="AH910">
        <v>2</v>
      </c>
      <c r="AI910">
        <v>0</v>
      </c>
      <c r="AJ910">
        <v>0</v>
      </c>
      <c r="AK910">
        <v>0</v>
      </c>
      <c r="AL910">
        <v>3</v>
      </c>
      <c r="AM910">
        <v>0</v>
      </c>
      <c r="AN910">
        <v>0</v>
      </c>
      <c r="AT910">
        <v>0</v>
      </c>
      <c r="AU910">
        <v>0</v>
      </c>
      <c r="AV910">
        <v>151</v>
      </c>
      <c r="AW910">
        <v>151</v>
      </c>
      <c r="AX910">
        <v>246</v>
      </c>
      <c r="BA910">
        <v>1</v>
      </c>
      <c r="BC910" t="s">
        <v>1913</v>
      </c>
      <c r="BD910" s="4">
        <v>43283.157638888886</v>
      </c>
      <c r="BE910" s="4">
        <v>43283.171446759261</v>
      </c>
      <c r="BF910" s="4">
        <v>43283.171446759261</v>
      </c>
      <c r="BG910" t="s">
        <v>83</v>
      </c>
      <c r="BH910" t="s">
        <v>84</v>
      </c>
      <c r="BI910" t="s">
        <v>85</v>
      </c>
    </row>
    <row r="911" spans="1:61" x14ac:dyDescent="0.3">
      <c r="A911" t="str">
        <f>"200929B0100"</f>
        <v>200929B0100</v>
      </c>
      <c r="B911" t="s">
        <v>1914</v>
      </c>
      <c r="C911">
        <v>20</v>
      </c>
      <c r="D911" t="s">
        <v>79</v>
      </c>
      <c r="E911">
        <v>5</v>
      </c>
      <c r="F911" t="s">
        <v>1759</v>
      </c>
      <c r="G911">
        <v>929</v>
      </c>
      <c r="H911">
        <v>1</v>
      </c>
      <c r="I911" t="s">
        <v>81</v>
      </c>
      <c r="J911">
        <v>0</v>
      </c>
      <c r="K911">
        <v>2</v>
      </c>
      <c r="L911">
        <v>2</v>
      </c>
      <c r="M911">
        <v>221</v>
      </c>
      <c r="N911">
        <v>263</v>
      </c>
      <c r="O911">
        <v>1</v>
      </c>
      <c r="P911">
        <v>263</v>
      </c>
      <c r="Q911">
        <v>12</v>
      </c>
      <c r="R911">
        <v>100</v>
      </c>
      <c r="S911">
        <v>3</v>
      </c>
      <c r="T911">
        <v>7</v>
      </c>
      <c r="U911">
        <v>34</v>
      </c>
      <c r="V911">
        <v>2</v>
      </c>
      <c r="W911">
        <v>15</v>
      </c>
      <c r="X911">
        <v>2</v>
      </c>
      <c r="Y911">
        <v>59</v>
      </c>
      <c r="Z911">
        <v>3</v>
      </c>
      <c r="AA911">
        <v>6</v>
      </c>
      <c r="AB911">
        <v>3</v>
      </c>
      <c r="AC911">
        <v>1</v>
      </c>
      <c r="AD911">
        <v>0</v>
      </c>
      <c r="AE911">
        <v>0</v>
      </c>
      <c r="AF911">
        <v>0</v>
      </c>
      <c r="AG911">
        <v>0</v>
      </c>
      <c r="AH911">
        <v>1</v>
      </c>
      <c r="AI911">
        <v>0</v>
      </c>
      <c r="AJ911">
        <v>0</v>
      </c>
      <c r="AK911">
        <v>4</v>
      </c>
      <c r="AL911">
        <v>1</v>
      </c>
      <c r="AM911">
        <v>0</v>
      </c>
      <c r="AN911">
        <v>2</v>
      </c>
      <c r="AT911">
        <v>0</v>
      </c>
      <c r="AU911">
        <v>8</v>
      </c>
      <c r="AV911">
        <v>263</v>
      </c>
      <c r="AW911">
        <v>263</v>
      </c>
      <c r="AX911">
        <v>462</v>
      </c>
      <c r="BA911">
        <v>1</v>
      </c>
      <c r="BC911" t="s">
        <v>1915</v>
      </c>
      <c r="BD911" s="4">
        <v>43283.240277777775</v>
      </c>
      <c r="BE911" s="4">
        <v>43283.264363425929</v>
      </c>
      <c r="BF911" s="4">
        <v>43283.264363425929</v>
      </c>
      <c r="BG911" t="s">
        <v>83</v>
      </c>
      <c r="BH911" t="s">
        <v>84</v>
      </c>
      <c r="BI911" t="s">
        <v>85</v>
      </c>
    </row>
    <row r="912" spans="1:61" x14ac:dyDescent="0.3">
      <c r="A912" t="str">
        <f>"200929E0100"</f>
        <v>200929E0100</v>
      </c>
      <c r="B912" s="2" t="s">
        <v>1916</v>
      </c>
      <c r="C912">
        <v>20</v>
      </c>
      <c r="D912" t="s">
        <v>79</v>
      </c>
      <c r="E912">
        <v>5</v>
      </c>
      <c r="F912" t="s">
        <v>1759</v>
      </c>
      <c r="G912">
        <v>929</v>
      </c>
      <c r="H912">
        <v>1</v>
      </c>
      <c r="I912" t="s">
        <v>145</v>
      </c>
      <c r="J912">
        <v>0</v>
      </c>
      <c r="K912">
        <v>2</v>
      </c>
      <c r="L912">
        <v>2</v>
      </c>
      <c r="M912">
        <v>153</v>
      </c>
      <c r="N912">
        <v>257</v>
      </c>
      <c r="O912">
        <v>2</v>
      </c>
      <c r="P912">
        <v>258</v>
      </c>
      <c r="Q912">
        <v>14</v>
      </c>
      <c r="R912">
        <v>96</v>
      </c>
      <c r="S912">
        <v>9</v>
      </c>
      <c r="T912">
        <v>11</v>
      </c>
      <c r="U912">
        <v>45</v>
      </c>
      <c r="V912">
        <v>2</v>
      </c>
      <c r="W912">
        <v>4</v>
      </c>
      <c r="X912">
        <v>8</v>
      </c>
      <c r="Y912">
        <v>42</v>
      </c>
      <c r="Z912">
        <v>3</v>
      </c>
      <c r="AA912">
        <v>1</v>
      </c>
      <c r="AB912">
        <v>1</v>
      </c>
      <c r="AC912">
        <v>1</v>
      </c>
      <c r="AD912">
        <v>0</v>
      </c>
      <c r="AE912">
        <v>1</v>
      </c>
      <c r="AF912">
        <v>0</v>
      </c>
      <c r="AG912">
        <v>1</v>
      </c>
      <c r="AH912">
        <v>1</v>
      </c>
      <c r="AI912">
        <v>1</v>
      </c>
      <c r="AJ912">
        <v>0</v>
      </c>
      <c r="AK912">
        <v>2</v>
      </c>
      <c r="AL912">
        <v>3</v>
      </c>
      <c r="AM912">
        <v>2</v>
      </c>
      <c r="AN912">
        <v>1</v>
      </c>
      <c r="AT912">
        <v>0</v>
      </c>
      <c r="AU912">
        <v>9</v>
      </c>
      <c r="AV912">
        <v>258</v>
      </c>
      <c r="AW912">
        <v>258</v>
      </c>
      <c r="AX912">
        <v>389</v>
      </c>
      <c r="BA912">
        <v>1</v>
      </c>
      <c r="BC912" s="2" t="s">
        <v>1917</v>
      </c>
      <c r="BD912" s="4">
        <v>43283.240277777775</v>
      </c>
      <c r="BE912" s="4">
        <v>43283.265972222223</v>
      </c>
      <c r="BF912" s="4">
        <v>43283.265972222223</v>
      </c>
      <c r="BG912" t="s">
        <v>83</v>
      </c>
      <c r="BH912" t="s">
        <v>84</v>
      </c>
      <c r="BI912" t="s">
        <v>85</v>
      </c>
    </row>
    <row r="913" spans="1:61" x14ac:dyDescent="0.3">
      <c r="A913" t="str">
        <f>"200930B0100"</f>
        <v>200930B0100</v>
      </c>
      <c r="B913" t="s">
        <v>1918</v>
      </c>
      <c r="C913">
        <v>20</v>
      </c>
      <c r="D913" t="s">
        <v>79</v>
      </c>
      <c r="E913">
        <v>5</v>
      </c>
      <c r="F913" t="s">
        <v>1759</v>
      </c>
      <c r="G913">
        <v>930</v>
      </c>
      <c r="H913">
        <v>1</v>
      </c>
      <c r="I913" t="s">
        <v>81</v>
      </c>
      <c r="J913">
        <v>0</v>
      </c>
      <c r="K913">
        <v>2</v>
      </c>
      <c r="L913">
        <v>2</v>
      </c>
      <c r="M913">
        <v>172</v>
      </c>
      <c r="N913">
        <v>197</v>
      </c>
      <c r="O913">
        <v>1</v>
      </c>
      <c r="P913">
        <v>197</v>
      </c>
      <c r="Q913">
        <v>10</v>
      </c>
      <c r="R913">
        <v>20</v>
      </c>
      <c r="S913">
        <v>15</v>
      </c>
      <c r="T913">
        <v>4</v>
      </c>
      <c r="U913">
        <v>33</v>
      </c>
      <c r="V913">
        <v>2</v>
      </c>
      <c r="W913">
        <v>12</v>
      </c>
      <c r="X913">
        <v>4</v>
      </c>
      <c r="Y913">
        <v>79</v>
      </c>
      <c r="Z913">
        <v>2</v>
      </c>
      <c r="AA913">
        <v>2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4</v>
      </c>
      <c r="AL913">
        <v>1</v>
      </c>
      <c r="AM913">
        <v>0</v>
      </c>
      <c r="AN913">
        <v>2</v>
      </c>
      <c r="AT913">
        <v>0</v>
      </c>
      <c r="AU913">
        <v>7</v>
      </c>
      <c r="AV913">
        <v>197</v>
      </c>
      <c r="AW913">
        <v>197</v>
      </c>
      <c r="AX913">
        <v>347</v>
      </c>
      <c r="BA913">
        <v>1</v>
      </c>
      <c r="BC913" t="s">
        <v>1919</v>
      </c>
      <c r="BD913" s="4">
        <v>43283.121527777781</v>
      </c>
      <c r="BE913" s="4">
        <v>43283.125231481485</v>
      </c>
      <c r="BF913" s="4">
        <v>43283.125231481485</v>
      </c>
      <c r="BG913" t="s">
        <v>83</v>
      </c>
      <c r="BH913" t="s">
        <v>84</v>
      </c>
      <c r="BI913" t="s">
        <v>85</v>
      </c>
    </row>
    <row r="914" spans="1:61" x14ac:dyDescent="0.3">
      <c r="A914" t="str">
        <f>"200982B0100"</f>
        <v>200982B0100</v>
      </c>
      <c r="B914" t="s">
        <v>1920</v>
      </c>
      <c r="C914">
        <v>20</v>
      </c>
      <c r="D914" t="s">
        <v>79</v>
      </c>
      <c r="E914">
        <v>5</v>
      </c>
      <c r="F914" t="s">
        <v>1759</v>
      </c>
      <c r="G914">
        <v>982</v>
      </c>
      <c r="H914">
        <v>1</v>
      </c>
      <c r="I914" t="s">
        <v>81</v>
      </c>
      <c r="J914">
        <v>0</v>
      </c>
      <c r="K914">
        <v>2</v>
      </c>
      <c r="L914">
        <v>2</v>
      </c>
      <c r="M914">
        <v>277</v>
      </c>
      <c r="N914" t="s">
        <v>100</v>
      </c>
      <c r="O914">
        <v>1</v>
      </c>
      <c r="P914">
        <v>377</v>
      </c>
      <c r="Q914">
        <v>13</v>
      </c>
      <c r="R914">
        <v>49</v>
      </c>
      <c r="S914">
        <v>17</v>
      </c>
      <c r="T914">
        <v>3</v>
      </c>
      <c r="U914">
        <v>55</v>
      </c>
      <c r="V914">
        <v>7</v>
      </c>
      <c r="W914">
        <v>3</v>
      </c>
      <c r="X914">
        <v>3</v>
      </c>
      <c r="Y914">
        <v>184</v>
      </c>
      <c r="Z914">
        <v>5</v>
      </c>
      <c r="AA914">
        <v>2</v>
      </c>
      <c r="AB914">
        <v>2</v>
      </c>
      <c r="AC914">
        <v>1</v>
      </c>
      <c r="AD914">
        <v>0</v>
      </c>
      <c r="AE914">
        <v>0</v>
      </c>
      <c r="AF914">
        <v>0</v>
      </c>
      <c r="AG914">
        <v>2</v>
      </c>
      <c r="AH914">
        <v>0</v>
      </c>
      <c r="AI914">
        <v>0</v>
      </c>
      <c r="AJ914">
        <v>0</v>
      </c>
      <c r="AK914">
        <v>2</v>
      </c>
      <c r="AL914">
        <v>2</v>
      </c>
      <c r="AM914">
        <v>0</v>
      </c>
      <c r="AN914">
        <v>0</v>
      </c>
      <c r="AT914">
        <v>0</v>
      </c>
      <c r="AU914">
        <v>27</v>
      </c>
      <c r="AV914">
        <v>377</v>
      </c>
      <c r="AW914">
        <v>377</v>
      </c>
      <c r="AX914">
        <v>582</v>
      </c>
      <c r="BA914">
        <v>1</v>
      </c>
      <c r="BC914" t="s">
        <v>1921</v>
      </c>
      <c r="BD914" s="4">
        <v>43283.019444444442</v>
      </c>
      <c r="BE914" s="4">
        <v>43283.02553240741</v>
      </c>
      <c r="BF914" s="4">
        <v>43283.02553240741</v>
      </c>
      <c r="BG914" t="s">
        <v>83</v>
      </c>
      <c r="BH914" t="s">
        <v>84</v>
      </c>
      <c r="BI914" t="s">
        <v>85</v>
      </c>
    </row>
    <row r="915" spans="1:61" x14ac:dyDescent="0.3">
      <c r="A915" t="str">
        <f>"200983B0100"</f>
        <v>200983B0100</v>
      </c>
      <c r="B915" t="s">
        <v>1922</v>
      </c>
      <c r="C915">
        <v>20</v>
      </c>
      <c r="D915" t="s">
        <v>79</v>
      </c>
      <c r="E915">
        <v>5</v>
      </c>
      <c r="F915" t="s">
        <v>1759</v>
      </c>
      <c r="G915">
        <v>983</v>
      </c>
      <c r="H915">
        <v>1</v>
      </c>
      <c r="I915" t="s">
        <v>81</v>
      </c>
      <c r="J915">
        <v>0</v>
      </c>
      <c r="K915">
        <v>2</v>
      </c>
      <c r="L915">
        <v>2</v>
      </c>
      <c r="M915">
        <v>172</v>
      </c>
      <c r="N915">
        <v>310</v>
      </c>
      <c r="O915">
        <v>2</v>
      </c>
      <c r="P915">
        <v>310</v>
      </c>
      <c r="Q915">
        <v>7</v>
      </c>
      <c r="R915">
        <v>60</v>
      </c>
      <c r="S915">
        <v>11</v>
      </c>
      <c r="T915">
        <v>6</v>
      </c>
      <c r="U915">
        <v>29</v>
      </c>
      <c r="V915">
        <v>3</v>
      </c>
      <c r="W915">
        <v>12</v>
      </c>
      <c r="X915">
        <v>1</v>
      </c>
      <c r="Y915">
        <v>135</v>
      </c>
      <c r="Z915">
        <v>2</v>
      </c>
      <c r="AA915">
        <v>2</v>
      </c>
      <c r="AB915">
        <v>3</v>
      </c>
      <c r="AC915">
        <v>0</v>
      </c>
      <c r="AD915">
        <v>0</v>
      </c>
      <c r="AE915">
        <v>0</v>
      </c>
      <c r="AF915">
        <v>0</v>
      </c>
      <c r="AG915">
        <v>1</v>
      </c>
      <c r="AH915">
        <v>1</v>
      </c>
      <c r="AI915">
        <v>0</v>
      </c>
      <c r="AJ915">
        <v>0</v>
      </c>
      <c r="AK915">
        <v>3</v>
      </c>
      <c r="AL915">
        <v>0</v>
      </c>
      <c r="AM915">
        <v>1</v>
      </c>
      <c r="AN915">
        <v>1</v>
      </c>
      <c r="AT915">
        <v>0</v>
      </c>
      <c r="AU915">
        <v>32</v>
      </c>
      <c r="AV915">
        <v>310</v>
      </c>
      <c r="AW915">
        <v>310</v>
      </c>
      <c r="AX915">
        <v>460</v>
      </c>
      <c r="BA915">
        <v>1</v>
      </c>
      <c r="BC915" t="s">
        <v>1923</v>
      </c>
      <c r="BD915" s="4">
        <v>43283.018055555556</v>
      </c>
      <c r="BE915" s="4">
        <v>43283.022696759261</v>
      </c>
      <c r="BF915" s="4">
        <v>43283.022696759261</v>
      </c>
      <c r="BG915" t="s">
        <v>83</v>
      </c>
      <c r="BH915" t="s">
        <v>84</v>
      </c>
      <c r="BI915" t="s">
        <v>85</v>
      </c>
    </row>
    <row r="916" spans="1:61" x14ac:dyDescent="0.3">
      <c r="A916" t="str">
        <f>"200984B0100"</f>
        <v>200984B0100</v>
      </c>
      <c r="B916" t="s">
        <v>1924</v>
      </c>
      <c r="C916">
        <v>20</v>
      </c>
      <c r="D916" t="s">
        <v>79</v>
      </c>
      <c r="E916">
        <v>5</v>
      </c>
      <c r="F916" t="s">
        <v>1759</v>
      </c>
      <c r="G916">
        <v>984</v>
      </c>
      <c r="H916">
        <v>1</v>
      </c>
      <c r="I916" t="s">
        <v>81</v>
      </c>
      <c r="J916">
        <v>0</v>
      </c>
      <c r="K916">
        <v>2</v>
      </c>
      <c r="L916">
        <v>2</v>
      </c>
      <c r="M916">
        <v>96</v>
      </c>
      <c r="N916">
        <v>116</v>
      </c>
      <c r="O916">
        <v>1</v>
      </c>
      <c r="P916">
        <v>116</v>
      </c>
      <c r="Q916">
        <v>3</v>
      </c>
      <c r="R916">
        <v>46</v>
      </c>
      <c r="S916">
        <v>3</v>
      </c>
      <c r="T916">
        <v>3</v>
      </c>
      <c r="U916">
        <v>9</v>
      </c>
      <c r="V916">
        <v>2</v>
      </c>
      <c r="W916">
        <v>1</v>
      </c>
      <c r="X916">
        <v>1</v>
      </c>
      <c r="Y916">
        <v>17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T916">
        <v>0</v>
      </c>
      <c r="AU916">
        <v>30</v>
      </c>
      <c r="AV916">
        <v>116</v>
      </c>
      <c r="AW916">
        <v>115</v>
      </c>
      <c r="AX916">
        <v>190</v>
      </c>
      <c r="BA916">
        <v>1</v>
      </c>
      <c r="BC916" t="s">
        <v>1925</v>
      </c>
      <c r="BD916" s="4">
        <v>43283.020138888889</v>
      </c>
      <c r="BE916" s="4">
        <v>43283.023576388892</v>
      </c>
      <c r="BF916" s="4">
        <v>43283.023576388892</v>
      </c>
      <c r="BG916" t="s">
        <v>83</v>
      </c>
      <c r="BH916" t="s">
        <v>84</v>
      </c>
      <c r="BI916" t="s">
        <v>85</v>
      </c>
    </row>
    <row r="917" spans="1:61" x14ac:dyDescent="0.3">
      <c r="A917" t="str">
        <f>"200984E0100"</f>
        <v>200984E0100</v>
      </c>
      <c r="B917" s="2" t="s">
        <v>1926</v>
      </c>
      <c r="C917">
        <v>20</v>
      </c>
      <c r="D917" t="s">
        <v>79</v>
      </c>
      <c r="E917">
        <v>5</v>
      </c>
      <c r="F917" t="s">
        <v>1759</v>
      </c>
      <c r="G917">
        <v>984</v>
      </c>
      <c r="H917">
        <v>1</v>
      </c>
      <c r="I917" t="s">
        <v>145</v>
      </c>
      <c r="J917">
        <v>0</v>
      </c>
      <c r="K917">
        <v>2</v>
      </c>
      <c r="L917">
        <v>2</v>
      </c>
      <c r="M917">
        <v>140</v>
      </c>
      <c r="N917">
        <v>207</v>
      </c>
      <c r="O917">
        <v>3</v>
      </c>
      <c r="P917">
        <v>207</v>
      </c>
      <c r="Q917">
        <v>10</v>
      </c>
      <c r="R917">
        <v>43</v>
      </c>
      <c r="S917">
        <v>11</v>
      </c>
      <c r="T917">
        <v>8</v>
      </c>
      <c r="U917">
        <v>28</v>
      </c>
      <c r="V917">
        <v>3</v>
      </c>
      <c r="W917">
        <v>4</v>
      </c>
      <c r="X917">
        <v>2</v>
      </c>
      <c r="Y917">
        <v>63</v>
      </c>
      <c r="Z917">
        <v>2</v>
      </c>
      <c r="AA917">
        <v>1</v>
      </c>
      <c r="AB917">
        <v>2</v>
      </c>
      <c r="AC917">
        <v>0</v>
      </c>
      <c r="AD917">
        <v>0</v>
      </c>
      <c r="AE917">
        <v>0</v>
      </c>
      <c r="AF917">
        <v>0</v>
      </c>
      <c r="AG917">
        <v>2</v>
      </c>
      <c r="AH917">
        <v>0</v>
      </c>
      <c r="AI917">
        <v>0</v>
      </c>
      <c r="AJ917">
        <v>0</v>
      </c>
      <c r="AK917">
        <v>1</v>
      </c>
      <c r="AL917">
        <v>3</v>
      </c>
      <c r="AM917">
        <v>1</v>
      </c>
      <c r="AN917">
        <v>1</v>
      </c>
      <c r="AT917">
        <v>0</v>
      </c>
      <c r="AU917">
        <v>22</v>
      </c>
      <c r="AV917">
        <v>207</v>
      </c>
      <c r="AW917">
        <v>207</v>
      </c>
      <c r="AX917">
        <v>325</v>
      </c>
      <c r="BA917">
        <v>1</v>
      </c>
      <c r="BC917" t="s">
        <v>1927</v>
      </c>
      <c r="BD917" s="4">
        <v>43283.018055555556</v>
      </c>
      <c r="BE917" s="4">
        <v>43283.022581018522</v>
      </c>
      <c r="BF917" s="4">
        <v>43283.022581018522</v>
      </c>
      <c r="BG917" t="s">
        <v>83</v>
      </c>
      <c r="BH917" t="s">
        <v>84</v>
      </c>
      <c r="BI917" t="s">
        <v>85</v>
      </c>
    </row>
    <row r="918" spans="1:61" x14ac:dyDescent="0.3">
      <c r="A918" t="str">
        <f>"200985B0100"</f>
        <v>200985B0100</v>
      </c>
      <c r="B918" t="s">
        <v>1928</v>
      </c>
      <c r="C918">
        <v>20</v>
      </c>
      <c r="D918" t="s">
        <v>79</v>
      </c>
      <c r="E918">
        <v>5</v>
      </c>
      <c r="F918" t="s">
        <v>1759</v>
      </c>
      <c r="G918">
        <v>985</v>
      </c>
      <c r="H918">
        <v>1</v>
      </c>
      <c r="I918" t="s">
        <v>81</v>
      </c>
      <c r="J918">
        <v>0</v>
      </c>
      <c r="K918">
        <v>2</v>
      </c>
      <c r="L918">
        <v>2</v>
      </c>
      <c r="M918">
        <v>265</v>
      </c>
      <c r="N918">
        <v>129</v>
      </c>
      <c r="O918">
        <v>5</v>
      </c>
      <c r="P918">
        <v>124</v>
      </c>
      <c r="Q918">
        <v>8</v>
      </c>
      <c r="R918">
        <v>42</v>
      </c>
      <c r="S918">
        <v>12</v>
      </c>
      <c r="T918">
        <v>4</v>
      </c>
      <c r="U918">
        <v>12</v>
      </c>
      <c r="V918">
        <v>4</v>
      </c>
      <c r="W918">
        <v>0</v>
      </c>
      <c r="X918">
        <v>2</v>
      </c>
      <c r="Y918">
        <v>25</v>
      </c>
      <c r="Z918">
        <v>2</v>
      </c>
      <c r="AA918">
        <v>0</v>
      </c>
      <c r="AB918">
        <v>1</v>
      </c>
      <c r="AC918" t="s">
        <v>100</v>
      </c>
      <c r="AD918" t="s">
        <v>100</v>
      </c>
      <c r="AE918">
        <v>0</v>
      </c>
      <c r="AF918">
        <v>0</v>
      </c>
      <c r="AG918" t="s">
        <v>100</v>
      </c>
      <c r="AH918">
        <v>1</v>
      </c>
      <c r="AI918" t="s">
        <v>100</v>
      </c>
      <c r="AJ918" t="s">
        <v>100</v>
      </c>
      <c r="AK918">
        <v>1</v>
      </c>
      <c r="AL918">
        <v>1</v>
      </c>
      <c r="AM918" t="s">
        <v>100</v>
      </c>
      <c r="AN918" t="s">
        <v>100</v>
      </c>
      <c r="AT918" t="s">
        <v>100</v>
      </c>
      <c r="AU918">
        <v>7</v>
      </c>
      <c r="AV918">
        <v>29</v>
      </c>
      <c r="AW918">
        <v>122</v>
      </c>
      <c r="AX918">
        <v>299</v>
      </c>
      <c r="AZ918" t="s">
        <v>101</v>
      </c>
      <c r="BA918">
        <v>1</v>
      </c>
      <c r="BC918" t="s">
        <v>1929</v>
      </c>
      <c r="BD918" s="4">
        <v>43283.047222222223</v>
      </c>
      <c r="BE918" s="4">
        <v>43283.054189814815</v>
      </c>
      <c r="BF918" s="4">
        <v>43283.054189814815</v>
      </c>
      <c r="BG918" t="s">
        <v>83</v>
      </c>
      <c r="BH918" t="s">
        <v>84</v>
      </c>
      <c r="BI918" t="s">
        <v>85</v>
      </c>
    </row>
    <row r="919" spans="1:61" x14ac:dyDescent="0.3">
      <c r="A919" t="str">
        <f>"200985E0100"</f>
        <v>200985E0100</v>
      </c>
      <c r="B919" s="2" t="s">
        <v>1930</v>
      </c>
      <c r="C919">
        <v>20</v>
      </c>
      <c r="D919" t="s">
        <v>79</v>
      </c>
      <c r="E919">
        <v>5</v>
      </c>
      <c r="F919" t="s">
        <v>1759</v>
      </c>
      <c r="G919">
        <v>985</v>
      </c>
      <c r="H919">
        <v>1</v>
      </c>
      <c r="I919" t="s">
        <v>145</v>
      </c>
      <c r="J919">
        <v>0</v>
      </c>
      <c r="K919">
        <v>2</v>
      </c>
      <c r="L919">
        <v>2</v>
      </c>
      <c r="M919">
        <v>95</v>
      </c>
      <c r="N919">
        <v>170</v>
      </c>
      <c r="O919">
        <v>5</v>
      </c>
      <c r="P919">
        <v>0</v>
      </c>
      <c r="Q919">
        <v>7</v>
      </c>
      <c r="R919">
        <v>16</v>
      </c>
      <c r="S919">
        <v>9</v>
      </c>
      <c r="T919">
        <v>5</v>
      </c>
      <c r="U919">
        <v>31</v>
      </c>
      <c r="V919">
        <v>4</v>
      </c>
      <c r="W919">
        <v>26</v>
      </c>
      <c r="X919">
        <v>5</v>
      </c>
      <c r="Y919">
        <v>57</v>
      </c>
      <c r="Z919">
        <v>2</v>
      </c>
      <c r="AA919">
        <v>0</v>
      </c>
      <c r="AB919">
        <v>1</v>
      </c>
      <c r="AC919">
        <v>0</v>
      </c>
      <c r="AD919">
        <v>1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1</v>
      </c>
      <c r="AM919">
        <v>0</v>
      </c>
      <c r="AN919">
        <v>0</v>
      </c>
      <c r="AT919">
        <v>0</v>
      </c>
      <c r="AU919">
        <v>5</v>
      </c>
      <c r="AV919">
        <v>170</v>
      </c>
      <c r="AW919">
        <v>170</v>
      </c>
      <c r="AX919">
        <v>243</v>
      </c>
      <c r="BA919">
        <v>1</v>
      </c>
      <c r="BC919" t="s">
        <v>1931</v>
      </c>
      <c r="BD919" s="4">
        <v>43283.600694444445</v>
      </c>
      <c r="BE919" s="4">
        <v>43283.606412037036</v>
      </c>
      <c r="BF919" s="4">
        <v>43283.606412037036</v>
      </c>
      <c r="BG919" t="s">
        <v>83</v>
      </c>
      <c r="BH919" t="s">
        <v>84</v>
      </c>
      <c r="BI919" t="s">
        <v>85</v>
      </c>
    </row>
    <row r="920" spans="1:61" x14ac:dyDescent="0.3">
      <c r="A920" t="str">
        <f>"201002B0100"</f>
        <v>201002B0100</v>
      </c>
      <c r="B920" t="s">
        <v>1932</v>
      </c>
      <c r="C920">
        <v>20</v>
      </c>
      <c r="D920" t="s">
        <v>79</v>
      </c>
      <c r="E920">
        <v>5</v>
      </c>
      <c r="F920" t="s">
        <v>1759</v>
      </c>
      <c r="G920">
        <v>1002</v>
      </c>
      <c r="H920">
        <v>1</v>
      </c>
      <c r="I920" t="s">
        <v>81</v>
      </c>
      <c r="J920">
        <v>0</v>
      </c>
      <c r="K920">
        <v>1</v>
      </c>
      <c r="L920">
        <v>2</v>
      </c>
      <c r="M920">
        <v>290</v>
      </c>
      <c r="N920">
        <v>239</v>
      </c>
      <c r="O920">
        <v>0</v>
      </c>
      <c r="P920">
        <v>239</v>
      </c>
      <c r="Q920">
        <v>12</v>
      </c>
      <c r="R920">
        <v>86</v>
      </c>
      <c r="S920">
        <v>9</v>
      </c>
      <c r="T920">
        <v>9</v>
      </c>
      <c r="U920">
        <v>18</v>
      </c>
      <c r="V920">
        <v>5</v>
      </c>
      <c r="W920">
        <v>3</v>
      </c>
      <c r="X920">
        <v>2</v>
      </c>
      <c r="Y920">
        <v>66</v>
      </c>
      <c r="Z920">
        <v>5</v>
      </c>
      <c r="AA920">
        <v>1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3</v>
      </c>
      <c r="AH920">
        <v>1</v>
      </c>
      <c r="AI920">
        <v>1</v>
      </c>
      <c r="AJ920">
        <v>0</v>
      </c>
      <c r="AK920">
        <v>4</v>
      </c>
      <c r="AL920">
        <v>2</v>
      </c>
      <c r="AM920">
        <v>0</v>
      </c>
      <c r="AN920">
        <v>2</v>
      </c>
      <c r="AT920">
        <v>0</v>
      </c>
      <c r="AU920">
        <v>10</v>
      </c>
      <c r="AV920">
        <v>239</v>
      </c>
      <c r="AW920">
        <v>239</v>
      </c>
      <c r="AX920">
        <v>507</v>
      </c>
      <c r="BA920">
        <v>1</v>
      </c>
      <c r="BC920" t="s">
        <v>1933</v>
      </c>
      <c r="BD920" s="4">
        <v>43283.255555555559</v>
      </c>
      <c r="BE920" s="4">
        <v>43283.282893518517</v>
      </c>
      <c r="BF920" s="4">
        <v>43283.282893518517</v>
      </c>
      <c r="BG920" t="s">
        <v>83</v>
      </c>
      <c r="BH920" t="s">
        <v>84</v>
      </c>
      <c r="BI920" t="s">
        <v>85</v>
      </c>
    </row>
    <row r="921" spans="1:61" x14ac:dyDescent="0.3">
      <c r="A921" t="str">
        <f>"201002C0100"</f>
        <v>201002C0100</v>
      </c>
      <c r="B921" t="s">
        <v>1934</v>
      </c>
      <c r="C921">
        <v>20</v>
      </c>
      <c r="D921" t="s">
        <v>79</v>
      </c>
      <c r="E921">
        <v>5</v>
      </c>
      <c r="F921" t="s">
        <v>1759</v>
      </c>
      <c r="G921">
        <v>1002</v>
      </c>
      <c r="H921">
        <v>1</v>
      </c>
      <c r="I921" t="s">
        <v>89</v>
      </c>
      <c r="J921">
        <v>0</v>
      </c>
      <c r="K921">
        <v>1</v>
      </c>
      <c r="L921">
        <v>2</v>
      </c>
      <c r="M921">
        <v>301</v>
      </c>
      <c r="N921">
        <v>228</v>
      </c>
      <c r="O921">
        <v>0</v>
      </c>
      <c r="P921">
        <v>228</v>
      </c>
      <c r="Q921">
        <v>27</v>
      </c>
      <c r="R921">
        <v>61</v>
      </c>
      <c r="S921">
        <v>10</v>
      </c>
      <c r="T921">
        <v>11</v>
      </c>
      <c r="U921">
        <v>9</v>
      </c>
      <c r="V921">
        <v>3</v>
      </c>
      <c r="W921">
        <v>0</v>
      </c>
      <c r="X921">
        <v>6</v>
      </c>
      <c r="Y921">
        <v>76</v>
      </c>
      <c r="Z921">
        <v>5</v>
      </c>
      <c r="AA921">
        <v>0</v>
      </c>
      <c r="AB921">
        <v>0</v>
      </c>
      <c r="AC921">
        <v>2</v>
      </c>
      <c r="AD921">
        <v>0</v>
      </c>
      <c r="AE921">
        <v>0</v>
      </c>
      <c r="AF921">
        <v>0</v>
      </c>
      <c r="AG921">
        <v>2</v>
      </c>
      <c r="AH921">
        <v>1</v>
      </c>
      <c r="AI921">
        <v>0</v>
      </c>
      <c r="AJ921">
        <v>0</v>
      </c>
      <c r="AK921">
        <v>2</v>
      </c>
      <c r="AL921">
        <v>0</v>
      </c>
      <c r="AM921">
        <v>0</v>
      </c>
      <c r="AN921">
        <v>0</v>
      </c>
      <c r="AT921">
        <v>0</v>
      </c>
      <c r="AU921">
        <v>13</v>
      </c>
      <c r="AV921">
        <v>228</v>
      </c>
      <c r="AW921">
        <v>228</v>
      </c>
      <c r="AX921">
        <v>507</v>
      </c>
      <c r="BA921">
        <v>1</v>
      </c>
      <c r="BC921" t="s">
        <v>1935</v>
      </c>
      <c r="BD921" s="4">
        <v>43283.255555555559</v>
      </c>
      <c r="BE921" s="4">
        <v>43283.281608796293</v>
      </c>
      <c r="BF921" s="4">
        <v>43283.281608796293</v>
      </c>
      <c r="BG921" t="s">
        <v>83</v>
      </c>
      <c r="BH921" t="s">
        <v>84</v>
      </c>
      <c r="BI921" t="s">
        <v>85</v>
      </c>
    </row>
    <row r="922" spans="1:61" x14ac:dyDescent="0.3">
      <c r="A922" t="str">
        <f>"201134B0100"</f>
        <v>201134B0100</v>
      </c>
      <c r="B922" t="s">
        <v>1936</v>
      </c>
      <c r="C922">
        <v>20</v>
      </c>
      <c r="D922" t="s">
        <v>79</v>
      </c>
      <c r="E922">
        <v>5</v>
      </c>
      <c r="F922" t="s">
        <v>1759</v>
      </c>
      <c r="G922">
        <v>1134</v>
      </c>
      <c r="H922">
        <v>1</v>
      </c>
      <c r="I922" t="s">
        <v>81</v>
      </c>
      <c r="J922">
        <v>0</v>
      </c>
      <c r="K922">
        <v>1</v>
      </c>
      <c r="L922">
        <v>2</v>
      </c>
      <c r="M922">
        <v>257</v>
      </c>
      <c r="N922">
        <v>308</v>
      </c>
      <c r="O922">
        <v>1</v>
      </c>
      <c r="P922">
        <v>308</v>
      </c>
      <c r="Q922">
        <v>17</v>
      </c>
      <c r="R922">
        <v>37</v>
      </c>
      <c r="S922">
        <v>9</v>
      </c>
      <c r="T922">
        <v>7</v>
      </c>
      <c r="U922">
        <v>76</v>
      </c>
      <c r="V922">
        <v>5</v>
      </c>
      <c r="W922">
        <v>44</v>
      </c>
      <c r="X922">
        <v>5</v>
      </c>
      <c r="Y922">
        <v>52</v>
      </c>
      <c r="Z922">
        <v>6</v>
      </c>
      <c r="AA922" t="s">
        <v>100</v>
      </c>
      <c r="AB922" t="s">
        <v>100</v>
      </c>
      <c r="AC922">
        <v>1</v>
      </c>
      <c r="AD922" t="s">
        <v>100</v>
      </c>
      <c r="AE922" t="s">
        <v>100</v>
      </c>
      <c r="AF922" t="s">
        <v>100</v>
      </c>
      <c r="AG922">
        <v>1</v>
      </c>
      <c r="AH922">
        <v>2</v>
      </c>
      <c r="AI922" t="s">
        <v>100</v>
      </c>
      <c r="AJ922" t="s">
        <v>100</v>
      </c>
      <c r="AK922">
        <v>3</v>
      </c>
      <c r="AL922">
        <v>4</v>
      </c>
      <c r="AM922">
        <v>2</v>
      </c>
      <c r="AN922" t="s">
        <v>100</v>
      </c>
      <c r="AT922" t="s">
        <v>100</v>
      </c>
      <c r="AU922">
        <v>37</v>
      </c>
      <c r="AV922">
        <v>308</v>
      </c>
      <c r="AW922">
        <v>308</v>
      </c>
      <c r="AX922">
        <v>543</v>
      </c>
      <c r="AZ922" t="s">
        <v>101</v>
      </c>
      <c r="BA922">
        <v>1</v>
      </c>
      <c r="BC922" t="s">
        <v>1937</v>
      </c>
      <c r="BD922" s="4">
        <v>43283.29791666667</v>
      </c>
      <c r="BE922" s="4">
        <v>43283.325636574074</v>
      </c>
      <c r="BF922" s="4">
        <v>43283.325636574074</v>
      </c>
      <c r="BG922" t="s">
        <v>83</v>
      </c>
      <c r="BH922" t="s">
        <v>84</v>
      </c>
      <c r="BI922" t="s">
        <v>85</v>
      </c>
    </row>
    <row r="923" spans="1:61" x14ac:dyDescent="0.3">
      <c r="A923" t="str">
        <f>"201135B0100"</f>
        <v>201135B0100</v>
      </c>
      <c r="B923" t="s">
        <v>1938</v>
      </c>
      <c r="C923">
        <v>20</v>
      </c>
      <c r="D923" t="s">
        <v>79</v>
      </c>
      <c r="E923">
        <v>5</v>
      </c>
      <c r="F923" t="s">
        <v>1759</v>
      </c>
      <c r="G923">
        <v>1135</v>
      </c>
      <c r="H923">
        <v>1</v>
      </c>
      <c r="I923" t="s">
        <v>81</v>
      </c>
      <c r="J923">
        <v>0</v>
      </c>
      <c r="K923">
        <v>2</v>
      </c>
      <c r="L923">
        <v>2</v>
      </c>
      <c r="M923">
        <v>146</v>
      </c>
      <c r="N923">
        <v>335</v>
      </c>
      <c r="O923">
        <v>0</v>
      </c>
      <c r="P923">
        <v>189</v>
      </c>
      <c r="Q923">
        <v>4</v>
      </c>
      <c r="R923">
        <v>40</v>
      </c>
      <c r="S923">
        <v>11</v>
      </c>
      <c r="T923">
        <v>7</v>
      </c>
      <c r="U923">
        <v>46</v>
      </c>
      <c r="V923">
        <v>4</v>
      </c>
      <c r="W923">
        <v>26</v>
      </c>
      <c r="X923">
        <v>3</v>
      </c>
      <c r="Y923">
        <v>28</v>
      </c>
      <c r="Z923">
        <v>4</v>
      </c>
      <c r="AA923">
        <v>1</v>
      </c>
      <c r="AB923" t="s">
        <v>315</v>
      </c>
      <c r="AC923">
        <v>0</v>
      </c>
      <c r="AD923">
        <v>0</v>
      </c>
      <c r="AE923">
        <v>0</v>
      </c>
      <c r="AF923">
        <v>0</v>
      </c>
      <c r="AG923">
        <v>1</v>
      </c>
      <c r="AH923">
        <v>2</v>
      </c>
      <c r="AI923">
        <v>0</v>
      </c>
      <c r="AJ923">
        <v>0</v>
      </c>
      <c r="AK923">
        <v>2</v>
      </c>
      <c r="AL923">
        <v>0</v>
      </c>
      <c r="AM923">
        <v>0</v>
      </c>
      <c r="AN923">
        <v>0</v>
      </c>
      <c r="AT923">
        <v>0</v>
      </c>
      <c r="AU923">
        <v>9</v>
      </c>
      <c r="AV923">
        <v>189</v>
      </c>
      <c r="AW923">
        <v>188</v>
      </c>
      <c r="AX923">
        <v>313</v>
      </c>
      <c r="AZ923" t="s">
        <v>101</v>
      </c>
      <c r="BA923">
        <v>1</v>
      </c>
      <c r="BC923" t="s">
        <v>1939</v>
      </c>
      <c r="BD923" s="4">
        <v>43283.304861111108</v>
      </c>
      <c r="BE923" s="4">
        <v>43283.349131944444</v>
      </c>
      <c r="BF923" s="4">
        <v>43283.349131944444</v>
      </c>
      <c r="BG923" t="s">
        <v>83</v>
      </c>
      <c r="BH923" t="s">
        <v>84</v>
      </c>
      <c r="BI923" t="s">
        <v>85</v>
      </c>
    </row>
    <row r="924" spans="1:61" x14ac:dyDescent="0.3">
      <c r="A924" t="str">
        <f>"201219B0100"</f>
        <v>201219B0100</v>
      </c>
      <c r="B924" t="s">
        <v>1940</v>
      </c>
      <c r="C924">
        <v>20</v>
      </c>
      <c r="D924" t="s">
        <v>79</v>
      </c>
      <c r="E924">
        <v>5</v>
      </c>
      <c r="F924" t="s">
        <v>1759</v>
      </c>
      <c r="G924">
        <v>1219</v>
      </c>
      <c r="H924">
        <v>1</v>
      </c>
      <c r="I924" t="s">
        <v>81</v>
      </c>
      <c r="J924">
        <v>0</v>
      </c>
      <c r="K924">
        <v>2</v>
      </c>
      <c r="L924">
        <v>2</v>
      </c>
      <c r="M924">
        <v>167</v>
      </c>
      <c r="N924">
        <v>272</v>
      </c>
      <c r="O924">
        <v>0</v>
      </c>
      <c r="P924">
        <v>272</v>
      </c>
      <c r="Q924">
        <v>32</v>
      </c>
      <c r="R924">
        <v>29</v>
      </c>
      <c r="S924">
        <v>55</v>
      </c>
      <c r="T924">
        <v>4</v>
      </c>
      <c r="U924">
        <v>36</v>
      </c>
      <c r="V924">
        <v>12</v>
      </c>
      <c r="W924">
        <v>6</v>
      </c>
      <c r="X924">
        <v>1</v>
      </c>
      <c r="Y924">
        <v>74</v>
      </c>
      <c r="Z924">
        <v>5</v>
      </c>
      <c r="AA924">
        <v>1</v>
      </c>
      <c r="AB924">
        <v>0</v>
      </c>
      <c r="AC924">
        <v>1</v>
      </c>
      <c r="AD924">
        <v>1</v>
      </c>
      <c r="AE924">
        <v>0</v>
      </c>
      <c r="AF924">
        <v>2</v>
      </c>
      <c r="AG924">
        <v>0</v>
      </c>
      <c r="AH924">
        <v>0</v>
      </c>
      <c r="AI924">
        <v>0</v>
      </c>
      <c r="AJ924">
        <v>0</v>
      </c>
      <c r="AK924">
        <v>2</v>
      </c>
      <c r="AL924">
        <v>2</v>
      </c>
      <c r="AM924">
        <v>0</v>
      </c>
      <c r="AN924">
        <v>1</v>
      </c>
      <c r="AT924">
        <v>0</v>
      </c>
      <c r="AU924">
        <v>8</v>
      </c>
      <c r="AV924" t="s">
        <v>315</v>
      </c>
      <c r="AW924">
        <v>272</v>
      </c>
      <c r="AX924">
        <v>417</v>
      </c>
      <c r="BA924">
        <v>1</v>
      </c>
      <c r="BC924" t="s">
        <v>1941</v>
      </c>
      <c r="BD924" s="4">
        <v>43283.295138888891</v>
      </c>
      <c r="BE924" s="4">
        <v>43283.323993055557</v>
      </c>
      <c r="BF924" s="4">
        <v>43283.323993055557</v>
      </c>
      <c r="BG924" t="s">
        <v>83</v>
      </c>
      <c r="BH924" t="s">
        <v>84</v>
      </c>
      <c r="BI924" t="s">
        <v>85</v>
      </c>
    </row>
    <row r="925" spans="1:61" x14ac:dyDescent="0.3">
      <c r="A925" t="str">
        <f>"201219E0100"</f>
        <v>201219E0100</v>
      </c>
      <c r="B925" s="2" t="s">
        <v>1942</v>
      </c>
      <c r="C925">
        <v>20</v>
      </c>
      <c r="D925" t="s">
        <v>79</v>
      </c>
      <c r="E925">
        <v>5</v>
      </c>
      <c r="F925" t="s">
        <v>1759</v>
      </c>
      <c r="G925">
        <v>1219</v>
      </c>
      <c r="H925">
        <v>1</v>
      </c>
      <c r="I925" t="s">
        <v>145</v>
      </c>
      <c r="J925">
        <v>0</v>
      </c>
      <c r="K925">
        <v>2</v>
      </c>
      <c r="L925">
        <v>2</v>
      </c>
      <c r="M925">
        <v>99</v>
      </c>
      <c r="N925">
        <v>114</v>
      </c>
      <c r="O925">
        <v>7</v>
      </c>
      <c r="P925">
        <v>114</v>
      </c>
      <c r="Q925">
        <v>5</v>
      </c>
      <c r="R925">
        <v>16</v>
      </c>
      <c r="S925">
        <v>9</v>
      </c>
      <c r="T925">
        <v>2</v>
      </c>
      <c r="U925">
        <v>19</v>
      </c>
      <c r="V925">
        <v>8</v>
      </c>
      <c r="W925">
        <v>0</v>
      </c>
      <c r="X925">
        <v>6</v>
      </c>
      <c r="Y925">
        <v>38</v>
      </c>
      <c r="Z925">
        <v>1</v>
      </c>
      <c r="AA925">
        <v>1</v>
      </c>
      <c r="AB925">
        <v>1</v>
      </c>
      <c r="AC925">
        <v>0</v>
      </c>
      <c r="AD925">
        <v>0</v>
      </c>
      <c r="AE925">
        <v>0</v>
      </c>
      <c r="AF925">
        <v>0</v>
      </c>
      <c r="AG925">
        <v>1</v>
      </c>
      <c r="AH925">
        <v>0</v>
      </c>
      <c r="AI925">
        <v>0</v>
      </c>
      <c r="AJ925">
        <v>0</v>
      </c>
      <c r="AK925">
        <v>1</v>
      </c>
      <c r="AL925">
        <v>3</v>
      </c>
      <c r="AM925">
        <v>0</v>
      </c>
      <c r="AN925">
        <v>0</v>
      </c>
      <c r="AT925">
        <v>0</v>
      </c>
      <c r="AU925">
        <v>3</v>
      </c>
      <c r="AV925">
        <v>114</v>
      </c>
      <c r="AW925">
        <v>114</v>
      </c>
      <c r="AX925">
        <v>191</v>
      </c>
      <c r="BA925">
        <v>1</v>
      </c>
      <c r="BC925" t="s">
        <v>1943</v>
      </c>
      <c r="BD925" s="4">
        <v>43283.295138888891</v>
      </c>
      <c r="BE925" s="4">
        <v>43283.323657407411</v>
      </c>
      <c r="BF925" s="4">
        <v>43283.323657407411</v>
      </c>
      <c r="BG925" t="s">
        <v>83</v>
      </c>
      <c r="BH925" t="s">
        <v>84</v>
      </c>
      <c r="BI925" t="s">
        <v>85</v>
      </c>
    </row>
    <row r="926" spans="1:61" x14ac:dyDescent="0.3">
      <c r="A926" t="str">
        <f>"201221B0100"</f>
        <v>201221B0100</v>
      </c>
      <c r="B926" t="s">
        <v>1944</v>
      </c>
      <c r="C926">
        <v>20</v>
      </c>
      <c r="D926" t="s">
        <v>79</v>
      </c>
      <c r="E926">
        <v>5</v>
      </c>
      <c r="F926" t="s">
        <v>1759</v>
      </c>
      <c r="G926">
        <v>1221</v>
      </c>
      <c r="H926">
        <v>1</v>
      </c>
      <c r="I926" t="s">
        <v>81</v>
      </c>
      <c r="J926">
        <v>0</v>
      </c>
      <c r="K926">
        <v>2</v>
      </c>
      <c r="L926">
        <v>2</v>
      </c>
      <c r="M926">
        <v>99</v>
      </c>
      <c r="N926">
        <v>143</v>
      </c>
      <c r="O926">
        <v>0</v>
      </c>
      <c r="P926">
        <v>143</v>
      </c>
      <c r="Q926">
        <v>8</v>
      </c>
      <c r="R926">
        <v>50</v>
      </c>
      <c r="S926">
        <v>2</v>
      </c>
      <c r="T926">
        <v>1</v>
      </c>
      <c r="U926">
        <v>17</v>
      </c>
      <c r="V926">
        <v>2</v>
      </c>
      <c r="W926">
        <v>0</v>
      </c>
      <c r="X926">
        <v>1</v>
      </c>
      <c r="Y926">
        <v>37</v>
      </c>
      <c r="Z926">
        <v>0</v>
      </c>
      <c r="AA926">
        <v>0</v>
      </c>
      <c r="AB926">
        <v>1</v>
      </c>
      <c r="AC926">
        <v>1</v>
      </c>
      <c r="AD926">
        <v>1</v>
      </c>
      <c r="AE926">
        <v>0</v>
      </c>
      <c r="AF926">
        <v>0</v>
      </c>
      <c r="AG926">
        <v>5</v>
      </c>
      <c r="AH926">
        <v>0</v>
      </c>
      <c r="AI926">
        <v>0</v>
      </c>
      <c r="AJ926">
        <v>0</v>
      </c>
      <c r="AK926">
        <v>8</v>
      </c>
      <c r="AL926">
        <v>0</v>
      </c>
      <c r="AM926">
        <v>0</v>
      </c>
      <c r="AN926">
        <v>0</v>
      </c>
      <c r="AT926">
        <v>0</v>
      </c>
      <c r="AU926">
        <v>8</v>
      </c>
      <c r="AV926">
        <v>143</v>
      </c>
      <c r="AW926">
        <v>142</v>
      </c>
      <c r="AX926">
        <v>220</v>
      </c>
      <c r="BA926">
        <v>1</v>
      </c>
      <c r="BC926" t="s">
        <v>1945</v>
      </c>
      <c r="BD926" s="4">
        <v>43283.161805555559</v>
      </c>
      <c r="BE926" s="4">
        <v>43283.173425925925</v>
      </c>
      <c r="BF926" s="4">
        <v>43283.173425925925</v>
      </c>
      <c r="BG926" t="s">
        <v>83</v>
      </c>
      <c r="BH926" t="s">
        <v>84</v>
      </c>
      <c r="BI926" t="s">
        <v>85</v>
      </c>
    </row>
    <row r="927" spans="1:61" x14ac:dyDescent="0.3">
      <c r="A927" t="str">
        <f>"201221E0100"</f>
        <v>201221E0100</v>
      </c>
      <c r="B927" s="2" t="s">
        <v>1946</v>
      </c>
      <c r="C927">
        <v>20</v>
      </c>
      <c r="D927" t="s">
        <v>79</v>
      </c>
      <c r="E927">
        <v>5</v>
      </c>
      <c r="F927" t="s">
        <v>1759</v>
      </c>
      <c r="G927">
        <v>1221</v>
      </c>
      <c r="H927">
        <v>1</v>
      </c>
      <c r="I927" t="s">
        <v>145</v>
      </c>
      <c r="J927">
        <v>0</v>
      </c>
      <c r="K927">
        <v>2</v>
      </c>
      <c r="L927">
        <v>2</v>
      </c>
      <c r="AX927">
        <v>281</v>
      </c>
      <c r="AZ927" t="s">
        <v>156</v>
      </c>
      <c r="BA927">
        <v>0</v>
      </c>
      <c r="BC927" t="s">
        <v>1947</v>
      </c>
      <c r="BD927" s="4">
        <v>43283.621527777781</v>
      </c>
      <c r="BE927" s="4">
        <v>43283.627974537034</v>
      </c>
      <c r="BF927" s="4">
        <v>43283.627974537034</v>
      </c>
      <c r="BG927" t="s">
        <v>83</v>
      </c>
      <c r="BH927" t="s">
        <v>84</v>
      </c>
      <c r="BI927" t="s">
        <v>85</v>
      </c>
    </row>
    <row r="928" spans="1:61" x14ac:dyDescent="0.3">
      <c r="A928" t="str">
        <f>"201222B0100"</f>
        <v>201222B0100</v>
      </c>
      <c r="B928" t="s">
        <v>1948</v>
      </c>
      <c r="C928">
        <v>20</v>
      </c>
      <c r="D928" t="s">
        <v>79</v>
      </c>
      <c r="E928">
        <v>5</v>
      </c>
      <c r="F928" t="s">
        <v>1759</v>
      </c>
      <c r="G928">
        <v>1222</v>
      </c>
      <c r="H928">
        <v>1</v>
      </c>
      <c r="I928" t="s">
        <v>81</v>
      </c>
      <c r="J928">
        <v>0</v>
      </c>
      <c r="K928">
        <v>2</v>
      </c>
      <c r="L928">
        <v>2</v>
      </c>
      <c r="M928">
        <v>302</v>
      </c>
      <c r="N928">
        <v>471</v>
      </c>
      <c r="O928">
        <v>0</v>
      </c>
      <c r="P928">
        <v>171</v>
      </c>
      <c r="Q928">
        <v>5</v>
      </c>
      <c r="R928">
        <v>15</v>
      </c>
      <c r="S928">
        <v>6</v>
      </c>
      <c r="T928">
        <v>0</v>
      </c>
      <c r="U928">
        <v>37</v>
      </c>
      <c r="V928">
        <v>0</v>
      </c>
      <c r="W928">
        <v>24</v>
      </c>
      <c r="X928">
        <v>1</v>
      </c>
      <c r="Y928">
        <v>56</v>
      </c>
      <c r="Z928">
        <v>5</v>
      </c>
      <c r="AA928">
        <v>0</v>
      </c>
      <c r="AB928">
        <v>1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5</v>
      </c>
      <c r="AL928">
        <v>3</v>
      </c>
      <c r="AM928">
        <v>1</v>
      </c>
      <c r="AN928">
        <v>0</v>
      </c>
      <c r="AT928">
        <v>0</v>
      </c>
      <c r="AU928">
        <v>12</v>
      </c>
      <c r="AV928">
        <v>171</v>
      </c>
      <c r="AW928">
        <v>171</v>
      </c>
      <c r="AX928">
        <v>451</v>
      </c>
      <c r="BA928">
        <v>1</v>
      </c>
      <c r="BC928" t="s">
        <v>1949</v>
      </c>
      <c r="BD928" s="4">
        <v>43283.165972222225</v>
      </c>
      <c r="BE928" s="4">
        <v>43283.180011574077</v>
      </c>
      <c r="BF928" s="4">
        <v>43283.180011574077</v>
      </c>
      <c r="BG928" t="s">
        <v>83</v>
      </c>
      <c r="BH928" t="s">
        <v>84</v>
      </c>
      <c r="BI928" t="s">
        <v>85</v>
      </c>
    </row>
    <row r="929" spans="1:61" x14ac:dyDescent="0.3">
      <c r="A929" t="str">
        <f>"201223B0100"</f>
        <v>201223B0100</v>
      </c>
      <c r="B929" t="s">
        <v>1950</v>
      </c>
      <c r="C929">
        <v>20</v>
      </c>
      <c r="D929" t="s">
        <v>79</v>
      </c>
      <c r="E929">
        <v>5</v>
      </c>
      <c r="F929" t="s">
        <v>1759</v>
      </c>
      <c r="G929">
        <v>1223</v>
      </c>
      <c r="H929">
        <v>1</v>
      </c>
      <c r="I929" t="s">
        <v>81</v>
      </c>
      <c r="J929">
        <v>0</v>
      </c>
      <c r="K929">
        <v>2</v>
      </c>
      <c r="L929">
        <v>2</v>
      </c>
      <c r="M929">
        <v>303</v>
      </c>
      <c r="N929">
        <v>196</v>
      </c>
      <c r="O929">
        <v>7</v>
      </c>
      <c r="P929">
        <v>196</v>
      </c>
      <c r="Q929">
        <v>9</v>
      </c>
      <c r="R929">
        <v>64</v>
      </c>
      <c r="S929">
        <v>18</v>
      </c>
      <c r="T929">
        <v>2</v>
      </c>
      <c r="U929">
        <v>27</v>
      </c>
      <c r="V929">
        <v>3</v>
      </c>
      <c r="W929">
        <v>4</v>
      </c>
      <c r="X929">
        <v>3</v>
      </c>
      <c r="Y929">
        <v>48</v>
      </c>
      <c r="Z929">
        <v>3</v>
      </c>
      <c r="AA929">
        <v>1</v>
      </c>
      <c r="AB929">
        <v>1</v>
      </c>
      <c r="AC929">
        <v>1</v>
      </c>
      <c r="AD929">
        <v>0</v>
      </c>
      <c r="AE929">
        <v>0</v>
      </c>
      <c r="AF929">
        <v>0</v>
      </c>
      <c r="AG929">
        <v>3</v>
      </c>
      <c r="AH929">
        <v>1</v>
      </c>
      <c r="AI929">
        <v>1</v>
      </c>
      <c r="AJ929">
        <v>0</v>
      </c>
      <c r="AK929">
        <v>0</v>
      </c>
      <c r="AL929">
        <v>0</v>
      </c>
      <c r="AM929">
        <v>3</v>
      </c>
      <c r="AN929">
        <v>0</v>
      </c>
      <c r="AT929">
        <v>1</v>
      </c>
      <c r="AU929" t="s">
        <v>100</v>
      </c>
      <c r="AV929" t="s">
        <v>100</v>
      </c>
      <c r="AW929">
        <v>193</v>
      </c>
      <c r="AX929">
        <v>477</v>
      </c>
      <c r="AZ929" t="s">
        <v>101</v>
      </c>
      <c r="BA929">
        <v>1</v>
      </c>
      <c r="BC929" t="s">
        <v>1951</v>
      </c>
      <c r="BD929" s="4">
        <v>43283.234027777777</v>
      </c>
      <c r="BE929" s="4">
        <v>43283.269583333335</v>
      </c>
      <c r="BF929" s="4">
        <v>43283.269583333335</v>
      </c>
      <c r="BG929" t="s">
        <v>83</v>
      </c>
      <c r="BH929" t="s">
        <v>84</v>
      </c>
      <c r="BI929" t="s">
        <v>85</v>
      </c>
    </row>
    <row r="930" spans="1:61" x14ac:dyDescent="0.3">
      <c r="A930" t="str">
        <f>"201223E0100"</f>
        <v>201223E0100</v>
      </c>
      <c r="B930" s="2" t="s">
        <v>1952</v>
      </c>
      <c r="C930">
        <v>20</v>
      </c>
      <c r="D930" t="s">
        <v>79</v>
      </c>
      <c r="E930">
        <v>5</v>
      </c>
      <c r="F930" t="s">
        <v>1759</v>
      </c>
      <c r="G930">
        <v>1223</v>
      </c>
      <c r="H930">
        <v>1</v>
      </c>
      <c r="I930" t="s">
        <v>145</v>
      </c>
      <c r="J930">
        <v>0</v>
      </c>
      <c r="K930">
        <v>2</v>
      </c>
      <c r="L930">
        <v>2</v>
      </c>
      <c r="AX930">
        <v>274</v>
      </c>
      <c r="AZ930" t="s">
        <v>156</v>
      </c>
      <c r="BA930">
        <v>0</v>
      </c>
      <c r="BC930" t="s">
        <v>1953</v>
      </c>
      <c r="BD930" s="4">
        <v>43283.621527777781</v>
      </c>
      <c r="BE930" s="4">
        <v>43283.626689814817</v>
      </c>
      <c r="BF930" s="4">
        <v>43283.626689814817</v>
      </c>
      <c r="BG930" t="s">
        <v>83</v>
      </c>
      <c r="BH930" t="s">
        <v>84</v>
      </c>
      <c r="BI930" t="s">
        <v>85</v>
      </c>
    </row>
    <row r="931" spans="1:61" x14ac:dyDescent="0.3">
      <c r="A931" t="str">
        <f>"201224B0100"</f>
        <v>201224B0100</v>
      </c>
      <c r="B931" t="s">
        <v>1954</v>
      </c>
      <c r="C931">
        <v>20</v>
      </c>
      <c r="D931" t="s">
        <v>79</v>
      </c>
      <c r="E931">
        <v>5</v>
      </c>
      <c r="F931" t="s">
        <v>1759</v>
      </c>
      <c r="G931">
        <v>1224</v>
      </c>
      <c r="H931">
        <v>1</v>
      </c>
      <c r="I931" t="s">
        <v>81</v>
      </c>
      <c r="J931">
        <v>0</v>
      </c>
      <c r="K931">
        <v>2</v>
      </c>
      <c r="L931">
        <v>2</v>
      </c>
      <c r="M931">
        <v>131</v>
      </c>
      <c r="N931">
        <v>348</v>
      </c>
      <c r="O931">
        <v>0</v>
      </c>
      <c r="P931">
        <v>217</v>
      </c>
      <c r="Q931">
        <v>5</v>
      </c>
      <c r="R931">
        <v>26</v>
      </c>
      <c r="S931">
        <v>59</v>
      </c>
      <c r="T931">
        <v>1</v>
      </c>
      <c r="U931">
        <v>21</v>
      </c>
      <c r="V931">
        <v>4</v>
      </c>
      <c r="W931">
        <v>9</v>
      </c>
      <c r="X931">
        <v>1</v>
      </c>
      <c r="Y931">
        <v>79</v>
      </c>
      <c r="Z931">
        <v>1</v>
      </c>
      <c r="AA931" t="s">
        <v>100</v>
      </c>
      <c r="AB931" t="s">
        <v>100</v>
      </c>
      <c r="AC931">
        <v>1</v>
      </c>
      <c r="AD931" t="s">
        <v>100</v>
      </c>
      <c r="AE931" t="s">
        <v>100</v>
      </c>
      <c r="AF931" t="s">
        <v>100</v>
      </c>
      <c r="AG931" t="s">
        <v>100</v>
      </c>
      <c r="AH931" t="s">
        <v>100</v>
      </c>
      <c r="AI931" t="s">
        <v>100</v>
      </c>
      <c r="AJ931" t="s">
        <v>100</v>
      </c>
      <c r="AK931" t="s">
        <v>100</v>
      </c>
      <c r="AL931">
        <v>3</v>
      </c>
      <c r="AM931" t="s">
        <v>100</v>
      </c>
      <c r="AN931" t="s">
        <v>100</v>
      </c>
      <c r="AT931" t="s">
        <v>100</v>
      </c>
      <c r="AU931">
        <v>7</v>
      </c>
      <c r="AV931">
        <v>217</v>
      </c>
      <c r="AW931">
        <v>217</v>
      </c>
      <c r="AX931">
        <v>326</v>
      </c>
      <c r="AZ931" t="s">
        <v>101</v>
      </c>
      <c r="BA931">
        <v>1</v>
      </c>
      <c r="BC931" t="s">
        <v>1955</v>
      </c>
      <c r="BD931" s="4">
        <v>43283.431944444441</v>
      </c>
      <c r="BE931" s="4">
        <v>43283.436145833337</v>
      </c>
      <c r="BF931" s="4">
        <v>43283.436145833337</v>
      </c>
      <c r="BG931" t="s">
        <v>83</v>
      </c>
      <c r="BH931" t="s">
        <v>84</v>
      </c>
      <c r="BI931" t="s">
        <v>548</v>
      </c>
    </row>
    <row r="932" spans="1:61" x14ac:dyDescent="0.3">
      <c r="A932" t="str">
        <f>"201224E0100"</f>
        <v>201224E0100</v>
      </c>
      <c r="B932" s="2" t="s">
        <v>1956</v>
      </c>
      <c r="C932">
        <v>20</v>
      </c>
      <c r="D932" t="s">
        <v>79</v>
      </c>
      <c r="E932">
        <v>5</v>
      </c>
      <c r="F932" t="s">
        <v>1759</v>
      </c>
      <c r="G932">
        <v>1224</v>
      </c>
      <c r="H932">
        <v>1</v>
      </c>
      <c r="I932" t="s">
        <v>145</v>
      </c>
      <c r="J932">
        <v>0</v>
      </c>
      <c r="K932">
        <v>2</v>
      </c>
      <c r="L932">
        <v>2</v>
      </c>
      <c r="M932">
        <v>148</v>
      </c>
      <c r="N932">
        <v>83</v>
      </c>
      <c r="O932">
        <v>5</v>
      </c>
      <c r="P932">
        <v>83</v>
      </c>
      <c r="Q932">
        <v>4</v>
      </c>
      <c r="R932">
        <v>5</v>
      </c>
      <c r="S932">
        <v>3</v>
      </c>
      <c r="T932">
        <v>1</v>
      </c>
      <c r="U932">
        <v>32</v>
      </c>
      <c r="V932">
        <v>3</v>
      </c>
      <c r="W932">
        <v>3</v>
      </c>
      <c r="X932">
        <v>1</v>
      </c>
      <c r="Y932">
        <v>20</v>
      </c>
      <c r="Z932">
        <v>2</v>
      </c>
      <c r="AA932">
        <v>1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3</v>
      </c>
      <c r="AL932">
        <v>0</v>
      </c>
      <c r="AM932">
        <v>2</v>
      </c>
      <c r="AN932">
        <v>0</v>
      </c>
      <c r="AT932">
        <v>0</v>
      </c>
      <c r="AU932">
        <v>3</v>
      </c>
      <c r="AV932">
        <v>83</v>
      </c>
      <c r="AW932">
        <v>83</v>
      </c>
      <c r="AX932">
        <v>209</v>
      </c>
      <c r="BA932">
        <v>1</v>
      </c>
      <c r="BC932" t="s">
        <v>1957</v>
      </c>
      <c r="BD932" s="4">
        <v>43283.165972222225</v>
      </c>
      <c r="BE932" s="4">
        <v>43283.178587962961</v>
      </c>
      <c r="BF932" s="4">
        <v>43283.178587962961</v>
      </c>
      <c r="BG932" t="s">
        <v>83</v>
      </c>
      <c r="BH932" t="s">
        <v>84</v>
      </c>
      <c r="BI932" t="s">
        <v>85</v>
      </c>
    </row>
    <row r="933" spans="1:61" x14ac:dyDescent="0.3">
      <c r="A933" t="str">
        <f>"201232B0100"</f>
        <v>201232B0100</v>
      </c>
      <c r="B933" t="s">
        <v>1958</v>
      </c>
      <c r="C933">
        <v>20</v>
      </c>
      <c r="D933" t="s">
        <v>79</v>
      </c>
      <c r="E933">
        <v>5</v>
      </c>
      <c r="F933" t="s">
        <v>1759</v>
      </c>
      <c r="G933">
        <v>1232</v>
      </c>
      <c r="H933">
        <v>1</v>
      </c>
      <c r="I933" t="s">
        <v>81</v>
      </c>
      <c r="J933">
        <v>0</v>
      </c>
      <c r="K933">
        <v>2</v>
      </c>
      <c r="L933">
        <v>2</v>
      </c>
      <c r="M933">
        <v>203</v>
      </c>
      <c r="N933">
        <v>333</v>
      </c>
      <c r="O933">
        <v>8</v>
      </c>
      <c r="P933">
        <v>333</v>
      </c>
      <c r="Q933">
        <v>5</v>
      </c>
      <c r="R933">
        <v>84</v>
      </c>
      <c r="S933">
        <v>10</v>
      </c>
      <c r="T933">
        <v>7</v>
      </c>
      <c r="U933">
        <v>13</v>
      </c>
      <c r="V933">
        <v>2</v>
      </c>
      <c r="W933">
        <v>2</v>
      </c>
      <c r="X933">
        <v>9</v>
      </c>
      <c r="Y933">
        <v>170</v>
      </c>
      <c r="Z933">
        <v>3</v>
      </c>
      <c r="AA933">
        <v>2</v>
      </c>
      <c r="AB933">
        <v>1</v>
      </c>
      <c r="AC933">
        <v>0</v>
      </c>
      <c r="AD933">
        <v>0</v>
      </c>
      <c r="AE933">
        <v>0</v>
      </c>
      <c r="AF933">
        <v>0</v>
      </c>
      <c r="AG933">
        <v>2</v>
      </c>
      <c r="AH933">
        <v>2</v>
      </c>
      <c r="AI933">
        <v>0</v>
      </c>
      <c r="AJ933">
        <v>0</v>
      </c>
      <c r="AK933">
        <v>4</v>
      </c>
      <c r="AL933">
        <v>0</v>
      </c>
      <c r="AM933">
        <v>1</v>
      </c>
      <c r="AN933">
        <v>1</v>
      </c>
      <c r="AT933">
        <v>0</v>
      </c>
      <c r="AU933">
        <v>15</v>
      </c>
      <c r="AV933">
        <v>333</v>
      </c>
      <c r="AW933">
        <v>333</v>
      </c>
      <c r="AX933">
        <v>514</v>
      </c>
      <c r="BA933">
        <v>1</v>
      </c>
      <c r="BC933" t="s">
        <v>1959</v>
      </c>
      <c r="BD933" s="4">
        <v>43283.099305555559</v>
      </c>
      <c r="BE933" s="4">
        <v>43283.105011574073</v>
      </c>
      <c r="BF933" s="4">
        <v>43283.105011574073</v>
      </c>
      <c r="BG933" t="s">
        <v>83</v>
      </c>
      <c r="BH933" t="s">
        <v>84</v>
      </c>
      <c r="BI933" t="s">
        <v>85</v>
      </c>
    </row>
    <row r="934" spans="1:61" x14ac:dyDescent="0.3">
      <c r="A934" t="str">
        <f>"201232E0100"</f>
        <v>201232E0100</v>
      </c>
      <c r="B934" s="2" t="s">
        <v>1960</v>
      </c>
      <c r="C934">
        <v>20</v>
      </c>
      <c r="D934" t="s">
        <v>79</v>
      </c>
      <c r="E934">
        <v>5</v>
      </c>
      <c r="F934" t="s">
        <v>1759</v>
      </c>
      <c r="G934">
        <v>1232</v>
      </c>
      <c r="H934">
        <v>1</v>
      </c>
      <c r="I934" t="s">
        <v>145</v>
      </c>
      <c r="J934">
        <v>0</v>
      </c>
      <c r="K934">
        <v>2</v>
      </c>
      <c r="L934">
        <v>2</v>
      </c>
      <c r="M934">
        <v>86</v>
      </c>
      <c r="N934">
        <v>94</v>
      </c>
      <c r="O934">
        <v>9</v>
      </c>
      <c r="P934">
        <v>94</v>
      </c>
      <c r="Q934">
        <v>3</v>
      </c>
      <c r="R934">
        <v>32</v>
      </c>
      <c r="S934">
        <v>4</v>
      </c>
      <c r="T934">
        <v>1</v>
      </c>
      <c r="U934">
        <v>9</v>
      </c>
      <c r="V934">
        <v>2</v>
      </c>
      <c r="W934">
        <v>0</v>
      </c>
      <c r="X934">
        <v>2</v>
      </c>
      <c r="Y934">
        <v>29</v>
      </c>
      <c r="Z934">
        <v>2</v>
      </c>
      <c r="AA934">
        <v>0</v>
      </c>
      <c r="AB934">
        <v>1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1</v>
      </c>
      <c r="AI934">
        <v>0</v>
      </c>
      <c r="AJ934">
        <v>0</v>
      </c>
      <c r="AK934">
        <v>1</v>
      </c>
      <c r="AL934">
        <v>2</v>
      </c>
      <c r="AM934">
        <v>0</v>
      </c>
      <c r="AN934">
        <v>0</v>
      </c>
      <c r="AT934">
        <v>0</v>
      </c>
      <c r="AU934">
        <v>5</v>
      </c>
      <c r="AV934">
        <v>94</v>
      </c>
      <c r="AW934">
        <v>94</v>
      </c>
      <c r="AX934">
        <v>158</v>
      </c>
      <c r="BA934">
        <v>1</v>
      </c>
      <c r="BC934" t="s">
        <v>1961</v>
      </c>
      <c r="BD934" s="4">
        <v>43283.097222222219</v>
      </c>
      <c r="BE934" s="4">
        <v>43283.102407407408</v>
      </c>
      <c r="BF934" s="4">
        <v>43283.102407407408</v>
      </c>
      <c r="BG934" t="s">
        <v>83</v>
      </c>
      <c r="BH934" t="s">
        <v>84</v>
      </c>
      <c r="BI934" t="s">
        <v>85</v>
      </c>
    </row>
    <row r="935" spans="1:61" x14ac:dyDescent="0.3">
      <c r="A935" t="str">
        <f>"201233B0100"</f>
        <v>201233B0100</v>
      </c>
      <c r="B935" t="s">
        <v>1962</v>
      </c>
      <c r="C935">
        <v>20</v>
      </c>
      <c r="D935" t="s">
        <v>79</v>
      </c>
      <c r="E935">
        <v>5</v>
      </c>
      <c r="F935" t="s">
        <v>1759</v>
      </c>
      <c r="G935">
        <v>1233</v>
      </c>
      <c r="H935">
        <v>1</v>
      </c>
      <c r="I935" t="s">
        <v>81</v>
      </c>
      <c r="J935">
        <v>0</v>
      </c>
      <c r="K935">
        <v>2</v>
      </c>
      <c r="L935">
        <v>2</v>
      </c>
      <c r="M935">
        <v>126</v>
      </c>
      <c r="N935">
        <v>341</v>
      </c>
      <c r="O935">
        <v>0</v>
      </c>
      <c r="P935">
        <v>215</v>
      </c>
      <c r="Q935">
        <v>6</v>
      </c>
      <c r="R935">
        <v>69</v>
      </c>
      <c r="S935">
        <v>17</v>
      </c>
      <c r="T935">
        <v>3</v>
      </c>
      <c r="U935">
        <v>18</v>
      </c>
      <c r="V935">
        <v>2</v>
      </c>
      <c r="W935">
        <v>5</v>
      </c>
      <c r="X935">
        <v>0</v>
      </c>
      <c r="Y935">
        <v>86</v>
      </c>
      <c r="Z935">
        <v>4</v>
      </c>
      <c r="AA935">
        <v>0</v>
      </c>
      <c r="AB935">
        <v>2</v>
      </c>
      <c r="AC935">
        <v>0</v>
      </c>
      <c r="AD935">
        <v>0</v>
      </c>
      <c r="AE935">
        <v>0</v>
      </c>
      <c r="AF935">
        <v>0</v>
      </c>
      <c r="AG935">
        <v>1</v>
      </c>
      <c r="AH935">
        <v>0</v>
      </c>
      <c r="AI935">
        <v>0</v>
      </c>
      <c r="AJ935">
        <v>0</v>
      </c>
      <c r="AK935">
        <v>1</v>
      </c>
      <c r="AL935">
        <v>0</v>
      </c>
      <c r="AM935">
        <v>0</v>
      </c>
      <c r="AN935">
        <v>0</v>
      </c>
      <c r="AT935">
        <v>0</v>
      </c>
      <c r="AU935">
        <v>1</v>
      </c>
      <c r="AV935">
        <v>215</v>
      </c>
      <c r="AW935">
        <v>215</v>
      </c>
      <c r="AX935">
        <v>320</v>
      </c>
      <c r="BA935">
        <v>1</v>
      </c>
      <c r="BC935" t="s">
        <v>1963</v>
      </c>
      <c r="BD935" s="4">
        <v>43283.095138888886</v>
      </c>
      <c r="BE935" s="4">
        <v>43283.103784722225</v>
      </c>
      <c r="BF935" s="4">
        <v>43283.103784722225</v>
      </c>
      <c r="BG935" t="s">
        <v>83</v>
      </c>
      <c r="BH935" t="s">
        <v>84</v>
      </c>
      <c r="BI935" t="s">
        <v>85</v>
      </c>
    </row>
    <row r="936" spans="1:61" x14ac:dyDescent="0.3">
      <c r="A936" t="str">
        <f>"201237B0100"</f>
        <v>201237B0100</v>
      </c>
      <c r="B936" t="s">
        <v>1964</v>
      </c>
      <c r="C936">
        <v>20</v>
      </c>
      <c r="D936" t="s">
        <v>79</v>
      </c>
      <c r="E936">
        <v>5</v>
      </c>
      <c r="F936" t="s">
        <v>1759</v>
      </c>
      <c r="G936">
        <v>1237</v>
      </c>
      <c r="H936">
        <v>1</v>
      </c>
      <c r="I936" t="s">
        <v>81</v>
      </c>
      <c r="J936">
        <v>0</v>
      </c>
      <c r="K936">
        <v>2</v>
      </c>
      <c r="L936">
        <v>2</v>
      </c>
      <c r="M936">
        <v>228</v>
      </c>
      <c r="N936" t="s">
        <v>100</v>
      </c>
      <c r="O936">
        <v>0</v>
      </c>
      <c r="P936">
        <v>364</v>
      </c>
      <c r="Q936">
        <v>12</v>
      </c>
      <c r="R936">
        <v>108</v>
      </c>
      <c r="S936">
        <v>12</v>
      </c>
      <c r="T936">
        <v>3</v>
      </c>
      <c r="U936">
        <v>112</v>
      </c>
      <c r="V936">
        <v>6</v>
      </c>
      <c r="W936">
        <v>5</v>
      </c>
      <c r="X936">
        <v>1</v>
      </c>
      <c r="Y936">
        <v>80</v>
      </c>
      <c r="Z936">
        <v>5</v>
      </c>
      <c r="AA936">
        <v>1</v>
      </c>
      <c r="AB936">
        <v>2</v>
      </c>
      <c r="AC936">
        <v>0</v>
      </c>
      <c r="AD936">
        <v>0</v>
      </c>
      <c r="AE936">
        <v>0</v>
      </c>
      <c r="AF936">
        <v>0</v>
      </c>
      <c r="AG936">
        <v>2</v>
      </c>
      <c r="AH936">
        <v>0</v>
      </c>
      <c r="AI936">
        <v>3</v>
      </c>
      <c r="AJ936">
        <v>0</v>
      </c>
      <c r="AK936">
        <v>0</v>
      </c>
      <c r="AL936">
        <v>6</v>
      </c>
      <c r="AM936">
        <v>0</v>
      </c>
      <c r="AN936">
        <v>0</v>
      </c>
      <c r="AT936">
        <v>0</v>
      </c>
      <c r="AU936">
        <v>7</v>
      </c>
      <c r="AV936">
        <v>363</v>
      </c>
      <c r="AW936">
        <v>365</v>
      </c>
      <c r="AX936">
        <v>570</v>
      </c>
      <c r="BA936">
        <v>1</v>
      </c>
      <c r="BC936" t="s">
        <v>1965</v>
      </c>
      <c r="BD936" s="4">
        <v>43283.299305555556</v>
      </c>
      <c r="BE936" s="4">
        <v>43283.326631944445</v>
      </c>
      <c r="BF936" s="4">
        <v>43283.326631944445</v>
      </c>
      <c r="BG936" t="s">
        <v>83</v>
      </c>
      <c r="BH936" t="s">
        <v>84</v>
      </c>
      <c r="BI936" t="s">
        <v>85</v>
      </c>
    </row>
    <row r="937" spans="1:61" x14ac:dyDescent="0.3">
      <c r="A937" t="str">
        <f>"201302B0100"</f>
        <v>201302B0100</v>
      </c>
      <c r="B937" t="s">
        <v>1966</v>
      </c>
      <c r="C937">
        <v>20</v>
      </c>
      <c r="D937" t="s">
        <v>79</v>
      </c>
      <c r="E937">
        <v>5</v>
      </c>
      <c r="F937" t="s">
        <v>1759</v>
      </c>
      <c r="G937">
        <v>1302</v>
      </c>
      <c r="H937">
        <v>1</v>
      </c>
      <c r="I937" t="s">
        <v>81</v>
      </c>
      <c r="J937">
        <v>0</v>
      </c>
      <c r="K937">
        <v>2</v>
      </c>
      <c r="L937">
        <v>2</v>
      </c>
      <c r="M937">
        <v>206</v>
      </c>
      <c r="N937">
        <v>255</v>
      </c>
      <c r="O937">
        <v>0</v>
      </c>
      <c r="P937">
        <v>255</v>
      </c>
      <c r="Q937">
        <v>18</v>
      </c>
      <c r="R937">
        <v>41</v>
      </c>
      <c r="S937">
        <v>30</v>
      </c>
      <c r="T937">
        <v>2</v>
      </c>
      <c r="U937">
        <v>47</v>
      </c>
      <c r="V937">
        <v>13</v>
      </c>
      <c r="W937">
        <v>4</v>
      </c>
      <c r="X937">
        <v>4</v>
      </c>
      <c r="Y937">
        <v>80</v>
      </c>
      <c r="Z937">
        <v>3</v>
      </c>
      <c r="AA937">
        <v>0</v>
      </c>
      <c r="AB937">
        <v>2</v>
      </c>
      <c r="AC937">
        <v>0</v>
      </c>
      <c r="AD937">
        <v>0</v>
      </c>
      <c r="AE937">
        <v>1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3</v>
      </c>
      <c r="AL937">
        <v>1</v>
      </c>
      <c r="AM937">
        <v>0</v>
      </c>
      <c r="AN937">
        <v>0</v>
      </c>
      <c r="AT937">
        <v>0</v>
      </c>
      <c r="AU937">
        <v>6</v>
      </c>
      <c r="AV937">
        <v>255</v>
      </c>
      <c r="AW937">
        <v>255</v>
      </c>
      <c r="AX937">
        <v>439</v>
      </c>
      <c r="BA937">
        <v>1</v>
      </c>
      <c r="BC937" t="s">
        <v>1967</v>
      </c>
      <c r="BD937" s="4">
        <v>43283.292361111111</v>
      </c>
      <c r="BE937" s="4">
        <v>43283.321087962962</v>
      </c>
      <c r="BF937" s="4">
        <v>43283.321087962962</v>
      </c>
      <c r="BG937" t="s">
        <v>83</v>
      </c>
      <c r="BH937" t="s">
        <v>84</v>
      </c>
      <c r="BI937" t="s">
        <v>85</v>
      </c>
    </row>
    <row r="938" spans="1:61" x14ac:dyDescent="0.3">
      <c r="A938" t="str">
        <f>"201302C0100"</f>
        <v>201302C0100</v>
      </c>
      <c r="B938" t="s">
        <v>1968</v>
      </c>
      <c r="C938">
        <v>20</v>
      </c>
      <c r="D938" t="s">
        <v>79</v>
      </c>
      <c r="E938">
        <v>5</v>
      </c>
      <c r="F938" t="s">
        <v>1759</v>
      </c>
      <c r="G938">
        <v>1302</v>
      </c>
      <c r="H938">
        <v>1</v>
      </c>
      <c r="I938" t="s">
        <v>89</v>
      </c>
      <c r="J938">
        <v>0</v>
      </c>
      <c r="K938">
        <v>2</v>
      </c>
      <c r="L938">
        <v>2</v>
      </c>
      <c r="M938">
        <v>220</v>
      </c>
      <c r="N938">
        <v>240</v>
      </c>
      <c r="O938">
        <v>0</v>
      </c>
      <c r="P938">
        <v>240</v>
      </c>
      <c r="Q938">
        <v>16</v>
      </c>
      <c r="R938">
        <v>33</v>
      </c>
      <c r="S938">
        <v>22</v>
      </c>
      <c r="T938">
        <v>1</v>
      </c>
      <c r="U938">
        <v>68</v>
      </c>
      <c r="V938">
        <v>10</v>
      </c>
      <c r="W938">
        <v>1</v>
      </c>
      <c r="X938">
        <v>1</v>
      </c>
      <c r="Y938">
        <v>61</v>
      </c>
      <c r="Z938">
        <v>5</v>
      </c>
      <c r="AA938">
        <v>1</v>
      </c>
      <c r="AB938">
        <v>7</v>
      </c>
      <c r="AC938">
        <v>0</v>
      </c>
      <c r="AD938">
        <v>0</v>
      </c>
      <c r="AE938">
        <v>0</v>
      </c>
      <c r="AF938">
        <v>0</v>
      </c>
      <c r="AG938">
        <v>1</v>
      </c>
      <c r="AH938">
        <v>1</v>
      </c>
      <c r="AI938">
        <v>1</v>
      </c>
      <c r="AJ938">
        <v>0</v>
      </c>
      <c r="AK938">
        <v>2</v>
      </c>
      <c r="AL938">
        <v>3</v>
      </c>
      <c r="AM938">
        <v>0</v>
      </c>
      <c r="AN938">
        <v>1</v>
      </c>
      <c r="AT938">
        <v>0</v>
      </c>
      <c r="AU938">
        <v>5</v>
      </c>
      <c r="AV938">
        <v>240</v>
      </c>
      <c r="AW938">
        <v>240</v>
      </c>
      <c r="AX938">
        <v>438</v>
      </c>
      <c r="BA938">
        <v>1</v>
      </c>
      <c r="BC938" t="s">
        <v>1969</v>
      </c>
      <c r="BD938" s="4">
        <v>43283.6</v>
      </c>
      <c r="BE938" s="4">
        <v>43283.609305555554</v>
      </c>
      <c r="BF938" s="4">
        <v>43283.609305555554</v>
      </c>
      <c r="BG938" t="s">
        <v>83</v>
      </c>
      <c r="BH938" t="s">
        <v>84</v>
      </c>
      <c r="BI938" t="s">
        <v>85</v>
      </c>
    </row>
    <row r="939" spans="1:61" x14ac:dyDescent="0.3">
      <c r="A939" t="str">
        <f>"201315B0100"</f>
        <v>201315B0100</v>
      </c>
      <c r="B939" t="s">
        <v>1970</v>
      </c>
      <c r="C939">
        <v>20</v>
      </c>
      <c r="D939" t="s">
        <v>79</v>
      </c>
      <c r="E939">
        <v>5</v>
      </c>
      <c r="F939" t="s">
        <v>1759</v>
      </c>
      <c r="G939">
        <v>1315</v>
      </c>
      <c r="H939">
        <v>1</v>
      </c>
      <c r="I939" t="s">
        <v>81</v>
      </c>
      <c r="J939">
        <v>0</v>
      </c>
      <c r="K939">
        <v>1</v>
      </c>
      <c r="L939">
        <v>2</v>
      </c>
      <c r="M939">
        <v>68</v>
      </c>
      <c r="N939">
        <v>106</v>
      </c>
      <c r="O939">
        <v>0</v>
      </c>
      <c r="P939">
        <v>106</v>
      </c>
      <c r="Q939">
        <v>9</v>
      </c>
      <c r="R939">
        <v>25</v>
      </c>
      <c r="S939">
        <v>10</v>
      </c>
      <c r="T939">
        <v>2</v>
      </c>
      <c r="U939">
        <v>5</v>
      </c>
      <c r="V939">
        <v>2</v>
      </c>
      <c r="W939">
        <v>0</v>
      </c>
      <c r="X939">
        <v>2</v>
      </c>
      <c r="Y939">
        <v>41</v>
      </c>
      <c r="Z939">
        <v>7</v>
      </c>
      <c r="AA939">
        <v>1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1</v>
      </c>
      <c r="AT939">
        <v>0</v>
      </c>
      <c r="AU939">
        <v>1</v>
      </c>
      <c r="AV939" t="s">
        <v>100</v>
      </c>
      <c r="AW939">
        <v>106</v>
      </c>
      <c r="AX939">
        <v>152</v>
      </c>
      <c r="BA939">
        <v>1</v>
      </c>
      <c r="BC939" t="s">
        <v>1971</v>
      </c>
      <c r="BD939" s="4">
        <v>43283.45</v>
      </c>
      <c r="BE939" s="4">
        <v>43283.454039351855</v>
      </c>
      <c r="BF939" s="4">
        <v>43283.454039351855</v>
      </c>
      <c r="BG939" t="s">
        <v>83</v>
      </c>
      <c r="BH939" t="s">
        <v>84</v>
      </c>
      <c r="BI939" t="s">
        <v>85</v>
      </c>
    </row>
    <row r="940" spans="1:61" x14ac:dyDescent="0.3">
      <c r="A940" t="str">
        <f>"201336B0100"</f>
        <v>201336B0100</v>
      </c>
      <c r="B940" t="s">
        <v>1972</v>
      </c>
      <c r="C940">
        <v>20</v>
      </c>
      <c r="D940" t="s">
        <v>79</v>
      </c>
      <c r="E940">
        <v>5</v>
      </c>
      <c r="F940" t="s">
        <v>1759</v>
      </c>
      <c r="G940">
        <v>1336</v>
      </c>
      <c r="H940">
        <v>1</v>
      </c>
      <c r="I940" t="s">
        <v>81</v>
      </c>
      <c r="J940">
        <v>0</v>
      </c>
      <c r="K940">
        <v>2</v>
      </c>
      <c r="L940">
        <v>2</v>
      </c>
      <c r="M940">
        <v>89</v>
      </c>
      <c r="N940">
        <v>104</v>
      </c>
      <c r="O940">
        <v>0</v>
      </c>
      <c r="P940">
        <v>104</v>
      </c>
      <c r="Q940">
        <v>3</v>
      </c>
      <c r="R940">
        <v>11</v>
      </c>
      <c r="S940">
        <v>7</v>
      </c>
      <c r="T940">
        <v>0</v>
      </c>
      <c r="U940">
        <v>15</v>
      </c>
      <c r="V940">
        <v>1</v>
      </c>
      <c r="W940">
        <v>15</v>
      </c>
      <c r="X940">
        <v>1</v>
      </c>
      <c r="Y940">
        <v>34</v>
      </c>
      <c r="Z940">
        <v>4</v>
      </c>
      <c r="AA940">
        <v>0</v>
      </c>
      <c r="AB940">
        <v>1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3</v>
      </c>
      <c r="AL940">
        <v>0</v>
      </c>
      <c r="AM940">
        <v>0</v>
      </c>
      <c r="AN940">
        <v>0</v>
      </c>
      <c r="AT940">
        <v>0</v>
      </c>
      <c r="AU940">
        <v>9</v>
      </c>
      <c r="AV940">
        <v>104</v>
      </c>
      <c r="AW940">
        <v>104</v>
      </c>
      <c r="AX940">
        <v>171</v>
      </c>
      <c r="BA940">
        <v>1</v>
      </c>
      <c r="BC940" t="s">
        <v>1973</v>
      </c>
      <c r="BD940" s="4">
        <v>43283.15625</v>
      </c>
      <c r="BE940" s="4">
        <v>43283.166435185187</v>
      </c>
      <c r="BF940" s="4">
        <v>43283.166435185187</v>
      </c>
      <c r="BG940" t="s">
        <v>83</v>
      </c>
      <c r="BH940" t="s">
        <v>84</v>
      </c>
      <c r="BI940" t="s">
        <v>85</v>
      </c>
    </row>
    <row r="941" spans="1:61" x14ac:dyDescent="0.3">
      <c r="A941" t="str">
        <f>"201336E0100"</f>
        <v>201336E0100</v>
      </c>
      <c r="B941" s="2" t="s">
        <v>1974</v>
      </c>
      <c r="C941">
        <v>20</v>
      </c>
      <c r="D941" t="s">
        <v>79</v>
      </c>
      <c r="E941">
        <v>5</v>
      </c>
      <c r="F941" t="s">
        <v>1759</v>
      </c>
      <c r="G941">
        <v>1336</v>
      </c>
      <c r="H941">
        <v>1</v>
      </c>
      <c r="I941" t="s">
        <v>145</v>
      </c>
      <c r="J941">
        <v>0</v>
      </c>
      <c r="K941">
        <v>2</v>
      </c>
      <c r="L941">
        <v>2</v>
      </c>
      <c r="M941">
        <v>177</v>
      </c>
      <c r="N941">
        <v>419</v>
      </c>
      <c r="O941">
        <v>0</v>
      </c>
      <c r="P941">
        <v>242</v>
      </c>
      <c r="Q941">
        <v>7</v>
      </c>
      <c r="R941">
        <v>29</v>
      </c>
      <c r="S941">
        <v>18</v>
      </c>
      <c r="T941">
        <v>2</v>
      </c>
      <c r="U941">
        <v>54</v>
      </c>
      <c r="V941">
        <v>4</v>
      </c>
      <c r="W941">
        <v>22</v>
      </c>
      <c r="X941">
        <v>9</v>
      </c>
      <c r="Y941">
        <v>64</v>
      </c>
      <c r="Z941">
        <v>2</v>
      </c>
      <c r="AA941">
        <v>1</v>
      </c>
      <c r="AB941">
        <v>2</v>
      </c>
      <c r="AC941">
        <v>0</v>
      </c>
      <c r="AD941">
        <v>0</v>
      </c>
      <c r="AE941">
        <v>0</v>
      </c>
      <c r="AF941">
        <v>0</v>
      </c>
      <c r="AG941">
        <v>1</v>
      </c>
      <c r="AH941">
        <v>0</v>
      </c>
      <c r="AI941">
        <v>0</v>
      </c>
      <c r="AJ941">
        <v>0</v>
      </c>
      <c r="AK941">
        <v>3</v>
      </c>
      <c r="AL941">
        <v>3</v>
      </c>
      <c r="AM941">
        <v>0</v>
      </c>
      <c r="AN941">
        <v>0</v>
      </c>
      <c r="AT941">
        <v>0</v>
      </c>
      <c r="AU941">
        <v>21</v>
      </c>
      <c r="AV941">
        <v>242</v>
      </c>
      <c r="AW941">
        <v>242</v>
      </c>
      <c r="AX941">
        <v>397</v>
      </c>
      <c r="BA941">
        <v>1</v>
      </c>
      <c r="BC941" t="s">
        <v>1975</v>
      </c>
      <c r="BD941" s="4">
        <v>43283.156944444447</v>
      </c>
      <c r="BE941" s="4">
        <v>43283.169930555552</v>
      </c>
      <c r="BF941" s="4">
        <v>43283.169930555552</v>
      </c>
      <c r="BG941" t="s">
        <v>83</v>
      </c>
      <c r="BH941" t="s">
        <v>84</v>
      </c>
      <c r="BI941" t="s">
        <v>85</v>
      </c>
    </row>
    <row r="942" spans="1:61" x14ac:dyDescent="0.3">
      <c r="A942" t="str">
        <f>"201336E0101"</f>
        <v>201336E0101</v>
      </c>
      <c r="B942" s="2" t="s">
        <v>1976</v>
      </c>
      <c r="C942">
        <v>20</v>
      </c>
      <c r="D942" t="s">
        <v>79</v>
      </c>
      <c r="E942">
        <v>5</v>
      </c>
      <c r="F942" t="s">
        <v>1759</v>
      </c>
      <c r="G942">
        <v>1336</v>
      </c>
      <c r="H942">
        <v>1</v>
      </c>
      <c r="I942" t="s">
        <v>145</v>
      </c>
      <c r="J942">
        <v>1</v>
      </c>
      <c r="K942">
        <v>2</v>
      </c>
      <c r="L942">
        <v>2</v>
      </c>
      <c r="M942">
        <v>169</v>
      </c>
      <c r="N942">
        <v>249</v>
      </c>
      <c r="O942">
        <v>0</v>
      </c>
      <c r="P942">
        <v>249</v>
      </c>
      <c r="Q942">
        <v>6</v>
      </c>
      <c r="R942">
        <v>11</v>
      </c>
      <c r="S942">
        <v>27</v>
      </c>
      <c r="T942">
        <v>3</v>
      </c>
      <c r="U942">
        <v>41</v>
      </c>
      <c r="V942">
        <v>2</v>
      </c>
      <c r="W942">
        <v>40</v>
      </c>
      <c r="X942">
        <v>2</v>
      </c>
      <c r="Y942">
        <v>74</v>
      </c>
      <c r="Z942">
        <v>0</v>
      </c>
      <c r="AA942">
        <v>1</v>
      </c>
      <c r="AB942">
        <v>17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4</v>
      </c>
      <c r="AL942">
        <v>0</v>
      </c>
      <c r="AM942">
        <v>0</v>
      </c>
      <c r="AN942">
        <v>2</v>
      </c>
      <c r="AT942">
        <v>0</v>
      </c>
      <c r="AU942">
        <v>19</v>
      </c>
      <c r="AV942">
        <v>249</v>
      </c>
      <c r="AW942">
        <v>249</v>
      </c>
      <c r="AX942">
        <v>396</v>
      </c>
      <c r="BA942">
        <v>1</v>
      </c>
      <c r="BC942" t="s">
        <v>1977</v>
      </c>
      <c r="BD942" s="4">
        <v>43283.152777777781</v>
      </c>
      <c r="BE942" s="4">
        <v>43283.172662037039</v>
      </c>
      <c r="BF942" s="4">
        <v>43283.172662037039</v>
      </c>
      <c r="BG942" t="s">
        <v>83</v>
      </c>
      <c r="BH942" t="s">
        <v>84</v>
      </c>
      <c r="BI942" t="s">
        <v>85</v>
      </c>
    </row>
    <row r="943" spans="1:61" x14ac:dyDescent="0.3">
      <c r="A943" t="str">
        <f>"201337B0100"</f>
        <v>201337B0100</v>
      </c>
      <c r="B943" t="s">
        <v>1978</v>
      </c>
      <c r="C943">
        <v>20</v>
      </c>
      <c r="D943" t="s">
        <v>79</v>
      </c>
      <c r="E943">
        <v>5</v>
      </c>
      <c r="F943" t="s">
        <v>1759</v>
      </c>
      <c r="G943">
        <v>1337</v>
      </c>
      <c r="H943">
        <v>1</v>
      </c>
      <c r="I943" t="s">
        <v>81</v>
      </c>
      <c r="J943">
        <v>0</v>
      </c>
      <c r="K943">
        <v>2</v>
      </c>
      <c r="L943">
        <v>2</v>
      </c>
      <c r="M943">
        <v>207</v>
      </c>
      <c r="N943">
        <v>230</v>
      </c>
      <c r="O943">
        <v>1</v>
      </c>
      <c r="P943">
        <v>230</v>
      </c>
      <c r="Q943">
        <v>0</v>
      </c>
      <c r="R943">
        <v>38</v>
      </c>
      <c r="S943">
        <v>9</v>
      </c>
      <c r="T943">
        <v>4</v>
      </c>
      <c r="U943">
        <v>63</v>
      </c>
      <c r="V943">
        <v>4</v>
      </c>
      <c r="W943">
        <v>25</v>
      </c>
      <c r="X943">
        <v>2</v>
      </c>
      <c r="Y943">
        <v>62</v>
      </c>
      <c r="Z943">
        <v>5</v>
      </c>
      <c r="AA943">
        <v>3</v>
      </c>
      <c r="AB943">
        <v>2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3</v>
      </c>
      <c r="AM943">
        <v>0</v>
      </c>
      <c r="AN943">
        <v>0</v>
      </c>
      <c r="AT943">
        <v>0</v>
      </c>
      <c r="AU943">
        <v>10</v>
      </c>
      <c r="AV943">
        <v>230</v>
      </c>
      <c r="AW943">
        <v>230</v>
      </c>
      <c r="AX943">
        <v>415</v>
      </c>
      <c r="BA943">
        <v>1</v>
      </c>
      <c r="BC943" t="s">
        <v>1979</v>
      </c>
      <c r="BD943" s="4">
        <v>43283.148611111108</v>
      </c>
      <c r="BE943" s="4">
        <v>43283.158483796295</v>
      </c>
      <c r="BF943" s="4">
        <v>43283.158483796295</v>
      </c>
      <c r="BG943" t="s">
        <v>83</v>
      </c>
      <c r="BH943" t="s">
        <v>84</v>
      </c>
      <c r="BI943" t="s">
        <v>85</v>
      </c>
    </row>
    <row r="944" spans="1:61" x14ac:dyDescent="0.3">
      <c r="A944" t="str">
        <f>"201337E0100"</f>
        <v>201337E0100</v>
      </c>
      <c r="B944" s="2" t="s">
        <v>1980</v>
      </c>
      <c r="C944">
        <v>20</v>
      </c>
      <c r="D944" t="s">
        <v>79</v>
      </c>
      <c r="E944">
        <v>5</v>
      </c>
      <c r="F944" t="s">
        <v>1759</v>
      </c>
      <c r="G944">
        <v>1337</v>
      </c>
      <c r="H944">
        <v>1</v>
      </c>
      <c r="I944" t="s">
        <v>145</v>
      </c>
      <c r="J944">
        <v>0</v>
      </c>
      <c r="K944">
        <v>2</v>
      </c>
      <c r="L944">
        <v>2</v>
      </c>
      <c r="M944">
        <v>78</v>
      </c>
      <c r="N944">
        <v>153</v>
      </c>
      <c r="O944">
        <v>2</v>
      </c>
      <c r="P944">
        <v>153</v>
      </c>
      <c r="Q944">
        <v>3</v>
      </c>
      <c r="R944">
        <v>56</v>
      </c>
      <c r="S944">
        <v>2</v>
      </c>
      <c r="T944">
        <v>1</v>
      </c>
      <c r="U944">
        <v>22</v>
      </c>
      <c r="V944">
        <v>1</v>
      </c>
      <c r="W944">
        <v>17</v>
      </c>
      <c r="X944">
        <v>2</v>
      </c>
      <c r="Y944">
        <v>30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1</v>
      </c>
      <c r="AI944">
        <v>0</v>
      </c>
      <c r="AJ944">
        <v>0</v>
      </c>
      <c r="AK944">
        <v>1</v>
      </c>
      <c r="AL944">
        <v>2</v>
      </c>
      <c r="AM944">
        <v>0</v>
      </c>
      <c r="AN944">
        <v>0</v>
      </c>
      <c r="AT944">
        <v>0</v>
      </c>
      <c r="AU944">
        <v>15</v>
      </c>
      <c r="AV944">
        <v>153</v>
      </c>
      <c r="AW944">
        <v>153</v>
      </c>
      <c r="AX944">
        <v>209</v>
      </c>
      <c r="BA944">
        <v>1</v>
      </c>
      <c r="BC944" t="s">
        <v>1981</v>
      </c>
      <c r="BD944" s="4">
        <v>43283.148611111108</v>
      </c>
      <c r="BE944" s="4">
        <v>43283.157581018517</v>
      </c>
      <c r="BF944" s="4">
        <v>43283.157581018517</v>
      </c>
      <c r="BG944" t="s">
        <v>83</v>
      </c>
      <c r="BH944" t="s">
        <v>84</v>
      </c>
      <c r="BI944" t="s">
        <v>85</v>
      </c>
    </row>
    <row r="945" spans="1:61" x14ac:dyDescent="0.3">
      <c r="A945" t="str">
        <f>"201359B0100"</f>
        <v>201359B0100</v>
      </c>
      <c r="B945" t="s">
        <v>1982</v>
      </c>
      <c r="C945">
        <v>20</v>
      </c>
      <c r="D945" t="s">
        <v>79</v>
      </c>
      <c r="E945">
        <v>5</v>
      </c>
      <c r="F945" t="s">
        <v>1759</v>
      </c>
      <c r="G945">
        <v>1359</v>
      </c>
      <c r="H945">
        <v>1</v>
      </c>
      <c r="I945" t="s">
        <v>81</v>
      </c>
      <c r="J945">
        <v>0</v>
      </c>
      <c r="K945">
        <v>2</v>
      </c>
      <c r="L945">
        <v>2</v>
      </c>
      <c r="M945">
        <v>134</v>
      </c>
      <c r="N945">
        <v>114</v>
      </c>
      <c r="O945">
        <v>1</v>
      </c>
      <c r="P945">
        <v>114</v>
      </c>
      <c r="Q945">
        <v>6</v>
      </c>
      <c r="R945">
        <v>42</v>
      </c>
      <c r="S945">
        <v>5</v>
      </c>
      <c r="T945">
        <v>3</v>
      </c>
      <c r="U945">
        <v>20</v>
      </c>
      <c r="V945">
        <v>1</v>
      </c>
      <c r="W945">
        <v>11</v>
      </c>
      <c r="X945">
        <v>0</v>
      </c>
      <c r="Y945">
        <v>15</v>
      </c>
      <c r="Z945">
        <v>1</v>
      </c>
      <c r="AA945">
        <v>0</v>
      </c>
      <c r="AB945">
        <v>0</v>
      </c>
      <c r="AC945">
        <v>1</v>
      </c>
      <c r="AD945">
        <v>0</v>
      </c>
      <c r="AE945">
        <v>0</v>
      </c>
      <c r="AF945">
        <v>0</v>
      </c>
      <c r="AG945">
        <v>1</v>
      </c>
      <c r="AH945">
        <v>0</v>
      </c>
      <c r="AI945">
        <v>0</v>
      </c>
      <c r="AJ945">
        <v>0</v>
      </c>
      <c r="AK945">
        <v>2</v>
      </c>
      <c r="AL945">
        <v>0</v>
      </c>
      <c r="AM945">
        <v>0</v>
      </c>
      <c r="AN945">
        <v>0</v>
      </c>
      <c r="AT945">
        <v>0</v>
      </c>
      <c r="AU945">
        <v>6</v>
      </c>
      <c r="AV945">
        <v>114</v>
      </c>
      <c r="AW945">
        <v>114</v>
      </c>
      <c r="AX945">
        <v>226</v>
      </c>
      <c r="BA945">
        <v>1</v>
      </c>
      <c r="BC945" t="s">
        <v>1983</v>
      </c>
      <c r="BD945" s="4">
        <v>43283.151388888888</v>
      </c>
      <c r="BE945" s="4">
        <v>43283.160995370374</v>
      </c>
      <c r="BF945" s="4">
        <v>43283.160995370374</v>
      </c>
      <c r="BG945" t="s">
        <v>83</v>
      </c>
      <c r="BH945" t="s">
        <v>84</v>
      </c>
      <c r="BI945" t="s">
        <v>85</v>
      </c>
    </row>
    <row r="946" spans="1:61" x14ac:dyDescent="0.3">
      <c r="A946" t="str">
        <f>"201359E0100"</f>
        <v>201359E0100</v>
      </c>
      <c r="B946" s="2" t="s">
        <v>1984</v>
      </c>
      <c r="C946">
        <v>20</v>
      </c>
      <c r="D946" t="s">
        <v>79</v>
      </c>
      <c r="E946">
        <v>5</v>
      </c>
      <c r="F946" t="s">
        <v>1759</v>
      </c>
      <c r="G946">
        <v>1359</v>
      </c>
      <c r="H946">
        <v>1</v>
      </c>
      <c r="I946" t="s">
        <v>145</v>
      </c>
      <c r="J946">
        <v>0</v>
      </c>
      <c r="K946">
        <v>2</v>
      </c>
      <c r="L946">
        <v>2</v>
      </c>
      <c r="M946">
        <v>73</v>
      </c>
      <c r="N946">
        <v>82</v>
      </c>
      <c r="O946">
        <v>6</v>
      </c>
      <c r="P946">
        <v>82</v>
      </c>
      <c r="Q946">
        <v>3</v>
      </c>
      <c r="R946">
        <v>19</v>
      </c>
      <c r="S946">
        <v>1</v>
      </c>
      <c r="T946">
        <v>2</v>
      </c>
      <c r="U946">
        <v>13</v>
      </c>
      <c r="V946">
        <v>2</v>
      </c>
      <c r="W946">
        <v>1</v>
      </c>
      <c r="X946">
        <v>3</v>
      </c>
      <c r="Y946">
        <v>21</v>
      </c>
      <c r="Z946">
        <v>2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1</v>
      </c>
      <c r="AH946">
        <v>2</v>
      </c>
      <c r="AI946">
        <v>0</v>
      </c>
      <c r="AJ946">
        <v>0</v>
      </c>
      <c r="AK946">
        <v>2</v>
      </c>
      <c r="AL946">
        <v>0</v>
      </c>
      <c r="AM946">
        <v>0</v>
      </c>
      <c r="AN946">
        <v>0</v>
      </c>
      <c r="AT946">
        <v>0</v>
      </c>
      <c r="AU946">
        <v>9</v>
      </c>
      <c r="AV946">
        <v>82</v>
      </c>
      <c r="AW946">
        <v>81</v>
      </c>
      <c r="AX946">
        <v>133</v>
      </c>
      <c r="BA946">
        <v>1</v>
      </c>
      <c r="BC946" t="s">
        <v>1985</v>
      </c>
      <c r="BD946" s="4">
        <v>43283.151388888888</v>
      </c>
      <c r="BE946" s="4">
        <v>43283.161678240744</v>
      </c>
      <c r="BF946" s="4">
        <v>43283.161678240744</v>
      </c>
      <c r="BG946" t="s">
        <v>83</v>
      </c>
      <c r="BH946" t="s">
        <v>84</v>
      </c>
      <c r="BI946" t="s">
        <v>85</v>
      </c>
    </row>
    <row r="947" spans="1:61" x14ac:dyDescent="0.3">
      <c r="A947" t="str">
        <f>"201360B0100"</f>
        <v>201360B0100</v>
      </c>
      <c r="B947" t="s">
        <v>1986</v>
      </c>
      <c r="C947">
        <v>20</v>
      </c>
      <c r="D947" t="s">
        <v>79</v>
      </c>
      <c r="E947">
        <v>5</v>
      </c>
      <c r="F947" t="s">
        <v>1759</v>
      </c>
      <c r="G947">
        <v>1360</v>
      </c>
      <c r="H947">
        <v>1</v>
      </c>
      <c r="I947" t="s">
        <v>81</v>
      </c>
      <c r="J947">
        <v>0</v>
      </c>
      <c r="K947">
        <v>2</v>
      </c>
      <c r="L947">
        <v>2</v>
      </c>
      <c r="M947">
        <v>286</v>
      </c>
      <c r="N947">
        <v>284</v>
      </c>
      <c r="O947">
        <v>0</v>
      </c>
      <c r="P947">
        <v>284</v>
      </c>
      <c r="Q947">
        <v>4</v>
      </c>
      <c r="R947">
        <v>107</v>
      </c>
      <c r="S947">
        <v>9</v>
      </c>
      <c r="T947">
        <v>10</v>
      </c>
      <c r="U947">
        <v>54</v>
      </c>
      <c r="V947">
        <v>4</v>
      </c>
      <c r="W947">
        <v>25</v>
      </c>
      <c r="X947">
        <v>2</v>
      </c>
      <c r="Y947">
        <v>48</v>
      </c>
      <c r="Z947">
        <v>2</v>
      </c>
      <c r="AA947">
        <v>1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3</v>
      </c>
      <c r="AI947">
        <v>0</v>
      </c>
      <c r="AJ947">
        <v>0</v>
      </c>
      <c r="AK947">
        <v>1</v>
      </c>
      <c r="AL947">
        <v>0</v>
      </c>
      <c r="AM947">
        <v>0</v>
      </c>
      <c r="AN947">
        <v>1</v>
      </c>
      <c r="AT947">
        <v>0</v>
      </c>
      <c r="AU947">
        <v>13</v>
      </c>
      <c r="AV947">
        <v>284</v>
      </c>
      <c r="AW947">
        <v>284</v>
      </c>
      <c r="AX947">
        <v>548</v>
      </c>
      <c r="BA947">
        <v>1</v>
      </c>
      <c r="BC947" t="s">
        <v>1987</v>
      </c>
      <c r="BD947" s="4">
        <v>43283.15347222222</v>
      </c>
      <c r="BE947" s="4">
        <v>43283.166747685187</v>
      </c>
      <c r="BF947" s="4">
        <v>43283.166747685187</v>
      </c>
      <c r="BG947" t="s">
        <v>83</v>
      </c>
      <c r="BH947" t="s">
        <v>84</v>
      </c>
      <c r="BI947" t="s">
        <v>85</v>
      </c>
    </row>
    <row r="948" spans="1:61" x14ac:dyDescent="0.3">
      <c r="A948" t="str">
        <f>"201365B0100"</f>
        <v>201365B0100</v>
      </c>
      <c r="B948" t="s">
        <v>1988</v>
      </c>
      <c r="C948">
        <v>20</v>
      </c>
      <c r="D948" t="s">
        <v>79</v>
      </c>
      <c r="E948">
        <v>5</v>
      </c>
      <c r="F948" t="s">
        <v>1759</v>
      </c>
      <c r="G948">
        <v>1365</v>
      </c>
      <c r="H948">
        <v>1</v>
      </c>
      <c r="I948" t="s">
        <v>81</v>
      </c>
      <c r="J948">
        <v>0</v>
      </c>
      <c r="K948">
        <v>2</v>
      </c>
      <c r="L948">
        <v>2</v>
      </c>
      <c r="M948">
        <v>307</v>
      </c>
      <c r="N948">
        <v>414</v>
      </c>
      <c r="O948">
        <v>8</v>
      </c>
      <c r="P948">
        <v>414</v>
      </c>
      <c r="Q948">
        <v>31</v>
      </c>
      <c r="R948">
        <v>118</v>
      </c>
      <c r="S948">
        <v>34</v>
      </c>
      <c r="T948">
        <v>10</v>
      </c>
      <c r="U948">
        <v>52</v>
      </c>
      <c r="V948">
        <v>5</v>
      </c>
      <c r="W948">
        <v>3</v>
      </c>
      <c r="X948">
        <v>6</v>
      </c>
      <c r="Y948">
        <v>98</v>
      </c>
      <c r="Z948">
        <v>7</v>
      </c>
      <c r="AA948">
        <v>0</v>
      </c>
      <c r="AB948">
        <v>3</v>
      </c>
      <c r="AC948">
        <v>0</v>
      </c>
      <c r="AD948">
        <v>1</v>
      </c>
      <c r="AE948">
        <v>0</v>
      </c>
      <c r="AF948">
        <v>0</v>
      </c>
      <c r="AG948">
        <v>2</v>
      </c>
      <c r="AH948">
        <v>3</v>
      </c>
      <c r="AI948">
        <v>0</v>
      </c>
      <c r="AJ948">
        <v>0</v>
      </c>
      <c r="AK948">
        <v>1</v>
      </c>
      <c r="AL948">
        <v>2</v>
      </c>
      <c r="AM948">
        <v>0</v>
      </c>
      <c r="AN948">
        <v>6</v>
      </c>
      <c r="AT948">
        <v>0</v>
      </c>
      <c r="AU948">
        <v>32</v>
      </c>
      <c r="AV948">
        <v>414</v>
      </c>
      <c r="AW948">
        <v>414</v>
      </c>
      <c r="AX948">
        <v>699</v>
      </c>
      <c r="BA948">
        <v>1</v>
      </c>
      <c r="BC948" t="s">
        <v>1989</v>
      </c>
      <c r="BD948" s="4">
        <v>43283.34097222222</v>
      </c>
      <c r="BE948" s="4">
        <v>43283.357870370368</v>
      </c>
      <c r="BF948" s="4">
        <v>43283.357870370368</v>
      </c>
      <c r="BG948" t="s">
        <v>83</v>
      </c>
      <c r="BH948" t="s">
        <v>84</v>
      </c>
      <c r="BI948" t="s">
        <v>85</v>
      </c>
    </row>
    <row r="949" spans="1:61" x14ac:dyDescent="0.3">
      <c r="A949" t="str">
        <f>"201365E0100"</f>
        <v>201365E0100</v>
      </c>
      <c r="B949" s="2" t="s">
        <v>1990</v>
      </c>
      <c r="C949">
        <v>20</v>
      </c>
      <c r="D949" t="s">
        <v>79</v>
      </c>
      <c r="E949">
        <v>5</v>
      </c>
      <c r="F949" t="s">
        <v>1759</v>
      </c>
      <c r="G949">
        <v>1365</v>
      </c>
      <c r="H949">
        <v>1</v>
      </c>
      <c r="I949" t="s">
        <v>145</v>
      </c>
      <c r="J949">
        <v>0</v>
      </c>
      <c r="K949">
        <v>2</v>
      </c>
      <c r="L949">
        <v>2</v>
      </c>
      <c r="M949">
        <v>123</v>
      </c>
      <c r="N949">
        <v>232</v>
      </c>
      <c r="O949">
        <v>7</v>
      </c>
      <c r="P949">
        <v>232</v>
      </c>
      <c r="Q949">
        <v>3</v>
      </c>
      <c r="R949">
        <v>69</v>
      </c>
      <c r="S949">
        <v>74</v>
      </c>
      <c r="T949">
        <v>9</v>
      </c>
      <c r="U949">
        <v>18</v>
      </c>
      <c r="V949">
        <v>6</v>
      </c>
      <c r="W949">
        <v>0</v>
      </c>
      <c r="X949">
        <v>2</v>
      </c>
      <c r="Y949">
        <v>32</v>
      </c>
      <c r="Z949">
        <v>1</v>
      </c>
      <c r="AA949">
        <v>0</v>
      </c>
      <c r="AB949">
        <v>0</v>
      </c>
      <c r="AC949">
        <v>2</v>
      </c>
      <c r="AD949">
        <v>0</v>
      </c>
      <c r="AE949">
        <v>0</v>
      </c>
      <c r="AF949">
        <v>0</v>
      </c>
      <c r="AG949">
        <v>3</v>
      </c>
      <c r="AH949">
        <v>1</v>
      </c>
      <c r="AI949">
        <v>0</v>
      </c>
      <c r="AJ949">
        <v>0</v>
      </c>
      <c r="AK949">
        <v>2</v>
      </c>
      <c r="AL949">
        <v>1</v>
      </c>
      <c r="AM949">
        <v>0</v>
      </c>
      <c r="AN949">
        <v>0</v>
      </c>
      <c r="AT949">
        <v>0</v>
      </c>
      <c r="AU949">
        <v>9</v>
      </c>
      <c r="AV949">
        <v>232</v>
      </c>
      <c r="AW949">
        <v>232</v>
      </c>
      <c r="AX949">
        <v>333</v>
      </c>
      <c r="BA949">
        <v>1</v>
      </c>
      <c r="BC949" t="s">
        <v>1991</v>
      </c>
      <c r="BD949" s="4">
        <v>43283.345138888886</v>
      </c>
      <c r="BE949" s="4">
        <v>43283.359270833331</v>
      </c>
      <c r="BF949" s="4">
        <v>43283.359270833331</v>
      </c>
      <c r="BG949" t="s">
        <v>83</v>
      </c>
      <c r="BH949" t="s">
        <v>84</v>
      </c>
      <c r="BI949" t="s">
        <v>85</v>
      </c>
    </row>
    <row r="950" spans="1:61" x14ac:dyDescent="0.3">
      <c r="A950" t="str">
        <f>"201366B0100"</f>
        <v>201366B0100</v>
      </c>
      <c r="B950" t="s">
        <v>1992</v>
      </c>
      <c r="C950">
        <v>20</v>
      </c>
      <c r="D950" t="s">
        <v>79</v>
      </c>
      <c r="E950">
        <v>5</v>
      </c>
      <c r="F950" t="s">
        <v>1759</v>
      </c>
      <c r="G950">
        <v>1366</v>
      </c>
      <c r="H950">
        <v>1</v>
      </c>
      <c r="I950" t="s">
        <v>81</v>
      </c>
      <c r="J950">
        <v>0</v>
      </c>
      <c r="K950">
        <v>2</v>
      </c>
      <c r="L950">
        <v>2</v>
      </c>
      <c r="M950">
        <v>163</v>
      </c>
      <c r="N950">
        <v>232</v>
      </c>
      <c r="O950">
        <v>6</v>
      </c>
      <c r="P950">
        <v>232</v>
      </c>
      <c r="Q950">
        <v>18</v>
      </c>
      <c r="R950">
        <v>52</v>
      </c>
      <c r="S950">
        <v>27</v>
      </c>
      <c r="T950">
        <v>10</v>
      </c>
      <c r="U950">
        <v>45</v>
      </c>
      <c r="V950">
        <v>0</v>
      </c>
      <c r="W950">
        <v>1</v>
      </c>
      <c r="X950">
        <v>7</v>
      </c>
      <c r="Y950">
        <v>48</v>
      </c>
      <c r="Z950">
        <v>6</v>
      </c>
      <c r="AA950">
        <v>0</v>
      </c>
      <c r="AB950">
        <v>1</v>
      </c>
      <c r="AC950">
        <v>0</v>
      </c>
      <c r="AD950">
        <v>2</v>
      </c>
      <c r="AE950">
        <v>0</v>
      </c>
      <c r="AF950">
        <v>0</v>
      </c>
      <c r="AG950">
        <v>0</v>
      </c>
      <c r="AH950">
        <v>1</v>
      </c>
      <c r="AI950">
        <v>1</v>
      </c>
      <c r="AJ950">
        <v>0</v>
      </c>
      <c r="AK950">
        <v>2</v>
      </c>
      <c r="AL950">
        <v>0</v>
      </c>
      <c r="AM950">
        <v>0</v>
      </c>
      <c r="AN950">
        <v>0</v>
      </c>
      <c r="AT950">
        <v>0</v>
      </c>
      <c r="AU950">
        <v>11</v>
      </c>
      <c r="AV950">
        <v>232</v>
      </c>
      <c r="AW950">
        <v>232</v>
      </c>
      <c r="AX950">
        <v>373</v>
      </c>
      <c r="BA950">
        <v>1</v>
      </c>
      <c r="BC950" t="s">
        <v>1993</v>
      </c>
      <c r="BD950" s="4">
        <v>43283.581944444442</v>
      </c>
      <c r="BE950" s="4">
        <v>43283.588923611111</v>
      </c>
      <c r="BF950" s="4">
        <v>43283.588923611111</v>
      </c>
      <c r="BG950" t="s">
        <v>83</v>
      </c>
      <c r="BH950" t="s">
        <v>84</v>
      </c>
      <c r="BI950" t="s">
        <v>85</v>
      </c>
    </row>
    <row r="951" spans="1:61" x14ac:dyDescent="0.3">
      <c r="A951" t="str">
        <f>"201366E0100"</f>
        <v>201366E0100</v>
      </c>
      <c r="B951" s="2" t="s">
        <v>1994</v>
      </c>
      <c r="C951">
        <v>20</v>
      </c>
      <c r="D951" t="s">
        <v>79</v>
      </c>
      <c r="E951">
        <v>5</v>
      </c>
      <c r="F951" t="s">
        <v>1759</v>
      </c>
      <c r="G951">
        <v>1366</v>
      </c>
      <c r="H951">
        <v>1</v>
      </c>
      <c r="I951" t="s">
        <v>145</v>
      </c>
      <c r="J951">
        <v>0</v>
      </c>
      <c r="K951">
        <v>2</v>
      </c>
      <c r="L951">
        <v>2</v>
      </c>
      <c r="M951">
        <v>171</v>
      </c>
      <c r="N951">
        <v>271</v>
      </c>
      <c r="O951">
        <v>7</v>
      </c>
      <c r="P951">
        <v>271</v>
      </c>
      <c r="Q951">
        <v>18</v>
      </c>
      <c r="R951">
        <v>68</v>
      </c>
      <c r="S951">
        <v>31</v>
      </c>
      <c r="T951">
        <v>11</v>
      </c>
      <c r="U951">
        <v>24</v>
      </c>
      <c r="V951">
        <v>3</v>
      </c>
      <c r="W951">
        <v>7</v>
      </c>
      <c r="X951">
        <v>3</v>
      </c>
      <c r="Y951">
        <v>72</v>
      </c>
      <c r="Z951">
        <v>5</v>
      </c>
      <c r="AA951">
        <v>1</v>
      </c>
      <c r="AB951">
        <v>2</v>
      </c>
      <c r="AC951">
        <v>0</v>
      </c>
      <c r="AD951">
        <v>0</v>
      </c>
      <c r="AE951">
        <v>1</v>
      </c>
      <c r="AF951">
        <v>0</v>
      </c>
      <c r="AG951">
        <v>1</v>
      </c>
      <c r="AH951">
        <v>0</v>
      </c>
      <c r="AI951">
        <v>0</v>
      </c>
      <c r="AJ951">
        <v>0</v>
      </c>
      <c r="AK951">
        <v>2</v>
      </c>
      <c r="AL951">
        <v>0</v>
      </c>
      <c r="AM951">
        <v>0</v>
      </c>
      <c r="AN951">
        <v>1</v>
      </c>
      <c r="AT951">
        <v>0</v>
      </c>
      <c r="AU951">
        <v>20</v>
      </c>
      <c r="AV951">
        <v>271</v>
      </c>
      <c r="AW951">
        <v>270</v>
      </c>
      <c r="AX951">
        <v>420</v>
      </c>
      <c r="BA951">
        <v>1</v>
      </c>
      <c r="BC951" t="s">
        <v>1995</v>
      </c>
      <c r="BD951" s="4">
        <v>43283.34097222222</v>
      </c>
      <c r="BE951" s="4">
        <v>43283.356481481482</v>
      </c>
      <c r="BF951" s="4">
        <v>43283.356481481482</v>
      </c>
      <c r="BG951" t="s">
        <v>83</v>
      </c>
      <c r="BH951" t="s">
        <v>84</v>
      </c>
      <c r="BI951" t="s">
        <v>85</v>
      </c>
    </row>
    <row r="952" spans="1:61" x14ac:dyDescent="0.3">
      <c r="A952" t="str">
        <f>"201366E0200"</f>
        <v>201366E0200</v>
      </c>
      <c r="B952" s="2" t="s">
        <v>1996</v>
      </c>
      <c r="C952">
        <v>20</v>
      </c>
      <c r="D952" t="s">
        <v>79</v>
      </c>
      <c r="E952">
        <v>5</v>
      </c>
      <c r="F952" t="s">
        <v>1759</v>
      </c>
      <c r="G952">
        <v>1366</v>
      </c>
      <c r="H952">
        <v>2</v>
      </c>
      <c r="I952" t="s">
        <v>145</v>
      </c>
      <c r="J952">
        <v>0</v>
      </c>
      <c r="K952">
        <v>2</v>
      </c>
      <c r="L952">
        <v>2</v>
      </c>
      <c r="M952">
        <v>210</v>
      </c>
      <c r="N952">
        <v>284</v>
      </c>
      <c r="O952">
        <v>7</v>
      </c>
      <c r="P952">
        <v>284</v>
      </c>
      <c r="Q952">
        <v>16</v>
      </c>
      <c r="R952">
        <v>17</v>
      </c>
      <c r="S952">
        <v>7</v>
      </c>
      <c r="T952">
        <v>4</v>
      </c>
      <c r="U952">
        <v>104</v>
      </c>
      <c r="V952">
        <v>1</v>
      </c>
      <c r="W952">
        <v>2</v>
      </c>
      <c r="X952">
        <v>7</v>
      </c>
      <c r="Y952">
        <v>88</v>
      </c>
      <c r="Z952">
        <v>4</v>
      </c>
      <c r="AA952">
        <v>1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1</v>
      </c>
      <c r="AI952">
        <v>1</v>
      </c>
      <c r="AJ952">
        <v>0</v>
      </c>
      <c r="AK952">
        <v>7</v>
      </c>
      <c r="AL952">
        <v>6</v>
      </c>
      <c r="AM952">
        <v>1</v>
      </c>
      <c r="AN952">
        <v>3</v>
      </c>
      <c r="AT952">
        <v>0</v>
      </c>
      <c r="AU952">
        <v>14</v>
      </c>
      <c r="AV952">
        <v>284</v>
      </c>
      <c r="AW952">
        <v>284</v>
      </c>
      <c r="AX952">
        <v>472</v>
      </c>
      <c r="BA952">
        <v>1</v>
      </c>
      <c r="BC952" t="s">
        <v>1997</v>
      </c>
      <c r="BD952" s="4">
        <v>43283.343055555553</v>
      </c>
      <c r="BE952" s="4">
        <v>43283.357662037037</v>
      </c>
      <c r="BF952" s="4">
        <v>43283.357662037037</v>
      </c>
      <c r="BG952" t="s">
        <v>83</v>
      </c>
      <c r="BH952" t="s">
        <v>84</v>
      </c>
      <c r="BI952" t="s">
        <v>85</v>
      </c>
    </row>
    <row r="953" spans="1:61" x14ac:dyDescent="0.3">
      <c r="A953" t="str">
        <f>"201367B0100"</f>
        <v>201367B0100</v>
      </c>
      <c r="B953" t="s">
        <v>1998</v>
      </c>
      <c r="C953">
        <v>20</v>
      </c>
      <c r="D953" t="s">
        <v>79</v>
      </c>
      <c r="E953">
        <v>5</v>
      </c>
      <c r="F953" t="s">
        <v>1759</v>
      </c>
      <c r="G953">
        <v>1367</v>
      </c>
      <c r="H953">
        <v>1</v>
      </c>
      <c r="I953" t="s">
        <v>81</v>
      </c>
      <c r="J953">
        <v>0</v>
      </c>
      <c r="K953">
        <v>2</v>
      </c>
      <c r="L953">
        <v>2</v>
      </c>
      <c r="M953">
        <v>180</v>
      </c>
      <c r="N953">
        <v>293</v>
      </c>
      <c r="O953">
        <v>0</v>
      </c>
      <c r="P953" t="s">
        <v>100</v>
      </c>
      <c r="Q953">
        <v>8</v>
      </c>
      <c r="R953">
        <v>77</v>
      </c>
      <c r="S953">
        <v>16</v>
      </c>
      <c r="T953">
        <v>5</v>
      </c>
      <c r="U953">
        <v>35</v>
      </c>
      <c r="V953">
        <v>0</v>
      </c>
      <c r="W953">
        <v>57</v>
      </c>
      <c r="X953">
        <v>6</v>
      </c>
      <c r="Y953">
        <v>69</v>
      </c>
      <c r="Z953">
        <v>6</v>
      </c>
      <c r="AA953">
        <v>1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1</v>
      </c>
      <c r="AH953">
        <v>0</v>
      </c>
      <c r="AI953">
        <v>0</v>
      </c>
      <c r="AJ953">
        <v>0</v>
      </c>
      <c r="AK953">
        <v>0</v>
      </c>
      <c r="AL953">
        <v>1</v>
      </c>
      <c r="AM953">
        <v>0</v>
      </c>
      <c r="AN953">
        <v>1</v>
      </c>
      <c r="AT953">
        <v>0</v>
      </c>
      <c r="AU953">
        <v>10</v>
      </c>
      <c r="AV953">
        <v>293</v>
      </c>
      <c r="AW953">
        <v>293</v>
      </c>
      <c r="AX953">
        <v>451</v>
      </c>
      <c r="BA953">
        <v>1</v>
      </c>
      <c r="BC953" t="s">
        <v>1999</v>
      </c>
      <c r="BD953" s="4">
        <v>43283.378472222219</v>
      </c>
      <c r="BE953" s="4">
        <v>43283.384201388886</v>
      </c>
      <c r="BF953" s="4">
        <v>43283.384201388886</v>
      </c>
      <c r="BG953" t="s">
        <v>83</v>
      </c>
      <c r="BH953" t="s">
        <v>84</v>
      </c>
      <c r="BI953" t="s">
        <v>85</v>
      </c>
    </row>
    <row r="954" spans="1:61" x14ac:dyDescent="0.3">
      <c r="A954" t="str">
        <f>"201367C0100"</f>
        <v>201367C0100</v>
      </c>
      <c r="B954" t="s">
        <v>2000</v>
      </c>
      <c r="C954">
        <v>20</v>
      </c>
      <c r="D954" t="s">
        <v>79</v>
      </c>
      <c r="E954">
        <v>5</v>
      </c>
      <c r="F954" t="s">
        <v>1759</v>
      </c>
      <c r="G954">
        <v>1367</v>
      </c>
      <c r="H954">
        <v>1</v>
      </c>
      <c r="I954" t="s">
        <v>89</v>
      </c>
      <c r="J954">
        <v>0</v>
      </c>
      <c r="K954">
        <v>2</v>
      </c>
      <c r="L954">
        <v>2</v>
      </c>
      <c r="AX954">
        <v>451</v>
      </c>
      <c r="AZ954" t="s">
        <v>156</v>
      </c>
      <c r="BA954">
        <v>0</v>
      </c>
      <c r="BC954" t="s">
        <v>2001</v>
      </c>
      <c r="BD954" s="4">
        <v>43283.621527777781</v>
      </c>
      <c r="BE954" s="4">
        <v>43283.627766203703</v>
      </c>
      <c r="BF954" s="4">
        <v>43283.627766203703</v>
      </c>
      <c r="BG954" t="s">
        <v>83</v>
      </c>
      <c r="BH954" t="s">
        <v>84</v>
      </c>
      <c r="BI954" t="s">
        <v>85</v>
      </c>
    </row>
    <row r="955" spans="1:61" x14ac:dyDescent="0.3">
      <c r="A955" t="str">
        <f>"201401B0100"</f>
        <v>201401B0100</v>
      </c>
      <c r="B955" t="s">
        <v>2002</v>
      </c>
      <c r="C955">
        <v>20</v>
      </c>
      <c r="D955" t="s">
        <v>79</v>
      </c>
      <c r="E955">
        <v>5</v>
      </c>
      <c r="F955" t="s">
        <v>1759</v>
      </c>
      <c r="G955">
        <v>1401</v>
      </c>
      <c r="H955">
        <v>1</v>
      </c>
      <c r="I955" t="s">
        <v>81</v>
      </c>
      <c r="J955">
        <v>0</v>
      </c>
      <c r="K955">
        <v>1</v>
      </c>
      <c r="L955">
        <v>2</v>
      </c>
      <c r="M955">
        <v>112</v>
      </c>
      <c r="N955">
        <v>153</v>
      </c>
      <c r="O955">
        <v>3</v>
      </c>
      <c r="P955">
        <v>153</v>
      </c>
      <c r="Q955">
        <v>16</v>
      </c>
      <c r="R955">
        <v>40</v>
      </c>
      <c r="S955">
        <v>43</v>
      </c>
      <c r="T955">
        <v>8</v>
      </c>
      <c r="U955">
        <v>6</v>
      </c>
      <c r="V955">
        <v>5</v>
      </c>
      <c r="W955">
        <v>7</v>
      </c>
      <c r="X955">
        <v>2</v>
      </c>
      <c r="Y955">
        <v>11</v>
      </c>
      <c r="Z955">
        <v>1</v>
      </c>
      <c r="AA955" t="s">
        <v>100</v>
      </c>
      <c r="AB955">
        <v>2</v>
      </c>
      <c r="AC955" t="s">
        <v>100</v>
      </c>
      <c r="AD955" t="s">
        <v>100</v>
      </c>
      <c r="AE955" t="s">
        <v>100</v>
      </c>
      <c r="AF955" t="s">
        <v>100</v>
      </c>
      <c r="AG955">
        <v>1</v>
      </c>
      <c r="AH955" t="s">
        <v>100</v>
      </c>
      <c r="AI955" t="s">
        <v>100</v>
      </c>
      <c r="AJ955" t="s">
        <v>100</v>
      </c>
      <c r="AK955">
        <v>2</v>
      </c>
      <c r="AL955" t="s">
        <v>100</v>
      </c>
      <c r="AM955" t="s">
        <v>100</v>
      </c>
      <c r="AN955" t="s">
        <v>100</v>
      </c>
      <c r="AT955" t="s">
        <v>100</v>
      </c>
      <c r="AU955">
        <v>9</v>
      </c>
      <c r="AV955">
        <v>153</v>
      </c>
      <c r="AW955">
        <v>153</v>
      </c>
      <c r="AX955">
        <v>243</v>
      </c>
      <c r="AZ955" t="s">
        <v>101</v>
      </c>
      <c r="BA955">
        <v>1</v>
      </c>
      <c r="BC955" t="s">
        <v>2003</v>
      </c>
      <c r="BD955" s="4">
        <v>43283.320138888892</v>
      </c>
      <c r="BE955" s="4">
        <v>43283.343726851854</v>
      </c>
      <c r="BF955" s="4">
        <v>43283.343726851854</v>
      </c>
      <c r="BG955" t="s">
        <v>83</v>
      </c>
      <c r="BH955" t="s">
        <v>84</v>
      </c>
      <c r="BI955" t="s">
        <v>85</v>
      </c>
    </row>
    <row r="956" spans="1:61" x14ac:dyDescent="0.3">
      <c r="A956" t="str">
        <f>"201404B0100"</f>
        <v>201404B0100</v>
      </c>
      <c r="B956" t="s">
        <v>2004</v>
      </c>
      <c r="C956">
        <v>20</v>
      </c>
      <c r="D956" t="s">
        <v>79</v>
      </c>
      <c r="E956">
        <v>5</v>
      </c>
      <c r="F956" t="s">
        <v>1759</v>
      </c>
      <c r="G956">
        <v>1404</v>
      </c>
      <c r="H956">
        <v>1</v>
      </c>
      <c r="I956" t="s">
        <v>81</v>
      </c>
      <c r="J956">
        <v>0</v>
      </c>
      <c r="K956">
        <v>2</v>
      </c>
      <c r="L956">
        <v>2</v>
      </c>
      <c r="M956">
        <v>285</v>
      </c>
      <c r="N956">
        <v>237</v>
      </c>
      <c r="O956">
        <v>1</v>
      </c>
      <c r="P956">
        <v>237</v>
      </c>
      <c r="Q956">
        <v>21</v>
      </c>
      <c r="R956">
        <v>28</v>
      </c>
      <c r="S956">
        <v>30</v>
      </c>
      <c r="T956">
        <v>8</v>
      </c>
      <c r="U956">
        <v>17</v>
      </c>
      <c r="V956">
        <v>5</v>
      </c>
      <c r="W956">
        <v>0</v>
      </c>
      <c r="X956">
        <v>2</v>
      </c>
      <c r="Y956">
        <v>105</v>
      </c>
      <c r="Z956">
        <v>2</v>
      </c>
      <c r="AA956">
        <v>0</v>
      </c>
      <c r="AB956">
        <v>4</v>
      </c>
      <c r="AC956">
        <v>1</v>
      </c>
      <c r="AD956">
        <v>0</v>
      </c>
      <c r="AE956">
        <v>0</v>
      </c>
      <c r="AF956">
        <v>0</v>
      </c>
      <c r="AG956">
        <v>1</v>
      </c>
      <c r="AH956">
        <v>1</v>
      </c>
      <c r="AI956">
        <v>0</v>
      </c>
      <c r="AJ956">
        <v>0</v>
      </c>
      <c r="AK956">
        <v>3</v>
      </c>
      <c r="AL956">
        <v>1</v>
      </c>
      <c r="AM956">
        <v>0</v>
      </c>
      <c r="AN956">
        <v>0</v>
      </c>
      <c r="AT956">
        <v>0</v>
      </c>
      <c r="AU956">
        <v>7</v>
      </c>
      <c r="AV956">
        <v>237</v>
      </c>
      <c r="AW956">
        <v>236</v>
      </c>
      <c r="AX956">
        <v>500</v>
      </c>
      <c r="BA956">
        <v>1</v>
      </c>
      <c r="BC956" t="s">
        <v>2005</v>
      </c>
      <c r="BD956" s="4">
        <v>43283.436111111114</v>
      </c>
      <c r="BE956" s="4">
        <v>43283.440891203703</v>
      </c>
      <c r="BF956" s="4">
        <v>43283.440891203703</v>
      </c>
      <c r="BG956" t="s">
        <v>83</v>
      </c>
      <c r="BH956" t="s">
        <v>84</v>
      </c>
      <c r="BI956" t="s">
        <v>85</v>
      </c>
    </row>
    <row r="957" spans="1:61" x14ac:dyDescent="0.3">
      <c r="A957" t="str">
        <f>"201405B0100"</f>
        <v>201405B0100</v>
      </c>
      <c r="B957" t="s">
        <v>2006</v>
      </c>
      <c r="C957">
        <v>20</v>
      </c>
      <c r="D957" t="s">
        <v>79</v>
      </c>
      <c r="E957">
        <v>5</v>
      </c>
      <c r="F957" t="s">
        <v>1759</v>
      </c>
      <c r="G957">
        <v>1405</v>
      </c>
      <c r="H957">
        <v>1</v>
      </c>
      <c r="I957" t="s">
        <v>81</v>
      </c>
      <c r="J957">
        <v>0</v>
      </c>
      <c r="K957">
        <v>2</v>
      </c>
      <c r="L957">
        <v>2</v>
      </c>
      <c r="M957">
        <v>56</v>
      </c>
      <c r="N957">
        <v>79</v>
      </c>
      <c r="O957">
        <v>6</v>
      </c>
      <c r="P957">
        <v>79</v>
      </c>
      <c r="Q957">
        <v>7</v>
      </c>
      <c r="R957">
        <v>34</v>
      </c>
      <c r="S957">
        <v>5</v>
      </c>
      <c r="T957">
        <v>4</v>
      </c>
      <c r="U957">
        <v>8</v>
      </c>
      <c r="V957">
        <v>1</v>
      </c>
      <c r="W957">
        <v>0</v>
      </c>
      <c r="X957">
        <v>0</v>
      </c>
      <c r="Y957">
        <v>17</v>
      </c>
      <c r="Z957">
        <v>0</v>
      </c>
      <c r="AA957">
        <v>0</v>
      </c>
      <c r="AB957">
        <v>0</v>
      </c>
      <c r="AC957">
        <v>0</v>
      </c>
      <c r="AD957">
        <v>1</v>
      </c>
      <c r="AE957">
        <v>0</v>
      </c>
      <c r="AF957">
        <v>0</v>
      </c>
      <c r="AG957">
        <v>1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T957">
        <v>0</v>
      </c>
      <c r="AU957">
        <v>1</v>
      </c>
      <c r="AV957">
        <v>79</v>
      </c>
      <c r="AW957">
        <v>79</v>
      </c>
      <c r="AX957">
        <v>113</v>
      </c>
      <c r="BA957">
        <v>1</v>
      </c>
      <c r="BC957" t="s">
        <v>2007</v>
      </c>
      <c r="BD957" s="4">
        <v>43283.432638888888</v>
      </c>
      <c r="BE957" s="4">
        <v>43283.438472222224</v>
      </c>
      <c r="BF957" s="4">
        <v>43283.438472222224</v>
      </c>
      <c r="BG957" t="s">
        <v>83</v>
      </c>
      <c r="BH957" t="s">
        <v>84</v>
      </c>
      <c r="BI957" t="s">
        <v>85</v>
      </c>
    </row>
    <row r="958" spans="1:61" x14ac:dyDescent="0.3">
      <c r="A958" t="str">
        <f>"201406B0100"</f>
        <v>201406B0100</v>
      </c>
      <c r="B958" t="s">
        <v>2008</v>
      </c>
      <c r="C958">
        <v>20</v>
      </c>
      <c r="D958" t="s">
        <v>79</v>
      </c>
      <c r="E958">
        <v>5</v>
      </c>
      <c r="F958" t="s">
        <v>1759</v>
      </c>
      <c r="G958">
        <v>1406</v>
      </c>
      <c r="H958">
        <v>1</v>
      </c>
      <c r="I958" t="s">
        <v>81</v>
      </c>
      <c r="J958">
        <v>0</v>
      </c>
      <c r="K958">
        <v>2</v>
      </c>
      <c r="L958">
        <v>2</v>
      </c>
      <c r="M958">
        <v>52</v>
      </c>
      <c r="N958" t="s">
        <v>100</v>
      </c>
      <c r="O958">
        <v>3</v>
      </c>
      <c r="P958" t="s">
        <v>100</v>
      </c>
      <c r="Q958">
        <v>8</v>
      </c>
      <c r="R958">
        <v>33</v>
      </c>
      <c r="S958">
        <v>3</v>
      </c>
      <c r="T958" t="s">
        <v>100</v>
      </c>
      <c r="U958">
        <v>6</v>
      </c>
      <c r="V958" t="s">
        <v>100</v>
      </c>
      <c r="W958">
        <v>5</v>
      </c>
      <c r="X958" t="s">
        <v>100</v>
      </c>
      <c r="Y958">
        <v>12</v>
      </c>
      <c r="Z958" t="s">
        <v>100</v>
      </c>
      <c r="AA958">
        <v>1</v>
      </c>
      <c r="AB958">
        <v>1</v>
      </c>
      <c r="AC958" t="s">
        <v>100</v>
      </c>
      <c r="AD958" t="s">
        <v>100</v>
      </c>
      <c r="AE958" t="s">
        <v>100</v>
      </c>
      <c r="AF958" t="s">
        <v>100</v>
      </c>
      <c r="AG958" t="s">
        <v>100</v>
      </c>
      <c r="AH958">
        <v>1</v>
      </c>
      <c r="AI958" t="s">
        <v>100</v>
      </c>
      <c r="AJ958" t="s">
        <v>100</v>
      </c>
      <c r="AK958" t="s">
        <v>100</v>
      </c>
      <c r="AL958" t="s">
        <v>100</v>
      </c>
      <c r="AM958" t="s">
        <v>100</v>
      </c>
      <c r="AN958" t="s">
        <v>100</v>
      </c>
      <c r="AT958" t="s">
        <v>100</v>
      </c>
      <c r="AU958">
        <v>4</v>
      </c>
      <c r="AV958">
        <v>74</v>
      </c>
      <c r="AW958">
        <v>74</v>
      </c>
      <c r="AX958">
        <v>104</v>
      </c>
      <c r="AZ958" t="s">
        <v>101</v>
      </c>
      <c r="BA958">
        <v>1</v>
      </c>
      <c r="BC958" t="s">
        <v>2009</v>
      </c>
      <c r="BD958" s="4">
        <v>43283.422222222223</v>
      </c>
      <c r="BE958" s="4">
        <v>43283.431226851855</v>
      </c>
      <c r="BF958" s="4">
        <v>43283.431226851855</v>
      </c>
      <c r="BG958" t="s">
        <v>83</v>
      </c>
      <c r="BH958" t="s">
        <v>84</v>
      </c>
      <c r="BI958" t="s">
        <v>85</v>
      </c>
    </row>
    <row r="959" spans="1:61" x14ac:dyDescent="0.3">
      <c r="A959" t="str">
        <f>"201415B0100"</f>
        <v>201415B0100</v>
      </c>
      <c r="B959" t="s">
        <v>2010</v>
      </c>
      <c r="C959">
        <v>20</v>
      </c>
      <c r="D959" t="s">
        <v>79</v>
      </c>
      <c r="E959">
        <v>5</v>
      </c>
      <c r="F959" t="s">
        <v>1759</v>
      </c>
      <c r="G959">
        <v>1415</v>
      </c>
      <c r="H959">
        <v>1</v>
      </c>
      <c r="I959" t="s">
        <v>81</v>
      </c>
      <c r="J959">
        <v>0</v>
      </c>
      <c r="K959">
        <v>2</v>
      </c>
      <c r="L959">
        <v>2</v>
      </c>
      <c r="M959" t="s">
        <v>100</v>
      </c>
      <c r="N959" t="s">
        <v>100</v>
      </c>
      <c r="O959" t="s">
        <v>100</v>
      </c>
      <c r="P959" t="s">
        <v>100</v>
      </c>
      <c r="Q959">
        <v>11</v>
      </c>
      <c r="R959">
        <v>17</v>
      </c>
      <c r="S959">
        <v>13</v>
      </c>
      <c r="T959">
        <v>4</v>
      </c>
      <c r="U959">
        <v>19</v>
      </c>
      <c r="V959">
        <v>0</v>
      </c>
      <c r="W959">
        <v>0</v>
      </c>
      <c r="X959">
        <v>2</v>
      </c>
      <c r="Y959">
        <v>76</v>
      </c>
      <c r="Z959">
        <v>2</v>
      </c>
      <c r="AA959">
        <v>0</v>
      </c>
      <c r="AB959">
        <v>1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T959">
        <v>0</v>
      </c>
      <c r="AU959">
        <v>4</v>
      </c>
      <c r="AV959">
        <v>152</v>
      </c>
      <c r="AW959">
        <v>149</v>
      </c>
      <c r="AX959">
        <v>284</v>
      </c>
      <c r="BA959">
        <v>1</v>
      </c>
      <c r="BC959" t="s">
        <v>2011</v>
      </c>
      <c r="BD959" s="4">
        <v>43283.6</v>
      </c>
      <c r="BE959" s="4">
        <v>43283.608784722222</v>
      </c>
      <c r="BF959" s="4">
        <v>43283.608784722222</v>
      </c>
      <c r="BG959" t="s">
        <v>83</v>
      </c>
      <c r="BH959" t="s">
        <v>84</v>
      </c>
      <c r="BI959" t="s">
        <v>85</v>
      </c>
    </row>
    <row r="960" spans="1:61" x14ac:dyDescent="0.3">
      <c r="A960" t="str">
        <f>"201426B0100"</f>
        <v>201426B0100</v>
      </c>
      <c r="B960" t="s">
        <v>2012</v>
      </c>
      <c r="C960">
        <v>20</v>
      </c>
      <c r="D960" t="s">
        <v>79</v>
      </c>
      <c r="E960">
        <v>5</v>
      </c>
      <c r="F960" t="s">
        <v>1759</v>
      </c>
      <c r="G960">
        <v>1426</v>
      </c>
      <c r="H960">
        <v>1</v>
      </c>
      <c r="I960" t="s">
        <v>81</v>
      </c>
      <c r="J960">
        <v>0</v>
      </c>
      <c r="K960">
        <v>2</v>
      </c>
      <c r="L960">
        <v>2</v>
      </c>
      <c r="M960">
        <v>139</v>
      </c>
      <c r="N960">
        <v>455</v>
      </c>
      <c r="O960">
        <v>6</v>
      </c>
      <c r="P960">
        <v>455</v>
      </c>
      <c r="Q960">
        <v>21</v>
      </c>
      <c r="R960">
        <v>62</v>
      </c>
      <c r="S960">
        <v>5</v>
      </c>
      <c r="T960">
        <v>11</v>
      </c>
      <c r="U960">
        <v>18</v>
      </c>
      <c r="V960">
        <v>4</v>
      </c>
      <c r="W960">
        <v>26</v>
      </c>
      <c r="X960">
        <v>27</v>
      </c>
      <c r="Y960">
        <v>240</v>
      </c>
      <c r="Z960">
        <v>8</v>
      </c>
      <c r="AA960">
        <v>5</v>
      </c>
      <c r="AB960">
        <v>8</v>
      </c>
      <c r="AC960">
        <v>0</v>
      </c>
      <c r="AD960">
        <v>1</v>
      </c>
      <c r="AE960">
        <v>0</v>
      </c>
      <c r="AF960">
        <v>0</v>
      </c>
      <c r="AG960">
        <v>1</v>
      </c>
      <c r="AH960">
        <v>0</v>
      </c>
      <c r="AI960">
        <v>0</v>
      </c>
      <c r="AJ960">
        <v>0</v>
      </c>
      <c r="AK960">
        <v>2</v>
      </c>
      <c r="AL960">
        <v>0</v>
      </c>
      <c r="AM960">
        <v>0</v>
      </c>
      <c r="AN960">
        <v>0</v>
      </c>
      <c r="AT960">
        <v>0</v>
      </c>
      <c r="AU960">
        <v>16</v>
      </c>
      <c r="AV960">
        <v>455</v>
      </c>
      <c r="AW960">
        <v>455</v>
      </c>
      <c r="AX960">
        <v>572</v>
      </c>
      <c r="BA960">
        <v>1</v>
      </c>
      <c r="BC960" t="s">
        <v>2013</v>
      </c>
      <c r="BD960" s="4">
        <v>43283.431250000001</v>
      </c>
      <c r="BE960" s="4">
        <v>43283.435474537036</v>
      </c>
      <c r="BF960" s="4">
        <v>43283.435474537036</v>
      </c>
      <c r="BG960" t="s">
        <v>83</v>
      </c>
      <c r="BH960" t="s">
        <v>84</v>
      </c>
      <c r="BI960" t="s">
        <v>548</v>
      </c>
    </row>
    <row r="961" spans="1:61" x14ac:dyDescent="0.3">
      <c r="A961" t="str">
        <f>"201426C0100"</f>
        <v>201426C0100</v>
      </c>
      <c r="B961" t="s">
        <v>2014</v>
      </c>
      <c r="C961">
        <v>20</v>
      </c>
      <c r="D961" t="s">
        <v>79</v>
      </c>
      <c r="E961">
        <v>5</v>
      </c>
      <c r="F961" t="s">
        <v>1759</v>
      </c>
      <c r="G961">
        <v>1426</v>
      </c>
      <c r="H961">
        <v>1</v>
      </c>
      <c r="I961" t="s">
        <v>89</v>
      </c>
      <c r="J961">
        <v>0</v>
      </c>
      <c r="K961">
        <v>2</v>
      </c>
      <c r="L961">
        <v>2</v>
      </c>
      <c r="M961">
        <v>164</v>
      </c>
      <c r="N961">
        <v>429</v>
      </c>
      <c r="O961">
        <v>4</v>
      </c>
      <c r="P961">
        <v>429</v>
      </c>
      <c r="Q961">
        <v>17</v>
      </c>
      <c r="R961">
        <v>67</v>
      </c>
      <c r="S961">
        <v>9</v>
      </c>
      <c r="T961">
        <v>7</v>
      </c>
      <c r="U961">
        <v>19</v>
      </c>
      <c r="V961">
        <v>1</v>
      </c>
      <c r="W961">
        <v>29</v>
      </c>
      <c r="X961">
        <v>19</v>
      </c>
      <c r="Y961">
        <v>213</v>
      </c>
      <c r="Z961">
        <v>8</v>
      </c>
      <c r="AA961">
        <v>3</v>
      </c>
      <c r="AB961">
        <v>5</v>
      </c>
      <c r="AC961">
        <v>0</v>
      </c>
      <c r="AD961">
        <v>0</v>
      </c>
      <c r="AE961">
        <v>0</v>
      </c>
      <c r="AF961">
        <v>0</v>
      </c>
      <c r="AG961">
        <v>2</v>
      </c>
      <c r="AH961">
        <v>0</v>
      </c>
      <c r="AI961">
        <v>2</v>
      </c>
      <c r="AJ961">
        <v>0</v>
      </c>
      <c r="AK961">
        <v>7</v>
      </c>
      <c r="AL961">
        <v>1</v>
      </c>
      <c r="AM961">
        <v>0</v>
      </c>
      <c r="AN961">
        <v>0</v>
      </c>
      <c r="AT961">
        <v>0</v>
      </c>
      <c r="AU961">
        <v>20</v>
      </c>
      <c r="AV961">
        <v>429</v>
      </c>
      <c r="AW961">
        <v>429</v>
      </c>
      <c r="AX961">
        <v>571</v>
      </c>
      <c r="BA961">
        <v>1</v>
      </c>
      <c r="BC961" t="s">
        <v>2015</v>
      </c>
      <c r="BD961" s="4">
        <v>43283.176388888889</v>
      </c>
      <c r="BE961" s="4">
        <v>43283.191516203704</v>
      </c>
      <c r="BF961" s="4">
        <v>43283.191516203704</v>
      </c>
      <c r="BG961" t="s">
        <v>83</v>
      </c>
      <c r="BH961" t="s">
        <v>84</v>
      </c>
      <c r="BI961" t="s">
        <v>85</v>
      </c>
    </row>
    <row r="962" spans="1:61" x14ac:dyDescent="0.3">
      <c r="A962" t="str">
        <f>"201427B0100"</f>
        <v>201427B0100</v>
      </c>
      <c r="B962" t="s">
        <v>2016</v>
      </c>
      <c r="C962">
        <v>20</v>
      </c>
      <c r="D962" t="s">
        <v>79</v>
      </c>
      <c r="E962">
        <v>5</v>
      </c>
      <c r="F962" t="s">
        <v>1759</v>
      </c>
      <c r="G962">
        <v>1427</v>
      </c>
      <c r="H962">
        <v>1</v>
      </c>
      <c r="I962" t="s">
        <v>81</v>
      </c>
      <c r="J962">
        <v>0</v>
      </c>
      <c r="K962">
        <v>2</v>
      </c>
      <c r="L962">
        <v>2</v>
      </c>
      <c r="M962">
        <v>162</v>
      </c>
      <c r="N962">
        <v>395</v>
      </c>
      <c r="O962">
        <v>3</v>
      </c>
      <c r="P962" t="s">
        <v>315</v>
      </c>
      <c r="Q962">
        <v>26</v>
      </c>
      <c r="R962">
        <v>78</v>
      </c>
      <c r="S962">
        <v>5</v>
      </c>
      <c r="T962">
        <v>6</v>
      </c>
      <c r="U962">
        <v>21</v>
      </c>
      <c r="V962">
        <v>1</v>
      </c>
      <c r="W962">
        <v>22</v>
      </c>
      <c r="X962">
        <v>11</v>
      </c>
      <c r="Y962">
        <v>185</v>
      </c>
      <c r="Z962">
        <v>5</v>
      </c>
      <c r="AA962">
        <v>8</v>
      </c>
      <c r="AB962">
        <v>5</v>
      </c>
      <c r="AC962" t="s">
        <v>100</v>
      </c>
      <c r="AD962" t="s">
        <v>100</v>
      </c>
      <c r="AE962" t="s">
        <v>100</v>
      </c>
      <c r="AF962" t="s">
        <v>100</v>
      </c>
      <c r="AG962" t="s">
        <v>100</v>
      </c>
      <c r="AH962" t="s">
        <v>100</v>
      </c>
      <c r="AI962" t="s">
        <v>100</v>
      </c>
      <c r="AJ962" t="s">
        <v>100</v>
      </c>
      <c r="AK962">
        <v>12</v>
      </c>
      <c r="AL962" t="s">
        <v>100</v>
      </c>
      <c r="AM962" t="s">
        <v>100</v>
      </c>
      <c r="AN962" t="s">
        <v>100</v>
      </c>
      <c r="AT962" t="s">
        <v>100</v>
      </c>
      <c r="AU962">
        <v>11</v>
      </c>
      <c r="AV962">
        <v>395</v>
      </c>
      <c r="AW962">
        <v>396</v>
      </c>
      <c r="AX962">
        <v>535</v>
      </c>
      <c r="AZ962" t="s">
        <v>101</v>
      </c>
      <c r="BA962">
        <v>1</v>
      </c>
      <c r="BC962" t="s">
        <v>2017</v>
      </c>
      <c r="BD962" s="4">
        <v>43283.181944444441</v>
      </c>
      <c r="BE962" s="4">
        <v>43283.207812499997</v>
      </c>
      <c r="BF962" s="4">
        <v>43283.207812499997</v>
      </c>
      <c r="BG962" t="s">
        <v>83</v>
      </c>
      <c r="BH962" t="s">
        <v>84</v>
      </c>
      <c r="BI962" t="s">
        <v>85</v>
      </c>
    </row>
    <row r="963" spans="1:61" x14ac:dyDescent="0.3">
      <c r="A963" t="str">
        <f>"201427C0100"</f>
        <v>201427C0100</v>
      </c>
      <c r="B963" t="s">
        <v>2018</v>
      </c>
      <c r="C963">
        <v>20</v>
      </c>
      <c r="D963" t="s">
        <v>79</v>
      </c>
      <c r="E963">
        <v>5</v>
      </c>
      <c r="F963" t="s">
        <v>1759</v>
      </c>
      <c r="G963">
        <v>1427</v>
      </c>
      <c r="H963">
        <v>1</v>
      </c>
      <c r="I963" t="s">
        <v>89</v>
      </c>
      <c r="J963">
        <v>0</v>
      </c>
      <c r="K963">
        <v>2</v>
      </c>
      <c r="L963">
        <v>2</v>
      </c>
      <c r="M963">
        <v>169</v>
      </c>
      <c r="N963">
        <v>388</v>
      </c>
      <c r="O963">
        <v>3</v>
      </c>
      <c r="P963">
        <v>388</v>
      </c>
      <c r="Q963">
        <v>33</v>
      </c>
      <c r="R963">
        <v>74</v>
      </c>
      <c r="S963">
        <v>5</v>
      </c>
      <c r="T963">
        <v>2</v>
      </c>
      <c r="U963">
        <v>16</v>
      </c>
      <c r="V963">
        <v>0</v>
      </c>
      <c r="W963">
        <v>29</v>
      </c>
      <c r="X963">
        <v>13</v>
      </c>
      <c r="Y963">
        <v>162</v>
      </c>
      <c r="Z963">
        <v>8</v>
      </c>
      <c r="AA963">
        <v>17</v>
      </c>
      <c r="AB963">
        <v>5</v>
      </c>
      <c r="AC963">
        <v>0</v>
      </c>
      <c r="AD963">
        <v>0</v>
      </c>
      <c r="AE963">
        <v>0</v>
      </c>
      <c r="AF963">
        <v>0</v>
      </c>
      <c r="AG963">
        <v>3</v>
      </c>
      <c r="AH963">
        <v>0</v>
      </c>
      <c r="AI963">
        <v>0</v>
      </c>
      <c r="AJ963">
        <v>0</v>
      </c>
      <c r="AK963">
        <v>5</v>
      </c>
      <c r="AL963">
        <v>0</v>
      </c>
      <c r="AM963">
        <v>0</v>
      </c>
      <c r="AN963">
        <v>0</v>
      </c>
      <c r="AT963">
        <v>0</v>
      </c>
      <c r="AU963">
        <v>16</v>
      </c>
      <c r="AV963">
        <v>388</v>
      </c>
      <c r="AW963">
        <v>388</v>
      </c>
      <c r="AX963">
        <v>535</v>
      </c>
      <c r="BA963">
        <v>1</v>
      </c>
      <c r="BC963" t="s">
        <v>2019</v>
      </c>
      <c r="BD963" s="4">
        <v>43283.181944444441</v>
      </c>
      <c r="BE963" s="4">
        <v>43283.201331018521</v>
      </c>
      <c r="BF963" s="4">
        <v>43283.201331018521</v>
      </c>
      <c r="BG963" t="s">
        <v>83</v>
      </c>
      <c r="BH963" t="s">
        <v>84</v>
      </c>
      <c r="BI963" t="s">
        <v>85</v>
      </c>
    </row>
    <row r="964" spans="1:61" x14ac:dyDescent="0.3">
      <c r="A964" t="str">
        <f>"201427C0200"</f>
        <v>201427C0200</v>
      </c>
      <c r="B964" t="s">
        <v>2020</v>
      </c>
      <c r="C964">
        <v>20</v>
      </c>
      <c r="D964" t="s">
        <v>79</v>
      </c>
      <c r="E964">
        <v>5</v>
      </c>
      <c r="F964" t="s">
        <v>1759</v>
      </c>
      <c r="G964">
        <v>1427</v>
      </c>
      <c r="H964">
        <v>2</v>
      </c>
      <c r="I964" t="s">
        <v>89</v>
      </c>
      <c r="J964">
        <v>0</v>
      </c>
      <c r="K964">
        <v>2</v>
      </c>
      <c r="L964">
        <v>2</v>
      </c>
      <c r="AX964">
        <v>535</v>
      </c>
      <c r="AZ964" t="s">
        <v>156</v>
      </c>
      <c r="BA964">
        <v>0</v>
      </c>
      <c r="BC964" t="s">
        <v>2021</v>
      </c>
      <c r="BD964" s="4">
        <v>43283.621527777781</v>
      </c>
      <c r="BE964" s="4">
        <v>43283.62599537037</v>
      </c>
      <c r="BF964" s="4">
        <v>43283.62599537037</v>
      </c>
      <c r="BG964" t="s">
        <v>83</v>
      </c>
      <c r="BH964" t="s">
        <v>84</v>
      </c>
      <c r="BI964" t="s">
        <v>85</v>
      </c>
    </row>
    <row r="965" spans="1:61" x14ac:dyDescent="0.3">
      <c r="A965" t="str">
        <f>"201428B0100"</f>
        <v>201428B0100</v>
      </c>
      <c r="B965" t="s">
        <v>2022</v>
      </c>
      <c r="C965">
        <v>20</v>
      </c>
      <c r="D965" t="s">
        <v>79</v>
      </c>
      <c r="E965">
        <v>5</v>
      </c>
      <c r="F965" t="s">
        <v>1759</v>
      </c>
      <c r="G965">
        <v>1428</v>
      </c>
      <c r="H965">
        <v>1</v>
      </c>
      <c r="I965" t="s">
        <v>81</v>
      </c>
      <c r="J965">
        <v>0</v>
      </c>
      <c r="K965">
        <v>1</v>
      </c>
      <c r="L965">
        <v>2</v>
      </c>
      <c r="M965">
        <v>115</v>
      </c>
      <c r="N965">
        <v>409</v>
      </c>
      <c r="O965">
        <v>0</v>
      </c>
      <c r="P965">
        <v>409</v>
      </c>
      <c r="Q965">
        <v>28</v>
      </c>
      <c r="R965">
        <v>79</v>
      </c>
      <c r="S965">
        <v>6</v>
      </c>
      <c r="T965">
        <v>5</v>
      </c>
      <c r="U965">
        <v>23</v>
      </c>
      <c r="V965">
        <v>1</v>
      </c>
      <c r="W965">
        <v>38</v>
      </c>
      <c r="X965">
        <v>16</v>
      </c>
      <c r="Y965">
        <v>145</v>
      </c>
      <c r="Z965">
        <v>8</v>
      </c>
      <c r="AA965">
        <v>1</v>
      </c>
      <c r="AB965">
        <v>4</v>
      </c>
      <c r="AC965">
        <v>1</v>
      </c>
      <c r="AD965">
        <v>0</v>
      </c>
      <c r="AE965">
        <v>0</v>
      </c>
      <c r="AF965">
        <v>0</v>
      </c>
      <c r="AG965">
        <v>0</v>
      </c>
      <c r="AH965">
        <v>4</v>
      </c>
      <c r="AI965">
        <v>4</v>
      </c>
      <c r="AJ965">
        <v>1</v>
      </c>
      <c r="AK965">
        <v>4</v>
      </c>
      <c r="AL965">
        <v>0</v>
      </c>
      <c r="AM965">
        <v>0</v>
      </c>
      <c r="AN965">
        <v>1</v>
      </c>
      <c r="AT965">
        <v>1</v>
      </c>
      <c r="AU965">
        <v>37</v>
      </c>
      <c r="AV965">
        <v>407</v>
      </c>
      <c r="AW965">
        <v>407</v>
      </c>
      <c r="AX965">
        <v>501</v>
      </c>
      <c r="BA965">
        <v>1</v>
      </c>
      <c r="BC965" t="s">
        <v>2023</v>
      </c>
      <c r="BD965" s="4">
        <v>43283.178472222222</v>
      </c>
      <c r="BE965" s="4">
        <v>43283.197372685187</v>
      </c>
      <c r="BF965" s="4">
        <v>43283.197372685187</v>
      </c>
      <c r="BG965" t="s">
        <v>83</v>
      </c>
      <c r="BH965" t="s">
        <v>84</v>
      </c>
      <c r="BI965" t="s">
        <v>85</v>
      </c>
    </row>
    <row r="966" spans="1:61" x14ac:dyDescent="0.3">
      <c r="A966" t="str">
        <f>"201428C0100"</f>
        <v>201428C0100</v>
      </c>
      <c r="B966" t="s">
        <v>2024</v>
      </c>
      <c r="C966">
        <v>20</v>
      </c>
      <c r="D966" t="s">
        <v>79</v>
      </c>
      <c r="E966">
        <v>5</v>
      </c>
      <c r="F966" t="s">
        <v>1759</v>
      </c>
      <c r="G966">
        <v>1428</v>
      </c>
      <c r="H966">
        <v>1</v>
      </c>
      <c r="I966" t="s">
        <v>89</v>
      </c>
      <c r="J966">
        <v>0</v>
      </c>
      <c r="K966">
        <v>1</v>
      </c>
      <c r="L966">
        <v>2</v>
      </c>
      <c r="M966">
        <v>129</v>
      </c>
      <c r="N966">
        <v>394</v>
      </c>
      <c r="O966">
        <v>3</v>
      </c>
      <c r="P966">
        <v>394</v>
      </c>
      <c r="Q966">
        <v>23</v>
      </c>
      <c r="R966">
        <v>107</v>
      </c>
      <c r="S966">
        <v>6</v>
      </c>
      <c r="T966">
        <v>7</v>
      </c>
      <c r="U966">
        <v>21</v>
      </c>
      <c r="V966">
        <v>1</v>
      </c>
      <c r="W966">
        <v>34</v>
      </c>
      <c r="X966">
        <v>12</v>
      </c>
      <c r="Y966">
        <v>148</v>
      </c>
      <c r="Z966">
        <v>9</v>
      </c>
      <c r="AA966">
        <v>2</v>
      </c>
      <c r="AB966">
        <v>5</v>
      </c>
      <c r="AC966">
        <v>0</v>
      </c>
      <c r="AD966">
        <v>1</v>
      </c>
      <c r="AE966">
        <v>0</v>
      </c>
      <c r="AF966">
        <v>0</v>
      </c>
      <c r="AG966">
        <v>1</v>
      </c>
      <c r="AH966">
        <v>1</v>
      </c>
      <c r="AI966">
        <v>2</v>
      </c>
      <c r="AJ966">
        <v>0</v>
      </c>
      <c r="AK966">
        <v>0</v>
      </c>
      <c r="AL966">
        <v>0</v>
      </c>
      <c r="AM966">
        <v>0</v>
      </c>
      <c r="AN966">
        <v>2</v>
      </c>
      <c r="AT966">
        <v>2</v>
      </c>
      <c r="AU966">
        <v>10</v>
      </c>
      <c r="AV966">
        <v>394</v>
      </c>
      <c r="AW966">
        <v>394</v>
      </c>
      <c r="AX966">
        <v>501</v>
      </c>
      <c r="BA966">
        <v>1</v>
      </c>
      <c r="BC966" t="s">
        <v>2025</v>
      </c>
      <c r="BD966" s="4">
        <v>43283.067974537036</v>
      </c>
      <c r="BE966" s="4">
        <v>43283.07234953704</v>
      </c>
      <c r="BF966" s="4">
        <v>43283.07234953704</v>
      </c>
      <c r="BG966" t="s">
        <v>373</v>
      </c>
      <c r="BH966" t="s">
        <v>374</v>
      </c>
      <c r="BI966" t="s">
        <v>85</v>
      </c>
    </row>
    <row r="967" spans="1:61" x14ac:dyDescent="0.3">
      <c r="A967" t="str">
        <f>"201429B0100"</f>
        <v>201429B0100</v>
      </c>
      <c r="B967" t="s">
        <v>2026</v>
      </c>
      <c r="C967">
        <v>20</v>
      </c>
      <c r="D967" t="s">
        <v>79</v>
      </c>
      <c r="E967">
        <v>5</v>
      </c>
      <c r="F967" t="s">
        <v>1759</v>
      </c>
      <c r="G967">
        <v>1429</v>
      </c>
      <c r="H967">
        <v>1</v>
      </c>
      <c r="I967" t="s">
        <v>81</v>
      </c>
      <c r="J967">
        <v>0</v>
      </c>
      <c r="K967">
        <v>1</v>
      </c>
      <c r="L967">
        <v>2</v>
      </c>
      <c r="M967">
        <v>167</v>
      </c>
      <c r="N967">
        <v>464</v>
      </c>
      <c r="O967">
        <v>2</v>
      </c>
      <c r="P967">
        <v>464</v>
      </c>
      <c r="Q967">
        <v>34</v>
      </c>
      <c r="R967">
        <v>84</v>
      </c>
      <c r="S967">
        <v>12</v>
      </c>
      <c r="T967">
        <v>5</v>
      </c>
      <c r="U967">
        <v>17</v>
      </c>
      <c r="V967">
        <v>6</v>
      </c>
      <c r="W967">
        <v>22</v>
      </c>
      <c r="X967">
        <v>6</v>
      </c>
      <c r="Y967">
        <v>211</v>
      </c>
      <c r="Z967">
        <v>12</v>
      </c>
      <c r="AA967">
        <v>7</v>
      </c>
      <c r="AB967">
        <v>4</v>
      </c>
      <c r="AC967">
        <v>1</v>
      </c>
      <c r="AD967">
        <v>2</v>
      </c>
      <c r="AE967">
        <v>0</v>
      </c>
      <c r="AF967">
        <v>1</v>
      </c>
      <c r="AG967">
        <v>3</v>
      </c>
      <c r="AH967">
        <v>0</v>
      </c>
      <c r="AI967">
        <v>0</v>
      </c>
      <c r="AJ967">
        <v>0</v>
      </c>
      <c r="AK967">
        <v>14</v>
      </c>
      <c r="AL967">
        <v>1</v>
      </c>
      <c r="AM967">
        <v>0</v>
      </c>
      <c r="AN967">
        <v>2</v>
      </c>
      <c r="AT967">
        <v>0</v>
      </c>
      <c r="AU967">
        <v>20</v>
      </c>
      <c r="AV967">
        <v>464</v>
      </c>
      <c r="AW967">
        <v>464</v>
      </c>
      <c r="AX967">
        <v>609</v>
      </c>
      <c r="BA967">
        <v>1</v>
      </c>
      <c r="BC967" t="s">
        <v>2027</v>
      </c>
      <c r="BD967" s="4">
        <v>43283.181944444441</v>
      </c>
      <c r="BE967" s="4">
        <v>43283.200092592589</v>
      </c>
      <c r="BF967" s="4">
        <v>43283.200092592589</v>
      </c>
      <c r="BG967" t="s">
        <v>83</v>
      </c>
      <c r="BH967" t="s">
        <v>84</v>
      </c>
      <c r="BI967" t="s">
        <v>85</v>
      </c>
    </row>
    <row r="968" spans="1:61" x14ac:dyDescent="0.3">
      <c r="A968" t="str">
        <f>"201429C0100"</f>
        <v>201429C0100</v>
      </c>
      <c r="B968" t="s">
        <v>2028</v>
      </c>
      <c r="C968">
        <v>20</v>
      </c>
      <c r="D968" t="s">
        <v>79</v>
      </c>
      <c r="E968">
        <v>5</v>
      </c>
      <c r="F968" t="s">
        <v>1759</v>
      </c>
      <c r="G968">
        <v>1429</v>
      </c>
      <c r="H968">
        <v>1</v>
      </c>
      <c r="I968" t="s">
        <v>89</v>
      </c>
      <c r="J968">
        <v>0</v>
      </c>
      <c r="K968">
        <v>1</v>
      </c>
      <c r="L968">
        <v>2</v>
      </c>
      <c r="M968">
        <v>181</v>
      </c>
      <c r="N968">
        <v>450</v>
      </c>
      <c r="O968">
        <v>5</v>
      </c>
      <c r="P968">
        <v>450</v>
      </c>
      <c r="Q968">
        <v>39</v>
      </c>
      <c r="R968">
        <v>78</v>
      </c>
      <c r="S968">
        <v>13</v>
      </c>
      <c r="T968">
        <v>9</v>
      </c>
      <c r="U968">
        <v>19</v>
      </c>
      <c r="V968">
        <v>4</v>
      </c>
      <c r="W968">
        <v>15</v>
      </c>
      <c r="X968">
        <v>15</v>
      </c>
      <c r="Y968">
        <v>201</v>
      </c>
      <c r="Z968">
        <v>12</v>
      </c>
      <c r="AA968">
        <v>8</v>
      </c>
      <c r="AB968">
        <v>13</v>
      </c>
      <c r="AC968">
        <v>0</v>
      </c>
      <c r="AD968">
        <v>2</v>
      </c>
      <c r="AE968">
        <v>0</v>
      </c>
      <c r="AF968">
        <v>1</v>
      </c>
      <c r="AG968">
        <v>1</v>
      </c>
      <c r="AH968">
        <v>0</v>
      </c>
      <c r="AI968">
        <v>1</v>
      </c>
      <c r="AJ968">
        <v>0</v>
      </c>
      <c r="AK968">
        <v>3</v>
      </c>
      <c r="AL968">
        <v>0</v>
      </c>
      <c r="AM968">
        <v>0</v>
      </c>
      <c r="AN968">
        <v>2</v>
      </c>
      <c r="AT968">
        <v>0</v>
      </c>
      <c r="AU968">
        <v>13</v>
      </c>
      <c r="AV968">
        <v>450</v>
      </c>
      <c r="AW968">
        <v>449</v>
      </c>
      <c r="AX968">
        <v>609</v>
      </c>
      <c r="BA968">
        <v>1</v>
      </c>
      <c r="BC968" t="s">
        <v>2029</v>
      </c>
      <c r="BD968" s="4">
        <v>43283.178472222222</v>
      </c>
      <c r="BE968" s="4">
        <v>43283.195960648147</v>
      </c>
      <c r="BF968" s="4">
        <v>43283.195960648147</v>
      </c>
      <c r="BG968" t="s">
        <v>83</v>
      </c>
      <c r="BH968" t="s">
        <v>84</v>
      </c>
      <c r="BI968" t="s">
        <v>85</v>
      </c>
    </row>
    <row r="969" spans="1:61" x14ac:dyDescent="0.3">
      <c r="A969" t="str">
        <f>"201430B0100"</f>
        <v>201430B0100</v>
      </c>
      <c r="B969" t="s">
        <v>2030</v>
      </c>
      <c r="C969">
        <v>20</v>
      </c>
      <c r="D969" t="s">
        <v>79</v>
      </c>
      <c r="E969">
        <v>5</v>
      </c>
      <c r="F969" t="s">
        <v>1759</v>
      </c>
      <c r="G969">
        <v>1430</v>
      </c>
      <c r="H969">
        <v>1</v>
      </c>
      <c r="I969" t="s">
        <v>81</v>
      </c>
      <c r="J969">
        <v>0</v>
      </c>
      <c r="K969">
        <v>2</v>
      </c>
      <c r="L969">
        <v>2</v>
      </c>
      <c r="M969">
        <v>79</v>
      </c>
      <c r="N969">
        <v>200</v>
      </c>
      <c r="O969">
        <v>6</v>
      </c>
      <c r="P969">
        <v>200</v>
      </c>
      <c r="Q969">
        <v>12</v>
      </c>
      <c r="R969">
        <v>50</v>
      </c>
      <c r="S969">
        <v>6</v>
      </c>
      <c r="T969">
        <v>3</v>
      </c>
      <c r="U969">
        <v>9</v>
      </c>
      <c r="V969">
        <v>2</v>
      </c>
      <c r="W969">
        <v>7</v>
      </c>
      <c r="X969">
        <v>6</v>
      </c>
      <c r="Y969">
        <v>81</v>
      </c>
      <c r="Z969">
        <v>3</v>
      </c>
      <c r="AA969">
        <v>1</v>
      </c>
      <c r="AB969">
        <v>3</v>
      </c>
      <c r="AC969">
        <v>0</v>
      </c>
      <c r="AD969">
        <v>1</v>
      </c>
      <c r="AE969">
        <v>1</v>
      </c>
      <c r="AF969">
        <v>0</v>
      </c>
      <c r="AG969">
        <v>2</v>
      </c>
      <c r="AH969">
        <v>0</v>
      </c>
      <c r="AI969">
        <v>0</v>
      </c>
      <c r="AJ969">
        <v>0</v>
      </c>
      <c r="AK969">
        <v>0</v>
      </c>
      <c r="AL969">
        <v>3</v>
      </c>
      <c r="AM969">
        <v>1</v>
      </c>
      <c r="AN969">
        <v>0</v>
      </c>
      <c r="AT969">
        <v>0</v>
      </c>
      <c r="AU969">
        <v>9</v>
      </c>
      <c r="AV969">
        <v>200</v>
      </c>
      <c r="AW969">
        <v>200</v>
      </c>
      <c r="AX969">
        <v>257</v>
      </c>
      <c r="BA969">
        <v>1</v>
      </c>
      <c r="BC969" t="s">
        <v>2031</v>
      </c>
      <c r="BD969" s="4">
        <v>43282.976134259261</v>
      </c>
      <c r="BE969" s="4">
        <v>43282.97997685185</v>
      </c>
      <c r="BF969" s="4">
        <v>43282.97997685185</v>
      </c>
      <c r="BG969" t="s">
        <v>373</v>
      </c>
      <c r="BH969" t="s">
        <v>374</v>
      </c>
      <c r="BI969" t="s">
        <v>85</v>
      </c>
    </row>
    <row r="970" spans="1:61" x14ac:dyDescent="0.3">
      <c r="A970" t="str">
        <f>"201459B0100"</f>
        <v>201459B0100</v>
      </c>
      <c r="B970" t="s">
        <v>2032</v>
      </c>
      <c r="C970">
        <v>20</v>
      </c>
      <c r="D970" t="s">
        <v>79</v>
      </c>
      <c r="E970">
        <v>5</v>
      </c>
      <c r="F970" t="s">
        <v>1759</v>
      </c>
      <c r="G970">
        <v>1459</v>
      </c>
      <c r="H970">
        <v>1</v>
      </c>
      <c r="I970" t="s">
        <v>81</v>
      </c>
      <c r="J970">
        <v>0</v>
      </c>
      <c r="K970">
        <v>2</v>
      </c>
      <c r="L970">
        <v>2</v>
      </c>
      <c r="M970">
        <v>245</v>
      </c>
      <c r="N970">
        <v>251</v>
      </c>
      <c r="O970">
        <v>0</v>
      </c>
      <c r="P970">
        <v>251</v>
      </c>
      <c r="Q970">
        <v>10</v>
      </c>
      <c r="R970">
        <v>31</v>
      </c>
      <c r="S970">
        <v>21</v>
      </c>
      <c r="T970">
        <v>3</v>
      </c>
      <c r="U970">
        <v>66</v>
      </c>
      <c r="V970">
        <v>4</v>
      </c>
      <c r="W970">
        <v>1</v>
      </c>
      <c r="X970">
        <v>4</v>
      </c>
      <c r="Y970">
        <v>94</v>
      </c>
      <c r="Z970">
        <v>1</v>
      </c>
      <c r="AA970">
        <v>2</v>
      </c>
      <c r="AB970">
        <v>1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2</v>
      </c>
      <c r="AI970">
        <v>0</v>
      </c>
      <c r="AJ970">
        <v>0</v>
      </c>
      <c r="AK970">
        <v>0</v>
      </c>
      <c r="AL970">
        <v>1</v>
      </c>
      <c r="AM970">
        <v>0</v>
      </c>
      <c r="AN970">
        <v>1</v>
      </c>
      <c r="AT970">
        <v>0</v>
      </c>
      <c r="AU970">
        <v>9</v>
      </c>
      <c r="AV970">
        <v>251</v>
      </c>
      <c r="AW970">
        <v>251</v>
      </c>
      <c r="AX970">
        <v>474</v>
      </c>
      <c r="BA970">
        <v>1</v>
      </c>
      <c r="BC970" t="s">
        <v>2033</v>
      </c>
      <c r="BD970" s="4">
        <v>43283.137499999997</v>
      </c>
      <c r="BE970" s="4">
        <v>43283.141770833332</v>
      </c>
      <c r="BF970" s="4">
        <v>43283.141770833332</v>
      </c>
      <c r="BG970" t="s">
        <v>83</v>
      </c>
      <c r="BH970" t="s">
        <v>84</v>
      </c>
      <c r="BI970" t="s">
        <v>85</v>
      </c>
    </row>
    <row r="971" spans="1:61" x14ac:dyDescent="0.3">
      <c r="A971" t="str">
        <f>"201460B0100"</f>
        <v>201460B0100</v>
      </c>
      <c r="B971" t="s">
        <v>2034</v>
      </c>
      <c r="C971">
        <v>20</v>
      </c>
      <c r="D971" t="s">
        <v>79</v>
      </c>
      <c r="E971">
        <v>5</v>
      </c>
      <c r="F971" t="s">
        <v>1759</v>
      </c>
      <c r="G971">
        <v>1460</v>
      </c>
      <c r="H971">
        <v>1</v>
      </c>
      <c r="I971" t="s">
        <v>81</v>
      </c>
      <c r="J971">
        <v>0</v>
      </c>
      <c r="K971">
        <v>2</v>
      </c>
      <c r="L971">
        <v>2</v>
      </c>
      <c r="M971">
        <v>63</v>
      </c>
      <c r="N971">
        <v>76</v>
      </c>
      <c r="O971">
        <v>0</v>
      </c>
      <c r="P971">
        <v>76</v>
      </c>
      <c r="Q971">
        <v>3</v>
      </c>
      <c r="R971">
        <v>10</v>
      </c>
      <c r="S971">
        <v>4</v>
      </c>
      <c r="T971">
        <v>2</v>
      </c>
      <c r="U971">
        <v>8</v>
      </c>
      <c r="V971">
        <v>2</v>
      </c>
      <c r="W971">
        <v>0</v>
      </c>
      <c r="X971">
        <v>1</v>
      </c>
      <c r="Y971">
        <v>36</v>
      </c>
      <c r="Z971">
        <v>3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1</v>
      </c>
      <c r="AL971">
        <v>1</v>
      </c>
      <c r="AM971">
        <v>0</v>
      </c>
      <c r="AN971">
        <v>0</v>
      </c>
      <c r="AT971">
        <v>0</v>
      </c>
      <c r="AU971">
        <v>5</v>
      </c>
      <c r="AV971">
        <v>76</v>
      </c>
      <c r="AW971">
        <v>76</v>
      </c>
      <c r="AX971">
        <v>117</v>
      </c>
      <c r="BA971">
        <v>1</v>
      </c>
      <c r="BC971" t="s">
        <v>2035</v>
      </c>
      <c r="BD971" s="4">
        <v>43283.137499999997</v>
      </c>
      <c r="BE971" s="4">
        <v>43283.156238425923</v>
      </c>
      <c r="BF971" s="4">
        <v>43283.156238425923</v>
      </c>
      <c r="BG971" t="s">
        <v>83</v>
      </c>
      <c r="BH971" t="s">
        <v>84</v>
      </c>
      <c r="BI971" t="s">
        <v>85</v>
      </c>
    </row>
    <row r="972" spans="1:61" x14ac:dyDescent="0.3">
      <c r="A972" t="str">
        <f>"201513B0100"</f>
        <v>201513B0100</v>
      </c>
      <c r="B972" t="s">
        <v>2036</v>
      </c>
      <c r="C972">
        <v>20</v>
      </c>
      <c r="D972" t="s">
        <v>79</v>
      </c>
      <c r="E972">
        <v>5</v>
      </c>
      <c r="F972" t="s">
        <v>1759</v>
      </c>
      <c r="G972">
        <v>1513</v>
      </c>
      <c r="H972">
        <v>1</v>
      </c>
      <c r="I972" t="s">
        <v>81</v>
      </c>
      <c r="J972">
        <v>0</v>
      </c>
      <c r="K972">
        <v>2</v>
      </c>
      <c r="L972">
        <v>2</v>
      </c>
      <c r="M972">
        <v>166</v>
      </c>
      <c r="N972">
        <v>226</v>
      </c>
      <c r="O972">
        <v>5</v>
      </c>
      <c r="P972">
        <v>226</v>
      </c>
      <c r="Q972">
        <v>23</v>
      </c>
      <c r="R972">
        <v>35</v>
      </c>
      <c r="S972">
        <v>11</v>
      </c>
      <c r="T972">
        <v>4</v>
      </c>
      <c r="U972">
        <v>28</v>
      </c>
      <c r="V972">
        <v>5</v>
      </c>
      <c r="W972">
        <v>4</v>
      </c>
      <c r="X972">
        <v>4</v>
      </c>
      <c r="Y972">
        <v>72</v>
      </c>
      <c r="Z972">
        <v>6</v>
      </c>
      <c r="AA972">
        <v>0</v>
      </c>
      <c r="AB972">
        <v>1</v>
      </c>
      <c r="AC972">
        <v>0</v>
      </c>
      <c r="AD972">
        <v>0</v>
      </c>
      <c r="AE972">
        <v>0</v>
      </c>
      <c r="AF972">
        <v>0</v>
      </c>
      <c r="AG972">
        <v>2</v>
      </c>
      <c r="AH972">
        <v>1</v>
      </c>
      <c r="AI972">
        <v>0</v>
      </c>
      <c r="AJ972">
        <v>0</v>
      </c>
      <c r="AK972">
        <v>6</v>
      </c>
      <c r="AL972">
        <v>5</v>
      </c>
      <c r="AM972">
        <v>0</v>
      </c>
      <c r="AN972">
        <v>3</v>
      </c>
      <c r="AT972">
        <v>0</v>
      </c>
      <c r="AU972">
        <v>16</v>
      </c>
      <c r="AV972">
        <v>226</v>
      </c>
      <c r="AW972">
        <v>226</v>
      </c>
      <c r="AX972">
        <v>370</v>
      </c>
      <c r="BA972">
        <v>1</v>
      </c>
      <c r="BC972" t="s">
        <v>2037</v>
      </c>
      <c r="BD972" s="4">
        <v>43283.522916666669</v>
      </c>
      <c r="BE972" s="4">
        <v>43283.532546296294</v>
      </c>
      <c r="BF972" s="4">
        <v>43283.532546296294</v>
      </c>
      <c r="BG972" t="s">
        <v>83</v>
      </c>
      <c r="BH972" t="s">
        <v>84</v>
      </c>
      <c r="BI972" t="s">
        <v>85</v>
      </c>
    </row>
    <row r="973" spans="1:61" x14ac:dyDescent="0.3">
      <c r="A973" t="str">
        <f>"201513E0100"</f>
        <v>201513E0100</v>
      </c>
      <c r="B973" s="2" t="s">
        <v>2038</v>
      </c>
      <c r="C973">
        <v>20</v>
      </c>
      <c r="D973" t="s">
        <v>79</v>
      </c>
      <c r="E973">
        <v>5</v>
      </c>
      <c r="F973" t="s">
        <v>1759</v>
      </c>
      <c r="G973">
        <v>1513</v>
      </c>
      <c r="H973">
        <v>1</v>
      </c>
      <c r="I973" t="s">
        <v>145</v>
      </c>
      <c r="J973">
        <v>0</v>
      </c>
      <c r="K973">
        <v>2</v>
      </c>
      <c r="L973">
        <v>2</v>
      </c>
      <c r="M973">
        <v>83</v>
      </c>
      <c r="N973">
        <v>98</v>
      </c>
      <c r="O973">
        <v>7</v>
      </c>
      <c r="P973">
        <v>98</v>
      </c>
      <c r="Q973">
        <v>11</v>
      </c>
      <c r="R973">
        <v>47</v>
      </c>
      <c r="S973">
        <v>7</v>
      </c>
      <c r="T973">
        <v>0</v>
      </c>
      <c r="U973">
        <v>10</v>
      </c>
      <c r="V973">
        <v>0</v>
      </c>
      <c r="W973">
        <v>2</v>
      </c>
      <c r="X973">
        <v>1</v>
      </c>
      <c r="Y973">
        <v>8</v>
      </c>
      <c r="Z973">
        <v>0</v>
      </c>
      <c r="AA973">
        <v>0</v>
      </c>
      <c r="AB973">
        <v>1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T973">
        <v>0</v>
      </c>
      <c r="AU973">
        <v>11</v>
      </c>
      <c r="AV973">
        <v>98</v>
      </c>
      <c r="AW973">
        <v>98</v>
      </c>
      <c r="AX973">
        <v>159</v>
      </c>
      <c r="BA973">
        <v>1</v>
      </c>
      <c r="BC973" t="s">
        <v>2039</v>
      </c>
      <c r="BD973" s="4">
        <v>43283.520833333336</v>
      </c>
      <c r="BE973" s="4">
        <v>43283.525138888886</v>
      </c>
      <c r="BF973" s="4">
        <v>43283.525138888886</v>
      </c>
      <c r="BG973" t="s">
        <v>83</v>
      </c>
      <c r="BH973" t="s">
        <v>84</v>
      </c>
      <c r="BI973" t="s">
        <v>85</v>
      </c>
    </row>
    <row r="974" spans="1:61" x14ac:dyDescent="0.3">
      <c r="A974" t="str">
        <f>"201554B0100"</f>
        <v>201554B0100</v>
      </c>
      <c r="B974" t="s">
        <v>2040</v>
      </c>
      <c r="C974">
        <v>20</v>
      </c>
      <c r="D974" t="s">
        <v>79</v>
      </c>
      <c r="E974">
        <v>5</v>
      </c>
      <c r="F974" t="s">
        <v>1759</v>
      </c>
      <c r="G974">
        <v>1554</v>
      </c>
      <c r="H974">
        <v>1</v>
      </c>
      <c r="I974" t="s">
        <v>81</v>
      </c>
      <c r="J974">
        <v>0</v>
      </c>
      <c r="K974">
        <v>2</v>
      </c>
      <c r="L974">
        <v>2</v>
      </c>
      <c r="M974">
        <v>325</v>
      </c>
      <c r="N974">
        <v>296</v>
      </c>
      <c r="O974">
        <v>0</v>
      </c>
      <c r="P974">
        <v>296</v>
      </c>
      <c r="Q974">
        <v>13</v>
      </c>
      <c r="R974">
        <v>94</v>
      </c>
      <c r="S974">
        <v>15</v>
      </c>
      <c r="T974">
        <v>1</v>
      </c>
      <c r="U974">
        <v>35</v>
      </c>
      <c r="V974">
        <v>4</v>
      </c>
      <c r="W974">
        <v>15</v>
      </c>
      <c r="X974">
        <v>2</v>
      </c>
      <c r="Y974">
        <v>77</v>
      </c>
      <c r="Z974">
        <v>4</v>
      </c>
      <c r="AA974">
        <v>0</v>
      </c>
      <c r="AB974">
        <v>1</v>
      </c>
      <c r="AC974">
        <v>0</v>
      </c>
      <c r="AD974">
        <v>0</v>
      </c>
      <c r="AE974">
        <v>0</v>
      </c>
      <c r="AF974">
        <v>0</v>
      </c>
      <c r="AG974">
        <v>1</v>
      </c>
      <c r="AH974">
        <v>1</v>
      </c>
      <c r="AI974">
        <v>0</v>
      </c>
      <c r="AJ974">
        <v>0</v>
      </c>
      <c r="AK974">
        <v>4</v>
      </c>
      <c r="AL974">
        <v>2</v>
      </c>
      <c r="AM974">
        <v>1</v>
      </c>
      <c r="AN974">
        <v>1</v>
      </c>
      <c r="AT974">
        <v>0</v>
      </c>
      <c r="AU974">
        <v>25</v>
      </c>
      <c r="AV974">
        <v>296</v>
      </c>
      <c r="AW974">
        <v>296</v>
      </c>
      <c r="AX974">
        <v>599</v>
      </c>
      <c r="BA974">
        <v>1</v>
      </c>
      <c r="BC974" t="s">
        <v>2041</v>
      </c>
      <c r="BD974" s="4">
        <v>43283.380555555559</v>
      </c>
      <c r="BE974" s="4">
        <v>43283.396840277775</v>
      </c>
      <c r="BF974" s="4">
        <v>43283.396840277775</v>
      </c>
      <c r="BG974" t="s">
        <v>83</v>
      </c>
      <c r="BH974" t="s">
        <v>84</v>
      </c>
      <c r="BI974" t="s">
        <v>85</v>
      </c>
    </row>
    <row r="975" spans="1:61" x14ac:dyDescent="0.3">
      <c r="A975" t="str">
        <f>"201554E0100"</f>
        <v>201554E0100</v>
      </c>
      <c r="B975" s="2" t="s">
        <v>2042</v>
      </c>
      <c r="C975">
        <v>20</v>
      </c>
      <c r="D975" t="s">
        <v>79</v>
      </c>
      <c r="E975">
        <v>5</v>
      </c>
      <c r="F975" t="s">
        <v>1759</v>
      </c>
      <c r="G975">
        <v>1554</v>
      </c>
      <c r="H975">
        <v>1</v>
      </c>
      <c r="I975" t="s">
        <v>145</v>
      </c>
      <c r="J975">
        <v>0</v>
      </c>
      <c r="K975">
        <v>2</v>
      </c>
      <c r="L975">
        <v>2</v>
      </c>
      <c r="M975">
        <v>86</v>
      </c>
      <c r="N975">
        <v>273</v>
      </c>
      <c r="O975">
        <v>3</v>
      </c>
      <c r="P975">
        <v>273</v>
      </c>
      <c r="Q975">
        <v>5</v>
      </c>
      <c r="R975">
        <v>11</v>
      </c>
      <c r="S975">
        <v>11</v>
      </c>
      <c r="T975">
        <v>5</v>
      </c>
      <c r="U975">
        <v>41</v>
      </c>
      <c r="V975">
        <v>2</v>
      </c>
      <c r="W975">
        <v>2</v>
      </c>
      <c r="X975">
        <v>2</v>
      </c>
      <c r="Y975">
        <v>168</v>
      </c>
      <c r="Z975">
        <v>6</v>
      </c>
      <c r="AA975">
        <v>2</v>
      </c>
      <c r="AB975">
        <v>2</v>
      </c>
      <c r="AC975">
        <v>0</v>
      </c>
      <c r="AD975">
        <v>0</v>
      </c>
      <c r="AE975">
        <v>0</v>
      </c>
      <c r="AF975">
        <v>0</v>
      </c>
      <c r="AG975">
        <v>2</v>
      </c>
      <c r="AH975">
        <v>0</v>
      </c>
      <c r="AI975">
        <v>0</v>
      </c>
      <c r="AJ975">
        <v>0</v>
      </c>
      <c r="AK975">
        <v>3</v>
      </c>
      <c r="AL975">
        <v>3</v>
      </c>
      <c r="AM975">
        <v>0</v>
      </c>
      <c r="AN975">
        <v>3</v>
      </c>
      <c r="AT975">
        <v>0</v>
      </c>
      <c r="AU975">
        <v>0</v>
      </c>
      <c r="AV975">
        <v>273</v>
      </c>
      <c r="AW975">
        <v>268</v>
      </c>
      <c r="AX975">
        <v>338</v>
      </c>
      <c r="BA975">
        <v>1</v>
      </c>
      <c r="BC975" t="s">
        <v>2043</v>
      </c>
      <c r="BD975" s="4">
        <v>43283.356944444444</v>
      </c>
      <c r="BE975" s="4">
        <v>43283.371724537035</v>
      </c>
      <c r="BF975" s="4">
        <v>43283.371724537035</v>
      </c>
      <c r="BG975" t="s">
        <v>83</v>
      </c>
      <c r="BH975" t="s">
        <v>84</v>
      </c>
      <c r="BI975" t="s">
        <v>85</v>
      </c>
    </row>
    <row r="976" spans="1:61" x14ac:dyDescent="0.3">
      <c r="A976" t="str">
        <f>"201558B0100"</f>
        <v>201558B0100</v>
      </c>
      <c r="B976" t="s">
        <v>2044</v>
      </c>
      <c r="C976">
        <v>20</v>
      </c>
      <c r="D976" t="s">
        <v>79</v>
      </c>
      <c r="E976">
        <v>5</v>
      </c>
      <c r="F976" t="s">
        <v>1759</v>
      </c>
      <c r="G976">
        <v>1558</v>
      </c>
      <c r="H976">
        <v>1</v>
      </c>
      <c r="I976" t="s">
        <v>81</v>
      </c>
      <c r="J976">
        <v>0</v>
      </c>
      <c r="K976">
        <v>1</v>
      </c>
      <c r="L976">
        <v>2</v>
      </c>
      <c r="M976">
        <v>160</v>
      </c>
      <c r="N976">
        <v>154</v>
      </c>
      <c r="O976">
        <v>0</v>
      </c>
      <c r="P976">
        <v>154</v>
      </c>
      <c r="Q976">
        <v>3</v>
      </c>
      <c r="R976">
        <v>20</v>
      </c>
      <c r="S976">
        <v>8</v>
      </c>
      <c r="T976">
        <v>1</v>
      </c>
      <c r="U976">
        <v>40</v>
      </c>
      <c r="V976">
        <v>4</v>
      </c>
      <c r="W976">
        <v>5</v>
      </c>
      <c r="X976">
        <v>5</v>
      </c>
      <c r="Y976">
        <v>41</v>
      </c>
      <c r="Z976">
        <v>2</v>
      </c>
      <c r="AA976">
        <v>0</v>
      </c>
      <c r="AB976">
        <v>1</v>
      </c>
      <c r="AC976">
        <v>0</v>
      </c>
      <c r="AD976">
        <v>1</v>
      </c>
      <c r="AE976">
        <v>0</v>
      </c>
      <c r="AF976">
        <v>0</v>
      </c>
      <c r="AG976">
        <v>1</v>
      </c>
      <c r="AH976">
        <v>1</v>
      </c>
      <c r="AI976">
        <v>0</v>
      </c>
      <c r="AJ976">
        <v>0</v>
      </c>
      <c r="AK976">
        <v>4</v>
      </c>
      <c r="AL976">
        <v>2</v>
      </c>
      <c r="AM976">
        <v>1</v>
      </c>
      <c r="AN976">
        <v>2</v>
      </c>
      <c r="AT976">
        <v>0</v>
      </c>
      <c r="AU976">
        <v>12</v>
      </c>
      <c r="AV976">
        <v>154</v>
      </c>
      <c r="AW976">
        <v>154</v>
      </c>
      <c r="AX976">
        <v>292</v>
      </c>
      <c r="BA976">
        <v>1</v>
      </c>
      <c r="BC976" t="s">
        <v>2045</v>
      </c>
      <c r="BD976" s="4">
        <v>43283.29791666667</v>
      </c>
      <c r="BE976" s="4">
        <v>43283.325567129628</v>
      </c>
      <c r="BF976" s="4">
        <v>43283.325567129628</v>
      </c>
      <c r="BG976" t="s">
        <v>83</v>
      </c>
      <c r="BH976" t="s">
        <v>84</v>
      </c>
      <c r="BI976" t="s">
        <v>85</v>
      </c>
    </row>
    <row r="977" spans="1:61" x14ac:dyDescent="0.3">
      <c r="A977" t="str">
        <f>"201559B0100"</f>
        <v>201559B0100</v>
      </c>
      <c r="B977" t="s">
        <v>2046</v>
      </c>
      <c r="C977">
        <v>20</v>
      </c>
      <c r="D977" t="s">
        <v>79</v>
      </c>
      <c r="E977">
        <v>5</v>
      </c>
      <c r="F977" t="s">
        <v>1759</v>
      </c>
      <c r="G977">
        <v>1559</v>
      </c>
      <c r="H977">
        <v>1</v>
      </c>
      <c r="I977" t="s">
        <v>81</v>
      </c>
      <c r="J977">
        <v>0</v>
      </c>
      <c r="K977">
        <v>1</v>
      </c>
      <c r="L977">
        <v>2</v>
      </c>
      <c r="M977">
        <v>165</v>
      </c>
      <c r="N977">
        <v>150</v>
      </c>
      <c r="O977">
        <v>0</v>
      </c>
      <c r="P977">
        <v>150</v>
      </c>
      <c r="Q977">
        <v>7</v>
      </c>
      <c r="R977">
        <v>8</v>
      </c>
      <c r="S977">
        <v>6</v>
      </c>
      <c r="T977">
        <v>2</v>
      </c>
      <c r="U977">
        <v>32</v>
      </c>
      <c r="V977">
        <v>3</v>
      </c>
      <c r="W977">
        <v>40</v>
      </c>
      <c r="X977">
        <v>0</v>
      </c>
      <c r="Y977">
        <v>38</v>
      </c>
      <c r="Z977">
        <v>2</v>
      </c>
      <c r="AA977">
        <v>0</v>
      </c>
      <c r="AB977">
        <v>0</v>
      </c>
      <c r="AC977">
        <v>0</v>
      </c>
      <c r="AD977">
        <v>2</v>
      </c>
      <c r="AE977">
        <v>0</v>
      </c>
      <c r="AF977">
        <v>0</v>
      </c>
      <c r="AG977">
        <v>0</v>
      </c>
      <c r="AH977">
        <v>1</v>
      </c>
      <c r="AI977">
        <v>0</v>
      </c>
      <c r="AJ977">
        <v>0</v>
      </c>
      <c r="AK977">
        <v>1</v>
      </c>
      <c r="AL977">
        <v>3</v>
      </c>
      <c r="AM977">
        <v>0</v>
      </c>
      <c r="AN977">
        <v>0</v>
      </c>
      <c r="AT977">
        <v>0</v>
      </c>
      <c r="AU977">
        <v>5</v>
      </c>
      <c r="AV977" t="s">
        <v>100</v>
      </c>
      <c r="AW977">
        <v>150</v>
      </c>
      <c r="AX977">
        <v>293</v>
      </c>
      <c r="BA977">
        <v>1</v>
      </c>
      <c r="BC977" t="s">
        <v>2047</v>
      </c>
      <c r="BD977" s="4">
        <v>43283.299305555556</v>
      </c>
      <c r="BE977" s="4">
        <v>43283.325578703705</v>
      </c>
      <c r="BF977" s="4">
        <v>43283.325578703705</v>
      </c>
      <c r="BG977" t="s">
        <v>83</v>
      </c>
      <c r="BH977" t="s">
        <v>84</v>
      </c>
      <c r="BI977" t="s">
        <v>85</v>
      </c>
    </row>
    <row r="978" spans="1:61" x14ac:dyDescent="0.3">
      <c r="A978" t="str">
        <f>"201560B0100"</f>
        <v>201560B0100</v>
      </c>
      <c r="B978" t="s">
        <v>2048</v>
      </c>
      <c r="C978">
        <v>20</v>
      </c>
      <c r="D978" t="s">
        <v>79</v>
      </c>
      <c r="E978">
        <v>5</v>
      </c>
      <c r="F978" t="s">
        <v>1759</v>
      </c>
      <c r="G978">
        <v>1560</v>
      </c>
      <c r="H978">
        <v>1</v>
      </c>
      <c r="I978" t="s">
        <v>81</v>
      </c>
      <c r="J978">
        <v>0</v>
      </c>
      <c r="K978">
        <v>2</v>
      </c>
      <c r="L978">
        <v>2</v>
      </c>
      <c r="M978">
        <v>57</v>
      </c>
      <c r="N978">
        <v>97</v>
      </c>
      <c r="O978">
        <v>5</v>
      </c>
      <c r="P978">
        <v>97</v>
      </c>
      <c r="Q978">
        <v>2</v>
      </c>
      <c r="R978">
        <v>36</v>
      </c>
      <c r="S978">
        <v>3</v>
      </c>
      <c r="T978">
        <v>0</v>
      </c>
      <c r="U978">
        <v>7</v>
      </c>
      <c r="V978">
        <v>0</v>
      </c>
      <c r="W978">
        <v>22</v>
      </c>
      <c r="X978">
        <v>2</v>
      </c>
      <c r="Y978">
        <v>19</v>
      </c>
      <c r="Z978">
        <v>1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T978">
        <v>0</v>
      </c>
      <c r="AU978">
        <v>5</v>
      </c>
      <c r="AV978">
        <v>97</v>
      </c>
      <c r="AW978">
        <v>97</v>
      </c>
      <c r="AX978">
        <v>132</v>
      </c>
      <c r="BA978">
        <v>1</v>
      </c>
      <c r="BC978" t="s">
        <v>2049</v>
      </c>
      <c r="BD978" s="4">
        <v>43283.308333333334</v>
      </c>
      <c r="BE978" s="4">
        <v>43283.33390046296</v>
      </c>
      <c r="BF978" s="4">
        <v>43283.33390046296</v>
      </c>
      <c r="BG978" t="s">
        <v>83</v>
      </c>
      <c r="BH978" t="s">
        <v>84</v>
      </c>
      <c r="BI978" t="s">
        <v>85</v>
      </c>
    </row>
    <row r="979" spans="1:61" x14ac:dyDescent="0.3">
      <c r="A979" t="str">
        <f>"201560E0100"</f>
        <v>201560E0100</v>
      </c>
      <c r="B979" s="2" t="s">
        <v>2050</v>
      </c>
      <c r="C979">
        <v>20</v>
      </c>
      <c r="D979" t="s">
        <v>79</v>
      </c>
      <c r="E979">
        <v>5</v>
      </c>
      <c r="F979" t="s">
        <v>1759</v>
      </c>
      <c r="G979">
        <v>1560</v>
      </c>
      <c r="H979">
        <v>1</v>
      </c>
      <c r="I979" t="s">
        <v>145</v>
      </c>
      <c r="J979">
        <v>0</v>
      </c>
      <c r="K979">
        <v>2</v>
      </c>
      <c r="L979">
        <v>2</v>
      </c>
      <c r="M979">
        <v>75</v>
      </c>
      <c r="N979">
        <v>95</v>
      </c>
      <c r="O979">
        <v>7</v>
      </c>
      <c r="P979">
        <v>95</v>
      </c>
      <c r="Q979">
        <v>4</v>
      </c>
      <c r="R979">
        <v>7</v>
      </c>
      <c r="S979">
        <v>4</v>
      </c>
      <c r="T979">
        <v>3</v>
      </c>
      <c r="U979">
        <v>12</v>
      </c>
      <c r="V979">
        <v>0</v>
      </c>
      <c r="W979">
        <v>4</v>
      </c>
      <c r="X979">
        <v>1</v>
      </c>
      <c r="Y979">
        <v>47</v>
      </c>
      <c r="Z979">
        <v>0</v>
      </c>
      <c r="AA979">
        <v>0</v>
      </c>
      <c r="AB979">
        <v>1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2</v>
      </c>
      <c r="AM979">
        <v>0</v>
      </c>
      <c r="AN979">
        <v>0</v>
      </c>
      <c r="AT979">
        <v>0</v>
      </c>
      <c r="AU979">
        <v>10</v>
      </c>
      <c r="AV979">
        <v>95</v>
      </c>
      <c r="AW979">
        <v>95</v>
      </c>
      <c r="AX979">
        <v>148</v>
      </c>
      <c r="BA979">
        <v>1</v>
      </c>
      <c r="BC979" t="s">
        <v>2051</v>
      </c>
      <c r="BD979" s="4">
        <v>43283.308333333334</v>
      </c>
      <c r="BE979" s="4">
        <v>43283.333969907406</v>
      </c>
      <c r="BF979" s="4">
        <v>43283.333969907406</v>
      </c>
      <c r="BG979" t="s">
        <v>83</v>
      </c>
      <c r="BH979" t="s">
        <v>84</v>
      </c>
      <c r="BI979" t="s">
        <v>85</v>
      </c>
    </row>
    <row r="980" spans="1:61" x14ac:dyDescent="0.3">
      <c r="A980" t="str">
        <f>"201589B0100"</f>
        <v>201589B0100</v>
      </c>
      <c r="B980" t="s">
        <v>2052</v>
      </c>
      <c r="C980">
        <v>20</v>
      </c>
      <c r="D980" t="s">
        <v>79</v>
      </c>
      <c r="E980">
        <v>5</v>
      </c>
      <c r="F980" t="s">
        <v>1759</v>
      </c>
      <c r="G980">
        <v>1589</v>
      </c>
      <c r="H980">
        <v>1</v>
      </c>
      <c r="I980" t="s">
        <v>81</v>
      </c>
      <c r="J980">
        <v>0</v>
      </c>
      <c r="K980">
        <v>2</v>
      </c>
      <c r="L980">
        <v>2</v>
      </c>
      <c r="M980">
        <v>113</v>
      </c>
      <c r="N980">
        <v>296</v>
      </c>
      <c r="O980">
        <v>1</v>
      </c>
      <c r="P980">
        <v>296</v>
      </c>
      <c r="Q980">
        <v>8</v>
      </c>
      <c r="R980">
        <v>66</v>
      </c>
      <c r="S980">
        <v>5</v>
      </c>
      <c r="T980">
        <v>13</v>
      </c>
      <c r="U980">
        <v>8</v>
      </c>
      <c r="V980">
        <v>4</v>
      </c>
      <c r="W980">
        <v>1</v>
      </c>
      <c r="X980">
        <v>3</v>
      </c>
      <c r="Y980">
        <v>173</v>
      </c>
      <c r="Z980">
        <v>3</v>
      </c>
      <c r="AA980">
        <v>1</v>
      </c>
      <c r="AB980">
        <v>3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2</v>
      </c>
      <c r="AI980">
        <v>0</v>
      </c>
      <c r="AJ980">
        <v>0</v>
      </c>
      <c r="AK980">
        <v>2</v>
      </c>
      <c r="AL980">
        <v>1</v>
      </c>
      <c r="AM980">
        <v>0</v>
      </c>
      <c r="AN980">
        <v>2</v>
      </c>
      <c r="AT980">
        <v>0</v>
      </c>
      <c r="AU980">
        <v>1</v>
      </c>
      <c r="AV980">
        <v>296</v>
      </c>
      <c r="AW980">
        <v>296</v>
      </c>
      <c r="AX980">
        <v>387</v>
      </c>
      <c r="BA980">
        <v>1</v>
      </c>
      <c r="BC980" t="s">
        <v>2053</v>
      </c>
      <c r="BD980" s="4">
        <v>43283.03402777778</v>
      </c>
      <c r="BE980" s="4">
        <v>43283.042696759258</v>
      </c>
      <c r="BF980" s="4">
        <v>43283.042696759258</v>
      </c>
      <c r="BG980" t="s">
        <v>83</v>
      </c>
      <c r="BH980" t="s">
        <v>84</v>
      </c>
      <c r="BI980" t="s">
        <v>85</v>
      </c>
    </row>
    <row r="981" spans="1:61" x14ac:dyDescent="0.3">
      <c r="A981" t="str">
        <f>"201589C0100"</f>
        <v>201589C0100</v>
      </c>
      <c r="B981" t="s">
        <v>2054</v>
      </c>
      <c r="C981">
        <v>20</v>
      </c>
      <c r="D981" t="s">
        <v>79</v>
      </c>
      <c r="E981">
        <v>5</v>
      </c>
      <c r="F981" t="s">
        <v>1759</v>
      </c>
      <c r="G981">
        <v>1589</v>
      </c>
      <c r="H981">
        <v>1</v>
      </c>
      <c r="I981" t="s">
        <v>89</v>
      </c>
      <c r="J981">
        <v>0</v>
      </c>
      <c r="K981">
        <v>2</v>
      </c>
      <c r="L981">
        <v>2</v>
      </c>
      <c r="M981">
        <v>125</v>
      </c>
      <c r="N981">
        <v>409</v>
      </c>
      <c r="O981">
        <v>0</v>
      </c>
      <c r="P981">
        <v>284</v>
      </c>
      <c r="Q981">
        <v>4</v>
      </c>
      <c r="R981">
        <v>74</v>
      </c>
      <c r="S981">
        <v>4</v>
      </c>
      <c r="T981">
        <v>11</v>
      </c>
      <c r="U981">
        <v>5</v>
      </c>
      <c r="V981">
        <v>6</v>
      </c>
      <c r="W981">
        <v>1</v>
      </c>
      <c r="X981">
        <v>3</v>
      </c>
      <c r="Y981">
        <v>142</v>
      </c>
      <c r="Z981">
        <v>3</v>
      </c>
      <c r="AA981">
        <v>2</v>
      </c>
      <c r="AB981">
        <v>4</v>
      </c>
      <c r="AC981">
        <v>0</v>
      </c>
      <c r="AD981">
        <v>1</v>
      </c>
      <c r="AE981">
        <v>0</v>
      </c>
      <c r="AF981">
        <v>0</v>
      </c>
      <c r="AG981">
        <v>4</v>
      </c>
      <c r="AH981">
        <v>3</v>
      </c>
      <c r="AI981">
        <v>0</v>
      </c>
      <c r="AJ981">
        <v>0</v>
      </c>
      <c r="AK981">
        <v>7</v>
      </c>
      <c r="AL981">
        <v>1</v>
      </c>
      <c r="AM981">
        <v>0</v>
      </c>
      <c r="AN981">
        <v>0</v>
      </c>
      <c r="AT981">
        <v>0</v>
      </c>
      <c r="AU981">
        <v>9</v>
      </c>
      <c r="AV981">
        <v>284</v>
      </c>
      <c r="AW981">
        <v>284</v>
      </c>
      <c r="AX981">
        <v>387</v>
      </c>
      <c r="BA981">
        <v>1</v>
      </c>
      <c r="BC981" t="s">
        <v>2055</v>
      </c>
      <c r="BD981" s="4">
        <v>43283.036111111112</v>
      </c>
      <c r="BE981" s="4">
        <v>43283.043368055558</v>
      </c>
      <c r="BF981" s="4">
        <v>43283.043368055558</v>
      </c>
      <c r="BG981" t="s">
        <v>83</v>
      </c>
      <c r="BH981" t="s">
        <v>84</v>
      </c>
      <c r="BI981" t="s">
        <v>85</v>
      </c>
    </row>
    <row r="982" spans="1:61" x14ac:dyDescent="0.3">
      <c r="A982" t="str">
        <f>"201589E0100"</f>
        <v>201589E0100</v>
      </c>
      <c r="B982" s="2" t="s">
        <v>2056</v>
      </c>
      <c r="C982">
        <v>20</v>
      </c>
      <c r="D982" t="s">
        <v>79</v>
      </c>
      <c r="E982">
        <v>5</v>
      </c>
      <c r="F982" t="s">
        <v>1759</v>
      </c>
      <c r="G982">
        <v>1589</v>
      </c>
      <c r="H982">
        <v>1</v>
      </c>
      <c r="I982" t="s">
        <v>145</v>
      </c>
      <c r="J982">
        <v>0</v>
      </c>
      <c r="K982">
        <v>2</v>
      </c>
      <c r="L982">
        <v>2</v>
      </c>
      <c r="M982">
        <v>131</v>
      </c>
      <c r="N982">
        <v>293</v>
      </c>
      <c r="O982">
        <v>7</v>
      </c>
      <c r="P982">
        <v>293</v>
      </c>
      <c r="Q982">
        <v>9</v>
      </c>
      <c r="R982">
        <v>61</v>
      </c>
      <c r="S982">
        <v>11</v>
      </c>
      <c r="T982">
        <v>16</v>
      </c>
      <c r="U982">
        <v>13</v>
      </c>
      <c r="V982">
        <v>6</v>
      </c>
      <c r="W982">
        <v>3</v>
      </c>
      <c r="X982">
        <v>2</v>
      </c>
      <c r="Y982">
        <v>143</v>
      </c>
      <c r="Z982">
        <v>2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1</v>
      </c>
      <c r="AH982">
        <v>0</v>
      </c>
      <c r="AI982">
        <v>0</v>
      </c>
      <c r="AJ982">
        <v>0</v>
      </c>
      <c r="AK982">
        <v>5</v>
      </c>
      <c r="AL982">
        <v>1</v>
      </c>
      <c r="AM982">
        <v>1</v>
      </c>
      <c r="AN982">
        <v>0</v>
      </c>
      <c r="AT982">
        <v>0</v>
      </c>
      <c r="AU982">
        <v>19</v>
      </c>
      <c r="AV982">
        <v>293</v>
      </c>
      <c r="AW982">
        <v>293</v>
      </c>
      <c r="AX982">
        <v>402</v>
      </c>
      <c r="BA982">
        <v>1</v>
      </c>
      <c r="BC982" t="s">
        <v>2057</v>
      </c>
      <c r="BD982" s="4">
        <v>43283.1</v>
      </c>
      <c r="BE982" s="4">
        <v>43283.104675925926</v>
      </c>
      <c r="BF982" s="4">
        <v>43283.104675925926</v>
      </c>
      <c r="BG982" t="s">
        <v>83</v>
      </c>
      <c r="BH982" t="s">
        <v>84</v>
      </c>
      <c r="BI982" t="s">
        <v>85</v>
      </c>
    </row>
    <row r="983" spans="1:61" x14ac:dyDescent="0.3">
      <c r="A983" t="str">
        <f>"201590B0100"</f>
        <v>201590B0100</v>
      </c>
      <c r="B983" t="s">
        <v>2058</v>
      </c>
      <c r="C983">
        <v>20</v>
      </c>
      <c r="D983" t="s">
        <v>79</v>
      </c>
      <c r="E983">
        <v>5</v>
      </c>
      <c r="F983" t="s">
        <v>1759</v>
      </c>
      <c r="G983">
        <v>1590</v>
      </c>
      <c r="H983">
        <v>1</v>
      </c>
      <c r="I983" t="s">
        <v>81</v>
      </c>
      <c r="J983">
        <v>0</v>
      </c>
      <c r="K983">
        <v>2</v>
      </c>
      <c r="L983">
        <v>2</v>
      </c>
      <c r="M983">
        <v>186</v>
      </c>
      <c r="N983">
        <v>382</v>
      </c>
      <c r="O983">
        <v>1</v>
      </c>
      <c r="P983">
        <v>381</v>
      </c>
      <c r="Q983">
        <v>7</v>
      </c>
      <c r="R983">
        <v>114</v>
      </c>
      <c r="S983">
        <v>8</v>
      </c>
      <c r="T983">
        <v>20</v>
      </c>
      <c r="U983">
        <v>11</v>
      </c>
      <c r="V983">
        <v>4</v>
      </c>
      <c r="W983">
        <v>3</v>
      </c>
      <c r="X983">
        <v>4</v>
      </c>
      <c r="Y983">
        <v>177</v>
      </c>
      <c r="Z983">
        <v>2</v>
      </c>
      <c r="AA983">
        <v>0</v>
      </c>
      <c r="AB983">
        <v>4</v>
      </c>
      <c r="AC983">
        <v>0</v>
      </c>
      <c r="AD983">
        <v>0</v>
      </c>
      <c r="AE983">
        <v>0</v>
      </c>
      <c r="AF983">
        <v>0</v>
      </c>
      <c r="AG983">
        <v>13</v>
      </c>
      <c r="AH983">
        <v>0</v>
      </c>
      <c r="AI983">
        <v>0</v>
      </c>
      <c r="AJ983">
        <v>0</v>
      </c>
      <c r="AK983">
        <v>0</v>
      </c>
      <c r="AL983">
        <v>5</v>
      </c>
      <c r="AM983">
        <v>1</v>
      </c>
      <c r="AN983">
        <v>0</v>
      </c>
      <c r="AT983">
        <v>0</v>
      </c>
      <c r="AU983">
        <v>8</v>
      </c>
      <c r="AV983" t="s">
        <v>100</v>
      </c>
      <c r="AW983">
        <v>381</v>
      </c>
      <c r="AX983">
        <v>548</v>
      </c>
      <c r="BA983">
        <v>1</v>
      </c>
      <c r="BC983" t="s">
        <v>2059</v>
      </c>
      <c r="BD983" s="4">
        <v>43283.038194444445</v>
      </c>
      <c r="BE983" s="4">
        <v>43283.048344907409</v>
      </c>
      <c r="BF983" s="4">
        <v>43283.048344907409</v>
      </c>
      <c r="BG983" t="s">
        <v>83</v>
      </c>
      <c r="BH983" t="s">
        <v>84</v>
      </c>
      <c r="BI983" t="s">
        <v>85</v>
      </c>
    </row>
    <row r="984" spans="1:61" x14ac:dyDescent="0.3">
      <c r="A984" t="str">
        <f>"201590C0100"</f>
        <v>201590C0100</v>
      </c>
      <c r="B984" t="s">
        <v>2060</v>
      </c>
      <c r="C984">
        <v>20</v>
      </c>
      <c r="D984" t="s">
        <v>79</v>
      </c>
      <c r="E984">
        <v>5</v>
      </c>
      <c r="F984" t="s">
        <v>1759</v>
      </c>
      <c r="G984">
        <v>1590</v>
      </c>
      <c r="H984">
        <v>1</v>
      </c>
      <c r="I984" t="s">
        <v>89</v>
      </c>
      <c r="J984">
        <v>0</v>
      </c>
      <c r="K984">
        <v>2</v>
      </c>
      <c r="L984">
        <v>2</v>
      </c>
      <c r="M984">
        <v>153</v>
      </c>
      <c r="N984" t="s">
        <v>100</v>
      </c>
      <c r="O984">
        <v>0</v>
      </c>
      <c r="P984">
        <v>417</v>
      </c>
      <c r="Q984">
        <v>12</v>
      </c>
      <c r="R984">
        <v>129</v>
      </c>
      <c r="S984">
        <v>12</v>
      </c>
      <c r="T984">
        <v>29</v>
      </c>
      <c r="U984">
        <v>19</v>
      </c>
      <c r="V984">
        <v>4</v>
      </c>
      <c r="W984">
        <v>1</v>
      </c>
      <c r="X984">
        <v>3</v>
      </c>
      <c r="Y984">
        <v>174</v>
      </c>
      <c r="Z984">
        <v>4</v>
      </c>
      <c r="AA984">
        <v>0</v>
      </c>
      <c r="AB984">
        <v>2</v>
      </c>
      <c r="AC984">
        <v>0</v>
      </c>
      <c r="AD984">
        <v>0</v>
      </c>
      <c r="AE984">
        <v>0</v>
      </c>
      <c r="AF984">
        <v>0</v>
      </c>
      <c r="AG984">
        <v>1</v>
      </c>
      <c r="AH984">
        <v>9</v>
      </c>
      <c r="AI984">
        <v>0</v>
      </c>
      <c r="AJ984">
        <v>0</v>
      </c>
      <c r="AK984">
        <v>3</v>
      </c>
      <c r="AL984">
        <v>0</v>
      </c>
      <c r="AM984">
        <v>0</v>
      </c>
      <c r="AN984">
        <v>2</v>
      </c>
      <c r="AT984">
        <v>0</v>
      </c>
      <c r="AU984">
        <v>17</v>
      </c>
      <c r="AV984" t="s">
        <v>100</v>
      </c>
      <c r="AW984">
        <v>421</v>
      </c>
      <c r="AX984">
        <v>548</v>
      </c>
      <c r="BA984">
        <v>1</v>
      </c>
      <c r="BC984" t="s">
        <v>2061</v>
      </c>
      <c r="BD984" s="4">
        <v>43283.033333333333</v>
      </c>
      <c r="BE984" s="4">
        <v>43283.040405092594</v>
      </c>
      <c r="BF984" s="4">
        <v>43283.040405092594</v>
      </c>
      <c r="BG984" t="s">
        <v>83</v>
      </c>
      <c r="BH984" t="s">
        <v>84</v>
      </c>
      <c r="BI984" t="s">
        <v>85</v>
      </c>
    </row>
    <row r="985" spans="1:61" x14ac:dyDescent="0.3">
      <c r="A985" t="str">
        <f>"201591B0100"</f>
        <v>201591B0100</v>
      </c>
      <c r="B985" t="s">
        <v>2062</v>
      </c>
      <c r="C985">
        <v>20</v>
      </c>
      <c r="D985" t="s">
        <v>79</v>
      </c>
      <c r="E985">
        <v>5</v>
      </c>
      <c r="F985" t="s">
        <v>1759</v>
      </c>
      <c r="G985">
        <v>1591</v>
      </c>
      <c r="H985">
        <v>1</v>
      </c>
      <c r="I985" t="s">
        <v>81</v>
      </c>
      <c r="J985">
        <v>0</v>
      </c>
      <c r="K985">
        <v>2</v>
      </c>
      <c r="L985">
        <v>2</v>
      </c>
      <c r="M985">
        <v>121</v>
      </c>
      <c r="N985">
        <v>231</v>
      </c>
      <c r="O985">
        <v>0</v>
      </c>
      <c r="P985">
        <v>229</v>
      </c>
      <c r="Q985">
        <v>2</v>
      </c>
      <c r="R985">
        <v>89</v>
      </c>
      <c r="S985">
        <v>2</v>
      </c>
      <c r="T985">
        <v>5</v>
      </c>
      <c r="U985">
        <v>8</v>
      </c>
      <c r="V985">
        <v>2</v>
      </c>
      <c r="W985">
        <v>0</v>
      </c>
      <c r="X985">
        <v>2</v>
      </c>
      <c r="Y985">
        <v>100</v>
      </c>
      <c r="Z985">
        <v>3</v>
      </c>
      <c r="AA985">
        <v>0</v>
      </c>
      <c r="AB985">
        <v>1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3</v>
      </c>
      <c r="AI985">
        <v>0</v>
      </c>
      <c r="AJ985">
        <v>0</v>
      </c>
      <c r="AK985">
        <v>2</v>
      </c>
      <c r="AL985">
        <v>1</v>
      </c>
      <c r="AM985">
        <v>0</v>
      </c>
      <c r="AN985">
        <v>0</v>
      </c>
      <c r="AT985">
        <v>0</v>
      </c>
      <c r="AU985">
        <v>9</v>
      </c>
      <c r="AV985">
        <v>229</v>
      </c>
      <c r="AW985">
        <v>229</v>
      </c>
      <c r="AX985">
        <v>330</v>
      </c>
      <c r="BA985">
        <v>1</v>
      </c>
      <c r="BC985" t="s">
        <v>2063</v>
      </c>
      <c r="BD985" s="4">
        <v>43283.147916666669</v>
      </c>
      <c r="BE985" s="4">
        <v>43283.156828703701</v>
      </c>
      <c r="BF985" s="4">
        <v>43283.156828703701</v>
      </c>
      <c r="BG985" t="s">
        <v>83</v>
      </c>
      <c r="BH985" t="s">
        <v>84</v>
      </c>
      <c r="BI985" t="s">
        <v>85</v>
      </c>
    </row>
    <row r="986" spans="1:61" x14ac:dyDescent="0.3">
      <c r="A986" t="str">
        <f>"201592B0100"</f>
        <v>201592B0100</v>
      </c>
      <c r="B986" t="s">
        <v>2064</v>
      </c>
      <c r="C986">
        <v>20</v>
      </c>
      <c r="D986" t="s">
        <v>79</v>
      </c>
      <c r="E986">
        <v>5</v>
      </c>
      <c r="F986" t="s">
        <v>1759</v>
      </c>
      <c r="G986">
        <v>1592</v>
      </c>
      <c r="H986">
        <v>1</v>
      </c>
      <c r="I986" t="s">
        <v>81</v>
      </c>
      <c r="J986">
        <v>0</v>
      </c>
      <c r="K986">
        <v>2</v>
      </c>
      <c r="L986">
        <v>2</v>
      </c>
      <c r="M986">
        <v>174</v>
      </c>
      <c r="N986">
        <v>381</v>
      </c>
      <c r="O986">
        <v>1</v>
      </c>
      <c r="P986">
        <v>382</v>
      </c>
      <c r="Q986">
        <v>17</v>
      </c>
      <c r="R986">
        <v>71</v>
      </c>
      <c r="S986">
        <v>5</v>
      </c>
      <c r="T986">
        <v>14</v>
      </c>
      <c r="U986">
        <v>19</v>
      </c>
      <c r="V986">
        <v>7</v>
      </c>
      <c r="W986">
        <v>4</v>
      </c>
      <c r="X986">
        <v>4</v>
      </c>
      <c r="Y986">
        <v>212</v>
      </c>
      <c r="Z986">
        <v>4</v>
      </c>
      <c r="AA986">
        <v>1</v>
      </c>
      <c r="AB986">
        <v>4</v>
      </c>
      <c r="AC986">
        <v>0</v>
      </c>
      <c r="AD986">
        <v>0</v>
      </c>
      <c r="AE986">
        <v>0</v>
      </c>
      <c r="AF986">
        <v>0</v>
      </c>
      <c r="AG986">
        <v>2</v>
      </c>
      <c r="AH986">
        <v>2</v>
      </c>
      <c r="AI986">
        <v>0</v>
      </c>
      <c r="AJ986">
        <v>0</v>
      </c>
      <c r="AK986">
        <v>5</v>
      </c>
      <c r="AL986">
        <v>2</v>
      </c>
      <c r="AM986">
        <v>0</v>
      </c>
      <c r="AN986">
        <v>0</v>
      </c>
      <c r="AT986">
        <v>0</v>
      </c>
      <c r="AU986">
        <v>9</v>
      </c>
      <c r="AV986">
        <v>382</v>
      </c>
      <c r="AW986">
        <v>382</v>
      </c>
      <c r="AX986">
        <v>534</v>
      </c>
      <c r="BA986">
        <v>1</v>
      </c>
      <c r="BC986" t="s">
        <v>2065</v>
      </c>
      <c r="BD986" s="4">
        <v>43283.144444444442</v>
      </c>
      <c r="BE986" s="4">
        <v>43283.156446759262</v>
      </c>
      <c r="BF986" s="4">
        <v>43283.156446759262</v>
      </c>
      <c r="BG986" t="s">
        <v>83</v>
      </c>
      <c r="BH986" t="s">
        <v>84</v>
      </c>
      <c r="BI986" t="s">
        <v>85</v>
      </c>
    </row>
    <row r="987" spans="1:61" x14ac:dyDescent="0.3">
      <c r="A987" t="str">
        <f>"201593B0100"</f>
        <v>201593B0100</v>
      </c>
      <c r="B987" t="s">
        <v>2066</v>
      </c>
      <c r="C987">
        <v>20</v>
      </c>
      <c r="D987" t="s">
        <v>79</v>
      </c>
      <c r="E987">
        <v>5</v>
      </c>
      <c r="F987" t="s">
        <v>1759</v>
      </c>
      <c r="G987">
        <v>1593</v>
      </c>
      <c r="H987">
        <v>1</v>
      </c>
      <c r="I987" t="s">
        <v>81</v>
      </c>
      <c r="J987">
        <v>0</v>
      </c>
      <c r="K987">
        <v>2</v>
      </c>
      <c r="L987">
        <v>2</v>
      </c>
      <c r="M987" t="s">
        <v>100</v>
      </c>
      <c r="N987" t="s">
        <v>100</v>
      </c>
      <c r="O987" t="s">
        <v>100</v>
      </c>
      <c r="P987" t="s">
        <v>100</v>
      </c>
      <c r="Q987">
        <v>4</v>
      </c>
      <c r="R987">
        <v>9</v>
      </c>
      <c r="S987">
        <v>8</v>
      </c>
      <c r="T987">
        <v>2</v>
      </c>
      <c r="U987">
        <v>6</v>
      </c>
      <c r="V987">
        <v>2</v>
      </c>
      <c r="W987">
        <v>4</v>
      </c>
      <c r="X987" t="s">
        <v>100</v>
      </c>
      <c r="Y987">
        <v>9</v>
      </c>
      <c r="Z987" t="s">
        <v>100</v>
      </c>
      <c r="AA987" t="s">
        <v>100</v>
      </c>
      <c r="AB987" t="s">
        <v>100</v>
      </c>
      <c r="AC987">
        <v>1</v>
      </c>
      <c r="AD987" t="s">
        <v>100</v>
      </c>
      <c r="AE987" t="s">
        <v>100</v>
      </c>
      <c r="AF987" t="s">
        <v>100</v>
      </c>
      <c r="AG987" t="s">
        <v>100</v>
      </c>
      <c r="AH987" t="s">
        <v>100</v>
      </c>
      <c r="AI987" t="s">
        <v>100</v>
      </c>
      <c r="AJ987" t="s">
        <v>100</v>
      </c>
      <c r="AK987" t="s">
        <v>100</v>
      </c>
      <c r="AL987" t="s">
        <v>100</v>
      </c>
      <c r="AM987" t="s">
        <v>100</v>
      </c>
      <c r="AN987" t="s">
        <v>100</v>
      </c>
      <c r="AT987" t="s">
        <v>100</v>
      </c>
      <c r="AU987" t="s">
        <v>100</v>
      </c>
      <c r="AV987" t="s">
        <v>100</v>
      </c>
      <c r="AW987">
        <v>45</v>
      </c>
      <c r="AX987">
        <v>69</v>
      </c>
      <c r="AZ987" t="s">
        <v>101</v>
      </c>
      <c r="BA987">
        <v>1</v>
      </c>
      <c r="BC987" t="s">
        <v>2067</v>
      </c>
      <c r="BD987" s="4">
        <v>43283.305555555555</v>
      </c>
      <c r="BE987" s="4">
        <v>43283.333715277775</v>
      </c>
      <c r="BF987" s="4">
        <v>43283.333715277775</v>
      </c>
      <c r="BG987" t="s">
        <v>83</v>
      </c>
      <c r="BH987" t="s">
        <v>84</v>
      </c>
      <c r="BI987" t="s">
        <v>85</v>
      </c>
    </row>
    <row r="988" spans="1:61" x14ac:dyDescent="0.3">
      <c r="A988" t="str">
        <f>"201604B0100"</f>
        <v>201604B0100</v>
      </c>
      <c r="B988" t="s">
        <v>2068</v>
      </c>
      <c r="C988">
        <v>20</v>
      </c>
      <c r="D988" t="s">
        <v>79</v>
      </c>
      <c r="E988">
        <v>5</v>
      </c>
      <c r="F988" t="s">
        <v>1759</v>
      </c>
      <c r="G988">
        <v>1604</v>
      </c>
      <c r="H988">
        <v>1</v>
      </c>
      <c r="I988" t="s">
        <v>81</v>
      </c>
      <c r="J988">
        <v>0</v>
      </c>
      <c r="K988">
        <v>1</v>
      </c>
      <c r="L988">
        <v>2</v>
      </c>
      <c r="M988">
        <v>78</v>
      </c>
      <c r="N988">
        <v>117</v>
      </c>
      <c r="O988">
        <v>2</v>
      </c>
      <c r="P988">
        <v>117</v>
      </c>
      <c r="Q988">
        <v>5</v>
      </c>
      <c r="R988">
        <v>55</v>
      </c>
      <c r="S988">
        <v>1</v>
      </c>
      <c r="T988">
        <v>4</v>
      </c>
      <c r="U988">
        <v>10</v>
      </c>
      <c r="V988">
        <v>1</v>
      </c>
      <c r="W988">
        <v>0</v>
      </c>
      <c r="X988">
        <v>3</v>
      </c>
      <c r="Y988">
        <v>28</v>
      </c>
      <c r="Z988">
        <v>2</v>
      </c>
      <c r="AA988">
        <v>0</v>
      </c>
      <c r="AB988">
        <v>3</v>
      </c>
      <c r="AC988">
        <v>0</v>
      </c>
      <c r="AD988">
        <v>0</v>
      </c>
      <c r="AE988">
        <v>0</v>
      </c>
      <c r="AF988">
        <v>0</v>
      </c>
      <c r="AG988">
        <v>1</v>
      </c>
      <c r="AH988">
        <v>0</v>
      </c>
      <c r="AI988">
        <v>0</v>
      </c>
      <c r="AJ988">
        <v>0</v>
      </c>
      <c r="AK988">
        <v>1</v>
      </c>
      <c r="AL988">
        <v>0</v>
      </c>
      <c r="AM988">
        <v>0</v>
      </c>
      <c r="AN988">
        <v>1</v>
      </c>
      <c r="AT988">
        <v>0</v>
      </c>
      <c r="AU988">
        <v>2</v>
      </c>
      <c r="AV988">
        <v>117</v>
      </c>
      <c r="AW988">
        <v>117</v>
      </c>
      <c r="AX988">
        <v>173</v>
      </c>
      <c r="BA988">
        <v>1</v>
      </c>
      <c r="BC988" t="s">
        <v>2069</v>
      </c>
      <c r="BD988" s="4">
        <v>43283.207638888889</v>
      </c>
      <c r="BE988" s="4">
        <v>43283.229722222219</v>
      </c>
      <c r="BF988" s="4">
        <v>43283.229722222219</v>
      </c>
      <c r="BG988" t="s">
        <v>83</v>
      </c>
      <c r="BH988" t="s">
        <v>84</v>
      </c>
      <c r="BI988" t="s">
        <v>85</v>
      </c>
    </row>
    <row r="989" spans="1:61" x14ac:dyDescent="0.3">
      <c r="A989" t="str">
        <f>"201640B0100"</f>
        <v>201640B0100</v>
      </c>
      <c r="B989" t="s">
        <v>2070</v>
      </c>
      <c r="C989">
        <v>20</v>
      </c>
      <c r="D989" t="s">
        <v>79</v>
      </c>
      <c r="E989">
        <v>5</v>
      </c>
      <c r="F989" t="s">
        <v>1759</v>
      </c>
      <c r="G989">
        <v>1640</v>
      </c>
      <c r="H989">
        <v>1</v>
      </c>
      <c r="I989" t="s">
        <v>81</v>
      </c>
      <c r="J989">
        <v>0</v>
      </c>
      <c r="K989">
        <v>2</v>
      </c>
      <c r="L989">
        <v>2</v>
      </c>
      <c r="M989">
        <v>180</v>
      </c>
      <c r="N989">
        <v>216</v>
      </c>
      <c r="O989">
        <v>6</v>
      </c>
      <c r="P989">
        <v>216</v>
      </c>
      <c r="Q989">
        <v>39</v>
      </c>
      <c r="R989">
        <v>98</v>
      </c>
      <c r="S989">
        <v>6</v>
      </c>
      <c r="T989">
        <v>5</v>
      </c>
      <c r="U989">
        <v>4</v>
      </c>
      <c r="V989">
        <v>3</v>
      </c>
      <c r="W989">
        <v>1</v>
      </c>
      <c r="X989">
        <v>1</v>
      </c>
      <c r="Y989">
        <v>37</v>
      </c>
      <c r="Z989">
        <v>3</v>
      </c>
      <c r="AA989">
        <v>0</v>
      </c>
      <c r="AB989">
        <v>1</v>
      </c>
      <c r="AC989">
        <v>0</v>
      </c>
      <c r="AD989">
        <v>1</v>
      </c>
      <c r="AE989">
        <v>1</v>
      </c>
      <c r="AF989">
        <v>1</v>
      </c>
      <c r="AG989">
        <v>0</v>
      </c>
      <c r="AH989">
        <v>4</v>
      </c>
      <c r="AI989">
        <v>0</v>
      </c>
      <c r="AJ989">
        <v>0</v>
      </c>
      <c r="AK989">
        <v>1</v>
      </c>
      <c r="AL989">
        <v>1</v>
      </c>
      <c r="AM989">
        <v>0</v>
      </c>
      <c r="AN989">
        <v>0</v>
      </c>
      <c r="AT989">
        <v>0</v>
      </c>
      <c r="AU989">
        <v>9</v>
      </c>
      <c r="AV989">
        <v>216</v>
      </c>
      <c r="AW989">
        <v>216</v>
      </c>
      <c r="AX989">
        <v>375</v>
      </c>
      <c r="BA989">
        <v>1</v>
      </c>
      <c r="BC989" t="s">
        <v>2071</v>
      </c>
      <c r="BD989" s="4">
        <v>43283.1</v>
      </c>
      <c r="BE989" s="4">
        <v>43283.106423611112</v>
      </c>
      <c r="BF989" s="4">
        <v>43283.106423611112</v>
      </c>
      <c r="BG989" t="s">
        <v>83</v>
      </c>
      <c r="BH989" t="s">
        <v>84</v>
      </c>
      <c r="BI989" t="s">
        <v>85</v>
      </c>
    </row>
    <row r="990" spans="1:61" x14ac:dyDescent="0.3">
      <c r="A990" t="str">
        <f>"201743B0100"</f>
        <v>201743B0100</v>
      </c>
      <c r="B990" t="s">
        <v>2072</v>
      </c>
      <c r="C990">
        <v>20</v>
      </c>
      <c r="D990" t="s">
        <v>79</v>
      </c>
      <c r="E990">
        <v>5</v>
      </c>
      <c r="F990" t="s">
        <v>1759</v>
      </c>
      <c r="G990">
        <v>1743</v>
      </c>
      <c r="H990">
        <v>1</v>
      </c>
      <c r="I990" t="s">
        <v>81</v>
      </c>
      <c r="J990">
        <v>0</v>
      </c>
      <c r="K990">
        <v>2</v>
      </c>
      <c r="L990">
        <v>2</v>
      </c>
      <c r="M990">
        <v>217</v>
      </c>
      <c r="N990">
        <v>257</v>
      </c>
      <c r="O990">
        <v>0</v>
      </c>
      <c r="P990">
        <v>257</v>
      </c>
      <c r="Q990">
        <v>12</v>
      </c>
      <c r="R990">
        <v>121</v>
      </c>
      <c r="S990">
        <v>7</v>
      </c>
      <c r="T990">
        <v>4</v>
      </c>
      <c r="U990">
        <v>30</v>
      </c>
      <c r="V990">
        <v>2</v>
      </c>
      <c r="W990">
        <v>1</v>
      </c>
      <c r="X990">
        <v>5</v>
      </c>
      <c r="Y990">
        <v>48</v>
      </c>
      <c r="Z990">
        <v>0</v>
      </c>
      <c r="AA990">
        <v>0</v>
      </c>
      <c r="AB990">
        <v>3</v>
      </c>
      <c r="AC990">
        <v>1</v>
      </c>
      <c r="AD990">
        <v>0</v>
      </c>
      <c r="AE990">
        <v>0</v>
      </c>
      <c r="AF990">
        <v>0</v>
      </c>
      <c r="AG990">
        <v>4</v>
      </c>
      <c r="AH990">
        <v>2</v>
      </c>
      <c r="AI990">
        <v>1</v>
      </c>
      <c r="AJ990">
        <v>0</v>
      </c>
      <c r="AK990">
        <v>1</v>
      </c>
      <c r="AL990">
        <v>3</v>
      </c>
      <c r="AM990">
        <v>1</v>
      </c>
      <c r="AN990">
        <v>1</v>
      </c>
      <c r="AT990">
        <v>0</v>
      </c>
      <c r="AU990">
        <v>10</v>
      </c>
      <c r="AV990">
        <v>257</v>
      </c>
      <c r="AW990">
        <v>257</v>
      </c>
      <c r="AX990">
        <v>452</v>
      </c>
      <c r="BA990">
        <v>1</v>
      </c>
      <c r="BC990" t="s">
        <v>2073</v>
      </c>
      <c r="BD990" s="4">
        <v>43283.030555555553</v>
      </c>
      <c r="BE990" s="4">
        <v>43283.03597222222</v>
      </c>
      <c r="BF990" s="4">
        <v>43283.03597222222</v>
      </c>
      <c r="BG990" t="s">
        <v>83</v>
      </c>
      <c r="BH990" t="s">
        <v>84</v>
      </c>
      <c r="BI990" t="s">
        <v>85</v>
      </c>
    </row>
    <row r="991" spans="1:61" x14ac:dyDescent="0.3">
      <c r="A991" t="str">
        <f>"201744B0100"</f>
        <v>201744B0100</v>
      </c>
      <c r="B991" t="s">
        <v>2074</v>
      </c>
      <c r="C991">
        <v>20</v>
      </c>
      <c r="D991" t="s">
        <v>79</v>
      </c>
      <c r="E991">
        <v>5</v>
      </c>
      <c r="F991" t="s">
        <v>1759</v>
      </c>
      <c r="G991">
        <v>1744</v>
      </c>
      <c r="H991">
        <v>1</v>
      </c>
      <c r="I991" t="s">
        <v>81</v>
      </c>
      <c r="J991">
        <v>0</v>
      </c>
      <c r="K991">
        <v>2</v>
      </c>
      <c r="L991">
        <v>2</v>
      </c>
      <c r="M991">
        <v>186</v>
      </c>
      <c r="N991">
        <v>179</v>
      </c>
      <c r="O991">
        <v>0</v>
      </c>
      <c r="P991">
        <v>179</v>
      </c>
      <c r="Q991">
        <v>13</v>
      </c>
      <c r="R991">
        <v>94</v>
      </c>
      <c r="S991">
        <v>13</v>
      </c>
      <c r="T991">
        <v>3</v>
      </c>
      <c r="U991">
        <v>15</v>
      </c>
      <c r="V991">
        <v>0</v>
      </c>
      <c r="W991">
        <v>1</v>
      </c>
      <c r="X991">
        <v>0</v>
      </c>
      <c r="Y991">
        <v>25</v>
      </c>
      <c r="Z991">
        <v>1</v>
      </c>
      <c r="AA991">
        <v>0</v>
      </c>
      <c r="AB991">
        <v>1</v>
      </c>
      <c r="AC991">
        <v>0</v>
      </c>
      <c r="AD991">
        <v>0</v>
      </c>
      <c r="AE991">
        <v>0</v>
      </c>
      <c r="AF991">
        <v>0</v>
      </c>
      <c r="AG991">
        <v>1</v>
      </c>
      <c r="AH991">
        <v>1</v>
      </c>
      <c r="AI991">
        <v>0</v>
      </c>
      <c r="AJ991">
        <v>0</v>
      </c>
      <c r="AK991">
        <v>1</v>
      </c>
      <c r="AL991">
        <v>1</v>
      </c>
      <c r="AM991">
        <v>1</v>
      </c>
      <c r="AN991">
        <v>0</v>
      </c>
      <c r="AT991">
        <v>0</v>
      </c>
      <c r="AU991">
        <v>8</v>
      </c>
      <c r="AV991">
        <v>179</v>
      </c>
      <c r="AW991">
        <v>179</v>
      </c>
      <c r="AX991">
        <v>344</v>
      </c>
      <c r="BA991">
        <v>1</v>
      </c>
      <c r="BC991" t="s">
        <v>2075</v>
      </c>
      <c r="BD991" s="4">
        <v>43283.029861111114</v>
      </c>
      <c r="BE991" s="4">
        <v>43283.035798611112</v>
      </c>
      <c r="BF991" s="4">
        <v>43283.035798611112</v>
      </c>
      <c r="BG991" t="s">
        <v>83</v>
      </c>
      <c r="BH991" t="s">
        <v>84</v>
      </c>
      <c r="BI991" t="s">
        <v>85</v>
      </c>
    </row>
    <row r="992" spans="1:61" x14ac:dyDescent="0.3">
      <c r="A992" t="str">
        <f>"201745B0100"</f>
        <v>201745B0100</v>
      </c>
      <c r="B992" t="s">
        <v>2076</v>
      </c>
      <c r="C992">
        <v>20</v>
      </c>
      <c r="D992" t="s">
        <v>79</v>
      </c>
      <c r="E992">
        <v>5</v>
      </c>
      <c r="F992" t="s">
        <v>1759</v>
      </c>
      <c r="G992">
        <v>1745</v>
      </c>
      <c r="H992">
        <v>1</v>
      </c>
      <c r="I992" t="s">
        <v>81</v>
      </c>
      <c r="J992">
        <v>0</v>
      </c>
      <c r="K992">
        <v>2</v>
      </c>
      <c r="L992">
        <v>2</v>
      </c>
      <c r="M992">
        <v>240</v>
      </c>
      <c r="N992">
        <v>163</v>
      </c>
      <c r="O992">
        <v>1</v>
      </c>
      <c r="P992">
        <v>163</v>
      </c>
      <c r="Q992">
        <v>5</v>
      </c>
      <c r="R992">
        <v>52</v>
      </c>
      <c r="S992">
        <v>7</v>
      </c>
      <c r="T992">
        <v>2</v>
      </c>
      <c r="U992">
        <v>21</v>
      </c>
      <c r="V992">
        <v>1</v>
      </c>
      <c r="W992">
        <v>2</v>
      </c>
      <c r="X992">
        <v>1</v>
      </c>
      <c r="Y992">
        <v>58</v>
      </c>
      <c r="Z992">
        <v>1</v>
      </c>
      <c r="AA992">
        <v>1</v>
      </c>
      <c r="AB992">
        <v>1</v>
      </c>
      <c r="AC992">
        <v>0</v>
      </c>
      <c r="AD992">
        <v>0</v>
      </c>
      <c r="AE992">
        <v>0</v>
      </c>
      <c r="AF992">
        <v>0</v>
      </c>
      <c r="AG992">
        <v>2</v>
      </c>
      <c r="AH992">
        <v>0</v>
      </c>
      <c r="AI992">
        <v>0</v>
      </c>
      <c r="AJ992">
        <v>0</v>
      </c>
      <c r="AK992">
        <v>2</v>
      </c>
      <c r="AL992">
        <v>3</v>
      </c>
      <c r="AM992">
        <v>0</v>
      </c>
      <c r="AN992">
        <v>0</v>
      </c>
      <c r="AT992">
        <v>0</v>
      </c>
      <c r="AU992">
        <v>4</v>
      </c>
      <c r="AV992">
        <v>163</v>
      </c>
      <c r="AW992">
        <v>163</v>
      </c>
      <c r="AX992">
        <v>381</v>
      </c>
      <c r="BA992">
        <v>1</v>
      </c>
      <c r="BC992" t="s">
        <v>2077</v>
      </c>
      <c r="BD992" s="4">
        <v>43283.033333333333</v>
      </c>
      <c r="BE992" s="4">
        <v>43283.038055555553</v>
      </c>
      <c r="BF992" s="4">
        <v>43283.038055555553</v>
      </c>
      <c r="BG992" t="s">
        <v>83</v>
      </c>
      <c r="BH992" t="s">
        <v>84</v>
      </c>
      <c r="BI992" t="s">
        <v>85</v>
      </c>
    </row>
    <row r="993" spans="1:61" x14ac:dyDescent="0.3">
      <c r="A993" t="str">
        <f>"201777B0100"</f>
        <v>201777B0100</v>
      </c>
      <c r="B993" t="s">
        <v>2078</v>
      </c>
      <c r="C993">
        <v>20</v>
      </c>
      <c r="D993" t="s">
        <v>79</v>
      </c>
      <c r="E993">
        <v>5</v>
      </c>
      <c r="F993" t="s">
        <v>1759</v>
      </c>
      <c r="G993">
        <v>1777</v>
      </c>
      <c r="H993">
        <v>1</v>
      </c>
      <c r="I993" t="s">
        <v>81</v>
      </c>
      <c r="J993">
        <v>0</v>
      </c>
      <c r="K993">
        <v>1</v>
      </c>
      <c r="L993">
        <v>2</v>
      </c>
      <c r="M993">
        <v>35</v>
      </c>
      <c r="N993">
        <v>59</v>
      </c>
      <c r="O993">
        <v>9</v>
      </c>
      <c r="P993">
        <v>59</v>
      </c>
      <c r="Q993">
        <v>1</v>
      </c>
      <c r="R993">
        <v>21</v>
      </c>
      <c r="S993">
        <v>7</v>
      </c>
      <c r="T993">
        <v>0</v>
      </c>
      <c r="U993">
        <v>7</v>
      </c>
      <c r="V993">
        <v>0</v>
      </c>
      <c r="W993">
        <v>0</v>
      </c>
      <c r="X993">
        <v>0</v>
      </c>
      <c r="Y993">
        <v>21</v>
      </c>
      <c r="Z993">
        <v>0</v>
      </c>
      <c r="AA993">
        <v>0</v>
      </c>
      <c r="AB993">
        <v>1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1</v>
      </c>
      <c r="AT993">
        <v>0</v>
      </c>
      <c r="AU993">
        <v>0</v>
      </c>
      <c r="AV993">
        <v>59</v>
      </c>
      <c r="AW993">
        <v>59</v>
      </c>
      <c r="AX993">
        <v>72</v>
      </c>
      <c r="BA993">
        <v>1</v>
      </c>
      <c r="BC993" t="s">
        <v>2079</v>
      </c>
      <c r="BD993" s="4">
        <v>43283.44027777778</v>
      </c>
      <c r="BE993" s="4">
        <v>43283.445011574076</v>
      </c>
      <c r="BF993" s="4">
        <v>43283.445011574076</v>
      </c>
      <c r="BG993" t="s">
        <v>83</v>
      </c>
      <c r="BH993" t="s">
        <v>84</v>
      </c>
      <c r="BI993" t="s">
        <v>85</v>
      </c>
    </row>
    <row r="994" spans="1:61" x14ac:dyDescent="0.3">
      <c r="A994" t="str">
        <f>"201780B0100"</f>
        <v>201780B0100</v>
      </c>
      <c r="B994" t="s">
        <v>2080</v>
      </c>
      <c r="C994">
        <v>20</v>
      </c>
      <c r="D994" t="s">
        <v>79</v>
      </c>
      <c r="E994">
        <v>5</v>
      </c>
      <c r="F994" t="s">
        <v>1759</v>
      </c>
      <c r="G994">
        <v>1780</v>
      </c>
      <c r="H994">
        <v>1</v>
      </c>
      <c r="I994" t="s">
        <v>81</v>
      </c>
      <c r="J994">
        <v>0</v>
      </c>
      <c r="K994">
        <v>2</v>
      </c>
      <c r="L994">
        <v>2</v>
      </c>
      <c r="M994">
        <v>303</v>
      </c>
      <c r="N994" t="s">
        <v>315</v>
      </c>
      <c r="O994">
        <v>12</v>
      </c>
      <c r="P994" t="s">
        <v>100</v>
      </c>
      <c r="Q994">
        <v>3</v>
      </c>
      <c r="R994">
        <v>50</v>
      </c>
      <c r="S994">
        <v>23</v>
      </c>
      <c r="T994">
        <v>9</v>
      </c>
      <c r="U994">
        <v>106</v>
      </c>
      <c r="V994">
        <v>10</v>
      </c>
      <c r="W994">
        <v>4</v>
      </c>
      <c r="X994">
        <v>9</v>
      </c>
      <c r="Y994">
        <v>67</v>
      </c>
      <c r="Z994">
        <v>5</v>
      </c>
      <c r="AA994">
        <v>2</v>
      </c>
      <c r="AB994">
        <v>2</v>
      </c>
      <c r="AC994">
        <v>1</v>
      </c>
      <c r="AD994">
        <v>0</v>
      </c>
      <c r="AE994">
        <v>0</v>
      </c>
      <c r="AF994">
        <v>0</v>
      </c>
      <c r="AG994">
        <v>0</v>
      </c>
      <c r="AH994">
        <v>3</v>
      </c>
      <c r="AI994">
        <v>1</v>
      </c>
      <c r="AJ994">
        <v>0</v>
      </c>
      <c r="AK994">
        <v>0</v>
      </c>
      <c r="AL994">
        <v>2</v>
      </c>
      <c r="AM994">
        <v>0</v>
      </c>
      <c r="AN994">
        <v>0</v>
      </c>
      <c r="AT994" t="s">
        <v>100</v>
      </c>
      <c r="AU994">
        <v>76</v>
      </c>
      <c r="AV994">
        <v>373</v>
      </c>
      <c r="AW994">
        <v>373</v>
      </c>
      <c r="AX994">
        <v>654</v>
      </c>
      <c r="AZ994" t="s">
        <v>101</v>
      </c>
      <c r="BA994">
        <v>1</v>
      </c>
      <c r="BC994" t="s">
        <v>2081</v>
      </c>
      <c r="BD994" s="4">
        <v>43283.14166666667</v>
      </c>
      <c r="BE994" s="4">
        <v>43283.147511574076</v>
      </c>
      <c r="BF994" s="4">
        <v>43283.147511574076</v>
      </c>
      <c r="BG994" t="s">
        <v>83</v>
      </c>
      <c r="BH994" t="s">
        <v>84</v>
      </c>
      <c r="BI994" t="s">
        <v>85</v>
      </c>
    </row>
    <row r="995" spans="1:61" x14ac:dyDescent="0.3">
      <c r="A995" t="str">
        <f>"201781B0100"</f>
        <v>201781B0100</v>
      </c>
      <c r="B995" t="s">
        <v>2082</v>
      </c>
      <c r="C995">
        <v>20</v>
      </c>
      <c r="D995" t="s">
        <v>79</v>
      </c>
      <c r="E995">
        <v>5</v>
      </c>
      <c r="F995" t="s">
        <v>1759</v>
      </c>
      <c r="G995">
        <v>1781</v>
      </c>
      <c r="H995">
        <v>1</v>
      </c>
      <c r="I995" t="s">
        <v>81</v>
      </c>
      <c r="J995">
        <v>0</v>
      </c>
      <c r="K995">
        <v>2</v>
      </c>
      <c r="L995">
        <v>2</v>
      </c>
      <c r="M995">
        <v>253</v>
      </c>
      <c r="N995">
        <v>254</v>
      </c>
      <c r="O995">
        <v>1</v>
      </c>
      <c r="P995">
        <v>0</v>
      </c>
      <c r="Q995">
        <v>7</v>
      </c>
      <c r="R995">
        <v>15</v>
      </c>
      <c r="S995">
        <v>30</v>
      </c>
      <c r="T995">
        <v>3</v>
      </c>
      <c r="U995">
        <v>92</v>
      </c>
      <c r="V995">
        <v>3</v>
      </c>
      <c r="W995">
        <v>5</v>
      </c>
      <c r="X995">
        <v>4</v>
      </c>
      <c r="Y995">
        <v>40</v>
      </c>
      <c r="Z995">
        <v>8</v>
      </c>
      <c r="AA995">
        <v>2</v>
      </c>
      <c r="AB995">
        <v>0</v>
      </c>
      <c r="AC995">
        <v>0</v>
      </c>
      <c r="AD995">
        <v>1</v>
      </c>
      <c r="AE995">
        <v>0</v>
      </c>
      <c r="AF995">
        <v>0</v>
      </c>
      <c r="AG995">
        <v>1</v>
      </c>
      <c r="AH995">
        <v>1</v>
      </c>
      <c r="AI995">
        <v>0</v>
      </c>
      <c r="AJ995">
        <v>2</v>
      </c>
      <c r="AK995">
        <v>6</v>
      </c>
      <c r="AL995">
        <v>0</v>
      </c>
      <c r="AM995">
        <v>0</v>
      </c>
      <c r="AN995">
        <v>0</v>
      </c>
      <c r="AT995" t="s">
        <v>315</v>
      </c>
      <c r="AU995">
        <v>34</v>
      </c>
      <c r="AV995">
        <v>254</v>
      </c>
      <c r="AW995">
        <v>254</v>
      </c>
      <c r="AX995">
        <v>569</v>
      </c>
      <c r="AZ995" t="s">
        <v>101</v>
      </c>
      <c r="BA995">
        <v>1</v>
      </c>
      <c r="BC995" t="s">
        <v>2083</v>
      </c>
      <c r="BD995" s="4">
        <v>43283.14166666667</v>
      </c>
      <c r="BE995" s="4">
        <v>43283.165833333333</v>
      </c>
      <c r="BF995" s="4">
        <v>43283.165833333333</v>
      </c>
      <c r="BG995" t="s">
        <v>83</v>
      </c>
      <c r="BH995" t="s">
        <v>84</v>
      </c>
      <c r="BI995" t="s">
        <v>85</v>
      </c>
    </row>
    <row r="996" spans="1:61" x14ac:dyDescent="0.3">
      <c r="A996" t="str">
        <f>"201789B0100"</f>
        <v>201789B0100</v>
      </c>
      <c r="B996" t="s">
        <v>2084</v>
      </c>
      <c r="C996">
        <v>20</v>
      </c>
      <c r="D996" t="s">
        <v>79</v>
      </c>
      <c r="E996">
        <v>5</v>
      </c>
      <c r="F996" t="s">
        <v>1759</v>
      </c>
      <c r="G996">
        <v>1789</v>
      </c>
      <c r="H996">
        <v>1</v>
      </c>
      <c r="I996" t="s">
        <v>81</v>
      </c>
      <c r="J996">
        <v>0</v>
      </c>
      <c r="K996">
        <v>2</v>
      </c>
      <c r="L996">
        <v>2</v>
      </c>
      <c r="M996">
        <v>199</v>
      </c>
      <c r="N996">
        <v>270</v>
      </c>
      <c r="O996">
        <v>0</v>
      </c>
      <c r="P996">
        <v>270</v>
      </c>
      <c r="Q996">
        <v>11</v>
      </c>
      <c r="R996">
        <v>26</v>
      </c>
      <c r="S996">
        <v>20</v>
      </c>
      <c r="T996">
        <v>3</v>
      </c>
      <c r="U996">
        <v>55</v>
      </c>
      <c r="V996">
        <v>6</v>
      </c>
      <c r="W996">
        <v>12</v>
      </c>
      <c r="X996">
        <v>1</v>
      </c>
      <c r="Y996">
        <v>104</v>
      </c>
      <c r="Z996">
        <v>2</v>
      </c>
      <c r="AA996">
        <v>0</v>
      </c>
      <c r="AB996">
        <v>4</v>
      </c>
      <c r="AC996">
        <v>1</v>
      </c>
      <c r="AD996">
        <v>1</v>
      </c>
      <c r="AE996">
        <v>0</v>
      </c>
      <c r="AF996">
        <v>0</v>
      </c>
      <c r="AG996">
        <v>1</v>
      </c>
      <c r="AH996">
        <v>1</v>
      </c>
      <c r="AI996">
        <v>0</v>
      </c>
      <c r="AJ996">
        <v>0</v>
      </c>
      <c r="AK996">
        <v>7</v>
      </c>
      <c r="AL996">
        <v>4</v>
      </c>
      <c r="AM996">
        <v>0</v>
      </c>
      <c r="AN996">
        <v>3</v>
      </c>
      <c r="AT996">
        <v>0</v>
      </c>
      <c r="AU996">
        <v>8</v>
      </c>
      <c r="AV996">
        <v>270</v>
      </c>
      <c r="AW996">
        <v>270</v>
      </c>
      <c r="AX996">
        <v>447</v>
      </c>
      <c r="BA996">
        <v>1</v>
      </c>
      <c r="BC996" t="s">
        <v>2085</v>
      </c>
      <c r="BD996" s="4">
        <v>43283.310416666667</v>
      </c>
      <c r="BE996" s="4">
        <v>43283.335381944446</v>
      </c>
      <c r="BF996" s="4">
        <v>43283.335381944446</v>
      </c>
      <c r="BG996" t="s">
        <v>83</v>
      </c>
      <c r="BH996" t="s">
        <v>84</v>
      </c>
      <c r="BI996" t="s">
        <v>85</v>
      </c>
    </row>
    <row r="997" spans="1:61" x14ac:dyDescent="0.3">
      <c r="A997" t="str">
        <f>"201789E0100"</f>
        <v>201789E0100</v>
      </c>
      <c r="B997" s="2" t="s">
        <v>2086</v>
      </c>
      <c r="C997">
        <v>20</v>
      </c>
      <c r="D997" t="s">
        <v>79</v>
      </c>
      <c r="E997">
        <v>5</v>
      </c>
      <c r="F997" t="s">
        <v>1759</v>
      </c>
      <c r="G997">
        <v>1789</v>
      </c>
      <c r="H997">
        <v>1</v>
      </c>
      <c r="I997" t="s">
        <v>145</v>
      </c>
      <c r="J997">
        <v>0</v>
      </c>
      <c r="K997">
        <v>2</v>
      </c>
      <c r="L997">
        <v>2</v>
      </c>
      <c r="M997">
        <v>88</v>
      </c>
      <c r="N997">
        <v>95</v>
      </c>
      <c r="O997">
        <v>3</v>
      </c>
      <c r="P997">
        <v>95</v>
      </c>
      <c r="Q997">
        <v>12</v>
      </c>
      <c r="R997">
        <v>7</v>
      </c>
      <c r="S997">
        <v>5</v>
      </c>
      <c r="T997">
        <v>4</v>
      </c>
      <c r="U997">
        <v>17</v>
      </c>
      <c r="V997">
        <v>2</v>
      </c>
      <c r="W997">
        <v>0</v>
      </c>
      <c r="X997">
        <v>0</v>
      </c>
      <c r="Y997">
        <v>35</v>
      </c>
      <c r="Z997">
        <v>1</v>
      </c>
      <c r="AA997">
        <v>1</v>
      </c>
      <c r="AB997">
        <v>2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1</v>
      </c>
      <c r="AM997">
        <v>0</v>
      </c>
      <c r="AN997">
        <v>0</v>
      </c>
      <c r="AT997">
        <v>0</v>
      </c>
      <c r="AU997">
        <v>8</v>
      </c>
      <c r="AV997">
        <v>95</v>
      </c>
      <c r="AW997">
        <v>95</v>
      </c>
      <c r="AX997">
        <v>161</v>
      </c>
      <c r="BA997">
        <v>1</v>
      </c>
      <c r="BC997" t="s">
        <v>2087</v>
      </c>
      <c r="BD997" s="4">
        <v>43283.304861111108</v>
      </c>
      <c r="BE997" s="4">
        <v>43283.332731481481</v>
      </c>
      <c r="BF997" s="4">
        <v>43283.332731481481</v>
      </c>
      <c r="BG997" t="s">
        <v>83</v>
      </c>
      <c r="BH997" t="s">
        <v>84</v>
      </c>
      <c r="BI997" t="s">
        <v>85</v>
      </c>
    </row>
    <row r="998" spans="1:61" x14ac:dyDescent="0.3">
      <c r="A998" t="str">
        <f>"201790B0100"</f>
        <v>201790B0100</v>
      </c>
      <c r="B998" t="s">
        <v>2088</v>
      </c>
      <c r="C998">
        <v>20</v>
      </c>
      <c r="D998" t="s">
        <v>79</v>
      </c>
      <c r="E998">
        <v>5</v>
      </c>
      <c r="F998" t="s">
        <v>1759</v>
      </c>
      <c r="G998">
        <v>1790</v>
      </c>
      <c r="H998">
        <v>1</v>
      </c>
      <c r="I998" t="s">
        <v>81</v>
      </c>
      <c r="J998">
        <v>0</v>
      </c>
      <c r="K998">
        <v>1</v>
      </c>
      <c r="L998">
        <v>2</v>
      </c>
      <c r="M998">
        <v>322</v>
      </c>
      <c r="N998">
        <v>315</v>
      </c>
      <c r="O998">
        <v>3</v>
      </c>
      <c r="P998">
        <v>315</v>
      </c>
      <c r="Q998">
        <v>29</v>
      </c>
      <c r="R998">
        <v>18</v>
      </c>
      <c r="S998">
        <v>12</v>
      </c>
      <c r="T998">
        <v>17</v>
      </c>
      <c r="U998">
        <v>48</v>
      </c>
      <c r="V998">
        <v>6</v>
      </c>
      <c r="W998">
        <v>3</v>
      </c>
      <c r="X998">
        <v>5</v>
      </c>
      <c r="Y998">
        <v>143</v>
      </c>
      <c r="Z998">
        <v>8</v>
      </c>
      <c r="AA998">
        <v>1</v>
      </c>
      <c r="AB998">
        <v>3</v>
      </c>
      <c r="AC998">
        <v>1</v>
      </c>
      <c r="AD998">
        <v>0</v>
      </c>
      <c r="AE998">
        <v>0</v>
      </c>
      <c r="AF998">
        <v>0</v>
      </c>
      <c r="AG998">
        <v>1</v>
      </c>
      <c r="AH998">
        <v>1</v>
      </c>
      <c r="AI998">
        <v>0</v>
      </c>
      <c r="AJ998">
        <v>0</v>
      </c>
      <c r="AK998">
        <v>3</v>
      </c>
      <c r="AL998">
        <v>4</v>
      </c>
      <c r="AM998">
        <v>0</v>
      </c>
      <c r="AN998">
        <v>3</v>
      </c>
      <c r="AT998">
        <v>0</v>
      </c>
      <c r="AU998">
        <v>9</v>
      </c>
      <c r="AV998" t="s">
        <v>100</v>
      </c>
      <c r="AW998">
        <v>315</v>
      </c>
      <c r="AX998">
        <v>615</v>
      </c>
      <c r="BA998">
        <v>1</v>
      </c>
      <c r="BC998" t="s">
        <v>2089</v>
      </c>
      <c r="BD998" s="4">
        <v>43283.423611111109</v>
      </c>
      <c r="BE998" s="4">
        <v>43283.43304398148</v>
      </c>
      <c r="BF998" s="4">
        <v>43283.43304398148</v>
      </c>
      <c r="BG998" t="s">
        <v>83</v>
      </c>
      <c r="BH998" t="s">
        <v>84</v>
      </c>
      <c r="BI998" t="s">
        <v>85</v>
      </c>
    </row>
    <row r="999" spans="1:61" x14ac:dyDescent="0.3">
      <c r="A999" t="str">
        <f>"201791B0100"</f>
        <v>201791B0100</v>
      </c>
      <c r="B999" t="s">
        <v>2090</v>
      </c>
      <c r="C999">
        <v>20</v>
      </c>
      <c r="D999" t="s">
        <v>79</v>
      </c>
      <c r="E999">
        <v>5</v>
      </c>
      <c r="F999" t="s">
        <v>1759</v>
      </c>
      <c r="G999">
        <v>1791</v>
      </c>
      <c r="H999">
        <v>1</v>
      </c>
      <c r="I999" t="s">
        <v>81</v>
      </c>
      <c r="J999">
        <v>0</v>
      </c>
      <c r="K999">
        <v>2</v>
      </c>
      <c r="L999">
        <v>2</v>
      </c>
      <c r="M999">
        <v>241</v>
      </c>
      <c r="N999">
        <v>288</v>
      </c>
      <c r="O999">
        <v>1</v>
      </c>
      <c r="P999">
        <v>288</v>
      </c>
      <c r="Q999">
        <v>16</v>
      </c>
      <c r="R999">
        <v>53</v>
      </c>
      <c r="S999">
        <v>14</v>
      </c>
      <c r="T999">
        <v>11</v>
      </c>
      <c r="U999">
        <v>39</v>
      </c>
      <c r="V999">
        <v>7</v>
      </c>
      <c r="W999">
        <v>2</v>
      </c>
      <c r="X999">
        <v>5</v>
      </c>
      <c r="Y999">
        <v>115</v>
      </c>
      <c r="Z999">
        <v>5</v>
      </c>
      <c r="AA999">
        <v>0</v>
      </c>
      <c r="AB999">
        <v>1</v>
      </c>
      <c r="AC999">
        <v>1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4</v>
      </c>
      <c r="AL999">
        <v>5</v>
      </c>
      <c r="AM999">
        <v>1</v>
      </c>
      <c r="AN999">
        <v>1</v>
      </c>
      <c r="AT999">
        <v>0</v>
      </c>
      <c r="AU999">
        <v>8</v>
      </c>
      <c r="AV999">
        <v>288</v>
      </c>
      <c r="AW999">
        <v>288</v>
      </c>
      <c r="AX999">
        <v>507</v>
      </c>
      <c r="BA999">
        <v>1</v>
      </c>
      <c r="BC999" s="2" t="s">
        <v>2091</v>
      </c>
      <c r="BD999" s="4">
        <v>43283.425000000003</v>
      </c>
      <c r="BE999" s="4">
        <v>43283.433032407411</v>
      </c>
      <c r="BF999" s="4">
        <v>43283.433032407411</v>
      </c>
      <c r="BG999" t="s">
        <v>83</v>
      </c>
      <c r="BH999" t="s">
        <v>84</v>
      </c>
      <c r="BI999" t="s">
        <v>85</v>
      </c>
    </row>
    <row r="1000" spans="1:61" x14ac:dyDescent="0.3">
      <c r="A1000" t="str">
        <f>"201791E0100"</f>
        <v>201791E0100</v>
      </c>
      <c r="B1000" s="2" t="s">
        <v>2092</v>
      </c>
      <c r="C1000">
        <v>20</v>
      </c>
      <c r="D1000" t="s">
        <v>79</v>
      </c>
      <c r="E1000">
        <v>5</v>
      </c>
      <c r="F1000" t="s">
        <v>1759</v>
      </c>
      <c r="G1000">
        <v>1791</v>
      </c>
      <c r="H1000">
        <v>1</v>
      </c>
      <c r="I1000" t="s">
        <v>145</v>
      </c>
      <c r="J1000">
        <v>0</v>
      </c>
      <c r="K1000">
        <v>2</v>
      </c>
      <c r="L1000">
        <v>2</v>
      </c>
      <c r="M1000">
        <v>110</v>
      </c>
      <c r="N1000">
        <v>133</v>
      </c>
      <c r="O1000">
        <v>6</v>
      </c>
      <c r="P1000">
        <v>133</v>
      </c>
      <c r="Q1000">
        <v>12</v>
      </c>
      <c r="R1000">
        <v>13</v>
      </c>
      <c r="S1000">
        <v>7</v>
      </c>
      <c r="T1000">
        <v>6</v>
      </c>
      <c r="U1000">
        <v>23</v>
      </c>
      <c r="V1000">
        <v>3</v>
      </c>
      <c r="W1000">
        <v>8</v>
      </c>
      <c r="X1000">
        <v>1</v>
      </c>
      <c r="Y1000">
        <v>40</v>
      </c>
      <c r="Z1000">
        <v>3</v>
      </c>
      <c r="AA1000">
        <v>0</v>
      </c>
      <c r="AB1000">
        <v>2</v>
      </c>
      <c r="AC1000">
        <v>0</v>
      </c>
      <c r="AD1000">
        <v>0</v>
      </c>
      <c r="AE1000">
        <v>0</v>
      </c>
      <c r="AF1000">
        <v>0</v>
      </c>
      <c r="AG1000">
        <v>2</v>
      </c>
      <c r="AH1000">
        <v>0</v>
      </c>
      <c r="AI1000">
        <v>0</v>
      </c>
      <c r="AJ1000">
        <v>1</v>
      </c>
      <c r="AK1000">
        <v>1</v>
      </c>
      <c r="AL1000">
        <v>0</v>
      </c>
      <c r="AM1000">
        <v>0</v>
      </c>
      <c r="AN1000">
        <v>1</v>
      </c>
      <c r="AT1000">
        <v>0</v>
      </c>
      <c r="AU1000">
        <v>10</v>
      </c>
      <c r="AV1000">
        <v>133</v>
      </c>
      <c r="AW1000">
        <v>133</v>
      </c>
      <c r="AX1000">
        <v>221</v>
      </c>
      <c r="BA1000">
        <v>1</v>
      </c>
      <c r="BC1000" t="s">
        <v>2093</v>
      </c>
      <c r="BD1000" s="4">
        <v>43283.429166666669</v>
      </c>
      <c r="BE1000" s="4">
        <v>43283.432719907411</v>
      </c>
      <c r="BF1000" s="4">
        <v>43283.432719907411</v>
      </c>
      <c r="BG1000" t="s">
        <v>83</v>
      </c>
      <c r="BH1000" t="s">
        <v>84</v>
      </c>
      <c r="BI1000" t="s">
        <v>85</v>
      </c>
    </row>
    <row r="1001" spans="1:61" x14ac:dyDescent="0.3">
      <c r="A1001" t="str">
        <f>"201792B0100"</f>
        <v>201792B0100</v>
      </c>
      <c r="B1001" t="s">
        <v>2094</v>
      </c>
      <c r="C1001">
        <v>20</v>
      </c>
      <c r="D1001" t="s">
        <v>79</v>
      </c>
      <c r="E1001">
        <v>5</v>
      </c>
      <c r="F1001" t="s">
        <v>1759</v>
      </c>
      <c r="G1001">
        <v>1792</v>
      </c>
      <c r="H1001">
        <v>1</v>
      </c>
      <c r="I1001" t="s">
        <v>81</v>
      </c>
      <c r="J1001">
        <v>0</v>
      </c>
      <c r="K1001">
        <v>2</v>
      </c>
      <c r="L1001">
        <v>2</v>
      </c>
      <c r="M1001">
        <v>53</v>
      </c>
      <c r="N1001">
        <v>79</v>
      </c>
      <c r="O1001">
        <v>6</v>
      </c>
      <c r="P1001">
        <v>79</v>
      </c>
      <c r="Q1001">
        <v>6</v>
      </c>
      <c r="R1001">
        <v>20</v>
      </c>
      <c r="S1001">
        <v>5</v>
      </c>
      <c r="T1001">
        <v>4</v>
      </c>
      <c r="U1001">
        <v>9</v>
      </c>
      <c r="V1001">
        <v>2</v>
      </c>
      <c r="W1001">
        <v>2</v>
      </c>
      <c r="X1001">
        <v>0</v>
      </c>
      <c r="Y1001">
        <v>25</v>
      </c>
      <c r="Z1001">
        <v>2</v>
      </c>
      <c r="AA1001">
        <v>0</v>
      </c>
      <c r="AB1001">
        <v>0</v>
      </c>
      <c r="AC1001">
        <v>0</v>
      </c>
      <c r="AD1001">
        <v>1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T1001">
        <v>0</v>
      </c>
      <c r="AU1001">
        <v>3</v>
      </c>
      <c r="AV1001">
        <v>79</v>
      </c>
      <c r="AW1001">
        <v>79</v>
      </c>
      <c r="AX1001">
        <v>110</v>
      </c>
      <c r="BA1001">
        <v>1</v>
      </c>
      <c r="BC1001" t="s">
        <v>2095</v>
      </c>
      <c r="BD1001" s="4">
        <v>43283.147916666669</v>
      </c>
      <c r="BE1001" s="4">
        <v>43283.154918981483</v>
      </c>
      <c r="BF1001" s="4">
        <v>43283.154918981483</v>
      </c>
      <c r="BG1001" t="s">
        <v>83</v>
      </c>
      <c r="BH1001" t="s">
        <v>84</v>
      </c>
      <c r="BI1001" t="s">
        <v>85</v>
      </c>
    </row>
    <row r="1002" spans="1:61" x14ac:dyDescent="0.3">
      <c r="A1002" t="str">
        <f>"201878B0100"</f>
        <v>201878B0100</v>
      </c>
      <c r="B1002" t="s">
        <v>2096</v>
      </c>
      <c r="C1002">
        <v>20</v>
      </c>
      <c r="D1002" t="s">
        <v>79</v>
      </c>
      <c r="E1002">
        <v>5</v>
      </c>
      <c r="F1002" t="s">
        <v>1759</v>
      </c>
      <c r="G1002">
        <v>1878</v>
      </c>
      <c r="H1002">
        <v>1</v>
      </c>
      <c r="I1002" t="s">
        <v>81</v>
      </c>
      <c r="J1002">
        <v>0</v>
      </c>
      <c r="K1002">
        <v>1</v>
      </c>
      <c r="L1002">
        <v>2</v>
      </c>
      <c r="M1002">
        <v>77</v>
      </c>
      <c r="N1002">
        <v>121</v>
      </c>
      <c r="O1002">
        <v>6</v>
      </c>
      <c r="P1002">
        <v>121</v>
      </c>
      <c r="Q1002">
        <v>4</v>
      </c>
      <c r="R1002">
        <v>11</v>
      </c>
      <c r="S1002">
        <v>13</v>
      </c>
      <c r="T1002">
        <v>2</v>
      </c>
      <c r="U1002">
        <v>9</v>
      </c>
      <c r="V1002">
        <v>2</v>
      </c>
      <c r="W1002">
        <v>11</v>
      </c>
      <c r="X1002">
        <v>1</v>
      </c>
      <c r="Y1002">
        <v>56</v>
      </c>
      <c r="Z1002">
        <v>5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4</v>
      </c>
      <c r="AL1002">
        <v>0</v>
      </c>
      <c r="AM1002">
        <v>0</v>
      </c>
      <c r="AN1002">
        <v>0</v>
      </c>
      <c r="AT1002">
        <v>0</v>
      </c>
      <c r="AU1002">
        <v>3</v>
      </c>
      <c r="AV1002">
        <v>121</v>
      </c>
      <c r="AW1002">
        <v>121</v>
      </c>
      <c r="AX1002">
        <v>170</v>
      </c>
      <c r="BA1002">
        <v>1</v>
      </c>
      <c r="BC1002" t="s">
        <v>2097</v>
      </c>
      <c r="BD1002" s="4">
        <v>43283.04583333333</v>
      </c>
      <c r="BE1002" s="4">
        <v>43283.049733796295</v>
      </c>
      <c r="BF1002" s="4">
        <v>43283.049733796295</v>
      </c>
      <c r="BG1002" t="s">
        <v>83</v>
      </c>
      <c r="BH1002" t="s">
        <v>84</v>
      </c>
      <c r="BI1002" t="s">
        <v>85</v>
      </c>
    </row>
    <row r="1003" spans="1:61" x14ac:dyDescent="0.3">
      <c r="A1003" t="str">
        <f>"201879B0100"</f>
        <v>201879B0100</v>
      </c>
      <c r="B1003" t="s">
        <v>2098</v>
      </c>
      <c r="C1003">
        <v>20</v>
      </c>
      <c r="D1003" t="s">
        <v>79</v>
      </c>
      <c r="E1003">
        <v>5</v>
      </c>
      <c r="F1003" t="s">
        <v>1759</v>
      </c>
      <c r="G1003">
        <v>1879</v>
      </c>
      <c r="H1003">
        <v>1</v>
      </c>
      <c r="I1003" t="s">
        <v>81</v>
      </c>
      <c r="J1003">
        <v>0</v>
      </c>
      <c r="K1003">
        <v>2</v>
      </c>
      <c r="L1003">
        <v>2</v>
      </c>
      <c r="M1003">
        <v>141</v>
      </c>
      <c r="N1003">
        <v>169</v>
      </c>
      <c r="O1003">
        <v>0</v>
      </c>
      <c r="P1003">
        <v>169</v>
      </c>
      <c r="Q1003">
        <v>4</v>
      </c>
      <c r="R1003">
        <v>35</v>
      </c>
      <c r="S1003">
        <v>9</v>
      </c>
      <c r="T1003">
        <v>2</v>
      </c>
      <c r="U1003">
        <v>15</v>
      </c>
      <c r="V1003">
        <v>4</v>
      </c>
      <c r="W1003">
        <v>8</v>
      </c>
      <c r="X1003">
        <v>7</v>
      </c>
      <c r="Y1003">
        <v>67</v>
      </c>
      <c r="Z1003">
        <v>2</v>
      </c>
      <c r="AA1003">
        <v>0</v>
      </c>
      <c r="AB1003">
        <v>1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1</v>
      </c>
      <c r="AI1003">
        <v>0</v>
      </c>
      <c r="AJ1003">
        <v>0</v>
      </c>
      <c r="AK1003">
        <v>5</v>
      </c>
      <c r="AL1003">
        <v>0</v>
      </c>
      <c r="AM1003">
        <v>0</v>
      </c>
      <c r="AN1003">
        <v>3</v>
      </c>
      <c r="AT1003">
        <v>0</v>
      </c>
      <c r="AU1003">
        <v>6</v>
      </c>
      <c r="AV1003">
        <v>169</v>
      </c>
      <c r="AW1003">
        <v>169</v>
      </c>
      <c r="AX1003">
        <v>289</v>
      </c>
      <c r="BA1003">
        <v>1</v>
      </c>
      <c r="BC1003" t="s">
        <v>2099</v>
      </c>
      <c r="BD1003" s="4">
        <v>43283.04583333333</v>
      </c>
      <c r="BE1003" s="4">
        <v>43283.050995370373</v>
      </c>
      <c r="BF1003" s="4">
        <v>43283.050995370373</v>
      </c>
      <c r="BG1003" t="s">
        <v>83</v>
      </c>
      <c r="BH1003" t="s">
        <v>84</v>
      </c>
      <c r="BI1003" t="s">
        <v>85</v>
      </c>
    </row>
    <row r="1004" spans="1:61" x14ac:dyDescent="0.3">
      <c r="A1004" t="str">
        <f>"201898B0100"</f>
        <v>201898B0100</v>
      </c>
      <c r="B1004" t="s">
        <v>2100</v>
      </c>
      <c r="C1004">
        <v>20</v>
      </c>
      <c r="D1004" t="s">
        <v>79</v>
      </c>
      <c r="E1004">
        <v>5</v>
      </c>
      <c r="F1004" t="s">
        <v>1759</v>
      </c>
      <c r="G1004">
        <v>1898</v>
      </c>
      <c r="H1004">
        <v>1</v>
      </c>
      <c r="I1004" t="s">
        <v>81</v>
      </c>
      <c r="J1004">
        <v>0</v>
      </c>
      <c r="K1004">
        <v>2</v>
      </c>
      <c r="L1004">
        <v>2</v>
      </c>
      <c r="M1004">
        <v>224</v>
      </c>
      <c r="N1004">
        <v>339</v>
      </c>
      <c r="O1004">
        <v>0</v>
      </c>
      <c r="P1004">
        <v>342</v>
      </c>
      <c r="Q1004">
        <v>2</v>
      </c>
      <c r="R1004">
        <v>168</v>
      </c>
      <c r="S1004">
        <v>4</v>
      </c>
      <c r="T1004">
        <v>2</v>
      </c>
      <c r="U1004">
        <v>18</v>
      </c>
      <c r="V1004">
        <v>6</v>
      </c>
      <c r="W1004">
        <v>45</v>
      </c>
      <c r="X1004">
        <v>2</v>
      </c>
      <c r="Y1004">
        <v>65</v>
      </c>
      <c r="Z1004">
        <v>3</v>
      </c>
      <c r="AA1004">
        <v>0</v>
      </c>
      <c r="AB1004">
        <v>3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6</v>
      </c>
      <c r="AI1004">
        <v>0</v>
      </c>
      <c r="AJ1004">
        <v>0</v>
      </c>
      <c r="AK1004">
        <v>3</v>
      </c>
      <c r="AL1004">
        <v>0</v>
      </c>
      <c r="AM1004">
        <v>0</v>
      </c>
      <c r="AN1004">
        <v>0</v>
      </c>
      <c r="AT1004">
        <v>0</v>
      </c>
      <c r="AU1004">
        <v>15</v>
      </c>
      <c r="AV1004">
        <v>342</v>
      </c>
      <c r="AW1004">
        <v>342</v>
      </c>
      <c r="AX1004">
        <v>544</v>
      </c>
      <c r="BA1004">
        <v>1</v>
      </c>
      <c r="BC1004" t="s">
        <v>2101</v>
      </c>
      <c r="BD1004" s="4">
        <v>43283.327777777777</v>
      </c>
      <c r="BE1004" s="4">
        <v>43283.351157407407</v>
      </c>
      <c r="BF1004" s="4">
        <v>43283.351157407407</v>
      </c>
      <c r="BG1004" t="s">
        <v>83</v>
      </c>
      <c r="BH1004" t="s">
        <v>84</v>
      </c>
      <c r="BI1004" t="s">
        <v>85</v>
      </c>
    </row>
    <row r="1005" spans="1:61" x14ac:dyDescent="0.3">
      <c r="A1005" t="str">
        <f>"201898C0100"</f>
        <v>201898C0100</v>
      </c>
      <c r="B1005" t="s">
        <v>2102</v>
      </c>
      <c r="C1005">
        <v>20</v>
      </c>
      <c r="D1005" t="s">
        <v>79</v>
      </c>
      <c r="E1005">
        <v>5</v>
      </c>
      <c r="F1005" t="s">
        <v>1759</v>
      </c>
      <c r="G1005">
        <v>1898</v>
      </c>
      <c r="H1005">
        <v>1</v>
      </c>
      <c r="I1005" t="s">
        <v>89</v>
      </c>
      <c r="J1005">
        <v>0</v>
      </c>
      <c r="K1005">
        <v>2</v>
      </c>
      <c r="L1005">
        <v>2</v>
      </c>
      <c r="AX1005">
        <v>544</v>
      </c>
      <c r="AZ1005" t="s">
        <v>1868</v>
      </c>
      <c r="BA1005">
        <v>0</v>
      </c>
      <c r="BC1005" t="s">
        <v>2103</v>
      </c>
      <c r="BD1005" s="4">
        <v>43283.325694444444</v>
      </c>
      <c r="BE1005" s="4">
        <v>43283.360567129632</v>
      </c>
      <c r="BF1005" s="4">
        <v>43283.360567129632</v>
      </c>
      <c r="BG1005" t="s">
        <v>83</v>
      </c>
      <c r="BH1005" t="s">
        <v>84</v>
      </c>
      <c r="BI1005" t="s">
        <v>85</v>
      </c>
    </row>
    <row r="1006" spans="1:61" x14ac:dyDescent="0.3">
      <c r="A1006" t="str">
        <f>"201899B0100"</f>
        <v>201899B0100</v>
      </c>
      <c r="B1006" t="s">
        <v>2104</v>
      </c>
      <c r="C1006">
        <v>20</v>
      </c>
      <c r="D1006" t="s">
        <v>79</v>
      </c>
      <c r="E1006">
        <v>5</v>
      </c>
      <c r="F1006" t="s">
        <v>1759</v>
      </c>
      <c r="G1006">
        <v>1899</v>
      </c>
      <c r="H1006">
        <v>1</v>
      </c>
      <c r="I1006" t="s">
        <v>81</v>
      </c>
      <c r="J1006">
        <v>0</v>
      </c>
      <c r="K1006">
        <v>2</v>
      </c>
      <c r="L1006">
        <v>2</v>
      </c>
      <c r="M1006">
        <v>164</v>
      </c>
      <c r="N1006">
        <v>261</v>
      </c>
      <c r="O1006">
        <v>7</v>
      </c>
      <c r="P1006">
        <v>254</v>
      </c>
      <c r="Q1006">
        <v>3</v>
      </c>
      <c r="R1006">
        <v>120</v>
      </c>
      <c r="S1006">
        <v>3</v>
      </c>
      <c r="T1006">
        <v>5</v>
      </c>
      <c r="U1006">
        <v>6</v>
      </c>
      <c r="V1006">
        <v>2</v>
      </c>
      <c r="W1006">
        <v>41</v>
      </c>
      <c r="X1006">
        <v>2</v>
      </c>
      <c r="Y1006">
        <v>38</v>
      </c>
      <c r="Z1006">
        <v>4</v>
      </c>
      <c r="AA1006">
        <v>2</v>
      </c>
      <c r="AB1006">
        <v>2</v>
      </c>
      <c r="AC1006" t="s">
        <v>100</v>
      </c>
      <c r="AD1006" t="s">
        <v>100</v>
      </c>
      <c r="AE1006" t="s">
        <v>100</v>
      </c>
      <c r="AF1006" t="s">
        <v>100</v>
      </c>
      <c r="AG1006">
        <v>26</v>
      </c>
      <c r="AH1006" t="s">
        <v>100</v>
      </c>
      <c r="AI1006" t="s">
        <v>100</v>
      </c>
      <c r="AJ1006" t="s">
        <v>100</v>
      </c>
      <c r="AK1006" t="s">
        <v>100</v>
      </c>
      <c r="AL1006" t="s">
        <v>100</v>
      </c>
      <c r="AM1006" t="s">
        <v>100</v>
      </c>
      <c r="AN1006" t="s">
        <v>100</v>
      </c>
      <c r="AT1006" t="s">
        <v>100</v>
      </c>
      <c r="AU1006" t="s">
        <v>100</v>
      </c>
      <c r="AV1006" t="s">
        <v>100</v>
      </c>
      <c r="AW1006">
        <v>254</v>
      </c>
      <c r="AX1006">
        <v>427</v>
      </c>
      <c r="AZ1006" t="s">
        <v>101</v>
      </c>
      <c r="BA1006">
        <v>1</v>
      </c>
      <c r="BC1006" t="s">
        <v>2105</v>
      </c>
      <c r="BD1006" s="4">
        <v>43283.432638888888</v>
      </c>
      <c r="BE1006" s="4">
        <v>43283.438946759263</v>
      </c>
      <c r="BF1006" s="4">
        <v>43283.438946759263</v>
      </c>
      <c r="BG1006" t="s">
        <v>83</v>
      </c>
      <c r="BH1006" t="s">
        <v>84</v>
      </c>
      <c r="BI1006" t="s">
        <v>548</v>
      </c>
    </row>
    <row r="1007" spans="1:61" x14ac:dyDescent="0.3">
      <c r="A1007" t="str">
        <f>"201899E0100"</f>
        <v>201899E0100</v>
      </c>
      <c r="B1007" s="2" t="s">
        <v>2106</v>
      </c>
      <c r="C1007">
        <v>20</v>
      </c>
      <c r="D1007" t="s">
        <v>79</v>
      </c>
      <c r="E1007">
        <v>5</v>
      </c>
      <c r="F1007" t="s">
        <v>1759</v>
      </c>
      <c r="G1007">
        <v>1899</v>
      </c>
      <c r="H1007">
        <v>1</v>
      </c>
      <c r="I1007" t="s">
        <v>145</v>
      </c>
      <c r="J1007">
        <v>0</v>
      </c>
      <c r="K1007">
        <v>2</v>
      </c>
      <c r="L1007">
        <v>2</v>
      </c>
      <c r="M1007">
        <v>136</v>
      </c>
      <c r="N1007">
        <v>214</v>
      </c>
      <c r="O1007">
        <v>3</v>
      </c>
      <c r="P1007">
        <v>214</v>
      </c>
      <c r="Q1007">
        <v>1</v>
      </c>
      <c r="R1007">
        <v>78</v>
      </c>
      <c r="S1007">
        <v>33</v>
      </c>
      <c r="T1007">
        <v>2</v>
      </c>
      <c r="U1007">
        <v>8</v>
      </c>
      <c r="V1007">
        <v>5</v>
      </c>
      <c r="W1007">
        <v>21</v>
      </c>
      <c r="X1007">
        <v>1</v>
      </c>
      <c r="Y1007">
        <v>45</v>
      </c>
      <c r="Z1007">
        <v>0</v>
      </c>
      <c r="AA1007">
        <v>0</v>
      </c>
      <c r="AB1007">
        <v>0</v>
      </c>
      <c r="AC1007">
        <v>1</v>
      </c>
      <c r="AD1007">
        <v>0</v>
      </c>
      <c r="AE1007">
        <v>0</v>
      </c>
      <c r="AF1007">
        <v>0</v>
      </c>
      <c r="AG1007">
        <v>1</v>
      </c>
      <c r="AH1007">
        <v>0</v>
      </c>
      <c r="AI1007">
        <v>0</v>
      </c>
      <c r="AJ1007">
        <v>0</v>
      </c>
      <c r="AK1007">
        <v>1</v>
      </c>
      <c r="AL1007">
        <v>0</v>
      </c>
      <c r="AM1007">
        <v>0</v>
      </c>
      <c r="AN1007">
        <v>1</v>
      </c>
      <c r="AT1007">
        <v>0</v>
      </c>
      <c r="AU1007">
        <v>16</v>
      </c>
      <c r="AV1007">
        <v>214</v>
      </c>
      <c r="AW1007">
        <v>214</v>
      </c>
      <c r="AX1007">
        <v>328</v>
      </c>
      <c r="BA1007">
        <v>1</v>
      </c>
      <c r="BC1007" t="s">
        <v>2107</v>
      </c>
      <c r="BD1007" s="4">
        <v>43283.327777777777</v>
      </c>
      <c r="BE1007" s="4">
        <v>43283.347233796296</v>
      </c>
      <c r="BF1007" s="4">
        <v>43283.347233796296</v>
      </c>
      <c r="BG1007" t="s">
        <v>83</v>
      </c>
      <c r="BH1007" t="s">
        <v>84</v>
      </c>
      <c r="BI1007" t="s">
        <v>85</v>
      </c>
    </row>
    <row r="1008" spans="1:61" x14ac:dyDescent="0.3">
      <c r="A1008" t="str">
        <f>"201899E0200"</f>
        <v>201899E0200</v>
      </c>
      <c r="B1008" s="2" t="s">
        <v>2108</v>
      </c>
      <c r="C1008">
        <v>20</v>
      </c>
      <c r="D1008" t="s">
        <v>79</v>
      </c>
      <c r="E1008">
        <v>5</v>
      </c>
      <c r="F1008" t="s">
        <v>1759</v>
      </c>
      <c r="G1008">
        <v>1899</v>
      </c>
      <c r="H1008">
        <v>2</v>
      </c>
      <c r="I1008" t="s">
        <v>145</v>
      </c>
      <c r="J1008">
        <v>0</v>
      </c>
      <c r="K1008">
        <v>2</v>
      </c>
      <c r="L1008">
        <v>2</v>
      </c>
      <c r="M1008">
        <v>106</v>
      </c>
      <c r="N1008">
        <v>229</v>
      </c>
      <c r="O1008">
        <v>3</v>
      </c>
      <c r="P1008">
        <v>229</v>
      </c>
      <c r="Q1008">
        <v>7</v>
      </c>
      <c r="R1008">
        <v>83</v>
      </c>
      <c r="S1008">
        <v>3</v>
      </c>
      <c r="T1008">
        <v>4</v>
      </c>
      <c r="U1008">
        <v>17</v>
      </c>
      <c r="V1008">
        <v>3</v>
      </c>
      <c r="W1008">
        <v>44</v>
      </c>
      <c r="X1008">
        <v>1</v>
      </c>
      <c r="Y1008">
        <v>32</v>
      </c>
      <c r="Z1008">
        <v>6</v>
      </c>
      <c r="AA1008">
        <v>0</v>
      </c>
      <c r="AB1008">
        <v>1</v>
      </c>
      <c r="AC1008">
        <v>0</v>
      </c>
      <c r="AD1008">
        <v>0</v>
      </c>
      <c r="AE1008">
        <v>0</v>
      </c>
      <c r="AF1008">
        <v>0</v>
      </c>
      <c r="AG1008">
        <v>5</v>
      </c>
      <c r="AH1008">
        <v>2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T1008">
        <v>0</v>
      </c>
      <c r="AU1008">
        <v>17</v>
      </c>
      <c r="AV1008">
        <v>229</v>
      </c>
      <c r="AW1008">
        <v>225</v>
      </c>
      <c r="AX1008">
        <v>313</v>
      </c>
      <c r="BA1008">
        <v>1</v>
      </c>
      <c r="BC1008" t="s">
        <v>2109</v>
      </c>
      <c r="BD1008" s="4">
        <v>43283.325694444444</v>
      </c>
      <c r="BE1008" s="4">
        <v>43283.346689814818</v>
      </c>
      <c r="BF1008" s="4">
        <v>43283.346689814818</v>
      </c>
      <c r="BG1008" t="s">
        <v>83</v>
      </c>
      <c r="BH1008" t="s">
        <v>84</v>
      </c>
      <c r="BI1008" t="s">
        <v>85</v>
      </c>
    </row>
    <row r="1009" spans="1:61" x14ac:dyDescent="0.3">
      <c r="A1009" t="str">
        <f>"201900B0100"</f>
        <v>201900B0100</v>
      </c>
      <c r="B1009" t="s">
        <v>2110</v>
      </c>
      <c r="C1009">
        <v>20</v>
      </c>
      <c r="D1009" t="s">
        <v>79</v>
      </c>
      <c r="E1009">
        <v>5</v>
      </c>
      <c r="F1009" t="s">
        <v>1759</v>
      </c>
      <c r="G1009">
        <v>1900</v>
      </c>
      <c r="H1009">
        <v>1</v>
      </c>
      <c r="I1009" t="s">
        <v>81</v>
      </c>
      <c r="J1009">
        <v>0</v>
      </c>
      <c r="K1009">
        <v>2</v>
      </c>
      <c r="L1009">
        <v>2</v>
      </c>
      <c r="M1009">
        <v>145</v>
      </c>
      <c r="N1009" t="s">
        <v>100</v>
      </c>
      <c r="O1009" t="s">
        <v>100</v>
      </c>
      <c r="P1009" t="s">
        <v>100</v>
      </c>
      <c r="Q1009">
        <v>3</v>
      </c>
      <c r="R1009">
        <v>69</v>
      </c>
      <c r="S1009">
        <v>7</v>
      </c>
      <c r="T1009">
        <v>2</v>
      </c>
      <c r="U1009">
        <v>41</v>
      </c>
      <c r="V1009">
        <v>3</v>
      </c>
      <c r="W1009">
        <v>7</v>
      </c>
      <c r="X1009">
        <v>3</v>
      </c>
      <c r="Y1009">
        <v>111</v>
      </c>
      <c r="Z1009">
        <v>3</v>
      </c>
      <c r="AA1009">
        <v>0</v>
      </c>
      <c r="AB1009">
        <v>1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1</v>
      </c>
      <c r="AI1009">
        <v>1</v>
      </c>
      <c r="AJ1009">
        <v>0</v>
      </c>
      <c r="AK1009">
        <v>1</v>
      </c>
      <c r="AL1009">
        <v>3</v>
      </c>
      <c r="AM1009">
        <v>0</v>
      </c>
      <c r="AN1009">
        <v>1</v>
      </c>
      <c r="AT1009">
        <v>5</v>
      </c>
      <c r="AU1009">
        <v>9</v>
      </c>
      <c r="AV1009">
        <v>271</v>
      </c>
      <c r="AW1009">
        <v>271</v>
      </c>
      <c r="AX1009">
        <v>394</v>
      </c>
      <c r="BA1009">
        <v>1</v>
      </c>
      <c r="BC1009" t="s">
        <v>2111</v>
      </c>
      <c r="BD1009" s="4">
        <v>43283.317361111112</v>
      </c>
      <c r="BE1009" s="4">
        <v>43283.339861111112</v>
      </c>
      <c r="BF1009" s="4">
        <v>43283.339861111112</v>
      </c>
      <c r="BG1009" t="s">
        <v>83</v>
      </c>
      <c r="BH1009" t="s">
        <v>84</v>
      </c>
      <c r="BI1009" t="s">
        <v>85</v>
      </c>
    </row>
    <row r="1010" spans="1:61" x14ac:dyDescent="0.3">
      <c r="A1010" t="str">
        <f>"201900C0100"</f>
        <v>201900C0100</v>
      </c>
      <c r="B1010" t="s">
        <v>2112</v>
      </c>
      <c r="C1010">
        <v>20</v>
      </c>
      <c r="D1010" t="s">
        <v>79</v>
      </c>
      <c r="E1010">
        <v>5</v>
      </c>
      <c r="F1010" t="s">
        <v>1759</v>
      </c>
      <c r="G1010">
        <v>1900</v>
      </c>
      <c r="H1010">
        <v>1</v>
      </c>
      <c r="I1010" t="s">
        <v>89</v>
      </c>
      <c r="J1010">
        <v>0</v>
      </c>
      <c r="K1010">
        <v>2</v>
      </c>
      <c r="L1010">
        <v>2</v>
      </c>
      <c r="M1010" t="s">
        <v>100</v>
      </c>
      <c r="N1010" t="s">
        <v>100</v>
      </c>
      <c r="O1010" t="s">
        <v>100</v>
      </c>
      <c r="P1010">
        <v>268</v>
      </c>
      <c r="Q1010">
        <v>5</v>
      </c>
      <c r="R1010">
        <v>74</v>
      </c>
      <c r="S1010">
        <v>11</v>
      </c>
      <c r="T1010">
        <v>0</v>
      </c>
      <c r="U1010">
        <v>49</v>
      </c>
      <c r="V1010">
        <v>1</v>
      </c>
      <c r="W1010">
        <v>7</v>
      </c>
      <c r="X1010">
        <v>1</v>
      </c>
      <c r="Y1010">
        <v>97</v>
      </c>
      <c r="Z1010">
        <v>5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2</v>
      </c>
      <c r="AI1010">
        <v>1</v>
      </c>
      <c r="AJ1010">
        <v>0</v>
      </c>
      <c r="AK1010">
        <v>0</v>
      </c>
      <c r="AL1010">
        <v>1</v>
      </c>
      <c r="AM1010">
        <v>0</v>
      </c>
      <c r="AN1010">
        <v>1</v>
      </c>
      <c r="AT1010">
        <v>0</v>
      </c>
      <c r="AU1010">
        <v>13</v>
      </c>
      <c r="AV1010">
        <v>268</v>
      </c>
      <c r="AW1010">
        <v>268</v>
      </c>
      <c r="AX1010">
        <v>394</v>
      </c>
      <c r="BA1010">
        <v>1</v>
      </c>
      <c r="BC1010" t="s">
        <v>2113</v>
      </c>
      <c r="BD1010" s="4">
        <v>43283.320138888892</v>
      </c>
      <c r="BE1010" s="4">
        <v>43283.342094907406</v>
      </c>
      <c r="BF1010" s="4">
        <v>43283.342094907406</v>
      </c>
      <c r="BG1010" t="s">
        <v>83</v>
      </c>
      <c r="BH1010" t="s">
        <v>84</v>
      </c>
      <c r="BI1010" t="s">
        <v>85</v>
      </c>
    </row>
    <row r="1011" spans="1:61" x14ac:dyDescent="0.3">
      <c r="A1011" t="str">
        <f>"201901B0100"</f>
        <v>201901B0100</v>
      </c>
      <c r="B1011" t="s">
        <v>2114</v>
      </c>
      <c r="C1011">
        <v>20</v>
      </c>
      <c r="D1011" t="s">
        <v>79</v>
      </c>
      <c r="E1011">
        <v>5</v>
      </c>
      <c r="F1011" t="s">
        <v>1759</v>
      </c>
      <c r="G1011">
        <v>1901</v>
      </c>
      <c r="H1011">
        <v>1</v>
      </c>
      <c r="I1011" t="s">
        <v>81</v>
      </c>
      <c r="J1011">
        <v>0</v>
      </c>
      <c r="K1011">
        <v>2</v>
      </c>
      <c r="L1011">
        <v>2</v>
      </c>
      <c r="M1011">
        <v>188</v>
      </c>
      <c r="N1011">
        <v>304</v>
      </c>
      <c r="O1011">
        <v>0</v>
      </c>
      <c r="P1011">
        <v>304</v>
      </c>
      <c r="Q1011">
        <v>6</v>
      </c>
      <c r="R1011">
        <v>53</v>
      </c>
      <c r="S1011">
        <v>15</v>
      </c>
      <c r="T1011">
        <v>3</v>
      </c>
      <c r="U1011">
        <v>41</v>
      </c>
      <c r="V1011">
        <v>1</v>
      </c>
      <c r="W1011">
        <v>35</v>
      </c>
      <c r="X1011">
        <v>1</v>
      </c>
      <c r="Y1011">
        <v>116</v>
      </c>
      <c r="Z1011">
        <v>1</v>
      </c>
      <c r="AA1011">
        <v>2</v>
      </c>
      <c r="AB1011">
        <v>1</v>
      </c>
      <c r="AC1011" t="s">
        <v>100</v>
      </c>
      <c r="AD1011" t="s">
        <v>100</v>
      </c>
      <c r="AE1011" t="s">
        <v>100</v>
      </c>
      <c r="AF1011" t="s">
        <v>100</v>
      </c>
      <c r="AG1011" t="s">
        <v>100</v>
      </c>
      <c r="AH1011" t="s">
        <v>100</v>
      </c>
      <c r="AI1011" t="s">
        <v>100</v>
      </c>
      <c r="AJ1011" t="s">
        <v>100</v>
      </c>
      <c r="AK1011">
        <v>1</v>
      </c>
      <c r="AL1011">
        <v>3</v>
      </c>
      <c r="AM1011" t="s">
        <v>100</v>
      </c>
      <c r="AN1011" t="s">
        <v>100</v>
      </c>
      <c r="AT1011" t="s">
        <v>100</v>
      </c>
      <c r="AU1011">
        <v>24</v>
      </c>
      <c r="AV1011" t="s">
        <v>100</v>
      </c>
      <c r="AW1011">
        <v>303</v>
      </c>
      <c r="AX1011">
        <v>470</v>
      </c>
      <c r="AZ1011" t="s">
        <v>101</v>
      </c>
      <c r="BA1011">
        <v>1</v>
      </c>
      <c r="BC1011" t="s">
        <v>2115</v>
      </c>
      <c r="BD1011" s="4">
        <v>43283.315972222219</v>
      </c>
      <c r="BE1011" s="4">
        <v>43283.341041666667</v>
      </c>
      <c r="BF1011" s="4">
        <v>43283.341041666667</v>
      </c>
      <c r="BG1011" t="s">
        <v>83</v>
      </c>
      <c r="BH1011" t="s">
        <v>84</v>
      </c>
      <c r="BI1011" t="s">
        <v>85</v>
      </c>
    </row>
    <row r="1012" spans="1:61" x14ac:dyDescent="0.3">
      <c r="A1012" t="str">
        <f>"201901C0100"</f>
        <v>201901C0100</v>
      </c>
      <c r="B1012" t="s">
        <v>2116</v>
      </c>
      <c r="C1012">
        <v>20</v>
      </c>
      <c r="D1012" t="s">
        <v>79</v>
      </c>
      <c r="E1012">
        <v>5</v>
      </c>
      <c r="F1012" t="s">
        <v>1759</v>
      </c>
      <c r="G1012">
        <v>1901</v>
      </c>
      <c r="H1012">
        <v>1</v>
      </c>
      <c r="I1012" t="s">
        <v>89</v>
      </c>
      <c r="J1012">
        <v>0</v>
      </c>
      <c r="K1012">
        <v>2</v>
      </c>
      <c r="L1012">
        <v>2</v>
      </c>
      <c r="M1012">
        <v>208</v>
      </c>
      <c r="N1012">
        <v>283</v>
      </c>
      <c r="O1012">
        <v>1</v>
      </c>
      <c r="P1012">
        <v>283</v>
      </c>
      <c r="Q1012">
        <v>7</v>
      </c>
      <c r="R1012">
        <v>31</v>
      </c>
      <c r="S1012">
        <v>24</v>
      </c>
      <c r="T1012">
        <v>2</v>
      </c>
      <c r="U1012">
        <v>47</v>
      </c>
      <c r="V1012">
        <v>4</v>
      </c>
      <c r="W1012">
        <v>23</v>
      </c>
      <c r="X1012">
        <v>6</v>
      </c>
      <c r="Y1012">
        <v>112</v>
      </c>
      <c r="Z1012">
        <v>6</v>
      </c>
      <c r="AA1012">
        <v>1</v>
      </c>
      <c r="AB1012">
        <v>1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2</v>
      </c>
      <c r="AM1012">
        <v>0</v>
      </c>
      <c r="AN1012">
        <v>0</v>
      </c>
      <c r="AT1012">
        <v>0</v>
      </c>
      <c r="AU1012">
        <v>18</v>
      </c>
      <c r="AV1012">
        <v>284</v>
      </c>
      <c r="AW1012">
        <v>284</v>
      </c>
      <c r="AX1012">
        <v>469</v>
      </c>
      <c r="BA1012">
        <v>1</v>
      </c>
      <c r="BC1012" s="2" t="s">
        <v>2117</v>
      </c>
      <c r="BD1012" s="4">
        <v>43283.315972222219</v>
      </c>
      <c r="BE1012" s="4">
        <v>43283.363900462966</v>
      </c>
      <c r="BF1012" s="4">
        <v>43283.363900462966</v>
      </c>
      <c r="BG1012" t="s">
        <v>83</v>
      </c>
      <c r="BH1012" t="s">
        <v>84</v>
      </c>
      <c r="BI1012" t="s">
        <v>85</v>
      </c>
    </row>
    <row r="1013" spans="1:61" x14ac:dyDescent="0.3">
      <c r="A1013" t="str">
        <f>"201901E0100"</f>
        <v>201901E0100</v>
      </c>
      <c r="B1013" s="2" t="s">
        <v>2118</v>
      </c>
      <c r="C1013">
        <v>20</v>
      </c>
      <c r="D1013" t="s">
        <v>79</v>
      </c>
      <c r="E1013">
        <v>5</v>
      </c>
      <c r="F1013" t="s">
        <v>1759</v>
      </c>
      <c r="G1013">
        <v>1901</v>
      </c>
      <c r="H1013">
        <v>1</v>
      </c>
      <c r="I1013" t="s">
        <v>145</v>
      </c>
      <c r="J1013">
        <v>0</v>
      </c>
      <c r="K1013">
        <v>2</v>
      </c>
      <c r="L1013">
        <v>2</v>
      </c>
      <c r="M1013">
        <v>62</v>
      </c>
      <c r="N1013">
        <v>93</v>
      </c>
      <c r="O1013">
        <v>0</v>
      </c>
      <c r="P1013">
        <v>93</v>
      </c>
      <c r="Q1013">
        <v>5</v>
      </c>
      <c r="R1013">
        <v>13</v>
      </c>
      <c r="S1013">
        <v>6</v>
      </c>
      <c r="T1013">
        <v>0</v>
      </c>
      <c r="U1013">
        <v>22</v>
      </c>
      <c r="V1013">
        <v>0</v>
      </c>
      <c r="W1013">
        <v>12</v>
      </c>
      <c r="X1013">
        <v>2</v>
      </c>
      <c r="Y1013">
        <v>27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1</v>
      </c>
      <c r="AL1013">
        <v>0</v>
      </c>
      <c r="AM1013">
        <v>0</v>
      </c>
      <c r="AN1013">
        <v>0</v>
      </c>
      <c r="AT1013">
        <v>0</v>
      </c>
      <c r="AU1013">
        <v>5</v>
      </c>
      <c r="AV1013">
        <v>93</v>
      </c>
      <c r="AW1013">
        <v>93</v>
      </c>
      <c r="AX1013">
        <v>133</v>
      </c>
      <c r="BA1013">
        <v>1</v>
      </c>
      <c r="BC1013" t="s">
        <v>2119</v>
      </c>
      <c r="BD1013" s="4">
        <v>43283.388194444444</v>
      </c>
      <c r="BE1013" s="4">
        <v>43283.391284722224</v>
      </c>
      <c r="BF1013" s="4">
        <v>43283.391284722224</v>
      </c>
      <c r="BG1013" t="s">
        <v>83</v>
      </c>
      <c r="BH1013" t="s">
        <v>84</v>
      </c>
      <c r="BI1013" t="s">
        <v>85</v>
      </c>
    </row>
    <row r="1014" spans="1:61" x14ac:dyDescent="0.3">
      <c r="A1014" t="str">
        <f>"201902B0100"</f>
        <v>201902B0100</v>
      </c>
      <c r="B1014" t="s">
        <v>2120</v>
      </c>
      <c r="C1014">
        <v>20</v>
      </c>
      <c r="D1014" t="s">
        <v>79</v>
      </c>
      <c r="E1014">
        <v>5</v>
      </c>
      <c r="F1014" t="s">
        <v>1759</v>
      </c>
      <c r="G1014">
        <v>1902</v>
      </c>
      <c r="H1014">
        <v>1</v>
      </c>
      <c r="I1014" t="s">
        <v>81</v>
      </c>
      <c r="J1014">
        <v>0</v>
      </c>
      <c r="K1014">
        <v>2</v>
      </c>
      <c r="L1014">
        <v>2</v>
      </c>
      <c r="M1014">
        <v>88</v>
      </c>
      <c r="N1014">
        <v>118</v>
      </c>
      <c r="O1014">
        <v>3</v>
      </c>
      <c r="P1014">
        <v>118</v>
      </c>
      <c r="Q1014">
        <v>4</v>
      </c>
      <c r="R1014">
        <v>47</v>
      </c>
      <c r="S1014">
        <v>10</v>
      </c>
      <c r="T1014">
        <v>2</v>
      </c>
      <c r="U1014">
        <v>13</v>
      </c>
      <c r="V1014">
        <v>0</v>
      </c>
      <c r="W1014">
        <v>3</v>
      </c>
      <c r="X1014">
        <v>1</v>
      </c>
      <c r="Y1014">
        <v>26</v>
      </c>
      <c r="Z1014">
        <v>3</v>
      </c>
      <c r="AA1014">
        <v>1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1</v>
      </c>
      <c r="AL1014">
        <v>1</v>
      </c>
      <c r="AM1014">
        <v>0</v>
      </c>
      <c r="AN1014">
        <v>0</v>
      </c>
      <c r="AT1014">
        <v>0</v>
      </c>
      <c r="AU1014">
        <v>6</v>
      </c>
      <c r="AV1014">
        <v>118</v>
      </c>
      <c r="AW1014">
        <v>118</v>
      </c>
      <c r="AX1014">
        <v>186</v>
      </c>
      <c r="BA1014">
        <v>1</v>
      </c>
      <c r="BC1014" t="s">
        <v>2121</v>
      </c>
      <c r="BD1014" s="4">
        <v>43283.308333333334</v>
      </c>
      <c r="BE1014" s="4">
        <v>43283.334363425929</v>
      </c>
      <c r="BF1014" s="4">
        <v>43283.334363425929</v>
      </c>
      <c r="BG1014" t="s">
        <v>83</v>
      </c>
      <c r="BH1014" t="s">
        <v>84</v>
      </c>
      <c r="BI1014" t="s">
        <v>85</v>
      </c>
    </row>
    <row r="1015" spans="1:61" x14ac:dyDescent="0.3">
      <c r="A1015" t="str">
        <f>"201902E0100"</f>
        <v>201902E0100</v>
      </c>
      <c r="B1015" s="2" t="s">
        <v>2122</v>
      </c>
      <c r="C1015">
        <v>20</v>
      </c>
      <c r="D1015" t="s">
        <v>79</v>
      </c>
      <c r="E1015">
        <v>5</v>
      </c>
      <c r="F1015" t="s">
        <v>1759</v>
      </c>
      <c r="G1015">
        <v>1902</v>
      </c>
      <c r="H1015">
        <v>1</v>
      </c>
      <c r="I1015" t="s">
        <v>145</v>
      </c>
      <c r="J1015">
        <v>0</v>
      </c>
      <c r="K1015">
        <v>2</v>
      </c>
      <c r="L1015">
        <v>2</v>
      </c>
      <c r="M1015">
        <v>186</v>
      </c>
      <c r="N1015">
        <v>227</v>
      </c>
      <c r="O1015">
        <v>2</v>
      </c>
      <c r="P1015">
        <v>227</v>
      </c>
      <c r="Q1015">
        <v>1</v>
      </c>
      <c r="R1015">
        <v>100</v>
      </c>
      <c r="S1015">
        <v>4</v>
      </c>
      <c r="T1015">
        <v>7</v>
      </c>
      <c r="U1015">
        <v>8</v>
      </c>
      <c r="V1015">
        <v>3</v>
      </c>
      <c r="W1015">
        <v>9</v>
      </c>
      <c r="X1015">
        <v>4</v>
      </c>
      <c r="Y1015">
        <v>77</v>
      </c>
      <c r="Z1015">
        <v>2</v>
      </c>
      <c r="AA1015">
        <v>4</v>
      </c>
      <c r="AB1015">
        <v>1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T1015">
        <v>0</v>
      </c>
      <c r="AU1015">
        <v>7</v>
      </c>
      <c r="AV1015">
        <v>227</v>
      </c>
      <c r="AW1015">
        <v>227</v>
      </c>
      <c r="AX1015">
        <v>393</v>
      </c>
      <c r="BA1015">
        <v>1</v>
      </c>
      <c r="BC1015" t="s">
        <v>2123</v>
      </c>
      <c r="BD1015" s="4">
        <v>43283.388194444444</v>
      </c>
      <c r="BE1015" s="4">
        <v>43283.392824074072</v>
      </c>
      <c r="BF1015" s="4">
        <v>43283.392824074072</v>
      </c>
      <c r="BG1015" t="s">
        <v>83</v>
      </c>
      <c r="BH1015" t="s">
        <v>84</v>
      </c>
      <c r="BI1015" t="s">
        <v>85</v>
      </c>
    </row>
    <row r="1016" spans="1:61" x14ac:dyDescent="0.3">
      <c r="A1016" t="str">
        <f>"201902E0200"</f>
        <v>201902E0200</v>
      </c>
      <c r="B1016" s="2" t="s">
        <v>2124</v>
      </c>
      <c r="C1016">
        <v>20</v>
      </c>
      <c r="D1016" t="s">
        <v>79</v>
      </c>
      <c r="E1016">
        <v>5</v>
      </c>
      <c r="F1016" t="s">
        <v>1759</v>
      </c>
      <c r="G1016">
        <v>1902</v>
      </c>
      <c r="H1016">
        <v>2</v>
      </c>
      <c r="I1016" t="s">
        <v>145</v>
      </c>
      <c r="J1016">
        <v>0</v>
      </c>
      <c r="K1016">
        <v>2</v>
      </c>
      <c r="L1016">
        <v>2</v>
      </c>
      <c r="M1016">
        <v>88</v>
      </c>
      <c r="N1016">
        <v>141</v>
      </c>
      <c r="O1016">
        <v>0</v>
      </c>
      <c r="P1016">
        <v>141</v>
      </c>
      <c r="Q1016">
        <v>0</v>
      </c>
      <c r="R1016">
        <v>17</v>
      </c>
      <c r="S1016">
        <v>7</v>
      </c>
      <c r="T1016">
        <v>5</v>
      </c>
      <c r="U1016">
        <v>22</v>
      </c>
      <c r="V1016">
        <v>7</v>
      </c>
      <c r="W1016">
        <v>15</v>
      </c>
      <c r="X1016">
        <v>0</v>
      </c>
      <c r="Y1016">
        <v>49</v>
      </c>
      <c r="Z1016">
        <v>0</v>
      </c>
      <c r="AA1016">
        <v>2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1</v>
      </c>
      <c r="AI1016">
        <v>0</v>
      </c>
      <c r="AJ1016">
        <v>1</v>
      </c>
      <c r="AK1016">
        <v>0</v>
      </c>
      <c r="AL1016">
        <v>3</v>
      </c>
      <c r="AM1016">
        <v>0</v>
      </c>
      <c r="AN1016">
        <v>0</v>
      </c>
      <c r="AT1016">
        <v>0</v>
      </c>
      <c r="AU1016">
        <v>12</v>
      </c>
      <c r="AV1016">
        <v>141</v>
      </c>
      <c r="AW1016">
        <v>141</v>
      </c>
      <c r="AX1016">
        <v>207</v>
      </c>
      <c r="BA1016">
        <v>1</v>
      </c>
      <c r="BC1016" t="s">
        <v>2125</v>
      </c>
      <c r="BD1016" s="4">
        <v>43283.308333333334</v>
      </c>
      <c r="BE1016" s="4">
        <v>43283.333229166667</v>
      </c>
      <c r="BF1016" s="4">
        <v>43283.333229166667</v>
      </c>
      <c r="BG1016" t="s">
        <v>83</v>
      </c>
      <c r="BH1016" t="s">
        <v>84</v>
      </c>
      <c r="BI1016" t="s">
        <v>85</v>
      </c>
    </row>
    <row r="1017" spans="1:61" x14ac:dyDescent="0.3">
      <c r="A1017" t="str">
        <f>"201960B0100"</f>
        <v>201960B0100</v>
      </c>
      <c r="B1017" t="s">
        <v>2126</v>
      </c>
      <c r="C1017">
        <v>20</v>
      </c>
      <c r="D1017" t="s">
        <v>79</v>
      </c>
      <c r="E1017">
        <v>5</v>
      </c>
      <c r="F1017" t="s">
        <v>1759</v>
      </c>
      <c r="G1017">
        <v>1960</v>
      </c>
      <c r="H1017">
        <v>1</v>
      </c>
      <c r="I1017" t="s">
        <v>81</v>
      </c>
      <c r="J1017">
        <v>0</v>
      </c>
      <c r="K1017">
        <v>2</v>
      </c>
      <c r="L1017">
        <v>2</v>
      </c>
      <c r="M1017">
        <v>115</v>
      </c>
      <c r="N1017">
        <v>250</v>
      </c>
      <c r="O1017">
        <v>6</v>
      </c>
      <c r="P1017">
        <v>250</v>
      </c>
      <c r="Q1017">
        <v>10</v>
      </c>
      <c r="R1017">
        <v>30</v>
      </c>
      <c r="S1017">
        <v>69</v>
      </c>
      <c r="T1017">
        <v>9</v>
      </c>
      <c r="U1017">
        <v>36</v>
      </c>
      <c r="V1017">
        <v>3</v>
      </c>
      <c r="W1017">
        <v>13</v>
      </c>
      <c r="X1017">
        <v>7</v>
      </c>
      <c r="Y1017">
        <v>48</v>
      </c>
      <c r="Z1017">
        <v>1</v>
      </c>
      <c r="AA1017">
        <v>1</v>
      </c>
      <c r="AB1017">
        <v>2</v>
      </c>
      <c r="AC1017">
        <v>0</v>
      </c>
      <c r="AD1017">
        <v>0</v>
      </c>
      <c r="AE1017">
        <v>0</v>
      </c>
      <c r="AF1017">
        <v>2</v>
      </c>
      <c r="AG1017">
        <v>0</v>
      </c>
      <c r="AH1017">
        <v>0</v>
      </c>
      <c r="AI1017">
        <v>1</v>
      </c>
      <c r="AJ1017">
        <v>0</v>
      </c>
      <c r="AK1017">
        <v>1</v>
      </c>
      <c r="AL1017">
        <v>1</v>
      </c>
      <c r="AM1017">
        <v>0</v>
      </c>
      <c r="AN1017">
        <v>0</v>
      </c>
      <c r="AT1017">
        <v>0</v>
      </c>
      <c r="AU1017">
        <v>16</v>
      </c>
      <c r="AV1017">
        <v>250</v>
      </c>
      <c r="AW1017">
        <v>250</v>
      </c>
      <c r="AX1017">
        <v>343</v>
      </c>
      <c r="BA1017">
        <v>1</v>
      </c>
      <c r="BC1017" t="s">
        <v>2127</v>
      </c>
      <c r="BD1017" s="4">
        <v>43283.142361111109</v>
      </c>
      <c r="BE1017" s="4">
        <v>43283.149675925924</v>
      </c>
      <c r="BF1017" s="4">
        <v>43283.149675925924</v>
      </c>
      <c r="BG1017" t="s">
        <v>83</v>
      </c>
      <c r="BH1017" t="s">
        <v>84</v>
      </c>
      <c r="BI1017" t="s">
        <v>85</v>
      </c>
    </row>
    <row r="1018" spans="1:61" x14ac:dyDescent="0.3">
      <c r="A1018" t="str">
        <f>"201961B0100"</f>
        <v>201961B0100</v>
      </c>
      <c r="B1018" t="s">
        <v>2128</v>
      </c>
      <c r="C1018">
        <v>20</v>
      </c>
      <c r="D1018" t="s">
        <v>79</v>
      </c>
      <c r="E1018">
        <v>5</v>
      </c>
      <c r="F1018" t="s">
        <v>1759</v>
      </c>
      <c r="G1018">
        <v>1961</v>
      </c>
      <c r="H1018">
        <v>1</v>
      </c>
      <c r="I1018" t="s">
        <v>81</v>
      </c>
      <c r="J1018">
        <v>0</v>
      </c>
      <c r="K1018">
        <v>2</v>
      </c>
      <c r="L1018">
        <v>2</v>
      </c>
      <c r="M1018">
        <v>229</v>
      </c>
      <c r="N1018">
        <v>237</v>
      </c>
      <c r="O1018">
        <v>0</v>
      </c>
      <c r="P1018">
        <v>250</v>
      </c>
      <c r="Q1018">
        <v>2</v>
      </c>
      <c r="R1018">
        <v>50</v>
      </c>
      <c r="S1018">
        <v>25</v>
      </c>
      <c r="T1018">
        <v>3</v>
      </c>
      <c r="U1018">
        <v>83</v>
      </c>
      <c r="V1018">
        <v>6</v>
      </c>
      <c r="W1018">
        <v>3</v>
      </c>
      <c r="X1018">
        <v>15</v>
      </c>
      <c r="Y1018">
        <v>37</v>
      </c>
      <c r="Z1018">
        <v>1</v>
      </c>
      <c r="AA1018">
        <v>1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1</v>
      </c>
      <c r="AK1018">
        <v>0</v>
      </c>
      <c r="AL1018">
        <v>2</v>
      </c>
      <c r="AM1018">
        <v>0</v>
      </c>
      <c r="AN1018">
        <v>0</v>
      </c>
      <c r="AT1018">
        <v>0</v>
      </c>
      <c r="AU1018">
        <v>21</v>
      </c>
      <c r="AV1018">
        <v>250</v>
      </c>
      <c r="AW1018">
        <v>250</v>
      </c>
      <c r="AX1018">
        <v>461</v>
      </c>
      <c r="BA1018">
        <v>1</v>
      </c>
      <c r="BC1018" t="s">
        <v>2129</v>
      </c>
      <c r="BD1018" s="4">
        <v>43283.142361111109</v>
      </c>
      <c r="BE1018" s="4">
        <v>43283.153356481482</v>
      </c>
      <c r="BF1018" s="4">
        <v>43283.153356481482</v>
      </c>
      <c r="BG1018" t="s">
        <v>83</v>
      </c>
      <c r="BH1018" t="s">
        <v>84</v>
      </c>
      <c r="BI1018" t="s">
        <v>85</v>
      </c>
    </row>
    <row r="1019" spans="1:61" x14ac:dyDescent="0.3">
      <c r="A1019" t="str">
        <f>"201973B0100"</f>
        <v>201973B0100</v>
      </c>
      <c r="B1019" t="s">
        <v>2130</v>
      </c>
      <c r="C1019">
        <v>20</v>
      </c>
      <c r="D1019" t="s">
        <v>79</v>
      </c>
      <c r="E1019">
        <v>5</v>
      </c>
      <c r="F1019" t="s">
        <v>1759</v>
      </c>
      <c r="G1019">
        <v>1973</v>
      </c>
      <c r="H1019">
        <v>1</v>
      </c>
      <c r="I1019" t="s">
        <v>81</v>
      </c>
      <c r="J1019">
        <v>0</v>
      </c>
      <c r="K1019">
        <v>1</v>
      </c>
      <c r="L1019">
        <v>2</v>
      </c>
      <c r="M1019">
        <v>112</v>
      </c>
      <c r="N1019">
        <v>440</v>
      </c>
      <c r="O1019">
        <v>0</v>
      </c>
      <c r="P1019">
        <v>440</v>
      </c>
      <c r="Q1019">
        <v>194</v>
      </c>
      <c r="R1019">
        <v>148</v>
      </c>
      <c r="S1019">
        <v>9</v>
      </c>
      <c r="T1019">
        <v>3</v>
      </c>
      <c r="U1019">
        <v>2</v>
      </c>
      <c r="V1019">
        <v>2</v>
      </c>
      <c r="W1019">
        <v>0</v>
      </c>
      <c r="X1019">
        <v>3</v>
      </c>
      <c r="Y1019">
        <v>51</v>
      </c>
      <c r="Z1019">
        <v>4</v>
      </c>
      <c r="AA1019">
        <v>0</v>
      </c>
      <c r="AB1019">
        <v>3</v>
      </c>
      <c r="AC1019">
        <v>1</v>
      </c>
      <c r="AD1019">
        <v>3</v>
      </c>
      <c r="AE1019">
        <v>0</v>
      </c>
      <c r="AF1019">
        <v>0</v>
      </c>
      <c r="AG1019">
        <v>1</v>
      </c>
      <c r="AH1019">
        <v>2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T1019">
        <v>0</v>
      </c>
      <c r="AU1019">
        <v>14</v>
      </c>
      <c r="AV1019">
        <v>440</v>
      </c>
      <c r="AW1019">
        <v>440</v>
      </c>
      <c r="AX1019">
        <v>530</v>
      </c>
      <c r="BA1019">
        <v>1</v>
      </c>
      <c r="BC1019" t="s">
        <v>2131</v>
      </c>
      <c r="BD1019" s="4">
        <v>43283.429861111108</v>
      </c>
      <c r="BE1019" s="4">
        <v>43283.438530092593</v>
      </c>
      <c r="BF1019" s="4">
        <v>43283.438530092593</v>
      </c>
      <c r="BG1019" t="s">
        <v>83</v>
      </c>
      <c r="BH1019" t="s">
        <v>84</v>
      </c>
      <c r="BI1019" t="s">
        <v>85</v>
      </c>
    </row>
    <row r="1020" spans="1:61" x14ac:dyDescent="0.3">
      <c r="A1020" t="str">
        <f>"201974B0100"</f>
        <v>201974B0100</v>
      </c>
      <c r="B1020" t="s">
        <v>2132</v>
      </c>
      <c r="C1020">
        <v>20</v>
      </c>
      <c r="D1020" t="s">
        <v>79</v>
      </c>
      <c r="E1020">
        <v>5</v>
      </c>
      <c r="F1020" t="s">
        <v>1759</v>
      </c>
      <c r="G1020">
        <v>1974</v>
      </c>
      <c r="H1020">
        <v>1</v>
      </c>
      <c r="I1020" t="s">
        <v>81</v>
      </c>
      <c r="J1020">
        <v>0</v>
      </c>
      <c r="K1020">
        <v>1</v>
      </c>
      <c r="L1020">
        <v>2</v>
      </c>
      <c r="M1020">
        <v>123</v>
      </c>
      <c r="N1020">
        <v>365</v>
      </c>
      <c r="O1020">
        <v>3</v>
      </c>
      <c r="P1020">
        <v>365</v>
      </c>
      <c r="Q1020">
        <v>171</v>
      </c>
      <c r="R1020">
        <v>122</v>
      </c>
      <c r="S1020">
        <v>6</v>
      </c>
      <c r="T1020">
        <v>1</v>
      </c>
      <c r="U1020">
        <v>5</v>
      </c>
      <c r="V1020">
        <v>0</v>
      </c>
      <c r="W1020">
        <v>0</v>
      </c>
      <c r="X1020">
        <v>2</v>
      </c>
      <c r="Y1020">
        <v>32</v>
      </c>
      <c r="Z1020">
        <v>0</v>
      </c>
      <c r="AA1020">
        <v>0</v>
      </c>
      <c r="AB1020">
        <v>2</v>
      </c>
      <c r="AC1020">
        <v>1</v>
      </c>
      <c r="AD1020">
        <v>4</v>
      </c>
      <c r="AE1020">
        <v>0</v>
      </c>
      <c r="AF1020">
        <v>0</v>
      </c>
      <c r="AG1020">
        <v>1</v>
      </c>
      <c r="AH1020">
        <v>2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T1020">
        <v>0</v>
      </c>
      <c r="AU1020">
        <v>16</v>
      </c>
      <c r="AV1020">
        <v>365</v>
      </c>
      <c r="AW1020">
        <v>365</v>
      </c>
      <c r="AX1020">
        <v>466</v>
      </c>
      <c r="BA1020">
        <v>1</v>
      </c>
      <c r="BC1020" t="s">
        <v>2133</v>
      </c>
      <c r="BD1020" s="4">
        <v>43283.436805555553</v>
      </c>
      <c r="BE1020" s="4">
        <v>43283.440532407411</v>
      </c>
      <c r="BF1020" s="4">
        <v>43283.440532407411</v>
      </c>
      <c r="BG1020" t="s">
        <v>83</v>
      </c>
      <c r="BH1020" t="s">
        <v>84</v>
      </c>
      <c r="BI1020" t="s">
        <v>85</v>
      </c>
    </row>
    <row r="1021" spans="1:61" x14ac:dyDescent="0.3">
      <c r="A1021" t="str">
        <f>"201975B0100"</f>
        <v>201975B0100</v>
      </c>
      <c r="B1021" t="s">
        <v>2134</v>
      </c>
      <c r="C1021">
        <v>20</v>
      </c>
      <c r="D1021" t="s">
        <v>79</v>
      </c>
      <c r="E1021">
        <v>5</v>
      </c>
      <c r="F1021" t="s">
        <v>1759</v>
      </c>
      <c r="G1021">
        <v>1975</v>
      </c>
      <c r="H1021">
        <v>1</v>
      </c>
      <c r="I1021" t="s">
        <v>81</v>
      </c>
      <c r="J1021">
        <v>0</v>
      </c>
      <c r="K1021">
        <v>2</v>
      </c>
      <c r="L1021">
        <v>2</v>
      </c>
      <c r="M1021">
        <v>124</v>
      </c>
      <c r="N1021">
        <v>413</v>
      </c>
      <c r="O1021">
        <v>8</v>
      </c>
      <c r="P1021">
        <v>413</v>
      </c>
      <c r="Q1021">
        <v>149</v>
      </c>
      <c r="R1021">
        <v>196</v>
      </c>
      <c r="S1021">
        <v>6</v>
      </c>
      <c r="T1021">
        <v>1</v>
      </c>
      <c r="U1021">
        <v>5</v>
      </c>
      <c r="V1021">
        <v>5</v>
      </c>
      <c r="W1021">
        <v>1</v>
      </c>
      <c r="X1021">
        <v>2</v>
      </c>
      <c r="Y1021">
        <v>30</v>
      </c>
      <c r="Z1021">
        <v>0</v>
      </c>
      <c r="AA1021">
        <v>0</v>
      </c>
      <c r="AB1021">
        <v>0</v>
      </c>
      <c r="AC1021">
        <v>1</v>
      </c>
      <c r="AD1021">
        <v>2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T1021">
        <v>0</v>
      </c>
      <c r="AU1021">
        <v>15</v>
      </c>
      <c r="AV1021">
        <v>413</v>
      </c>
      <c r="AW1021">
        <v>413</v>
      </c>
      <c r="AX1021">
        <v>515</v>
      </c>
      <c r="BA1021">
        <v>1</v>
      </c>
      <c r="BC1021" t="s">
        <v>2135</v>
      </c>
      <c r="BD1021" s="4">
        <v>43283.423611111109</v>
      </c>
      <c r="BE1021" s="4">
        <v>43283.430451388886</v>
      </c>
      <c r="BF1021" s="4">
        <v>43283.430451388886</v>
      </c>
      <c r="BG1021" t="s">
        <v>83</v>
      </c>
      <c r="BH1021" t="s">
        <v>84</v>
      </c>
      <c r="BI1021" t="s">
        <v>85</v>
      </c>
    </row>
    <row r="1022" spans="1:61" x14ac:dyDescent="0.3">
      <c r="A1022" t="str">
        <f>"201999B0100"</f>
        <v>201999B0100</v>
      </c>
      <c r="B1022" t="s">
        <v>2136</v>
      </c>
      <c r="C1022">
        <v>20</v>
      </c>
      <c r="D1022" t="s">
        <v>79</v>
      </c>
      <c r="E1022">
        <v>5</v>
      </c>
      <c r="F1022" t="s">
        <v>1759</v>
      </c>
      <c r="G1022">
        <v>1999</v>
      </c>
      <c r="H1022">
        <v>1</v>
      </c>
      <c r="I1022" t="s">
        <v>81</v>
      </c>
      <c r="J1022">
        <v>0</v>
      </c>
      <c r="K1022">
        <v>2</v>
      </c>
      <c r="L1022">
        <v>2</v>
      </c>
      <c r="M1022">
        <v>156</v>
      </c>
      <c r="N1022">
        <v>160</v>
      </c>
      <c r="O1022">
        <v>2</v>
      </c>
      <c r="P1022">
        <v>160</v>
      </c>
      <c r="Q1022">
        <v>6</v>
      </c>
      <c r="R1022">
        <v>38</v>
      </c>
      <c r="S1022">
        <v>18</v>
      </c>
      <c r="T1022">
        <v>2</v>
      </c>
      <c r="U1022">
        <v>27</v>
      </c>
      <c r="V1022">
        <v>2</v>
      </c>
      <c r="W1022">
        <v>3</v>
      </c>
      <c r="X1022">
        <v>1</v>
      </c>
      <c r="Y1022">
        <v>44</v>
      </c>
      <c r="Z1022">
        <v>3</v>
      </c>
      <c r="AA1022">
        <v>1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2</v>
      </c>
      <c r="AI1022">
        <v>1</v>
      </c>
      <c r="AJ1022">
        <v>0</v>
      </c>
      <c r="AK1022">
        <v>4</v>
      </c>
      <c r="AL1022">
        <v>1</v>
      </c>
      <c r="AM1022">
        <v>0</v>
      </c>
      <c r="AN1022">
        <v>0</v>
      </c>
      <c r="AT1022">
        <v>0</v>
      </c>
      <c r="AU1022">
        <v>7</v>
      </c>
      <c r="AV1022">
        <v>160</v>
      </c>
      <c r="AW1022">
        <v>160</v>
      </c>
      <c r="AX1022">
        <v>294</v>
      </c>
      <c r="BA1022">
        <v>1</v>
      </c>
      <c r="BC1022" t="s">
        <v>2137</v>
      </c>
      <c r="BD1022" s="4">
        <v>43283.138888888891</v>
      </c>
      <c r="BE1022" s="4">
        <v>43283.164120370369</v>
      </c>
      <c r="BF1022" s="4">
        <v>43283.164120370369</v>
      </c>
      <c r="BG1022" t="s">
        <v>83</v>
      </c>
      <c r="BH1022" t="s">
        <v>84</v>
      </c>
      <c r="BI1022" t="s">
        <v>85</v>
      </c>
    </row>
    <row r="1023" spans="1:61" x14ac:dyDescent="0.3">
      <c r="A1023" t="str">
        <f>"202000B0100"</f>
        <v>202000B0100</v>
      </c>
      <c r="B1023" t="s">
        <v>2138</v>
      </c>
      <c r="C1023">
        <v>20</v>
      </c>
      <c r="D1023" t="s">
        <v>79</v>
      </c>
      <c r="E1023">
        <v>5</v>
      </c>
      <c r="F1023" t="s">
        <v>1759</v>
      </c>
      <c r="G1023">
        <v>2000</v>
      </c>
      <c r="H1023">
        <v>1</v>
      </c>
      <c r="I1023" t="s">
        <v>81</v>
      </c>
      <c r="J1023">
        <v>0</v>
      </c>
      <c r="K1023">
        <v>2</v>
      </c>
      <c r="L1023">
        <v>2</v>
      </c>
      <c r="M1023" t="s">
        <v>100</v>
      </c>
      <c r="N1023" t="s">
        <v>100</v>
      </c>
      <c r="O1023" t="s">
        <v>100</v>
      </c>
      <c r="P1023" t="s">
        <v>100</v>
      </c>
      <c r="Q1023">
        <v>5</v>
      </c>
      <c r="R1023">
        <v>1</v>
      </c>
      <c r="S1023">
        <v>4</v>
      </c>
      <c r="T1023">
        <v>1</v>
      </c>
      <c r="U1023">
        <v>7</v>
      </c>
      <c r="V1023">
        <v>0</v>
      </c>
      <c r="W1023">
        <v>3</v>
      </c>
      <c r="X1023">
        <v>2</v>
      </c>
      <c r="Y1023">
        <v>14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2</v>
      </c>
      <c r="AL1023">
        <v>0</v>
      </c>
      <c r="AM1023">
        <v>0</v>
      </c>
      <c r="AN1023">
        <v>0</v>
      </c>
      <c r="AT1023">
        <v>0</v>
      </c>
      <c r="AU1023">
        <v>3</v>
      </c>
      <c r="AV1023" t="s">
        <v>100</v>
      </c>
      <c r="AW1023">
        <v>42</v>
      </c>
      <c r="AX1023">
        <v>65</v>
      </c>
      <c r="BA1023">
        <v>1</v>
      </c>
      <c r="BC1023" t="s">
        <v>2139</v>
      </c>
      <c r="BD1023" s="4">
        <v>43283.195138888892</v>
      </c>
      <c r="BE1023" s="4">
        <v>43283.213043981479</v>
      </c>
      <c r="BF1023" s="4">
        <v>43283.213043981479</v>
      </c>
      <c r="BG1023" t="s">
        <v>83</v>
      </c>
      <c r="BH1023" t="s">
        <v>84</v>
      </c>
      <c r="BI1023" t="s">
        <v>85</v>
      </c>
    </row>
    <row r="1024" spans="1:61" x14ac:dyDescent="0.3">
      <c r="A1024" t="str">
        <f>"202001B0100"</f>
        <v>202001B0100</v>
      </c>
      <c r="B1024" t="s">
        <v>2140</v>
      </c>
      <c r="C1024">
        <v>20</v>
      </c>
      <c r="D1024" t="s">
        <v>79</v>
      </c>
      <c r="E1024">
        <v>5</v>
      </c>
      <c r="F1024" t="s">
        <v>1759</v>
      </c>
      <c r="G1024">
        <v>2001</v>
      </c>
      <c r="H1024">
        <v>1</v>
      </c>
      <c r="I1024" t="s">
        <v>81</v>
      </c>
      <c r="J1024">
        <v>0</v>
      </c>
      <c r="K1024">
        <v>2</v>
      </c>
      <c r="L1024">
        <v>2</v>
      </c>
      <c r="M1024">
        <v>44</v>
      </c>
      <c r="N1024">
        <v>62</v>
      </c>
      <c r="O1024">
        <v>0</v>
      </c>
      <c r="P1024">
        <v>62</v>
      </c>
      <c r="Q1024">
        <v>2</v>
      </c>
      <c r="R1024">
        <v>11</v>
      </c>
      <c r="S1024">
        <v>3</v>
      </c>
      <c r="T1024">
        <v>0</v>
      </c>
      <c r="U1024">
        <v>33</v>
      </c>
      <c r="V1024">
        <v>2</v>
      </c>
      <c r="W1024">
        <v>1</v>
      </c>
      <c r="X1024">
        <v>2</v>
      </c>
      <c r="Y1024">
        <v>7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T1024">
        <v>0</v>
      </c>
      <c r="AU1024">
        <v>1</v>
      </c>
      <c r="AV1024">
        <v>62</v>
      </c>
      <c r="AW1024">
        <v>62</v>
      </c>
      <c r="AX1024">
        <v>84</v>
      </c>
      <c r="BA1024">
        <v>1</v>
      </c>
      <c r="BC1024" t="s">
        <v>2141</v>
      </c>
      <c r="BD1024" s="4">
        <v>43283.195138888892</v>
      </c>
      <c r="BE1024" s="4">
        <v>43283.212268518517</v>
      </c>
      <c r="BF1024" s="4">
        <v>43283.212268518517</v>
      </c>
      <c r="BG1024" t="s">
        <v>83</v>
      </c>
      <c r="BH1024" t="s">
        <v>84</v>
      </c>
      <c r="BI1024" t="s">
        <v>85</v>
      </c>
    </row>
    <row r="1025" spans="1:61" x14ac:dyDescent="0.3">
      <c r="A1025" t="str">
        <f>"202002B0100"</f>
        <v>202002B0100</v>
      </c>
      <c r="B1025" t="s">
        <v>2142</v>
      </c>
      <c r="C1025">
        <v>20</v>
      </c>
      <c r="D1025" t="s">
        <v>79</v>
      </c>
      <c r="E1025">
        <v>5</v>
      </c>
      <c r="F1025" t="s">
        <v>1759</v>
      </c>
      <c r="G1025">
        <v>2002</v>
      </c>
      <c r="H1025">
        <v>1</v>
      </c>
      <c r="I1025" t="s">
        <v>81</v>
      </c>
      <c r="J1025">
        <v>0</v>
      </c>
      <c r="K1025">
        <v>1</v>
      </c>
      <c r="L1025">
        <v>2</v>
      </c>
      <c r="M1025">
        <v>104</v>
      </c>
      <c r="N1025">
        <v>92</v>
      </c>
      <c r="O1025" t="s">
        <v>100</v>
      </c>
      <c r="P1025">
        <v>92</v>
      </c>
      <c r="Q1025">
        <v>9</v>
      </c>
      <c r="R1025">
        <v>15</v>
      </c>
      <c r="S1025">
        <v>9</v>
      </c>
      <c r="T1025">
        <v>3</v>
      </c>
      <c r="U1025">
        <v>4</v>
      </c>
      <c r="V1025">
        <v>4</v>
      </c>
      <c r="W1025">
        <v>0</v>
      </c>
      <c r="X1025">
        <v>2</v>
      </c>
      <c r="Y1025">
        <v>33</v>
      </c>
      <c r="Z1025">
        <v>1</v>
      </c>
      <c r="AA1025">
        <v>0</v>
      </c>
      <c r="AB1025">
        <v>1</v>
      </c>
      <c r="AC1025" t="s">
        <v>100</v>
      </c>
      <c r="AD1025" t="s">
        <v>100</v>
      </c>
      <c r="AE1025" t="s">
        <v>100</v>
      </c>
      <c r="AF1025" t="s">
        <v>100</v>
      </c>
      <c r="AG1025">
        <v>1</v>
      </c>
      <c r="AH1025">
        <v>1</v>
      </c>
      <c r="AI1025">
        <v>0</v>
      </c>
      <c r="AJ1025">
        <v>0</v>
      </c>
      <c r="AK1025">
        <v>3</v>
      </c>
      <c r="AL1025">
        <v>0</v>
      </c>
      <c r="AM1025">
        <v>0</v>
      </c>
      <c r="AN1025">
        <v>1</v>
      </c>
      <c r="AT1025" t="s">
        <v>100</v>
      </c>
      <c r="AU1025">
        <v>5</v>
      </c>
      <c r="AV1025" t="s">
        <v>100</v>
      </c>
      <c r="AW1025">
        <v>92</v>
      </c>
      <c r="AX1025">
        <v>174</v>
      </c>
      <c r="AZ1025" t="s">
        <v>101</v>
      </c>
      <c r="BA1025">
        <v>1</v>
      </c>
      <c r="BC1025" t="s">
        <v>2143</v>
      </c>
      <c r="BD1025" s="4">
        <v>43283.603472222225</v>
      </c>
      <c r="BE1025" s="4">
        <v>43283.610196759262</v>
      </c>
      <c r="BF1025" s="4">
        <v>43283.610196759262</v>
      </c>
      <c r="BG1025" t="s">
        <v>83</v>
      </c>
      <c r="BH1025" t="s">
        <v>84</v>
      </c>
      <c r="BI1025" t="s">
        <v>548</v>
      </c>
    </row>
    <row r="1026" spans="1:61" x14ac:dyDescent="0.3">
      <c r="A1026" t="str">
        <f>"202003B0100"</f>
        <v>202003B0100</v>
      </c>
      <c r="B1026" t="s">
        <v>2144</v>
      </c>
      <c r="C1026">
        <v>20</v>
      </c>
      <c r="D1026" t="s">
        <v>79</v>
      </c>
      <c r="E1026">
        <v>5</v>
      </c>
      <c r="F1026" t="s">
        <v>1759</v>
      </c>
      <c r="G1026">
        <v>2003</v>
      </c>
      <c r="H1026">
        <v>1</v>
      </c>
      <c r="I1026" t="s">
        <v>81</v>
      </c>
      <c r="J1026">
        <v>0</v>
      </c>
      <c r="K1026">
        <v>2</v>
      </c>
      <c r="L1026">
        <v>2</v>
      </c>
      <c r="M1026">
        <v>74</v>
      </c>
      <c r="N1026">
        <v>84</v>
      </c>
      <c r="O1026">
        <v>0</v>
      </c>
      <c r="P1026">
        <v>84</v>
      </c>
      <c r="Q1026">
        <v>2</v>
      </c>
      <c r="R1026">
        <v>9</v>
      </c>
      <c r="S1026">
        <v>8</v>
      </c>
      <c r="T1026">
        <v>2</v>
      </c>
      <c r="U1026">
        <v>7</v>
      </c>
      <c r="V1026">
        <v>3</v>
      </c>
      <c r="W1026">
        <v>1</v>
      </c>
      <c r="X1026">
        <v>4</v>
      </c>
      <c r="Y1026">
        <v>35</v>
      </c>
      <c r="Z1026">
        <v>0</v>
      </c>
      <c r="AA1026">
        <v>0</v>
      </c>
      <c r="AB1026">
        <v>1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3</v>
      </c>
      <c r="AL1026">
        <v>0</v>
      </c>
      <c r="AM1026">
        <v>0</v>
      </c>
      <c r="AN1026">
        <v>1</v>
      </c>
      <c r="AT1026">
        <v>0</v>
      </c>
      <c r="AU1026">
        <v>8</v>
      </c>
      <c r="AV1026">
        <v>84</v>
      </c>
      <c r="AW1026">
        <v>84</v>
      </c>
      <c r="AX1026">
        <v>136</v>
      </c>
      <c r="BA1026">
        <v>1</v>
      </c>
      <c r="BC1026" t="s">
        <v>2145</v>
      </c>
      <c r="BD1026" s="4">
        <v>43283.434027777781</v>
      </c>
      <c r="BE1026" s="4">
        <v>43283.439687500002</v>
      </c>
      <c r="BF1026" s="4">
        <v>43283.439687500002</v>
      </c>
      <c r="BG1026" t="s">
        <v>83</v>
      </c>
      <c r="BH1026" t="s">
        <v>84</v>
      </c>
      <c r="BI1026" t="s">
        <v>85</v>
      </c>
    </row>
    <row r="1027" spans="1:61" x14ac:dyDescent="0.3">
      <c r="A1027" t="str">
        <f>"202072B0100"</f>
        <v>202072B0100</v>
      </c>
      <c r="B1027" t="s">
        <v>2146</v>
      </c>
      <c r="C1027">
        <v>20</v>
      </c>
      <c r="D1027" t="s">
        <v>79</v>
      </c>
      <c r="E1027">
        <v>5</v>
      </c>
      <c r="F1027" t="s">
        <v>1759</v>
      </c>
      <c r="G1027">
        <v>2072</v>
      </c>
      <c r="H1027">
        <v>1</v>
      </c>
      <c r="I1027" t="s">
        <v>81</v>
      </c>
      <c r="J1027">
        <v>0</v>
      </c>
      <c r="K1027">
        <v>2</v>
      </c>
      <c r="L1027">
        <v>2</v>
      </c>
      <c r="M1027">
        <v>261</v>
      </c>
      <c r="N1027" t="s">
        <v>100</v>
      </c>
      <c r="O1027">
        <v>0</v>
      </c>
      <c r="P1027">
        <v>321</v>
      </c>
      <c r="Q1027">
        <v>11</v>
      </c>
      <c r="R1027">
        <v>89</v>
      </c>
      <c r="S1027">
        <v>2</v>
      </c>
      <c r="T1027">
        <v>3</v>
      </c>
      <c r="U1027">
        <v>6</v>
      </c>
      <c r="V1027">
        <v>3</v>
      </c>
      <c r="W1027">
        <v>62</v>
      </c>
      <c r="X1027">
        <v>5</v>
      </c>
      <c r="Y1027">
        <v>104</v>
      </c>
      <c r="Z1027">
        <v>6</v>
      </c>
      <c r="AA1027">
        <v>2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1</v>
      </c>
      <c r="AI1027">
        <v>1</v>
      </c>
      <c r="AJ1027">
        <v>0</v>
      </c>
      <c r="AK1027">
        <v>5</v>
      </c>
      <c r="AL1027">
        <v>3</v>
      </c>
      <c r="AM1027">
        <v>0</v>
      </c>
      <c r="AN1027">
        <v>3</v>
      </c>
      <c r="AT1027" t="s">
        <v>100</v>
      </c>
      <c r="AU1027">
        <v>15</v>
      </c>
      <c r="AV1027">
        <v>321</v>
      </c>
      <c r="AW1027">
        <v>321</v>
      </c>
      <c r="AX1027">
        <v>560</v>
      </c>
      <c r="AZ1027" t="s">
        <v>101</v>
      </c>
      <c r="BA1027">
        <v>1</v>
      </c>
      <c r="BC1027" t="s">
        <v>2147</v>
      </c>
      <c r="BD1027" s="4">
        <v>43283.253472222219</v>
      </c>
      <c r="BE1027" s="4">
        <v>43283.280729166669</v>
      </c>
      <c r="BF1027" s="4">
        <v>43283.280729166669</v>
      </c>
      <c r="BG1027" t="s">
        <v>83</v>
      </c>
      <c r="BH1027" t="s">
        <v>84</v>
      </c>
      <c r="BI1027" t="s">
        <v>85</v>
      </c>
    </row>
    <row r="1028" spans="1:61" x14ac:dyDescent="0.3">
      <c r="A1028" t="str">
        <f>"202073B0100"</f>
        <v>202073B0100</v>
      </c>
      <c r="B1028" t="s">
        <v>2148</v>
      </c>
      <c r="C1028">
        <v>20</v>
      </c>
      <c r="D1028" t="s">
        <v>79</v>
      </c>
      <c r="E1028">
        <v>5</v>
      </c>
      <c r="F1028" t="s">
        <v>1759</v>
      </c>
      <c r="G1028">
        <v>2073</v>
      </c>
      <c r="H1028">
        <v>1</v>
      </c>
      <c r="I1028" t="s">
        <v>81</v>
      </c>
      <c r="J1028">
        <v>0</v>
      </c>
      <c r="K1028">
        <v>2</v>
      </c>
      <c r="L1028">
        <v>2</v>
      </c>
      <c r="M1028">
        <v>124</v>
      </c>
      <c r="N1028" t="s">
        <v>100</v>
      </c>
      <c r="O1028" t="s">
        <v>100</v>
      </c>
      <c r="P1028" t="s">
        <v>100</v>
      </c>
      <c r="Q1028">
        <v>1</v>
      </c>
      <c r="R1028">
        <v>32</v>
      </c>
      <c r="S1028">
        <v>3</v>
      </c>
      <c r="T1028">
        <v>5</v>
      </c>
      <c r="U1028">
        <v>21</v>
      </c>
      <c r="V1028">
        <v>2</v>
      </c>
      <c r="W1028">
        <v>2</v>
      </c>
      <c r="X1028">
        <v>1</v>
      </c>
      <c r="Y1028">
        <v>50</v>
      </c>
      <c r="Z1028">
        <v>2</v>
      </c>
      <c r="AA1028">
        <v>1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T1028">
        <v>0</v>
      </c>
      <c r="AU1028">
        <v>0</v>
      </c>
      <c r="AV1028">
        <v>5</v>
      </c>
      <c r="AW1028">
        <v>120</v>
      </c>
      <c r="AX1028">
        <v>227</v>
      </c>
      <c r="BA1028">
        <v>1</v>
      </c>
      <c r="BC1028" t="s">
        <v>2149</v>
      </c>
      <c r="BD1028" s="4">
        <v>43283.256249999999</v>
      </c>
      <c r="BE1028" s="4">
        <v>43283.282453703701</v>
      </c>
      <c r="BF1028" s="4">
        <v>43283.282453703701</v>
      </c>
      <c r="BG1028" t="s">
        <v>83</v>
      </c>
      <c r="BH1028" t="s">
        <v>84</v>
      </c>
      <c r="BI1028" t="s">
        <v>85</v>
      </c>
    </row>
    <row r="1029" spans="1:61" x14ac:dyDescent="0.3">
      <c r="A1029" t="str">
        <f>"202074B0100"</f>
        <v>202074B0100</v>
      </c>
      <c r="B1029" t="s">
        <v>2150</v>
      </c>
      <c r="C1029">
        <v>20</v>
      </c>
      <c r="D1029" t="s">
        <v>79</v>
      </c>
      <c r="E1029">
        <v>5</v>
      </c>
      <c r="F1029" t="s">
        <v>1759</v>
      </c>
      <c r="G1029">
        <v>2074</v>
      </c>
      <c r="H1029">
        <v>1</v>
      </c>
      <c r="I1029" t="s">
        <v>81</v>
      </c>
      <c r="J1029">
        <v>0</v>
      </c>
      <c r="K1029">
        <v>2</v>
      </c>
      <c r="L1029">
        <v>2</v>
      </c>
      <c r="M1029">
        <v>180</v>
      </c>
      <c r="N1029">
        <v>175</v>
      </c>
      <c r="O1029">
        <v>0</v>
      </c>
      <c r="P1029">
        <v>175</v>
      </c>
      <c r="Q1029">
        <v>10</v>
      </c>
      <c r="R1029">
        <v>29</v>
      </c>
      <c r="S1029">
        <v>6</v>
      </c>
      <c r="T1029">
        <v>1</v>
      </c>
      <c r="U1029">
        <v>33</v>
      </c>
      <c r="V1029">
        <v>33</v>
      </c>
      <c r="W1029">
        <v>2</v>
      </c>
      <c r="X1029">
        <v>5</v>
      </c>
      <c r="Y1029">
        <v>56</v>
      </c>
      <c r="Z1029">
        <v>2</v>
      </c>
      <c r="AA1029">
        <v>0</v>
      </c>
      <c r="AB1029">
        <v>1</v>
      </c>
      <c r="AC1029">
        <v>1</v>
      </c>
      <c r="AD1029">
        <v>0</v>
      </c>
      <c r="AE1029">
        <v>0</v>
      </c>
      <c r="AF1029">
        <v>0</v>
      </c>
      <c r="AG1029">
        <v>1</v>
      </c>
      <c r="AH1029">
        <v>2</v>
      </c>
      <c r="AI1029">
        <v>0</v>
      </c>
      <c r="AJ1029">
        <v>0</v>
      </c>
      <c r="AK1029">
        <v>5</v>
      </c>
      <c r="AL1029">
        <v>1</v>
      </c>
      <c r="AM1029">
        <v>0</v>
      </c>
      <c r="AN1029">
        <v>0</v>
      </c>
      <c r="AT1029" t="s">
        <v>100</v>
      </c>
      <c r="AU1029">
        <v>17</v>
      </c>
      <c r="AV1029">
        <v>175</v>
      </c>
      <c r="AW1029">
        <v>205</v>
      </c>
      <c r="AX1029">
        <v>333</v>
      </c>
      <c r="AZ1029" t="s">
        <v>101</v>
      </c>
      <c r="BA1029">
        <v>1</v>
      </c>
      <c r="BC1029" t="s">
        <v>2151</v>
      </c>
      <c r="BD1029" s="4">
        <v>43283.255555555559</v>
      </c>
      <c r="BE1029" s="4">
        <v>43283.282905092594</v>
      </c>
      <c r="BF1029" s="4">
        <v>43283.282905092594</v>
      </c>
      <c r="BG1029" t="s">
        <v>83</v>
      </c>
      <c r="BH1029" t="s">
        <v>84</v>
      </c>
      <c r="BI1029" t="s">
        <v>85</v>
      </c>
    </row>
    <row r="1030" spans="1:61" x14ac:dyDescent="0.3">
      <c r="A1030" t="str">
        <f>"202075B0100"</f>
        <v>202075B0100</v>
      </c>
      <c r="B1030" t="s">
        <v>2152</v>
      </c>
      <c r="C1030">
        <v>20</v>
      </c>
      <c r="D1030" t="s">
        <v>79</v>
      </c>
      <c r="E1030">
        <v>5</v>
      </c>
      <c r="F1030" t="s">
        <v>1759</v>
      </c>
      <c r="G1030">
        <v>2075</v>
      </c>
      <c r="H1030">
        <v>1</v>
      </c>
      <c r="I1030" t="s">
        <v>81</v>
      </c>
      <c r="J1030">
        <v>0</v>
      </c>
      <c r="K1030">
        <v>2</v>
      </c>
      <c r="L1030">
        <v>2</v>
      </c>
      <c r="M1030">
        <v>124</v>
      </c>
      <c r="N1030">
        <v>157</v>
      </c>
      <c r="O1030" t="s">
        <v>315</v>
      </c>
      <c r="P1030">
        <v>157</v>
      </c>
      <c r="Q1030">
        <v>3</v>
      </c>
      <c r="R1030">
        <v>32</v>
      </c>
      <c r="S1030">
        <v>1</v>
      </c>
      <c r="T1030">
        <v>8</v>
      </c>
      <c r="U1030">
        <v>22</v>
      </c>
      <c r="V1030">
        <v>2</v>
      </c>
      <c r="W1030">
        <v>0</v>
      </c>
      <c r="X1030">
        <v>0</v>
      </c>
      <c r="Y1030">
        <v>68</v>
      </c>
      <c r="Z1030">
        <v>1</v>
      </c>
      <c r="AA1030">
        <v>1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1</v>
      </c>
      <c r="AI1030">
        <v>0</v>
      </c>
      <c r="AJ1030">
        <v>0</v>
      </c>
      <c r="AK1030">
        <v>3</v>
      </c>
      <c r="AL1030">
        <v>3</v>
      </c>
      <c r="AM1030">
        <v>0</v>
      </c>
      <c r="AN1030">
        <v>1</v>
      </c>
      <c r="AT1030">
        <v>0</v>
      </c>
      <c r="AU1030">
        <v>10</v>
      </c>
      <c r="AV1030" t="s">
        <v>100</v>
      </c>
      <c r="AW1030">
        <v>156</v>
      </c>
      <c r="AX1030">
        <v>259</v>
      </c>
      <c r="BA1030">
        <v>1</v>
      </c>
      <c r="BC1030" t="s">
        <v>2153</v>
      </c>
      <c r="BD1030" s="4">
        <v>43283.254861111112</v>
      </c>
      <c r="BE1030" s="4">
        <v>43283.281840277778</v>
      </c>
      <c r="BF1030" s="4">
        <v>43283.281840277778</v>
      </c>
      <c r="BG1030" t="s">
        <v>83</v>
      </c>
      <c r="BH1030" t="s">
        <v>84</v>
      </c>
      <c r="BI1030" t="s">
        <v>85</v>
      </c>
    </row>
    <row r="1031" spans="1:61" x14ac:dyDescent="0.3">
      <c r="A1031" t="str">
        <f>"202076B0100"</f>
        <v>202076B0100</v>
      </c>
      <c r="B1031" t="s">
        <v>2154</v>
      </c>
      <c r="C1031">
        <v>20</v>
      </c>
      <c r="D1031" t="s">
        <v>79</v>
      </c>
      <c r="E1031">
        <v>5</v>
      </c>
      <c r="F1031" t="s">
        <v>1759</v>
      </c>
      <c r="G1031">
        <v>2076</v>
      </c>
      <c r="H1031">
        <v>1</v>
      </c>
      <c r="I1031" t="s">
        <v>81</v>
      </c>
      <c r="J1031">
        <v>0</v>
      </c>
      <c r="K1031">
        <v>1</v>
      </c>
      <c r="L1031">
        <v>2</v>
      </c>
      <c r="M1031">
        <v>90</v>
      </c>
      <c r="N1031">
        <v>83</v>
      </c>
      <c r="O1031">
        <v>1</v>
      </c>
      <c r="P1031">
        <v>83</v>
      </c>
      <c r="Q1031">
        <v>2</v>
      </c>
      <c r="R1031">
        <v>33</v>
      </c>
      <c r="S1031">
        <v>5</v>
      </c>
      <c r="T1031">
        <v>8</v>
      </c>
      <c r="U1031">
        <v>10</v>
      </c>
      <c r="V1031">
        <v>3</v>
      </c>
      <c r="W1031">
        <v>0</v>
      </c>
      <c r="X1031">
        <v>0</v>
      </c>
      <c r="Y1031">
        <v>14</v>
      </c>
      <c r="Z1031">
        <v>2</v>
      </c>
      <c r="AA1031">
        <v>0</v>
      </c>
      <c r="AB1031">
        <v>1</v>
      </c>
      <c r="AC1031">
        <v>0</v>
      </c>
      <c r="AD1031">
        <v>1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1</v>
      </c>
      <c r="AL1031">
        <v>0</v>
      </c>
      <c r="AM1031">
        <v>0</v>
      </c>
      <c r="AN1031">
        <v>0</v>
      </c>
      <c r="AT1031">
        <v>0</v>
      </c>
      <c r="AU1031">
        <v>3</v>
      </c>
      <c r="AV1031">
        <v>83</v>
      </c>
      <c r="AW1031">
        <v>83</v>
      </c>
      <c r="AX1031">
        <v>151</v>
      </c>
      <c r="BA1031">
        <v>1</v>
      </c>
      <c r="BC1031" t="s">
        <v>2155</v>
      </c>
      <c r="BD1031" s="4">
        <v>43283.295138888891</v>
      </c>
      <c r="BE1031" s="4">
        <v>43283.322835648149</v>
      </c>
      <c r="BF1031" s="4">
        <v>43283.322835648149</v>
      </c>
      <c r="BG1031" t="s">
        <v>83</v>
      </c>
      <c r="BH1031" t="s">
        <v>84</v>
      </c>
      <c r="BI1031" t="s">
        <v>85</v>
      </c>
    </row>
    <row r="1032" spans="1:61" x14ac:dyDescent="0.3">
      <c r="A1032" t="str">
        <f>"202112B0100"</f>
        <v>202112B0100</v>
      </c>
      <c r="B1032" t="s">
        <v>2156</v>
      </c>
      <c r="C1032">
        <v>20</v>
      </c>
      <c r="D1032" t="s">
        <v>79</v>
      </c>
      <c r="E1032">
        <v>5</v>
      </c>
      <c r="F1032" t="s">
        <v>1759</v>
      </c>
      <c r="G1032">
        <v>2112</v>
      </c>
      <c r="H1032">
        <v>1</v>
      </c>
      <c r="I1032" t="s">
        <v>81</v>
      </c>
      <c r="J1032">
        <v>0</v>
      </c>
      <c r="K1032">
        <v>1</v>
      </c>
      <c r="L1032">
        <v>2</v>
      </c>
      <c r="M1032">
        <v>168</v>
      </c>
      <c r="N1032">
        <v>545</v>
      </c>
      <c r="O1032">
        <v>0</v>
      </c>
      <c r="P1032">
        <v>545</v>
      </c>
      <c r="Q1032">
        <v>15</v>
      </c>
      <c r="R1032">
        <v>131</v>
      </c>
      <c r="S1032">
        <v>51</v>
      </c>
      <c r="T1032">
        <v>6</v>
      </c>
      <c r="U1032">
        <v>18</v>
      </c>
      <c r="V1032">
        <v>1</v>
      </c>
      <c r="W1032">
        <v>8</v>
      </c>
      <c r="X1032">
        <v>4</v>
      </c>
      <c r="Y1032">
        <v>129</v>
      </c>
      <c r="Z1032">
        <v>1</v>
      </c>
      <c r="AA1032">
        <v>132</v>
      </c>
      <c r="AB1032">
        <v>7</v>
      </c>
      <c r="AC1032">
        <v>3</v>
      </c>
      <c r="AD1032" t="s">
        <v>100</v>
      </c>
      <c r="AE1032" t="s">
        <v>100</v>
      </c>
      <c r="AF1032" t="s">
        <v>100</v>
      </c>
      <c r="AG1032">
        <v>5</v>
      </c>
      <c r="AH1032" t="s">
        <v>100</v>
      </c>
      <c r="AI1032" t="s">
        <v>100</v>
      </c>
      <c r="AJ1032" t="s">
        <v>100</v>
      </c>
      <c r="AK1032">
        <v>6</v>
      </c>
      <c r="AL1032" t="s">
        <v>100</v>
      </c>
      <c r="AM1032" t="s">
        <v>100</v>
      </c>
      <c r="AN1032" t="s">
        <v>100</v>
      </c>
      <c r="AT1032" t="s">
        <v>100</v>
      </c>
      <c r="AU1032">
        <v>28</v>
      </c>
      <c r="AV1032">
        <v>545</v>
      </c>
      <c r="AW1032">
        <v>545</v>
      </c>
      <c r="AX1032">
        <v>691</v>
      </c>
      <c r="AZ1032" t="s">
        <v>101</v>
      </c>
      <c r="BA1032">
        <v>1</v>
      </c>
      <c r="BC1032" t="s">
        <v>2157</v>
      </c>
      <c r="BD1032" s="4">
        <v>43283.265972222223</v>
      </c>
      <c r="BE1032" s="4">
        <v>43283.296423611115</v>
      </c>
      <c r="BF1032" s="4">
        <v>43283.296423611115</v>
      </c>
      <c r="BG1032" t="s">
        <v>83</v>
      </c>
      <c r="BH1032" t="s">
        <v>84</v>
      </c>
      <c r="BI1032" t="s">
        <v>85</v>
      </c>
    </row>
    <row r="1033" spans="1:61" x14ac:dyDescent="0.3">
      <c r="A1033" t="str">
        <f>"202112C0100"</f>
        <v>202112C0100</v>
      </c>
      <c r="B1033" t="s">
        <v>2158</v>
      </c>
      <c r="C1033">
        <v>20</v>
      </c>
      <c r="D1033" t="s">
        <v>79</v>
      </c>
      <c r="E1033">
        <v>5</v>
      </c>
      <c r="F1033" t="s">
        <v>1759</v>
      </c>
      <c r="G1033">
        <v>2112</v>
      </c>
      <c r="H1033">
        <v>1</v>
      </c>
      <c r="I1033" t="s">
        <v>89</v>
      </c>
      <c r="J1033">
        <v>0</v>
      </c>
      <c r="K1033">
        <v>1</v>
      </c>
      <c r="L1033">
        <v>2</v>
      </c>
      <c r="AX1033">
        <v>690</v>
      </c>
      <c r="AZ1033" t="s">
        <v>1868</v>
      </c>
      <c r="BA1033">
        <v>0</v>
      </c>
      <c r="BC1033" t="s">
        <v>2159</v>
      </c>
      <c r="BD1033" s="4">
        <v>43283.265972222223</v>
      </c>
      <c r="BE1033" s="4">
        <v>43283.298217592594</v>
      </c>
      <c r="BF1033" s="4">
        <v>43283.298217592594</v>
      </c>
      <c r="BG1033" t="s">
        <v>83</v>
      </c>
      <c r="BH1033" t="s">
        <v>84</v>
      </c>
      <c r="BI1033" t="s">
        <v>85</v>
      </c>
    </row>
    <row r="1034" spans="1:61" x14ac:dyDescent="0.3">
      <c r="A1034" t="str">
        <f>"202112C0200"</f>
        <v>202112C0200</v>
      </c>
      <c r="B1034" t="s">
        <v>2160</v>
      </c>
      <c r="C1034">
        <v>20</v>
      </c>
      <c r="D1034" t="s">
        <v>79</v>
      </c>
      <c r="E1034">
        <v>5</v>
      </c>
      <c r="F1034" t="s">
        <v>1759</v>
      </c>
      <c r="G1034">
        <v>2112</v>
      </c>
      <c r="H1034">
        <v>2</v>
      </c>
      <c r="I1034" t="s">
        <v>89</v>
      </c>
      <c r="J1034">
        <v>0</v>
      </c>
      <c r="K1034">
        <v>1</v>
      </c>
      <c r="L1034">
        <v>2</v>
      </c>
      <c r="M1034">
        <v>173</v>
      </c>
      <c r="N1034">
        <v>537</v>
      </c>
      <c r="O1034">
        <v>0</v>
      </c>
      <c r="P1034">
        <v>8</v>
      </c>
      <c r="Q1034">
        <v>17</v>
      </c>
      <c r="R1034">
        <v>105</v>
      </c>
      <c r="S1034">
        <v>34</v>
      </c>
      <c r="T1034">
        <v>12</v>
      </c>
      <c r="U1034">
        <v>25</v>
      </c>
      <c r="V1034">
        <v>9</v>
      </c>
      <c r="W1034">
        <v>12</v>
      </c>
      <c r="X1034">
        <v>6</v>
      </c>
      <c r="Y1034">
        <v>143</v>
      </c>
      <c r="Z1034">
        <v>6</v>
      </c>
      <c r="AA1034">
        <v>113</v>
      </c>
      <c r="AB1034">
        <v>6</v>
      </c>
      <c r="AC1034" t="s">
        <v>100</v>
      </c>
      <c r="AD1034" t="s">
        <v>100</v>
      </c>
      <c r="AE1034" t="s">
        <v>100</v>
      </c>
      <c r="AF1034" t="s">
        <v>100</v>
      </c>
      <c r="AG1034">
        <v>6</v>
      </c>
      <c r="AH1034" t="s">
        <v>100</v>
      </c>
      <c r="AI1034" t="s">
        <v>100</v>
      </c>
      <c r="AJ1034" t="s">
        <v>100</v>
      </c>
      <c r="AK1034">
        <v>5</v>
      </c>
      <c r="AL1034" t="s">
        <v>100</v>
      </c>
      <c r="AM1034" t="s">
        <v>100</v>
      </c>
      <c r="AN1034" t="s">
        <v>100</v>
      </c>
      <c r="AT1034" t="s">
        <v>100</v>
      </c>
      <c r="AU1034">
        <v>38</v>
      </c>
      <c r="AV1034" t="s">
        <v>100</v>
      </c>
      <c r="AW1034">
        <v>537</v>
      </c>
      <c r="AX1034">
        <v>690</v>
      </c>
      <c r="AZ1034" t="s">
        <v>101</v>
      </c>
      <c r="BA1034">
        <v>1</v>
      </c>
      <c r="BC1034" t="s">
        <v>2161</v>
      </c>
      <c r="BD1034" s="4">
        <v>43283.263888888891</v>
      </c>
      <c r="BE1034" s="4">
        <v>43283.289756944447</v>
      </c>
      <c r="BF1034" s="4">
        <v>43283.289756944447</v>
      </c>
      <c r="BG1034" t="s">
        <v>83</v>
      </c>
      <c r="BH1034" t="s">
        <v>84</v>
      </c>
      <c r="BI1034" t="s">
        <v>85</v>
      </c>
    </row>
    <row r="1035" spans="1:61" x14ac:dyDescent="0.3">
      <c r="A1035" t="str">
        <f>"202113B0100"</f>
        <v>202113B0100</v>
      </c>
      <c r="B1035" t="s">
        <v>2162</v>
      </c>
      <c r="C1035">
        <v>20</v>
      </c>
      <c r="D1035" t="s">
        <v>79</v>
      </c>
      <c r="E1035">
        <v>5</v>
      </c>
      <c r="F1035" t="s">
        <v>1759</v>
      </c>
      <c r="G1035">
        <v>2113</v>
      </c>
      <c r="H1035">
        <v>1</v>
      </c>
      <c r="I1035" t="s">
        <v>81</v>
      </c>
      <c r="J1035">
        <v>0</v>
      </c>
      <c r="K1035">
        <v>1</v>
      </c>
      <c r="L1035">
        <v>2</v>
      </c>
      <c r="M1035">
        <v>179</v>
      </c>
      <c r="N1035">
        <v>484</v>
      </c>
      <c r="O1035">
        <v>0</v>
      </c>
      <c r="P1035">
        <v>484</v>
      </c>
      <c r="Q1035">
        <v>14</v>
      </c>
      <c r="R1035">
        <v>98</v>
      </c>
      <c r="S1035">
        <v>31</v>
      </c>
      <c r="T1035">
        <v>13</v>
      </c>
      <c r="U1035">
        <v>23</v>
      </c>
      <c r="V1035">
        <v>7</v>
      </c>
      <c r="W1035">
        <v>12</v>
      </c>
      <c r="X1035">
        <v>6</v>
      </c>
      <c r="Y1035">
        <v>133</v>
      </c>
      <c r="Z1035">
        <v>8</v>
      </c>
      <c r="AA1035">
        <v>105</v>
      </c>
      <c r="AB1035">
        <v>5</v>
      </c>
      <c r="AC1035">
        <v>1</v>
      </c>
      <c r="AD1035">
        <v>0</v>
      </c>
      <c r="AE1035">
        <v>0</v>
      </c>
      <c r="AF1035">
        <v>0</v>
      </c>
      <c r="AG1035">
        <v>0</v>
      </c>
      <c r="AH1035">
        <v>3</v>
      </c>
      <c r="AI1035">
        <v>0</v>
      </c>
      <c r="AJ1035">
        <v>0</v>
      </c>
      <c r="AK1035">
        <v>2</v>
      </c>
      <c r="AL1035">
        <v>0</v>
      </c>
      <c r="AM1035">
        <v>0</v>
      </c>
      <c r="AN1035">
        <v>1</v>
      </c>
      <c r="AT1035">
        <v>1</v>
      </c>
      <c r="AU1035">
        <v>21</v>
      </c>
      <c r="AV1035">
        <v>484</v>
      </c>
      <c r="AW1035">
        <v>484</v>
      </c>
      <c r="AX1035">
        <v>641</v>
      </c>
      <c r="BA1035">
        <v>1</v>
      </c>
      <c r="BC1035" t="s">
        <v>2163</v>
      </c>
      <c r="BD1035" s="4">
        <v>43283.259722222225</v>
      </c>
      <c r="BE1035" s="4">
        <v>43283.285821759258</v>
      </c>
      <c r="BF1035" s="4">
        <v>43283.285821759258</v>
      </c>
      <c r="BG1035" t="s">
        <v>83</v>
      </c>
      <c r="BH1035" t="s">
        <v>84</v>
      </c>
      <c r="BI1035" t="s">
        <v>85</v>
      </c>
    </row>
    <row r="1036" spans="1:61" x14ac:dyDescent="0.3">
      <c r="A1036" t="str">
        <f>"202113C0100"</f>
        <v>202113C0100</v>
      </c>
      <c r="B1036" t="s">
        <v>2164</v>
      </c>
      <c r="C1036">
        <v>20</v>
      </c>
      <c r="D1036" t="s">
        <v>79</v>
      </c>
      <c r="E1036">
        <v>5</v>
      </c>
      <c r="F1036" t="s">
        <v>1759</v>
      </c>
      <c r="G1036">
        <v>2113</v>
      </c>
      <c r="H1036">
        <v>1</v>
      </c>
      <c r="I1036" t="s">
        <v>89</v>
      </c>
      <c r="J1036">
        <v>0</v>
      </c>
      <c r="K1036">
        <v>1</v>
      </c>
      <c r="L1036">
        <v>2</v>
      </c>
      <c r="M1036">
        <v>179</v>
      </c>
      <c r="N1036">
        <v>484</v>
      </c>
      <c r="O1036">
        <v>0</v>
      </c>
      <c r="P1036">
        <v>0</v>
      </c>
      <c r="Q1036">
        <v>17</v>
      </c>
      <c r="R1036">
        <v>93</v>
      </c>
      <c r="S1036">
        <v>41</v>
      </c>
      <c r="T1036">
        <v>9</v>
      </c>
      <c r="U1036">
        <v>18</v>
      </c>
      <c r="V1036">
        <v>2</v>
      </c>
      <c r="W1036">
        <v>10</v>
      </c>
      <c r="X1036">
        <v>7</v>
      </c>
      <c r="Y1036">
        <v>136</v>
      </c>
      <c r="Z1036">
        <v>5</v>
      </c>
      <c r="AA1036">
        <v>101</v>
      </c>
      <c r="AB1036">
        <v>5</v>
      </c>
      <c r="AC1036">
        <v>0</v>
      </c>
      <c r="AD1036">
        <v>1</v>
      </c>
      <c r="AE1036">
        <v>0</v>
      </c>
      <c r="AF1036">
        <v>0</v>
      </c>
      <c r="AG1036">
        <v>1</v>
      </c>
      <c r="AH1036">
        <v>0</v>
      </c>
      <c r="AI1036">
        <v>1</v>
      </c>
      <c r="AJ1036">
        <v>0</v>
      </c>
      <c r="AK1036">
        <v>5</v>
      </c>
      <c r="AL1036">
        <v>1</v>
      </c>
      <c r="AM1036">
        <v>1</v>
      </c>
      <c r="AN1036">
        <v>0</v>
      </c>
      <c r="AT1036">
        <v>0</v>
      </c>
      <c r="AU1036">
        <v>0</v>
      </c>
      <c r="AV1036" t="s">
        <v>100</v>
      </c>
      <c r="AW1036">
        <v>454</v>
      </c>
      <c r="AX1036">
        <v>641</v>
      </c>
      <c r="BA1036">
        <v>1</v>
      </c>
      <c r="BC1036" t="s">
        <v>2165</v>
      </c>
      <c r="BD1036" s="4">
        <v>43283.263888888891</v>
      </c>
      <c r="BE1036" s="4">
        <v>43283.294131944444</v>
      </c>
      <c r="BF1036" s="4">
        <v>43283.294131944444</v>
      </c>
      <c r="BG1036" t="s">
        <v>83</v>
      </c>
      <c r="BH1036" t="s">
        <v>84</v>
      </c>
      <c r="BI1036" t="s">
        <v>85</v>
      </c>
    </row>
    <row r="1037" spans="1:61" x14ac:dyDescent="0.3">
      <c r="A1037" t="str">
        <f>"202113C0200"</f>
        <v>202113C0200</v>
      </c>
      <c r="B1037" t="s">
        <v>2166</v>
      </c>
      <c r="C1037">
        <v>20</v>
      </c>
      <c r="D1037" t="s">
        <v>79</v>
      </c>
      <c r="E1037">
        <v>5</v>
      </c>
      <c r="F1037" t="s">
        <v>1759</v>
      </c>
      <c r="G1037">
        <v>2113</v>
      </c>
      <c r="H1037">
        <v>2</v>
      </c>
      <c r="I1037" t="s">
        <v>89</v>
      </c>
      <c r="J1037">
        <v>0</v>
      </c>
      <c r="K1037">
        <v>1</v>
      </c>
      <c r="L1037">
        <v>2</v>
      </c>
      <c r="M1037">
        <v>189</v>
      </c>
      <c r="N1037">
        <v>473</v>
      </c>
      <c r="O1037">
        <v>473</v>
      </c>
      <c r="P1037">
        <v>473</v>
      </c>
      <c r="Q1037">
        <v>19</v>
      </c>
      <c r="R1037">
        <v>64</v>
      </c>
      <c r="S1037">
        <v>45</v>
      </c>
      <c r="T1037">
        <v>8</v>
      </c>
      <c r="U1037">
        <v>21</v>
      </c>
      <c r="V1037">
        <v>8</v>
      </c>
      <c r="W1037">
        <v>6</v>
      </c>
      <c r="X1037">
        <v>2</v>
      </c>
      <c r="Y1037">
        <v>156</v>
      </c>
      <c r="Z1037">
        <v>5</v>
      </c>
      <c r="AA1037">
        <v>94</v>
      </c>
      <c r="AB1037">
        <v>10</v>
      </c>
      <c r="AC1037" t="s">
        <v>100</v>
      </c>
      <c r="AD1037" t="s">
        <v>100</v>
      </c>
      <c r="AE1037" t="s">
        <v>100</v>
      </c>
      <c r="AF1037" t="s">
        <v>100</v>
      </c>
      <c r="AG1037">
        <v>1</v>
      </c>
      <c r="AH1037" t="s">
        <v>100</v>
      </c>
      <c r="AI1037">
        <v>1</v>
      </c>
      <c r="AJ1037" t="s">
        <v>100</v>
      </c>
      <c r="AK1037">
        <v>7</v>
      </c>
      <c r="AL1037">
        <v>1</v>
      </c>
      <c r="AM1037" t="s">
        <v>100</v>
      </c>
      <c r="AN1037">
        <v>1</v>
      </c>
      <c r="AT1037" t="s">
        <v>100</v>
      </c>
      <c r="AU1037">
        <v>24</v>
      </c>
      <c r="AV1037">
        <v>473</v>
      </c>
      <c r="AW1037">
        <v>473</v>
      </c>
      <c r="AX1037">
        <v>640</v>
      </c>
      <c r="AZ1037" t="s">
        <v>101</v>
      </c>
      <c r="BA1037">
        <v>1</v>
      </c>
      <c r="BC1037" t="s">
        <v>2167</v>
      </c>
      <c r="BD1037" s="4">
        <v>43283.271527777775</v>
      </c>
      <c r="BE1037" s="4">
        <v>43283.300451388888</v>
      </c>
      <c r="BF1037" s="4">
        <v>43283.300451388888</v>
      </c>
      <c r="BG1037" t="s">
        <v>83</v>
      </c>
      <c r="BH1037" t="s">
        <v>84</v>
      </c>
      <c r="BI1037" t="s">
        <v>85</v>
      </c>
    </row>
    <row r="1038" spans="1:61" x14ac:dyDescent="0.3">
      <c r="A1038" t="str">
        <f>"202114B0100"</f>
        <v>202114B0100</v>
      </c>
      <c r="B1038" t="s">
        <v>2168</v>
      </c>
      <c r="C1038">
        <v>20</v>
      </c>
      <c r="D1038" t="s">
        <v>79</v>
      </c>
      <c r="E1038">
        <v>5</v>
      </c>
      <c r="F1038" t="s">
        <v>1759</v>
      </c>
      <c r="G1038">
        <v>2114</v>
      </c>
      <c r="H1038">
        <v>1</v>
      </c>
      <c r="I1038" t="s">
        <v>81</v>
      </c>
      <c r="J1038">
        <v>0</v>
      </c>
      <c r="K1038">
        <v>1</v>
      </c>
      <c r="L1038">
        <v>2</v>
      </c>
      <c r="M1038">
        <v>149</v>
      </c>
      <c r="N1038">
        <v>425</v>
      </c>
      <c r="O1038">
        <v>2</v>
      </c>
      <c r="P1038">
        <v>425</v>
      </c>
      <c r="Q1038">
        <v>8</v>
      </c>
      <c r="R1038">
        <v>90</v>
      </c>
      <c r="S1038">
        <v>37</v>
      </c>
      <c r="T1038">
        <v>7</v>
      </c>
      <c r="U1038">
        <v>14</v>
      </c>
      <c r="V1038">
        <v>5</v>
      </c>
      <c r="W1038">
        <v>6</v>
      </c>
      <c r="X1038">
        <v>3</v>
      </c>
      <c r="Y1038">
        <v>103</v>
      </c>
      <c r="Z1038">
        <v>4</v>
      </c>
      <c r="AA1038">
        <v>99</v>
      </c>
      <c r="AB1038">
        <v>6</v>
      </c>
      <c r="AC1038">
        <v>0</v>
      </c>
      <c r="AD1038">
        <v>0</v>
      </c>
      <c r="AE1038">
        <v>0</v>
      </c>
      <c r="AF1038">
        <v>0</v>
      </c>
      <c r="AG1038">
        <v>3</v>
      </c>
      <c r="AH1038">
        <v>0</v>
      </c>
      <c r="AI1038">
        <v>0</v>
      </c>
      <c r="AJ1038">
        <v>0</v>
      </c>
      <c r="AK1038">
        <v>2</v>
      </c>
      <c r="AL1038">
        <v>2</v>
      </c>
      <c r="AM1038">
        <v>0</v>
      </c>
      <c r="AN1038">
        <v>1</v>
      </c>
      <c r="AT1038">
        <v>0</v>
      </c>
      <c r="AU1038">
        <v>35</v>
      </c>
      <c r="AV1038">
        <v>425</v>
      </c>
      <c r="AW1038">
        <v>425</v>
      </c>
      <c r="AX1038">
        <v>553</v>
      </c>
      <c r="BA1038">
        <v>1</v>
      </c>
      <c r="BC1038" t="s">
        <v>2169</v>
      </c>
      <c r="BD1038" s="4">
        <v>43283.265277777777</v>
      </c>
      <c r="BE1038" s="4">
        <v>43283.290509259263</v>
      </c>
      <c r="BF1038" s="4">
        <v>43283.290509259263</v>
      </c>
      <c r="BG1038" t="s">
        <v>83</v>
      </c>
      <c r="BH1038" t="s">
        <v>84</v>
      </c>
      <c r="BI1038" t="s">
        <v>85</v>
      </c>
    </row>
    <row r="1039" spans="1:61" x14ac:dyDescent="0.3">
      <c r="A1039" t="str">
        <f>"202114C0100"</f>
        <v>202114C0100</v>
      </c>
      <c r="B1039" t="s">
        <v>2170</v>
      </c>
      <c r="C1039">
        <v>20</v>
      </c>
      <c r="D1039" t="s">
        <v>79</v>
      </c>
      <c r="E1039">
        <v>5</v>
      </c>
      <c r="F1039" t="s">
        <v>1759</v>
      </c>
      <c r="G1039">
        <v>2114</v>
      </c>
      <c r="H1039">
        <v>1</v>
      </c>
      <c r="I1039" t="s">
        <v>89</v>
      </c>
      <c r="J1039">
        <v>0</v>
      </c>
      <c r="K1039">
        <v>1</v>
      </c>
      <c r="L1039">
        <v>2</v>
      </c>
      <c r="M1039">
        <v>173</v>
      </c>
      <c r="N1039">
        <v>401</v>
      </c>
      <c r="O1039">
        <v>2</v>
      </c>
      <c r="P1039">
        <v>401</v>
      </c>
      <c r="Q1039">
        <v>8</v>
      </c>
      <c r="R1039">
        <v>110</v>
      </c>
      <c r="S1039">
        <v>22</v>
      </c>
      <c r="T1039">
        <v>13</v>
      </c>
      <c r="U1039">
        <v>25</v>
      </c>
      <c r="V1039">
        <v>1</v>
      </c>
      <c r="W1039">
        <v>9</v>
      </c>
      <c r="X1039">
        <v>5</v>
      </c>
      <c r="Y1039">
        <v>86</v>
      </c>
      <c r="Z1039">
        <v>10</v>
      </c>
      <c r="AA1039">
        <v>66</v>
      </c>
      <c r="AB1039">
        <v>6</v>
      </c>
      <c r="AC1039">
        <v>1</v>
      </c>
      <c r="AD1039">
        <v>1</v>
      </c>
      <c r="AE1039">
        <v>0</v>
      </c>
      <c r="AF1039">
        <v>0</v>
      </c>
      <c r="AG1039">
        <v>2</v>
      </c>
      <c r="AH1039">
        <v>1</v>
      </c>
      <c r="AI1039">
        <v>0</v>
      </c>
      <c r="AJ1039">
        <v>1</v>
      </c>
      <c r="AK1039">
        <v>2</v>
      </c>
      <c r="AL1039">
        <v>0</v>
      </c>
      <c r="AM1039">
        <v>0</v>
      </c>
      <c r="AN1039">
        <v>0</v>
      </c>
      <c r="AT1039">
        <v>0</v>
      </c>
      <c r="AU1039">
        <v>30</v>
      </c>
      <c r="AV1039">
        <v>399</v>
      </c>
      <c r="AW1039">
        <v>399</v>
      </c>
      <c r="AX1039">
        <v>552</v>
      </c>
      <c r="BA1039">
        <v>1</v>
      </c>
      <c r="BC1039" t="s">
        <v>2171</v>
      </c>
      <c r="BD1039" s="4">
        <v>43283.262499999997</v>
      </c>
      <c r="BE1039" s="4">
        <v>43283.28833333333</v>
      </c>
      <c r="BF1039" s="4">
        <v>43283.28833333333</v>
      </c>
      <c r="BG1039" t="s">
        <v>83</v>
      </c>
      <c r="BH1039" t="s">
        <v>84</v>
      </c>
      <c r="BI1039" t="s">
        <v>85</v>
      </c>
    </row>
    <row r="1040" spans="1:61" x14ac:dyDescent="0.3">
      <c r="A1040" t="str">
        <f>"202114C0200"</f>
        <v>202114C0200</v>
      </c>
      <c r="B1040" t="s">
        <v>2172</v>
      </c>
      <c r="C1040">
        <v>20</v>
      </c>
      <c r="D1040" t="s">
        <v>79</v>
      </c>
      <c r="E1040">
        <v>5</v>
      </c>
      <c r="F1040" t="s">
        <v>1759</v>
      </c>
      <c r="G1040">
        <v>2114</v>
      </c>
      <c r="H1040">
        <v>2</v>
      </c>
      <c r="I1040" t="s">
        <v>89</v>
      </c>
      <c r="J1040">
        <v>0</v>
      </c>
      <c r="K1040">
        <v>1</v>
      </c>
      <c r="L1040">
        <v>2</v>
      </c>
      <c r="M1040">
        <v>158</v>
      </c>
      <c r="N1040">
        <v>416</v>
      </c>
      <c r="O1040">
        <v>3</v>
      </c>
      <c r="P1040">
        <v>416</v>
      </c>
      <c r="Q1040">
        <v>10</v>
      </c>
      <c r="R1040">
        <v>92</v>
      </c>
      <c r="S1040">
        <v>23</v>
      </c>
      <c r="T1040">
        <v>12</v>
      </c>
      <c r="U1040">
        <v>16</v>
      </c>
      <c r="V1040">
        <v>5</v>
      </c>
      <c r="W1040">
        <v>6</v>
      </c>
      <c r="X1040">
        <v>3</v>
      </c>
      <c r="Y1040">
        <v>99</v>
      </c>
      <c r="Z1040">
        <v>4</v>
      </c>
      <c r="AA1040">
        <v>108</v>
      </c>
      <c r="AB1040">
        <v>3</v>
      </c>
      <c r="AC1040">
        <v>1</v>
      </c>
      <c r="AD1040">
        <v>0</v>
      </c>
      <c r="AE1040">
        <v>0</v>
      </c>
      <c r="AF1040">
        <v>0</v>
      </c>
      <c r="AG1040">
        <v>3</v>
      </c>
      <c r="AH1040">
        <v>0</v>
      </c>
      <c r="AI1040">
        <v>0</v>
      </c>
      <c r="AJ1040">
        <v>0</v>
      </c>
      <c r="AK1040">
        <v>1</v>
      </c>
      <c r="AL1040">
        <v>0</v>
      </c>
      <c r="AM1040">
        <v>0</v>
      </c>
      <c r="AN1040">
        <v>0</v>
      </c>
      <c r="AT1040">
        <v>1</v>
      </c>
      <c r="AU1040">
        <v>19</v>
      </c>
      <c r="AV1040" t="s">
        <v>315</v>
      </c>
      <c r="AW1040">
        <v>406</v>
      </c>
      <c r="AX1040">
        <v>552</v>
      </c>
      <c r="BA1040">
        <v>1</v>
      </c>
      <c r="BC1040" t="s">
        <v>2173</v>
      </c>
      <c r="BD1040" s="4">
        <v>43283.6</v>
      </c>
      <c r="BE1040" s="4">
        <v>43283.613287037035</v>
      </c>
      <c r="BF1040" s="4">
        <v>43283.613287037035</v>
      </c>
      <c r="BG1040" t="s">
        <v>83</v>
      </c>
      <c r="BH1040" t="s">
        <v>84</v>
      </c>
      <c r="BI1040" t="s">
        <v>85</v>
      </c>
    </row>
    <row r="1041" spans="1:61" x14ac:dyDescent="0.3">
      <c r="A1041" t="str">
        <f>"202115B0100"</f>
        <v>202115B0100</v>
      </c>
      <c r="B1041" t="s">
        <v>2174</v>
      </c>
      <c r="C1041">
        <v>20</v>
      </c>
      <c r="D1041" t="s">
        <v>79</v>
      </c>
      <c r="E1041">
        <v>5</v>
      </c>
      <c r="F1041" t="s">
        <v>1759</v>
      </c>
      <c r="G1041">
        <v>2115</v>
      </c>
      <c r="H1041">
        <v>1</v>
      </c>
      <c r="I1041" t="s">
        <v>81</v>
      </c>
      <c r="J1041">
        <v>0</v>
      </c>
      <c r="K1041">
        <v>2</v>
      </c>
      <c r="L1041">
        <v>2</v>
      </c>
      <c r="M1041">
        <v>177</v>
      </c>
      <c r="N1041">
        <v>429</v>
      </c>
      <c r="O1041">
        <v>2</v>
      </c>
      <c r="P1041">
        <v>429</v>
      </c>
      <c r="Q1041">
        <v>14</v>
      </c>
      <c r="R1041">
        <v>46</v>
      </c>
      <c r="S1041">
        <v>5</v>
      </c>
      <c r="T1041">
        <v>3</v>
      </c>
      <c r="U1041">
        <v>16</v>
      </c>
      <c r="V1041">
        <v>1</v>
      </c>
      <c r="W1041">
        <v>14</v>
      </c>
      <c r="X1041">
        <v>6</v>
      </c>
      <c r="Y1041">
        <v>128</v>
      </c>
      <c r="Z1041">
        <v>6</v>
      </c>
      <c r="AA1041">
        <v>145</v>
      </c>
      <c r="AB1041">
        <v>18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3</v>
      </c>
      <c r="AL1041">
        <v>0</v>
      </c>
      <c r="AM1041">
        <v>1</v>
      </c>
      <c r="AN1041">
        <v>0</v>
      </c>
      <c r="AT1041">
        <v>0</v>
      </c>
      <c r="AU1041">
        <v>23</v>
      </c>
      <c r="AV1041">
        <v>429</v>
      </c>
      <c r="AW1041">
        <v>429</v>
      </c>
      <c r="AX1041">
        <v>584</v>
      </c>
      <c r="BA1041">
        <v>1</v>
      </c>
      <c r="BC1041" t="s">
        <v>2175</v>
      </c>
      <c r="BD1041" s="4">
        <v>43283.215277777781</v>
      </c>
      <c r="BE1041" s="4">
        <v>43283.240358796298</v>
      </c>
      <c r="BF1041" s="4">
        <v>43283.240358796298</v>
      </c>
      <c r="BG1041" t="s">
        <v>83</v>
      </c>
      <c r="BH1041" t="s">
        <v>84</v>
      </c>
      <c r="BI1041" t="s">
        <v>85</v>
      </c>
    </row>
    <row r="1042" spans="1:61" x14ac:dyDescent="0.3">
      <c r="A1042" t="str">
        <f>"202116B0100"</f>
        <v>202116B0100</v>
      </c>
      <c r="B1042" t="s">
        <v>2176</v>
      </c>
      <c r="C1042">
        <v>20</v>
      </c>
      <c r="D1042" t="s">
        <v>79</v>
      </c>
      <c r="E1042">
        <v>5</v>
      </c>
      <c r="F1042" t="s">
        <v>1759</v>
      </c>
      <c r="G1042">
        <v>2116</v>
      </c>
      <c r="H1042">
        <v>1</v>
      </c>
      <c r="I1042" t="s">
        <v>81</v>
      </c>
      <c r="J1042">
        <v>0</v>
      </c>
      <c r="K1042">
        <v>2</v>
      </c>
      <c r="L1042">
        <v>2</v>
      </c>
      <c r="M1042">
        <v>129</v>
      </c>
      <c r="N1042">
        <v>437</v>
      </c>
      <c r="O1042">
        <v>5</v>
      </c>
      <c r="P1042">
        <v>437</v>
      </c>
      <c r="Q1042">
        <v>9</v>
      </c>
      <c r="R1042">
        <v>23</v>
      </c>
      <c r="S1042">
        <v>80</v>
      </c>
      <c r="T1042">
        <v>10</v>
      </c>
      <c r="U1042">
        <v>16</v>
      </c>
      <c r="V1042">
        <v>4</v>
      </c>
      <c r="W1042">
        <v>1</v>
      </c>
      <c r="X1042">
        <v>1</v>
      </c>
      <c r="Y1042">
        <v>121</v>
      </c>
      <c r="Z1042">
        <v>6</v>
      </c>
      <c r="AA1042">
        <v>136</v>
      </c>
      <c r="AB1042">
        <v>6</v>
      </c>
      <c r="AC1042">
        <v>0</v>
      </c>
      <c r="AD1042">
        <v>1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4</v>
      </c>
      <c r="AL1042">
        <v>0</v>
      </c>
      <c r="AM1042">
        <v>0</v>
      </c>
      <c r="AN1042">
        <v>1</v>
      </c>
      <c r="AT1042">
        <v>0</v>
      </c>
      <c r="AU1042">
        <v>18</v>
      </c>
      <c r="AV1042">
        <v>437</v>
      </c>
      <c r="AW1042">
        <v>437</v>
      </c>
      <c r="AX1042">
        <v>544</v>
      </c>
      <c r="BA1042">
        <v>1</v>
      </c>
      <c r="BC1042" t="s">
        <v>2177</v>
      </c>
      <c r="BD1042" s="4">
        <v>43283.217361111114</v>
      </c>
      <c r="BE1042" s="4">
        <v>43283.242847222224</v>
      </c>
      <c r="BF1042" s="4">
        <v>43283.242847222224</v>
      </c>
      <c r="BG1042" t="s">
        <v>83</v>
      </c>
      <c r="BH1042" t="s">
        <v>84</v>
      </c>
      <c r="BI1042" t="s">
        <v>85</v>
      </c>
    </row>
    <row r="1043" spans="1:61" x14ac:dyDescent="0.3">
      <c r="A1043" t="str">
        <f>"202116C0100"</f>
        <v>202116C0100</v>
      </c>
      <c r="B1043" t="s">
        <v>2178</v>
      </c>
      <c r="C1043">
        <v>20</v>
      </c>
      <c r="D1043" t="s">
        <v>79</v>
      </c>
      <c r="E1043">
        <v>5</v>
      </c>
      <c r="F1043" t="s">
        <v>1759</v>
      </c>
      <c r="G1043">
        <v>2116</v>
      </c>
      <c r="H1043">
        <v>1</v>
      </c>
      <c r="I1043" t="s">
        <v>89</v>
      </c>
      <c r="J1043">
        <v>0</v>
      </c>
      <c r="K1043">
        <v>2</v>
      </c>
      <c r="L1043">
        <v>2</v>
      </c>
      <c r="M1043">
        <v>142</v>
      </c>
      <c r="N1043">
        <v>423</v>
      </c>
      <c r="O1043">
        <v>3</v>
      </c>
      <c r="P1043">
        <v>423</v>
      </c>
      <c r="Q1043">
        <v>15</v>
      </c>
      <c r="R1043">
        <v>30</v>
      </c>
      <c r="S1043">
        <v>55</v>
      </c>
      <c r="T1043">
        <v>4</v>
      </c>
      <c r="U1043">
        <v>17</v>
      </c>
      <c r="V1043">
        <v>2</v>
      </c>
      <c r="W1043">
        <v>2</v>
      </c>
      <c r="X1043">
        <v>4</v>
      </c>
      <c r="Y1043">
        <v>134</v>
      </c>
      <c r="Z1043">
        <v>7</v>
      </c>
      <c r="AA1043">
        <v>121</v>
      </c>
      <c r="AB1043">
        <v>4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2</v>
      </c>
      <c r="AT1043">
        <v>0</v>
      </c>
      <c r="AU1043">
        <v>26</v>
      </c>
      <c r="AV1043">
        <v>423</v>
      </c>
      <c r="AW1043">
        <v>423</v>
      </c>
      <c r="AX1043">
        <v>543</v>
      </c>
      <c r="BA1043">
        <v>1</v>
      </c>
      <c r="BC1043" t="s">
        <v>2179</v>
      </c>
      <c r="BD1043" s="4">
        <v>43283.22152777778</v>
      </c>
      <c r="BE1043" s="4">
        <v>43283.24496527778</v>
      </c>
      <c r="BF1043" s="4">
        <v>43283.24496527778</v>
      </c>
      <c r="BG1043" t="s">
        <v>83</v>
      </c>
      <c r="BH1043" t="s">
        <v>84</v>
      </c>
      <c r="BI1043" t="s">
        <v>85</v>
      </c>
    </row>
    <row r="1044" spans="1:61" x14ac:dyDescent="0.3">
      <c r="A1044" t="str">
        <f>"202125B0100"</f>
        <v>202125B0100</v>
      </c>
      <c r="B1044" t="s">
        <v>2180</v>
      </c>
      <c r="C1044">
        <v>20</v>
      </c>
      <c r="D1044" t="s">
        <v>79</v>
      </c>
      <c r="E1044">
        <v>5</v>
      </c>
      <c r="F1044" t="s">
        <v>1759</v>
      </c>
      <c r="G1044">
        <v>2125</v>
      </c>
      <c r="H1044">
        <v>1</v>
      </c>
      <c r="I1044" t="s">
        <v>81</v>
      </c>
      <c r="J1044">
        <v>0</v>
      </c>
      <c r="K1044">
        <v>2</v>
      </c>
      <c r="L1044">
        <v>2</v>
      </c>
      <c r="M1044">
        <v>309</v>
      </c>
      <c r="N1044">
        <v>367</v>
      </c>
      <c r="O1044">
        <v>13</v>
      </c>
      <c r="P1044">
        <v>362</v>
      </c>
      <c r="Q1044">
        <v>23</v>
      </c>
      <c r="R1044">
        <v>78</v>
      </c>
      <c r="S1044">
        <v>20</v>
      </c>
      <c r="T1044">
        <v>9</v>
      </c>
      <c r="U1044">
        <v>50</v>
      </c>
      <c r="V1044">
        <v>8</v>
      </c>
      <c r="W1044">
        <v>3</v>
      </c>
      <c r="X1044">
        <v>6</v>
      </c>
      <c r="Y1044">
        <v>130</v>
      </c>
      <c r="Z1044">
        <v>9</v>
      </c>
      <c r="AA1044">
        <v>1</v>
      </c>
      <c r="AB1044">
        <v>2</v>
      </c>
      <c r="AC1044">
        <v>3</v>
      </c>
      <c r="AD1044">
        <v>0</v>
      </c>
      <c r="AE1044">
        <v>0</v>
      </c>
      <c r="AF1044">
        <v>0</v>
      </c>
      <c r="AG1044">
        <v>0</v>
      </c>
      <c r="AH1044">
        <v>3</v>
      </c>
      <c r="AI1044">
        <v>0</v>
      </c>
      <c r="AJ1044">
        <v>0</v>
      </c>
      <c r="AK1044">
        <v>4</v>
      </c>
      <c r="AL1044">
        <v>4</v>
      </c>
      <c r="AM1044">
        <v>0</v>
      </c>
      <c r="AN1044">
        <v>1</v>
      </c>
      <c r="AT1044">
        <v>0</v>
      </c>
      <c r="AU1044">
        <v>8</v>
      </c>
      <c r="AV1044">
        <v>362</v>
      </c>
      <c r="AW1044">
        <v>362</v>
      </c>
      <c r="AX1044">
        <v>654</v>
      </c>
      <c r="BA1044">
        <v>1</v>
      </c>
      <c r="BC1044" t="s">
        <v>2181</v>
      </c>
      <c r="BD1044" s="4">
        <v>43283.131944444445</v>
      </c>
      <c r="BE1044" s="4">
        <v>43283.140092592592</v>
      </c>
      <c r="BF1044" s="4">
        <v>43283.140092592592</v>
      </c>
      <c r="BG1044" t="s">
        <v>83</v>
      </c>
      <c r="BH1044" t="s">
        <v>84</v>
      </c>
      <c r="BI1044" t="s">
        <v>85</v>
      </c>
    </row>
    <row r="1045" spans="1:61" x14ac:dyDescent="0.3">
      <c r="A1045" t="str">
        <f>"202126B0100"</f>
        <v>202126B0100</v>
      </c>
      <c r="B1045" t="s">
        <v>2182</v>
      </c>
      <c r="C1045">
        <v>20</v>
      </c>
      <c r="D1045" t="s">
        <v>79</v>
      </c>
      <c r="E1045">
        <v>5</v>
      </c>
      <c r="F1045" t="s">
        <v>1759</v>
      </c>
      <c r="G1045">
        <v>2126</v>
      </c>
      <c r="H1045">
        <v>1</v>
      </c>
      <c r="I1045" t="s">
        <v>81</v>
      </c>
      <c r="J1045">
        <v>0</v>
      </c>
      <c r="K1045">
        <v>2</v>
      </c>
      <c r="L1045">
        <v>2</v>
      </c>
      <c r="M1045" t="s">
        <v>315</v>
      </c>
      <c r="N1045">
        <v>424</v>
      </c>
      <c r="O1045">
        <v>232</v>
      </c>
      <c r="P1045">
        <v>232</v>
      </c>
      <c r="Q1045">
        <v>12</v>
      </c>
      <c r="R1045">
        <v>58</v>
      </c>
      <c r="S1045">
        <v>13</v>
      </c>
      <c r="T1045">
        <v>6</v>
      </c>
      <c r="U1045">
        <v>47</v>
      </c>
      <c r="V1045">
        <v>3</v>
      </c>
      <c r="W1045">
        <v>6</v>
      </c>
      <c r="X1045">
        <v>3</v>
      </c>
      <c r="Y1045">
        <v>67</v>
      </c>
      <c r="Z1045">
        <v>1</v>
      </c>
      <c r="AA1045">
        <v>0</v>
      </c>
      <c r="AB1045">
        <v>2</v>
      </c>
      <c r="AC1045">
        <v>0</v>
      </c>
      <c r="AD1045">
        <v>0</v>
      </c>
      <c r="AE1045">
        <v>0</v>
      </c>
      <c r="AF1045">
        <v>0</v>
      </c>
      <c r="AG1045">
        <v>3</v>
      </c>
      <c r="AH1045">
        <v>0</v>
      </c>
      <c r="AI1045">
        <v>0</v>
      </c>
      <c r="AJ1045">
        <v>0</v>
      </c>
      <c r="AK1045">
        <v>2</v>
      </c>
      <c r="AL1045">
        <v>2</v>
      </c>
      <c r="AM1045">
        <v>0</v>
      </c>
      <c r="AN1045">
        <v>0</v>
      </c>
      <c r="AT1045" t="s">
        <v>100</v>
      </c>
      <c r="AU1045">
        <v>5</v>
      </c>
      <c r="AV1045">
        <v>232</v>
      </c>
      <c r="AW1045">
        <v>230</v>
      </c>
      <c r="AX1045">
        <v>386</v>
      </c>
      <c r="AZ1045" t="s">
        <v>101</v>
      </c>
      <c r="BA1045">
        <v>1</v>
      </c>
      <c r="BC1045" t="s">
        <v>2183</v>
      </c>
      <c r="BD1045" s="4">
        <v>43283.132638888892</v>
      </c>
      <c r="BE1045" s="4">
        <v>43283.136319444442</v>
      </c>
      <c r="BF1045" s="4">
        <v>43283.136319444442</v>
      </c>
      <c r="BG1045" t="s">
        <v>83</v>
      </c>
      <c r="BH1045" t="s">
        <v>84</v>
      </c>
      <c r="BI1045" t="s">
        <v>85</v>
      </c>
    </row>
    <row r="1046" spans="1:61" x14ac:dyDescent="0.3">
      <c r="A1046" t="str">
        <f>"202126C0100"</f>
        <v>202126C0100</v>
      </c>
      <c r="B1046" t="s">
        <v>2184</v>
      </c>
      <c r="C1046">
        <v>20</v>
      </c>
      <c r="D1046" t="s">
        <v>79</v>
      </c>
      <c r="E1046">
        <v>5</v>
      </c>
      <c r="F1046" t="s">
        <v>1759</v>
      </c>
      <c r="G1046">
        <v>2126</v>
      </c>
      <c r="H1046">
        <v>1</v>
      </c>
      <c r="I1046" t="s">
        <v>89</v>
      </c>
      <c r="J1046">
        <v>0</v>
      </c>
      <c r="K1046">
        <v>2</v>
      </c>
      <c r="L1046">
        <v>2</v>
      </c>
      <c r="M1046">
        <v>197</v>
      </c>
      <c r="N1046">
        <v>210</v>
      </c>
      <c r="O1046">
        <v>2</v>
      </c>
      <c r="P1046">
        <v>210</v>
      </c>
      <c r="Q1046">
        <v>11</v>
      </c>
      <c r="R1046">
        <v>36</v>
      </c>
      <c r="S1046">
        <v>12</v>
      </c>
      <c r="T1046">
        <v>5</v>
      </c>
      <c r="U1046">
        <v>33</v>
      </c>
      <c r="V1046">
        <v>4</v>
      </c>
      <c r="W1046">
        <v>9</v>
      </c>
      <c r="X1046">
        <v>6</v>
      </c>
      <c r="Y1046">
        <v>73</v>
      </c>
      <c r="Z1046">
        <v>2</v>
      </c>
      <c r="AA1046">
        <v>0</v>
      </c>
      <c r="AB1046">
        <v>2</v>
      </c>
      <c r="AC1046">
        <v>1</v>
      </c>
      <c r="AD1046">
        <v>2</v>
      </c>
      <c r="AE1046">
        <v>0</v>
      </c>
      <c r="AF1046">
        <v>0</v>
      </c>
      <c r="AG1046">
        <v>2</v>
      </c>
      <c r="AH1046">
        <v>2</v>
      </c>
      <c r="AI1046">
        <v>0</v>
      </c>
      <c r="AJ1046">
        <v>0</v>
      </c>
      <c r="AK1046">
        <v>2</v>
      </c>
      <c r="AL1046">
        <v>2</v>
      </c>
      <c r="AM1046">
        <v>0</v>
      </c>
      <c r="AN1046">
        <v>0</v>
      </c>
      <c r="AT1046">
        <v>0</v>
      </c>
      <c r="AU1046">
        <v>6</v>
      </c>
      <c r="AV1046">
        <v>210</v>
      </c>
      <c r="AW1046">
        <v>210</v>
      </c>
      <c r="AX1046">
        <v>385</v>
      </c>
      <c r="BA1046">
        <v>1</v>
      </c>
      <c r="BC1046" t="s">
        <v>2185</v>
      </c>
      <c r="BD1046" s="4">
        <v>43283.131944444445</v>
      </c>
      <c r="BE1046" s="4">
        <v>43283.136400462965</v>
      </c>
      <c r="BF1046" s="4">
        <v>43283.136400462965</v>
      </c>
      <c r="BG1046" t="s">
        <v>83</v>
      </c>
      <c r="BH1046" t="s">
        <v>84</v>
      </c>
      <c r="BI1046" t="s">
        <v>85</v>
      </c>
    </row>
    <row r="1047" spans="1:61" x14ac:dyDescent="0.3">
      <c r="A1047" t="str">
        <f>"202127B0100"</f>
        <v>202127B0100</v>
      </c>
      <c r="B1047" t="s">
        <v>2186</v>
      </c>
      <c r="C1047">
        <v>20</v>
      </c>
      <c r="D1047" t="s">
        <v>79</v>
      </c>
      <c r="E1047">
        <v>5</v>
      </c>
      <c r="F1047" t="s">
        <v>1759</v>
      </c>
      <c r="G1047">
        <v>2127</v>
      </c>
      <c r="H1047">
        <v>1</v>
      </c>
      <c r="I1047" t="s">
        <v>81</v>
      </c>
      <c r="J1047">
        <v>0</v>
      </c>
      <c r="K1047">
        <v>2</v>
      </c>
      <c r="L1047">
        <v>2</v>
      </c>
      <c r="M1047">
        <v>50</v>
      </c>
      <c r="N1047">
        <v>60</v>
      </c>
      <c r="O1047">
        <v>1</v>
      </c>
      <c r="P1047">
        <v>60</v>
      </c>
      <c r="Q1047">
        <v>5</v>
      </c>
      <c r="R1047">
        <v>13</v>
      </c>
      <c r="S1047">
        <v>21</v>
      </c>
      <c r="T1047">
        <v>2</v>
      </c>
      <c r="U1047">
        <v>5</v>
      </c>
      <c r="V1047">
        <v>2</v>
      </c>
      <c r="W1047" t="s">
        <v>100</v>
      </c>
      <c r="X1047" t="s">
        <v>100</v>
      </c>
      <c r="Y1047">
        <v>9</v>
      </c>
      <c r="Z1047" t="s">
        <v>100</v>
      </c>
      <c r="AA1047">
        <v>1</v>
      </c>
      <c r="AB1047">
        <v>2</v>
      </c>
      <c r="AC1047" t="s">
        <v>100</v>
      </c>
      <c r="AD1047" t="s">
        <v>100</v>
      </c>
      <c r="AE1047" t="s">
        <v>100</v>
      </c>
      <c r="AF1047" t="s">
        <v>100</v>
      </c>
      <c r="AG1047" t="s">
        <v>100</v>
      </c>
      <c r="AH1047" t="s">
        <v>100</v>
      </c>
      <c r="AI1047" t="s">
        <v>100</v>
      </c>
      <c r="AJ1047" t="s">
        <v>100</v>
      </c>
      <c r="AK1047" t="s">
        <v>100</v>
      </c>
      <c r="AL1047" t="s">
        <v>100</v>
      </c>
      <c r="AM1047" t="s">
        <v>100</v>
      </c>
      <c r="AN1047" t="s">
        <v>100</v>
      </c>
      <c r="AT1047" t="s">
        <v>100</v>
      </c>
      <c r="AU1047" t="s">
        <v>100</v>
      </c>
      <c r="AV1047">
        <v>60</v>
      </c>
      <c r="AW1047">
        <v>60</v>
      </c>
      <c r="AX1047">
        <v>88</v>
      </c>
      <c r="AZ1047" t="s">
        <v>101</v>
      </c>
      <c r="BA1047">
        <v>1</v>
      </c>
      <c r="BC1047" t="s">
        <v>2187</v>
      </c>
      <c r="BD1047" s="4">
        <v>43283.426388888889</v>
      </c>
      <c r="BE1047" s="4">
        <v>43283.432835648149</v>
      </c>
      <c r="BF1047" s="4">
        <v>43283.432835648149</v>
      </c>
      <c r="BG1047" t="s">
        <v>83</v>
      </c>
      <c r="BH1047" t="s">
        <v>84</v>
      </c>
      <c r="BI1047" t="s">
        <v>85</v>
      </c>
    </row>
    <row r="1048" spans="1:61" x14ac:dyDescent="0.3">
      <c r="A1048" t="str">
        <f>"202135B0100"</f>
        <v>202135B0100</v>
      </c>
      <c r="B1048" t="s">
        <v>2188</v>
      </c>
      <c r="C1048">
        <v>20</v>
      </c>
      <c r="D1048" t="s">
        <v>79</v>
      </c>
      <c r="E1048">
        <v>5</v>
      </c>
      <c r="F1048" t="s">
        <v>1759</v>
      </c>
      <c r="G1048">
        <v>2135</v>
      </c>
      <c r="H1048">
        <v>1</v>
      </c>
      <c r="I1048" t="s">
        <v>81</v>
      </c>
      <c r="J1048">
        <v>0</v>
      </c>
      <c r="K1048">
        <v>2</v>
      </c>
      <c r="L1048">
        <v>2</v>
      </c>
      <c r="M1048">
        <v>151</v>
      </c>
      <c r="N1048">
        <v>0</v>
      </c>
      <c r="O1048">
        <v>0</v>
      </c>
      <c r="P1048">
        <v>248</v>
      </c>
      <c r="Q1048">
        <v>16</v>
      </c>
      <c r="R1048">
        <v>27</v>
      </c>
      <c r="S1048">
        <v>42</v>
      </c>
      <c r="T1048">
        <v>4</v>
      </c>
      <c r="U1048">
        <v>27</v>
      </c>
      <c r="V1048">
        <v>9</v>
      </c>
      <c r="W1048">
        <v>26</v>
      </c>
      <c r="X1048">
        <v>4</v>
      </c>
      <c r="Y1048">
        <v>59</v>
      </c>
      <c r="Z1048">
        <v>4</v>
      </c>
      <c r="AA1048">
        <v>0</v>
      </c>
      <c r="AB1048">
        <v>4</v>
      </c>
      <c r="AC1048">
        <v>0</v>
      </c>
      <c r="AD1048">
        <v>1</v>
      </c>
      <c r="AE1048">
        <v>0</v>
      </c>
      <c r="AF1048">
        <v>1</v>
      </c>
      <c r="AG1048">
        <v>1</v>
      </c>
      <c r="AH1048">
        <v>1</v>
      </c>
      <c r="AI1048">
        <v>0</v>
      </c>
      <c r="AJ1048">
        <v>0</v>
      </c>
      <c r="AK1048">
        <v>0</v>
      </c>
      <c r="AL1048">
        <v>1</v>
      </c>
      <c r="AM1048">
        <v>0</v>
      </c>
      <c r="AN1048">
        <v>1</v>
      </c>
      <c r="AT1048">
        <v>0</v>
      </c>
      <c r="AU1048">
        <v>20</v>
      </c>
      <c r="AV1048">
        <v>248</v>
      </c>
      <c r="AW1048">
        <v>248</v>
      </c>
      <c r="AX1048">
        <v>377</v>
      </c>
      <c r="BA1048">
        <v>1</v>
      </c>
      <c r="BC1048" t="s">
        <v>2189</v>
      </c>
      <c r="BD1048" s="4">
        <v>43283.039583333331</v>
      </c>
      <c r="BE1048" s="4">
        <v>43283.048773148148</v>
      </c>
      <c r="BF1048" s="4">
        <v>43283.048773148148</v>
      </c>
      <c r="BG1048" t="s">
        <v>83</v>
      </c>
      <c r="BH1048" t="s">
        <v>84</v>
      </c>
      <c r="BI1048" t="s">
        <v>85</v>
      </c>
    </row>
    <row r="1049" spans="1:61" x14ac:dyDescent="0.3">
      <c r="A1049" t="str">
        <f>"202135C0100"</f>
        <v>202135C0100</v>
      </c>
      <c r="B1049" t="s">
        <v>2190</v>
      </c>
      <c r="C1049">
        <v>20</v>
      </c>
      <c r="D1049" t="s">
        <v>79</v>
      </c>
      <c r="E1049">
        <v>5</v>
      </c>
      <c r="F1049" t="s">
        <v>1759</v>
      </c>
      <c r="G1049">
        <v>2135</v>
      </c>
      <c r="H1049">
        <v>1</v>
      </c>
      <c r="I1049" t="s">
        <v>89</v>
      </c>
      <c r="J1049">
        <v>0</v>
      </c>
      <c r="K1049">
        <v>2</v>
      </c>
      <c r="L1049">
        <v>2</v>
      </c>
      <c r="M1049">
        <v>175</v>
      </c>
      <c r="N1049">
        <v>224</v>
      </c>
      <c r="O1049">
        <v>0</v>
      </c>
      <c r="P1049">
        <v>224</v>
      </c>
      <c r="Q1049">
        <v>15</v>
      </c>
      <c r="R1049">
        <v>25</v>
      </c>
      <c r="S1049">
        <v>33</v>
      </c>
      <c r="T1049">
        <v>5</v>
      </c>
      <c r="U1049">
        <v>32</v>
      </c>
      <c r="V1049">
        <v>7</v>
      </c>
      <c r="W1049">
        <v>29</v>
      </c>
      <c r="X1049">
        <v>3</v>
      </c>
      <c r="Y1049">
        <v>43</v>
      </c>
      <c r="Z1049">
        <v>3</v>
      </c>
      <c r="AA1049">
        <v>1</v>
      </c>
      <c r="AB1049">
        <v>1</v>
      </c>
      <c r="AC1049">
        <v>0</v>
      </c>
      <c r="AD1049" t="s">
        <v>100</v>
      </c>
      <c r="AE1049">
        <v>1</v>
      </c>
      <c r="AF1049" t="s">
        <v>100</v>
      </c>
      <c r="AG1049" t="s">
        <v>100</v>
      </c>
      <c r="AH1049" t="s">
        <v>100</v>
      </c>
      <c r="AI1049" t="s">
        <v>100</v>
      </c>
      <c r="AJ1049" t="s">
        <v>100</v>
      </c>
      <c r="AK1049">
        <v>1</v>
      </c>
      <c r="AL1049">
        <v>1</v>
      </c>
      <c r="AM1049">
        <v>2</v>
      </c>
      <c r="AN1049" t="s">
        <v>100</v>
      </c>
      <c r="AT1049">
        <v>17</v>
      </c>
      <c r="AU1049">
        <v>17</v>
      </c>
      <c r="AV1049">
        <v>224</v>
      </c>
      <c r="AW1049">
        <v>236</v>
      </c>
      <c r="AX1049">
        <v>377</v>
      </c>
      <c r="AZ1049" t="s">
        <v>101</v>
      </c>
      <c r="BA1049">
        <v>1</v>
      </c>
      <c r="BC1049" t="s">
        <v>2191</v>
      </c>
      <c r="BD1049" s="4">
        <v>43283.040277777778</v>
      </c>
      <c r="BE1049" s="4">
        <v>43283.050833333335</v>
      </c>
      <c r="BF1049" s="4">
        <v>43283.050833333335</v>
      </c>
      <c r="BG1049" t="s">
        <v>83</v>
      </c>
      <c r="BH1049" t="s">
        <v>84</v>
      </c>
      <c r="BI1049" t="s">
        <v>85</v>
      </c>
    </row>
    <row r="1050" spans="1:61" x14ac:dyDescent="0.3">
      <c r="A1050" t="str">
        <f>"202136B0100"</f>
        <v>202136B0100</v>
      </c>
      <c r="B1050" t="s">
        <v>2192</v>
      </c>
      <c r="C1050">
        <v>20</v>
      </c>
      <c r="D1050" t="s">
        <v>79</v>
      </c>
      <c r="E1050">
        <v>5</v>
      </c>
      <c r="F1050" t="s">
        <v>1759</v>
      </c>
      <c r="G1050">
        <v>2136</v>
      </c>
      <c r="H1050">
        <v>1</v>
      </c>
      <c r="I1050" t="s">
        <v>81</v>
      </c>
      <c r="J1050">
        <v>0</v>
      </c>
      <c r="K1050">
        <v>2</v>
      </c>
      <c r="L1050">
        <v>2</v>
      </c>
      <c r="M1050">
        <v>130</v>
      </c>
      <c r="N1050">
        <v>128</v>
      </c>
      <c r="O1050">
        <v>9</v>
      </c>
      <c r="P1050">
        <v>0</v>
      </c>
      <c r="Q1050">
        <v>6</v>
      </c>
      <c r="R1050">
        <v>25</v>
      </c>
      <c r="S1050">
        <v>15</v>
      </c>
      <c r="T1050">
        <v>1</v>
      </c>
      <c r="U1050">
        <v>20</v>
      </c>
      <c r="V1050">
        <v>2</v>
      </c>
      <c r="W1050">
        <v>17</v>
      </c>
      <c r="X1050">
        <v>4</v>
      </c>
      <c r="Y1050">
        <v>19</v>
      </c>
      <c r="Z1050">
        <v>1</v>
      </c>
      <c r="AA1050">
        <v>2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2</v>
      </c>
      <c r="AH1050">
        <v>2</v>
      </c>
      <c r="AI1050">
        <v>0</v>
      </c>
      <c r="AJ1050">
        <v>0</v>
      </c>
      <c r="AK1050">
        <v>1</v>
      </c>
      <c r="AL1050">
        <v>2</v>
      </c>
      <c r="AM1050">
        <v>0</v>
      </c>
      <c r="AN1050">
        <v>0</v>
      </c>
      <c r="AT1050">
        <v>0</v>
      </c>
      <c r="AU1050">
        <v>9</v>
      </c>
      <c r="AV1050">
        <v>128</v>
      </c>
      <c r="AW1050">
        <v>128</v>
      </c>
      <c r="AX1050">
        <v>236</v>
      </c>
      <c r="BA1050">
        <v>1</v>
      </c>
      <c r="BC1050" t="s">
        <v>2193</v>
      </c>
      <c r="BD1050" s="4">
        <v>43283.041666666664</v>
      </c>
      <c r="BE1050" s="4">
        <v>43283.046585648146</v>
      </c>
      <c r="BF1050" s="4">
        <v>43283.046585648146</v>
      </c>
      <c r="BG1050" t="s">
        <v>83</v>
      </c>
      <c r="BH1050" t="s">
        <v>84</v>
      </c>
      <c r="BI1050" t="s">
        <v>85</v>
      </c>
    </row>
    <row r="1051" spans="1:61" x14ac:dyDescent="0.3">
      <c r="A1051" t="str">
        <f>"202136E0100"</f>
        <v>202136E0100</v>
      </c>
      <c r="B1051" s="2" t="s">
        <v>2194</v>
      </c>
      <c r="C1051">
        <v>20</v>
      </c>
      <c r="D1051" t="s">
        <v>79</v>
      </c>
      <c r="E1051">
        <v>5</v>
      </c>
      <c r="F1051" t="s">
        <v>1759</v>
      </c>
      <c r="G1051">
        <v>2136</v>
      </c>
      <c r="H1051">
        <v>1</v>
      </c>
      <c r="I1051" t="s">
        <v>145</v>
      </c>
      <c r="J1051">
        <v>0</v>
      </c>
      <c r="K1051">
        <v>2</v>
      </c>
      <c r="L1051">
        <v>2</v>
      </c>
      <c r="M1051">
        <v>128</v>
      </c>
      <c r="N1051">
        <v>131</v>
      </c>
      <c r="O1051" t="s">
        <v>100</v>
      </c>
      <c r="P1051">
        <v>131</v>
      </c>
      <c r="Q1051">
        <v>1</v>
      </c>
      <c r="R1051">
        <v>21</v>
      </c>
      <c r="S1051">
        <v>15</v>
      </c>
      <c r="T1051">
        <v>1</v>
      </c>
      <c r="U1051">
        <v>15</v>
      </c>
      <c r="V1051">
        <v>4</v>
      </c>
      <c r="W1051">
        <v>15</v>
      </c>
      <c r="X1051">
        <v>37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1</v>
      </c>
      <c r="AI1051">
        <v>0</v>
      </c>
      <c r="AJ1051">
        <v>0</v>
      </c>
      <c r="AK1051">
        <v>0</v>
      </c>
      <c r="AL1051">
        <v>1</v>
      </c>
      <c r="AM1051">
        <v>1</v>
      </c>
      <c r="AN1051">
        <v>2</v>
      </c>
      <c r="AT1051">
        <v>0</v>
      </c>
      <c r="AU1051">
        <v>17</v>
      </c>
      <c r="AV1051">
        <v>131</v>
      </c>
      <c r="AW1051">
        <v>131</v>
      </c>
      <c r="AX1051">
        <v>195</v>
      </c>
      <c r="BA1051">
        <v>1</v>
      </c>
      <c r="BC1051" t="s">
        <v>2195</v>
      </c>
      <c r="BD1051" s="4">
        <v>43283.038888888892</v>
      </c>
      <c r="BE1051" s="4">
        <v>43283.045115740744</v>
      </c>
      <c r="BF1051" s="4">
        <v>43283.045115740744</v>
      </c>
      <c r="BG1051" t="s">
        <v>83</v>
      </c>
      <c r="BH1051" t="s">
        <v>84</v>
      </c>
      <c r="BI1051" t="s">
        <v>85</v>
      </c>
    </row>
    <row r="1052" spans="1:61" x14ac:dyDescent="0.3">
      <c r="A1052" t="str">
        <f>"202137B0100"</f>
        <v>202137B0100</v>
      </c>
      <c r="B1052" t="s">
        <v>2196</v>
      </c>
      <c r="C1052">
        <v>20</v>
      </c>
      <c r="D1052" t="s">
        <v>79</v>
      </c>
      <c r="E1052">
        <v>5</v>
      </c>
      <c r="F1052" t="s">
        <v>1759</v>
      </c>
      <c r="G1052">
        <v>2137</v>
      </c>
      <c r="H1052">
        <v>1</v>
      </c>
      <c r="I1052" t="s">
        <v>81</v>
      </c>
      <c r="J1052">
        <v>0</v>
      </c>
      <c r="K1052">
        <v>2</v>
      </c>
      <c r="L1052">
        <v>2</v>
      </c>
      <c r="M1052">
        <v>221</v>
      </c>
      <c r="N1052">
        <v>141</v>
      </c>
      <c r="O1052">
        <v>0</v>
      </c>
      <c r="P1052">
        <v>141</v>
      </c>
      <c r="Q1052">
        <v>11</v>
      </c>
      <c r="R1052">
        <v>22</v>
      </c>
      <c r="S1052">
        <v>21</v>
      </c>
      <c r="T1052">
        <v>3</v>
      </c>
      <c r="U1052">
        <v>24</v>
      </c>
      <c r="V1052">
        <v>4</v>
      </c>
      <c r="W1052">
        <v>4</v>
      </c>
      <c r="X1052">
        <v>2</v>
      </c>
      <c r="Y1052">
        <v>31</v>
      </c>
      <c r="Z1052">
        <v>4</v>
      </c>
      <c r="AA1052">
        <v>0</v>
      </c>
      <c r="AB1052">
        <v>3</v>
      </c>
      <c r="AC1052">
        <v>0</v>
      </c>
      <c r="AD1052">
        <v>0</v>
      </c>
      <c r="AE1052">
        <v>1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1</v>
      </c>
      <c r="AL1052">
        <v>0</v>
      </c>
      <c r="AM1052">
        <v>1</v>
      </c>
      <c r="AN1052">
        <v>0</v>
      </c>
      <c r="AT1052">
        <v>0</v>
      </c>
      <c r="AU1052">
        <v>9</v>
      </c>
      <c r="AV1052">
        <v>141</v>
      </c>
      <c r="AW1052">
        <v>141</v>
      </c>
      <c r="AX1052">
        <v>340</v>
      </c>
      <c r="BA1052">
        <v>1</v>
      </c>
      <c r="BC1052" t="s">
        <v>2197</v>
      </c>
      <c r="BD1052" s="4">
        <v>43283.059027777781</v>
      </c>
      <c r="BE1052" s="4">
        <v>43283.063356481478</v>
      </c>
      <c r="BF1052" s="4">
        <v>43283.063356481478</v>
      </c>
      <c r="BG1052" t="s">
        <v>83</v>
      </c>
      <c r="BH1052" t="s">
        <v>84</v>
      </c>
      <c r="BI1052" t="s">
        <v>85</v>
      </c>
    </row>
    <row r="1053" spans="1:61" x14ac:dyDescent="0.3">
      <c r="A1053" t="str">
        <f>"202137E0100"</f>
        <v>202137E0100</v>
      </c>
      <c r="B1053" s="2" t="s">
        <v>2198</v>
      </c>
      <c r="C1053">
        <v>20</v>
      </c>
      <c r="D1053" t="s">
        <v>79</v>
      </c>
      <c r="E1053">
        <v>5</v>
      </c>
      <c r="F1053" t="s">
        <v>1759</v>
      </c>
      <c r="G1053">
        <v>2137</v>
      </c>
      <c r="H1053">
        <v>1</v>
      </c>
      <c r="I1053" t="s">
        <v>145</v>
      </c>
      <c r="J1053">
        <v>0</v>
      </c>
      <c r="K1053">
        <v>2</v>
      </c>
      <c r="L1053">
        <v>2</v>
      </c>
      <c r="M1053">
        <v>132</v>
      </c>
      <c r="N1053">
        <v>174</v>
      </c>
      <c r="O1053">
        <v>0</v>
      </c>
      <c r="P1053">
        <v>174</v>
      </c>
      <c r="Q1053">
        <v>11</v>
      </c>
      <c r="R1053">
        <v>36</v>
      </c>
      <c r="S1053">
        <v>19</v>
      </c>
      <c r="T1053">
        <v>5</v>
      </c>
      <c r="U1053">
        <v>22</v>
      </c>
      <c r="V1053">
        <v>5</v>
      </c>
      <c r="W1053">
        <v>15</v>
      </c>
      <c r="X1053">
        <v>0</v>
      </c>
      <c r="Y1053">
        <v>38</v>
      </c>
      <c r="Z1053">
        <v>1</v>
      </c>
      <c r="AA1053">
        <v>0</v>
      </c>
      <c r="AB1053">
        <v>0</v>
      </c>
      <c r="AC1053">
        <v>1</v>
      </c>
      <c r="AD1053">
        <v>0</v>
      </c>
      <c r="AE1053">
        <v>0</v>
      </c>
      <c r="AF1053">
        <v>0</v>
      </c>
      <c r="AG1053">
        <v>1</v>
      </c>
      <c r="AH1053">
        <v>0</v>
      </c>
      <c r="AI1053">
        <v>0</v>
      </c>
      <c r="AJ1053">
        <v>1</v>
      </c>
      <c r="AK1053">
        <v>1</v>
      </c>
      <c r="AL1053">
        <v>0</v>
      </c>
      <c r="AM1053">
        <v>1</v>
      </c>
      <c r="AN1053">
        <v>0</v>
      </c>
      <c r="AT1053">
        <v>0</v>
      </c>
      <c r="AU1053">
        <v>17</v>
      </c>
      <c r="AV1053">
        <v>174</v>
      </c>
      <c r="AW1053">
        <v>174</v>
      </c>
      <c r="AX1053">
        <v>285</v>
      </c>
      <c r="BA1053">
        <v>1</v>
      </c>
      <c r="BC1053" t="s">
        <v>2199</v>
      </c>
      <c r="BD1053" s="4">
        <v>43283.056944444441</v>
      </c>
      <c r="BE1053" s="4">
        <v>43283.060266203705</v>
      </c>
      <c r="BF1053" s="4">
        <v>43283.060266203705</v>
      </c>
      <c r="BG1053" t="s">
        <v>83</v>
      </c>
      <c r="BH1053" t="s">
        <v>84</v>
      </c>
      <c r="BI1053" t="s">
        <v>85</v>
      </c>
    </row>
    <row r="1054" spans="1:61" x14ac:dyDescent="0.3">
      <c r="A1054" t="str">
        <f>"202138B0100"</f>
        <v>202138B0100</v>
      </c>
      <c r="B1054" t="s">
        <v>2200</v>
      </c>
      <c r="C1054">
        <v>20</v>
      </c>
      <c r="D1054" t="s">
        <v>79</v>
      </c>
      <c r="E1054">
        <v>5</v>
      </c>
      <c r="F1054" t="s">
        <v>1759</v>
      </c>
      <c r="G1054">
        <v>2138</v>
      </c>
      <c r="H1054">
        <v>1</v>
      </c>
      <c r="I1054" t="s">
        <v>81</v>
      </c>
      <c r="J1054">
        <v>0</v>
      </c>
      <c r="K1054">
        <v>2</v>
      </c>
      <c r="L1054">
        <v>2</v>
      </c>
      <c r="M1054">
        <v>67</v>
      </c>
      <c r="N1054">
        <v>60</v>
      </c>
      <c r="O1054">
        <v>2</v>
      </c>
      <c r="P1054">
        <v>67</v>
      </c>
      <c r="Q1054">
        <v>0</v>
      </c>
      <c r="R1054">
        <v>22</v>
      </c>
      <c r="S1054">
        <v>5</v>
      </c>
      <c r="T1054">
        <v>3</v>
      </c>
      <c r="U1054">
        <v>7</v>
      </c>
      <c r="V1054">
        <v>1</v>
      </c>
      <c r="W1054">
        <v>6</v>
      </c>
      <c r="X1054">
        <v>1</v>
      </c>
      <c r="Y1054">
        <v>16</v>
      </c>
      <c r="Z1054">
        <v>5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1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T1054">
        <v>0</v>
      </c>
      <c r="AU1054">
        <v>3</v>
      </c>
      <c r="AV1054">
        <v>70</v>
      </c>
      <c r="AW1054">
        <v>70</v>
      </c>
      <c r="AX1054">
        <v>114</v>
      </c>
      <c r="BA1054">
        <v>1</v>
      </c>
      <c r="BC1054" t="s">
        <v>2201</v>
      </c>
      <c r="BD1054" s="4">
        <v>43283.056250000001</v>
      </c>
      <c r="BE1054" s="4">
        <v>43283.060648148145</v>
      </c>
      <c r="BF1054" s="4">
        <v>43283.060648148145</v>
      </c>
      <c r="BG1054" t="s">
        <v>83</v>
      </c>
      <c r="BH1054" t="s">
        <v>84</v>
      </c>
      <c r="BI1054" t="s">
        <v>85</v>
      </c>
    </row>
    <row r="1055" spans="1:61" x14ac:dyDescent="0.3">
      <c r="A1055" t="str">
        <f>"202138E0100"</f>
        <v>202138E0100</v>
      </c>
      <c r="B1055" s="2" t="s">
        <v>2202</v>
      </c>
      <c r="C1055">
        <v>20</v>
      </c>
      <c r="D1055" t="s">
        <v>79</v>
      </c>
      <c r="E1055">
        <v>5</v>
      </c>
      <c r="F1055" t="s">
        <v>1759</v>
      </c>
      <c r="G1055">
        <v>2138</v>
      </c>
      <c r="H1055">
        <v>1</v>
      </c>
      <c r="I1055" t="s">
        <v>145</v>
      </c>
      <c r="J1055">
        <v>0</v>
      </c>
      <c r="K1055">
        <v>2</v>
      </c>
      <c r="L1055">
        <v>2</v>
      </c>
      <c r="M1055">
        <v>139</v>
      </c>
      <c r="N1055">
        <v>162</v>
      </c>
      <c r="O1055">
        <v>1</v>
      </c>
      <c r="P1055">
        <v>162</v>
      </c>
      <c r="Q1055">
        <v>10</v>
      </c>
      <c r="R1055">
        <v>45</v>
      </c>
      <c r="S1055">
        <v>22</v>
      </c>
      <c r="T1055">
        <v>2</v>
      </c>
      <c r="U1055">
        <v>21</v>
      </c>
      <c r="V1055">
        <v>4</v>
      </c>
      <c r="W1055">
        <v>9</v>
      </c>
      <c r="X1055">
        <v>2</v>
      </c>
      <c r="Y1055">
        <v>37</v>
      </c>
      <c r="Z1055">
        <v>1</v>
      </c>
      <c r="AA1055">
        <v>1</v>
      </c>
      <c r="AB1055">
        <v>1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1</v>
      </c>
      <c r="AL1055">
        <v>0</v>
      </c>
      <c r="AM1055">
        <v>0</v>
      </c>
      <c r="AN1055">
        <v>0</v>
      </c>
      <c r="AT1055">
        <v>1</v>
      </c>
      <c r="AU1055">
        <v>5</v>
      </c>
      <c r="AV1055">
        <v>162</v>
      </c>
      <c r="AW1055">
        <v>162</v>
      </c>
      <c r="AX1055">
        <v>279</v>
      </c>
      <c r="BA1055">
        <v>1</v>
      </c>
      <c r="BC1055" t="s">
        <v>2203</v>
      </c>
      <c r="BD1055" s="4">
        <v>43283.059027777781</v>
      </c>
      <c r="BE1055" s="4">
        <v>43283.066192129627</v>
      </c>
      <c r="BF1055" s="4">
        <v>43283.066192129627</v>
      </c>
      <c r="BG1055" t="s">
        <v>83</v>
      </c>
      <c r="BH1055" t="s">
        <v>84</v>
      </c>
      <c r="BI1055" t="s">
        <v>85</v>
      </c>
    </row>
    <row r="1056" spans="1:61" x14ac:dyDescent="0.3">
      <c r="A1056" t="str">
        <f>"202139B0100"</f>
        <v>202139B0100</v>
      </c>
      <c r="B1056" t="s">
        <v>2204</v>
      </c>
      <c r="C1056">
        <v>20</v>
      </c>
      <c r="D1056" t="s">
        <v>79</v>
      </c>
      <c r="E1056">
        <v>5</v>
      </c>
      <c r="F1056" t="s">
        <v>1759</v>
      </c>
      <c r="G1056">
        <v>2139</v>
      </c>
      <c r="H1056">
        <v>1</v>
      </c>
      <c r="I1056" t="s">
        <v>81</v>
      </c>
      <c r="J1056">
        <v>0</v>
      </c>
      <c r="K1056">
        <v>2</v>
      </c>
      <c r="L1056">
        <v>2</v>
      </c>
      <c r="M1056">
        <v>180</v>
      </c>
      <c r="N1056">
        <v>257</v>
      </c>
      <c r="O1056">
        <v>6</v>
      </c>
      <c r="P1056">
        <v>257</v>
      </c>
      <c r="Q1056">
        <v>12</v>
      </c>
      <c r="R1056">
        <v>34</v>
      </c>
      <c r="S1056">
        <v>28</v>
      </c>
      <c r="T1056">
        <v>4</v>
      </c>
      <c r="U1056">
        <v>65</v>
      </c>
      <c r="V1056">
        <v>8</v>
      </c>
      <c r="W1056">
        <v>8</v>
      </c>
      <c r="X1056">
        <v>2</v>
      </c>
      <c r="Y1056">
        <v>75</v>
      </c>
      <c r="Z1056">
        <v>0</v>
      </c>
      <c r="AA1056">
        <v>2</v>
      </c>
      <c r="AB1056">
        <v>2</v>
      </c>
      <c r="AC1056">
        <v>0</v>
      </c>
      <c r="AD1056">
        <v>0</v>
      </c>
      <c r="AE1056">
        <v>0</v>
      </c>
      <c r="AF1056">
        <v>1</v>
      </c>
      <c r="AG1056">
        <v>0</v>
      </c>
      <c r="AH1056">
        <v>0</v>
      </c>
      <c r="AI1056">
        <v>0</v>
      </c>
      <c r="AJ1056">
        <v>0</v>
      </c>
      <c r="AK1056">
        <v>2</v>
      </c>
      <c r="AL1056">
        <v>1</v>
      </c>
      <c r="AM1056">
        <v>0</v>
      </c>
      <c r="AN1056">
        <v>0</v>
      </c>
      <c r="AT1056">
        <v>0</v>
      </c>
      <c r="AU1056">
        <v>13</v>
      </c>
      <c r="AV1056">
        <v>257</v>
      </c>
      <c r="AW1056">
        <v>257</v>
      </c>
      <c r="AX1056">
        <v>415</v>
      </c>
      <c r="BA1056">
        <v>1</v>
      </c>
      <c r="BC1056" t="s">
        <v>2205</v>
      </c>
      <c r="BD1056" s="4">
        <v>43283.29791666667</v>
      </c>
      <c r="BE1056" s="4">
        <v>43283.325289351851</v>
      </c>
      <c r="BF1056" s="4">
        <v>43283.325289351851</v>
      </c>
      <c r="BG1056" t="s">
        <v>83</v>
      </c>
      <c r="BH1056" t="s">
        <v>84</v>
      </c>
      <c r="BI1056" t="s">
        <v>85</v>
      </c>
    </row>
    <row r="1057" spans="1:61" x14ac:dyDescent="0.3">
      <c r="A1057" t="str">
        <f>"202140B0100"</f>
        <v>202140B0100</v>
      </c>
      <c r="B1057" t="s">
        <v>2206</v>
      </c>
      <c r="C1057">
        <v>20</v>
      </c>
      <c r="D1057" t="s">
        <v>79</v>
      </c>
      <c r="E1057">
        <v>5</v>
      </c>
      <c r="F1057" t="s">
        <v>1759</v>
      </c>
      <c r="G1057">
        <v>2140</v>
      </c>
      <c r="H1057">
        <v>1</v>
      </c>
      <c r="I1057" t="s">
        <v>81</v>
      </c>
      <c r="J1057">
        <v>0</v>
      </c>
      <c r="K1057">
        <v>2</v>
      </c>
      <c r="L1057">
        <v>2</v>
      </c>
      <c r="M1057">
        <v>200</v>
      </c>
      <c r="N1057">
        <v>270</v>
      </c>
      <c r="O1057">
        <v>0</v>
      </c>
      <c r="P1057">
        <v>270</v>
      </c>
      <c r="Q1057">
        <v>13</v>
      </c>
      <c r="R1057">
        <v>62</v>
      </c>
      <c r="S1057">
        <v>16</v>
      </c>
      <c r="T1057">
        <v>7</v>
      </c>
      <c r="U1057">
        <v>22</v>
      </c>
      <c r="V1057">
        <v>3</v>
      </c>
      <c r="W1057">
        <v>6</v>
      </c>
      <c r="X1057">
        <v>7</v>
      </c>
      <c r="Y1057">
        <v>73</v>
      </c>
      <c r="Z1057">
        <v>2</v>
      </c>
      <c r="AA1057">
        <v>0</v>
      </c>
      <c r="AB1057">
        <v>3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2</v>
      </c>
      <c r="AI1057">
        <v>0</v>
      </c>
      <c r="AJ1057">
        <v>0</v>
      </c>
      <c r="AK1057">
        <v>0</v>
      </c>
      <c r="AL1057">
        <v>1</v>
      </c>
      <c r="AM1057">
        <v>0</v>
      </c>
      <c r="AN1057">
        <v>0</v>
      </c>
      <c r="AT1057">
        <v>0</v>
      </c>
      <c r="AU1057">
        <v>53</v>
      </c>
      <c r="AV1057">
        <v>270</v>
      </c>
      <c r="AW1057">
        <v>270</v>
      </c>
      <c r="AX1057">
        <v>449</v>
      </c>
      <c r="BA1057">
        <v>1</v>
      </c>
      <c r="BC1057" t="s">
        <v>2207</v>
      </c>
      <c r="BD1057" s="4">
        <v>43283.251388888886</v>
      </c>
      <c r="BE1057" s="4">
        <v>43283.277939814812</v>
      </c>
      <c r="BF1057" s="4">
        <v>43283.277939814812</v>
      </c>
      <c r="BG1057" t="s">
        <v>83</v>
      </c>
      <c r="BH1057" t="s">
        <v>84</v>
      </c>
      <c r="BI1057" t="s">
        <v>85</v>
      </c>
    </row>
    <row r="1058" spans="1:61" x14ac:dyDescent="0.3">
      <c r="A1058" t="str">
        <f>"202140E0100"</f>
        <v>202140E0100</v>
      </c>
      <c r="B1058" s="2" t="s">
        <v>2208</v>
      </c>
      <c r="C1058">
        <v>20</v>
      </c>
      <c r="D1058" t="s">
        <v>79</v>
      </c>
      <c r="E1058">
        <v>5</v>
      </c>
      <c r="F1058" t="s">
        <v>1759</v>
      </c>
      <c r="G1058">
        <v>2140</v>
      </c>
      <c r="H1058">
        <v>1</v>
      </c>
      <c r="I1058" t="s">
        <v>145</v>
      </c>
      <c r="J1058">
        <v>0</v>
      </c>
      <c r="K1058">
        <v>2</v>
      </c>
      <c r="L1058">
        <v>2</v>
      </c>
      <c r="M1058">
        <v>294</v>
      </c>
      <c r="N1058">
        <v>7</v>
      </c>
      <c r="O1058">
        <v>7</v>
      </c>
      <c r="P1058">
        <v>388</v>
      </c>
      <c r="Q1058">
        <v>20</v>
      </c>
      <c r="R1058">
        <v>68</v>
      </c>
      <c r="S1058">
        <v>24</v>
      </c>
      <c r="T1058">
        <v>9</v>
      </c>
      <c r="U1058">
        <v>42</v>
      </c>
      <c r="V1058">
        <v>14</v>
      </c>
      <c r="W1058">
        <v>20</v>
      </c>
      <c r="X1058">
        <v>9</v>
      </c>
      <c r="Y1058">
        <v>126</v>
      </c>
      <c r="Z1058">
        <v>2</v>
      </c>
      <c r="AA1058">
        <v>2</v>
      </c>
      <c r="AB1058">
        <v>1</v>
      </c>
      <c r="AC1058" t="s">
        <v>100</v>
      </c>
      <c r="AD1058" t="s">
        <v>100</v>
      </c>
      <c r="AE1058" t="s">
        <v>100</v>
      </c>
      <c r="AF1058" t="s">
        <v>100</v>
      </c>
      <c r="AG1058" t="s">
        <v>100</v>
      </c>
      <c r="AH1058" t="s">
        <v>100</v>
      </c>
      <c r="AI1058" t="s">
        <v>100</v>
      </c>
      <c r="AJ1058" t="s">
        <v>100</v>
      </c>
      <c r="AK1058">
        <v>1</v>
      </c>
      <c r="AL1058">
        <v>1</v>
      </c>
      <c r="AM1058" t="s">
        <v>100</v>
      </c>
      <c r="AN1058">
        <v>1</v>
      </c>
      <c r="AT1058" t="s">
        <v>100</v>
      </c>
      <c r="AU1058">
        <v>48</v>
      </c>
      <c r="AV1058">
        <v>388</v>
      </c>
      <c r="AW1058">
        <v>388</v>
      </c>
      <c r="AX1058">
        <v>660</v>
      </c>
      <c r="AZ1058" t="s">
        <v>101</v>
      </c>
      <c r="BA1058">
        <v>1</v>
      </c>
      <c r="BC1058" t="s">
        <v>2209</v>
      </c>
      <c r="BD1058" s="4">
        <v>43283.251388888886</v>
      </c>
      <c r="BE1058" s="4">
        <v>43283.280185185184</v>
      </c>
      <c r="BF1058" s="4">
        <v>43283.280185185184</v>
      </c>
      <c r="BG1058" t="s">
        <v>83</v>
      </c>
      <c r="BH1058" t="s">
        <v>84</v>
      </c>
      <c r="BI1058" t="s">
        <v>85</v>
      </c>
    </row>
    <row r="1059" spans="1:61" x14ac:dyDescent="0.3">
      <c r="A1059" t="str">
        <f>"202141B0100"</f>
        <v>202141B0100</v>
      </c>
      <c r="B1059" t="s">
        <v>2210</v>
      </c>
      <c r="C1059">
        <v>20</v>
      </c>
      <c r="D1059" t="s">
        <v>79</v>
      </c>
      <c r="E1059">
        <v>5</v>
      </c>
      <c r="F1059" t="s">
        <v>1759</v>
      </c>
      <c r="G1059">
        <v>2141</v>
      </c>
      <c r="H1059">
        <v>1</v>
      </c>
      <c r="I1059" t="s">
        <v>81</v>
      </c>
      <c r="J1059">
        <v>0</v>
      </c>
      <c r="K1059">
        <v>2</v>
      </c>
      <c r="L1059">
        <v>2</v>
      </c>
      <c r="M1059" t="s">
        <v>315</v>
      </c>
      <c r="N1059">
        <v>232</v>
      </c>
      <c r="O1059" t="s">
        <v>315</v>
      </c>
      <c r="P1059">
        <v>232</v>
      </c>
      <c r="Q1059">
        <v>7</v>
      </c>
      <c r="R1059">
        <v>43</v>
      </c>
      <c r="S1059">
        <v>13</v>
      </c>
      <c r="T1059">
        <v>5</v>
      </c>
      <c r="U1059">
        <v>25</v>
      </c>
      <c r="V1059">
        <v>3</v>
      </c>
      <c r="W1059">
        <v>2</v>
      </c>
      <c r="X1059">
        <v>9</v>
      </c>
      <c r="Y1059">
        <v>103</v>
      </c>
      <c r="Z1059">
        <v>1</v>
      </c>
      <c r="AA1059">
        <v>1</v>
      </c>
      <c r="AB1059">
        <v>2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1</v>
      </c>
      <c r="AT1059">
        <v>1</v>
      </c>
      <c r="AU1059">
        <v>16</v>
      </c>
      <c r="AV1059">
        <v>232</v>
      </c>
      <c r="AW1059">
        <v>232</v>
      </c>
      <c r="AX1059">
        <v>402</v>
      </c>
      <c r="BA1059">
        <v>1</v>
      </c>
      <c r="BC1059" t="s">
        <v>2211</v>
      </c>
      <c r="BD1059" s="4">
        <v>43283.251388888886</v>
      </c>
      <c r="BE1059" s="4">
        <v>43283.290185185186</v>
      </c>
      <c r="BF1059" s="4">
        <v>43283.290185185186</v>
      </c>
      <c r="BG1059" t="s">
        <v>83</v>
      </c>
      <c r="BH1059" t="s">
        <v>84</v>
      </c>
      <c r="BI1059" t="s">
        <v>85</v>
      </c>
    </row>
    <row r="1060" spans="1:61" x14ac:dyDescent="0.3">
      <c r="A1060" t="str">
        <f>"202141C0100"</f>
        <v>202141C0100</v>
      </c>
      <c r="B1060" t="s">
        <v>2212</v>
      </c>
      <c r="C1060">
        <v>20</v>
      </c>
      <c r="D1060" t="s">
        <v>79</v>
      </c>
      <c r="E1060">
        <v>5</v>
      </c>
      <c r="F1060" t="s">
        <v>1759</v>
      </c>
      <c r="G1060">
        <v>2141</v>
      </c>
      <c r="H1060">
        <v>1</v>
      </c>
      <c r="I1060" t="s">
        <v>89</v>
      </c>
      <c r="J1060">
        <v>0</v>
      </c>
      <c r="K1060">
        <v>2</v>
      </c>
      <c r="L1060">
        <v>2</v>
      </c>
      <c r="M1060">
        <v>206</v>
      </c>
      <c r="N1060">
        <v>217</v>
      </c>
      <c r="O1060">
        <v>0</v>
      </c>
      <c r="P1060">
        <v>217</v>
      </c>
      <c r="Q1060">
        <v>6</v>
      </c>
      <c r="R1060">
        <v>42</v>
      </c>
      <c r="S1060">
        <v>20</v>
      </c>
      <c r="T1060">
        <v>1</v>
      </c>
      <c r="U1060">
        <v>15</v>
      </c>
      <c r="V1060">
        <v>2</v>
      </c>
      <c r="W1060">
        <v>3</v>
      </c>
      <c r="X1060">
        <v>5</v>
      </c>
      <c r="Y1060">
        <v>92</v>
      </c>
      <c r="Z1060">
        <v>4</v>
      </c>
      <c r="AA1060">
        <v>0</v>
      </c>
      <c r="AB1060">
        <v>1</v>
      </c>
      <c r="AC1060">
        <v>0</v>
      </c>
      <c r="AD1060">
        <v>1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4</v>
      </c>
      <c r="AL1060">
        <v>0</v>
      </c>
      <c r="AM1060">
        <v>0</v>
      </c>
      <c r="AN1060">
        <v>0</v>
      </c>
      <c r="AT1060">
        <v>0</v>
      </c>
      <c r="AU1060">
        <v>21</v>
      </c>
      <c r="AV1060">
        <v>217</v>
      </c>
      <c r="AW1060">
        <v>217</v>
      </c>
      <c r="AX1060">
        <v>401</v>
      </c>
      <c r="BA1060">
        <v>1</v>
      </c>
      <c r="BC1060" t="s">
        <v>2213</v>
      </c>
      <c r="BD1060" s="4">
        <v>43283.251388888886</v>
      </c>
      <c r="BE1060" s="4">
        <v>43283.277291666665</v>
      </c>
      <c r="BF1060" s="4">
        <v>43283.277291666665</v>
      </c>
      <c r="BG1060" t="s">
        <v>83</v>
      </c>
      <c r="BH1060" t="s">
        <v>84</v>
      </c>
      <c r="BI1060" t="s">
        <v>85</v>
      </c>
    </row>
    <row r="1061" spans="1:61" x14ac:dyDescent="0.3">
      <c r="A1061" t="str">
        <f>"202142B0100"</f>
        <v>202142B0100</v>
      </c>
      <c r="B1061" t="s">
        <v>2214</v>
      </c>
      <c r="C1061">
        <v>20</v>
      </c>
      <c r="D1061" t="s">
        <v>79</v>
      </c>
      <c r="E1061">
        <v>5</v>
      </c>
      <c r="F1061" t="s">
        <v>1759</v>
      </c>
      <c r="G1061">
        <v>2142</v>
      </c>
      <c r="H1061">
        <v>1</v>
      </c>
      <c r="I1061" t="s">
        <v>81</v>
      </c>
      <c r="J1061">
        <v>0</v>
      </c>
      <c r="K1061">
        <v>2</v>
      </c>
      <c r="L1061">
        <v>2</v>
      </c>
      <c r="M1061">
        <v>186</v>
      </c>
      <c r="N1061">
        <v>226</v>
      </c>
      <c r="O1061">
        <v>1</v>
      </c>
      <c r="P1061">
        <v>226</v>
      </c>
      <c r="Q1061">
        <v>25</v>
      </c>
      <c r="R1061">
        <v>23</v>
      </c>
      <c r="S1061">
        <v>15</v>
      </c>
      <c r="T1061">
        <v>13</v>
      </c>
      <c r="U1061">
        <v>31</v>
      </c>
      <c r="V1061">
        <v>4</v>
      </c>
      <c r="W1061">
        <v>4</v>
      </c>
      <c r="X1061">
        <v>2</v>
      </c>
      <c r="Y1061">
        <v>79</v>
      </c>
      <c r="Z1061">
        <v>4</v>
      </c>
      <c r="AA1061">
        <v>0</v>
      </c>
      <c r="AB1061">
        <v>2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1</v>
      </c>
      <c r="AL1061">
        <v>1</v>
      </c>
      <c r="AM1061">
        <v>0</v>
      </c>
      <c r="AN1061">
        <v>3</v>
      </c>
      <c r="AT1061">
        <v>0</v>
      </c>
      <c r="AU1061">
        <v>19</v>
      </c>
      <c r="AV1061">
        <v>226</v>
      </c>
      <c r="AW1061">
        <v>226</v>
      </c>
      <c r="AX1061">
        <v>390</v>
      </c>
      <c r="BA1061">
        <v>1</v>
      </c>
      <c r="BC1061" t="s">
        <v>2215</v>
      </c>
      <c r="BD1061" s="4">
        <v>43283.248611111114</v>
      </c>
      <c r="BE1061" s="4">
        <v>43283.274756944447</v>
      </c>
      <c r="BF1061" s="4">
        <v>43283.274756944447</v>
      </c>
      <c r="BG1061" t="s">
        <v>83</v>
      </c>
      <c r="BH1061" t="s">
        <v>84</v>
      </c>
      <c r="BI1061" t="s">
        <v>85</v>
      </c>
    </row>
    <row r="1062" spans="1:61" x14ac:dyDescent="0.3">
      <c r="A1062" t="str">
        <f>"202142C0100"</f>
        <v>202142C0100</v>
      </c>
      <c r="B1062" t="s">
        <v>2216</v>
      </c>
      <c r="C1062">
        <v>20</v>
      </c>
      <c r="D1062" t="s">
        <v>79</v>
      </c>
      <c r="E1062">
        <v>5</v>
      </c>
      <c r="F1062" t="s">
        <v>1759</v>
      </c>
      <c r="G1062">
        <v>2142</v>
      </c>
      <c r="H1062">
        <v>1</v>
      </c>
      <c r="I1062" t="s">
        <v>89</v>
      </c>
      <c r="J1062">
        <v>0</v>
      </c>
      <c r="K1062">
        <v>2</v>
      </c>
      <c r="L1062">
        <v>2</v>
      </c>
      <c r="M1062">
        <v>172</v>
      </c>
      <c r="N1062">
        <v>240</v>
      </c>
      <c r="O1062">
        <v>3</v>
      </c>
      <c r="P1062">
        <v>240</v>
      </c>
      <c r="Q1062">
        <v>22</v>
      </c>
      <c r="R1062">
        <v>33</v>
      </c>
      <c r="S1062">
        <v>18</v>
      </c>
      <c r="T1062">
        <v>6</v>
      </c>
      <c r="U1062">
        <v>42</v>
      </c>
      <c r="V1062">
        <v>2</v>
      </c>
      <c r="W1062">
        <v>2</v>
      </c>
      <c r="X1062">
        <v>3</v>
      </c>
      <c r="Y1062">
        <v>82</v>
      </c>
      <c r="Z1062">
        <v>2</v>
      </c>
      <c r="AA1062" t="s">
        <v>100</v>
      </c>
      <c r="AB1062">
        <v>1</v>
      </c>
      <c r="AC1062">
        <v>0</v>
      </c>
      <c r="AD1062">
        <v>1</v>
      </c>
      <c r="AE1062">
        <v>0</v>
      </c>
      <c r="AF1062">
        <v>0</v>
      </c>
      <c r="AG1062">
        <v>0</v>
      </c>
      <c r="AH1062">
        <v>1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T1062">
        <v>0</v>
      </c>
      <c r="AU1062">
        <v>25</v>
      </c>
      <c r="AV1062">
        <v>240</v>
      </c>
      <c r="AW1062">
        <v>240</v>
      </c>
      <c r="AX1062">
        <v>390</v>
      </c>
      <c r="AZ1062" t="s">
        <v>101</v>
      </c>
      <c r="BA1062">
        <v>1</v>
      </c>
      <c r="BC1062" t="s">
        <v>2217</v>
      </c>
      <c r="BD1062" s="4">
        <v>43283.251388888886</v>
      </c>
      <c r="BE1062" s="4">
        <v>43283.277997685182</v>
      </c>
      <c r="BF1062" s="4">
        <v>43283.277997685182</v>
      </c>
      <c r="BG1062" t="s">
        <v>83</v>
      </c>
      <c r="BH1062" t="s">
        <v>84</v>
      </c>
      <c r="BI1062" t="s">
        <v>85</v>
      </c>
    </row>
    <row r="1063" spans="1:61" x14ac:dyDescent="0.3">
      <c r="A1063" t="str">
        <f>"202143B0100"</f>
        <v>202143B0100</v>
      </c>
      <c r="B1063" t="s">
        <v>2218</v>
      </c>
      <c r="C1063">
        <v>20</v>
      </c>
      <c r="D1063" t="s">
        <v>79</v>
      </c>
      <c r="E1063">
        <v>5</v>
      </c>
      <c r="F1063" t="s">
        <v>1759</v>
      </c>
      <c r="G1063">
        <v>2143</v>
      </c>
      <c r="H1063">
        <v>1</v>
      </c>
      <c r="I1063" t="s">
        <v>81</v>
      </c>
      <c r="J1063">
        <v>0</v>
      </c>
      <c r="K1063">
        <v>2</v>
      </c>
      <c r="L1063">
        <v>2</v>
      </c>
      <c r="M1063">
        <v>258</v>
      </c>
      <c r="N1063">
        <v>278</v>
      </c>
      <c r="O1063">
        <v>3</v>
      </c>
      <c r="P1063">
        <v>278</v>
      </c>
      <c r="Q1063">
        <v>27</v>
      </c>
      <c r="R1063">
        <v>33</v>
      </c>
      <c r="S1063">
        <v>24</v>
      </c>
      <c r="T1063">
        <v>5</v>
      </c>
      <c r="U1063">
        <v>50</v>
      </c>
      <c r="V1063">
        <v>5</v>
      </c>
      <c r="W1063">
        <v>20</v>
      </c>
      <c r="X1063">
        <v>5</v>
      </c>
      <c r="Y1063">
        <v>78</v>
      </c>
      <c r="Z1063">
        <v>3</v>
      </c>
      <c r="AA1063">
        <v>1</v>
      </c>
      <c r="AB1063">
        <v>4</v>
      </c>
      <c r="AC1063" t="s">
        <v>100</v>
      </c>
      <c r="AD1063" t="s">
        <v>100</v>
      </c>
      <c r="AE1063" t="s">
        <v>100</v>
      </c>
      <c r="AF1063" t="s">
        <v>100</v>
      </c>
      <c r="AG1063" t="s">
        <v>100</v>
      </c>
      <c r="AH1063">
        <v>1</v>
      </c>
      <c r="AI1063" t="s">
        <v>100</v>
      </c>
      <c r="AJ1063" t="s">
        <v>100</v>
      </c>
      <c r="AK1063" t="s">
        <v>100</v>
      </c>
      <c r="AL1063" t="s">
        <v>100</v>
      </c>
      <c r="AM1063" t="s">
        <v>100</v>
      </c>
      <c r="AN1063" t="s">
        <v>100</v>
      </c>
      <c r="AT1063" t="s">
        <v>100</v>
      </c>
      <c r="AU1063">
        <v>22</v>
      </c>
      <c r="AV1063">
        <v>278</v>
      </c>
      <c r="AW1063">
        <v>278</v>
      </c>
      <c r="AX1063">
        <v>515</v>
      </c>
      <c r="AZ1063" t="s">
        <v>101</v>
      </c>
      <c r="BA1063">
        <v>1</v>
      </c>
      <c r="BC1063" t="s">
        <v>2219</v>
      </c>
      <c r="BD1063" s="4">
        <v>43283.248611111114</v>
      </c>
      <c r="BE1063" s="4">
        <v>43283.295300925929</v>
      </c>
      <c r="BF1063" s="4">
        <v>43283.295300925929</v>
      </c>
      <c r="BG1063" t="s">
        <v>83</v>
      </c>
      <c r="BH1063" t="s">
        <v>84</v>
      </c>
      <c r="BI1063" t="s">
        <v>85</v>
      </c>
    </row>
    <row r="1064" spans="1:61" x14ac:dyDescent="0.3">
      <c r="A1064" t="str">
        <f>"202186B0100"</f>
        <v>202186B0100</v>
      </c>
      <c r="B1064" t="s">
        <v>2220</v>
      </c>
      <c r="C1064">
        <v>20</v>
      </c>
      <c r="D1064" t="s">
        <v>79</v>
      </c>
      <c r="E1064">
        <v>5</v>
      </c>
      <c r="F1064" t="s">
        <v>1759</v>
      </c>
      <c r="G1064">
        <v>2186</v>
      </c>
      <c r="H1064">
        <v>1</v>
      </c>
      <c r="I1064" t="s">
        <v>81</v>
      </c>
      <c r="J1064">
        <v>0</v>
      </c>
      <c r="K1064">
        <v>2</v>
      </c>
      <c r="L1064">
        <v>2</v>
      </c>
      <c r="M1064">
        <v>271</v>
      </c>
      <c r="N1064">
        <v>300</v>
      </c>
      <c r="O1064">
        <v>0</v>
      </c>
      <c r="P1064">
        <v>300</v>
      </c>
      <c r="Q1064">
        <v>18</v>
      </c>
      <c r="R1064">
        <v>146</v>
      </c>
      <c r="S1064">
        <v>5</v>
      </c>
      <c r="T1064">
        <v>7</v>
      </c>
      <c r="U1064">
        <v>28</v>
      </c>
      <c r="V1064">
        <v>3</v>
      </c>
      <c r="W1064">
        <v>5</v>
      </c>
      <c r="X1064">
        <v>1</v>
      </c>
      <c r="Y1064">
        <v>51</v>
      </c>
      <c r="Z1064">
        <v>4</v>
      </c>
      <c r="AA1064">
        <v>1</v>
      </c>
      <c r="AB1064">
        <v>1</v>
      </c>
      <c r="AC1064" t="s">
        <v>100</v>
      </c>
      <c r="AD1064" t="s">
        <v>100</v>
      </c>
      <c r="AE1064" t="s">
        <v>100</v>
      </c>
      <c r="AF1064" t="s">
        <v>100</v>
      </c>
      <c r="AG1064">
        <v>3</v>
      </c>
      <c r="AH1064">
        <v>10</v>
      </c>
      <c r="AI1064">
        <v>1</v>
      </c>
      <c r="AJ1064" t="s">
        <v>100</v>
      </c>
      <c r="AK1064">
        <v>4</v>
      </c>
      <c r="AL1064">
        <v>3</v>
      </c>
      <c r="AM1064" t="s">
        <v>100</v>
      </c>
      <c r="AN1064" t="s">
        <v>100</v>
      </c>
      <c r="AT1064" t="s">
        <v>100</v>
      </c>
      <c r="AU1064">
        <v>9</v>
      </c>
      <c r="AV1064" t="s">
        <v>100</v>
      </c>
      <c r="AW1064">
        <v>300</v>
      </c>
      <c r="AX1064">
        <v>549</v>
      </c>
      <c r="AZ1064" t="s">
        <v>101</v>
      </c>
      <c r="BA1064">
        <v>1</v>
      </c>
      <c r="BC1064" t="s">
        <v>2221</v>
      </c>
      <c r="BD1064" s="4">
        <v>43283.095138888886</v>
      </c>
      <c r="BE1064" s="4">
        <v>43283.099548611113</v>
      </c>
      <c r="BF1064" s="4">
        <v>43283.099548611113</v>
      </c>
      <c r="BG1064" t="s">
        <v>83</v>
      </c>
      <c r="BH1064" t="s">
        <v>84</v>
      </c>
      <c r="BI1064" t="s">
        <v>85</v>
      </c>
    </row>
    <row r="1065" spans="1:61" x14ac:dyDescent="0.3">
      <c r="A1065" t="str">
        <f>"202187B0100"</f>
        <v>202187B0100</v>
      </c>
      <c r="B1065" t="s">
        <v>2222</v>
      </c>
      <c r="C1065">
        <v>20</v>
      </c>
      <c r="D1065" t="s">
        <v>79</v>
      </c>
      <c r="E1065">
        <v>5</v>
      </c>
      <c r="F1065" t="s">
        <v>1759</v>
      </c>
      <c r="G1065">
        <v>2187</v>
      </c>
      <c r="H1065">
        <v>1</v>
      </c>
      <c r="I1065" t="s">
        <v>81</v>
      </c>
      <c r="J1065">
        <v>0</v>
      </c>
      <c r="K1065">
        <v>2</v>
      </c>
      <c r="L1065">
        <v>2</v>
      </c>
      <c r="M1065">
        <v>205</v>
      </c>
      <c r="N1065">
        <v>234</v>
      </c>
      <c r="O1065">
        <v>10</v>
      </c>
      <c r="P1065">
        <v>234</v>
      </c>
      <c r="Q1065">
        <v>15</v>
      </c>
      <c r="R1065">
        <v>112</v>
      </c>
      <c r="S1065">
        <v>10</v>
      </c>
      <c r="T1065">
        <v>4</v>
      </c>
      <c r="U1065">
        <v>25</v>
      </c>
      <c r="V1065">
        <v>5</v>
      </c>
      <c r="W1065">
        <v>5</v>
      </c>
      <c r="X1065">
        <v>3</v>
      </c>
      <c r="Y1065">
        <v>35</v>
      </c>
      <c r="Z1065">
        <v>2</v>
      </c>
      <c r="AA1065">
        <v>1</v>
      </c>
      <c r="AB1065">
        <v>1</v>
      </c>
      <c r="AC1065">
        <v>1</v>
      </c>
      <c r="AD1065" t="s">
        <v>100</v>
      </c>
      <c r="AE1065" t="s">
        <v>100</v>
      </c>
      <c r="AF1065" t="s">
        <v>100</v>
      </c>
      <c r="AG1065">
        <v>5</v>
      </c>
      <c r="AH1065" t="s">
        <v>100</v>
      </c>
      <c r="AI1065" t="s">
        <v>100</v>
      </c>
      <c r="AJ1065" t="s">
        <v>100</v>
      </c>
      <c r="AK1065">
        <v>6</v>
      </c>
      <c r="AL1065" t="s">
        <v>100</v>
      </c>
      <c r="AM1065" t="s">
        <v>100</v>
      </c>
      <c r="AN1065" t="s">
        <v>100</v>
      </c>
      <c r="AT1065" t="s">
        <v>100</v>
      </c>
      <c r="AU1065">
        <v>4</v>
      </c>
      <c r="AV1065">
        <v>234</v>
      </c>
      <c r="AW1065">
        <v>234</v>
      </c>
      <c r="AX1065">
        <v>417</v>
      </c>
      <c r="AZ1065" t="s">
        <v>101</v>
      </c>
      <c r="BA1065">
        <v>1</v>
      </c>
      <c r="BC1065" t="s">
        <v>2223</v>
      </c>
      <c r="BD1065" s="4">
        <v>43283.098611111112</v>
      </c>
      <c r="BE1065" s="4">
        <v>43283.103796296295</v>
      </c>
      <c r="BF1065" s="4">
        <v>43283.103796296295</v>
      </c>
      <c r="BG1065" t="s">
        <v>83</v>
      </c>
      <c r="BH1065" t="s">
        <v>84</v>
      </c>
      <c r="BI1065" t="s">
        <v>85</v>
      </c>
    </row>
    <row r="1066" spans="1:61" x14ac:dyDescent="0.3">
      <c r="A1066" t="str">
        <f>"202188B0100"</f>
        <v>202188B0100</v>
      </c>
      <c r="B1066" t="s">
        <v>2224</v>
      </c>
      <c r="C1066">
        <v>20</v>
      </c>
      <c r="D1066" t="s">
        <v>79</v>
      </c>
      <c r="E1066">
        <v>5</v>
      </c>
      <c r="F1066" t="s">
        <v>1759</v>
      </c>
      <c r="G1066">
        <v>2188</v>
      </c>
      <c r="H1066">
        <v>1</v>
      </c>
      <c r="I1066" t="s">
        <v>81</v>
      </c>
      <c r="J1066">
        <v>0</v>
      </c>
      <c r="K1066">
        <v>2</v>
      </c>
      <c r="L1066">
        <v>2</v>
      </c>
      <c r="M1066">
        <v>200</v>
      </c>
      <c r="N1066">
        <v>412</v>
      </c>
      <c r="O1066">
        <v>2</v>
      </c>
      <c r="P1066">
        <v>210</v>
      </c>
      <c r="Q1066">
        <v>9</v>
      </c>
      <c r="R1066" t="s">
        <v>315</v>
      </c>
      <c r="S1066">
        <v>31</v>
      </c>
      <c r="T1066">
        <v>4</v>
      </c>
      <c r="U1066">
        <v>30</v>
      </c>
      <c r="V1066">
        <v>3</v>
      </c>
      <c r="W1066">
        <v>3</v>
      </c>
      <c r="X1066">
        <v>5</v>
      </c>
      <c r="Y1066">
        <v>47</v>
      </c>
      <c r="Z1066">
        <v>6</v>
      </c>
      <c r="AA1066" t="s">
        <v>100</v>
      </c>
      <c r="AB1066" t="s">
        <v>100</v>
      </c>
      <c r="AC1066" t="s">
        <v>100</v>
      </c>
      <c r="AD1066" t="s">
        <v>100</v>
      </c>
      <c r="AE1066" t="s">
        <v>100</v>
      </c>
      <c r="AF1066" t="s">
        <v>100</v>
      </c>
      <c r="AG1066">
        <v>1</v>
      </c>
      <c r="AH1066" t="s">
        <v>100</v>
      </c>
      <c r="AI1066" t="s">
        <v>100</v>
      </c>
      <c r="AJ1066" t="s">
        <v>100</v>
      </c>
      <c r="AK1066">
        <v>2</v>
      </c>
      <c r="AL1066" t="s">
        <v>100</v>
      </c>
      <c r="AM1066" t="s">
        <v>100</v>
      </c>
      <c r="AN1066" t="s">
        <v>100</v>
      </c>
      <c r="AT1066" t="s">
        <v>100</v>
      </c>
      <c r="AU1066">
        <v>10</v>
      </c>
      <c r="AV1066">
        <v>210</v>
      </c>
      <c r="AW1066">
        <v>151</v>
      </c>
      <c r="AX1066">
        <v>390</v>
      </c>
      <c r="AZ1066" t="s">
        <v>101</v>
      </c>
      <c r="BA1066">
        <v>1</v>
      </c>
      <c r="BC1066" t="s">
        <v>2225</v>
      </c>
      <c r="BD1066" s="4">
        <v>43283.583333333336</v>
      </c>
      <c r="BE1066" s="4">
        <v>43283.59103009259</v>
      </c>
      <c r="BF1066" s="4">
        <v>43283.59103009259</v>
      </c>
      <c r="BG1066" t="s">
        <v>83</v>
      </c>
      <c r="BH1066" t="s">
        <v>84</v>
      </c>
      <c r="BI1066" t="s">
        <v>85</v>
      </c>
    </row>
    <row r="1067" spans="1:61" x14ac:dyDescent="0.3">
      <c r="A1067" t="str">
        <f>"202188C0100"</f>
        <v>202188C0100</v>
      </c>
      <c r="B1067" t="s">
        <v>2226</v>
      </c>
      <c r="C1067">
        <v>20</v>
      </c>
      <c r="D1067" t="s">
        <v>79</v>
      </c>
      <c r="E1067">
        <v>5</v>
      </c>
      <c r="F1067" t="s">
        <v>1759</v>
      </c>
      <c r="G1067">
        <v>2188</v>
      </c>
      <c r="H1067">
        <v>1</v>
      </c>
      <c r="I1067" t="s">
        <v>89</v>
      </c>
      <c r="J1067">
        <v>0</v>
      </c>
      <c r="K1067">
        <v>2</v>
      </c>
      <c r="L1067">
        <v>2</v>
      </c>
      <c r="M1067">
        <v>227</v>
      </c>
      <c r="N1067">
        <v>185</v>
      </c>
      <c r="O1067">
        <v>0</v>
      </c>
      <c r="P1067">
        <v>185</v>
      </c>
      <c r="Q1067">
        <v>11</v>
      </c>
      <c r="R1067">
        <v>46</v>
      </c>
      <c r="S1067">
        <v>29</v>
      </c>
      <c r="T1067">
        <v>4</v>
      </c>
      <c r="U1067">
        <v>11</v>
      </c>
      <c r="V1067">
        <v>1</v>
      </c>
      <c r="W1067">
        <v>8</v>
      </c>
      <c r="X1067">
        <v>2</v>
      </c>
      <c r="Y1067">
        <v>55</v>
      </c>
      <c r="Z1067">
        <v>2</v>
      </c>
      <c r="AA1067" t="s">
        <v>100</v>
      </c>
      <c r="AB1067" t="s">
        <v>100</v>
      </c>
      <c r="AC1067" t="s">
        <v>100</v>
      </c>
      <c r="AD1067">
        <v>1</v>
      </c>
      <c r="AE1067" t="s">
        <v>100</v>
      </c>
      <c r="AF1067" t="s">
        <v>100</v>
      </c>
      <c r="AG1067" t="s">
        <v>100</v>
      </c>
      <c r="AH1067">
        <v>1</v>
      </c>
      <c r="AI1067" t="s">
        <v>100</v>
      </c>
      <c r="AJ1067" t="s">
        <v>100</v>
      </c>
      <c r="AK1067">
        <v>3</v>
      </c>
      <c r="AL1067">
        <v>1</v>
      </c>
      <c r="AM1067" t="s">
        <v>100</v>
      </c>
      <c r="AN1067">
        <v>2</v>
      </c>
      <c r="AT1067" t="s">
        <v>100</v>
      </c>
      <c r="AU1067">
        <v>8</v>
      </c>
      <c r="AV1067">
        <v>185</v>
      </c>
      <c r="AW1067">
        <v>185</v>
      </c>
      <c r="AX1067">
        <v>390</v>
      </c>
      <c r="AZ1067" t="s">
        <v>101</v>
      </c>
      <c r="BA1067">
        <v>1</v>
      </c>
      <c r="BC1067" t="s">
        <v>2227</v>
      </c>
      <c r="BD1067" s="4">
        <v>43283.093055555553</v>
      </c>
      <c r="BE1067" s="4">
        <v>43283.09752314815</v>
      </c>
      <c r="BF1067" s="4">
        <v>43283.09752314815</v>
      </c>
      <c r="BG1067" t="s">
        <v>83</v>
      </c>
      <c r="BH1067" t="s">
        <v>84</v>
      </c>
      <c r="BI1067" t="s">
        <v>85</v>
      </c>
    </row>
    <row r="1068" spans="1:61" x14ac:dyDescent="0.3">
      <c r="A1068" t="str">
        <f>"202188E0100"</f>
        <v>202188E0100</v>
      </c>
      <c r="B1068" s="2" t="s">
        <v>2228</v>
      </c>
      <c r="C1068">
        <v>20</v>
      </c>
      <c r="D1068" t="s">
        <v>79</v>
      </c>
      <c r="E1068">
        <v>5</v>
      </c>
      <c r="F1068" t="s">
        <v>1759</v>
      </c>
      <c r="G1068">
        <v>2188</v>
      </c>
      <c r="H1068">
        <v>1</v>
      </c>
      <c r="I1068" t="s">
        <v>145</v>
      </c>
      <c r="J1068">
        <v>0</v>
      </c>
      <c r="K1068">
        <v>2</v>
      </c>
      <c r="L1068">
        <v>2</v>
      </c>
      <c r="M1068">
        <v>201</v>
      </c>
      <c r="N1068" t="s">
        <v>100</v>
      </c>
      <c r="O1068" t="s">
        <v>100</v>
      </c>
      <c r="P1068">
        <v>224</v>
      </c>
      <c r="Q1068">
        <v>8</v>
      </c>
      <c r="R1068">
        <v>39</v>
      </c>
      <c r="S1068">
        <v>15</v>
      </c>
      <c r="T1068">
        <v>1</v>
      </c>
      <c r="U1068">
        <v>30</v>
      </c>
      <c r="V1068">
        <v>2</v>
      </c>
      <c r="W1068">
        <v>7</v>
      </c>
      <c r="X1068">
        <v>6</v>
      </c>
      <c r="Y1068">
        <v>99</v>
      </c>
      <c r="Z1068">
        <v>3</v>
      </c>
      <c r="AA1068" t="s">
        <v>100</v>
      </c>
      <c r="AB1068" t="s">
        <v>100</v>
      </c>
      <c r="AC1068" t="s">
        <v>100</v>
      </c>
      <c r="AD1068" t="s">
        <v>100</v>
      </c>
      <c r="AE1068" t="s">
        <v>100</v>
      </c>
      <c r="AF1068" t="s">
        <v>100</v>
      </c>
      <c r="AG1068" t="s">
        <v>100</v>
      </c>
      <c r="AH1068" t="s">
        <v>100</v>
      </c>
      <c r="AI1068" t="s">
        <v>100</v>
      </c>
      <c r="AJ1068" t="s">
        <v>100</v>
      </c>
      <c r="AK1068">
        <v>2</v>
      </c>
      <c r="AL1068">
        <v>2</v>
      </c>
      <c r="AM1068">
        <v>1</v>
      </c>
      <c r="AN1068">
        <v>1</v>
      </c>
      <c r="AT1068" t="s">
        <v>100</v>
      </c>
      <c r="AU1068">
        <v>8</v>
      </c>
      <c r="AV1068" t="s">
        <v>100</v>
      </c>
      <c r="AW1068">
        <v>224</v>
      </c>
      <c r="AX1068">
        <v>403</v>
      </c>
      <c r="AZ1068" t="s">
        <v>101</v>
      </c>
      <c r="BA1068">
        <v>1</v>
      </c>
      <c r="BC1068" t="s">
        <v>2229</v>
      </c>
      <c r="BD1068" s="4">
        <v>43283.095138888886</v>
      </c>
      <c r="BE1068" s="4">
        <v>43283.099178240744</v>
      </c>
      <c r="BF1068" s="4">
        <v>43283.099178240744</v>
      </c>
      <c r="BG1068" t="s">
        <v>83</v>
      </c>
      <c r="BH1068" t="s">
        <v>84</v>
      </c>
      <c r="BI1068" t="s">
        <v>85</v>
      </c>
    </row>
    <row r="1069" spans="1:61" x14ac:dyDescent="0.3">
      <c r="A1069" t="str">
        <f>"202234B0100"</f>
        <v>202234B0100</v>
      </c>
      <c r="B1069" t="s">
        <v>2230</v>
      </c>
      <c r="C1069">
        <v>20</v>
      </c>
      <c r="D1069" t="s">
        <v>79</v>
      </c>
      <c r="E1069">
        <v>5</v>
      </c>
      <c r="F1069" t="s">
        <v>1759</v>
      </c>
      <c r="G1069">
        <v>2234</v>
      </c>
      <c r="H1069">
        <v>1</v>
      </c>
      <c r="I1069" t="s">
        <v>81</v>
      </c>
      <c r="J1069">
        <v>0</v>
      </c>
      <c r="K1069">
        <v>1</v>
      </c>
      <c r="L1069">
        <v>2</v>
      </c>
      <c r="AX1069">
        <v>103</v>
      </c>
      <c r="AZ1069" t="s">
        <v>156</v>
      </c>
      <c r="BA1069">
        <v>0</v>
      </c>
      <c r="BC1069" t="s">
        <v>2231</v>
      </c>
      <c r="BD1069" s="4">
        <v>43283.615277777775</v>
      </c>
      <c r="BE1069" s="4">
        <v>43283.618298611109</v>
      </c>
      <c r="BF1069" s="4">
        <v>43283.618298611109</v>
      </c>
      <c r="BG1069" t="s">
        <v>83</v>
      </c>
      <c r="BH1069" t="s">
        <v>84</v>
      </c>
      <c r="BI1069" t="s">
        <v>85</v>
      </c>
    </row>
    <row r="1070" spans="1:61" x14ac:dyDescent="0.3">
      <c r="A1070" t="str">
        <f>"202244B0100"</f>
        <v>202244B0100</v>
      </c>
      <c r="B1070" t="s">
        <v>2232</v>
      </c>
      <c r="C1070">
        <v>20</v>
      </c>
      <c r="D1070" t="s">
        <v>79</v>
      </c>
      <c r="E1070">
        <v>5</v>
      </c>
      <c r="F1070" t="s">
        <v>1759</v>
      </c>
      <c r="G1070">
        <v>2244</v>
      </c>
      <c r="H1070">
        <v>1</v>
      </c>
      <c r="I1070" t="s">
        <v>81</v>
      </c>
      <c r="J1070">
        <v>0</v>
      </c>
      <c r="K1070">
        <v>2</v>
      </c>
      <c r="L1070">
        <v>2</v>
      </c>
      <c r="M1070">
        <v>84</v>
      </c>
      <c r="N1070">
        <v>130</v>
      </c>
      <c r="O1070">
        <v>3</v>
      </c>
      <c r="P1070">
        <v>129</v>
      </c>
      <c r="Q1070">
        <v>4</v>
      </c>
      <c r="R1070">
        <v>53</v>
      </c>
      <c r="S1070">
        <v>11</v>
      </c>
      <c r="T1070">
        <v>2</v>
      </c>
      <c r="U1070">
        <v>10</v>
      </c>
      <c r="V1070">
        <v>2</v>
      </c>
      <c r="W1070">
        <v>3</v>
      </c>
      <c r="X1070">
        <v>3</v>
      </c>
      <c r="Y1070">
        <v>23</v>
      </c>
      <c r="Z1070">
        <v>1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2</v>
      </c>
      <c r="AI1070">
        <v>0</v>
      </c>
      <c r="AJ1070">
        <v>0</v>
      </c>
      <c r="AK1070">
        <v>2</v>
      </c>
      <c r="AL1070">
        <v>1</v>
      </c>
      <c r="AM1070">
        <v>0</v>
      </c>
      <c r="AN1070">
        <v>1</v>
      </c>
      <c r="AT1070">
        <v>1</v>
      </c>
      <c r="AU1070">
        <v>10</v>
      </c>
      <c r="AV1070">
        <v>129</v>
      </c>
      <c r="AW1070">
        <v>129</v>
      </c>
      <c r="AX1070">
        <v>192</v>
      </c>
      <c r="BA1070">
        <v>1</v>
      </c>
      <c r="BC1070" t="s">
        <v>2233</v>
      </c>
      <c r="BD1070" s="4">
        <v>43283.320833333331</v>
      </c>
      <c r="BE1070" s="4">
        <v>43283.342233796298</v>
      </c>
      <c r="BF1070" s="4">
        <v>43283.342233796298</v>
      </c>
      <c r="BG1070" t="s">
        <v>83</v>
      </c>
      <c r="BH1070" t="s">
        <v>84</v>
      </c>
      <c r="BI1070" t="s">
        <v>85</v>
      </c>
    </row>
    <row r="1071" spans="1:61" x14ac:dyDescent="0.3">
      <c r="A1071" t="str">
        <f>"202246B0100"</f>
        <v>202246B0100</v>
      </c>
      <c r="B1071" t="s">
        <v>2234</v>
      </c>
      <c r="C1071">
        <v>20</v>
      </c>
      <c r="D1071" t="s">
        <v>79</v>
      </c>
      <c r="E1071">
        <v>5</v>
      </c>
      <c r="F1071" t="s">
        <v>1759</v>
      </c>
      <c r="G1071">
        <v>2246</v>
      </c>
      <c r="H1071">
        <v>1</v>
      </c>
      <c r="I1071" t="s">
        <v>81</v>
      </c>
      <c r="J1071">
        <v>0</v>
      </c>
      <c r="K1071">
        <v>2</v>
      </c>
      <c r="L1071">
        <v>2</v>
      </c>
      <c r="M1071">
        <v>247</v>
      </c>
      <c r="N1071">
        <v>315</v>
      </c>
      <c r="O1071">
        <v>0</v>
      </c>
      <c r="P1071">
        <v>311</v>
      </c>
      <c r="Q1071">
        <v>25</v>
      </c>
      <c r="R1071">
        <v>40</v>
      </c>
      <c r="S1071">
        <v>37</v>
      </c>
      <c r="T1071">
        <v>4</v>
      </c>
      <c r="U1071">
        <v>38</v>
      </c>
      <c r="V1071">
        <v>10</v>
      </c>
      <c r="W1071">
        <v>11</v>
      </c>
      <c r="X1071">
        <v>1</v>
      </c>
      <c r="Y1071">
        <v>110</v>
      </c>
      <c r="Z1071">
        <v>5</v>
      </c>
      <c r="AA1071">
        <v>0</v>
      </c>
      <c r="AB1071">
        <v>3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6</v>
      </c>
      <c r="AL1071">
        <v>6</v>
      </c>
      <c r="AM1071">
        <v>2</v>
      </c>
      <c r="AN1071">
        <v>0</v>
      </c>
      <c r="AT1071">
        <v>0</v>
      </c>
      <c r="AU1071">
        <v>13</v>
      </c>
      <c r="AV1071">
        <v>311</v>
      </c>
      <c r="AW1071">
        <v>311</v>
      </c>
      <c r="AX1071">
        <v>541</v>
      </c>
      <c r="BA1071">
        <v>1</v>
      </c>
      <c r="BC1071" t="s">
        <v>2235</v>
      </c>
      <c r="BD1071" s="4">
        <v>43282.977083333331</v>
      </c>
      <c r="BE1071" s="4">
        <v>43282.981122685182</v>
      </c>
      <c r="BF1071" s="4">
        <v>43282.981122685182</v>
      </c>
      <c r="BG1071" t="s">
        <v>83</v>
      </c>
      <c r="BH1071" t="s">
        <v>84</v>
      </c>
      <c r="BI1071" t="s">
        <v>85</v>
      </c>
    </row>
    <row r="1072" spans="1:61" x14ac:dyDescent="0.3">
      <c r="A1072" t="str">
        <f>"202246C0100"</f>
        <v>202246C0100</v>
      </c>
      <c r="B1072" t="s">
        <v>2236</v>
      </c>
      <c r="C1072">
        <v>20</v>
      </c>
      <c r="D1072" t="s">
        <v>79</v>
      </c>
      <c r="E1072">
        <v>5</v>
      </c>
      <c r="F1072" t="s">
        <v>1759</v>
      </c>
      <c r="G1072">
        <v>2246</v>
      </c>
      <c r="H1072">
        <v>1</v>
      </c>
      <c r="I1072" t="s">
        <v>89</v>
      </c>
      <c r="J1072">
        <v>0</v>
      </c>
      <c r="K1072">
        <v>2</v>
      </c>
      <c r="L1072">
        <v>2</v>
      </c>
      <c r="M1072">
        <v>272</v>
      </c>
      <c r="N1072">
        <v>291</v>
      </c>
      <c r="O1072">
        <v>3</v>
      </c>
      <c r="P1072">
        <v>291</v>
      </c>
      <c r="Q1072">
        <v>14</v>
      </c>
      <c r="R1072">
        <v>42</v>
      </c>
      <c r="S1072">
        <v>45</v>
      </c>
      <c r="T1072" t="s">
        <v>100</v>
      </c>
      <c r="U1072">
        <v>26</v>
      </c>
      <c r="V1072">
        <v>10</v>
      </c>
      <c r="W1072">
        <v>4</v>
      </c>
      <c r="X1072">
        <v>2</v>
      </c>
      <c r="Y1072">
        <v>110</v>
      </c>
      <c r="Z1072">
        <v>6</v>
      </c>
      <c r="AA1072">
        <v>2</v>
      </c>
      <c r="AB1072">
        <v>2</v>
      </c>
      <c r="AC1072" t="s">
        <v>100</v>
      </c>
      <c r="AD1072">
        <v>6</v>
      </c>
      <c r="AE1072" t="s">
        <v>100</v>
      </c>
      <c r="AF1072" t="s">
        <v>100</v>
      </c>
      <c r="AG1072" t="s">
        <v>100</v>
      </c>
      <c r="AH1072">
        <v>7</v>
      </c>
      <c r="AI1072" t="s">
        <v>100</v>
      </c>
      <c r="AJ1072" t="s">
        <v>100</v>
      </c>
      <c r="AK1072" t="s">
        <v>100</v>
      </c>
      <c r="AL1072" t="s">
        <v>100</v>
      </c>
      <c r="AM1072" t="s">
        <v>100</v>
      </c>
      <c r="AN1072">
        <v>7</v>
      </c>
      <c r="AT1072" t="s">
        <v>100</v>
      </c>
      <c r="AU1072">
        <v>8</v>
      </c>
      <c r="AV1072">
        <v>291</v>
      </c>
      <c r="AW1072">
        <v>291</v>
      </c>
      <c r="AX1072">
        <v>541</v>
      </c>
      <c r="AZ1072" t="s">
        <v>101</v>
      </c>
      <c r="BA1072">
        <v>1</v>
      </c>
      <c r="BC1072" t="s">
        <v>2237</v>
      </c>
      <c r="BD1072" s="4">
        <v>43282.972916666666</v>
      </c>
      <c r="BE1072" s="4">
        <v>43282.979641203703</v>
      </c>
      <c r="BF1072" s="4">
        <v>43282.979641203703</v>
      </c>
      <c r="BG1072" t="s">
        <v>83</v>
      </c>
      <c r="BH1072" t="s">
        <v>84</v>
      </c>
      <c r="BI1072" t="s">
        <v>85</v>
      </c>
    </row>
    <row r="1073" spans="1:61" x14ac:dyDescent="0.3">
      <c r="A1073" t="str">
        <f>"202247B0100"</f>
        <v>202247B0100</v>
      </c>
      <c r="B1073" t="s">
        <v>2238</v>
      </c>
      <c r="C1073">
        <v>20</v>
      </c>
      <c r="D1073" t="s">
        <v>79</v>
      </c>
      <c r="E1073">
        <v>5</v>
      </c>
      <c r="F1073" t="s">
        <v>1759</v>
      </c>
      <c r="G1073">
        <v>2247</v>
      </c>
      <c r="H1073">
        <v>1</v>
      </c>
      <c r="I1073" t="s">
        <v>81</v>
      </c>
      <c r="J1073">
        <v>0</v>
      </c>
      <c r="K1073">
        <v>2</v>
      </c>
      <c r="L1073">
        <v>2</v>
      </c>
      <c r="M1073">
        <v>44</v>
      </c>
      <c r="N1073">
        <v>60</v>
      </c>
      <c r="O1073">
        <v>7</v>
      </c>
      <c r="P1073">
        <v>60</v>
      </c>
      <c r="Q1073">
        <v>4</v>
      </c>
      <c r="R1073">
        <v>9</v>
      </c>
      <c r="S1073">
        <v>6</v>
      </c>
      <c r="T1073">
        <v>2</v>
      </c>
      <c r="U1073">
        <v>6</v>
      </c>
      <c r="V1073">
        <v>2</v>
      </c>
      <c r="W1073">
        <v>4</v>
      </c>
      <c r="X1073">
        <v>0</v>
      </c>
      <c r="Y1073">
        <v>18</v>
      </c>
      <c r="Z1073">
        <v>0</v>
      </c>
      <c r="AA1073">
        <v>0</v>
      </c>
      <c r="AB1073">
        <v>0</v>
      </c>
      <c r="AC1073">
        <v>0</v>
      </c>
      <c r="AD1073">
        <v>1</v>
      </c>
      <c r="AE1073">
        <v>0</v>
      </c>
      <c r="AF1073">
        <v>0</v>
      </c>
      <c r="AG1073">
        <v>1</v>
      </c>
      <c r="AH1073">
        <v>0</v>
      </c>
      <c r="AI1073">
        <v>0</v>
      </c>
      <c r="AJ1073">
        <v>1</v>
      </c>
      <c r="AK1073">
        <v>1</v>
      </c>
      <c r="AL1073">
        <v>1</v>
      </c>
      <c r="AM1073">
        <v>0</v>
      </c>
      <c r="AN1073">
        <v>1</v>
      </c>
      <c r="AT1073">
        <v>0</v>
      </c>
      <c r="AU1073">
        <v>3</v>
      </c>
      <c r="AV1073">
        <v>60</v>
      </c>
      <c r="AW1073">
        <v>60</v>
      </c>
      <c r="AX1073">
        <v>82</v>
      </c>
      <c r="BA1073">
        <v>1</v>
      </c>
      <c r="BC1073" t="s">
        <v>2239</v>
      </c>
      <c r="BD1073" s="4">
        <v>43282.974999999999</v>
      </c>
      <c r="BE1073" s="4">
        <v>43282.980023148149</v>
      </c>
      <c r="BF1073" s="4">
        <v>43282.980023148149</v>
      </c>
      <c r="BG1073" t="s">
        <v>83</v>
      </c>
      <c r="BH1073" t="s">
        <v>84</v>
      </c>
      <c r="BI1073" t="s">
        <v>85</v>
      </c>
    </row>
    <row r="1074" spans="1:61" x14ac:dyDescent="0.3">
      <c r="A1074" t="str">
        <f>"202248B0100"</f>
        <v>202248B0100</v>
      </c>
      <c r="B1074" t="s">
        <v>2240</v>
      </c>
      <c r="C1074">
        <v>20</v>
      </c>
      <c r="D1074" t="s">
        <v>79</v>
      </c>
      <c r="E1074">
        <v>5</v>
      </c>
      <c r="F1074" t="s">
        <v>1759</v>
      </c>
      <c r="G1074">
        <v>2248</v>
      </c>
      <c r="H1074">
        <v>1</v>
      </c>
      <c r="I1074" t="s">
        <v>81</v>
      </c>
      <c r="J1074">
        <v>0</v>
      </c>
      <c r="K1074">
        <v>1</v>
      </c>
      <c r="L1074">
        <v>2</v>
      </c>
      <c r="M1074">
        <v>141</v>
      </c>
      <c r="N1074">
        <v>195</v>
      </c>
      <c r="O1074">
        <v>2</v>
      </c>
      <c r="P1074">
        <v>195</v>
      </c>
      <c r="Q1074">
        <v>4</v>
      </c>
      <c r="R1074">
        <v>15</v>
      </c>
      <c r="S1074">
        <v>19</v>
      </c>
      <c r="T1074">
        <v>2</v>
      </c>
      <c r="U1074">
        <v>10</v>
      </c>
      <c r="V1074">
        <v>4</v>
      </c>
      <c r="W1074">
        <v>2</v>
      </c>
      <c r="X1074">
        <v>1</v>
      </c>
      <c r="Y1074">
        <v>121</v>
      </c>
      <c r="Z1074">
        <v>1</v>
      </c>
      <c r="AA1074">
        <v>0</v>
      </c>
      <c r="AB1074">
        <v>2</v>
      </c>
      <c r="AC1074">
        <v>0</v>
      </c>
      <c r="AD1074">
        <v>1</v>
      </c>
      <c r="AE1074">
        <v>0</v>
      </c>
      <c r="AF1074">
        <v>0</v>
      </c>
      <c r="AG1074">
        <v>0</v>
      </c>
      <c r="AH1074">
        <v>1</v>
      </c>
      <c r="AI1074">
        <v>0</v>
      </c>
      <c r="AJ1074">
        <v>0</v>
      </c>
      <c r="AK1074">
        <v>0</v>
      </c>
      <c r="AL1074">
        <v>1</v>
      </c>
      <c r="AM1074">
        <v>0</v>
      </c>
      <c r="AN1074">
        <v>1</v>
      </c>
      <c r="AT1074" t="s">
        <v>100</v>
      </c>
      <c r="AU1074">
        <v>9</v>
      </c>
      <c r="AV1074">
        <v>195</v>
      </c>
      <c r="AW1074">
        <v>194</v>
      </c>
      <c r="AX1074">
        <v>314</v>
      </c>
      <c r="AZ1074" t="s">
        <v>101</v>
      </c>
      <c r="BA1074">
        <v>1</v>
      </c>
      <c r="BC1074" t="s">
        <v>2241</v>
      </c>
      <c r="BD1074" s="4">
        <v>43283.411111111112</v>
      </c>
      <c r="BE1074" s="4">
        <v>43283.422627314816</v>
      </c>
      <c r="BF1074" s="4">
        <v>43283.422627314816</v>
      </c>
      <c r="BG1074" t="s">
        <v>83</v>
      </c>
      <c r="BH1074" t="s">
        <v>84</v>
      </c>
      <c r="BI1074" t="s">
        <v>85</v>
      </c>
    </row>
    <row r="1075" spans="1:61" x14ac:dyDescent="0.3">
      <c r="A1075" t="str">
        <f>"202261B0100"</f>
        <v>202261B0100</v>
      </c>
      <c r="B1075" t="s">
        <v>2242</v>
      </c>
      <c r="C1075">
        <v>20</v>
      </c>
      <c r="D1075" t="s">
        <v>79</v>
      </c>
      <c r="E1075">
        <v>5</v>
      </c>
      <c r="F1075" t="s">
        <v>1759</v>
      </c>
      <c r="G1075">
        <v>2261</v>
      </c>
      <c r="H1075">
        <v>1</v>
      </c>
      <c r="I1075" t="s">
        <v>81</v>
      </c>
      <c r="J1075">
        <v>0</v>
      </c>
      <c r="K1075">
        <v>1</v>
      </c>
      <c r="L1075">
        <v>2</v>
      </c>
      <c r="M1075">
        <v>342</v>
      </c>
      <c r="N1075">
        <v>245</v>
      </c>
      <c r="O1075">
        <v>0</v>
      </c>
      <c r="P1075">
        <v>245</v>
      </c>
      <c r="Q1075">
        <v>9</v>
      </c>
      <c r="R1075">
        <v>31</v>
      </c>
      <c r="S1075">
        <v>2</v>
      </c>
      <c r="T1075">
        <v>2</v>
      </c>
      <c r="U1075">
        <v>47</v>
      </c>
      <c r="V1075">
        <v>2</v>
      </c>
      <c r="W1075">
        <v>1</v>
      </c>
      <c r="X1075">
        <v>0</v>
      </c>
      <c r="Y1075">
        <v>119</v>
      </c>
      <c r="Z1075">
        <v>6</v>
      </c>
      <c r="AA1075">
        <v>1</v>
      </c>
      <c r="AB1075">
        <v>3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2</v>
      </c>
      <c r="AI1075">
        <v>0</v>
      </c>
      <c r="AJ1075">
        <v>0</v>
      </c>
      <c r="AK1075">
        <v>4</v>
      </c>
      <c r="AL1075">
        <v>3</v>
      </c>
      <c r="AM1075">
        <v>0</v>
      </c>
      <c r="AN1075">
        <v>1</v>
      </c>
      <c r="AT1075">
        <v>0</v>
      </c>
      <c r="AU1075">
        <v>12</v>
      </c>
      <c r="AV1075">
        <v>245</v>
      </c>
      <c r="AW1075">
        <v>245</v>
      </c>
      <c r="AX1075">
        <v>565</v>
      </c>
      <c r="BA1075">
        <v>1</v>
      </c>
      <c r="BC1075" t="s">
        <v>2243</v>
      </c>
      <c r="BD1075" s="4">
        <v>43283.143750000003</v>
      </c>
      <c r="BE1075" s="4">
        <v>43283.153958333336</v>
      </c>
      <c r="BF1075" s="4">
        <v>43283.153958333336</v>
      </c>
      <c r="BG1075" t="s">
        <v>83</v>
      </c>
      <c r="BH1075" t="s">
        <v>84</v>
      </c>
      <c r="BI1075" t="s">
        <v>85</v>
      </c>
    </row>
    <row r="1076" spans="1:61" x14ac:dyDescent="0.3">
      <c r="A1076" t="str">
        <f>"202261C0100"</f>
        <v>202261C0100</v>
      </c>
      <c r="B1076" t="s">
        <v>2244</v>
      </c>
      <c r="C1076">
        <v>20</v>
      </c>
      <c r="D1076" t="s">
        <v>79</v>
      </c>
      <c r="E1076">
        <v>5</v>
      </c>
      <c r="F1076" t="s">
        <v>1759</v>
      </c>
      <c r="G1076">
        <v>2261</v>
      </c>
      <c r="H1076">
        <v>1</v>
      </c>
      <c r="I1076" t="s">
        <v>89</v>
      </c>
      <c r="J1076">
        <v>0</v>
      </c>
      <c r="K1076">
        <v>1</v>
      </c>
      <c r="L1076">
        <v>2</v>
      </c>
      <c r="M1076">
        <v>294</v>
      </c>
      <c r="N1076">
        <v>293</v>
      </c>
      <c r="O1076">
        <v>0</v>
      </c>
      <c r="P1076">
        <v>293</v>
      </c>
      <c r="Q1076">
        <v>9</v>
      </c>
      <c r="R1076">
        <v>34</v>
      </c>
      <c r="S1076">
        <v>4</v>
      </c>
      <c r="T1076">
        <v>9</v>
      </c>
      <c r="U1076">
        <v>53</v>
      </c>
      <c r="V1076">
        <v>1</v>
      </c>
      <c r="W1076">
        <v>1</v>
      </c>
      <c r="X1076">
        <v>0</v>
      </c>
      <c r="Y1076">
        <v>155</v>
      </c>
      <c r="Z1076">
        <v>2</v>
      </c>
      <c r="AA1076">
        <v>0</v>
      </c>
      <c r="AB1076">
        <v>3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2</v>
      </c>
      <c r="AI1076">
        <v>0</v>
      </c>
      <c r="AJ1076">
        <v>0</v>
      </c>
      <c r="AK1076">
        <v>2</v>
      </c>
      <c r="AL1076">
        <v>5</v>
      </c>
      <c r="AM1076">
        <v>0</v>
      </c>
      <c r="AN1076">
        <v>1</v>
      </c>
      <c r="AT1076">
        <v>0</v>
      </c>
      <c r="AU1076">
        <v>13</v>
      </c>
      <c r="AV1076">
        <v>293</v>
      </c>
      <c r="AW1076">
        <v>294</v>
      </c>
      <c r="AX1076">
        <v>565</v>
      </c>
      <c r="BA1076">
        <v>1</v>
      </c>
      <c r="BC1076" t="s">
        <v>2245</v>
      </c>
      <c r="BD1076" s="4">
        <v>43283.142361111109</v>
      </c>
      <c r="BE1076" s="4">
        <v>43283.147106481483</v>
      </c>
      <c r="BF1076" s="4">
        <v>43283.147106481483</v>
      </c>
      <c r="BG1076" t="s">
        <v>83</v>
      </c>
      <c r="BH1076" t="s">
        <v>84</v>
      </c>
      <c r="BI1076" t="s">
        <v>85</v>
      </c>
    </row>
    <row r="1077" spans="1:61" x14ac:dyDescent="0.3">
      <c r="A1077" t="str">
        <f>"202261C0200"</f>
        <v>202261C0200</v>
      </c>
      <c r="B1077" t="s">
        <v>2246</v>
      </c>
      <c r="C1077">
        <v>20</v>
      </c>
      <c r="D1077" t="s">
        <v>79</v>
      </c>
      <c r="E1077">
        <v>5</v>
      </c>
      <c r="F1077" t="s">
        <v>1759</v>
      </c>
      <c r="G1077">
        <v>2261</v>
      </c>
      <c r="H1077">
        <v>2</v>
      </c>
      <c r="I1077" t="s">
        <v>89</v>
      </c>
      <c r="J1077">
        <v>0</v>
      </c>
      <c r="K1077">
        <v>1</v>
      </c>
      <c r="L1077">
        <v>2</v>
      </c>
      <c r="M1077">
        <v>314</v>
      </c>
      <c r="N1077">
        <v>272</v>
      </c>
      <c r="O1077">
        <v>3</v>
      </c>
      <c r="P1077">
        <v>272</v>
      </c>
      <c r="Q1077">
        <v>9</v>
      </c>
      <c r="R1077">
        <v>42</v>
      </c>
      <c r="S1077">
        <v>7</v>
      </c>
      <c r="T1077">
        <v>1</v>
      </c>
      <c r="U1077">
        <v>49</v>
      </c>
      <c r="V1077">
        <v>1</v>
      </c>
      <c r="W1077">
        <v>4</v>
      </c>
      <c r="X1077">
        <v>3</v>
      </c>
      <c r="Y1077">
        <v>125</v>
      </c>
      <c r="Z1077">
        <v>6</v>
      </c>
      <c r="AA1077">
        <v>1</v>
      </c>
      <c r="AB1077">
        <v>5</v>
      </c>
      <c r="AC1077">
        <v>1</v>
      </c>
      <c r="AD1077">
        <v>0</v>
      </c>
      <c r="AE1077">
        <v>0</v>
      </c>
      <c r="AF1077">
        <v>0</v>
      </c>
      <c r="AG1077">
        <v>1</v>
      </c>
      <c r="AH1077">
        <v>0</v>
      </c>
      <c r="AI1077">
        <v>0</v>
      </c>
      <c r="AJ1077">
        <v>0</v>
      </c>
      <c r="AK1077">
        <v>2</v>
      </c>
      <c r="AL1077">
        <v>2</v>
      </c>
      <c r="AM1077">
        <v>1</v>
      </c>
      <c r="AN1077">
        <v>2</v>
      </c>
      <c r="AT1077">
        <v>0</v>
      </c>
      <c r="AU1077">
        <v>10</v>
      </c>
      <c r="AV1077">
        <v>272</v>
      </c>
      <c r="AW1077">
        <v>272</v>
      </c>
      <c r="AX1077">
        <v>564</v>
      </c>
      <c r="BA1077">
        <v>1</v>
      </c>
      <c r="BC1077" t="s">
        <v>2247</v>
      </c>
      <c r="BD1077" s="4">
        <v>43283.142361111109</v>
      </c>
      <c r="BE1077" s="4">
        <v>43283.154768518521</v>
      </c>
      <c r="BF1077" s="4">
        <v>43283.154768518521</v>
      </c>
      <c r="BG1077" t="s">
        <v>83</v>
      </c>
      <c r="BH1077" t="s">
        <v>84</v>
      </c>
      <c r="BI1077" t="s">
        <v>85</v>
      </c>
    </row>
    <row r="1078" spans="1:61" x14ac:dyDescent="0.3">
      <c r="A1078" t="str">
        <f>"202305B0100"</f>
        <v>202305B0100</v>
      </c>
      <c r="B1078" t="s">
        <v>2248</v>
      </c>
      <c r="C1078">
        <v>20</v>
      </c>
      <c r="D1078" t="s">
        <v>79</v>
      </c>
      <c r="E1078">
        <v>5</v>
      </c>
      <c r="F1078" t="s">
        <v>1759</v>
      </c>
      <c r="G1078">
        <v>2305</v>
      </c>
      <c r="H1078">
        <v>1</v>
      </c>
      <c r="I1078" t="s">
        <v>81</v>
      </c>
      <c r="J1078">
        <v>0</v>
      </c>
      <c r="K1078">
        <v>1</v>
      </c>
      <c r="L1078">
        <v>2</v>
      </c>
      <c r="M1078" t="s">
        <v>315</v>
      </c>
      <c r="N1078" t="s">
        <v>315</v>
      </c>
      <c r="O1078" t="s">
        <v>315</v>
      </c>
      <c r="P1078" t="s">
        <v>315</v>
      </c>
      <c r="Q1078" t="s">
        <v>315</v>
      </c>
      <c r="R1078" t="s">
        <v>315</v>
      </c>
      <c r="S1078" t="s">
        <v>315</v>
      </c>
      <c r="T1078" t="s">
        <v>315</v>
      </c>
      <c r="U1078" t="s">
        <v>315</v>
      </c>
      <c r="V1078" t="s">
        <v>315</v>
      </c>
      <c r="W1078" t="s">
        <v>315</v>
      </c>
      <c r="X1078" t="s">
        <v>315</v>
      </c>
      <c r="Y1078" t="s">
        <v>315</v>
      </c>
      <c r="Z1078" t="s">
        <v>315</v>
      </c>
      <c r="AA1078" t="s">
        <v>315</v>
      </c>
      <c r="AB1078" t="s">
        <v>315</v>
      </c>
      <c r="AC1078" t="s">
        <v>315</v>
      </c>
      <c r="AD1078" t="s">
        <v>315</v>
      </c>
      <c r="AE1078" t="s">
        <v>315</v>
      </c>
      <c r="AF1078" t="s">
        <v>315</v>
      </c>
      <c r="AG1078" t="s">
        <v>315</v>
      </c>
      <c r="AH1078" t="s">
        <v>315</v>
      </c>
      <c r="AI1078" t="s">
        <v>315</v>
      </c>
      <c r="AJ1078" t="s">
        <v>315</v>
      </c>
      <c r="AK1078" t="s">
        <v>315</v>
      </c>
      <c r="AL1078" t="s">
        <v>315</v>
      </c>
      <c r="AM1078" t="s">
        <v>315</v>
      </c>
      <c r="AN1078" t="s">
        <v>315</v>
      </c>
      <c r="AT1078" t="s">
        <v>315</v>
      </c>
      <c r="AU1078" t="s">
        <v>315</v>
      </c>
      <c r="AX1078">
        <v>734</v>
      </c>
      <c r="AZ1078" t="s">
        <v>794</v>
      </c>
      <c r="BA1078">
        <v>0</v>
      </c>
      <c r="BC1078" t="s">
        <v>2249</v>
      </c>
      <c r="BD1078" s="4">
        <v>43283.470833333333</v>
      </c>
      <c r="BE1078" s="4">
        <v>43283.475497685184</v>
      </c>
      <c r="BF1078" s="4">
        <v>43283.475497685184</v>
      </c>
      <c r="BG1078" t="s">
        <v>83</v>
      </c>
      <c r="BH1078" t="s">
        <v>84</v>
      </c>
      <c r="BI1078" t="s">
        <v>85</v>
      </c>
    </row>
    <row r="1079" spans="1:61" x14ac:dyDescent="0.3">
      <c r="A1079" t="str">
        <f>"202305C0100"</f>
        <v>202305C0100</v>
      </c>
      <c r="B1079" t="s">
        <v>2250</v>
      </c>
      <c r="C1079">
        <v>20</v>
      </c>
      <c r="D1079" t="s">
        <v>79</v>
      </c>
      <c r="E1079">
        <v>5</v>
      </c>
      <c r="F1079" t="s">
        <v>1759</v>
      </c>
      <c r="G1079">
        <v>2305</v>
      </c>
      <c r="H1079">
        <v>1</v>
      </c>
      <c r="I1079" t="s">
        <v>89</v>
      </c>
      <c r="J1079">
        <v>0</v>
      </c>
      <c r="K1079">
        <v>1</v>
      </c>
      <c r="L1079">
        <v>2</v>
      </c>
      <c r="M1079">
        <v>213</v>
      </c>
      <c r="N1079">
        <v>542</v>
      </c>
      <c r="O1079">
        <v>3</v>
      </c>
      <c r="P1079">
        <v>539</v>
      </c>
      <c r="Q1079">
        <v>10</v>
      </c>
      <c r="R1079">
        <v>98</v>
      </c>
      <c r="S1079">
        <v>25</v>
      </c>
      <c r="T1079">
        <v>7</v>
      </c>
      <c r="U1079">
        <v>54</v>
      </c>
      <c r="V1079">
        <v>12</v>
      </c>
      <c r="W1079">
        <v>8</v>
      </c>
      <c r="X1079">
        <v>6</v>
      </c>
      <c r="Y1079">
        <v>227</v>
      </c>
      <c r="Z1079">
        <v>7</v>
      </c>
      <c r="AA1079">
        <v>3</v>
      </c>
      <c r="AB1079">
        <v>51</v>
      </c>
      <c r="AC1079">
        <v>1</v>
      </c>
      <c r="AD1079">
        <v>0</v>
      </c>
      <c r="AE1079">
        <v>0</v>
      </c>
      <c r="AF1079">
        <v>1</v>
      </c>
      <c r="AG1079">
        <v>0</v>
      </c>
      <c r="AH1079">
        <v>3</v>
      </c>
      <c r="AI1079">
        <v>0</v>
      </c>
      <c r="AJ1079">
        <v>0</v>
      </c>
      <c r="AK1079">
        <v>2</v>
      </c>
      <c r="AL1079">
        <v>0</v>
      </c>
      <c r="AM1079">
        <v>0</v>
      </c>
      <c r="AN1079">
        <v>1</v>
      </c>
      <c r="AT1079" t="s">
        <v>100</v>
      </c>
      <c r="AU1079">
        <v>25</v>
      </c>
      <c r="AV1079" t="s">
        <v>100</v>
      </c>
      <c r="AW1079">
        <v>541</v>
      </c>
      <c r="AX1079">
        <v>734</v>
      </c>
      <c r="AZ1079" t="s">
        <v>101</v>
      </c>
      <c r="BA1079">
        <v>1</v>
      </c>
      <c r="BC1079" t="s">
        <v>2251</v>
      </c>
      <c r="BD1079" s="4">
        <v>43283.422222222223</v>
      </c>
      <c r="BE1079" s="4">
        <v>43283.427037037036</v>
      </c>
      <c r="BF1079" s="4">
        <v>43283.427037037036</v>
      </c>
      <c r="BG1079" t="s">
        <v>83</v>
      </c>
      <c r="BH1079" t="s">
        <v>84</v>
      </c>
      <c r="BI1079" t="s">
        <v>85</v>
      </c>
    </row>
    <row r="1080" spans="1:61" x14ac:dyDescent="0.3">
      <c r="A1080" t="str">
        <f>"202306B0100"</f>
        <v>202306B0100</v>
      </c>
      <c r="B1080" t="s">
        <v>2252</v>
      </c>
      <c r="C1080">
        <v>20</v>
      </c>
      <c r="D1080" t="s">
        <v>79</v>
      </c>
      <c r="E1080">
        <v>5</v>
      </c>
      <c r="F1080" t="s">
        <v>1759</v>
      </c>
      <c r="G1080">
        <v>2306</v>
      </c>
      <c r="H1080">
        <v>1</v>
      </c>
      <c r="I1080" t="s">
        <v>81</v>
      </c>
      <c r="J1080">
        <v>0</v>
      </c>
      <c r="K1080">
        <v>2</v>
      </c>
      <c r="L1080">
        <v>2</v>
      </c>
      <c r="M1080">
        <v>355</v>
      </c>
      <c r="N1080">
        <v>355</v>
      </c>
      <c r="O1080">
        <v>8</v>
      </c>
      <c r="P1080">
        <v>355</v>
      </c>
      <c r="Q1080">
        <v>16</v>
      </c>
      <c r="R1080">
        <v>66</v>
      </c>
      <c r="S1080">
        <v>22</v>
      </c>
      <c r="T1080">
        <v>12</v>
      </c>
      <c r="U1080">
        <v>32</v>
      </c>
      <c r="V1080">
        <v>13</v>
      </c>
      <c r="W1080">
        <v>9</v>
      </c>
      <c r="X1080">
        <v>9</v>
      </c>
      <c r="Y1080">
        <v>119</v>
      </c>
      <c r="Z1080">
        <v>5</v>
      </c>
      <c r="AA1080">
        <v>0</v>
      </c>
      <c r="AB1080">
        <v>31</v>
      </c>
      <c r="AC1080">
        <v>0</v>
      </c>
      <c r="AD1080">
        <v>0</v>
      </c>
      <c r="AE1080">
        <v>0</v>
      </c>
      <c r="AF1080">
        <v>1</v>
      </c>
      <c r="AG1080">
        <v>0</v>
      </c>
      <c r="AH1080">
        <v>0</v>
      </c>
      <c r="AI1080">
        <v>0</v>
      </c>
      <c r="AJ1080">
        <v>0</v>
      </c>
      <c r="AK1080">
        <v>3</v>
      </c>
      <c r="AL1080">
        <v>1</v>
      </c>
      <c r="AM1080">
        <v>0</v>
      </c>
      <c r="AN1080">
        <v>1</v>
      </c>
      <c r="AT1080">
        <v>0</v>
      </c>
      <c r="AU1080">
        <v>15</v>
      </c>
      <c r="AV1080">
        <v>355</v>
      </c>
      <c r="AW1080">
        <v>355</v>
      </c>
      <c r="AX1080">
        <v>493</v>
      </c>
      <c r="BA1080">
        <v>1</v>
      </c>
      <c r="BC1080" t="s">
        <v>2253</v>
      </c>
      <c r="BD1080" s="4">
        <v>43283.410416666666</v>
      </c>
      <c r="BE1080" s="4">
        <v>43283.419571759259</v>
      </c>
      <c r="BF1080" s="4">
        <v>43283.419571759259</v>
      </c>
      <c r="BG1080" t="s">
        <v>83</v>
      </c>
      <c r="BH1080" t="s">
        <v>84</v>
      </c>
      <c r="BI1080" t="s">
        <v>85</v>
      </c>
    </row>
    <row r="1081" spans="1:61" x14ac:dyDescent="0.3">
      <c r="A1081" t="str">
        <f>"202306C0100"</f>
        <v>202306C0100</v>
      </c>
      <c r="B1081" t="s">
        <v>2254</v>
      </c>
      <c r="C1081">
        <v>20</v>
      </c>
      <c r="D1081" t="s">
        <v>79</v>
      </c>
      <c r="E1081">
        <v>5</v>
      </c>
      <c r="F1081" t="s">
        <v>1759</v>
      </c>
      <c r="G1081">
        <v>2306</v>
      </c>
      <c r="H1081">
        <v>1</v>
      </c>
      <c r="I1081" t="s">
        <v>89</v>
      </c>
      <c r="J1081">
        <v>0</v>
      </c>
      <c r="K1081">
        <v>2</v>
      </c>
      <c r="L1081">
        <v>2</v>
      </c>
      <c r="M1081">
        <v>163</v>
      </c>
      <c r="N1081">
        <v>351</v>
      </c>
      <c r="O1081">
        <v>7</v>
      </c>
      <c r="P1081">
        <v>351</v>
      </c>
      <c r="Q1081">
        <v>6</v>
      </c>
      <c r="R1081">
        <v>75</v>
      </c>
      <c r="S1081">
        <v>10</v>
      </c>
      <c r="T1081">
        <v>8</v>
      </c>
      <c r="U1081">
        <v>38</v>
      </c>
      <c r="V1081">
        <v>14</v>
      </c>
      <c r="W1081">
        <v>3</v>
      </c>
      <c r="X1081">
        <v>11</v>
      </c>
      <c r="Y1081">
        <v>114</v>
      </c>
      <c r="Z1081">
        <v>1</v>
      </c>
      <c r="AA1081">
        <v>1</v>
      </c>
      <c r="AB1081">
        <v>38</v>
      </c>
      <c r="AC1081">
        <v>1</v>
      </c>
      <c r="AD1081">
        <v>0</v>
      </c>
      <c r="AE1081">
        <v>0</v>
      </c>
      <c r="AF1081">
        <v>2</v>
      </c>
      <c r="AG1081">
        <v>3</v>
      </c>
      <c r="AH1081">
        <v>0</v>
      </c>
      <c r="AI1081">
        <v>1</v>
      </c>
      <c r="AJ1081">
        <v>0</v>
      </c>
      <c r="AK1081">
        <v>1</v>
      </c>
      <c r="AL1081">
        <v>4</v>
      </c>
      <c r="AM1081">
        <v>0</v>
      </c>
      <c r="AN1081">
        <v>1</v>
      </c>
      <c r="AT1081">
        <v>0</v>
      </c>
      <c r="AU1081">
        <v>19</v>
      </c>
      <c r="AV1081">
        <v>351</v>
      </c>
      <c r="AW1081">
        <v>351</v>
      </c>
      <c r="AX1081">
        <v>492</v>
      </c>
      <c r="BA1081">
        <v>1</v>
      </c>
      <c r="BC1081" t="s">
        <v>2255</v>
      </c>
      <c r="BD1081" s="4">
        <v>43283.434027777781</v>
      </c>
      <c r="BE1081" s="4">
        <v>43283.440474537034</v>
      </c>
      <c r="BF1081" s="4">
        <v>43283.440474537034</v>
      </c>
      <c r="BG1081" t="s">
        <v>83</v>
      </c>
      <c r="BH1081" t="s">
        <v>84</v>
      </c>
      <c r="BI1081" t="s">
        <v>85</v>
      </c>
    </row>
    <row r="1082" spans="1:61" x14ac:dyDescent="0.3">
      <c r="A1082" t="str">
        <f>"202306E0100"</f>
        <v>202306E0100</v>
      </c>
      <c r="B1082" s="2" t="s">
        <v>2256</v>
      </c>
      <c r="C1082">
        <v>20</v>
      </c>
      <c r="D1082" t="s">
        <v>79</v>
      </c>
      <c r="E1082">
        <v>5</v>
      </c>
      <c r="F1082" t="s">
        <v>1759</v>
      </c>
      <c r="G1082">
        <v>2306</v>
      </c>
      <c r="H1082">
        <v>1</v>
      </c>
      <c r="I1082" t="s">
        <v>145</v>
      </c>
      <c r="J1082">
        <v>0</v>
      </c>
      <c r="K1082">
        <v>2</v>
      </c>
      <c r="L1082">
        <v>2</v>
      </c>
      <c r="M1082">
        <v>84</v>
      </c>
      <c r="N1082">
        <v>177</v>
      </c>
      <c r="O1082">
        <v>7</v>
      </c>
      <c r="P1082">
        <v>177</v>
      </c>
      <c r="Q1082">
        <v>3</v>
      </c>
      <c r="R1082">
        <v>41</v>
      </c>
      <c r="S1082">
        <v>8</v>
      </c>
      <c r="T1082">
        <v>4</v>
      </c>
      <c r="U1082">
        <v>38</v>
      </c>
      <c r="V1082">
        <v>2</v>
      </c>
      <c r="W1082">
        <v>3</v>
      </c>
      <c r="X1082">
        <v>1</v>
      </c>
      <c r="Y1082">
        <v>44</v>
      </c>
      <c r="Z1082">
        <v>4</v>
      </c>
      <c r="AA1082">
        <v>0</v>
      </c>
      <c r="AB1082">
        <v>14</v>
      </c>
      <c r="AC1082">
        <v>1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3</v>
      </c>
      <c r="AL1082">
        <v>2</v>
      </c>
      <c r="AM1082">
        <v>0</v>
      </c>
      <c r="AN1082">
        <v>0</v>
      </c>
      <c r="AT1082">
        <v>0</v>
      </c>
      <c r="AU1082">
        <v>8</v>
      </c>
      <c r="AV1082">
        <v>177</v>
      </c>
      <c r="AW1082">
        <v>176</v>
      </c>
      <c r="AX1082">
        <v>239</v>
      </c>
      <c r="BA1082">
        <v>1</v>
      </c>
      <c r="BC1082" t="s">
        <v>2257</v>
      </c>
      <c r="BD1082" s="4">
        <v>43283.416666666664</v>
      </c>
      <c r="BE1082" s="4">
        <v>43283.423587962963</v>
      </c>
      <c r="BF1082" s="4">
        <v>43283.423587962963</v>
      </c>
      <c r="BG1082" t="s">
        <v>83</v>
      </c>
      <c r="BH1082" t="s">
        <v>84</v>
      </c>
      <c r="BI1082" t="s">
        <v>85</v>
      </c>
    </row>
    <row r="1083" spans="1:61" x14ac:dyDescent="0.3">
      <c r="A1083" t="str">
        <f>"202307B0100"</f>
        <v>202307B0100</v>
      </c>
      <c r="B1083" t="s">
        <v>2258</v>
      </c>
      <c r="C1083">
        <v>20</v>
      </c>
      <c r="D1083" t="s">
        <v>79</v>
      </c>
      <c r="E1083">
        <v>5</v>
      </c>
      <c r="F1083" t="s">
        <v>1759</v>
      </c>
      <c r="G1083">
        <v>2307</v>
      </c>
      <c r="H1083">
        <v>1</v>
      </c>
      <c r="I1083" t="s">
        <v>81</v>
      </c>
      <c r="J1083">
        <v>0</v>
      </c>
      <c r="K1083">
        <v>1</v>
      </c>
      <c r="L1083">
        <v>2</v>
      </c>
      <c r="M1083">
        <v>130</v>
      </c>
      <c r="N1083">
        <v>328</v>
      </c>
      <c r="O1083">
        <v>5</v>
      </c>
      <c r="P1083">
        <v>328</v>
      </c>
      <c r="Q1083">
        <v>5</v>
      </c>
      <c r="R1083">
        <v>63</v>
      </c>
      <c r="S1083">
        <v>18</v>
      </c>
      <c r="T1083">
        <v>5</v>
      </c>
      <c r="U1083">
        <v>29</v>
      </c>
      <c r="V1083">
        <v>8</v>
      </c>
      <c r="W1083">
        <v>1</v>
      </c>
      <c r="X1083">
        <v>3</v>
      </c>
      <c r="Y1083">
        <v>133</v>
      </c>
      <c r="Z1083">
        <v>4</v>
      </c>
      <c r="AA1083">
        <v>1</v>
      </c>
      <c r="AB1083">
        <v>37</v>
      </c>
      <c r="AC1083">
        <v>1</v>
      </c>
      <c r="AD1083">
        <v>0</v>
      </c>
      <c r="AE1083">
        <v>0</v>
      </c>
      <c r="AF1083">
        <v>0</v>
      </c>
      <c r="AG1083">
        <v>1</v>
      </c>
      <c r="AH1083">
        <v>1</v>
      </c>
      <c r="AI1083">
        <v>0</v>
      </c>
      <c r="AJ1083">
        <v>1</v>
      </c>
      <c r="AK1083">
        <v>4</v>
      </c>
      <c r="AL1083">
        <v>2</v>
      </c>
      <c r="AM1083">
        <v>0</v>
      </c>
      <c r="AN1083">
        <v>0</v>
      </c>
      <c r="AT1083">
        <v>0</v>
      </c>
      <c r="AU1083">
        <v>11</v>
      </c>
      <c r="AV1083">
        <v>328</v>
      </c>
      <c r="AW1083">
        <v>328</v>
      </c>
      <c r="AX1083">
        <v>436</v>
      </c>
      <c r="BA1083">
        <v>1</v>
      </c>
      <c r="BC1083" t="s">
        <v>2259</v>
      </c>
      <c r="BD1083" s="4">
        <v>43283.427777777775</v>
      </c>
      <c r="BE1083" s="4">
        <v>43283.439733796295</v>
      </c>
      <c r="BF1083" s="4">
        <v>43283.439733796295</v>
      </c>
      <c r="BG1083" t="s">
        <v>83</v>
      </c>
      <c r="BH1083" t="s">
        <v>84</v>
      </c>
      <c r="BI1083" t="s">
        <v>85</v>
      </c>
    </row>
    <row r="1084" spans="1:61" x14ac:dyDescent="0.3">
      <c r="A1084" t="str">
        <f>"202307C0100"</f>
        <v>202307C0100</v>
      </c>
      <c r="B1084" t="s">
        <v>2260</v>
      </c>
      <c r="C1084">
        <v>20</v>
      </c>
      <c r="D1084" t="s">
        <v>79</v>
      </c>
      <c r="E1084">
        <v>5</v>
      </c>
      <c r="F1084" t="s">
        <v>1759</v>
      </c>
      <c r="G1084">
        <v>2307</v>
      </c>
      <c r="H1084">
        <v>1</v>
      </c>
      <c r="I1084" t="s">
        <v>89</v>
      </c>
      <c r="J1084">
        <v>0</v>
      </c>
      <c r="K1084">
        <v>1</v>
      </c>
      <c r="L1084">
        <v>2</v>
      </c>
      <c r="M1084">
        <v>122</v>
      </c>
      <c r="N1084">
        <v>335</v>
      </c>
      <c r="O1084">
        <v>5</v>
      </c>
      <c r="P1084">
        <v>335</v>
      </c>
      <c r="Q1084">
        <v>4</v>
      </c>
      <c r="R1084">
        <v>62</v>
      </c>
      <c r="S1084">
        <v>17</v>
      </c>
      <c r="T1084">
        <v>4</v>
      </c>
      <c r="U1084">
        <v>43</v>
      </c>
      <c r="V1084">
        <v>6</v>
      </c>
      <c r="W1084">
        <v>2</v>
      </c>
      <c r="X1084">
        <v>8</v>
      </c>
      <c r="Y1084">
        <v>134</v>
      </c>
      <c r="Z1084">
        <v>4</v>
      </c>
      <c r="AA1084">
        <v>0</v>
      </c>
      <c r="AB1084">
        <v>26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1</v>
      </c>
      <c r="AI1084">
        <v>0</v>
      </c>
      <c r="AJ1084">
        <v>0</v>
      </c>
      <c r="AK1084">
        <v>4</v>
      </c>
      <c r="AL1084">
        <v>2</v>
      </c>
      <c r="AM1084">
        <v>0</v>
      </c>
      <c r="AN1084">
        <v>0</v>
      </c>
      <c r="AT1084">
        <v>0</v>
      </c>
      <c r="AU1084">
        <v>13</v>
      </c>
      <c r="AV1084">
        <v>335</v>
      </c>
      <c r="AW1084">
        <v>330</v>
      </c>
      <c r="AX1084">
        <v>435</v>
      </c>
      <c r="BA1084">
        <v>1</v>
      </c>
      <c r="BC1084" t="s">
        <v>2261</v>
      </c>
      <c r="BD1084" s="4">
        <v>43283.436805555553</v>
      </c>
      <c r="BE1084" s="4">
        <v>43283.442013888889</v>
      </c>
      <c r="BF1084" s="4">
        <v>43283.442013888889</v>
      </c>
      <c r="BG1084" t="s">
        <v>83</v>
      </c>
      <c r="BH1084" t="s">
        <v>84</v>
      </c>
      <c r="BI1084" t="s">
        <v>85</v>
      </c>
    </row>
    <row r="1085" spans="1:61" x14ac:dyDescent="0.3">
      <c r="A1085" t="str">
        <f>"202308B0100"</f>
        <v>202308B0100</v>
      </c>
      <c r="B1085" t="s">
        <v>2262</v>
      </c>
      <c r="C1085">
        <v>20</v>
      </c>
      <c r="D1085" t="s">
        <v>79</v>
      </c>
      <c r="E1085">
        <v>5</v>
      </c>
      <c r="F1085" t="s">
        <v>1759</v>
      </c>
      <c r="G1085">
        <v>2308</v>
      </c>
      <c r="H1085">
        <v>1</v>
      </c>
      <c r="I1085" t="s">
        <v>81</v>
      </c>
      <c r="J1085">
        <v>0</v>
      </c>
      <c r="K1085">
        <v>2</v>
      </c>
      <c r="L1085">
        <v>2</v>
      </c>
      <c r="M1085">
        <v>169</v>
      </c>
      <c r="N1085">
        <v>331</v>
      </c>
      <c r="O1085">
        <v>8</v>
      </c>
      <c r="P1085">
        <v>331</v>
      </c>
      <c r="Q1085">
        <v>11</v>
      </c>
      <c r="R1085">
        <v>75</v>
      </c>
      <c r="S1085">
        <v>7</v>
      </c>
      <c r="T1085">
        <v>3</v>
      </c>
      <c r="U1085">
        <v>37</v>
      </c>
      <c r="V1085">
        <v>6</v>
      </c>
      <c r="W1085">
        <v>2</v>
      </c>
      <c r="X1085">
        <v>2</v>
      </c>
      <c r="Y1085">
        <v>144</v>
      </c>
      <c r="Z1085">
        <v>3</v>
      </c>
      <c r="AA1085">
        <v>2</v>
      </c>
      <c r="AB1085">
        <v>19</v>
      </c>
      <c r="AC1085">
        <v>1</v>
      </c>
      <c r="AD1085">
        <v>0</v>
      </c>
      <c r="AE1085">
        <v>0</v>
      </c>
      <c r="AF1085">
        <v>0</v>
      </c>
      <c r="AG1085">
        <v>1</v>
      </c>
      <c r="AH1085">
        <v>0</v>
      </c>
      <c r="AI1085">
        <v>0</v>
      </c>
      <c r="AJ1085">
        <v>0</v>
      </c>
      <c r="AK1085">
        <v>1</v>
      </c>
      <c r="AL1085">
        <v>0</v>
      </c>
      <c r="AM1085">
        <v>0</v>
      </c>
      <c r="AN1085">
        <v>2</v>
      </c>
      <c r="AT1085">
        <v>0</v>
      </c>
      <c r="AU1085">
        <v>15</v>
      </c>
      <c r="AV1085">
        <v>331</v>
      </c>
      <c r="AW1085">
        <v>331</v>
      </c>
      <c r="AX1085">
        <v>478</v>
      </c>
      <c r="BA1085">
        <v>1</v>
      </c>
      <c r="BC1085" t="s">
        <v>2263</v>
      </c>
      <c r="BD1085" s="4">
        <v>43283.44027777778</v>
      </c>
      <c r="BE1085" s="4">
        <v>43283.444178240738</v>
      </c>
      <c r="BF1085" s="4">
        <v>43283.444178240738</v>
      </c>
      <c r="BG1085" t="s">
        <v>83</v>
      </c>
      <c r="BH1085" t="s">
        <v>84</v>
      </c>
      <c r="BI1085" t="s">
        <v>85</v>
      </c>
    </row>
    <row r="1086" spans="1:61" x14ac:dyDescent="0.3">
      <c r="A1086" t="str">
        <f>"202308C0100"</f>
        <v>202308C0100</v>
      </c>
      <c r="B1086" t="s">
        <v>2264</v>
      </c>
      <c r="C1086">
        <v>20</v>
      </c>
      <c r="D1086" t="s">
        <v>79</v>
      </c>
      <c r="E1086">
        <v>5</v>
      </c>
      <c r="F1086" t="s">
        <v>1759</v>
      </c>
      <c r="G1086">
        <v>2308</v>
      </c>
      <c r="H1086">
        <v>1</v>
      </c>
      <c r="I1086" t="s">
        <v>89</v>
      </c>
      <c r="J1086">
        <v>0</v>
      </c>
      <c r="K1086">
        <v>2</v>
      </c>
      <c r="L1086">
        <v>2</v>
      </c>
      <c r="M1086">
        <v>155</v>
      </c>
      <c r="N1086">
        <v>345</v>
      </c>
      <c r="O1086">
        <v>5</v>
      </c>
      <c r="P1086">
        <v>345</v>
      </c>
      <c r="Q1086">
        <v>16</v>
      </c>
      <c r="R1086">
        <v>92</v>
      </c>
      <c r="S1086">
        <v>8</v>
      </c>
      <c r="T1086">
        <v>4</v>
      </c>
      <c r="U1086">
        <v>45</v>
      </c>
      <c r="V1086">
        <v>9</v>
      </c>
      <c r="W1086">
        <v>2</v>
      </c>
      <c r="X1086">
        <v>2</v>
      </c>
      <c r="Y1086">
        <v>111</v>
      </c>
      <c r="Z1086">
        <v>3</v>
      </c>
      <c r="AA1086">
        <v>2</v>
      </c>
      <c r="AB1086">
        <v>25</v>
      </c>
      <c r="AC1086">
        <v>1</v>
      </c>
      <c r="AD1086">
        <v>2</v>
      </c>
      <c r="AE1086">
        <v>0</v>
      </c>
      <c r="AF1086">
        <v>0</v>
      </c>
      <c r="AG1086">
        <v>1</v>
      </c>
      <c r="AH1086">
        <v>1</v>
      </c>
      <c r="AI1086">
        <v>0</v>
      </c>
      <c r="AJ1086">
        <v>0</v>
      </c>
      <c r="AK1086">
        <v>2</v>
      </c>
      <c r="AL1086">
        <v>2</v>
      </c>
      <c r="AM1086">
        <v>1</v>
      </c>
      <c r="AN1086">
        <v>0</v>
      </c>
      <c r="AT1086">
        <v>0</v>
      </c>
      <c r="AU1086">
        <v>17</v>
      </c>
      <c r="AV1086">
        <v>345</v>
      </c>
      <c r="AW1086">
        <v>346</v>
      </c>
      <c r="AX1086">
        <v>478</v>
      </c>
      <c r="BA1086">
        <v>1</v>
      </c>
      <c r="BC1086" t="s">
        <v>2265</v>
      </c>
      <c r="BD1086" s="4">
        <v>43283.413194444445</v>
      </c>
      <c r="BE1086" s="4">
        <v>43283.422673611109</v>
      </c>
      <c r="BF1086" s="4">
        <v>43283.422673611109</v>
      </c>
      <c r="BG1086" t="s">
        <v>83</v>
      </c>
      <c r="BH1086" t="s">
        <v>84</v>
      </c>
      <c r="BI1086" t="s">
        <v>85</v>
      </c>
    </row>
    <row r="1087" spans="1:61" x14ac:dyDescent="0.3">
      <c r="A1087" t="str">
        <f>"202309B0100"</f>
        <v>202309B0100</v>
      </c>
      <c r="B1087" t="s">
        <v>2266</v>
      </c>
      <c r="C1087">
        <v>20</v>
      </c>
      <c r="D1087" t="s">
        <v>79</v>
      </c>
      <c r="E1087">
        <v>5</v>
      </c>
      <c r="F1087" t="s">
        <v>1759</v>
      </c>
      <c r="G1087">
        <v>2309</v>
      </c>
      <c r="H1087">
        <v>1</v>
      </c>
      <c r="I1087" t="s">
        <v>81</v>
      </c>
      <c r="J1087">
        <v>0</v>
      </c>
      <c r="K1087">
        <v>1</v>
      </c>
      <c r="L1087">
        <v>2</v>
      </c>
      <c r="M1087">
        <v>130</v>
      </c>
      <c r="N1087">
        <v>349</v>
      </c>
      <c r="O1087">
        <v>6</v>
      </c>
      <c r="P1087">
        <v>349</v>
      </c>
      <c r="Q1087">
        <v>7</v>
      </c>
      <c r="R1087">
        <v>56</v>
      </c>
      <c r="S1087">
        <v>29</v>
      </c>
      <c r="T1087">
        <v>4</v>
      </c>
      <c r="U1087">
        <v>46</v>
      </c>
      <c r="V1087">
        <v>11</v>
      </c>
      <c r="W1087">
        <v>2</v>
      </c>
      <c r="X1087">
        <v>7</v>
      </c>
      <c r="Y1087">
        <v>131</v>
      </c>
      <c r="Z1087">
        <v>2</v>
      </c>
      <c r="AA1087">
        <v>2</v>
      </c>
      <c r="AB1087">
        <v>31</v>
      </c>
      <c r="AC1087">
        <v>1</v>
      </c>
      <c r="AD1087">
        <v>1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1</v>
      </c>
      <c r="AL1087">
        <v>0</v>
      </c>
      <c r="AM1087">
        <v>0</v>
      </c>
      <c r="AN1087">
        <v>0</v>
      </c>
      <c r="AT1087">
        <v>0</v>
      </c>
      <c r="AU1087">
        <v>18</v>
      </c>
      <c r="AV1087">
        <v>349</v>
      </c>
      <c r="AW1087">
        <v>349</v>
      </c>
      <c r="AX1087">
        <v>457</v>
      </c>
      <c r="BA1087">
        <v>1</v>
      </c>
      <c r="BC1087" t="s">
        <v>2267</v>
      </c>
      <c r="BD1087" s="4">
        <v>43283.429861111108</v>
      </c>
      <c r="BE1087" s="4">
        <v>43283.437847222223</v>
      </c>
      <c r="BF1087" s="4">
        <v>43283.437847222223</v>
      </c>
      <c r="BG1087" t="s">
        <v>83</v>
      </c>
      <c r="BH1087" t="s">
        <v>84</v>
      </c>
      <c r="BI1087" t="s">
        <v>85</v>
      </c>
    </row>
    <row r="1088" spans="1:61" x14ac:dyDescent="0.3">
      <c r="A1088" t="str">
        <f>"202309C0100"</f>
        <v>202309C0100</v>
      </c>
      <c r="B1088" t="s">
        <v>2268</v>
      </c>
      <c r="C1088">
        <v>20</v>
      </c>
      <c r="D1088" t="s">
        <v>79</v>
      </c>
      <c r="E1088">
        <v>5</v>
      </c>
      <c r="F1088" t="s">
        <v>1759</v>
      </c>
      <c r="G1088">
        <v>2309</v>
      </c>
      <c r="H1088">
        <v>1</v>
      </c>
      <c r="I1088" t="s">
        <v>89</v>
      </c>
      <c r="J1088">
        <v>0</v>
      </c>
      <c r="K1088">
        <v>1</v>
      </c>
      <c r="L1088">
        <v>2</v>
      </c>
      <c r="M1088">
        <v>164</v>
      </c>
      <c r="N1088">
        <v>315</v>
      </c>
      <c r="O1088">
        <v>2</v>
      </c>
      <c r="P1088">
        <v>309</v>
      </c>
      <c r="Q1088">
        <v>12</v>
      </c>
      <c r="R1088">
        <v>43</v>
      </c>
      <c r="S1088">
        <v>19</v>
      </c>
      <c r="T1088">
        <v>14</v>
      </c>
      <c r="U1088">
        <v>41</v>
      </c>
      <c r="V1088">
        <v>11</v>
      </c>
      <c r="W1088">
        <v>2</v>
      </c>
      <c r="X1088">
        <v>14</v>
      </c>
      <c r="Y1088">
        <v>131</v>
      </c>
      <c r="Z1088">
        <v>1</v>
      </c>
      <c r="AA1088">
        <v>0</v>
      </c>
      <c r="AB1088">
        <v>13</v>
      </c>
      <c r="AC1088">
        <v>1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3</v>
      </c>
      <c r="AM1088">
        <v>0</v>
      </c>
      <c r="AN1088">
        <v>0</v>
      </c>
      <c r="AT1088">
        <v>0</v>
      </c>
      <c r="AU1088">
        <v>10</v>
      </c>
      <c r="AV1088">
        <v>315</v>
      </c>
      <c r="AW1088">
        <v>315</v>
      </c>
      <c r="AX1088">
        <v>457</v>
      </c>
      <c r="BA1088">
        <v>1</v>
      </c>
      <c r="BC1088" t="s">
        <v>2269</v>
      </c>
      <c r="BD1088" s="4">
        <v>43283.422222222223</v>
      </c>
      <c r="BE1088" s="4">
        <v>43283.43277777778</v>
      </c>
      <c r="BF1088" s="4">
        <v>43283.43277777778</v>
      </c>
      <c r="BG1088" t="s">
        <v>83</v>
      </c>
      <c r="BH1088" t="s">
        <v>84</v>
      </c>
      <c r="BI1088" t="s">
        <v>85</v>
      </c>
    </row>
    <row r="1089" spans="1:61" x14ac:dyDescent="0.3">
      <c r="A1089" t="str">
        <f>"202310B0100"</f>
        <v>202310B0100</v>
      </c>
      <c r="B1089" t="s">
        <v>2270</v>
      </c>
      <c r="C1089">
        <v>20</v>
      </c>
      <c r="D1089" t="s">
        <v>79</v>
      </c>
      <c r="E1089">
        <v>5</v>
      </c>
      <c r="F1089" t="s">
        <v>1759</v>
      </c>
      <c r="G1089">
        <v>2310</v>
      </c>
      <c r="H1089">
        <v>1</v>
      </c>
      <c r="I1089" t="s">
        <v>81</v>
      </c>
      <c r="J1089">
        <v>0</v>
      </c>
      <c r="K1089">
        <v>2</v>
      </c>
      <c r="L1089">
        <v>2</v>
      </c>
      <c r="M1089">
        <v>58</v>
      </c>
      <c r="N1089">
        <v>118</v>
      </c>
      <c r="O1089">
        <v>8</v>
      </c>
      <c r="P1089">
        <v>118</v>
      </c>
      <c r="Q1089">
        <v>2</v>
      </c>
      <c r="R1089">
        <v>8</v>
      </c>
      <c r="S1089">
        <v>5</v>
      </c>
      <c r="T1089">
        <v>0</v>
      </c>
      <c r="U1089">
        <v>65</v>
      </c>
      <c r="V1089">
        <v>6</v>
      </c>
      <c r="W1089">
        <v>3</v>
      </c>
      <c r="X1089">
        <v>1</v>
      </c>
      <c r="Y1089">
        <v>17</v>
      </c>
      <c r="Z1089">
        <v>0</v>
      </c>
      <c r="AA1089">
        <v>0</v>
      </c>
      <c r="AB1089">
        <v>3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2</v>
      </c>
      <c r="AL1089">
        <v>2</v>
      </c>
      <c r="AM1089">
        <v>1</v>
      </c>
      <c r="AN1089">
        <v>1</v>
      </c>
      <c r="AT1089">
        <v>0</v>
      </c>
      <c r="AU1089">
        <v>2</v>
      </c>
      <c r="AV1089">
        <v>118</v>
      </c>
      <c r="AW1089">
        <v>118</v>
      </c>
      <c r="AX1089">
        <v>154</v>
      </c>
      <c r="BA1089">
        <v>1</v>
      </c>
      <c r="BC1089" t="s">
        <v>2271</v>
      </c>
      <c r="BD1089" s="4">
        <v>43283.410416666666</v>
      </c>
      <c r="BE1089" s="4">
        <v>43283.418888888889</v>
      </c>
      <c r="BF1089" s="4">
        <v>43283.418888888889</v>
      </c>
      <c r="BG1089" t="s">
        <v>83</v>
      </c>
      <c r="BH1089" t="s">
        <v>84</v>
      </c>
      <c r="BI1089" t="s">
        <v>85</v>
      </c>
    </row>
    <row r="1090" spans="1:61" x14ac:dyDescent="0.3">
      <c r="A1090" t="str">
        <f>"202321B0100"</f>
        <v>202321B0100</v>
      </c>
      <c r="B1090" t="s">
        <v>2272</v>
      </c>
      <c r="C1090">
        <v>20</v>
      </c>
      <c r="D1090" t="s">
        <v>79</v>
      </c>
      <c r="E1090">
        <v>5</v>
      </c>
      <c r="F1090" t="s">
        <v>1759</v>
      </c>
      <c r="G1090">
        <v>2321</v>
      </c>
      <c r="H1090">
        <v>1</v>
      </c>
      <c r="I1090" t="s">
        <v>81</v>
      </c>
      <c r="J1090">
        <v>0</v>
      </c>
      <c r="K1090">
        <v>2</v>
      </c>
      <c r="L1090">
        <v>2</v>
      </c>
      <c r="M1090">
        <v>156</v>
      </c>
      <c r="N1090">
        <v>558</v>
      </c>
      <c r="O1090">
        <v>2</v>
      </c>
      <c r="P1090">
        <v>558</v>
      </c>
      <c r="Q1090">
        <v>9</v>
      </c>
      <c r="R1090">
        <v>141</v>
      </c>
      <c r="S1090">
        <v>119</v>
      </c>
      <c r="T1090">
        <v>8</v>
      </c>
      <c r="U1090">
        <v>68</v>
      </c>
      <c r="V1090">
        <v>6</v>
      </c>
      <c r="W1090">
        <v>7</v>
      </c>
      <c r="X1090">
        <v>7</v>
      </c>
      <c r="Y1090">
        <v>128</v>
      </c>
      <c r="Z1090">
        <v>9</v>
      </c>
      <c r="AA1090">
        <v>1</v>
      </c>
      <c r="AB1090">
        <v>14</v>
      </c>
      <c r="AC1090">
        <v>2</v>
      </c>
      <c r="AD1090">
        <v>0</v>
      </c>
      <c r="AE1090">
        <v>0</v>
      </c>
      <c r="AF1090">
        <v>1</v>
      </c>
      <c r="AG1090">
        <v>4</v>
      </c>
      <c r="AH1090">
        <v>2</v>
      </c>
      <c r="AI1090">
        <v>1</v>
      </c>
      <c r="AJ1090">
        <v>0</v>
      </c>
      <c r="AK1090">
        <v>4</v>
      </c>
      <c r="AL1090">
        <v>1</v>
      </c>
      <c r="AM1090">
        <v>1</v>
      </c>
      <c r="AN1090">
        <v>1</v>
      </c>
      <c r="AT1090">
        <v>3</v>
      </c>
      <c r="AU1090">
        <v>22</v>
      </c>
      <c r="AV1090">
        <v>558</v>
      </c>
      <c r="AW1090">
        <v>559</v>
      </c>
      <c r="AX1090">
        <v>692</v>
      </c>
      <c r="BA1090">
        <v>1</v>
      </c>
      <c r="BC1090" t="s">
        <v>2273</v>
      </c>
      <c r="BD1090" s="4">
        <v>43283.207638888889</v>
      </c>
      <c r="BE1090" s="4">
        <v>43283.23</v>
      </c>
      <c r="BF1090" s="4">
        <v>43283.23</v>
      </c>
      <c r="BG1090" t="s">
        <v>83</v>
      </c>
      <c r="BH1090" t="s">
        <v>84</v>
      </c>
      <c r="BI1090" t="s">
        <v>85</v>
      </c>
    </row>
    <row r="1091" spans="1:61" x14ac:dyDescent="0.3">
      <c r="A1091" t="str">
        <f>"202322B0100"</f>
        <v>202322B0100</v>
      </c>
      <c r="B1091" t="s">
        <v>2274</v>
      </c>
      <c r="C1091">
        <v>20</v>
      </c>
      <c r="D1091" t="s">
        <v>79</v>
      </c>
      <c r="E1091">
        <v>5</v>
      </c>
      <c r="F1091" t="s">
        <v>1759</v>
      </c>
      <c r="G1091">
        <v>2322</v>
      </c>
      <c r="H1091">
        <v>1</v>
      </c>
      <c r="I1091" t="s">
        <v>81</v>
      </c>
      <c r="J1091">
        <v>0</v>
      </c>
      <c r="K1091">
        <v>2</v>
      </c>
      <c r="L1091">
        <v>2</v>
      </c>
      <c r="M1091">
        <v>37</v>
      </c>
      <c r="N1091">
        <v>314</v>
      </c>
      <c r="O1091">
        <v>3</v>
      </c>
      <c r="P1091">
        <v>314</v>
      </c>
      <c r="Q1091">
        <v>6</v>
      </c>
      <c r="R1091">
        <v>71</v>
      </c>
      <c r="S1091">
        <v>73</v>
      </c>
      <c r="T1091">
        <v>7</v>
      </c>
      <c r="U1091">
        <v>38</v>
      </c>
      <c r="V1091">
        <v>3</v>
      </c>
      <c r="W1091">
        <v>7</v>
      </c>
      <c r="X1091">
        <v>4</v>
      </c>
      <c r="Y1091">
        <v>63</v>
      </c>
      <c r="Z1091">
        <v>3</v>
      </c>
      <c r="AA1091">
        <v>1</v>
      </c>
      <c r="AB1091">
        <v>9</v>
      </c>
      <c r="AC1091">
        <v>0</v>
      </c>
      <c r="AD1091">
        <v>2</v>
      </c>
      <c r="AE1091">
        <v>0</v>
      </c>
      <c r="AF1091">
        <v>0</v>
      </c>
      <c r="AG1091">
        <v>3</v>
      </c>
      <c r="AH1091">
        <v>1</v>
      </c>
      <c r="AI1091">
        <v>0</v>
      </c>
      <c r="AJ1091">
        <v>0</v>
      </c>
      <c r="AK1091">
        <v>2</v>
      </c>
      <c r="AL1091">
        <v>0</v>
      </c>
      <c r="AM1091">
        <v>0</v>
      </c>
      <c r="AN1091">
        <v>0</v>
      </c>
      <c r="AT1091">
        <v>0</v>
      </c>
      <c r="AU1091">
        <v>21</v>
      </c>
      <c r="AV1091">
        <v>314</v>
      </c>
      <c r="AW1091">
        <v>314</v>
      </c>
      <c r="AX1091">
        <v>379</v>
      </c>
      <c r="BA1091">
        <v>1</v>
      </c>
      <c r="BC1091" t="s">
        <v>2275</v>
      </c>
      <c r="BD1091" s="4">
        <v>43283.206944444442</v>
      </c>
      <c r="BE1091" s="4">
        <v>43283.229884259257</v>
      </c>
      <c r="BF1091" s="4">
        <v>43283.229884259257</v>
      </c>
      <c r="BG1091" t="s">
        <v>83</v>
      </c>
      <c r="BH1091" t="s">
        <v>84</v>
      </c>
      <c r="BI1091" t="s">
        <v>85</v>
      </c>
    </row>
    <row r="1092" spans="1:61" x14ac:dyDescent="0.3">
      <c r="A1092" t="str">
        <f>"202322C0100"</f>
        <v>202322C0100</v>
      </c>
      <c r="B1092" t="s">
        <v>2276</v>
      </c>
      <c r="C1092">
        <v>20</v>
      </c>
      <c r="D1092" t="s">
        <v>79</v>
      </c>
      <c r="E1092">
        <v>5</v>
      </c>
      <c r="F1092" t="s">
        <v>1759</v>
      </c>
      <c r="G1092">
        <v>2322</v>
      </c>
      <c r="H1092">
        <v>1</v>
      </c>
      <c r="I1092" t="s">
        <v>89</v>
      </c>
      <c r="J1092">
        <v>0</v>
      </c>
      <c r="K1092">
        <v>2</v>
      </c>
      <c r="L1092">
        <v>2</v>
      </c>
      <c r="M1092">
        <v>86</v>
      </c>
      <c r="N1092">
        <v>314</v>
      </c>
      <c r="O1092">
        <v>4</v>
      </c>
      <c r="P1092">
        <v>0</v>
      </c>
      <c r="Q1092">
        <v>8</v>
      </c>
      <c r="R1092">
        <v>56</v>
      </c>
      <c r="S1092">
        <v>83</v>
      </c>
      <c r="T1092">
        <v>5</v>
      </c>
      <c r="U1092">
        <v>25</v>
      </c>
      <c r="V1092">
        <v>2</v>
      </c>
      <c r="W1092">
        <v>3</v>
      </c>
      <c r="X1092">
        <v>6</v>
      </c>
      <c r="Y1092">
        <v>77</v>
      </c>
      <c r="Z1092">
        <v>4</v>
      </c>
      <c r="AA1092">
        <v>1</v>
      </c>
      <c r="AB1092">
        <v>10</v>
      </c>
      <c r="AC1092">
        <v>0</v>
      </c>
      <c r="AD1092">
        <v>1</v>
      </c>
      <c r="AE1092">
        <v>0</v>
      </c>
      <c r="AF1092">
        <v>2</v>
      </c>
      <c r="AG1092">
        <v>1</v>
      </c>
      <c r="AH1092">
        <v>1</v>
      </c>
      <c r="AI1092">
        <v>2</v>
      </c>
      <c r="AJ1092">
        <v>0</v>
      </c>
      <c r="AK1092">
        <v>1</v>
      </c>
      <c r="AL1092">
        <v>2</v>
      </c>
      <c r="AM1092">
        <v>0</v>
      </c>
      <c r="AN1092">
        <v>2</v>
      </c>
      <c r="AT1092">
        <v>0</v>
      </c>
      <c r="AU1092">
        <v>22</v>
      </c>
      <c r="AV1092">
        <v>314</v>
      </c>
      <c r="AW1092">
        <v>314</v>
      </c>
      <c r="AX1092">
        <v>378</v>
      </c>
      <c r="BA1092">
        <v>1</v>
      </c>
      <c r="BC1092" t="s">
        <v>2277</v>
      </c>
      <c r="BD1092" s="4">
        <v>43283.206944444442</v>
      </c>
      <c r="BE1092" s="4">
        <v>43283.232847222222</v>
      </c>
      <c r="BF1092" s="4">
        <v>43283.232847222222</v>
      </c>
      <c r="BG1092" t="s">
        <v>83</v>
      </c>
      <c r="BH1092" t="s">
        <v>84</v>
      </c>
      <c r="BI1092" t="s">
        <v>85</v>
      </c>
    </row>
    <row r="1093" spans="1:61" x14ac:dyDescent="0.3">
      <c r="A1093" t="str">
        <f>"202323B0100"</f>
        <v>202323B0100</v>
      </c>
      <c r="B1093" t="s">
        <v>2278</v>
      </c>
      <c r="C1093">
        <v>20</v>
      </c>
      <c r="D1093" t="s">
        <v>79</v>
      </c>
      <c r="E1093">
        <v>5</v>
      </c>
      <c r="F1093" t="s">
        <v>1759</v>
      </c>
      <c r="G1093">
        <v>2323</v>
      </c>
      <c r="H1093">
        <v>1</v>
      </c>
      <c r="I1093" t="s">
        <v>81</v>
      </c>
      <c r="J1093">
        <v>0</v>
      </c>
      <c r="K1093">
        <v>2</v>
      </c>
      <c r="L1093">
        <v>2</v>
      </c>
      <c r="M1093">
        <v>114</v>
      </c>
      <c r="N1093">
        <v>288</v>
      </c>
      <c r="O1093">
        <v>6</v>
      </c>
      <c r="P1093">
        <v>284</v>
      </c>
      <c r="Q1093">
        <v>6</v>
      </c>
      <c r="R1093">
        <v>60</v>
      </c>
      <c r="S1093">
        <v>67</v>
      </c>
      <c r="T1093">
        <v>6</v>
      </c>
      <c r="U1093">
        <v>36</v>
      </c>
      <c r="V1093">
        <v>7</v>
      </c>
      <c r="W1093">
        <v>2</v>
      </c>
      <c r="X1093">
        <v>6</v>
      </c>
      <c r="Y1093">
        <v>73</v>
      </c>
      <c r="Z1093">
        <v>5</v>
      </c>
      <c r="AA1093">
        <v>1</v>
      </c>
      <c r="AB1093">
        <v>4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2</v>
      </c>
      <c r="AL1093">
        <v>0</v>
      </c>
      <c r="AM1093">
        <v>0</v>
      </c>
      <c r="AN1093">
        <v>0</v>
      </c>
      <c r="AT1093">
        <v>0</v>
      </c>
      <c r="AU1093">
        <v>9</v>
      </c>
      <c r="AV1093" t="s">
        <v>100</v>
      </c>
      <c r="AW1093">
        <v>284</v>
      </c>
      <c r="AX1093">
        <v>380</v>
      </c>
      <c r="BA1093">
        <v>1</v>
      </c>
      <c r="BC1093" t="s">
        <v>2279</v>
      </c>
      <c r="BD1093" s="4">
        <v>43283.206250000003</v>
      </c>
      <c r="BE1093" s="4">
        <v>43283.222939814812</v>
      </c>
      <c r="BF1093" s="4">
        <v>43283.222939814812</v>
      </c>
      <c r="BG1093" t="s">
        <v>83</v>
      </c>
      <c r="BH1093" t="s">
        <v>84</v>
      </c>
      <c r="BI1093" t="s">
        <v>85</v>
      </c>
    </row>
    <row r="1094" spans="1:61" x14ac:dyDescent="0.3">
      <c r="A1094" t="str">
        <f>"202335B0100"</f>
        <v>202335B0100</v>
      </c>
      <c r="B1094" t="s">
        <v>2280</v>
      </c>
      <c r="C1094">
        <v>20</v>
      </c>
      <c r="D1094" t="s">
        <v>79</v>
      </c>
      <c r="E1094">
        <v>5</v>
      </c>
      <c r="F1094" t="s">
        <v>1759</v>
      </c>
      <c r="G1094">
        <v>2335</v>
      </c>
      <c r="H1094">
        <v>1</v>
      </c>
      <c r="I1094" t="s">
        <v>81</v>
      </c>
      <c r="J1094">
        <v>0</v>
      </c>
      <c r="K1094">
        <v>2</v>
      </c>
      <c r="L1094">
        <v>2</v>
      </c>
      <c r="M1094">
        <v>154</v>
      </c>
      <c r="N1094">
        <v>252</v>
      </c>
      <c r="O1094">
        <v>6</v>
      </c>
      <c r="P1094">
        <v>252</v>
      </c>
      <c r="Q1094">
        <v>8</v>
      </c>
      <c r="R1094">
        <v>25</v>
      </c>
      <c r="S1094">
        <v>13</v>
      </c>
      <c r="T1094">
        <v>3</v>
      </c>
      <c r="U1094">
        <v>53</v>
      </c>
      <c r="V1094">
        <v>3</v>
      </c>
      <c r="W1094">
        <v>1</v>
      </c>
      <c r="X1094">
        <v>5</v>
      </c>
      <c r="Y1094">
        <v>110</v>
      </c>
      <c r="Z1094">
        <v>3</v>
      </c>
      <c r="AA1094">
        <v>1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1</v>
      </c>
      <c r="AH1094">
        <v>0</v>
      </c>
      <c r="AI1094">
        <v>1</v>
      </c>
      <c r="AJ1094">
        <v>0</v>
      </c>
      <c r="AK1094">
        <v>9</v>
      </c>
      <c r="AL1094">
        <v>2</v>
      </c>
      <c r="AM1094">
        <v>1</v>
      </c>
      <c r="AN1094">
        <v>0</v>
      </c>
      <c r="AT1094">
        <v>0</v>
      </c>
      <c r="AU1094">
        <v>13</v>
      </c>
      <c r="AV1094">
        <v>252</v>
      </c>
      <c r="AW1094">
        <v>252</v>
      </c>
      <c r="AX1094">
        <v>384</v>
      </c>
      <c r="BA1094">
        <v>1</v>
      </c>
      <c r="BC1094" t="s">
        <v>2281</v>
      </c>
      <c r="BD1094" s="4">
        <v>43283.522916666669</v>
      </c>
      <c r="BE1094" s="4">
        <v>43283.532453703701</v>
      </c>
      <c r="BF1094" s="4">
        <v>43283.532453703701</v>
      </c>
      <c r="BG1094" t="s">
        <v>83</v>
      </c>
      <c r="BH1094" t="s">
        <v>84</v>
      </c>
      <c r="BI1094" t="s">
        <v>85</v>
      </c>
    </row>
    <row r="1095" spans="1:61" x14ac:dyDescent="0.3">
      <c r="A1095" t="str">
        <f>"202335C0100"</f>
        <v>202335C0100</v>
      </c>
      <c r="B1095" t="s">
        <v>2282</v>
      </c>
      <c r="C1095">
        <v>20</v>
      </c>
      <c r="D1095" t="s">
        <v>79</v>
      </c>
      <c r="E1095">
        <v>5</v>
      </c>
      <c r="F1095" t="s">
        <v>1759</v>
      </c>
      <c r="G1095">
        <v>2335</v>
      </c>
      <c r="H1095">
        <v>1</v>
      </c>
      <c r="I1095" t="s">
        <v>89</v>
      </c>
      <c r="J1095">
        <v>0</v>
      </c>
      <c r="K1095">
        <v>2</v>
      </c>
      <c r="L1095">
        <v>2</v>
      </c>
      <c r="M1095">
        <v>158</v>
      </c>
      <c r="N1095">
        <v>258</v>
      </c>
      <c r="O1095">
        <v>2</v>
      </c>
      <c r="P1095">
        <v>258</v>
      </c>
      <c r="Q1095">
        <v>6</v>
      </c>
      <c r="R1095">
        <v>22</v>
      </c>
      <c r="S1095">
        <v>12</v>
      </c>
      <c r="T1095">
        <v>1</v>
      </c>
      <c r="U1095">
        <v>37</v>
      </c>
      <c r="V1095">
        <v>6</v>
      </c>
      <c r="W1095">
        <v>1</v>
      </c>
      <c r="X1095">
        <v>2</v>
      </c>
      <c r="Y1095">
        <v>136</v>
      </c>
      <c r="Z1095">
        <v>9</v>
      </c>
      <c r="AA1095">
        <v>0</v>
      </c>
      <c r="AB1095">
        <v>1</v>
      </c>
      <c r="AC1095">
        <v>0</v>
      </c>
      <c r="AD1095">
        <v>1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10</v>
      </c>
      <c r="AL1095">
        <v>2</v>
      </c>
      <c r="AM1095">
        <v>0</v>
      </c>
      <c r="AN1095">
        <v>0</v>
      </c>
      <c r="AT1095">
        <v>0</v>
      </c>
      <c r="AU1095">
        <v>11</v>
      </c>
      <c r="AV1095">
        <v>257</v>
      </c>
      <c r="AW1095">
        <v>257</v>
      </c>
      <c r="AX1095">
        <v>383</v>
      </c>
      <c r="BA1095">
        <v>1</v>
      </c>
      <c r="BC1095" t="s">
        <v>2283</v>
      </c>
      <c r="BD1095" s="4">
        <v>43283.522916666669</v>
      </c>
      <c r="BE1095" s="4">
        <v>43283.534421296295</v>
      </c>
      <c r="BF1095" s="4">
        <v>43283.534421296295</v>
      </c>
      <c r="BG1095" t="s">
        <v>83</v>
      </c>
      <c r="BH1095" t="s">
        <v>84</v>
      </c>
      <c r="BI1095" t="s">
        <v>85</v>
      </c>
    </row>
    <row r="1096" spans="1:61" x14ac:dyDescent="0.3">
      <c r="A1096" t="str">
        <f>"202336B0100"</f>
        <v>202336B0100</v>
      </c>
      <c r="B1096" t="s">
        <v>2284</v>
      </c>
      <c r="C1096">
        <v>20</v>
      </c>
      <c r="D1096" t="s">
        <v>79</v>
      </c>
      <c r="E1096">
        <v>5</v>
      </c>
      <c r="F1096" t="s">
        <v>1759</v>
      </c>
      <c r="G1096">
        <v>2336</v>
      </c>
      <c r="H1096">
        <v>1</v>
      </c>
      <c r="I1096" t="s">
        <v>81</v>
      </c>
      <c r="J1096">
        <v>0</v>
      </c>
      <c r="K1096">
        <v>2</v>
      </c>
      <c r="L1096">
        <v>2</v>
      </c>
      <c r="M1096">
        <v>345</v>
      </c>
      <c r="N1096">
        <v>425</v>
      </c>
      <c r="O1096">
        <v>0</v>
      </c>
      <c r="P1096">
        <v>425</v>
      </c>
      <c r="Q1096">
        <v>18</v>
      </c>
      <c r="R1096">
        <v>54</v>
      </c>
      <c r="S1096">
        <v>25</v>
      </c>
      <c r="T1096">
        <v>15</v>
      </c>
      <c r="U1096">
        <v>28</v>
      </c>
      <c r="V1096">
        <v>4</v>
      </c>
      <c r="W1096">
        <v>9</v>
      </c>
      <c r="X1096">
        <v>9</v>
      </c>
      <c r="Y1096">
        <v>223</v>
      </c>
      <c r="Z1096">
        <v>6</v>
      </c>
      <c r="AA1096">
        <v>1</v>
      </c>
      <c r="AB1096">
        <v>0</v>
      </c>
      <c r="AC1096">
        <v>0</v>
      </c>
      <c r="AD1096">
        <v>1</v>
      </c>
      <c r="AE1096">
        <v>0</v>
      </c>
      <c r="AF1096">
        <v>0</v>
      </c>
      <c r="AG1096">
        <v>0</v>
      </c>
      <c r="AH1096">
        <v>0</v>
      </c>
      <c r="AI1096">
        <v>1</v>
      </c>
      <c r="AJ1096">
        <v>1</v>
      </c>
      <c r="AK1096">
        <v>6</v>
      </c>
      <c r="AL1096">
        <v>4</v>
      </c>
      <c r="AM1096">
        <v>0</v>
      </c>
      <c r="AN1096">
        <v>4</v>
      </c>
      <c r="AT1096">
        <v>0</v>
      </c>
      <c r="AU1096">
        <v>16</v>
      </c>
      <c r="AV1096">
        <v>425</v>
      </c>
      <c r="AW1096">
        <v>425</v>
      </c>
      <c r="AX1096">
        <v>748</v>
      </c>
      <c r="BA1096">
        <v>1</v>
      </c>
      <c r="BC1096" t="s">
        <v>2285</v>
      </c>
      <c r="BD1096" s="4">
        <v>43283.423611111109</v>
      </c>
      <c r="BE1096" s="4">
        <v>43283.427337962959</v>
      </c>
      <c r="BF1096" s="4">
        <v>43283.427337962959</v>
      </c>
      <c r="BG1096" t="s">
        <v>83</v>
      </c>
      <c r="BH1096" t="s">
        <v>84</v>
      </c>
      <c r="BI1096" t="s">
        <v>85</v>
      </c>
    </row>
    <row r="1097" spans="1:61" x14ac:dyDescent="0.3">
      <c r="A1097" t="str">
        <f>"202337B0100"</f>
        <v>202337B0100</v>
      </c>
      <c r="B1097" t="s">
        <v>2286</v>
      </c>
      <c r="C1097">
        <v>20</v>
      </c>
      <c r="D1097" t="s">
        <v>79</v>
      </c>
      <c r="E1097">
        <v>5</v>
      </c>
      <c r="F1097" t="s">
        <v>1759</v>
      </c>
      <c r="G1097">
        <v>2337</v>
      </c>
      <c r="H1097">
        <v>1</v>
      </c>
      <c r="I1097" t="s">
        <v>81</v>
      </c>
      <c r="J1097">
        <v>0</v>
      </c>
      <c r="K1097">
        <v>2</v>
      </c>
      <c r="L1097">
        <v>2</v>
      </c>
      <c r="M1097">
        <v>107</v>
      </c>
      <c r="N1097">
        <v>132</v>
      </c>
      <c r="O1097">
        <v>0</v>
      </c>
      <c r="P1097">
        <v>132</v>
      </c>
      <c r="Q1097">
        <v>1</v>
      </c>
      <c r="R1097">
        <v>34</v>
      </c>
      <c r="S1097">
        <v>6</v>
      </c>
      <c r="T1097">
        <v>2</v>
      </c>
      <c r="U1097">
        <v>10</v>
      </c>
      <c r="V1097">
        <v>4</v>
      </c>
      <c r="W1097">
        <v>3</v>
      </c>
      <c r="X1097">
        <v>1</v>
      </c>
      <c r="Y1097">
        <v>56</v>
      </c>
      <c r="Z1097">
        <v>2</v>
      </c>
      <c r="AA1097">
        <v>0</v>
      </c>
      <c r="AB1097">
        <v>1</v>
      </c>
      <c r="AC1097">
        <v>0</v>
      </c>
      <c r="AD1097">
        <v>0</v>
      </c>
      <c r="AE1097">
        <v>0</v>
      </c>
      <c r="AF1097">
        <v>1</v>
      </c>
      <c r="AG1097">
        <v>0</v>
      </c>
      <c r="AH1097">
        <v>3</v>
      </c>
      <c r="AI1097">
        <v>0</v>
      </c>
      <c r="AJ1097">
        <v>0</v>
      </c>
      <c r="AK1097">
        <v>4</v>
      </c>
      <c r="AL1097">
        <v>0</v>
      </c>
      <c r="AM1097">
        <v>0</v>
      </c>
      <c r="AN1097">
        <v>0</v>
      </c>
      <c r="AT1097">
        <v>0</v>
      </c>
      <c r="AU1097">
        <v>4</v>
      </c>
      <c r="AV1097">
        <v>132</v>
      </c>
      <c r="AW1097">
        <v>132</v>
      </c>
      <c r="AX1097">
        <v>217</v>
      </c>
      <c r="BA1097">
        <v>1</v>
      </c>
      <c r="BC1097" t="s">
        <v>2287</v>
      </c>
      <c r="BD1097" s="4">
        <v>43283.416666666664</v>
      </c>
      <c r="BE1097" s="4">
        <v>43283.424039351848</v>
      </c>
      <c r="BF1097" s="4">
        <v>43283.424039351848</v>
      </c>
      <c r="BG1097" t="s">
        <v>83</v>
      </c>
      <c r="BH1097" t="s">
        <v>84</v>
      </c>
      <c r="BI1097" t="s">
        <v>85</v>
      </c>
    </row>
    <row r="1098" spans="1:61" x14ac:dyDescent="0.3">
      <c r="A1098" t="str">
        <f>"202338B0100"</f>
        <v>202338B0100</v>
      </c>
      <c r="B1098" t="s">
        <v>2288</v>
      </c>
      <c r="C1098">
        <v>20</v>
      </c>
      <c r="D1098" t="s">
        <v>79</v>
      </c>
      <c r="E1098">
        <v>5</v>
      </c>
      <c r="F1098" t="s">
        <v>1759</v>
      </c>
      <c r="G1098">
        <v>2338</v>
      </c>
      <c r="H1098">
        <v>1</v>
      </c>
      <c r="I1098" t="s">
        <v>81</v>
      </c>
      <c r="J1098">
        <v>0</v>
      </c>
      <c r="K1098">
        <v>2</v>
      </c>
      <c r="L1098">
        <v>2</v>
      </c>
      <c r="M1098">
        <v>126</v>
      </c>
      <c r="N1098">
        <v>116</v>
      </c>
      <c r="O1098">
        <v>0</v>
      </c>
      <c r="P1098">
        <v>116</v>
      </c>
      <c r="Q1098">
        <v>7</v>
      </c>
      <c r="R1098">
        <v>29</v>
      </c>
      <c r="S1098">
        <v>12</v>
      </c>
      <c r="T1098">
        <v>4</v>
      </c>
      <c r="U1098">
        <v>3</v>
      </c>
      <c r="V1098">
        <v>0</v>
      </c>
      <c r="W1098">
        <v>6</v>
      </c>
      <c r="X1098">
        <v>4</v>
      </c>
      <c r="Y1098">
        <v>39</v>
      </c>
      <c r="Z1098">
        <v>2</v>
      </c>
      <c r="AA1098">
        <v>1</v>
      </c>
      <c r="AB1098">
        <v>1</v>
      </c>
      <c r="AC1098">
        <v>0</v>
      </c>
      <c r="AD1098">
        <v>0</v>
      </c>
      <c r="AE1098">
        <v>0</v>
      </c>
      <c r="AF1098">
        <v>0</v>
      </c>
      <c r="AG1098">
        <v>1</v>
      </c>
      <c r="AH1098">
        <v>2</v>
      </c>
      <c r="AI1098">
        <v>0</v>
      </c>
      <c r="AJ1098">
        <v>0</v>
      </c>
      <c r="AK1098">
        <v>2</v>
      </c>
      <c r="AL1098">
        <v>0</v>
      </c>
      <c r="AM1098">
        <v>0</v>
      </c>
      <c r="AN1098">
        <v>0</v>
      </c>
      <c r="AT1098">
        <v>0</v>
      </c>
      <c r="AU1098">
        <v>3</v>
      </c>
      <c r="AV1098" t="s">
        <v>100</v>
      </c>
      <c r="AW1098">
        <v>116</v>
      </c>
      <c r="AX1098">
        <v>220</v>
      </c>
      <c r="BA1098">
        <v>1</v>
      </c>
      <c r="BC1098" t="s">
        <v>2289</v>
      </c>
      <c r="BD1098" s="4">
        <v>43283.422222222223</v>
      </c>
      <c r="BE1098" s="4">
        <v>43283.426423611112</v>
      </c>
      <c r="BF1098" s="4">
        <v>43283.426423611112</v>
      </c>
      <c r="BG1098" t="s">
        <v>83</v>
      </c>
      <c r="BH1098" t="s">
        <v>84</v>
      </c>
      <c r="BI1098" t="s">
        <v>85</v>
      </c>
    </row>
    <row r="1099" spans="1:61" x14ac:dyDescent="0.3">
      <c r="A1099" t="str">
        <f>"202362B0100"</f>
        <v>202362B0100</v>
      </c>
      <c r="B1099" t="s">
        <v>2290</v>
      </c>
      <c r="C1099">
        <v>20</v>
      </c>
      <c r="D1099" t="s">
        <v>79</v>
      </c>
      <c r="E1099">
        <v>5</v>
      </c>
      <c r="F1099" t="s">
        <v>1759</v>
      </c>
      <c r="G1099">
        <v>2362</v>
      </c>
      <c r="H1099">
        <v>1</v>
      </c>
      <c r="I1099" t="s">
        <v>81</v>
      </c>
      <c r="J1099">
        <v>0</v>
      </c>
      <c r="K1099">
        <v>2</v>
      </c>
      <c r="L1099">
        <v>2</v>
      </c>
      <c r="M1099">
        <v>150</v>
      </c>
      <c r="N1099">
        <v>175</v>
      </c>
      <c r="O1099">
        <v>0</v>
      </c>
      <c r="P1099">
        <v>175</v>
      </c>
      <c r="Q1099">
        <v>10</v>
      </c>
      <c r="R1099">
        <v>35</v>
      </c>
      <c r="S1099">
        <v>15</v>
      </c>
      <c r="T1099">
        <v>7</v>
      </c>
      <c r="U1099">
        <v>23</v>
      </c>
      <c r="V1099">
        <v>0</v>
      </c>
      <c r="W1099">
        <v>1</v>
      </c>
      <c r="X1099">
        <v>2</v>
      </c>
      <c r="Y1099">
        <v>67</v>
      </c>
      <c r="Z1099">
        <v>2</v>
      </c>
      <c r="AA1099">
        <v>1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1</v>
      </c>
      <c r="AJ1099">
        <v>0</v>
      </c>
      <c r="AK1099">
        <v>5</v>
      </c>
      <c r="AL1099">
        <v>1</v>
      </c>
      <c r="AM1099">
        <v>0</v>
      </c>
      <c r="AN1099">
        <v>2</v>
      </c>
      <c r="AT1099" t="s">
        <v>315</v>
      </c>
      <c r="AU1099">
        <v>3</v>
      </c>
      <c r="AV1099">
        <v>175</v>
      </c>
      <c r="AW1099">
        <v>175</v>
      </c>
      <c r="AX1099">
        <v>303</v>
      </c>
      <c r="AZ1099" t="s">
        <v>101</v>
      </c>
      <c r="BA1099">
        <v>1</v>
      </c>
      <c r="BC1099" t="s">
        <v>2291</v>
      </c>
      <c r="BD1099" s="4">
        <v>43283.425000000003</v>
      </c>
      <c r="BE1099" s="4">
        <v>43283.444548611114</v>
      </c>
      <c r="BF1099" s="4">
        <v>43283.444548611114</v>
      </c>
      <c r="BG1099" t="s">
        <v>83</v>
      </c>
      <c r="BH1099" t="s">
        <v>84</v>
      </c>
      <c r="BI1099" t="s">
        <v>85</v>
      </c>
    </row>
    <row r="1100" spans="1:61" x14ac:dyDescent="0.3">
      <c r="A1100" t="str">
        <f>"202393B0100"</f>
        <v>202393B0100</v>
      </c>
      <c r="B1100" t="s">
        <v>2292</v>
      </c>
      <c r="C1100">
        <v>20</v>
      </c>
      <c r="D1100" t="s">
        <v>79</v>
      </c>
      <c r="E1100">
        <v>5</v>
      </c>
      <c r="F1100" t="s">
        <v>1759</v>
      </c>
      <c r="G1100">
        <v>2393</v>
      </c>
      <c r="H1100">
        <v>1</v>
      </c>
      <c r="I1100" t="s">
        <v>81</v>
      </c>
      <c r="J1100">
        <v>0</v>
      </c>
      <c r="K1100">
        <v>2</v>
      </c>
      <c r="L1100">
        <v>2</v>
      </c>
      <c r="M1100">
        <v>76</v>
      </c>
      <c r="N1100">
        <v>162</v>
      </c>
      <c r="O1100">
        <v>0</v>
      </c>
      <c r="P1100">
        <v>162</v>
      </c>
      <c r="Q1100">
        <v>2</v>
      </c>
      <c r="R1100">
        <v>20</v>
      </c>
      <c r="S1100">
        <v>12</v>
      </c>
      <c r="T1100">
        <v>1</v>
      </c>
      <c r="U1100">
        <v>20</v>
      </c>
      <c r="V1100">
        <v>1</v>
      </c>
      <c r="W1100">
        <v>0</v>
      </c>
      <c r="X1100">
        <v>1</v>
      </c>
      <c r="Y1100">
        <v>84</v>
      </c>
      <c r="Z1100">
        <v>2</v>
      </c>
      <c r="AA1100">
        <v>1</v>
      </c>
      <c r="AB1100">
        <v>3</v>
      </c>
      <c r="AC1100">
        <v>0</v>
      </c>
      <c r="AD1100">
        <v>0</v>
      </c>
      <c r="AE1100">
        <v>0</v>
      </c>
      <c r="AF1100">
        <v>0</v>
      </c>
      <c r="AG1100">
        <v>1</v>
      </c>
      <c r="AH1100">
        <v>0</v>
      </c>
      <c r="AI1100">
        <v>0</v>
      </c>
      <c r="AJ1100">
        <v>2</v>
      </c>
      <c r="AK1100">
        <v>0</v>
      </c>
      <c r="AL1100">
        <v>3</v>
      </c>
      <c r="AM1100">
        <v>0</v>
      </c>
      <c r="AN1100">
        <v>1</v>
      </c>
      <c r="AT1100">
        <v>0</v>
      </c>
      <c r="AU1100">
        <v>8</v>
      </c>
      <c r="AV1100">
        <v>162</v>
      </c>
      <c r="AW1100">
        <v>162</v>
      </c>
      <c r="AX1100">
        <v>216</v>
      </c>
      <c r="BA1100">
        <v>1</v>
      </c>
      <c r="BC1100" t="s">
        <v>2293</v>
      </c>
      <c r="BD1100" s="4">
        <v>43283.161111111112</v>
      </c>
      <c r="BE1100" s="4">
        <v>43283.172662037039</v>
      </c>
      <c r="BF1100" s="4">
        <v>43283.172662037039</v>
      </c>
      <c r="BG1100" t="s">
        <v>83</v>
      </c>
      <c r="BH1100" t="s">
        <v>84</v>
      </c>
      <c r="BI1100" t="s">
        <v>85</v>
      </c>
    </row>
    <row r="1101" spans="1:61" x14ac:dyDescent="0.3">
      <c r="A1101" t="str">
        <f>"202422B0100"</f>
        <v>202422B0100</v>
      </c>
      <c r="B1101" t="s">
        <v>2294</v>
      </c>
      <c r="C1101">
        <v>20</v>
      </c>
      <c r="D1101" t="s">
        <v>79</v>
      </c>
      <c r="E1101">
        <v>5</v>
      </c>
      <c r="F1101" t="s">
        <v>1759</v>
      </c>
      <c r="G1101">
        <v>2422</v>
      </c>
      <c r="H1101">
        <v>1</v>
      </c>
      <c r="I1101" t="s">
        <v>81</v>
      </c>
      <c r="J1101">
        <v>0</v>
      </c>
      <c r="K1101">
        <v>2</v>
      </c>
      <c r="L1101">
        <v>2</v>
      </c>
      <c r="M1101">
        <v>179</v>
      </c>
      <c r="N1101">
        <v>265</v>
      </c>
      <c r="O1101">
        <v>0</v>
      </c>
      <c r="P1101">
        <v>265</v>
      </c>
      <c r="Q1101">
        <v>8</v>
      </c>
      <c r="R1101">
        <v>70</v>
      </c>
      <c r="S1101">
        <v>7</v>
      </c>
      <c r="T1101">
        <v>5</v>
      </c>
      <c r="U1101">
        <v>71</v>
      </c>
      <c r="V1101">
        <v>5</v>
      </c>
      <c r="W1101">
        <v>45</v>
      </c>
      <c r="X1101">
        <v>4</v>
      </c>
      <c r="Y1101">
        <v>24</v>
      </c>
      <c r="Z1101">
        <v>3</v>
      </c>
      <c r="AA1101">
        <v>0</v>
      </c>
      <c r="AB1101">
        <v>1</v>
      </c>
      <c r="AC1101">
        <v>0</v>
      </c>
      <c r="AD1101">
        <v>0</v>
      </c>
      <c r="AE1101">
        <v>0</v>
      </c>
      <c r="AF1101">
        <v>0</v>
      </c>
      <c r="AG1101">
        <v>1</v>
      </c>
      <c r="AH1101">
        <v>0</v>
      </c>
      <c r="AI1101">
        <v>0</v>
      </c>
      <c r="AJ1101">
        <v>0</v>
      </c>
      <c r="AK1101">
        <v>2</v>
      </c>
      <c r="AL1101">
        <v>1</v>
      </c>
      <c r="AM1101">
        <v>0</v>
      </c>
      <c r="AN1101">
        <v>0</v>
      </c>
      <c r="AT1101">
        <v>0</v>
      </c>
      <c r="AU1101">
        <v>18</v>
      </c>
      <c r="AV1101">
        <v>265</v>
      </c>
      <c r="AW1101">
        <v>265</v>
      </c>
      <c r="AX1101">
        <v>422</v>
      </c>
      <c r="BA1101">
        <v>1</v>
      </c>
      <c r="BC1101" t="s">
        <v>2295</v>
      </c>
      <c r="BD1101" s="4">
        <v>43283.119444444441</v>
      </c>
      <c r="BE1101" s="4">
        <v>43283.124560185184</v>
      </c>
      <c r="BF1101" s="4">
        <v>43283.124560185184</v>
      </c>
      <c r="BG1101" t="s">
        <v>83</v>
      </c>
      <c r="BH1101" t="s">
        <v>84</v>
      </c>
      <c r="BI1101" t="s">
        <v>85</v>
      </c>
    </row>
    <row r="1102" spans="1:61" x14ac:dyDescent="0.3">
      <c r="A1102" t="str">
        <f>"202422C0100"</f>
        <v>202422C0100</v>
      </c>
      <c r="B1102" t="s">
        <v>2296</v>
      </c>
      <c r="C1102">
        <v>20</v>
      </c>
      <c r="D1102" t="s">
        <v>79</v>
      </c>
      <c r="E1102">
        <v>5</v>
      </c>
      <c r="F1102" t="s">
        <v>1759</v>
      </c>
      <c r="G1102">
        <v>2422</v>
      </c>
      <c r="H1102">
        <v>1</v>
      </c>
      <c r="I1102" t="s">
        <v>89</v>
      </c>
      <c r="J1102">
        <v>0</v>
      </c>
      <c r="K1102">
        <v>2</v>
      </c>
      <c r="L1102">
        <v>2</v>
      </c>
      <c r="M1102">
        <v>157</v>
      </c>
      <c r="N1102">
        <v>287</v>
      </c>
      <c r="O1102">
        <v>0</v>
      </c>
      <c r="P1102">
        <v>287</v>
      </c>
      <c r="Q1102">
        <v>13</v>
      </c>
      <c r="R1102">
        <v>59</v>
      </c>
      <c r="S1102">
        <v>15</v>
      </c>
      <c r="T1102">
        <v>4</v>
      </c>
      <c r="U1102">
        <v>52</v>
      </c>
      <c r="V1102">
        <v>2</v>
      </c>
      <c r="W1102">
        <v>53</v>
      </c>
      <c r="X1102">
        <v>1</v>
      </c>
      <c r="Y1102">
        <v>57</v>
      </c>
      <c r="Z1102">
        <v>5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1</v>
      </c>
      <c r="AH1102">
        <v>1</v>
      </c>
      <c r="AI1102">
        <v>1</v>
      </c>
      <c r="AJ1102">
        <v>0</v>
      </c>
      <c r="AK1102">
        <v>6</v>
      </c>
      <c r="AL1102">
        <v>2</v>
      </c>
      <c r="AM1102">
        <v>0</v>
      </c>
      <c r="AN1102">
        <v>0</v>
      </c>
      <c r="AT1102">
        <v>0</v>
      </c>
      <c r="AU1102">
        <v>14</v>
      </c>
      <c r="AV1102">
        <v>287</v>
      </c>
      <c r="AW1102">
        <v>286</v>
      </c>
      <c r="AX1102">
        <v>422</v>
      </c>
      <c r="BA1102">
        <v>1</v>
      </c>
      <c r="BC1102" t="s">
        <v>2297</v>
      </c>
      <c r="BD1102" s="4">
        <v>43283.118055555555</v>
      </c>
      <c r="BE1102" s="4">
        <v>43283.124583333331</v>
      </c>
      <c r="BF1102" s="4">
        <v>43283.124583333331</v>
      </c>
      <c r="BG1102" t="s">
        <v>83</v>
      </c>
      <c r="BH1102" t="s">
        <v>84</v>
      </c>
      <c r="BI1102" t="s">
        <v>85</v>
      </c>
    </row>
    <row r="1103" spans="1:61" x14ac:dyDescent="0.3">
      <c r="A1103" t="str">
        <f>"200042B0100"</f>
        <v>200042B0100</v>
      </c>
      <c r="B1103" t="s">
        <v>2298</v>
      </c>
      <c r="C1103">
        <v>20</v>
      </c>
      <c r="D1103" t="s">
        <v>79</v>
      </c>
      <c r="E1103">
        <v>6</v>
      </c>
      <c r="F1103" t="s">
        <v>2299</v>
      </c>
      <c r="G1103">
        <v>42</v>
      </c>
      <c r="H1103">
        <v>1</v>
      </c>
      <c r="I1103" t="s">
        <v>81</v>
      </c>
      <c r="J1103">
        <v>0</v>
      </c>
      <c r="K1103">
        <v>2</v>
      </c>
      <c r="L1103">
        <v>2</v>
      </c>
      <c r="M1103">
        <v>95</v>
      </c>
      <c r="N1103">
        <v>353</v>
      </c>
      <c r="O1103">
        <v>1</v>
      </c>
      <c r="P1103">
        <v>353</v>
      </c>
      <c r="Q1103">
        <v>138</v>
      </c>
      <c r="R1103">
        <v>140</v>
      </c>
      <c r="S1103">
        <v>2</v>
      </c>
      <c r="T1103">
        <v>0</v>
      </c>
      <c r="U1103">
        <v>4</v>
      </c>
      <c r="V1103">
        <v>2</v>
      </c>
      <c r="W1103">
        <v>0</v>
      </c>
      <c r="X1103">
        <v>0</v>
      </c>
      <c r="Y1103">
        <v>55</v>
      </c>
      <c r="Z1103">
        <v>1</v>
      </c>
      <c r="AA1103">
        <v>0</v>
      </c>
      <c r="AB1103">
        <v>2</v>
      </c>
      <c r="AC1103">
        <v>2</v>
      </c>
      <c r="AD1103">
        <v>0</v>
      </c>
      <c r="AE1103">
        <v>0</v>
      </c>
      <c r="AF1103">
        <v>0</v>
      </c>
      <c r="AK1103">
        <v>0</v>
      </c>
      <c r="AL1103">
        <v>0</v>
      </c>
      <c r="AM1103">
        <v>0</v>
      </c>
      <c r="AN1103">
        <v>0</v>
      </c>
      <c r="AP1103">
        <v>0</v>
      </c>
      <c r="AT1103">
        <v>0</v>
      </c>
      <c r="AU1103">
        <v>7</v>
      </c>
      <c r="AV1103">
        <v>353</v>
      </c>
      <c r="AW1103">
        <v>353</v>
      </c>
      <c r="AX1103">
        <v>426</v>
      </c>
      <c r="BA1103">
        <v>1</v>
      </c>
      <c r="BC1103" t="s">
        <v>2300</v>
      </c>
      <c r="BD1103" s="4">
        <v>43283.063888888886</v>
      </c>
      <c r="BE1103" s="4">
        <v>43283.069027777776</v>
      </c>
      <c r="BF1103" s="4">
        <v>43283.069027777776</v>
      </c>
      <c r="BG1103" t="s">
        <v>83</v>
      </c>
      <c r="BH1103" t="s">
        <v>84</v>
      </c>
      <c r="BI1103" t="s">
        <v>85</v>
      </c>
    </row>
    <row r="1104" spans="1:61" x14ac:dyDescent="0.3">
      <c r="A1104" t="str">
        <f>"200042C0100"</f>
        <v>200042C0100</v>
      </c>
      <c r="B1104" t="s">
        <v>2301</v>
      </c>
      <c r="C1104">
        <v>20</v>
      </c>
      <c r="D1104" t="s">
        <v>79</v>
      </c>
      <c r="E1104">
        <v>6</v>
      </c>
      <c r="F1104" t="s">
        <v>2299</v>
      </c>
      <c r="G1104">
        <v>42</v>
      </c>
      <c r="H1104">
        <v>1</v>
      </c>
      <c r="I1104" t="s">
        <v>89</v>
      </c>
      <c r="J1104">
        <v>0</v>
      </c>
      <c r="K1104">
        <v>2</v>
      </c>
      <c r="L1104">
        <v>2</v>
      </c>
      <c r="M1104">
        <v>73</v>
      </c>
      <c r="N1104">
        <v>368</v>
      </c>
      <c r="O1104">
        <v>3</v>
      </c>
      <c r="P1104">
        <v>368</v>
      </c>
      <c r="Q1104">
        <v>145</v>
      </c>
      <c r="R1104">
        <v>148</v>
      </c>
      <c r="S1104">
        <v>2</v>
      </c>
      <c r="T1104">
        <v>3</v>
      </c>
      <c r="U1104">
        <v>1</v>
      </c>
      <c r="V1104">
        <v>2</v>
      </c>
      <c r="W1104">
        <v>0</v>
      </c>
      <c r="X1104">
        <v>1</v>
      </c>
      <c r="Y1104">
        <v>45</v>
      </c>
      <c r="Z1104">
        <v>0</v>
      </c>
      <c r="AA1104">
        <v>0</v>
      </c>
      <c r="AB1104" t="s">
        <v>315</v>
      </c>
      <c r="AC1104">
        <v>2</v>
      </c>
      <c r="AD1104">
        <v>0</v>
      </c>
      <c r="AE1104">
        <v>0</v>
      </c>
      <c r="AF1104">
        <v>0</v>
      </c>
      <c r="AK1104">
        <v>0</v>
      </c>
      <c r="AL1104">
        <v>0</v>
      </c>
      <c r="AM1104">
        <v>0</v>
      </c>
      <c r="AN1104">
        <v>1</v>
      </c>
      <c r="AP1104">
        <v>0</v>
      </c>
      <c r="AT1104">
        <v>0</v>
      </c>
      <c r="AU1104">
        <v>13</v>
      </c>
      <c r="AV1104">
        <v>368</v>
      </c>
      <c r="AW1104">
        <v>363</v>
      </c>
      <c r="AX1104">
        <v>426</v>
      </c>
      <c r="AZ1104" t="s">
        <v>101</v>
      </c>
      <c r="BA1104">
        <v>1</v>
      </c>
      <c r="BC1104" t="s">
        <v>2302</v>
      </c>
      <c r="BD1104" s="4">
        <v>43283.065972222219</v>
      </c>
      <c r="BE1104" s="4">
        <v>43283.073344907411</v>
      </c>
      <c r="BF1104" s="4">
        <v>43283.073344907411</v>
      </c>
      <c r="BG1104" t="s">
        <v>83</v>
      </c>
      <c r="BH1104" t="s">
        <v>84</v>
      </c>
      <c r="BI1104" t="s">
        <v>85</v>
      </c>
    </row>
    <row r="1105" spans="1:61" x14ac:dyDescent="0.3">
      <c r="A1105" t="str">
        <f>"200087B0100"</f>
        <v>200087B0100</v>
      </c>
      <c r="B1105" t="s">
        <v>2303</v>
      </c>
      <c r="C1105">
        <v>20</v>
      </c>
      <c r="D1105" t="s">
        <v>79</v>
      </c>
      <c r="E1105">
        <v>6</v>
      </c>
      <c r="F1105" t="s">
        <v>2299</v>
      </c>
      <c r="G1105">
        <v>87</v>
      </c>
      <c r="H1105">
        <v>1</v>
      </c>
      <c r="I1105" t="s">
        <v>81</v>
      </c>
      <c r="J1105">
        <v>0</v>
      </c>
      <c r="K1105">
        <v>1</v>
      </c>
      <c r="L1105">
        <v>2</v>
      </c>
      <c r="M1105">
        <v>260</v>
      </c>
      <c r="N1105">
        <v>252</v>
      </c>
      <c r="O1105">
        <v>0</v>
      </c>
      <c r="P1105">
        <v>252</v>
      </c>
      <c r="Q1105">
        <v>5</v>
      </c>
      <c r="R1105">
        <v>41</v>
      </c>
      <c r="S1105">
        <v>36</v>
      </c>
      <c r="T1105">
        <v>2</v>
      </c>
      <c r="U1105">
        <v>10</v>
      </c>
      <c r="V1105">
        <v>8</v>
      </c>
      <c r="W1105">
        <v>1</v>
      </c>
      <c r="X1105">
        <v>2</v>
      </c>
      <c r="Y1105">
        <v>128</v>
      </c>
      <c r="Z1105">
        <v>0</v>
      </c>
      <c r="AA1105">
        <v>0</v>
      </c>
      <c r="AB1105">
        <v>1</v>
      </c>
      <c r="AC1105">
        <v>1</v>
      </c>
      <c r="AD1105">
        <v>0</v>
      </c>
      <c r="AE1105">
        <v>0</v>
      </c>
      <c r="AF1105">
        <v>0</v>
      </c>
      <c r="AK1105">
        <v>6</v>
      </c>
      <c r="AL1105">
        <v>2</v>
      </c>
      <c r="AM1105">
        <v>0</v>
      </c>
      <c r="AN1105">
        <v>0</v>
      </c>
      <c r="AP1105">
        <v>0</v>
      </c>
      <c r="AT1105">
        <v>0</v>
      </c>
      <c r="AU1105">
        <v>0</v>
      </c>
      <c r="AV1105">
        <v>252</v>
      </c>
      <c r="AW1105">
        <v>243</v>
      </c>
      <c r="AX1105">
        <v>490</v>
      </c>
      <c r="BA1105">
        <v>1</v>
      </c>
      <c r="BC1105" t="s">
        <v>2304</v>
      </c>
      <c r="BD1105" s="4">
        <v>43283.560416666667</v>
      </c>
      <c r="BE1105" s="4">
        <v>43283.56391203704</v>
      </c>
      <c r="BF1105" s="4">
        <v>43283.56391203704</v>
      </c>
      <c r="BG1105" t="s">
        <v>83</v>
      </c>
      <c r="BH1105" t="s">
        <v>84</v>
      </c>
      <c r="BI1105" t="s">
        <v>85</v>
      </c>
    </row>
    <row r="1106" spans="1:61" x14ac:dyDescent="0.3">
      <c r="A1106" t="str">
        <f>"200088B0100"</f>
        <v>200088B0100</v>
      </c>
      <c r="B1106" t="s">
        <v>2305</v>
      </c>
      <c r="C1106">
        <v>20</v>
      </c>
      <c r="D1106" t="s">
        <v>79</v>
      </c>
      <c r="E1106">
        <v>6</v>
      </c>
      <c r="F1106" t="s">
        <v>2299</v>
      </c>
      <c r="G1106">
        <v>88</v>
      </c>
      <c r="H1106">
        <v>1</v>
      </c>
      <c r="I1106" t="s">
        <v>81</v>
      </c>
      <c r="J1106">
        <v>0</v>
      </c>
      <c r="K1106">
        <v>2</v>
      </c>
      <c r="L1106">
        <v>2</v>
      </c>
      <c r="M1106">
        <v>62</v>
      </c>
      <c r="N1106">
        <v>51</v>
      </c>
      <c r="O1106">
        <v>5</v>
      </c>
      <c r="P1106">
        <v>51</v>
      </c>
      <c r="Q1106">
        <v>4</v>
      </c>
      <c r="R1106">
        <v>6</v>
      </c>
      <c r="S1106">
        <v>21</v>
      </c>
      <c r="T1106">
        <v>0</v>
      </c>
      <c r="U1106">
        <v>1</v>
      </c>
      <c r="V1106">
        <v>1</v>
      </c>
      <c r="W1106">
        <v>1</v>
      </c>
      <c r="X1106">
        <v>0</v>
      </c>
      <c r="Y1106">
        <v>8</v>
      </c>
      <c r="Z1106">
        <v>1</v>
      </c>
      <c r="AA1106">
        <v>2</v>
      </c>
      <c r="AB1106">
        <v>0</v>
      </c>
      <c r="AC1106">
        <v>0</v>
      </c>
      <c r="AD1106">
        <v>0</v>
      </c>
      <c r="AE1106">
        <v>0</v>
      </c>
      <c r="AF1106">
        <v>0</v>
      </c>
      <c r="AK1106">
        <v>0</v>
      </c>
      <c r="AL1106">
        <v>0</v>
      </c>
      <c r="AM1106">
        <v>0</v>
      </c>
      <c r="AN1106">
        <v>0</v>
      </c>
      <c r="AP1106">
        <v>0</v>
      </c>
      <c r="AT1106">
        <v>0</v>
      </c>
      <c r="AU1106">
        <v>6</v>
      </c>
      <c r="AV1106">
        <v>51</v>
      </c>
      <c r="AW1106">
        <v>51</v>
      </c>
      <c r="AX1106">
        <v>91</v>
      </c>
      <c r="BA1106">
        <v>1</v>
      </c>
      <c r="BC1106" t="s">
        <v>2306</v>
      </c>
      <c r="BD1106" s="4">
        <v>43283.560416666667</v>
      </c>
      <c r="BE1106" s="4">
        <v>43283.568009259259</v>
      </c>
      <c r="BF1106" s="4">
        <v>43283.568009259259</v>
      </c>
      <c r="BG1106" t="s">
        <v>83</v>
      </c>
      <c r="BH1106" t="s">
        <v>84</v>
      </c>
      <c r="BI1106" t="s">
        <v>85</v>
      </c>
    </row>
    <row r="1107" spans="1:61" x14ac:dyDescent="0.3">
      <c r="A1107" t="str">
        <f>"200089B0100"</f>
        <v>200089B0100</v>
      </c>
      <c r="B1107" t="s">
        <v>2307</v>
      </c>
      <c r="C1107">
        <v>20</v>
      </c>
      <c r="D1107" t="s">
        <v>79</v>
      </c>
      <c r="E1107">
        <v>6</v>
      </c>
      <c r="F1107" t="s">
        <v>2299</v>
      </c>
      <c r="G1107">
        <v>89</v>
      </c>
      <c r="H1107">
        <v>1</v>
      </c>
      <c r="I1107" t="s">
        <v>81</v>
      </c>
      <c r="J1107">
        <v>0</v>
      </c>
      <c r="K1107">
        <v>2</v>
      </c>
      <c r="L1107">
        <v>2</v>
      </c>
      <c r="M1107">
        <v>224</v>
      </c>
      <c r="N1107">
        <v>100</v>
      </c>
      <c r="O1107">
        <v>4</v>
      </c>
      <c r="P1107">
        <v>100</v>
      </c>
      <c r="Q1107">
        <v>1</v>
      </c>
      <c r="R1107">
        <v>3</v>
      </c>
      <c r="S1107">
        <v>9</v>
      </c>
      <c r="T1107">
        <v>0</v>
      </c>
      <c r="U1107">
        <v>3</v>
      </c>
      <c r="V1107">
        <v>2</v>
      </c>
      <c r="W1107">
        <v>0</v>
      </c>
      <c r="X1107">
        <v>2</v>
      </c>
      <c r="Y1107">
        <v>71</v>
      </c>
      <c r="Z1107">
        <v>3</v>
      </c>
      <c r="AA1107">
        <v>1</v>
      </c>
      <c r="AB1107">
        <v>0</v>
      </c>
      <c r="AC1107">
        <v>0</v>
      </c>
      <c r="AD1107">
        <v>0</v>
      </c>
      <c r="AE1107">
        <v>0</v>
      </c>
      <c r="AF1107">
        <v>0</v>
      </c>
      <c r="AK1107">
        <v>2</v>
      </c>
      <c r="AL1107">
        <v>0</v>
      </c>
      <c r="AM1107">
        <v>0</v>
      </c>
      <c r="AN1107">
        <v>1</v>
      </c>
      <c r="AP1107">
        <v>0</v>
      </c>
      <c r="AT1107">
        <v>0</v>
      </c>
      <c r="AU1107">
        <v>1</v>
      </c>
      <c r="AV1107" t="s">
        <v>100</v>
      </c>
      <c r="AW1107">
        <v>99</v>
      </c>
      <c r="AX1107">
        <v>303</v>
      </c>
      <c r="BA1107">
        <v>1</v>
      </c>
      <c r="BC1107" t="s">
        <v>2308</v>
      </c>
      <c r="BD1107" s="4">
        <v>43283.38958333333</v>
      </c>
      <c r="BE1107" s="4">
        <v>43283.404780092591</v>
      </c>
      <c r="BF1107" s="4">
        <v>43283.404780092591</v>
      </c>
      <c r="BG1107" t="s">
        <v>83</v>
      </c>
      <c r="BH1107" t="s">
        <v>84</v>
      </c>
      <c r="BI1107" t="s">
        <v>85</v>
      </c>
    </row>
    <row r="1108" spans="1:61" x14ac:dyDescent="0.3">
      <c r="A1108" t="str">
        <f>"200144B0100"</f>
        <v>200144B0100</v>
      </c>
      <c r="B1108" t="s">
        <v>2309</v>
      </c>
      <c r="C1108">
        <v>20</v>
      </c>
      <c r="D1108" t="s">
        <v>79</v>
      </c>
      <c r="E1108">
        <v>6</v>
      </c>
      <c r="F1108" t="s">
        <v>2299</v>
      </c>
      <c r="G1108">
        <v>144</v>
      </c>
      <c r="H1108">
        <v>1</v>
      </c>
      <c r="I1108" t="s">
        <v>81</v>
      </c>
      <c r="J1108">
        <v>0</v>
      </c>
      <c r="K1108">
        <v>2</v>
      </c>
      <c r="L1108">
        <v>2</v>
      </c>
      <c r="M1108">
        <v>122</v>
      </c>
      <c r="N1108">
        <v>271</v>
      </c>
      <c r="O1108">
        <v>2</v>
      </c>
      <c r="P1108">
        <v>271</v>
      </c>
      <c r="Q1108">
        <v>8</v>
      </c>
      <c r="R1108">
        <v>80</v>
      </c>
      <c r="S1108">
        <v>4</v>
      </c>
      <c r="T1108">
        <v>3</v>
      </c>
      <c r="U1108">
        <v>7</v>
      </c>
      <c r="V1108">
        <v>2</v>
      </c>
      <c r="W1108">
        <v>1</v>
      </c>
      <c r="X1108">
        <v>5</v>
      </c>
      <c r="Y1108">
        <v>139</v>
      </c>
      <c r="Z1108">
        <v>0</v>
      </c>
      <c r="AA1108">
        <v>0</v>
      </c>
      <c r="AB1108">
        <v>1</v>
      </c>
      <c r="AC1108">
        <v>0</v>
      </c>
      <c r="AD1108">
        <v>0</v>
      </c>
      <c r="AE1108">
        <v>0</v>
      </c>
      <c r="AF1108">
        <v>0</v>
      </c>
      <c r="AK1108">
        <v>5</v>
      </c>
      <c r="AL1108">
        <v>2</v>
      </c>
      <c r="AM1108">
        <v>0</v>
      </c>
      <c r="AN1108">
        <v>2</v>
      </c>
      <c r="AP1108">
        <v>2</v>
      </c>
      <c r="AT1108">
        <v>0</v>
      </c>
      <c r="AU1108">
        <v>10</v>
      </c>
      <c r="AV1108">
        <v>271</v>
      </c>
      <c r="AW1108">
        <v>271</v>
      </c>
      <c r="AX1108">
        <v>371</v>
      </c>
      <c r="BA1108">
        <v>1</v>
      </c>
      <c r="BC1108" t="s">
        <v>2310</v>
      </c>
      <c r="BD1108" s="4">
        <v>43283.143055555556</v>
      </c>
      <c r="BE1108" s="4">
        <v>43283.161180555559</v>
      </c>
      <c r="BF1108" s="4">
        <v>43283.161180555559</v>
      </c>
      <c r="BG1108" t="s">
        <v>83</v>
      </c>
      <c r="BH1108" t="s">
        <v>84</v>
      </c>
      <c r="BI1108" t="s">
        <v>85</v>
      </c>
    </row>
    <row r="1109" spans="1:61" x14ac:dyDescent="0.3">
      <c r="A1109" t="str">
        <f>"200145B0100"</f>
        <v>200145B0100</v>
      </c>
      <c r="B1109" t="s">
        <v>2311</v>
      </c>
      <c r="C1109">
        <v>20</v>
      </c>
      <c r="D1109" t="s">
        <v>79</v>
      </c>
      <c r="E1109">
        <v>6</v>
      </c>
      <c r="F1109" t="s">
        <v>2299</v>
      </c>
      <c r="G1109">
        <v>145</v>
      </c>
      <c r="H1109">
        <v>1</v>
      </c>
      <c r="I1109" t="s">
        <v>81</v>
      </c>
      <c r="J1109">
        <v>0</v>
      </c>
      <c r="K1109">
        <v>2</v>
      </c>
      <c r="L1109">
        <v>2</v>
      </c>
      <c r="M1109">
        <v>107</v>
      </c>
      <c r="N1109">
        <v>136</v>
      </c>
      <c r="O1109">
        <v>2</v>
      </c>
      <c r="P1109">
        <v>136</v>
      </c>
      <c r="Q1109">
        <v>4</v>
      </c>
      <c r="R1109">
        <v>13</v>
      </c>
      <c r="S1109">
        <v>12</v>
      </c>
      <c r="T1109" t="s">
        <v>100</v>
      </c>
      <c r="U1109">
        <v>17</v>
      </c>
      <c r="V1109">
        <v>1</v>
      </c>
      <c r="W1109" t="s">
        <v>100</v>
      </c>
      <c r="X1109">
        <v>3</v>
      </c>
      <c r="Y1109">
        <v>71</v>
      </c>
      <c r="Z1109">
        <v>3</v>
      </c>
      <c r="AA1109" t="s">
        <v>100</v>
      </c>
      <c r="AB1109" t="s">
        <v>100</v>
      </c>
      <c r="AC1109" t="s">
        <v>315</v>
      </c>
      <c r="AD1109" t="s">
        <v>315</v>
      </c>
      <c r="AE1109" t="s">
        <v>315</v>
      </c>
      <c r="AF1109" t="s">
        <v>315</v>
      </c>
      <c r="AK1109" t="s">
        <v>315</v>
      </c>
      <c r="AL1109" t="s">
        <v>315</v>
      </c>
      <c r="AM1109" t="s">
        <v>315</v>
      </c>
      <c r="AN1109" t="s">
        <v>315</v>
      </c>
      <c r="AP1109" t="s">
        <v>315</v>
      </c>
      <c r="AT1109" t="s">
        <v>100</v>
      </c>
      <c r="AU1109">
        <v>5</v>
      </c>
      <c r="AV1109" t="s">
        <v>100</v>
      </c>
      <c r="AW1109">
        <v>129</v>
      </c>
      <c r="AX1109">
        <v>221</v>
      </c>
      <c r="AZ1109" t="s">
        <v>101</v>
      </c>
      <c r="BA1109">
        <v>1</v>
      </c>
      <c r="BC1109" t="s">
        <v>2312</v>
      </c>
      <c r="BD1109" s="4">
        <v>43283.170138888891</v>
      </c>
      <c r="BE1109" s="4">
        <v>43283.188379629632</v>
      </c>
      <c r="BF1109" s="4">
        <v>43283.188379629632</v>
      </c>
      <c r="BG1109" t="s">
        <v>83</v>
      </c>
      <c r="BH1109" t="s">
        <v>84</v>
      </c>
      <c r="BI1109" t="s">
        <v>85</v>
      </c>
    </row>
    <row r="1110" spans="1:61" x14ac:dyDescent="0.3">
      <c r="A1110" t="str">
        <f>"200146B0100"</f>
        <v>200146B0100</v>
      </c>
      <c r="B1110" t="s">
        <v>2313</v>
      </c>
      <c r="C1110">
        <v>20</v>
      </c>
      <c r="D1110" t="s">
        <v>79</v>
      </c>
      <c r="E1110">
        <v>6</v>
      </c>
      <c r="F1110" t="s">
        <v>2299</v>
      </c>
      <c r="G1110">
        <v>146</v>
      </c>
      <c r="H1110">
        <v>1</v>
      </c>
      <c r="I1110" t="s">
        <v>81</v>
      </c>
      <c r="J1110">
        <v>0</v>
      </c>
      <c r="K1110">
        <v>2</v>
      </c>
      <c r="L1110">
        <v>2</v>
      </c>
      <c r="M1110">
        <v>58</v>
      </c>
      <c r="N1110">
        <v>58</v>
      </c>
      <c r="O1110">
        <v>5</v>
      </c>
      <c r="P1110">
        <v>58</v>
      </c>
      <c r="Q1110">
        <v>4</v>
      </c>
      <c r="R1110">
        <v>14</v>
      </c>
      <c r="S1110">
        <v>1</v>
      </c>
      <c r="T1110">
        <v>0</v>
      </c>
      <c r="U1110">
        <v>3</v>
      </c>
      <c r="V1110">
        <v>0</v>
      </c>
      <c r="W1110">
        <v>2</v>
      </c>
      <c r="X1110">
        <v>0</v>
      </c>
      <c r="Y1110">
        <v>29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K1110">
        <v>0</v>
      </c>
      <c r="AL1110">
        <v>1</v>
      </c>
      <c r="AM1110">
        <v>0</v>
      </c>
      <c r="AN1110">
        <v>2</v>
      </c>
      <c r="AP1110">
        <v>0</v>
      </c>
      <c r="AT1110">
        <v>0</v>
      </c>
      <c r="AU1110">
        <v>2</v>
      </c>
      <c r="AV1110">
        <v>58</v>
      </c>
      <c r="AW1110">
        <v>58</v>
      </c>
      <c r="AX1110">
        <v>94</v>
      </c>
      <c r="BA1110">
        <v>1</v>
      </c>
      <c r="BC1110" t="s">
        <v>2314</v>
      </c>
      <c r="BD1110" s="4">
        <v>43283.151388888888</v>
      </c>
      <c r="BE1110" s="4">
        <v>43283.164340277777</v>
      </c>
      <c r="BF1110" s="4">
        <v>43283.164340277777</v>
      </c>
      <c r="BG1110" t="s">
        <v>83</v>
      </c>
      <c r="BH1110" t="s">
        <v>84</v>
      </c>
      <c r="BI1110" t="s">
        <v>85</v>
      </c>
    </row>
    <row r="1111" spans="1:61" x14ac:dyDescent="0.3">
      <c r="A1111" t="str">
        <f>"200187B0100"</f>
        <v>200187B0100</v>
      </c>
      <c r="B1111" t="s">
        <v>2315</v>
      </c>
      <c r="C1111">
        <v>20</v>
      </c>
      <c r="D1111" t="s">
        <v>79</v>
      </c>
      <c r="E1111">
        <v>6</v>
      </c>
      <c r="F1111" t="s">
        <v>2299</v>
      </c>
      <c r="G1111">
        <v>187</v>
      </c>
      <c r="H1111">
        <v>1</v>
      </c>
      <c r="I1111" t="s">
        <v>81</v>
      </c>
      <c r="J1111">
        <v>0</v>
      </c>
      <c r="K1111">
        <v>2</v>
      </c>
      <c r="L1111">
        <v>2</v>
      </c>
      <c r="M1111">
        <v>109</v>
      </c>
      <c r="N1111">
        <v>319</v>
      </c>
      <c r="O1111">
        <v>1</v>
      </c>
      <c r="P1111">
        <v>319</v>
      </c>
      <c r="Q1111">
        <v>1</v>
      </c>
      <c r="R1111">
        <v>169</v>
      </c>
      <c r="S1111">
        <v>13</v>
      </c>
      <c r="T1111">
        <v>1</v>
      </c>
      <c r="U1111">
        <v>2</v>
      </c>
      <c r="V1111">
        <v>0</v>
      </c>
      <c r="W1111">
        <v>0</v>
      </c>
      <c r="X1111">
        <v>0</v>
      </c>
      <c r="Y1111">
        <v>122</v>
      </c>
      <c r="Z1111">
        <v>2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K1111">
        <v>2</v>
      </c>
      <c r="AL1111">
        <v>1</v>
      </c>
      <c r="AM1111">
        <v>0</v>
      </c>
      <c r="AN1111">
        <v>1</v>
      </c>
      <c r="AP1111">
        <v>0</v>
      </c>
      <c r="AT1111">
        <v>2</v>
      </c>
      <c r="AU1111">
        <v>3</v>
      </c>
      <c r="AV1111">
        <v>319</v>
      </c>
      <c r="AW1111">
        <v>319</v>
      </c>
      <c r="AX1111">
        <v>406</v>
      </c>
      <c r="BA1111">
        <v>1</v>
      </c>
      <c r="BC1111" t="s">
        <v>2316</v>
      </c>
      <c r="BD1111" s="4">
        <v>43283.288888888892</v>
      </c>
      <c r="BE1111" s="4">
        <v>43283.316400462965</v>
      </c>
      <c r="BF1111" s="4">
        <v>43283.316400462965</v>
      </c>
      <c r="BG1111" t="s">
        <v>83</v>
      </c>
      <c r="BH1111" t="s">
        <v>84</v>
      </c>
      <c r="BI1111" t="s">
        <v>85</v>
      </c>
    </row>
    <row r="1112" spans="1:61" x14ac:dyDescent="0.3">
      <c r="A1112" t="str">
        <f>"200188B0100"</f>
        <v>200188B0100</v>
      </c>
      <c r="B1112" t="s">
        <v>2317</v>
      </c>
      <c r="C1112">
        <v>20</v>
      </c>
      <c r="D1112" t="s">
        <v>79</v>
      </c>
      <c r="E1112">
        <v>6</v>
      </c>
      <c r="F1112" t="s">
        <v>2299</v>
      </c>
      <c r="G1112">
        <v>188</v>
      </c>
      <c r="H1112">
        <v>1</v>
      </c>
      <c r="I1112" t="s">
        <v>81</v>
      </c>
      <c r="J1112">
        <v>0</v>
      </c>
      <c r="K1112">
        <v>2</v>
      </c>
      <c r="L1112">
        <v>2</v>
      </c>
      <c r="M1112">
        <v>148</v>
      </c>
      <c r="N1112">
        <v>282</v>
      </c>
      <c r="O1112">
        <v>3</v>
      </c>
      <c r="P1112">
        <v>282</v>
      </c>
      <c r="Q1112">
        <v>13</v>
      </c>
      <c r="R1112">
        <v>40</v>
      </c>
      <c r="S1112">
        <v>173</v>
      </c>
      <c r="T1112">
        <v>3</v>
      </c>
      <c r="U1112">
        <v>5</v>
      </c>
      <c r="V1112">
        <v>2</v>
      </c>
      <c r="W1112">
        <v>0</v>
      </c>
      <c r="X1112">
        <v>1</v>
      </c>
      <c r="Y1112">
        <v>32</v>
      </c>
      <c r="Z1112">
        <v>0</v>
      </c>
      <c r="AA1112">
        <v>0</v>
      </c>
      <c r="AB1112">
        <v>0</v>
      </c>
      <c r="AC1112">
        <v>0</v>
      </c>
      <c r="AD1112">
        <v>1</v>
      </c>
      <c r="AE1112">
        <v>0</v>
      </c>
      <c r="AF1112">
        <v>0</v>
      </c>
      <c r="AK1112">
        <v>0</v>
      </c>
      <c r="AL1112">
        <v>0</v>
      </c>
      <c r="AM1112">
        <v>0</v>
      </c>
      <c r="AN1112">
        <v>0</v>
      </c>
      <c r="AP1112">
        <v>1</v>
      </c>
      <c r="AT1112">
        <v>0</v>
      </c>
      <c r="AU1112">
        <v>10</v>
      </c>
      <c r="AV1112">
        <v>282</v>
      </c>
      <c r="AW1112">
        <v>281</v>
      </c>
      <c r="AX1112">
        <v>408</v>
      </c>
      <c r="BA1112">
        <v>1</v>
      </c>
      <c r="BC1112" t="s">
        <v>2318</v>
      </c>
      <c r="BD1112" s="4">
        <v>43283.288888888892</v>
      </c>
      <c r="BE1112" s="4">
        <v>43283.317974537036</v>
      </c>
      <c r="BF1112" s="4">
        <v>43283.317974537036</v>
      </c>
      <c r="BG1112" t="s">
        <v>83</v>
      </c>
      <c r="BH1112" t="s">
        <v>84</v>
      </c>
      <c r="BI1112" t="s">
        <v>85</v>
      </c>
    </row>
    <row r="1113" spans="1:61" x14ac:dyDescent="0.3">
      <c r="A1113" t="str">
        <f>"200189B0100"</f>
        <v>200189B0100</v>
      </c>
      <c r="B1113" t="s">
        <v>2319</v>
      </c>
      <c r="C1113">
        <v>20</v>
      </c>
      <c r="D1113" t="s">
        <v>79</v>
      </c>
      <c r="E1113">
        <v>6</v>
      </c>
      <c r="F1113" t="s">
        <v>2299</v>
      </c>
      <c r="G1113">
        <v>189</v>
      </c>
      <c r="H1113">
        <v>1</v>
      </c>
      <c r="I1113" t="s">
        <v>81</v>
      </c>
      <c r="J1113">
        <v>0</v>
      </c>
      <c r="K1113">
        <v>1</v>
      </c>
      <c r="L1113">
        <v>2</v>
      </c>
      <c r="M1113">
        <v>150</v>
      </c>
      <c r="N1113">
        <v>290</v>
      </c>
      <c r="O1113">
        <v>4</v>
      </c>
      <c r="P1113">
        <v>290</v>
      </c>
      <c r="Q1113">
        <v>10</v>
      </c>
      <c r="R1113">
        <v>101</v>
      </c>
      <c r="S1113">
        <v>35</v>
      </c>
      <c r="T1113">
        <v>0</v>
      </c>
      <c r="U1113">
        <v>106</v>
      </c>
      <c r="V1113">
        <v>3</v>
      </c>
      <c r="W1113">
        <v>0</v>
      </c>
      <c r="X1113">
        <v>0</v>
      </c>
      <c r="Y1113">
        <v>18</v>
      </c>
      <c r="Z1113">
        <v>1</v>
      </c>
      <c r="AA1113">
        <v>0</v>
      </c>
      <c r="AB1113">
        <v>0</v>
      </c>
      <c r="AC1113">
        <v>0</v>
      </c>
      <c r="AD1113">
        <v>0</v>
      </c>
      <c r="AE1113">
        <v>1</v>
      </c>
      <c r="AF1113">
        <v>0</v>
      </c>
      <c r="AK1113">
        <v>2</v>
      </c>
      <c r="AL1113">
        <v>1</v>
      </c>
      <c r="AM1113">
        <v>0</v>
      </c>
      <c r="AN1113">
        <v>0</v>
      </c>
      <c r="AP1113">
        <v>3</v>
      </c>
      <c r="AT1113">
        <v>0</v>
      </c>
      <c r="AU1113">
        <v>9</v>
      </c>
      <c r="AV1113">
        <v>290</v>
      </c>
      <c r="AW1113">
        <v>290</v>
      </c>
      <c r="AX1113">
        <v>420</v>
      </c>
      <c r="BA1113">
        <v>1</v>
      </c>
      <c r="BC1113" t="s">
        <v>2320</v>
      </c>
      <c r="BD1113" s="4">
        <v>43283.393750000003</v>
      </c>
      <c r="BE1113" s="4">
        <v>43283.400625000002</v>
      </c>
      <c r="BF1113" s="4">
        <v>43283.400625000002</v>
      </c>
      <c r="BG1113" t="s">
        <v>83</v>
      </c>
      <c r="BH1113" t="s">
        <v>84</v>
      </c>
      <c r="BI1113" t="s">
        <v>85</v>
      </c>
    </row>
    <row r="1114" spans="1:61" x14ac:dyDescent="0.3">
      <c r="A1114" t="str">
        <f>"200190B0100"</f>
        <v>200190B0100</v>
      </c>
      <c r="B1114" t="s">
        <v>2321</v>
      </c>
      <c r="C1114">
        <v>20</v>
      </c>
      <c r="D1114" t="s">
        <v>79</v>
      </c>
      <c r="E1114">
        <v>6</v>
      </c>
      <c r="F1114" t="s">
        <v>2299</v>
      </c>
      <c r="G1114">
        <v>190</v>
      </c>
      <c r="H1114">
        <v>1</v>
      </c>
      <c r="I1114" t="s">
        <v>81</v>
      </c>
      <c r="J1114">
        <v>0</v>
      </c>
      <c r="K1114">
        <v>1</v>
      </c>
      <c r="L1114">
        <v>2</v>
      </c>
      <c r="M1114">
        <v>134</v>
      </c>
      <c r="N1114">
        <v>180</v>
      </c>
      <c r="O1114">
        <v>2</v>
      </c>
      <c r="P1114">
        <v>180</v>
      </c>
      <c r="Q1114">
        <v>5</v>
      </c>
      <c r="R1114">
        <v>58</v>
      </c>
      <c r="S1114">
        <v>29</v>
      </c>
      <c r="T1114">
        <v>1</v>
      </c>
      <c r="U1114">
        <v>46</v>
      </c>
      <c r="V1114">
        <v>5</v>
      </c>
      <c r="W1114">
        <v>2</v>
      </c>
      <c r="X1114">
        <v>1</v>
      </c>
      <c r="Y1114">
        <v>21</v>
      </c>
      <c r="Z1114">
        <v>0</v>
      </c>
      <c r="AA1114">
        <v>0</v>
      </c>
      <c r="AB1114">
        <v>1</v>
      </c>
      <c r="AC1114">
        <v>0</v>
      </c>
      <c r="AD1114">
        <v>1</v>
      </c>
      <c r="AE1114">
        <v>0</v>
      </c>
      <c r="AF1114">
        <v>0</v>
      </c>
      <c r="AK1114">
        <v>0</v>
      </c>
      <c r="AL1114">
        <v>1</v>
      </c>
      <c r="AM1114">
        <v>0</v>
      </c>
      <c r="AN1114">
        <v>0</v>
      </c>
      <c r="AP1114">
        <v>0</v>
      </c>
      <c r="AT1114">
        <v>0</v>
      </c>
      <c r="AU1114">
        <v>9</v>
      </c>
      <c r="AV1114">
        <v>180</v>
      </c>
      <c r="AW1114">
        <v>180</v>
      </c>
      <c r="AX1114">
        <v>292</v>
      </c>
      <c r="BA1114">
        <v>1</v>
      </c>
      <c r="BC1114" t="s">
        <v>2322</v>
      </c>
      <c r="BD1114" s="4">
        <v>43283.386805555558</v>
      </c>
      <c r="BE1114" s="4">
        <v>43283.391087962962</v>
      </c>
      <c r="BF1114" s="4">
        <v>43283.391087962962</v>
      </c>
      <c r="BG1114" t="s">
        <v>83</v>
      </c>
      <c r="BH1114" t="s">
        <v>84</v>
      </c>
      <c r="BI1114" t="s">
        <v>85</v>
      </c>
    </row>
    <row r="1115" spans="1:61" x14ac:dyDescent="0.3">
      <c r="A1115" t="str">
        <f>"200191B0100"</f>
        <v>200191B0100</v>
      </c>
      <c r="B1115" t="s">
        <v>2323</v>
      </c>
      <c r="C1115">
        <v>20</v>
      </c>
      <c r="D1115" t="s">
        <v>79</v>
      </c>
      <c r="E1115">
        <v>6</v>
      </c>
      <c r="F1115" t="s">
        <v>2299</v>
      </c>
      <c r="G1115">
        <v>191</v>
      </c>
      <c r="H1115">
        <v>1</v>
      </c>
      <c r="I1115" t="s">
        <v>81</v>
      </c>
      <c r="J1115">
        <v>0</v>
      </c>
      <c r="K1115">
        <v>2</v>
      </c>
      <c r="L1115">
        <v>2</v>
      </c>
      <c r="M1115">
        <v>396</v>
      </c>
      <c r="N1115">
        <v>281</v>
      </c>
      <c r="O1115">
        <v>1</v>
      </c>
      <c r="P1115">
        <v>281</v>
      </c>
      <c r="Q1115">
        <v>4</v>
      </c>
      <c r="R1115">
        <v>96</v>
      </c>
      <c r="S1115">
        <v>84</v>
      </c>
      <c r="T1115">
        <v>0</v>
      </c>
      <c r="U1115">
        <v>33</v>
      </c>
      <c r="V1115">
        <v>6</v>
      </c>
      <c r="W1115">
        <v>0</v>
      </c>
      <c r="X1115">
        <v>0</v>
      </c>
      <c r="Y1115">
        <v>33</v>
      </c>
      <c r="Z1115">
        <v>2</v>
      </c>
      <c r="AA1115">
        <v>0</v>
      </c>
      <c r="AB1115">
        <v>0</v>
      </c>
      <c r="AC1115">
        <v>1</v>
      </c>
      <c r="AD1115">
        <v>0</v>
      </c>
      <c r="AE1115">
        <v>0</v>
      </c>
      <c r="AF1115">
        <v>0</v>
      </c>
      <c r="AK1115">
        <v>1</v>
      </c>
      <c r="AL1115">
        <v>1</v>
      </c>
      <c r="AM1115">
        <v>1</v>
      </c>
      <c r="AN1115">
        <v>0</v>
      </c>
      <c r="AP1115">
        <v>1</v>
      </c>
      <c r="AT1115">
        <v>0</v>
      </c>
      <c r="AU1115">
        <v>18</v>
      </c>
      <c r="AV1115">
        <v>281</v>
      </c>
      <c r="AW1115">
        <v>281</v>
      </c>
      <c r="AX1115">
        <v>374</v>
      </c>
      <c r="BA1115">
        <v>1</v>
      </c>
      <c r="BC1115" t="s">
        <v>2324</v>
      </c>
      <c r="BD1115" s="4">
        <v>43283.385416666664</v>
      </c>
      <c r="BE1115" s="4">
        <v>43283.3906712963</v>
      </c>
      <c r="BF1115" s="4">
        <v>43283.3906712963</v>
      </c>
      <c r="BG1115" t="s">
        <v>83</v>
      </c>
      <c r="BH1115" t="s">
        <v>84</v>
      </c>
      <c r="BI1115" t="s">
        <v>85</v>
      </c>
    </row>
    <row r="1116" spans="1:61" x14ac:dyDescent="0.3">
      <c r="A1116" t="str">
        <f>"200201B0100"</f>
        <v>200201B0100</v>
      </c>
      <c r="B1116" t="s">
        <v>2325</v>
      </c>
      <c r="C1116">
        <v>20</v>
      </c>
      <c r="D1116" t="s">
        <v>79</v>
      </c>
      <c r="E1116">
        <v>6</v>
      </c>
      <c r="F1116" t="s">
        <v>2299</v>
      </c>
      <c r="G1116">
        <v>201</v>
      </c>
      <c r="H1116">
        <v>1</v>
      </c>
      <c r="I1116" t="s">
        <v>81</v>
      </c>
      <c r="J1116">
        <v>0</v>
      </c>
      <c r="K1116">
        <v>1</v>
      </c>
      <c r="L1116">
        <v>2</v>
      </c>
      <c r="M1116">
        <v>303</v>
      </c>
      <c r="N1116">
        <v>388</v>
      </c>
      <c r="O1116">
        <v>0</v>
      </c>
      <c r="P1116">
        <v>388</v>
      </c>
      <c r="Q1116">
        <v>32</v>
      </c>
      <c r="R1116">
        <v>76</v>
      </c>
      <c r="S1116">
        <v>10</v>
      </c>
      <c r="T1116">
        <v>19</v>
      </c>
      <c r="U1116">
        <v>8</v>
      </c>
      <c r="V1116">
        <v>5</v>
      </c>
      <c r="W1116">
        <v>4</v>
      </c>
      <c r="X1116">
        <v>13</v>
      </c>
      <c r="Y1116">
        <v>170</v>
      </c>
      <c r="Z1116">
        <v>12</v>
      </c>
      <c r="AA1116">
        <v>5</v>
      </c>
      <c r="AB1116">
        <v>10</v>
      </c>
      <c r="AC1116">
        <v>0</v>
      </c>
      <c r="AD1116">
        <v>0</v>
      </c>
      <c r="AE1116">
        <v>0</v>
      </c>
      <c r="AF1116">
        <v>0</v>
      </c>
      <c r="AK1116">
        <v>2</v>
      </c>
      <c r="AL1116">
        <v>4</v>
      </c>
      <c r="AM1116">
        <v>0</v>
      </c>
      <c r="AN1116">
        <v>2</v>
      </c>
      <c r="AP1116">
        <v>0</v>
      </c>
      <c r="AT1116">
        <v>0</v>
      </c>
      <c r="AU1116">
        <v>16</v>
      </c>
      <c r="AV1116">
        <v>388</v>
      </c>
      <c r="AW1116">
        <v>388</v>
      </c>
      <c r="AX1116">
        <v>668</v>
      </c>
      <c r="BA1116">
        <v>1</v>
      </c>
      <c r="BC1116" t="s">
        <v>2326</v>
      </c>
      <c r="BD1116" s="4">
        <v>43283.196527777778</v>
      </c>
      <c r="BE1116" s="4">
        <v>43283.215474537035</v>
      </c>
      <c r="BF1116" s="4">
        <v>43283.215474537035</v>
      </c>
      <c r="BG1116" t="s">
        <v>83</v>
      </c>
      <c r="BH1116" t="s">
        <v>84</v>
      </c>
      <c r="BI1116" t="s">
        <v>85</v>
      </c>
    </row>
    <row r="1117" spans="1:61" x14ac:dyDescent="0.3">
      <c r="A1117" t="str">
        <f>"200201C0100"</f>
        <v>200201C0100</v>
      </c>
      <c r="B1117" t="s">
        <v>2327</v>
      </c>
      <c r="C1117">
        <v>20</v>
      </c>
      <c r="D1117" t="s">
        <v>79</v>
      </c>
      <c r="E1117">
        <v>6</v>
      </c>
      <c r="F1117" t="s">
        <v>2299</v>
      </c>
      <c r="G1117">
        <v>201</v>
      </c>
      <c r="H1117">
        <v>1</v>
      </c>
      <c r="I1117" t="s">
        <v>89</v>
      </c>
      <c r="J1117">
        <v>0</v>
      </c>
      <c r="K1117">
        <v>1</v>
      </c>
      <c r="L1117">
        <v>2</v>
      </c>
      <c r="M1117">
        <v>297</v>
      </c>
      <c r="N1117">
        <v>394</v>
      </c>
      <c r="O1117">
        <v>1</v>
      </c>
      <c r="P1117">
        <v>394</v>
      </c>
      <c r="Q1117">
        <v>39</v>
      </c>
      <c r="R1117">
        <v>69</v>
      </c>
      <c r="S1117">
        <v>13</v>
      </c>
      <c r="T1117">
        <v>18</v>
      </c>
      <c r="U1117">
        <v>9</v>
      </c>
      <c r="V1117">
        <v>4</v>
      </c>
      <c r="W1117">
        <v>12</v>
      </c>
      <c r="X1117">
        <v>14</v>
      </c>
      <c r="Y1117">
        <v>174</v>
      </c>
      <c r="Z1117">
        <v>6</v>
      </c>
      <c r="AA1117">
        <v>9</v>
      </c>
      <c r="AB1117">
        <v>10</v>
      </c>
      <c r="AC1117">
        <v>0</v>
      </c>
      <c r="AD1117">
        <v>0</v>
      </c>
      <c r="AE1117">
        <v>0</v>
      </c>
      <c r="AF1117">
        <v>0</v>
      </c>
      <c r="AK1117">
        <v>4</v>
      </c>
      <c r="AL1117">
        <v>1</v>
      </c>
      <c r="AM1117">
        <v>0</v>
      </c>
      <c r="AN1117">
        <v>2</v>
      </c>
      <c r="AP1117">
        <v>3</v>
      </c>
      <c r="AT1117">
        <v>0</v>
      </c>
      <c r="AU1117">
        <v>7</v>
      </c>
      <c r="AV1117">
        <v>394</v>
      </c>
      <c r="AW1117">
        <v>394</v>
      </c>
      <c r="AX1117">
        <v>668</v>
      </c>
      <c r="BA1117">
        <v>1</v>
      </c>
      <c r="BC1117" t="s">
        <v>2328</v>
      </c>
      <c r="BD1117" s="4">
        <v>43283.195833333331</v>
      </c>
      <c r="BE1117" s="4">
        <v>43283.212106481478</v>
      </c>
      <c r="BF1117" s="4">
        <v>43283.212106481478</v>
      </c>
      <c r="BG1117" t="s">
        <v>83</v>
      </c>
      <c r="BH1117" t="s">
        <v>84</v>
      </c>
      <c r="BI1117" t="s">
        <v>85</v>
      </c>
    </row>
    <row r="1118" spans="1:61" x14ac:dyDescent="0.3">
      <c r="A1118" t="str">
        <f>"200201C0200"</f>
        <v>200201C0200</v>
      </c>
      <c r="B1118" t="s">
        <v>2329</v>
      </c>
      <c r="C1118">
        <v>20</v>
      </c>
      <c r="D1118" t="s">
        <v>79</v>
      </c>
      <c r="E1118">
        <v>6</v>
      </c>
      <c r="F1118" t="s">
        <v>2299</v>
      </c>
      <c r="G1118">
        <v>201</v>
      </c>
      <c r="H1118">
        <v>2</v>
      </c>
      <c r="I1118" t="s">
        <v>89</v>
      </c>
      <c r="J1118">
        <v>0</v>
      </c>
      <c r="K1118">
        <v>1</v>
      </c>
      <c r="L1118">
        <v>2</v>
      </c>
      <c r="M1118">
        <v>299</v>
      </c>
      <c r="N1118">
        <v>391</v>
      </c>
      <c r="O1118">
        <v>1</v>
      </c>
      <c r="P1118">
        <v>391</v>
      </c>
      <c r="Q1118">
        <v>25</v>
      </c>
      <c r="R1118">
        <v>60</v>
      </c>
      <c r="S1118">
        <v>19</v>
      </c>
      <c r="T1118">
        <v>12</v>
      </c>
      <c r="U1118">
        <v>5</v>
      </c>
      <c r="V1118">
        <v>6</v>
      </c>
      <c r="W1118">
        <v>12</v>
      </c>
      <c r="X1118">
        <v>10</v>
      </c>
      <c r="Y1118">
        <v>191</v>
      </c>
      <c r="Z1118">
        <v>6</v>
      </c>
      <c r="AA1118">
        <v>7</v>
      </c>
      <c r="AB1118">
        <v>11</v>
      </c>
      <c r="AC1118">
        <v>2</v>
      </c>
      <c r="AD1118">
        <v>0</v>
      </c>
      <c r="AE1118">
        <v>0</v>
      </c>
      <c r="AF1118">
        <v>0</v>
      </c>
      <c r="AK1118">
        <v>3</v>
      </c>
      <c r="AL1118">
        <v>4</v>
      </c>
      <c r="AM1118">
        <v>0</v>
      </c>
      <c r="AN1118">
        <v>1</v>
      </c>
      <c r="AP1118">
        <v>0</v>
      </c>
      <c r="AT1118">
        <v>0</v>
      </c>
      <c r="AU1118">
        <v>17</v>
      </c>
      <c r="AV1118">
        <v>391</v>
      </c>
      <c r="AW1118">
        <v>391</v>
      </c>
      <c r="AX1118">
        <v>667</v>
      </c>
      <c r="BA1118">
        <v>1</v>
      </c>
      <c r="BC1118" t="s">
        <v>2330</v>
      </c>
      <c r="BD1118" s="4">
        <v>43283.195833333331</v>
      </c>
      <c r="BE1118" s="4">
        <v>43283.212164351855</v>
      </c>
      <c r="BF1118" s="4">
        <v>43283.212164351855</v>
      </c>
      <c r="BG1118" t="s">
        <v>83</v>
      </c>
      <c r="BH1118" t="s">
        <v>84</v>
      </c>
      <c r="BI1118" t="s">
        <v>85</v>
      </c>
    </row>
    <row r="1119" spans="1:61" x14ac:dyDescent="0.3">
      <c r="A1119" t="str">
        <f>"200201C0300"</f>
        <v>200201C0300</v>
      </c>
      <c r="B1119" t="s">
        <v>2331</v>
      </c>
      <c r="C1119">
        <v>20</v>
      </c>
      <c r="D1119" t="s">
        <v>79</v>
      </c>
      <c r="E1119">
        <v>6</v>
      </c>
      <c r="F1119" t="s">
        <v>2299</v>
      </c>
      <c r="G1119">
        <v>201</v>
      </c>
      <c r="H1119">
        <v>3</v>
      </c>
      <c r="I1119" t="s">
        <v>89</v>
      </c>
      <c r="J1119">
        <v>0</v>
      </c>
      <c r="K1119">
        <v>1</v>
      </c>
      <c r="L1119">
        <v>2</v>
      </c>
      <c r="M1119">
        <v>280</v>
      </c>
      <c r="N1119">
        <v>410</v>
      </c>
      <c r="O1119">
        <v>1</v>
      </c>
      <c r="P1119">
        <v>410</v>
      </c>
      <c r="Q1119">
        <v>42</v>
      </c>
      <c r="R1119">
        <v>68</v>
      </c>
      <c r="S1119">
        <v>12</v>
      </c>
      <c r="T1119">
        <v>22</v>
      </c>
      <c r="U1119">
        <v>11</v>
      </c>
      <c r="V1119">
        <v>9</v>
      </c>
      <c r="W1119">
        <v>13</v>
      </c>
      <c r="X1119">
        <v>9</v>
      </c>
      <c r="Y1119">
        <v>185</v>
      </c>
      <c r="Z1119">
        <v>5</v>
      </c>
      <c r="AA1119">
        <v>3</v>
      </c>
      <c r="AB1119">
        <v>12</v>
      </c>
      <c r="AC1119">
        <v>1</v>
      </c>
      <c r="AD1119">
        <v>2</v>
      </c>
      <c r="AE1119">
        <v>0</v>
      </c>
      <c r="AF1119">
        <v>0</v>
      </c>
      <c r="AK1119">
        <v>2</v>
      </c>
      <c r="AL1119">
        <v>1</v>
      </c>
      <c r="AM1119">
        <v>0</v>
      </c>
      <c r="AN1119">
        <v>0</v>
      </c>
      <c r="AP1119">
        <v>1</v>
      </c>
      <c r="AT1119">
        <v>2</v>
      </c>
      <c r="AU1119">
        <v>10</v>
      </c>
      <c r="AV1119">
        <v>410</v>
      </c>
      <c r="AW1119">
        <v>410</v>
      </c>
      <c r="AX1119">
        <v>667</v>
      </c>
      <c r="BA1119">
        <v>1</v>
      </c>
      <c r="BC1119" t="s">
        <v>2332</v>
      </c>
      <c r="BD1119" s="4">
        <v>43283.195138888892</v>
      </c>
      <c r="BE1119" s="4">
        <v>43283.214895833335</v>
      </c>
      <c r="BF1119" s="4">
        <v>43283.214895833335</v>
      </c>
      <c r="BG1119" t="s">
        <v>83</v>
      </c>
      <c r="BH1119" t="s">
        <v>84</v>
      </c>
      <c r="BI1119" t="s">
        <v>85</v>
      </c>
    </row>
    <row r="1120" spans="1:61" x14ac:dyDescent="0.3">
      <c r="A1120" t="str">
        <f>"200201C0400"</f>
        <v>200201C0400</v>
      </c>
      <c r="B1120" t="s">
        <v>2333</v>
      </c>
      <c r="C1120">
        <v>20</v>
      </c>
      <c r="D1120" t="s">
        <v>79</v>
      </c>
      <c r="E1120">
        <v>6</v>
      </c>
      <c r="F1120" t="s">
        <v>2299</v>
      </c>
      <c r="G1120">
        <v>201</v>
      </c>
      <c r="H1120">
        <v>4</v>
      </c>
      <c r="I1120" t="s">
        <v>89</v>
      </c>
      <c r="J1120">
        <v>0</v>
      </c>
      <c r="K1120">
        <v>1</v>
      </c>
      <c r="L1120">
        <v>2</v>
      </c>
      <c r="M1120">
        <v>305</v>
      </c>
      <c r="N1120">
        <v>385</v>
      </c>
      <c r="O1120">
        <v>1</v>
      </c>
      <c r="P1120">
        <v>385</v>
      </c>
      <c r="Q1120">
        <v>27</v>
      </c>
      <c r="R1120">
        <v>80</v>
      </c>
      <c r="S1120">
        <v>10</v>
      </c>
      <c r="T1120">
        <v>8</v>
      </c>
      <c r="U1120">
        <v>11</v>
      </c>
      <c r="V1120">
        <v>9</v>
      </c>
      <c r="W1120">
        <v>10</v>
      </c>
      <c r="X1120">
        <v>4</v>
      </c>
      <c r="Y1120">
        <v>185</v>
      </c>
      <c r="Z1120">
        <v>7</v>
      </c>
      <c r="AA1120">
        <v>4</v>
      </c>
      <c r="AB1120">
        <v>12</v>
      </c>
      <c r="AC1120">
        <v>2</v>
      </c>
      <c r="AD1120">
        <v>1</v>
      </c>
      <c r="AE1120">
        <v>0</v>
      </c>
      <c r="AF1120">
        <v>0</v>
      </c>
      <c r="AK1120">
        <v>2</v>
      </c>
      <c r="AL1120">
        <v>1</v>
      </c>
      <c r="AM1120">
        <v>0</v>
      </c>
      <c r="AN1120">
        <v>0</v>
      </c>
      <c r="AP1120">
        <v>1</v>
      </c>
      <c r="AT1120">
        <v>0</v>
      </c>
      <c r="AU1120">
        <v>11</v>
      </c>
      <c r="AV1120" t="s">
        <v>100</v>
      </c>
      <c r="AW1120">
        <v>385</v>
      </c>
      <c r="AX1120">
        <v>667</v>
      </c>
      <c r="BA1120">
        <v>1</v>
      </c>
      <c r="BC1120" t="s">
        <v>2334</v>
      </c>
      <c r="BD1120" s="4">
        <v>43283.256249999999</v>
      </c>
      <c r="BE1120" s="4">
        <v>43283.280844907407</v>
      </c>
      <c r="BF1120" s="4">
        <v>43283.280844907407</v>
      </c>
      <c r="BG1120" t="s">
        <v>83</v>
      </c>
      <c r="BH1120" t="s">
        <v>84</v>
      </c>
      <c r="BI1120" t="s">
        <v>85</v>
      </c>
    </row>
    <row r="1121" spans="1:61" x14ac:dyDescent="0.3">
      <c r="A1121" t="str">
        <f>"200202B0100"</f>
        <v>200202B0100</v>
      </c>
      <c r="B1121" t="s">
        <v>2335</v>
      </c>
      <c r="C1121">
        <v>20</v>
      </c>
      <c r="D1121" t="s">
        <v>79</v>
      </c>
      <c r="E1121">
        <v>6</v>
      </c>
      <c r="F1121" t="s">
        <v>2299</v>
      </c>
      <c r="G1121">
        <v>202</v>
      </c>
      <c r="H1121">
        <v>1</v>
      </c>
      <c r="I1121" t="s">
        <v>81</v>
      </c>
      <c r="J1121">
        <v>0</v>
      </c>
      <c r="K1121">
        <v>1</v>
      </c>
      <c r="L1121">
        <v>2</v>
      </c>
      <c r="M1121">
        <v>287</v>
      </c>
      <c r="N1121">
        <v>376</v>
      </c>
      <c r="O1121">
        <v>8</v>
      </c>
      <c r="P1121">
        <v>376</v>
      </c>
      <c r="Q1121">
        <v>33</v>
      </c>
      <c r="R1121">
        <v>43</v>
      </c>
      <c r="S1121">
        <v>12</v>
      </c>
      <c r="T1121">
        <v>20</v>
      </c>
      <c r="U1121">
        <v>10</v>
      </c>
      <c r="V1121">
        <v>5</v>
      </c>
      <c r="W1121">
        <v>8</v>
      </c>
      <c r="X1121">
        <v>6</v>
      </c>
      <c r="Y1121">
        <v>186</v>
      </c>
      <c r="Z1121">
        <v>8</v>
      </c>
      <c r="AA1121">
        <v>2</v>
      </c>
      <c r="AB1121">
        <v>21</v>
      </c>
      <c r="AC1121" t="s">
        <v>100</v>
      </c>
      <c r="AD1121" t="s">
        <v>100</v>
      </c>
      <c r="AE1121" t="s">
        <v>100</v>
      </c>
      <c r="AF1121" t="s">
        <v>100</v>
      </c>
      <c r="AK1121">
        <v>2</v>
      </c>
      <c r="AL1121" t="s">
        <v>100</v>
      </c>
      <c r="AM1121" t="s">
        <v>100</v>
      </c>
      <c r="AN1121" t="s">
        <v>100</v>
      </c>
      <c r="AP1121" t="s">
        <v>100</v>
      </c>
      <c r="AT1121">
        <v>2</v>
      </c>
      <c r="AU1121">
        <v>18</v>
      </c>
      <c r="AV1121">
        <v>376</v>
      </c>
      <c r="AW1121">
        <v>376</v>
      </c>
      <c r="AX1121">
        <v>640</v>
      </c>
      <c r="AZ1121" t="s">
        <v>101</v>
      </c>
      <c r="BA1121">
        <v>1</v>
      </c>
      <c r="BC1121" t="s">
        <v>2336</v>
      </c>
      <c r="BD1121" s="4">
        <v>43283.155555555553</v>
      </c>
      <c r="BE1121" s="4">
        <v>43283.166377314818</v>
      </c>
      <c r="BF1121" s="4">
        <v>43283.166377314818</v>
      </c>
      <c r="BG1121" t="s">
        <v>83</v>
      </c>
      <c r="BH1121" t="s">
        <v>84</v>
      </c>
      <c r="BI1121" t="s">
        <v>85</v>
      </c>
    </row>
    <row r="1122" spans="1:61" x14ac:dyDescent="0.3">
      <c r="A1122" t="str">
        <f>"200202C0100"</f>
        <v>200202C0100</v>
      </c>
      <c r="B1122" t="s">
        <v>2337</v>
      </c>
      <c r="C1122">
        <v>20</v>
      </c>
      <c r="D1122" t="s">
        <v>79</v>
      </c>
      <c r="E1122">
        <v>6</v>
      </c>
      <c r="F1122" t="s">
        <v>2299</v>
      </c>
      <c r="G1122">
        <v>202</v>
      </c>
      <c r="H1122">
        <v>1</v>
      </c>
      <c r="I1122" t="s">
        <v>89</v>
      </c>
      <c r="J1122">
        <v>0</v>
      </c>
      <c r="K1122">
        <v>1</v>
      </c>
      <c r="L1122">
        <v>2</v>
      </c>
      <c r="M1122">
        <v>298</v>
      </c>
      <c r="N1122">
        <v>365</v>
      </c>
      <c r="O1122">
        <v>6</v>
      </c>
      <c r="P1122">
        <v>365</v>
      </c>
      <c r="Q1122">
        <v>47</v>
      </c>
      <c r="R1122">
        <v>47</v>
      </c>
      <c r="S1122">
        <v>10</v>
      </c>
      <c r="T1122">
        <v>18</v>
      </c>
      <c r="U1122">
        <v>8</v>
      </c>
      <c r="V1122">
        <v>7</v>
      </c>
      <c r="W1122">
        <v>16</v>
      </c>
      <c r="X1122">
        <v>11</v>
      </c>
      <c r="Y1122">
        <v>170</v>
      </c>
      <c r="Z1122">
        <v>3</v>
      </c>
      <c r="AA1122">
        <v>3</v>
      </c>
      <c r="AB1122">
        <v>9</v>
      </c>
      <c r="AC1122">
        <v>0</v>
      </c>
      <c r="AD1122">
        <v>0</v>
      </c>
      <c r="AE1122">
        <v>0</v>
      </c>
      <c r="AF1122">
        <v>0</v>
      </c>
      <c r="AK1122">
        <v>2</v>
      </c>
      <c r="AL1122">
        <v>0</v>
      </c>
      <c r="AM1122">
        <v>0</v>
      </c>
      <c r="AN1122">
        <v>0</v>
      </c>
      <c r="AP1122">
        <v>1</v>
      </c>
      <c r="AT1122">
        <v>0</v>
      </c>
      <c r="AU1122">
        <v>13</v>
      </c>
      <c r="AV1122">
        <v>365</v>
      </c>
      <c r="AW1122">
        <v>365</v>
      </c>
      <c r="AX1122">
        <v>640</v>
      </c>
      <c r="BA1122">
        <v>1</v>
      </c>
      <c r="BC1122" t="s">
        <v>2338</v>
      </c>
      <c r="BD1122" s="4">
        <v>43283.154861111114</v>
      </c>
      <c r="BE1122" s="4">
        <v>43283.16777777778</v>
      </c>
      <c r="BF1122" s="4">
        <v>43283.16777777778</v>
      </c>
      <c r="BG1122" t="s">
        <v>83</v>
      </c>
      <c r="BH1122" t="s">
        <v>84</v>
      </c>
      <c r="BI1122" t="s">
        <v>85</v>
      </c>
    </row>
    <row r="1123" spans="1:61" x14ac:dyDescent="0.3">
      <c r="A1123" t="str">
        <f>"200202C0200"</f>
        <v>200202C0200</v>
      </c>
      <c r="B1123" t="s">
        <v>2339</v>
      </c>
      <c r="C1123">
        <v>20</v>
      </c>
      <c r="D1123" t="s">
        <v>79</v>
      </c>
      <c r="E1123">
        <v>6</v>
      </c>
      <c r="F1123" t="s">
        <v>2299</v>
      </c>
      <c r="G1123">
        <v>202</v>
      </c>
      <c r="H1123">
        <v>2</v>
      </c>
      <c r="I1123" t="s">
        <v>89</v>
      </c>
      <c r="J1123">
        <v>0</v>
      </c>
      <c r="K1123">
        <v>1</v>
      </c>
      <c r="L1123">
        <v>2</v>
      </c>
      <c r="M1123">
        <v>318</v>
      </c>
      <c r="N1123">
        <v>345</v>
      </c>
      <c r="O1123">
        <v>0</v>
      </c>
      <c r="P1123">
        <v>344</v>
      </c>
      <c r="Q1123">
        <v>40</v>
      </c>
      <c r="R1123">
        <v>42</v>
      </c>
      <c r="S1123">
        <v>2</v>
      </c>
      <c r="T1123">
        <v>12</v>
      </c>
      <c r="U1123">
        <v>6</v>
      </c>
      <c r="V1123">
        <v>8</v>
      </c>
      <c r="W1123">
        <v>8</v>
      </c>
      <c r="X1123">
        <v>6</v>
      </c>
      <c r="Y1123">
        <v>174</v>
      </c>
      <c r="Z1123">
        <v>4</v>
      </c>
      <c r="AA1123">
        <v>2</v>
      </c>
      <c r="AB1123">
        <v>9</v>
      </c>
      <c r="AC1123">
        <v>1</v>
      </c>
      <c r="AD1123">
        <v>0</v>
      </c>
      <c r="AE1123">
        <v>0</v>
      </c>
      <c r="AF1123">
        <v>0</v>
      </c>
      <c r="AK1123">
        <v>5</v>
      </c>
      <c r="AL1123">
        <v>5</v>
      </c>
      <c r="AM1123">
        <v>0</v>
      </c>
      <c r="AN1123">
        <v>2</v>
      </c>
      <c r="AP1123">
        <v>3</v>
      </c>
      <c r="AT1123">
        <v>0</v>
      </c>
      <c r="AU1123">
        <v>15</v>
      </c>
      <c r="AV1123">
        <v>344</v>
      </c>
      <c r="AW1123">
        <v>344</v>
      </c>
      <c r="AX1123">
        <v>640</v>
      </c>
      <c r="BA1123">
        <v>1</v>
      </c>
      <c r="BC1123" t="s">
        <v>2340</v>
      </c>
      <c r="BD1123" s="4">
        <v>43283.154166666667</v>
      </c>
      <c r="BE1123" s="4">
        <v>43283.165879629632</v>
      </c>
      <c r="BF1123" s="4">
        <v>43283.165879629632</v>
      </c>
      <c r="BG1123" t="s">
        <v>83</v>
      </c>
      <c r="BH1123" t="s">
        <v>84</v>
      </c>
      <c r="BI1123" t="s">
        <v>85</v>
      </c>
    </row>
    <row r="1124" spans="1:61" x14ac:dyDescent="0.3">
      <c r="A1124" t="str">
        <f>"200202C0300"</f>
        <v>200202C0300</v>
      </c>
      <c r="B1124" t="s">
        <v>2341</v>
      </c>
      <c r="C1124">
        <v>20</v>
      </c>
      <c r="D1124" t="s">
        <v>79</v>
      </c>
      <c r="E1124">
        <v>6</v>
      </c>
      <c r="F1124" t="s">
        <v>2299</v>
      </c>
      <c r="G1124">
        <v>202</v>
      </c>
      <c r="H1124">
        <v>3</v>
      </c>
      <c r="I1124" t="s">
        <v>89</v>
      </c>
      <c r="J1124">
        <v>0</v>
      </c>
      <c r="K1124">
        <v>1</v>
      </c>
      <c r="L1124">
        <v>2</v>
      </c>
      <c r="M1124">
        <v>306</v>
      </c>
      <c r="N1124">
        <v>357</v>
      </c>
      <c r="O1124">
        <v>4</v>
      </c>
      <c r="P1124">
        <v>357</v>
      </c>
      <c r="Q1124">
        <v>46</v>
      </c>
      <c r="R1124">
        <v>52</v>
      </c>
      <c r="S1124">
        <v>9</v>
      </c>
      <c r="T1124">
        <v>16</v>
      </c>
      <c r="U1124">
        <v>5</v>
      </c>
      <c r="V1124">
        <v>6</v>
      </c>
      <c r="W1124">
        <v>10</v>
      </c>
      <c r="X1124">
        <v>9</v>
      </c>
      <c r="Y1124">
        <v>169</v>
      </c>
      <c r="Z1124">
        <v>4</v>
      </c>
      <c r="AA1124">
        <v>0</v>
      </c>
      <c r="AB1124">
        <v>11</v>
      </c>
      <c r="AC1124">
        <v>2</v>
      </c>
      <c r="AD1124">
        <v>0</v>
      </c>
      <c r="AE1124">
        <v>0</v>
      </c>
      <c r="AF1124">
        <v>0</v>
      </c>
      <c r="AK1124">
        <v>4</v>
      </c>
      <c r="AL1124">
        <v>0</v>
      </c>
      <c r="AM1124">
        <v>0</v>
      </c>
      <c r="AN1124">
        <v>0</v>
      </c>
      <c r="AP1124">
        <v>2</v>
      </c>
      <c r="AT1124">
        <v>0</v>
      </c>
      <c r="AU1124">
        <v>12</v>
      </c>
      <c r="AV1124">
        <v>357</v>
      </c>
      <c r="AW1124">
        <v>357</v>
      </c>
      <c r="AX1124">
        <v>639</v>
      </c>
      <c r="BA1124">
        <v>1</v>
      </c>
      <c r="BC1124" t="s">
        <v>2342</v>
      </c>
      <c r="BD1124" s="4">
        <v>43283.154166666667</v>
      </c>
      <c r="BE1124" s="4">
        <v>43283.16642361111</v>
      </c>
      <c r="BF1124" s="4">
        <v>43283.16642361111</v>
      </c>
      <c r="BG1124" t="s">
        <v>83</v>
      </c>
      <c r="BH1124" t="s">
        <v>84</v>
      </c>
      <c r="BI1124" t="s">
        <v>85</v>
      </c>
    </row>
    <row r="1125" spans="1:61" x14ac:dyDescent="0.3">
      <c r="A1125" t="str">
        <f>"200203B0100"</f>
        <v>200203B0100</v>
      </c>
      <c r="B1125" t="s">
        <v>2343</v>
      </c>
      <c r="C1125">
        <v>20</v>
      </c>
      <c r="D1125" t="s">
        <v>79</v>
      </c>
      <c r="E1125">
        <v>6</v>
      </c>
      <c r="F1125" t="s">
        <v>2299</v>
      </c>
      <c r="G1125">
        <v>203</v>
      </c>
      <c r="H1125">
        <v>1</v>
      </c>
      <c r="I1125" t="s">
        <v>81</v>
      </c>
      <c r="J1125">
        <v>0</v>
      </c>
      <c r="K1125">
        <v>1</v>
      </c>
      <c r="L1125">
        <v>2</v>
      </c>
      <c r="M1125">
        <v>305</v>
      </c>
      <c r="N1125">
        <v>443</v>
      </c>
      <c r="O1125">
        <v>5</v>
      </c>
      <c r="P1125">
        <v>438</v>
      </c>
      <c r="Q1125">
        <v>41</v>
      </c>
      <c r="R1125">
        <v>112</v>
      </c>
      <c r="S1125">
        <v>12</v>
      </c>
      <c r="T1125">
        <v>12</v>
      </c>
      <c r="U1125">
        <v>8</v>
      </c>
      <c r="V1125">
        <v>1</v>
      </c>
      <c r="W1125">
        <v>12</v>
      </c>
      <c r="X1125">
        <v>8</v>
      </c>
      <c r="Y1125">
        <v>201</v>
      </c>
      <c r="Z1125">
        <v>5</v>
      </c>
      <c r="AA1125">
        <v>4</v>
      </c>
      <c r="AB1125">
        <v>11</v>
      </c>
      <c r="AC1125">
        <v>2</v>
      </c>
      <c r="AD1125">
        <v>0</v>
      </c>
      <c r="AE1125">
        <v>0</v>
      </c>
      <c r="AF1125">
        <v>0</v>
      </c>
      <c r="AK1125">
        <v>1</v>
      </c>
      <c r="AL1125">
        <v>0</v>
      </c>
      <c r="AM1125">
        <v>0</v>
      </c>
      <c r="AN1125">
        <v>0</v>
      </c>
      <c r="AP1125">
        <v>0</v>
      </c>
      <c r="AT1125">
        <v>0</v>
      </c>
      <c r="AU1125">
        <v>9</v>
      </c>
      <c r="AV1125">
        <v>438</v>
      </c>
      <c r="AW1125">
        <v>439</v>
      </c>
      <c r="AX1125">
        <v>725</v>
      </c>
      <c r="BA1125">
        <v>1</v>
      </c>
      <c r="BC1125" t="s">
        <v>2344</v>
      </c>
      <c r="BD1125" s="4">
        <v>43283.680555555555</v>
      </c>
      <c r="BE1125" s="4">
        <v>43283.685648148145</v>
      </c>
      <c r="BF1125" s="4">
        <v>43283.685648148145</v>
      </c>
      <c r="BG1125" t="s">
        <v>83</v>
      </c>
      <c r="BH1125" t="s">
        <v>84</v>
      </c>
      <c r="BI1125" t="s">
        <v>85</v>
      </c>
    </row>
    <row r="1126" spans="1:61" x14ac:dyDescent="0.3">
      <c r="A1126" t="str">
        <f>"200203C0100"</f>
        <v>200203C0100</v>
      </c>
      <c r="B1126" t="s">
        <v>2345</v>
      </c>
      <c r="C1126">
        <v>20</v>
      </c>
      <c r="D1126" t="s">
        <v>79</v>
      </c>
      <c r="E1126">
        <v>6</v>
      </c>
      <c r="F1126" t="s">
        <v>2299</v>
      </c>
      <c r="G1126">
        <v>203</v>
      </c>
      <c r="H1126">
        <v>1</v>
      </c>
      <c r="I1126" t="s">
        <v>89</v>
      </c>
      <c r="J1126">
        <v>0</v>
      </c>
      <c r="K1126">
        <v>1</v>
      </c>
      <c r="L1126">
        <v>2</v>
      </c>
      <c r="M1126">
        <v>312</v>
      </c>
      <c r="N1126">
        <v>444</v>
      </c>
      <c r="O1126">
        <v>8</v>
      </c>
      <c r="P1126">
        <v>436</v>
      </c>
      <c r="Q1126">
        <v>22</v>
      </c>
      <c r="R1126">
        <v>86</v>
      </c>
      <c r="S1126">
        <v>16</v>
      </c>
      <c r="T1126">
        <v>21</v>
      </c>
      <c r="U1126">
        <v>3</v>
      </c>
      <c r="V1126">
        <v>4</v>
      </c>
      <c r="W1126">
        <v>4</v>
      </c>
      <c r="X1126">
        <v>13</v>
      </c>
      <c r="Y1126">
        <v>209</v>
      </c>
      <c r="Z1126">
        <v>9</v>
      </c>
      <c r="AA1126">
        <v>4</v>
      </c>
      <c r="AB1126">
        <v>10</v>
      </c>
      <c r="AC1126">
        <v>1</v>
      </c>
      <c r="AD1126" t="s">
        <v>100</v>
      </c>
      <c r="AE1126" t="s">
        <v>100</v>
      </c>
      <c r="AF1126" t="s">
        <v>100</v>
      </c>
      <c r="AK1126">
        <v>2</v>
      </c>
      <c r="AL1126" t="s">
        <v>100</v>
      </c>
      <c r="AM1126" t="s">
        <v>100</v>
      </c>
      <c r="AN1126" t="s">
        <v>100</v>
      </c>
      <c r="AP1126">
        <v>1</v>
      </c>
      <c r="AT1126" t="s">
        <v>100</v>
      </c>
      <c r="AU1126">
        <v>31</v>
      </c>
      <c r="AV1126">
        <v>436</v>
      </c>
      <c r="AW1126">
        <v>436</v>
      </c>
      <c r="AX1126">
        <v>725</v>
      </c>
      <c r="AZ1126" t="s">
        <v>101</v>
      </c>
      <c r="BA1126">
        <v>1</v>
      </c>
      <c r="BC1126" t="s">
        <v>2346</v>
      </c>
      <c r="BD1126" s="4">
        <v>43283.1</v>
      </c>
      <c r="BE1126" s="4">
        <v>43283.104351851849</v>
      </c>
      <c r="BF1126" s="4">
        <v>43283.104351851849</v>
      </c>
      <c r="BG1126" t="s">
        <v>83</v>
      </c>
      <c r="BH1126" t="s">
        <v>84</v>
      </c>
      <c r="BI1126" t="s">
        <v>85</v>
      </c>
    </row>
    <row r="1127" spans="1:61" x14ac:dyDescent="0.3">
      <c r="A1127" t="str">
        <f>"200203C0200"</f>
        <v>200203C0200</v>
      </c>
      <c r="B1127" t="s">
        <v>2347</v>
      </c>
      <c r="C1127">
        <v>20</v>
      </c>
      <c r="D1127" t="s">
        <v>79</v>
      </c>
      <c r="E1127">
        <v>6</v>
      </c>
      <c r="F1127" t="s">
        <v>2299</v>
      </c>
      <c r="G1127">
        <v>203</v>
      </c>
      <c r="H1127">
        <v>2</v>
      </c>
      <c r="I1127" t="s">
        <v>89</v>
      </c>
      <c r="J1127">
        <v>0</v>
      </c>
      <c r="K1127">
        <v>1</v>
      </c>
      <c r="L1127">
        <v>2</v>
      </c>
      <c r="AX1127">
        <v>725</v>
      </c>
      <c r="AZ1127" t="s">
        <v>156</v>
      </c>
      <c r="BA1127">
        <v>0</v>
      </c>
      <c r="BC1127" t="s">
        <v>2348</v>
      </c>
      <c r="BD1127" s="4">
        <v>43283.804166666669</v>
      </c>
      <c r="BE1127" s="4">
        <v>43283.806319444448</v>
      </c>
      <c r="BF1127" s="4">
        <v>43283.806319444448</v>
      </c>
      <c r="BG1127" t="s">
        <v>83</v>
      </c>
      <c r="BH1127" t="s">
        <v>84</v>
      </c>
      <c r="BI1127" t="s">
        <v>85</v>
      </c>
    </row>
    <row r="1128" spans="1:61" x14ac:dyDescent="0.3">
      <c r="A1128" t="str">
        <f>"200203C0300"</f>
        <v>200203C0300</v>
      </c>
      <c r="B1128" t="s">
        <v>2349</v>
      </c>
      <c r="C1128">
        <v>20</v>
      </c>
      <c r="D1128" t="s">
        <v>79</v>
      </c>
      <c r="E1128">
        <v>6</v>
      </c>
      <c r="F1128" t="s">
        <v>2299</v>
      </c>
      <c r="G1128">
        <v>203</v>
      </c>
      <c r="H1128">
        <v>3</v>
      </c>
      <c r="I1128" t="s">
        <v>89</v>
      </c>
      <c r="J1128">
        <v>0</v>
      </c>
      <c r="K1128">
        <v>1</v>
      </c>
      <c r="L1128">
        <v>2</v>
      </c>
      <c r="M1128">
        <v>308</v>
      </c>
      <c r="N1128">
        <v>450</v>
      </c>
      <c r="O1128">
        <v>6</v>
      </c>
      <c r="P1128">
        <v>450</v>
      </c>
      <c r="Q1128">
        <v>37</v>
      </c>
      <c r="R1128">
        <v>76</v>
      </c>
      <c r="S1128">
        <v>10</v>
      </c>
      <c r="T1128">
        <v>18</v>
      </c>
      <c r="U1128">
        <v>13</v>
      </c>
      <c r="V1128">
        <v>6</v>
      </c>
      <c r="W1128">
        <v>8</v>
      </c>
      <c r="X1128">
        <v>9</v>
      </c>
      <c r="Y1128">
        <v>231</v>
      </c>
      <c r="Z1128">
        <v>7</v>
      </c>
      <c r="AA1128">
        <v>0</v>
      </c>
      <c r="AB1128">
        <v>6</v>
      </c>
      <c r="AC1128" t="s">
        <v>100</v>
      </c>
      <c r="AD1128">
        <v>1</v>
      </c>
      <c r="AE1128" t="s">
        <v>100</v>
      </c>
      <c r="AF1128">
        <v>1</v>
      </c>
      <c r="AK1128">
        <v>3</v>
      </c>
      <c r="AL1128" t="s">
        <v>100</v>
      </c>
      <c r="AM1128" t="s">
        <v>100</v>
      </c>
      <c r="AN1128" t="s">
        <v>100</v>
      </c>
      <c r="AP1128" t="s">
        <v>100</v>
      </c>
      <c r="AT1128" t="s">
        <v>100</v>
      </c>
      <c r="AU1128">
        <v>18</v>
      </c>
      <c r="AV1128">
        <v>444</v>
      </c>
      <c r="AW1128">
        <v>444</v>
      </c>
      <c r="AX1128">
        <v>724</v>
      </c>
      <c r="AZ1128" t="s">
        <v>101</v>
      </c>
      <c r="BA1128">
        <v>1</v>
      </c>
      <c r="BC1128" t="s">
        <v>2350</v>
      </c>
      <c r="BD1128" s="4">
        <v>43283.681944444441</v>
      </c>
      <c r="BE1128" s="4">
        <v>43283.684988425928</v>
      </c>
      <c r="BF1128" s="4">
        <v>43283.684988425928</v>
      </c>
      <c r="BG1128" t="s">
        <v>83</v>
      </c>
      <c r="BH1128" t="s">
        <v>84</v>
      </c>
      <c r="BI1128" t="s">
        <v>85</v>
      </c>
    </row>
    <row r="1129" spans="1:61" x14ac:dyDescent="0.3">
      <c r="A1129" t="str">
        <f>"200204B0100"</f>
        <v>200204B0100</v>
      </c>
      <c r="B1129" t="s">
        <v>2351</v>
      </c>
      <c r="C1129">
        <v>20</v>
      </c>
      <c r="D1129" t="s">
        <v>79</v>
      </c>
      <c r="E1129">
        <v>6</v>
      </c>
      <c r="F1129" t="s">
        <v>2299</v>
      </c>
      <c r="G1129">
        <v>204</v>
      </c>
      <c r="H1129">
        <v>1</v>
      </c>
      <c r="I1129" t="s">
        <v>81</v>
      </c>
      <c r="J1129">
        <v>0</v>
      </c>
      <c r="K1129">
        <v>2</v>
      </c>
      <c r="L1129">
        <v>2</v>
      </c>
      <c r="M1129">
        <v>188</v>
      </c>
      <c r="N1129">
        <v>365</v>
      </c>
      <c r="O1129">
        <v>4</v>
      </c>
      <c r="P1129">
        <v>375</v>
      </c>
      <c r="Q1129">
        <v>25</v>
      </c>
      <c r="R1129">
        <v>55</v>
      </c>
      <c r="S1129">
        <v>7</v>
      </c>
      <c r="T1129">
        <v>9</v>
      </c>
      <c r="U1129">
        <v>9</v>
      </c>
      <c r="V1129">
        <v>1</v>
      </c>
      <c r="W1129">
        <v>15</v>
      </c>
      <c r="X1129">
        <v>8</v>
      </c>
      <c r="Y1129">
        <v>186</v>
      </c>
      <c r="Z1129">
        <v>3</v>
      </c>
      <c r="AA1129">
        <v>1</v>
      </c>
      <c r="AB1129">
        <v>27</v>
      </c>
      <c r="AC1129">
        <v>0</v>
      </c>
      <c r="AD1129">
        <v>0</v>
      </c>
      <c r="AE1129">
        <v>0</v>
      </c>
      <c r="AF1129">
        <v>0</v>
      </c>
      <c r="AK1129">
        <v>3</v>
      </c>
      <c r="AL1129">
        <v>4</v>
      </c>
      <c r="AM1129">
        <v>0</v>
      </c>
      <c r="AN1129">
        <v>1</v>
      </c>
      <c r="AP1129">
        <v>2</v>
      </c>
      <c r="AT1129">
        <v>1</v>
      </c>
      <c r="AU1129">
        <v>8</v>
      </c>
      <c r="AV1129">
        <v>365</v>
      </c>
      <c r="AW1129">
        <v>365</v>
      </c>
      <c r="AX1129">
        <v>530</v>
      </c>
      <c r="BA1129">
        <v>1</v>
      </c>
      <c r="BC1129" t="s">
        <v>2352</v>
      </c>
      <c r="BD1129" s="4">
        <v>43283.05972222222</v>
      </c>
      <c r="BE1129" s="4">
        <v>43283.084027777775</v>
      </c>
      <c r="BF1129" s="4">
        <v>43283.084027777775</v>
      </c>
      <c r="BG1129" t="s">
        <v>83</v>
      </c>
      <c r="BH1129" t="s">
        <v>84</v>
      </c>
      <c r="BI1129" t="s">
        <v>85</v>
      </c>
    </row>
    <row r="1130" spans="1:61" x14ac:dyDescent="0.3">
      <c r="A1130" t="str">
        <f>"200204C0100"</f>
        <v>200204C0100</v>
      </c>
      <c r="B1130" t="s">
        <v>2353</v>
      </c>
      <c r="C1130">
        <v>20</v>
      </c>
      <c r="D1130" t="s">
        <v>79</v>
      </c>
      <c r="E1130">
        <v>6</v>
      </c>
      <c r="F1130" t="s">
        <v>2299</v>
      </c>
      <c r="G1130">
        <v>204</v>
      </c>
      <c r="H1130">
        <v>1</v>
      </c>
      <c r="I1130" t="s">
        <v>89</v>
      </c>
      <c r="J1130">
        <v>0</v>
      </c>
      <c r="K1130">
        <v>2</v>
      </c>
      <c r="L1130">
        <v>2</v>
      </c>
      <c r="M1130">
        <v>224</v>
      </c>
      <c r="N1130">
        <v>328</v>
      </c>
      <c r="O1130">
        <v>10</v>
      </c>
      <c r="P1130">
        <v>328</v>
      </c>
      <c r="Q1130">
        <v>19</v>
      </c>
      <c r="R1130">
        <v>43</v>
      </c>
      <c r="S1130">
        <v>13</v>
      </c>
      <c r="T1130">
        <v>9</v>
      </c>
      <c r="U1130">
        <v>3</v>
      </c>
      <c r="V1130">
        <v>4</v>
      </c>
      <c r="W1130">
        <v>10</v>
      </c>
      <c r="X1130">
        <v>6</v>
      </c>
      <c r="Y1130">
        <v>174</v>
      </c>
      <c r="Z1130">
        <v>5</v>
      </c>
      <c r="AA1130">
        <v>4</v>
      </c>
      <c r="AB1130">
        <v>16</v>
      </c>
      <c r="AC1130">
        <v>1</v>
      </c>
      <c r="AD1130">
        <v>0</v>
      </c>
      <c r="AE1130">
        <v>0</v>
      </c>
      <c r="AF1130">
        <v>0</v>
      </c>
      <c r="AK1130">
        <v>2</v>
      </c>
      <c r="AL1130">
        <v>0</v>
      </c>
      <c r="AM1130">
        <v>0</v>
      </c>
      <c r="AN1130">
        <v>3</v>
      </c>
      <c r="AP1130">
        <v>2</v>
      </c>
      <c r="AT1130">
        <v>0</v>
      </c>
      <c r="AU1130">
        <v>13</v>
      </c>
      <c r="AV1130">
        <v>327</v>
      </c>
      <c r="AW1130">
        <v>327</v>
      </c>
      <c r="AX1130">
        <v>529</v>
      </c>
      <c r="BA1130">
        <v>1</v>
      </c>
      <c r="BC1130" t="s">
        <v>2354</v>
      </c>
      <c r="BD1130" s="4">
        <v>43283.681250000001</v>
      </c>
      <c r="BE1130" s="4">
        <v>43283.687164351853</v>
      </c>
      <c r="BF1130" s="4">
        <v>43283.687164351853</v>
      </c>
      <c r="BG1130" t="s">
        <v>83</v>
      </c>
      <c r="BH1130" t="s">
        <v>84</v>
      </c>
      <c r="BI1130" t="s">
        <v>85</v>
      </c>
    </row>
    <row r="1131" spans="1:61" x14ac:dyDescent="0.3">
      <c r="A1131" t="str">
        <f>"200204C0200"</f>
        <v>200204C0200</v>
      </c>
      <c r="B1131" t="s">
        <v>2355</v>
      </c>
      <c r="C1131">
        <v>20</v>
      </c>
      <c r="D1131" t="s">
        <v>79</v>
      </c>
      <c r="E1131">
        <v>6</v>
      </c>
      <c r="F1131" t="s">
        <v>2299</v>
      </c>
      <c r="G1131">
        <v>204</v>
      </c>
      <c r="H1131">
        <v>2</v>
      </c>
      <c r="I1131" t="s">
        <v>89</v>
      </c>
      <c r="J1131">
        <v>0</v>
      </c>
      <c r="K1131">
        <v>2</v>
      </c>
      <c r="L1131">
        <v>2</v>
      </c>
      <c r="M1131">
        <v>196</v>
      </c>
      <c r="N1131">
        <v>356</v>
      </c>
      <c r="O1131">
        <v>7</v>
      </c>
      <c r="P1131">
        <v>357</v>
      </c>
      <c r="Q1131">
        <v>32</v>
      </c>
      <c r="R1131">
        <v>41</v>
      </c>
      <c r="S1131">
        <v>11</v>
      </c>
      <c r="T1131">
        <v>16</v>
      </c>
      <c r="U1131">
        <v>6</v>
      </c>
      <c r="V1131">
        <v>6</v>
      </c>
      <c r="W1131">
        <v>13</v>
      </c>
      <c r="X1131">
        <v>13</v>
      </c>
      <c r="Y1131">
        <v>181</v>
      </c>
      <c r="Z1131">
        <v>2</v>
      </c>
      <c r="AA1131">
        <v>2</v>
      </c>
      <c r="AB1131">
        <v>17</v>
      </c>
      <c r="AC1131">
        <v>1</v>
      </c>
      <c r="AD1131">
        <v>1</v>
      </c>
      <c r="AE1131">
        <v>0</v>
      </c>
      <c r="AF1131">
        <v>0</v>
      </c>
      <c r="AK1131">
        <v>2</v>
      </c>
      <c r="AL1131">
        <v>1</v>
      </c>
      <c r="AM1131">
        <v>0</v>
      </c>
      <c r="AN1131">
        <v>0</v>
      </c>
      <c r="AP1131">
        <v>1</v>
      </c>
      <c r="AT1131">
        <v>0</v>
      </c>
      <c r="AU1131">
        <v>11</v>
      </c>
      <c r="AV1131">
        <v>357</v>
      </c>
      <c r="AW1131">
        <v>357</v>
      </c>
      <c r="AX1131">
        <v>529</v>
      </c>
      <c r="BA1131">
        <v>1</v>
      </c>
      <c r="BC1131" t="s">
        <v>2356</v>
      </c>
      <c r="BD1131" s="4">
        <v>43283.059027777781</v>
      </c>
      <c r="BE1131" s="4">
        <v>43283.064421296294</v>
      </c>
      <c r="BF1131" s="4">
        <v>43283.064421296294</v>
      </c>
      <c r="BG1131" t="s">
        <v>83</v>
      </c>
      <c r="BH1131" t="s">
        <v>84</v>
      </c>
      <c r="BI1131" t="s">
        <v>85</v>
      </c>
    </row>
    <row r="1132" spans="1:61" x14ac:dyDescent="0.3">
      <c r="A1132" t="str">
        <f>"200204E0100"</f>
        <v>200204E0100</v>
      </c>
      <c r="B1132" s="2" t="s">
        <v>2357</v>
      </c>
      <c r="C1132">
        <v>20</v>
      </c>
      <c r="D1132" t="s">
        <v>79</v>
      </c>
      <c r="E1132">
        <v>6</v>
      </c>
      <c r="F1132" t="s">
        <v>2299</v>
      </c>
      <c r="G1132">
        <v>204</v>
      </c>
      <c r="H1132">
        <v>1</v>
      </c>
      <c r="I1132" t="s">
        <v>145</v>
      </c>
      <c r="J1132">
        <v>0</v>
      </c>
      <c r="K1132">
        <v>2</v>
      </c>
      <c r="L1132">
        <v>2</v>
      </c>
      <c r="AX1132">
        <v>384</v>
      </c>
      <c r="AZ1132" t="s">
        <v>156</v>
      </c>
      <c r="BA1132">
        <v>0</v>
      </c>
      <c r="BC1132" t="s">
        <v>2358</v>
      </c>
      <c r="BD1132" s="4">
        <v>43283.802083333336</v>
      </c>
      <c r="BE1132" s="4">
        <v>43283.803969907407</v>
      </c>
      <c r="BF1132" s="4">
        <v>43283.803969907407</v>
      </c>
      <c r="BG1132" t="s">
        <v>83</v>
      </c>
      <c r="BH1132" t="s">
        <v>84</v>
      </c>
      <c r="BI1132" t="s">
        <v>85</v>
      </c>
    </row>
    <row r="1133" spans="1:61" x14ac:dyDescent="0.3">
      <c r="A1133" t="str">
        <f>"200204E0101"</f>
        <v>200204E0101</v>
      </c>
      <c r="B1133" s="2" t="s">
        <v>2359</v>
      </c>
      <c r="C1133">
        <v>20</v>
      </c>
      <c r="D1133" t="s">
        <v>79</v>
      </c>
      <c r="E1133">
        <v>6</v>
      </c>
      <c r="F1133" t="s">
        <v>2299</v>
      </c>
      <c r="G1133">
        <v>204</v>
      </c>
      <c r="H1133">
        <v>1</v>
      </c>
      <c r="I1133" t="s">
        <v>145</v>
      </c>
      <c r="J1133">
        <v>1</v>
      </c>
      <c r="K1133">
        <v>2</v>
      </c>
      <c r="L1133">
        <v>2</v>
      </c>
      <c r="M1133">
        <v>153</v>
      </c>
      <c r="N1133">
        <v>255</v>
      </c>
      <c r="O1133">
        <v>10</v>
      </c>
      <c r="P1133">
        <v>254</v>
      </c>
      <c r="Q1133">
        <v>33</v>
      </c>
      <c r="R1133">
        <v>49</v>
      </c>
      <c r="S1133">
        <v>9</v>
      </c>
      <c r="T1133">
        <v>15</v>
      </c>
      <c r="U1133">
        <v>8</v>
      </c>
      <c r="V1133">
        <v>2</v>
      </c>
      <c r="W1133">
        <v>17</v>
      </c>
      <c r="X1133">
        <v>5</v>
      </c>
      <c r="Y1133">
        <v>85</v>
      </c>
      <c r="Z1133">
        <v>3</v>
      </c>
      <c r="AA1133">
        <v>3</v>
      </c>
      <c r="AB1133">
        <v>7</v>
      </c>
      <c r="AC1133">
        <v>1</v>
      </c>
      <c r="AD1133">
        <v>0</v>
      </c>
      <c r="AE1133">
        <v>0</v>
      </c>
      <c r="AF1133">
        <v>0</v>
      </c>
      <c r="AK1133">
        <v>1</v>
      </c>
      <c r="AL1133">
        <v>0</v>
      </c>
      <c r="AM1133">
        <v>0</v>
      </c>
      <c r="AN1133">
        <v>0</v>
      </c>
      <c r="AP1133">
        <v>3</v>
      </c>
      <c r="AT1133">
        <v>0</v>
      </c>
      <c r="AU1133">
        <v>13</v>
      </c>
      <c r="AV1133">
        <v>254</v>
      </c>
      <c r="AW1133">
        <v>254</v>
      </c>
      <c r="AX1133">
        <v>383</v>
      </c>
      <c r="BA1133">
        <v>1</v>
      </c>
      <c r="BC1133" t="s">
        <v>2360</v>
      </c>
      <c r="BD1133" s="4">
        <v>43283.058333333334</v>
      </c>
      <c r="BE1133" s="4">
        <v>43283.062245370369</v>
      </c>
      <c r="BF1133" s="4">
        <v>43283.062245370369</v>
      </c>
      <c r="BG1133" t="s">
        <v>83</v>
      </c>
      <c r="BH1133" t="s">
        <v>84</v>
      </c>
      <c r="BI1133" t="s">
        <v>85</v>
      </c>
    </row>
    <row r="1134" spans="1:61" x14ac:dyDescent="0.3">
      <c r="A1134" t="str">
        <f>"200205B0100"</f>
        <v>200205B0100</v>
      </c>
      <c r="B1134" t="s">
        <v>2361</v>
      </c>
      <c r="C1134">
        <v>20</v>
      </c>
      <c r="D1134" t="s">
        <v>79</v>
      </c>
      <c r="E1134">
        <v>6</v>
      </c>
      <c r="F1134" t="s">
        <v>2299</v>
      </c>
      <c r="G1134">
        <v>205</v>
      </c>
      <c r="H1134">
        <v>1</v>
      </c>
      <c r="I1134" t="s">
        <v>81</v>
      </c>
      <c r="J1134">
        <v>0</v>
      </c>
      <c r="K1134">
        <v>1</v>
      </c>
      <c r="L1134">
        <v>2</v>
      </c>
      <c r="M1134">
        <v>218</v>
      </c>
      <c r="N1134">
        <v>377</v>
      </c>
      <c r="O1134">
        <v>7</v>
      </c>
      <c r="P1134">
        <v>377</v>
      </c>
      <c r="Q1134">
        <v>39</v>
      </c>
      <c r="R1134">
        <v>39</v>
      </c>
      <c r="S1134">
        <v>10</v>
      </c>
      <c r="T1134">
        <v>10</v>
      </c>
      <c r="U1134">
        <v>11</v>
      </c>
      <c r="V1134">
        <v>4</v>
      </c>
      <c r="W1134">
        <v>9</v>
      </c>
      <c r="X1134">
        <v>19</v>
      </c>
      <c r="Y1134">
        <v>189</v>
      </c>
      <c r="Z1134">
        <v>7</v>
      </c>
      <c r="AA1134">
        <v>2</v>
      </c>
      <c r="AB1134">
        <v>12</v>
      </c>
      <c r="AC1134">
        <v>0</v>
      </c>
      <c r="AD1134">
        <v>0</v>
      </c>
      <c r="AE1134">
        <v>0</v>
      </c>
      <c r="AF1134">
        <v>0</v>
      </c>
      <c r="AK1134">
        <v>0</v>
      </c>
      <c r="AL1134">
        <v>0</v>
      </c>
      <c r="AM1134">
        <v>0</v>
      </c>
      <c r="AN1134">
        <v>1</v>
      </c>
      <c r="AP1134">
        <v>0</v>
      </c>
      <c r="AT1134">
        <v>0</v>
      </c>
      <c r="AU1134">
        <v>25</v>
      </c>
      <c r="AV1134">
        <v>377</v>
      </c>
      <c r="AW1134">
        <v>377</v>
      </c>
      <c r="AX1134">
        <v>572</v>
      </c>
      <c r="BA1134">
        <v>1</v>
      </c>
      <c r="BC1134" t="s">
        <v>2362</v>
      </c>
      <c r="BD1134" s="4">
        <v>43283.681944444441</v>
      </c>
      <c r="BE1134" s="4">
        <v>43283.684999999998</v>
      </c>
      <c r="BF1134" s="4">
        <v>43283.684999999998</v>
      </c>
      <c r="BG1134" t="s">
        <v>83</v>
      </c>
      <c r="BH1134" t="s">
        <v>84</v>
      </c>
      <c r="BI1134" t="s">
        <v>85</v>
      </c>
    </row>
    <row r="1135" spans="1:61" x14ac:dyDescent="0.3">
      <c r="A1135" t="str">
        <f>"200205C0100"</f>
        <v>200205C0100</v>
      </c>
      <c r="B1135" t="s">
        <v>2363</v>
      </c>
      <c r="C1135">
        <v>20</v>
      </c>
      <c r="D1135" t="s">
        <v>79</v>
      </c>
      <c r="E1135">
        <v>6</v>
      </c>
      <c r="F1135" t="s">
        <v>2299</v>
      </c>
      <c r="G1135">
        <v>205</v>
      </c>
      <c r="H1135">
        <v>1</v>
      </c>
      <c r="I1135" t="s">
        <v>89</v>
      </c>
      <c r="J1135">
        <v>0</v>
      </c>
      <c r="K1135">
        <v>1</v>
      </c>
      <c r="L1135">
        <v>2</v>
      </c>
      <c r="M1135">
        <v>242</v>
      </c>
      <c r="N1135">
        <v>353</v>
      </c>
      <c r="O1135">
        <v>3</v>
      </c>
      <c r="P1135">
        <v>0</v>
      </c>
      <c r="Q1135">
        <v>44</v>
      </c>
      <c r="R1135">
        <v>32</v>
      </c>
      <c r="S1135">
        <v>3</v>
      </c>
      <c r="T1135">
        <v>18</v>
      </c>
      <c r="U1135">
        <v>6</v>
      </c>
      <c r="V1135">
        <v>4</v>
      </c>
      <c r="W1135">
        <v>7</v>
      </c>
      <c r="X1135">
        <v>10</v>
      </c>
      <c r="Y1135">
        <v>179</v>
      </c>
      <c r="Z1135">
        <v>13</v>
      </c>
      <c r="AA1135">
        <v>1</v>
      </c>
      <c r="AB1135">
        <v>16</v>
      </c>
      <c r="AC1135">
        <v>0</v>
      </c>
      <c r="AD1135">
        <v>0</v>
      </c>
      <c r="AE1135">
        <v>0</v>
      </c>
      <c r="AF1135">
        <v>0</v>
      </c>
      <c r="AK1135">
        <v>2</v>
      </c>
      <c r="AL1135">
        <v>0</v>
      </c>
      <c r="AM1135">
        <v>0</v>
      </c>
      <c r="AN1135">
        <v>0</v>
      </c>
      <c r="AP1135">
        <v>2</v>
      </c>
      <c r="AT1135">
        <v>0</v>
      </c>
      <c r="AU1135">
        <v>16</v>
      </c>
      <c r="AV1135">
        <v>353</v>
      </c>
      <c r="AW1135">
        <v>353</v>
      </c>
      <c r="AX1135">
        <v>572</v>
      </c>
      <c r="BA1135">
        <v>1</v>
      </c>
      <c r="BC1135" t="s">
        <v>2364</v>
      </c>
      <c r="BD1135" s="4">
        <v>43283.109722222223</v>
      </c>
      <c r="BE1135" s="4">
        <v>43283.115115740744</v>
      </c>
      <c r="BF1135" s="4">
        <v>43283.115115740744</v>
      </c>
      <c r="BG1135" t="s">
        <v>83</v>
      </c>
      <c r="BH1135" t="s">
        <v>84</v>
      </c>
      <c r="BI1135" t="s">
        <v>85</v>
      </c>
    </row>
    <row r="1136" spans="1:61" x14ac:dyDescent="0.3">
      <c r="A1136" t="str">
        <f>"200205C0200"</f>
        <v>200205C0200</v>
      </c>
      <c r="B1136" t="s">
        <v>2365</v>
      </c>
      <c r="C1136">
        <v>20</v>
      </c>
      <c r="D1136" t="s">
        <v>79</v>
      </c>
      <c r="E1136">
        <v>6</v>
      </c>
      <c r="F1136" t="s">
        <v>2299</v>
      </c>
      <c r="G1136">
        <v>205</v>
      </c>
      <c r="H1136">
        <v>2</v>
      </c>
      <c r="I1136" t="s">
        <v>89</v>
      </c>
      <c r="J1136">
        <v>0</v>
      </c>
      <c r="K1136">
        <v>1</v>
      </c>
      <c r="L1136">
        <v>2</v>
      </c>
      <c r="M1136" t="s">
        <v>315</v>
      </c>
      <c r="N1136" t="s">
        <v>100</v>
      </c>
      <c r="O1136">
        <v>3</v>
      </c>
      <c r="P1136" t="s">
        <v>315</v>
      </c>
      <c r="Q1136">
        <v>36</v>
      </c>
      <c r="R1136">
        <v>27</v>
      </c>
      <c r="S1136">
        <v>11</v>
      </c>
      <c r="T1136">
        <v>14</v>
      </c>
      <c r="U1136">
        <v>9</v>
      </c>
      <c r="V1136">
        <v>2</v>
      </c>
      <c r="W1136">
        <v>7</v>
      </c>
      <c r="X1136">
        <v>7</v>
      </c>
      <c r="Y1136">
        <v>192</v>
      </c>
      <c r="Z1136">
        <v>3</v>
      </c>
      <c r="AA1136">
        <v>1</v>
      </c>
      <c r="AB1136">
        <v>8</v>
      </c>
      <c r="AC1136">
        <v>0</v>
      </c>
      <c r="AD1136">
        <v>0</v>
      </c>
      <c r="AE1136">
        <v>0</v>
      </c>
      <c r="AF1136">
        <v>0</v>
      </c>
      <c r="AK1136">
        <v>4</v>
      </c>
      <c r="AL1136">
        <v>0</v>
      </c>
      <c r="AM1136">
        <v>0</v>
      </c>
      <c r="AN1136">
        <v>0</v>
      </c>
      <c r="AP1136">
        <v>2</v>
      </c>
      <c r="AT1136">
        <v>0</v>
      </c>
      <c r="AU1136">
        <v>18</v>
      </c>
      <c r="AV1136">
        <v>337</v>
      </c>
      <c r="AW1136">
        <v>341</v>
      </c>
      <c r="AX1136">
        <v>572</v>
      </c>
      <c r="BA1136">
        <v>1</v>
      </c>
      <c r="BC1136" t="s">
        <v>2366</v>
      </c>
      <c r="BD1136" s="4">
        <v>43283.106249999997</v>
      </c>
      <c r="BE1136" s="4">
        <v>43283.110671296294</v>
      </c>
      <c r="BF1136" s="4">
        <v>43283.110671296294</v>
      </c>
      <c r="BG1136" t="s">
        <v>83</v>
      </c>
      <c r="BH1136" t="s">
        <v>84</v>
      </c>
      <c r="BI1136" t="s">
        <v>85</v>
      </c>
    </row>
    <row r="1137" spans="1:61" x14ac:dyDescent="0.3">
      <c r="A1137" t="str">
        <f>"200206B0100"</f>
        <v>200206B0100</v>
      </c>
      <c r="B1137" t="s">
        <v>2367</v>
      </c>
      <c r="C1137">
        <v>20</v>
      </c>
      <c r="D1137" t="s">
        <v>79</v>
      </c>
      <c r="E1137">
        <v>6</v>
      </c>
      <c r="F1137" t="s">
        <v>2299</v>
      </c>
      <c r="G1137">
        <v>206</v>
      </c>
      <c r="H1137">
        <v>1</v>
      </c>
      <c r="I1137" t="s">
        <v>81</v>
      </c>
      <c r="J1137">
        <v>0</v>
      </c>
      <c r="K1137">
        <v>1</v>
      </c>
      <c r="L1137">
        <v>2</v>
      </c>
      <c r="AX1137">
        <v>570</v>
      </c>
      <c r="AZ1137" t="s">
        <v>156</v>
      </c>
      <c r="BA1137">
        <v>0</v>
      </c>
      <c r="BC1137" t="s">
        <v>2368</v>
      </c>
      <c r="BD1137" s="4">
        <v>43283.802083333336</v>
      </c>
      <c r="BE1137" s="4">
        <v>43283.804201388892</v>
      </c>
      <c r="BF1137" s="4">
        <v>43283.804201388892</v>
      </c>
      <c r="BG1137" t="s">
        <v>83</v>
      </c>
      <c r="BH1137" t="s">
        <v>84</v>
      </c>
      <c r="BI1137" t="s">
        <v>85</v>
      </c>
    </row>
    <row r="1138" spans="1:61" x14ac:dyDescent="0.3">
      <c r="A1138" t="str">
        <f>"200206C0100"</f>
        <v>200206C0100</v>
      </c>
      <c r="B1138" t="s">
        <v>2369</v>
      </c>
      <c r="C1138">
        <v>20</v>
      </c>
      <c r="D1138" t="s">
        <v>79</v>
      </c>
      <c r="E1138">
        <v>6</v>
      </c>
      <c r="F1138" t="s">
        <v>2299</v>
      </c>
      <c r="G1138">
        <v>206</v>
      </c>
      <c r="H1138">
        <v>1</v>
      </c>
      <c r="I1138" t="s">
        <v>89</v>
      </c>
      <c r="J1138">
        <v>0</v>
      </c>
      <c r="K1138">
        <v>1</v>
      </c>
      <c r="L1138">
        <v>2</v>
      </c>
      <c r="M1138">
        <v>250</v>
      </c>
      <c r="N1138">
        <v>343</v>
      </c>
      <c r="O1138">
        <v>5</v>
      </c>
      <c r="P1138">
        <v>343</v>
      </c>
      <c r="Q1138">
        <v>50</v>
      </c>
      <c r="R1138">
        <v>41</v>
      </c>
      <c r="S1138">
        <v>5</v>
      </c>
      <c r="T1138">
        <v>12</v>
      </c>
      <c r="U1138">
        <v>7</v>
      </c>
      <c r="V1138">
        <v>9</v>
      </c>
      <c r="W1138">
        <v>17</v>
      </c>
      <c r="X1138">
        <v>8</v>
      </c>
      <c r="Y1138">
        <v>141</v>
      </c>
      <c r="Z1138">
        <v>8</v>
      </c>
      <c r="AA1138">
        <v>2</v>
      </c>
      <c r="AB1138">
        <v>8</v>
      </c>
      <c r="AC1138">
        <v>1</v>
      </c>
      <c r="AD1138">
        <v>0</v>
      </c>
      <c r="AE1138">
        <v>0</v>
      </c>
      <c r="AF1138">
        <v>0</v>
      </c>
      <c r="AK1138">
        <v>4</v>
      </c>
      <c r="AL1138">
        <v>2</v>
      </c>
      <c r="AM1138">
        <v>0</v>
      </c>
      <c r="AN1138">
        <v>1</v>
      </c>
      <c r="AP1138">
        <v>2</v>
      </c>
      <c r="AT1138">
        <v>6</v>
      </c>
      <c r="AU1138">
        <v>19</v>
      </c>
      <c r="AV1138">
        <v>343</v>
      </c>
      <c r="AW1138">
        <v>343</v>
      </c>
      <c r="AX1138">
        <v>570</v>
      </c>
      <c r="BA1138">
        <v>1</v>
      </c>
      <c r="BC1138" t="s">
        <v>2370</v>
      </c>
      <c r="BD1138" s="4">
        <v>43283.183333333334</v>
      </c>
      <c r="BE1138" s="4">
        <v>43283.20175925926</v>
      </c>
      <c r="BF1138" s="4">
        <v>43283.20175925926</v>
      </c>
      <c r="BG1138" t="s">
        <v>83</v>
      </c>
      <c r="BH1138" t="s">
        <v>84</v>
      </c>
      <c r="BI1138" t="s">
        <v>85</v>
      </c>
    </row>
    <row r="1139" spans="1:61" x14ac:dyDescent="0.3">
      <c r="A1139" t="str">
        <f>"200206C0200"</f>
        <v>200206C0200</v>
      </c>
      <c r="B1139" t="s">
        <v>2371</v>
      </c>
      <c r="C1139">
        <v>20</v>
      </c>
      <c r="D1139" t="s">
        <v>79</v>
      </c>
      <c r="E1139">
        <v>6</v>
      </c>
      <c r="F1139" t="s">
        <v>2299</v>
      </c>
      <c r="G1139">
        <v>206</v>
      </c>
      <c r="H1139">
        <v>2</v>
      </c>
      <c r="I1139" t="s">
        <v>89</v>
      </c>
      <c r="J1139">
        <v>0</v>
      </c>
      <c r="K1139">
        <v>1</v>
      </c>
      <c r="L1139">
        <v>2</v>
      </c>
      <c r="AX1139">
        <v>569</v>
      </c>
      <c r="AZ1139" t="s">
        <v>156</v>
      </c>
      <c r="BA1139">
        <v>0</v>
      </c>
      <c r="BC1139" t="s">
        <v>2372</v>
      </c>
      <c r="BD1139" s="4">
        <v>43283.802777777775</v>
      </c>
      <c r="BE1139" s="4">
        <v>43283.804664351854</v>
      </c>
      <c r="BF1139" s="4">
        <v>43283.804664351854</v>
      </c>
      <c r="BG1139" t="s">
        <v>83</v>
      </c>
      <c r="BH1139" t="s">
        <v>84</v>
      </c>
      <c r="BI1139" t="s">
        <v>85</v>
      </c>
    </row>
    <row r="1140" spans="1:61" x14ac:dyDescent="0.3">
      <c r="A1140" t="str">
        <f>"200206C0300"</f>
        <v>200206C0300</v>
      </c>
      <c r="B1140" t="s">
        <v>2373</v>
      </c>
      <c r="C1140">
        <v>20</v>
      </c>
      <c r="D1140" t="s">
        <v>79</v>
      </c>
      <c r="E1140">
        <v>6</v>
      </c>
      <c r="F1140" t="s">
        <v>2299</v>
      </c>
      <c r="G1140">
        <v>206</v>
      </c>
      <c r="H1140">
        <v>3</v>
      </c>
      <c r="I1140" t="s">
        <v>89</v>
      </c>
      <c r="J1140">
        <v>0</v>
      </c>
      <c r="K1140">
        <v>1</v>
      </c>
      <c r="L1140">
        <v>2</v>
      </c>
      <c r="AX1140">
        <v>569</v>
      </c>
      <c r="AZ1140" t="s">
        <v>156</v>
      </c>
      <c r="BA1140">
        <v>0</v>
      </c>
      <c r="BC1140" t="s">
        <v>2374</v>
      </c>
      <c r="BD1140" s="4">
        <v>43283.802777777775</v>
      </c>
      <c r="BE1140" s="4">
        <v>43283.804814814815</v>
      </c>
      <c r="BF1140" s="4">
        <v>43283.804814814815</v>
      </c>
      <c r="BG1140" t="s">
        <v>83</v>
      </c>
      <c r="BH1140" t="s">
        <v>84</v>
      </c>
      <c r="BI1140" t="s">
        <v>85</v>
      </c>
    </row>
    <row r="1141" spans="1:61" x14ac:dyDescent="0.3">
      <c r="A1141" t="str">
        <f>"200207B0100"</f>
        <v>200207B0100</v>
      </c>
      <c r="B1141" t="s">
        <v>2375</v>
      </c>
      <c r="C1141">
        <v>20</v>
      </c>
      <c r="D1141" t="s">
        <v>79</v>
      </c>
      <c r="E1141">
        <v>6</v>
      </c>
      <c r="F1141" t="s">
        <v>2299</v>
      </c>
      <c r="G1141">
        <v>207</v>
      </c>
      <c r="H1141">
        <v>1</v>
      </c>
      <c r="I1141" t="s">
        <v>81</v>
      </c>
      <c r="J1141">
        <v>0</v>
      </c>
      <c r="K1141">
        <v>1</v>
      </c>
      <c r="L1141">
        <v>2</v>
      </c>
      <c r="M1141">
        <v>244</v>
      </c>
      <c r="N1141">
        <v>366</v>
      </c>
      <c r="O1141">
        <v>4</v>
      </c>
      <c r="P1141">
        <v>366</v>
      </c>
      <c r="Q1141">
        <v>53</v>
      </c>
      <c r="R1141">
        <v>57</v>
      </c>
      <c r="S1141">
        <v>10</v>
      </c>
      <c r="T1141">
        <v>17</v>
      </c>
      <c r="U1141">
        <v>5</v>
      </c>
      <c r="V1141">
        <v>2</v>
      </c>
      <c r="W1141">
        <v>11</v>
      </c>
      <c r="X1141">
        <v>6</v>
      </c>
      <c r="Y1141">
        <v>162</v>
      </c>
      <c r="Z1141">
        <v>7</v>
      </c>
      <c r="AA1141">
        <v>2</v>
      </c>
      <c r="AB1141">
        <v>13</v>
      </c>
      <c r="AC1141">
        <v>1</v>
      </c>
      <c r="AD1141">
        <v>1</v>
      </c>
      <c r="AE1141">
        <v>0</v>
      </c>
      <c r="AF1141">
        <v>0</v>
      </c>
      <c r="AK1141">
        <v>1</v>
      </c>
      <c r="AL1141">
        <v>3</v>
      </c>
      <c r="AM1141">
        <v>0</v>
      </c>
      <c r="AN1141">
        <v>0</v>
      </c>
      <c r="AP1141">
        <v>0</v>
      </c>
      <c r="AT1141">
        <v>0</v>
      </c>
      <c r="AU1141">
        <v>15</v>
      </c>
      <c r="AV1141">
        <v>366</v>
      </c>
      <c r="AW1141">
        <v>366</v>
      </c>
      <c r="AX1141">
        <v>587</v>
      </c>
      <c r="BA1141">
        <v>1</v>
      </c>
      <c r="BC1141" t="s">
        <v>2376</v>
      </c>
      <c r="BD1141" s="4">
        <v>43283.052777777775</v>
      </c>
      <c r="BE1141" s="4">
        <v>43283.057164351849</v>
      </c>
      <c r="BF1141" s="4">
        <v>43283.057164351849</v>
      </c>
      <c r="BG1141" t="s">
        <v>83</v>
      </c>
      <c r="BH1141" t="s">
        <v>84</v>
      </c>
      <c r="BI1141" t="s">
        <v>85</v>
      </c>
    </row>
    <row r="1142" spans="1:61" x14ac:dyDescent="0.3">
      <c r="A1142" t="str">
        <f>"200207C0100"</f>
        <v>200207C0100</v>
      </c>
      <c r="B1142" t="s">
        <v>2377</v>
      </c>
      <c r="C1142">
        <v>20</v>
      </c>
      <c r="D1142" t="s">
        <v>79</v>
      </c>
      <c r="E1142">
        <v>6</v>
      </c>
      <c r="F1142" t="s">
        <v>2299</v>
      </c>
      <c r="G1142">
        <v>207</v>
      </c>
      <c r="H1142">
        <v>1</v>
      </c>
      <c r="I1142" t="s">
        <v>89</v>
      </c>
      <c r="J1142">
        <v>0</v>
      </c>
      <c r="K1142">
        <v>1</v>
      </c>
      <c r="L1142">
        <v>2</v>
      </c>
      <c r="M1142">
        <v>275</v>
      </c>
      <c r="N1142">
        <v>335</v>
      </c>
      <c r="O1142">
        <v>6</v>
      </c>
      <c r="P1142">
        <v>335</v>
      </c>
      <c r="Q1142">
        <v>42</v>
      </c>
      <c r="R1142">
        <v>75</v>
      </c>
      <c r="S1142">
        <v>9</v>
      </c>
      <c r="T1142">
        <v>18</v>
      </c>
      <c r="U1142">
        <v>3</v>
      </c>
      <c r="V1142">
        <v>2</v>
      </c>
      <c r="W1142">
        <v>9</v>
      </c>
      <c r="X1142">
        <v>6</v>
      </c>
      <c r="Y1142">
        <v>4</v>
      </c>
      <c r="Z1142">
        <v>2</v>
      </c>
      <c r="AA1142">
        <v>1</v>
      </c>
      <c r="AB1142">
        <v>18</v>
      </c>
      <c r="AC1142">
        <v>1</v>
      </c>
      <c r="AD1142">
        <v>1</v>
      </c>
      <c r="AE1142">
        <v>0</v>
      </c>
      <c r="AF1142">
        <v>0</v>
      </c>
      <c r="AK1142">
        <v>2</v>
      </c>
      <c r="AL1142">
        <v>1</v>
      </c>
      <c r="AM1142">
        <v>0</v>
      </c>
      <c r="AN1142">
        <v>0</v>
      </c>
      <c r="AP1142">
        <v>0</v>
      </c>
      <c r="AT1142">
        <v>0</v>
      </c>
      <c r="AU1142">
        <v>11</v>
      </c>
      <c r="AV1142">
        <v>335</v>
      </c>
      <c r="AW1142">
        <v>205</v>
      </c>
      <c r="AX1142">
        <v>587</v>
      </c>
      <c r="BA1142">
        <v>1</v>
      </c>
      <c r="BC1142" t="s">
        <v>2378</v>
      </c>
      <c r="BD1142" s="4">
        <v>43283.052083333336</v>
      </c>
      <c r="BE1142" s="4">
        <v>43283.055590277778</v>
      </c>
      <c r="BF1142" s="4">
        <v>43283.055590277778</v>
      </c>
      <c r="BG1142" t="s">
        <v>83</v>
      </c>
      <c r="BH1142" t="s">
        <v>84</v>
      </c>
      <c r="BI1142" t="s">
        <v>85</v>
      </c>
    </row>
    <row r="1143" spans="1:61" x14ac:dyDescent="0.3">
      <c r="A1143" t="str">
        <f>"200207C0200"</f>
        <v>200207C0200</v>
      </c>
      <c r="B1143" t="s">
        <v>2379</v>
      </c>
      <c r="C1143">
        <v>20</v>
      </c>
      <c r="D1143" t="s">
        <v>79</v>
      </c>
      <c r="E1143">
        <v>6</v>
      </c>
      <c r="F1143" t="s">
        <v>2299</v>
      </c>
      <c r="G1143">
        <v>207</v>
      </c>
      <c r="H1143">
        <v>2</v>
      </c>
      <c r="I1143" t="s">
        <v>89</v>
      </c>
      <c r="J1143">
        <v>0</v>
      </c>
      <c r="K1143">
        <v>1</v>
      </c>
      <c r="L1143">
        <v>2</v>
      </c>
      <c r="M1143">
        <v>233</v>
      </c>
      <c r="N1143">
        <v>377</v>
      </c>
      <c r="O1143">
        <v>5</v>
      </c>
      <c r="P1143">
        <v>377</v>
      </c>
      <c r="Q1143">
        <v>41</v>
      </c>
      <c r="R1143">
        <v>74</v>
      </c>
      <c r="S1143">
        <v>20</v>
      </c>
      <c r="T1143">
        <v>23</v>
      </c>
      <c r="U1143">
        <v>6</v>
      </c>
      <c r="V1143">
        <v>5</v>
      </c>
      <c r="W1143">
        <v>12</v>
      </c>
      <c r="X1143">
        <v>4</v>
      </c>
      <c r="Y1143">
        <v>147</v>
      </c>
      <c r="Z1143">
        <v>3</v>
      </c>
      <c r="AA1143">
        <v>1</v>
      </c>
      <c r="AB1143">
        <v>18</v>
      </c>
      <c r="AC1143">
        <v>0</v>
      </c>
      <c r="AD1143">
        <v>0</v>
      </c>
      <c r="AE1143">
        <v>0</v>
      </c>
      <c r="AF1143">
        <v>0</v>
      </c>
      <c r="AK1143">
        <v>3</v>
      </c>
      <c r="AL1143">
        <v>1</v>
      </c>
      <c r="AM1143">
        <v>0</v>
      </c>
      <c r="AN1143">
        <v>0</v>
      </c>
      <c r="AP1143">
        <v>1</v>
      </c>
      <c r="AT1143">
        <v>0</v>
      </c>
      <c r="AU1143">
        <v>18</v>
      </c>
      <c r="AV1143">
        <v>377</v>
      </c>
      <c r="AW1143">
        <v>377</v>
      </c>
      <c r="AX1143">
        <v>587</v>
      </c>
      <c r="BA1143">
        <v>1</v>
      </c>
      <c r="BC1143" t="s">
        <v>2380</v>
      </c>
      <c r="BD1143" s="4">
        <v>43283.01666666667</v>
      </c>
      <c r="BE1143" s="4">
        <v>43283.022326388891</v>
      </c>
      <c r="BF1143" s="4">
        <v>43283.022326388891</v>
      </c>
      <c r="BG1143" t="s">
        <v>83</v>
      </c>
      <c r="BH1143" t="s">
        <v>84</v>
      </c>
      <c r="BI1143" t="s">
        <v>85</v>
      </c>
    </row>
    <row r="1144" spans="1:61" x14ac:dyDescent="0.3">
      <c r="A1144" t="str">
        <f>"200207C0300"</f>
        <v>200207C0300</v>
      </c>
      <c r="B1144" t="s">
        <v>2381</v>
      </c>
      <c r="C1144">
        <v>20</v>
      </c>
      <c r="D1144" t="s">
        <v>79</v>
      </c>
      <c r="E1144">
        <v>6</v>
      </c>
      <c r="F1144" t="s">
        <v>2299</v>
      </c>
      <c r="G1144">
        <v>207</v>
      </c>
      <c r="H1144">
        <v>3</v>
      </c>
      <c r="I1144" t="s">
        <v>89</v>
      </c>
      <c r="J1144">
        <v>0</v>
      </c>
      <c r="K1144">
        <v>1</v>
      </c>
      <c r="L1144">
        <v>2</v>
      </c>
      <c r="M1144">
        <v>253</v>
      </c>
      <c r="N1144">
        <v>357</v>
      </c>
      <c r="O1144">
        <v>8</v>
      </c>
      <c r="P1144">
        <v>357</v>
      </c>
      <c r="Q1144">
        <v>54</v>
      </c>
      <c r="R1144">
        <v>64</v>
      </c>
      <c r="S1144">
        <v>9</v>
      </c>
      <c r="T1144">
        <v>15</v>
      </c>
      <c r="U1144">
        <v>6</v>
      </c>
      <c r="V1144">
        <v>1</v>
      </c>
      <c r="W1144">
        <v>10</v>
      </c>
      <c r="X1144">
        <v>13</v>
      </c>
      <c r="Y1144">
        <v>154</v>
      </c>
      <c r="Z1144">
        <v>3</v>
      </c>
      <c r="AA1144">
        <v>1</v>
      </c>
      <c r="AB1144">
        <v>10</v>
      </c>
      <c r="AC1144">
        <v>0</v>
      </c>
      <c r="AD1144">
        <v>0</v>
      </c>
      <c r="AE1144">
        <v>0</v>
      </c>
      <c r="AF1144">
        <v>0</v>
      </c>
      <c r="AK1144">
        <v>1</v>
      </c>
      <c r="AL1144">
        <v>3</v>
      </c>
      <c r="AM1144">
        <v>0</v>
      </c>
      <c r="AN1144">
        <v>0</v>
      </c>
      <c r="AP1144">
        <v>1</v>
      </c>
      <c r="AT1144">
        <v>1</v>
      </c>
      <c r="AU1144">
        <v>11</v>
      </c>
      <c r="AV1144">
        <v>357</v>
      </c>
      <c r="AW1144">
        <v>357</v>
      </c>
      <c r="AX1144">
        <v>587</v>
      </c>
      <c r="BA1144">
        <v>1</v>
      </c>
      <c r="BC1144" t="s">
        <v>2382</v>
      </c>
      <c r="BD1144" s="4">
        <v>43283.052777777775</v>
      </c>
      <c r="BE1144" s="4">
        <v>43283.059432870374</v>
      </c>
      <c r="BF1144" s="4">
        <v>43283.059432870374</v>
      </c>
      <c r="BG1144" t="s">
        <v>83</v>
      </c>
      <c r="BH1144" t="s">
        <v>84</v>
      </c>
      <c r="BI1144" t="s">
        <v>85</v>
      </c>
    </row>
    <row r="1145" spans="1:61" x14ac:dyDescent="0.3">
      <c r="A1145" t="str">
        <f>"200208B0100"</f>
        <v>200208B0100</v>
      </c>
      <c r="B1145" t="s">
        <v>2383</v>
      </c>
      <c r="C1145">
        <v>20</v>
      </c>
      <c r="D1145" t="s">
        <v>79</v>
      </c>
      <c r="E1145">
        <v>6</v>
      </c>
      <c r="F1145" t="s">
        <v>2299</v>
      </c>
      <c r="G1145">
        <v>208</v>
      </c>
      <c r="H1145">
        <v>1</v>
      </c>
      <c r="I1145" t="s">
        <v>81</v>
      </c>
      <c r="J1145">
        <v>0</v>
      </c>
      <c r="K1145">
        <v>1</v>
      </c>
      <c r="L1145">
        <v>2</v>
      </c>
      <c r="M1145">
        <v>349</v>
      </c>
      <c r="N1145">
        <v>403</v>
      </c>
      <c r="O1145">
        <v>3</v>
      </c>
      <c r="P1145">
        <v>403</v>
      </c>
      <c r="Q1145">
        <v>39</v>
      </c>
      <c r="R1145">
        <v>52</v>
      </c>
      <c r="S1145">
        <v>10</v>
      </c>
      <c r="T1145">
        <v>22</v>
      </c>
      <c r="U1145">
        <v>12</v>
      </c>
      <c r="V1145">
        <v>2</v>
      </c>
      <c r="W1145">
        <v>12</v>
      </c>
      <c r="X1145">
        <v>5</v>
      </c>
      <c r="Y1145">
        <v>205</v>
      </c>
      <c r="Z1145">
        <v>15</v>
      </c>
      <c r="AA1145">
        <v>2</v>
      </c>
      <c r="AB1145">
        <v>4</v>
      </c>
      <c r="AC1145">
        <v>0</v>
      </c>
      <c r="AD1145">
        <v>2</v>
      </c>
      <c r="AE1145">
        <v>0</v>
      </c>
      <c r="AF1145">
        <v>0</v>
      </c>
      <c r="AK1145">
        <v>3</v>
      </c>
      <c r="AL1145">
        <v>0</v>
      </c>
      <c r="AM1145">
        <v>0</v>
      </c>
      <c r="AN1145">
        <v>0</v>
      </c>
      <c r="AP1145">
        <v>2</v>
      </c>
      <c r="AT1145">
        <v>0</v>
      </c>
      <c r="AU1145">
        <v>13</v>
      </c>
      <c r="AV1145">
        <v>400</v>
      </c>
      <c r="AW1145">
        <v>400</v>
      </c>
      <c r="AX1145">
        <v>729</v>
      </c>
      <c r="BA1145">
        <v>1</v>
      </c>
      <c r="BC1145" t="s">
        <v>2384</v>
      </c>
      <c r="BD1145" s="4">
        <v>43283.200694444444</v>
      </c>
      <c r="BE1145" s="4">
        <v>43283.219675925924</v>
      </c>
      <c r="BF1145" s="4">
        <v>43283.219675925924</v>
      </c>
      <c r="BG1145" t="s">
        <v>83</v>
      </c>
      <c r="BH1145" t="s">
        <v>84</v>
      </c>
      <c r="BI1145" t="s">
        <v>85</v>
      </c>
    </row>
    <row r="1146" spans="1:61" x14ac:dyDescent="0.3">
      <c r="A1146" t="str">
        <f>"200208C0100"</f>
        <v>200208C0100</v>
      </c>
      <c r="B1146" t="s">
        <v>2385</v>
      </c>
      <c r="C1146">
        <v>20</v>
      </c>
      <c r="D1146" t="s">
        <v>79</v>
      </c>
      <c r="E1146">
        <v>6</v>
      </c>
      <c r="F1146" t="s">
        <v>2299</v>
      </c>
      <c r="G1146">
        <v>208</v>
      </c>
      <c r="H1146">
        <v>1</v>
      </c>
      <c r="I1146" t="s">
        <v>89</v>
      </c>
      <c r="J1146">
        <v>0</v>
      </c>
      <c r="K1146">
        <v>1</v>
      </c>
      <c r="L1146">
        <v>2</v>
      </c>
      <c r="M1146">
        <v>308</v>
      </c>
      <c r="N1146">
        <v>444</v>
      </c>
      <c r="O1146">
        <v>3</v>
      </c>
      <c r="P1146">
        <v>444</v>
      </c>
      <c r="Q1146">
        <v>40</v>
      </c>
      <c r="R1146">
        <v>53</v>
      </c>
      <c r="S1146">
        <v>12</v>
      </c>
      <c r="T1146">
        <v>24</v>
      </c>
      <c r="U1146">
        <v>9</v>
      </c>
      <c r="V1146">
        <v>2</v>
      </c>
      <c r="W1146">
        <v>14</v>
      </c>
      <c r="X1146">
        <v>4</v>
      </c>
      <c r="Y1146">
        <v>230</v>
      </c>
      <c r="Z1146">
        <v>7</v>
      </c>
      <c r="AA1146">
        <v>1</v>
      </c>
      <c r="AB1146">
        <v>19</v>
      </c>
      <c r="AC1146">
        <v>1</v>
      </c>
      <c r="AD1146">
        <v>0</v>
      </c>
      <c r="AE1146">
        <v>1</v>
      </c>
      <c r="AF1146">
        <v>0</v>
      </c>
      <c r="AK1146">
        <v>4</v>
      </c>
      <c r="AL1146">
        <v>1</v>
      </c>
      <c r="AM1146">
        <v>0</v>
      </c>
      <c r="AN1146">
        <v>3</v>
      </c>
      <c r="AP1146">
        <v>2</v>
      </c>
      <c r="AT1146">
        <v>1</v>
      </c>
      <c r="AU1146">
        <v>16</v>
      </c>
      <c r="AV1146" t="s">
        <v>100</v>
      </c>
      <c r="AW1146">
        <v>444</v>
      </c>
      <c r="AX1146">
        <v>729</v>
      </c>
      <c r="BA1146">
        <v>1</v>
      </c>
      <c r="BC1146" t="s">
        <v>2386</v>
      </c>
      <c r="BD1146" s="4">
        <v>43283.201388888891</v>
      </c>
      <c r="BE1146" s="4">
        <v>43283.218865740739</v>
      </c>
      <c r="BF1146" s="4">
        <v>43283.218865740739</v>
      </c>
      <c r="BG1146" t="s">
        <v>83</v>
      </c>
      <c r="BH1146" t="s">
        <v>84</v>
      </c>
      <c r="BI1146" t="s">
        <v>85</v>
      </c>
    </row>
    <row r="1147" spans="1:61" x14ac:dyDescent="0.3">
      <c r="A1147" t="str">
        <f>"200208C0200"</f>
        <v>200208C0200</v>
      </c>
      <c r="B1147" t="s">
        <v>2387</v>
      </c>
      <c r="C1147">
        <v>20</v>
      </c>
      <c r="D1147" t="s">
        <v>79</v>
      </c>
      <c r="E1147">
        <v>6</v>
      </c>
      <c r="F1147" t="s">
        <v>2299</v>
      </c>
      <c r="G1147">
        <v>208</v>
      </c>
      <c r="H1147">
        <v>2</v>
      </c>
      <c r="I1147" t="s">
        <v>89</v>
      </c>
      <c r="J1147">
        <v>0</v>
      </c>
      <c r="K1147">
        <v>1</v>
      </c>
      <c r="L1147">
        <v>2</v>
      </c>
      <c r="M1147">
        <v>329</v>
      </c>
      <c r="N1147">
        <v>422</v>
      </c>
      <c r="O1147">
        <v>2</v>
      </c>
      <c r="P1147">
        <v>422</v>
      </c>
      <c r="Q1147">
        <v>31</v>
      </c>
      <c r="R1147">
        <v>70</v>
      </c>
      <c r="S1147">
        <v>9</v>
      </c>
      <c r="T1147">
        <v>20</v>
      </c>
      <c r="U1147">
        <v>10</v>
      </c>
      <c r="V1147">
        <v>8</v>
      </c>
      <c r="W1147">
        <v>11</v>
      </c>
      <c r="X1147">
        <v>10</v>
      </c>
      <c r="Y1147">
        <v>204</v>
      </c>
      <c r="Z1147">
        <v>4</v>
      </c>
      <c r="AA1147">
        <v>4</v>
      </c>
      <c r="AB1147">
        <v>14</v>
      </c>
      <c r="AC1147">
        <v>0</v>
      </c>
      <c r="AD1147">
        <v>0</v>
      </c>
      <c r="AE1147">
        <v>0</v>
      </c>
      <c r="AF1147">
        <v>0</v>
      </c>
      <c r="AK1147">
        <v>5</v>
      </c>
      <c r="AL1147">
        <v>4</v>
      </c>
      <c r="AM1147">
        <v>0</v>
      </c>
      <c r="AN1147">
        <v>0</v>
      </c>
      <c r="AP1147">
        <v>6</v>
      </c>
      <c r="AT1147">
        <v>1</v>
      </c>
      <c r="AU1147">
        <v>11</v>
      </c>
      <c r="AV1147">
        <v>422</v>
      </c>
      <c r="AW1147">
        <v>422</v>
      </c>
      <c r="AX1147">
        <v>728</v>
      </c>
      <c r="BA1147">
        <v>1</v>
      </c>
      <c r="BC1147" t="s">
        <v>2388</v>
      </c>
      <c r="BD1147" s="4">
        <v>43283.202777777777</v>
      </c>
      <c r="BE1147" s="4">
        <v>43283.219826388886</v>
      </c>
      <c r="BF1147" s="4">
        <v>43283.219826388886</v>
      </c>
      <c r="BG1147" t="s">
        <v>83</v>
      </c>
      <c r="BH1147" t="s">
        <v>84</v>
      </c>
      <c r="BI1147" t="s">
        <v>85</v>
      </c>
    </row>
    <row r="1148" spans="1:61" x14ac:dyDescent="0.3">
      <c r="A1148" t="str">
        <f>"200208C0300"</f>
        <v>200208C0300</v>
      </c>
      <c r="B1148" t="s">
        <v>2389</v>
      </c>
      <c r="C1148">
        <v>20</v>
      </c>
      <c r="D1148" t="s">
        <v>79</v>
      </c>
      <c r="E1148">
        <v>6</v>
      </c>
      <c r="F1148" t="s">
        <v>2299</v>
      </c>
      <c r="G1148">
        <v>208</v>
      </c>
      <c r="H1148">
        <v>3</v>
      </c>
      <c r="I1148" t="s">
        <v>89</v>
      </c>
      <c r="J1148">
        <v>0</v>
      </c>
      <c r="K1148">
        <v>1</v>
      </c>
      <c r="L1148">
        <v>2</v>
      </c>
      <c r="M1148">
        <v>322</v>
      </c>
      <c r="N1148">
        <v>429</v>
      </c>
      <c r="O1148">
        <v>7</v>
      </c>
      <c r="P1148">
        <v>429</v>
      </c>
      <c r="Q1148">
        <v>33</v>
      </c>
      <c r="R1148">
        <v>75</v>
      </c>
      <c r="S1148">
        <v>12</v>
      </c>
      <c r="T1148">
        <v>22</v>
      </c>
      <c r="U1148">
        <v>15</v>
      </c>
      <c r="V1148">
        <v>2</v>
      </c>
      <c r="W1148">
        <v>10</v>
      </c>
      <c r="X1148">
        <v>10</v>
      </c>
      <c r="Y1148">
        <v>196</v>
      </c>
      <c r="Z1148">
        <v>3</v>
      </c>
      <c r="AA1148">
        <v>6</v>
      </c>
      <c r="AB1148">
        <v>18</v>
      </c>
      <c r="AC1148">
        <v>1</v>
      </c>
      <c r="AD1148">
        <v>0</v>
      </c>
      <c r="AE1148">
        <v>0</v>
      </c>
      <c r="AF1148">
        <v>0</v>
      </c>
      <c r="AK1148">
        <v>3</v>
      </c>
      <c r="AL1148">
        <v>0</v>
      </c>
      <c r="AM1148">
        <v>0</v>
      </c>
      <c r="AN1148">
        <v>0</v>
      </c>
      <c r="AP1148">
        <v>2</v>
      </c>
      <c r="AT1148">
        <v>1</v>
      </c>
      <c r="AU1148">
        <v>20</v>
      </c>
      <c r="AV1148">
        <v>429</v>
      </c>
      <c r="AW1148">
        <v>429</v>
      </c>
      <c r="AX1148">
        <v>728</v>
      </c>
      <c r="BA1148">
        <v>1</v>
      </c>
      <c r="BC1148" t="s">
        <v>2390</v>
      </c>
      <c r="BD1148" s="4">
        <v>43283.199305555558</v>
      </c>
      <c r="BE1148" s="4">
        <v>43283.220104166663</v>
      </c>
      <c r="BF1148" s="4">
        <v>43283.220104166663</v>
      </c>
      <c r="BG1148" t="s">
        <v>83</v>
      </c>
      <c r="BH1148" t="s">
        <v>84</v>
      </c>
      <c r="BI1148" t="s">
        <v>85</v>
      </c>
    </row>
    <row r="1149" spans="1:61" x14ac:dyDescent="0.3">
      <c r="A1149" t="str">
        <f>"200209B0100"</f>
        <v>200209B0100</v>
      </c>
      <c r="B1149" t="s">
        <v>2391</v>
      </c>
      <c r="C1149">
        <v>20</v>
      </c>
      <c r="D1149" t="s">
        <v>79</v>
      </c>
      <c r="E1149">
        <v>6</v>
      </c>
      <c r="F1149" t="s">
        <v>2299</v>
      </c>
      <c r="G1149">
        <v>209</v>
      </c>
      <c r="H1149">
        <v>1</v>
      </c>
      <c r="I1149" t="s">
        <v>81</v>
      </c>
      <c r="J1149">
        <v>0</v>
      </c>
      <c r="K1149">
        <v>1</v>
      </c>
      <c r="L1149">
        <v>2</v>
      </c>
      <c r="M1149">
        <v>223</v>
      </c>
      <c r="N1149">
        <v>315</v>
      </c>
      <c r="O1149">
        <v>2</v>
      </c>
      <c r="P1149">
        <v>315</v>
      </c>
      <c r="Q1149">
        <v>49</v>
      </c>
      <c r="R1149">
        <v>40</v>
      </c>
      <c r="S1149">
        <v>8</v>
      </c>
      <c r="T1149">
        <v>13</v>
      </c>
      <c r="U1149">
        <v>7</v>
      </c>
      <c r="V1149">
        <v>2</v>
      </c>
      <c r="W1149">
        <v>16</v>
      </c>
      <c r="X1149">
        <v>3</v>
      </c>
      <c r="Y1149">
        <v>118</v>
      </c>
      <c r="Z1149">
        <v>5</v>
      </c>
      <c r="AA1149">
        <v>0</v>
      </c>
      <c r="AB1149">
        <v>16</v>
      </c>
      <c r="AC1149">
        <v>1</v>
      </c>
      <c r="AD1149">
        <v>1</v>
      </c>
      <c r="AE1149">
        <v>1</v>
      </c>
      <c r="AF1149">
        <v>0</v>
      </c>
      <c r="AK1149">
        <v>5</v>
      </c>
      <c r="AL1149">
        <v>1</v>
      </c>
      <c r="AM1149">
        <v>0</v>
      </c>
      <c r="AN1149">
        <v>1</v>
      </c>
      <c r="AP1149">
        <v>3</v>
      </c>
      <c r="AT1149">
        <v>0</v>
      </c>
      <c r="AU1149">
        <v>25</v>
      </c>
      <c r="AV1149">
        <v>315</v>
      </c>
      <c r="AW1149">
        <v>315</v>
      </c>
      <c r="AX1149">
        <v>515</v>
      </c>
      <c r="BA1149">
        <v>1</v>
      </c>
      <c r="BC1149" t="s">
        <v>2392</v>
      </c>
      <c r="BD1149" s="4">
        <v>43282.979166666664</v>
      </c>
      <c r="BE1149" s="4">
        <v>43282.987337962964</v>
      </c>
      <c r="BF1149" s="4">
        <v>43282.987337962964</v>
      </c>
      <c r="BG1149" t="s">
        <v>83</v>
      </c>
      <c r="BH1149" t="s">
        <v>84</v>
      </c>
      <c r="BI1149" t="s">
        <v>85</v>
      </c>
    </row>
    <row r="1150" spans="1:61" x14ac:dyDescent="0.3">
      <c r="A1150" t="str">
        <f>"200209C0100"</f>
        <v>200209C0100</v>
      </c>
      <c r="B1150" t="s">
        <v>2393</v>
      </c>
      <c r="C1150">
        <v>20</v>
      </c>
      <c r="D1150" t="s">
        <v>79</v>
      </c>
      <c r="E1150">
        <v>6</v>
      </c>
      <c r="F1150" t="s">
        <v>2299</v>
      </c>
      <c r="G1150">
        <v>209</v>
      </c>
      <c r="H1150">
        <v>1</v>
      </c>
      <c r="I1150" t="s">
        <v>89</v>
      </c>
      <c r="J1150">
        <v>0</v>
      </c>
      <c r="K1150">
        <v>1</v>
      </c>
      <c r="L1150">
        <v>2</v>
      </c>
      <c r="M1150">
        <v>197</v>
      </c>
      <c r="N1150">
        <v>339</v>
      </c>
      <c r="O1150">
        <v>6</v>
      </c>
      <c r="P1150">
        <v>340</v>
      </c>
      <c r="Q1150">
        <v>57</v>
      </c>
      <c r="R1150">
        <v>34</v>
      </c>
      <c r="S1150">
        <v>9</v>
      </c>
      <c r="T1150">
        <v>15</v>
      </c>
      <c r="U1150">
        <v>8</v>
      </c>
      <c r="V1150">
        <v>4</v>
      </c>
      <c r="W1150">
        <v>8</v>
      </c>
      <c r="X1150">
        <v>2</v>
      </c>
      <c r="Y1150">
        <v>137</v>
      </c>
      <c r="Z1150">
        <v>4</v>
      </c>
      <c r="AA1150">
        <v>3</v>
      </c>
      <c r="AB1150">
        <v>20</v>
      </c>
      <c r="AC1150">
        <v>0</v>
      </c>
      <c r="AD1150">
        <v>0</v>
      </c>
      <c r="AE1150">
        <v>0</v>
      </c>
      <c r="AF1150">
        <v>0</v>
      </c>
      <c r="AK1150">
        <v>5</v>
      </c>
      <c r="AL1150">
        <v>1</v>
      </c>
      <c r="AM1150">
        <v>0</v>
      </c>
      <c r="AN1150">
        <v>0</v>
      </c>
      <c r="AP1150">
        <v>3</v>
      </c>
      <c r="AT1150">
        <v>2</v>
      </c>
      <c r="AU1150">
        <v>28</v>
      </c>
      <c r="AV1150">
        <v>340</v>
      </c>
      <c r="AW1150">
        <v>340</v>
      </c>
      <c r="AX1150">
        <v>514</v>
      </c>
      <c r="BA1150">
        <v>1</v>
      </c>
      <c r="BC1150" t="s">
        <v>2394</v>
      </c>
      <c r="BD1150" s="4">
        <v>43282.995833333334</v>
      </c>
      <c r="BE1150" s="4">
        <v>43283.001666666663</v>
      </c>
      <c r="BF1150" s="4">
        <v>43283.001666666663</v>
      </c>
      <c r="BG1150" t="s">
        <v>83</v>
      </c>
      <c r="BH1150" t="s">
        <v>84</v>
      </c>
      <c r="BI1150" t="s">
        <v>85</v>
      </c>
    </row>
    <row r="1151" spans="1:61" x14ac:dyDescent="0.3">
      <c r="A1151" t="str">
        <f>"200209C0200"</f>
        <v>200209C0200</v>
      </c>
      <c r="B1151" t="s">
        <v>2395</v>
      </c>
      <c r="C1151">
        <v>20</v>
      </c>
      <c r="D1151" t="s">
        <v>79</v>
      </c>
      <c r="E1151">
        <v>6</v>
      </c>
      <c r="F1151" t="s">
        <v>2299</v>
      </c>
      <c r="G1151">
        <v>209</v>
      </c>
      <c r="H1151">
        <v>2</v>
      </c>
      <c r="I1151" t="s">
        <v>89</v>
      </c>
      <c r="J1151">
        <v>0</v>
      </c>
      <c r="K1151">
        <v>1</v>
      </c>
      <c r="L1151">
        <v>2</v>
      </c>
      <c r="M1151">
        <v>230</v>
      </c>
      <c r="N1151">
        <v>307</v>
      </c>
      <c r="O1151">
        <v>6</v>
      </c>
      <c r="P1151">
        <v>307</v>
      </c>
      <c r="Q1151">
        <v>55</v>
      </c>
      <c r="R1151">
        <v>55</v>
      </c>
      <c r="S1151">
        <v>11</v>
      </c>
      <c r="T1151">
        <v>11</v>
      </c>
      <c r="U1151">
        <v>4</v>
      </c>
      <c r="V1151">
        <v>2</v>
      </c>
      <c r="W1151">
        <v>9</v>
      </c>
      <c r="X1151">
        <v>3</v>
      </c>
      <c r="Y1151">
        <v>127</v>
      </c>
      <c r="Z1151">
        <v>1</v>
      </c>
      <c r="AA1151">
        <v>2</v>
      </c>
      <c r="AB1151">
        <v>6</v>
      </c>
      <c r="AC1151">
        <v>1</v>
      </c>
      <c r="AD1151">
        <v>1</v>
      </c>
      <c r="AE1151">
        <v>0</v>
      </c>
      <c r="AF1151">
        <v>0</v>
      </c>
      <c r="AK1151">
        <v>5</v>
      </c>
      <c r="AL1151">
        <v>0</v>
      </c>
      <c r="AM1151">
        <v>0</v>
      </c>
      <c r="AN1151">
        <v>0</v>
      </c>
      <c r="AP1151">
        <v>2</v>
      </c>
      <c r="AT1151">
        <v>2</v>
      </c>
      <c r="AU1151">
        <v>10</v>
      </c>
      <c r="AV1151">
        <v>307</v>
      </c>
      <c r="AW1151">
        <v>307</v>
      </c>
      <c r="AX1151">
        <v>514</v>
      </c>
      <c r="BA1151">
        <v>1</v>
      </c>
      <c r="BC1151" t="s">
        <v>2396</v>
      </c>
      <c r="BD1151" s="4">
        <v>43283.037499999999</v>
      </c>
      <c r="BE1151" s="4">
        <v>43283.041631944441</v>
      </c>
      <c r="BF1151" s="4">
        <v>43283.041631944441</v>
      </c>
      <c r="BG1151" t="s">
        <v>83</v>
      </c>
      <c r="BH1151" t="s">
        <v>84</v>
      </c>
      <c r="BI1151" t="s">
        <v>85</v>
      </c>
    </row>
    <row r="1152" spans="1:61" x14ac:dyDescent="0.3">
      <c r="A1152" t="str">
        <f>"200210B0100"</f>
        <v>200210B0100</v>
      </c>
      <c r="B1152" t="s">
        <v>2397</v>
      </c>
      <c r="C1152">
        <v>20</v>
      </c>
      <c r="D1152" t="s">
        <v>79</v>
      </c>
      <c r="E1152">
        <v>6</v>
      </c>
      <c r="F1152" t="s">
        <v>2299</v>
      </c>
      <c r="G1152">
        <v>210</v>
      </c>
      <c r="H1152">
        <v>1</v>
      </c>
      <c r="I1152" t="s">
        <v>81</v>
      </c>
      <c r="J1152">
        <v>0</v>
      </c>
      <c r="K1152">
        <v>1</v>
      </c>
      <c r="L1152">
        <v>2</v>
      </c>
      <c r="M1152">
        <v>216</v>
      </c>
      <c r="N1152">
        <v>356</v>
      </c>
      <c r="O1152">
        <v>8</v>
      </c>
      <c r="P1152">
        <v>356</v>
      </c>
      <c r="Q1152">
        <v>65</v>
      </c>
      <c r="R1152">
        <v>62</v>
      </c>
      <c r="S1152">
        <v>6</v>
      </c>
      <c r="T1152">
        <v>11</v>
      </c>
      <c r="U1152">
        <v>3</v>
      </c>
      <c r="V1152">
        <v>5</v>
      </c>
      <c r="W1152">
        <v>31</v>
      </c>
      <c r="X1152">
        <v>7</v>
      </c>
      <c r="Y1152">
        <v>115</v>
      </c>
      <c r="Z1152">
        <v>1</v>
      </c>
      <c r="AA1152">
        <v>1</v>
      </c>
      <c r="AB1152">
        <v>16</v>
      </c>
      <c r="AC1152">
        <v>1</v>
      </c>
      <c r="AD1152">
        <v>0</v>
      </c>
      <c r="AE1152">
        <v>0</v>
      </c>
      <c r="AF1152">
        <v>0</v>
      </c>
      <c r="AK1152">
        <v>2</v>
      </c>
      <c r="AL1152">
        <v>0</v>
      </c>
      <c r="AM1152">
        <v>0</v>
      </c>
      <c r="AN1152">
        <v>1</v>
      </c>
      <c r="AP1152">
        <v>7</v>
      </c>
      <c r="AT1152">
        <v>2</v>
      </c>
      <c r="AU1152">
        <v>20</v>
      </c>
      <c r="AV1152">
        <v>356</v>
      </c>
      <c r="AW1152">
        <v>356</v>
      </c>
      <c r="AX1152">
        <v>549</v>
      </c>
      <c r="BA1152">
        <v>1</v>
      </c>
      <c r="BC1152" t="s">
        <v>2398</v>
      </c>
      <c r="BD1152" s="4">
        <v>43283.087500000001</v>
      </c>
      <c r="BE1152" s="4">
        <v>43283.091840277775</v>
      </c>
      <c r="BF1152" s="4">
        <v>43283.091840277775</v>
      </c>
      <c r="BG1152" t="s">
        <v>83</v>
      </c>
      <c r="BH1152" t="s">
        <v>84</v>
      </c>
      <c r="BI1152" t="s">
        <v>85</v>
      </c>
    </row>
    <row r="1153" spans="1:61" x14ac:dyDescent="0.3">
      <c r="A1153" t="str">
        <f>"200210C0100"</f>
        <v>200210C0100</v>
      </c>
      <c r="B1153" t="s">
        <v>2399</v>
      </c>
      <c r="C1153">
        <v>20</v>
      </c>
      <c r="D1153" t="s">
        <v>79</v>
      </c>
      <c r="E1153">
        <v>6</v>
      </c>
      <c r="F1153" t="s">
        <v>2299</v>
      </c>
      <c r="G1153">
        <v>210</v>
      </c>
      <c r="H1153">
        <v>1</v>
      </c>
      <c r="I1153" t="s">
        <v>89</v>
      </c>
      <c r="J1153">
        <v>0</v>
      </c>
      <c r="K1153">
        <v>1</v>
      </c>
      <c r="L1153">
        <v>2</v>
      </c>
      <c r="AX1153">
        <v>548</v>
      </c>
      <c r="AZ1153" t="s">
        <v>156</v>
      </c>
      <c r="BA1153">
        <v>0</v>
      </c>
      <c r="BC1153" t="s">
        <v>2400</v>
      </c>
      <c r="BD1153" s="4">
        <v>43283.803472222222</v>
      </c>
      <c r="BE1153" s="4">
        <v>43283.805601851855</v>
      </c>
      <c r="BF1153" s="4">
        <v>43283.805601851855</v>
      </c>
      <c r="BG1153" t="s">
        <v>83</v>
      </c>
      <c r="BH1153" t="s">
        <v>84</v>
      </c>
      <c r="BI1153" t="s">
        <v>85</v>
      </c>
    </row>
    <row r="1154" spans="1:61" x14ac:dyDescent="0.3">
      <c r="A1154" t="str">
        <f>"200211B0100"</f>
        <v>200211B0100</v>
      </c>
      <c r="B1154" t="s">
        <v>2401</v>
      </c>
      <c r="C1154">
        <v>20</v>
      </c>
      <c r="D1154" t="s">
        <v>79</v>
      </c>
      <c r="E1154">
        <v>6</v>
      </c>
      <c r="F1154" t="s">
        <v>2299</v>
      </c>
      <c r="G1154">
        <v>211</v>
      </c>
      <c r="H1154">
        <v>1</v>
      </c>
      <c r="I1154" t="s">
        <v>81</v>
      </c>
      <c r="J1154">
        <v>0</v>
      </c>
      <c r="K1154">
        <v>1</v>
      </c>
      <c r="L1154">
        <v>2</v>
      </c>
      <c r="M1154">
        <v>243</v>
      </c>
      <c r="N1154">
        <v>407</v>
      </c>
      <c r="O1154">
        <v>6</v>
      </c>
      <c r="P1154">
        <v>407</v>
      </c>
      <c r="Q1154">
        <v>84</v>
      </c>
      <c r="R1154">
        <v>69</v>
      </c>
      <c r="S1154">
        <v>9</v>
      </c>
      <c r="T1154">
        <v>15</v>
      </c>
      <c r="U1154">
        <v>7</v>
      </c>
      <c r="V1154">
        <v>4</v>
      </c>
      <c r="W1154">
        <v>30</v>
      </c>
      <c r="X1154">
        <v>3</v>
      </c>
      <c r="Y1154">
        <v>146</v>
      </c>
      <c r="Z1154">
        <v>1</v>
      </c>
      <c r="AA1154">
        <v>5</v>
      </c>
      <c r="AB1154">
        <v>11</v>
      </c>
      <c r="AC1154">
        <v>1</v>
      </c>
      <c r="AD1154">
        <v>0</v>
      </c>
      <c r="AE1154">
        <v>0</v>
      </c>
      <c r="AF1154">
        <v>0</v>
      </c>
      <c r="AK1154">
        <v>2</v>
      </c>
      <c r="AL1154">
        <v>2</v>
      </c>
      <c r="AM1154">
        <v>0</v>
      </c>
      <c r="AN1154">
        <v>1</v>
      </c>
      <c r="AP1154">
        <v>2</v>
      </c>
      <c r="AT1154">
        <v>1</v>
      </c>
      <c r="AU1154">
        <v>14</v>
      </c>
      <c r="AV1154">
        <v>407</v>
      </c>
      <c r="AW1154">
        <v>407</v>
      </c>
      <c r="AX1154">
        <v>627</v>
      </c>
      <c r="BA1154">
        <v>1</v>
      </c>
      <c r="BC1154" t="s">
        <v>2402</v>
      </c>
      <c r="BD1154" s="4">
        <v>43283.020833333336</v>
      </c>
      <c r="BE1154" s="4">
        <v>43283.026076388887</v>
      </c>
      <c r="BF1154" s="4">
        <v>43283.026076388887</v>
      </c>
      <c r="BG1154" t="s">
        <v>83</v>
      </c>
      <c r="BH1154" t="s">
        <v>84</v>
      </c>
      <c r="BI1154" t="s">
        <v>85</v>
      </c>
    </row>
    <row r="1155" spans="1:61" x14ac:dyDescent="0.3">
      <c r="A1155" t="str">
        <f>"200212B0100"</f>
        <v>200212B0100</v>
      </c>
      <c r="B1155" t="s">
        <v>2403</v>
      </c>
      <c r="C1155">
        <v>20</v>
      </c>
      <c r="D1155" t="s">
        <v>79</v>
      </c>
      <c r="E1155">
        <v>6</v>
      </c>
      <c r="F1155" t="s">
        <v>2299</v>
      </c>
      <c r="G1155">
        <v>212</v>
      </c>
      <c r="H1155">
        <v>1</v>
      </c>
      <c r="I1155" t="s">
        <v>81</v>
      </c>
      <c r="J1155">
        <v>0</v>
      </c>
      <c r="K1155">
        <v>1</v>
      </c>
      <c r="L1155">
        <v>2</v>
      </c>
      <c r="M1155">
        <v>242</v>
      </c>
      <c r="N1155">
        <v>374</v>
      </c>
      <c r="O1155">
        <v>7</v>
      </c>
      <c r="P1155">
        <v>377</v>
      </c>
      <c r="Q1155">
        <v>58</v>
      </c>
      <c r="R1155">
        <v>69</v>
      </c>
      <c r="S1155">
        <v>12</v>
      </c>
      <c r="T1155">
        <v>14</v>
      </c>
      <c r="U1155">
        <v>7</v>
      </c>
      <c r="V1155">
        <v>4</v>
      </c>
      <c r="W1155">
        <v>12</v>
      </c>
      <c r="X1155">
        <v>16</v>
      </c>
      <c r="Y1155">
        <v>141</v>
      </c>
      <c r="Z1155">
        <v>5</v>
      </c>
      <c r="AA1155">
        <v>3</v>
      </c>
      <c r="AB1155">
        <v>12</v>
      </c>
      <c r="AC1155">
        <v>1</v>
      </c>
      <c r="AD1155">
        <v>0</v>
      </c>
      <c r="AE1155">
        <v>0</v>
      </c>
      <c r="AF1155">
        <v>0</v>
      </c>
      <c r="AK1155">
        <v>4</v>
      </c>
      <c r="AL1155">
        <v>0</v>
      </c>
      <c r="AM1155">
        <v>0</v>
      </c>
      <c r="AN1155">
        <v>1</v>
      </c>
      <c r="AP1155">
        <v>2</v>
      </c>
      <c r="AT1155">
        <v>2</v>
      </c>
      <c r="AU1155">
        <v>14</v>
      </c>
      <c r="AV1155">
        <v>377</v>
      </c>
      <c r="AW1155">
        <v>377</v>
      </c>
      <c r="AX1155">
        <v>594</v>
      </c>
      <c r="BA1155">
        <v>1</v>
      </c>
      <c r="BC1155" t="s">
        <v>2404</v>
      </c>
      <c r="BD1155" s="4">
        <v>43283.034722222219</v>
      </c>
      <c r="BE1155" s="4">
        <v>43283.039375</v>
      </c>
      <c r="BF1155" s="4">
        <v>43283.039375</v>
      </c>
      <c r="BG1155" t="s">
        <v>83</v>
      </c>
      <c r="BH1155" t="s">
        <v>84</v>
      </c>
      <c r="BI1155" t="s">
        <v>85</v>
      </c>
    </row>
    <row r="1156" spans="1:61" x14ac:dyDescent="0.3">
      <c r="A1156" t="str">
        <f>"200212C0100"</f>
        <v>200212C0100</v>
      </c>
      <c r="B1156" t="s">
        <v>2405</v>
      </c>
      <c r="C1156">
        <v>20</v>
      </c>
      <c r="D1156" t="s">
        <v>79</v>
      </c>
      <c r="E1156">
        <v>6</v>
      </c>
      <c r="F1156" t="s">
        <v>2299</v>
      </c>
      <c r="G1156">
        <v>212</v>
      </c>
      <c r="H1156">
        <v>1</v>
      </c>
      <c r="I1156" t="s">
        <v>89</v>
      </c>
      <c r="J1156">
        <v>0</v>
      </c>
      <c r="K1156">
        <v>1</v>
      </c>
      <c r="L1156">
        <v>2</v>
      </c>
      <c r="M1156">
        <v>262</v>
      </c>
      <c r="N1156">
        <v>351</v>
      </c>
      <c r="O1156">
        <v>3</v>
      </c>
      <c r="P1156">
        <v>351</v>
      </c>
      <c r="Q1156">
        <v>44</v>
      </c>
      <c r="R1156">
        <v>54</v>
      </c>
      <c r="S1156">
        <v>6</v>
      </c>
      <c r="T1156">
        <v>10</v>
      </c>
      <c r="U1156">
        <v>5</v>
      </c>
      <c r="V1156">
        <v>5</v>
      </c>
      <c r="W1156">
        <v>10</v>
      </c>
      <c r="X1156">
        <v>6</v>
      </c>
      <c r="Y1156">
        <v>164</v>
      </c>
      <c r="Z1156">
        <v>1</v>
      </c>
      <c r="AA1156">
        <v>1</v>
      </c>
      <c r="AB1156">
        <v>18</v>
      </c>
      <c r="AC1156">
        <v>0</v>
      </c>
      <c r="AD1156">
        <v>0</v>
      </c>
      <c r="AE1156">
        <v>0</v>
      </c>
      <c r="AF1156">
        <v>0</v>
      </c>
      <c r="AK1156">
        <v>1</v>
      </c>
      <c r="AL1156">
        <v>1</v>
      </c>
      <c r="AM1156">
        <v>0</v>
      </c>
      <c r="AN1156">
        <v>0</v>
      </c>
      <c r="AP1156">
        <v>5</v>
      </c>
      <c r="AT1156">
        <v>0</v>
      </c>
      <c r="AU1156">
        <v>20</v>
      </c>
      <c r="AV1156">
        <v>351</v>
      </c>
      <c r="AW1156">
        <v>351</v>
      </c>
      <c r="AX1156">
        <v>593</v>
      </c>
      <c r="BA1156">
        <v>1</v>
      </c>
      <c r="BC1156" t="s">
        <v>2406</v>
      </c>
      <c r="BD1156" s="4">
        <v>43283.035416666666</v>
      </c>
      <c r="BE1156" s="4">
        <v>43283.040023148147</v>
      </c>
      <c r="BF1156" s="4">
        <v>43283.040023148147</v>
      </c>
      <c r="BG1156" t="s">
        <v>83</v>
      </c>
      <c r="BH1156" t="s">
        <v>84</v>
      </c>
      <c r="BI1156" t="s">
        <v>85</v>
      </c>
    </row>
    <row r="1157" spans="1:61" x14ac:dyDescent="0.3">
      <c r="A1157" t="str">
        <f>"200212S0100"</f>
        <v>200212S0100</v>
      </c>
      <c r="B1157" t="s">
        <v>2407</v>
      </c>
      <c r="C1157">
        <v>20</v>
      </c>
      <c r="D1157" t="s">
        <v>79</v>
      </c>
      <c r="E1157">
        <v>6</v>
      </c>
      <c r="F1157" t="s">
        <v>2299</v>
      </c>
      <c r="G1157">
        <v>212</v>
      </c>
      <c r="H1157">
        <v>1</v>
      </c>
      <c r="I1157" t="s">
        <v>104</v>
      </c>
      <c r="J1157">
        <v>0</v>
      </c>
      <c r="K1157">
        <v>1</v>
      </c>
      <c r="L1157">
        <v>3</v>
      </c>
      <c r="M1157">
        <v>318</v>
      </c>
      <c r="N1157">
        <v>78</v>
      </c>
      <c r="O1157">
        <v>0</v>
      </c>
      <c r="P1157">
        <v>78</v>
      </c>
      <c r="Q1157">
        <v>10</v>
      </c>
      <c r="R1157">
        <v>10</v>
      </c>
      <c r="S1157">
        <v>5</v>
      </c>
      <c r="T1157">
        <v>3</v>
      </c>
      <c r="U1157">
        <v>5</v>
      </c>
      <c r="V1157">
        <v>0</v>
      </c>
      <c r="W1157">
        <v>1</v>
      </c>
      <c r="X1157">
        <v>0</v>
      </c>
      <c r="Y1157">
        <v>37</v>
      </c>
      <c r="Z1157">
        <v>1</v>
      </c>
      <c r="AA1157">
        <v>0</v>
      </c>
      <c r="AB1157">
        <v>1</v>
      </c>
      <c r="AC1157">
        <v>0</v>
      </c>
      <c r="AD1157">
        <v>1</v>
      </c>
      <c r="AE1157">
        <v>0</v>
      </c>
      <c r="AF1157">
        <v>0</v>
      </c>
      <c r="AK1157">
        <v>1</v>
      </c>
      <c r="AL1157">
        <v>0</v>
      </c>
      <c r="AM1157">
        <v>0</v>
      </c>
      <c r="AN1157">
        <v>0</v>
      </c>
      <c r="AP1157">
        <v>0</v>
      </c>
      <c r="AT1157">
        <v>0</v>
      </c>
      <c r="AU1157">
        <v>3</v>
      </c>
      <c r="AV1157">
        <v>78</v>
      </c>
      <c r="AW1157">
        <v>78</v>
      </c>
      <c r="AX1157">
        <v>0</v>
      </c>
      <c r="BA1157">
        <v>1</v>
      </c>
      <c r="BC1157" t="s">
        <v>2408</v>
      </c>
      <c r="BD1157" s="4">
        <v>43283.102777777778</v>
      </c>
      <c r="BE1157" s="4">
        <v>43283.108217592591</v>
      </c>
      <c r="BF1157" s="4">
        <v>43283.108217592591</v>
      </c>
      <c r="BG1157" t="s">
        <v>83</v>
      </c>
      <c r="BH1157" t="s">
        <v>84</v>
      </c>
      <c r="BI1157" t="s">
        <v>85</v>
      </c>
    </row>
    <row r="1158" spans="1:61" x14ac:dyDescent="0.3">
      <c r="A1158" t="str">
        <f>"200213B0100"</f>
        <v>200213B0100</v>
      </c>
      <c r="B1158" t="s">
        <v>2409</v>
      </c>
      <c r="C1158">
        <v>20</v>
      </c>
      <c r="D1158" t="s">
        <v>79</v>
      </c>
      <c r="E1158">
        <v>6</v>
      </c>
      <c r="F1158" t="s">
        <v>2299</v>
      </c>
      <c r="G1158">
        <v>213</v>
      </c>
      <c r="H1158">
        <v>1</v>
      </c>
      <c r="I1158" t="s">
        <v>81</v>
      </c>
      <c r="J1158">
        <v>0</v>
      </c>
      <c r="K1158">
        <v>1</v>
      </c>
      <c r="L1158">
        <v>2</v>
      </c>
      <c r="M1158">
        <v>180</v>
      </c>
      <c r="N1158">
        <v>345</v>
      </c>
      <c r="O1158">
        <v>7</v>
      </c>
      <c r="P1158">
        <v>345</v>
      </c>
      <c r="Q1158">
        <v>60</v>
      </c>
      <c r="R1158">
        <v>57</v>
      </c>
      <c r="S1158">
        <v>10</v>
      </c>
      <c r="T1158">
        <v>7</v>
      </c>
      <c r="U1158">
        <v>8</v>
      </c>
      <c r="V1158">
        <v>4</v>
      </c>
      <c r="W1158">
        <v>12</v>
      </c>
      <c r="X1158">
        <v>11</v>
      </c>
      <c r="Y1158">
        <v>129</v>
      </c>
      <c r="Z1158">
        <v>2</v>
      </c>
      <c r="AA1158">
        <v>13</v>
      </c>
      <c r="AB1158">
        <v>15</v>
      </c>
      <c r="AC1158">
        <v>1</v>
      </c>
      <c r="AD1158">
        <v>0</v>
      </c>
      <c r="AE1158">
        <v>0</v>
      </c>
      <c r="AF1158">
        <v>0</v>
      </c>
      <c r="AK1158">
        <v>2</v>
      </c>
      <c r="AL1158">
        <v>0</v>
      </c>
      <c r="AM1158">
        <v>0</v>
      </c>
      <c r="AN1158">
        <v>0</v>
      </c>
      <c r="AP1158">
        <v>0</v>
      </c>
      <c r="AT1158">
        <v>1</v>
      </c>
      <c r="AU1158">
        <v>13</v>
      </c>
      <c r="AV1158">
        <v>345</v>
      </c>
      <c r="AW1158">
        <v>345</v>
      </c>
      <c r="AX1158">
        <v>502</v>
      </c>
      <c r="BA1158">
        <v>1</v>
      </c>
      <c r="BC1158" t="s">
        <v>2410</v>
      </c>
      <c r="BD1158" s="4">
        <v>43283.06527777778</v>
      </c>
      <c r="BE1158" s="4">
        <v>43283.071481481478</v>
      </c>
      <c r="BF1158" s="4">
        <v>43283.071481481478</v>
      </c>
      <c r="BG1158" t="s">
        <v>83</v>
      </c>
      <c r="BH1158" t="s">
        <v>84</v>
      </c>
      <c r="BI1158" t="s">
        <v>85</v>
      </c>
    </row>
    <row r="1159" spans="1:61" x14ac:dyDescent="0.3">
      <c r="A1159" t="str">
        <f>"200213C0100"</f>
        <v>200213C0100</v>
      </c>
      <c r="B1159" t="s">
        <v>2411</v>
      </c>
      <c r="C1159">
        <v>20</v>
      </c>
      <c r="D1159" t="s">
        <v>79</v>
      </c>
      <c r="E1159">
        <v>6</v>
      </c>
      <c r="F1159" t="s">
        <v>2299</v>
      </c>
      <c r="G1159">
        <v>213</v>
      </c>
      <c r="H1159">
        <v>1</v>
      </c>
      <c r="I1159" t="s">
        <v>89</v>
      </c>
      <c r="J1159">
        <v>0</v>
      </c>
      <c r="K1159">
        <v>1</v>
      </c>
      <c r="L1159">
        <v>2</v>
      </c>
      <c r="M1159">
        <v>158</v>
      </c>
      <c r="N1159">
        <v>366</v>
      </c>
      <c r="O1159">
        <v>9</v>
      </c>
      <c r="P1159">
        <v>366</v>
      </c>
      <c r="Q1159">
        <v>76</v>
      </c>
      <c r="R1159">
        <v>75</v>
      </c>
      <c r="S1159">
        <v>9</v>
      </c>
      <c r="T1159">
        <v>8</v>
      </c>
      <c r="U1159">
        <v>0</v>
      </c>
      <c r="V1159">
        <v>7</v>
      </c>
      <c r="W1159">
        <v>26</v>
      </c>
      <c r="X1159">
        <v>10</v>
      </c>
      <c r="Y1159">
        <v>115</v>
      </c>
      <c r="Z1159">
        <v>1</v>
      </c>
      <c r="AA1159">
        <v>11</v>
      </c>
      <c r="AB1159">
        <v>9</v>
      </c>
      <c r="AC1159">
        <v>0</v>
      </c>
      <c r="AD1159">
        <v>0</v>
      </c>
      <c r="AE1159">
        <v>0</v>
      </c>
      <c r="AF1159">
        <v>0</v>
      </c>
      <c r="AK1159">
        <v>2</v>
      </c>
      <c r="AL1159">
        <v>0</v>
      </c>
      <c r="AM1159">
        <v>0</v>
      </c>
      <c r="AN1159">
        <v>0</v>
      </c>
      <c r="AP1159">
        <v>0</v>
      </c>
      <c r="AT1159">
        <v>0</v>
      </c>
      <c r="AU1159">
        <v>17</v>
      </c>
      <c r="AV1159">
        <v>366</v>
      </c>
      <c r="AW1159">
        <v>366</v>
      </c>
      <c r="AX1159">
        <v>501</v>
      </c>
      <c r="BA1159">
        <v>1</v>
      </c>
      <c r="BC1159" t="s">
        <v>2412</v>
      </c>
      <c r="BD1159" s="4">
        <v>43283.067361111112</v>
      </c>
      <c r="BE1159" s="4">
        <v>43283.071250000001</v>
      </c>
      <c r="BF1159" s="4">
        <v>43283.071250000001</v>
      </c>
      <c r="BG1159" t="s">
        <v>83</v>
      </c>
      <c r="BH1159" t="s">
        <v>84</v>
      </c>
      <c r="BI1159" t="s">
        <v>85</v>
      </c>
    </row>
    <row r="1160" spans="1:61" x14ac:dyDescent="0.3">
      <c r="A1160" t="str">
        <f>"200214B0100"</f>
        <v>200214B0100</v>
      </c>
      <c r="B1160" t="s">
        <v>2413</v>
      </c>
      <c r="C1160">
        <v>20</v>
      </c>
      <c r="D1160" t="s">
        <v>79</v>
      </c>
      <c r="E1160">
        <v>6</v>
      </c>
      <c r="F1160" t="s">
        <v>2299</v>
      </c>
      <c r="G1160">
        <v>214</v>
      </c>
      <c r="H1160">
        <v>1</v>
      </c>
      <c r="I1160" t="s">
        <v>81</v>
      </c>
      <c r="J1160">
        <v>0</v>
      </c>
      <c r="K1160">
        <v>2</v>
      </c>
      <c r="L1160">
        <v>2</v>
      </c>
      <c r="M1160">
        <v>242</v>
      </c>
      <c r="N1160">
        <v>418</v>
      </c>
      <c r="O1160">
        <v>0</v>
      </c>
      <c r="P1160">
        <v>418</v>
      </c>
      <c r="Q1160">
        <v>94</v>
      </c>
      <c r="R1160">
        <v>69</v>
      </c>
      <c r="S1160">
        <v>9</v>
      </c>
      <c r="T1160">
        <v>22</v>
      </c>
      <c r="U1160">
        <v>9</v>
      </c>
      <c r="V1160">
        <v>2</v>
      </c>
      <c r="W1160">
        <v>24</v>
      </c>
      <c r="X1160">
        <v>6</v>
      </c>
      <c r="Y1160">
        <v>131</v>
      </c>
      <c r="Z1160">
        <v>1</v>
      </c>
      <c r="AA1160">
        <v>5</v>
      </c>
      <c r="AB1160">
        <v>11</v>
      </c>
      <c r="AC1160">
        <v>1</v>
      </c>
      <c r="AD1160">
        <v>0</v>
      </c>
      <c r="AE1160">
        <v>0</v>
      </c>
      <c r="AF1160">
        <v>0</v>
      </c>
      <c r="AK1160">
        <v>0</v>
      </c>
      <c r="AL1160">
        <v>0</v>
      </c>
      <c r="AM1160">
        <v>0</v>
      </c>
      <c r="AN1160">
        <v>1</v>
      </c>
      <c r="AP1160">
        <v>1</v>
      </c>
      <c r="AT1160">
        <v>1</v>
      </c>
      <c r="AU1160">
        <v>31</v>
      </c>
      <c r="AV1160">
        <v>418</v>
      </c>
      <c r="AW1160">
        <v>418</v>
      </c>
      <c r="AX1160">
        <v>637</v>
      </c>
      <c r="BA1160">
        <v>1</v>
      </c>
      <c r="BC1160" t="s">
        <v>2414</v>
      </c>
      <c r="BD1160" s="4">
        <v>43283.104861111111</v>
      </c>
      <c r="BE1160" s="4">
        <v>43283.112453703703</v>
      </c>
      <c r="BF1160" s="4">
        <v>43283.112453703703</v>
      </c>
      <c r="BG1160" t="s">
        <v>83</v>
      </c>
      <c r="BH1160" t="s">
        <v>84</v>
      </c>
      <c r="BI1160" t="s">
        <v>85</v>
      </c>
    </row>
    <row r="1161" spans="1:61" x14ac:dyDescent="0.3">
      <c r="A1161" t="str">
        <f>"200214E0100"</f>
        <v>200214E0100</v>
      </c>
      <c r="B1161" s="2" t="s">
        <v>2415</v>
      </c>
      <c r="C1161">
        <v>20</v>
      </c>
      <c r="D1161" t="s">
        <v>79</v>
      </c>
      <c r="E1161">
        <v>6</v>
      </c>
      <c r="F1161" t="s">
        <v>2299</v>
      </c>
      <c r="G1161">
        <v>214</v>
      </c>
      <c r="H1161">
        <v>1</v>
      </c>
      <c r="I1161" t="s">
        <v>145</v>
      </c>
      <c r="J1161">
        <v>0</v>
      </c>
      <c r="K1161">
        <v>2</v>
      </c>
      <c r="L1161">
        <v>2</v>
      </c>
      <c r="M1161">
        <v>293</v>
      </c>
      <c r="N1161">
        <v>384</v>
      </c>
      <c r="O1161">
        <v>7</v>
      </c>
      <c r="P1161">
        <v>389</v>
      </c>
      <c r="Q1161">
        <v>36</v>
      </c>
      <c r="R1161">
        <v>65</v>
      </c>
      <c r="S1161">
        <v>11</v>
      </c>
      <c r="T1161">
        <v>26</v>
      </c>
      <c r="U1161">
        <v>14</v>
      </c>
      <c r="V1161">
        <v>9</v>
      </c>
      <c r="W1161">
        <v>22</v>
      </c>
      <c r="X1161">
        <v>6</v>
      </c>
      <c r="Y1161">
        <v>159</v>
      </c>
      <c r="Z1161">
        <v>11</v>
      </c>
      <c r="AA1161">
        <v>0</v>
      </c>
      <c r="AB1161">
        <v>6</v>
      </c>
      <c r="AC1161">
        <v>2</v>
      </c>
      <c r="AD1161">
        <v>0</v>
      </c>
      <c r="AE1161">
        <v>0</v>
      </c>
      <c r="AF1161">
        <v>0</v>
      </c>
      <c r="AK1161">
        <v>1</v>
      </c>
      <c r="AL1161">
        <v>1</v>
      </c>
      <c r="AM1161">
        <v>0</v>
      </c>
      <c r="AN1161">
        <v>1</v>
      </c>
      <c r="AP1161">
        <v>5</v>
      </c>
      <c r="AT1161">
        <v>1</v>
      </c>
      <c r="AU1161">
        <v>13</v>
      </c>
      <c r="AV1161">
        <v>389</v>
      </c>
      <c r="AW1161">
        <v>389</v>
      </c>
      <c r="AX1161">
        <v>657</v>
      </c>
      <c r="BA1161">
        <v>1</v>
      </c>
      <c r="BC1161" t="s">
        <v>2416</v>
      </c>
      <c r="BD1161" s="4">
        <v>43283.083333333336</v>
      </c>
      <c r="BE1161" s="4">
        <v>43283.087048611109</v>
      </c>
      <c r="BF1161" s="4">
        <v>43283.087048611109</v>
      </c>
      <c r="BG1161" t="s">
        <v>83</v>
      </c>
      <c r="BH1161" t="s">
        <v>84</v>
      </c>
      <c r="BI1161" t="s">
        <v>85</v>
      </c>
    </row>
    <row r="1162" spans="1:61" x14ac:dyDescent="0.3">
      <c r="A1162" t="str">
        <f>"200214E0101"</f>
        <v>200214E0101</v>
      </c>
      <c r="B1162" s="2" t="s">
        <v>2417</v>
      </c>
      <c r="C1162">
        <v>20</v>
      </c>
      <c r="D1162" t="s">
        <v>79</v>
      </c>
      <c r="E1162">
        <v>6</v>
      </c>
      <c r="F1162" t="s">
        <v>2299</v>
      </c>
      <c r="G1162">
        <v>214</v>
      </c>
      <c r="H1162">
        <v>1</v>
      </c>
      <c r="I1162" t="s">
        <v>145</v>
      </c>
      <c r="J1162">
        <v>1</v>
      </c>
      <c r="K1162">
        <v>2</v>
      </c>
      <c r="L1162">
        <v>2</v>
      </c>
      <c r="M1162">
        <v>308</v>
      </c>
      <c r="N1162">
        <v>372</v>
      </c>
      <c r="O1162">
        <v>5</v>
      </c>
      <c r="P1162">
        <v>368</v>
      </c>
      <c r="Q1162">
        <v>22</v>
      </c>
      <c r="R1162">
        <v>74</v>
      </c>
      <c r="S1162">
        <v>4</v>
      </c>
      <c r="T1162">
        <v>18</v>
      </c>
      <c r="U1162">
        <v>12</v>
      </c>
      <c r="V1162">
        <v>2</v>
      </c>
      <c r="W1162">
        <v>16</v>
      </c>
      <c r="X1162">
        <v>7</v>
      </c>
      <c r="Y1162">
        <v>165</v>
      </c>
      <c r="Z1162">
        <v>13</v>
      </c>
      <c r="AA1162">
        <v>0</v>
      </c>
      <c r="AB1162">
        <v>11</v>
      </c>
      <c r="AC1162">
        <v>0</v>
      </c>
      <c r="AD1162">
        <v>0</v>
      </c>
      <c r="AE1162">
        <v>0</v>
      </c>
      <c r="AF1162">
        <v>6</v>
      </c>
      <c r="AK1162">
        <v>0</v>
      </c>
      <c r="AL1162">
        <v>0</v>
      </c>
      <c r="AM1162">
        <v>0</v>
      </c>
      <c r="AN1162">
        <v>0</v>
      </c>
      <c r="AP1162">
        <v>2</v>
      </c>
      <c r="AT1162">
        <v>0</v>
      </c>
      <c r="AU1162">
        <v>16</v>
      </c>
      <c r="AV1162">
        <v>368</v>
      </c>
      <c r="AW1162">
        <v>368</v>
      </c>
      <c r="AX1162">
        <v>657</v>
      </c>
      <c r="BA1162">
        <v>1</v>
      </c>
      <c r="BC1162" t="s">
        <v>2418</v>
      </c>
      <c r="BD1162" s="4">
        <v>43283.05972222222</v>
      </c>
      <c r="BE1162" s="4">
        <v>43283.073263888888</v>
      </c>
      <c r="BF1162" s="4">
        <v>43283.073263888888</v>
      </c>
      <c r="BG1162" t="s">
        <v>83</v>
      </c>
      <c r="BH1162" t="s">
        <v>84</v>
      </c>
      <c r="BI1162" t="s">
        <v>85</v>
      </c>
    </row>
    <row r="1163" spans="1:61" x14ac:dyDescent="0.3">
      <c r="A1163" t="str">
        <f>"200214E0200"</f>
        <v>200214E0200</v>
      </c>
      <c r="B1163" s="2" t="s">
        <v>2419</v>
      </c>
      <c r="C1163">
        <v>20</v>
      </c>
      <c r="D1163" t="s">
        <v>79</v>
      </c>
      <c r="E1163">
        <v>6</v>
      </c>
      <c r="F1163" t="s">
        <v>2299</v>
      </c>
      <c r="G1163">
        <v>214</v>
      </c>
      <c r="H1163">
        <v>2</v>
      </c>
      <c r="I1163" t="s">
        <v>145</v>
      </c>
      <c r="J1163">
        <v>0</v>
      </c>
      <c r="K1163">
        <v>2</v>
      </c>
      <c r="L1163">
        <v>2</v>
      </c>
      <c r="M1163">
        <v>180</v>
      </c>
      <c r="N1163">
        <v>247</v>
      </c>
      <c r="O1163">
        <v>5</v>
      </c>
      <c r="P1163">
        <v>0</v>
      </c>
      <c r="Q1163">
        <v>26</v>
      </c>
      <c r="R1163">
        <v>63</v>
      </c>
      <c r="S1163">
        <v>2</v>
      </c>
      <c r="T1163">
        <v>20</v>
      </c>
      <c r="U1163">
        <v>9</v>
      </c>
      <c r="V1163">
        <v>3</v>
      </c>
      <c r="W1163">
        <v>3</v>
      </c>
      <c r="X1163">
        <v>4</v>
      </c>
      <c r="Y1163">
        <v>89</v>
      </c>
      <c r="Z1163">
        <v>7</v>
      </c>
      <c r="AA1163">
        <v>1</v>
      </c>
      <c r="AB1163">
        <v>6</v>
      </c>
      <c r="AC1163">
        <v>0</v>
      </c>
      <c r="AD1163">
        <v>0</v>
      </c>
      <c r="AE1163">
        <v>0</v>
      </c>
      <c r="AF1163">
        <v>0</v>
      </c>
      <c r="AK1163">
        <v>2</v>
      </c>
      <c r="AL1163">
        <v>0</v>
      </c>
      <c r="AM1163">
        <v>0</v>
      </c>
      <c r="AN1163">
        <v>1</v>
      </c>
      <c r="AP1163">
        <v>1</v>
      </c>
      <c r="AT1163">
        <v>0</v>
      </c>
      <c r="AU1163">
        <v>10</v>
      </c>
      <c r="AV1163" t="s">
        <v>100</v>
      </c>
      <c r="AW1163">
        <v>247</v>
      </c>
      <c r="AX1163">
        <v>404</v>
      </c>
      <c r="BA1163">
        <v>1</v>
      </c>
      <c r="BC1163" t="s">
        <v>2420</v>
      </c>
      <c r="BD1163" s="4">
        <v>43283.063194444447</v>
      </c>
      <c r="BE1163" s="4">
        <v>43283.070381944446</v>
      </c>
      <c r="BF1163" s="4">
        <v>43283.070381944446</v>
      </c>
      <c r="BG1163" t="s">
        <v>83</v>
      </c>
      <c r="BH1163" t="s">
        <v>84</v>
      </c>
      <c r="BI1163" t="s">
        <v>85</v>
      </c>
    </row>
    <row r="1164" spans="1:61" x14ac:dyDescent="0.3">
      <c r="A1164" t="str">
        <f>"200215B0100"</f>
        <v>200215B0100</v>
      </c>
      <c r="B1164" t="s">
        <v>2421</v>
      </c>
      <c r="C1164">
        <v>20</v>
      </c>
      <c r="D1164" t="s">
        <v>79</v>
      </c>
      <c r="E1164">
        <v>6</v>
      </c>
      <c r="F1164" t="s">
        <v>2299</v>
      </c>
      <c r="G1164">
        <v>215</v>
      </c>
      <c r="H1164">
        <v>1</v>
      </c>
      <c r="I1164" t="s">
        <v>81</v>
      </c>
      <c r="J1164">
        <v>0</v>
      </c>
      <c r="K1164">
        <v>1</v>
      </c>
      <c r="L1164">
        <v>2</v>
      </c>
      <c r="M1164">
        <v>140</v>
      </c>
      <c r="N1164">
        <v>6</v>
      </c>
      <c r="O1164">
        <v>6</v>
      </c>
      <c r="P1164">
        <v>259</v>
      </c>
      <c r="Q1164">
        <v>65</v>
      </c>
      <c r="R1164">
        <v>54</v>
      </c>
      <c r="S1164">
        <v>5</v>
      </c>
      <c r="T1164">
        <v>5</v>
      </c>
      <c r="U1164">
        <v>3</v>
      </c>
      <c r="V1164">
        <v>3</v>
      </c>
      <c r="W1164">
        <v>8</v>
      </c>
      <c r="X1164">
        <v>3</v>
      </c>
      <c r="Y1164">
        <v>89</v>
      </c>
      <c r="Z1164">
        <v>3</v>
      </c>
      <c r="AA1164">
        <v>0</v>
      </c>
      <c r="AB1164">
        <v>4</v>
      </c>
      <c r="AC1164">
        <v>1</v>
      </c>
      <c r="AD1164">
        <v>0</v>
      </c>
      <c r="AE1164">
        <v>0</v>
      </c>
      <c r="AF1164">
        <v>0</v>
      </c>
      <c r="AK1164">
        <v>1</v>
      </c>
      <c r="AL1164">
        <v>0</v>
      </c>
      <c r="AM1164">
        <v>0</v>
      </c>
      <c r="AN1164">
        <v>0</v>
      </c>
      <c r="AP1164">
        <v>3</v>
      </c>
      <c r="AT1164">
        <v>0</v>
      </c>
      <c r="AU1164">
        <v>12</v>
      </c>
      <c r="AV1164">
        <v>259</v>
      </c>
      <c r="AW1164">
        <v>259</v>
      </c>
      <c r="AX1164">
        <v>376</v>
      </c>
      <c r="BA1164">
        <v>1</v>
      </c>
      <c r="BC1164" t="s">
        <v>2422</v>
      </c>
      <c r="BD1164" s="4">
        <v>43283.035416666666</v>
      </c>
      <c r="BE1164" s="4">
        <v>43283.04011574074</v>
      </c>
      <c r="BF1164" s="4">
        <v>43283.04011574074</v>
      </c>
      <c r="BG1164" t="s">
        <v>83</v>
      </c>
      <c r="BH1164" t="s">
        <v>84</v>
      </c>
      <c r="BI1164" t="s">
        <v>85</v>
      </c>
    </row>
    <row r="1165" spans="1:61" x14ac:dyDescent="0.3">
      <c r="A1165" t="str">
        <f>"200215C0100"</f>
        <v>200215C0100</v>
      </c>
      <c r="B1165" t="s">
        <v>2423</v>
      </c>
      <c r="C1165">
        <v>20</v>
      </c>
      <c r="D1165" t="s">
        <v>79</v>
      </c>
      <c r="E1165">
        <v>6</v>
      </c>
      <c r="F1165" t="s">
        <v>2299</v>
      </c>
      <c r="G1165">
        <v>215</v>
      </c>
      <c r="H1165">
        <v>1</v>
      </c>
      <c r="I1165" t="s">
        <v>89</v>
      </c>
      <c r="J1165">
        <v>0</v>
      </c>
      <c r="K1165">
        <v>1</v>
      </c>
      <c r="L1165">
        <v>2</v>
      </c>
      <c r="M1165">
        <v>149</v>
      </c>
      <c r="N1165">
        <v>250</v>
      </c>
      <c r="O1165">
        <v>7</v>
      </c>
      <c r="P1165">
        <v>250</v>
      </c>
      <c r="Q1165">
        <v>44</v>
      </c>
      <c r="R1165">
        <v>55</v>
      </c>
      <c r="S1165">
        <v>5</v>
      </c>
      <c r="T1165">
        <v>8</v>
      </c>
      <c r="U1165">
        <v>2</v>
      </c>
      <c r="V1165">
        <v>5</v>
      </c>
      <c r="W1165">
        <v>10</v>
      </c>
      <c r="X1165">
        <v>3</v>
      </c>
      <c r="Y1165">
        <v>84</v>
      </c>
      <c r="Z1165">
        <v>1</v>
      </c>
      <c r="AA1165">
        <v>0</v>
      </c>
      <c r="AB1165">
        <v>6</v>
      </c>
      <c r="AC1165">
        <v>1</v>
      </c>
      <c r="AD1165">
        <v>0</v>
      </c>
      <c r="AE1165">
        <v>0</v>
      </c>
      <c r="AF1165">
        <v>0</v>
      </c>
      <c r="AK1165">
        <v>2</v>
      </c>
      <c r="AL1165">
        <v>0</v>
      </c>
      <c r="AM1165">
        <v>0</v>
      </c>
      <c r="AN1165">
        <v>0</v>
      </c>
      <c r="AP1165">
        <v>1</v>
      </c>
      <c r="AT1165">
        <v>0</v>
      </c>
      <c r="AU1165">
        <v>23</v>
      </c>
      <c r="AV1165">
        <v>250</v>
      </c>
      <c r="AW1165">
        <v>250</v>
      </c>
      <c r="AX1165">
        <v>376</v>
      </c>
      <c r="BA1165">
        <v>1</v>
      </c>
      <c r="BC1165" t="s">
        <v>2424</v>
      </c>
      <c r="BD1165" s="4">
        <v>43283.034722222219</v>
      </c>
      <c r="BE1165" s="4">
        <v>43283.040324074071</v>
      </c>
      <c r="BF1165" s="4">
        <v>43283.040324074071</v>
      </c>
      <c r="BG1165" t="s">
        <v>83</v>
      </c>
      <c r="BH1165" t="s">
        <v>84</v>
      </c>
      <c r="BI1165" t="s">
        <v>85</v>
      </c>
    </row>
    <row r="1166" spans="1:61" x14ac:dyDescent="0.3">
      <c r="A1166" t="str">
        <f>"200216B0100"</f>
        <v>200216B0100</v>
      </c>
      <c r="B1166" t="s">
        <v>2425</v>
      </c>
      <c r="C1166">
        <v>20</v>
      </c>
      <c r="D1166" t="s">
        <v>79</v>
      </c>
      <c r="E1166">
        <v>6</v>
      </c>
      <c r="F1166" t="s">
        <v>2299</v>
      </c>
      <c r="G1166">
        <v>216</v>
      </c>
      <c r="H1166">
        <v>1</v>
      </c>
      <c r="I1166" t="s">
        <v>81</v>
      </c>
      <c r="J1166">
        <v>0</v>
      </c>
      <c r="K1166">
        <v>2</v>
      </c>
      <c r="L1166">
        <v>2</v>
      </c>
      <c r="M1166">
        <v>330</v>
      </c>
      <c r="N1166">
        <v>428</v>
      </c>
      <c r="O1166">
        <v>7</v>
      </c>
      <c r="P1166">
        <v>428</v>
      </c>
      <c r="Q1166">
        <v>64</v>
      </c>
      <c r="R1166">
        <v>63</v>
      </c>
      <c r="S1166">
        <v>18</v>
      </c>
      <c r="T1166">
        <v>18</v>
      </c>
      <c r="U1166">
        <v>10</v>
      </c>
      <c r="V1166">
        <v>6</v>
      </c>
      <c r="W1166">
        <v>17</v>
      </c>
      <c r="X1166">
        <v>12</v>
      </c>
      <c r="Y1166">
        <v>178</v>
      </c>
      <c r="Z1166">
        <v>6</v>
      </c>
      <c r="AA1166">
        <v>4</v>
      </c>
      <c r="AB1166">
        <v>10</v>
      </c>
      <c r="AC1166">
        <v>0</v>
      </c>
      <c r="AD1166">
        <v>1</v>
      </c>
      <c r="AE1166">
        <v>0</v>
      </c>
      <c r="AF1166">
        <v>0</v>
      </c>
      <c r="AK1166">
        <v>1</v>
      </c>
      <c r="AL1166">
        <v>2</v>
      </c>
      <c r="AM1166">
        <v>1</v>
      </c>
      <c r="AN1166">
        <v>0</v>
      </c>
      <c r="AP1166">
        <v>3</v>
      </c>
      <c r="AT1166">
        <v>1</v>
      </c>
      <c r="AU1166">
        <v>13</v>
      </c>
      <c r="AV1166">
        <v>428</v>
      </c>
      <c r="AW1166">
        <v>428</v>
      </c>
      <c r="AX1166">
        <v>735</v>
      </c>
      <c r="BA1166">
        <v>1</v>
      </c>
      <c r="BC1166" t="s">
        <v>2426</v>
      </c>
      <c r="BD1166" s="4">
        <v>43283.129861111112</v>
      </c>
      <c r="BE1166" s="4">
        <v>43283.136550925927</v>
      </c>
      <c r="BF1166" s="4">
        <v>43283.136550925927</v>
      </c>
      <c r="BG1166" t="s">
        <v>83</v>
      </c>
      <c r="BH1166" t="s">
        <v>84</v>
      </c>
      <c r="BI1166" t="s">
        <v>85</v>
      </c>
    </row>
    <row r="1167" spans="1:61" x14ac:dyDescent="0.3">
      <c r="A1167" t="str">
        <f>"200216C0100"</f>
        <v>200216C0100</v>
      </c>
      <c r="B1167" t="s">
        <v>2427</v>
      </c>
      <c r="C1167">
        <v>20</v>
      </c>
      <c r="D1167" t="s">
        <v>79</v>
      </c>
      <c r="E1167">
        <v>6</v>
      </c>
      <c r="F1167" t="s">
        <v>2299</v>
      </c>
      <c r="G1167">
        <v>216</v>
      </c>
      <c r="H1167">
        <v>1</v>
      </c>
      <c r="I1167" t="s">
        <v>89</v>
      </c>
      <c r="J1167">
        <v>0</v>
      </c>
      <c r="K1167">
        <v>2</v>
      </c>
      <c r="L1167">
        <v>2</v>
      </c>
      <c r="M1167">
        <v>317</v>
      </c>
      <c r="N1167">
        <v>460</v>
      </c>
      <c r="O1167">
        <v>5</v>
      </c>
      <c r="P1167">
        <v>454</v>
      </c>
      <c r="Q1167">
        <v>52</v>
      </c>
      <c r="R1167">
        <v>96</v>
      </c>
      <c r="S1167">
        <v>12</v>
      </c>
      <c r="T1167">
        <v>15</v>
      </c>
      <c r="U1167">
        <v>6</v>
      </c>
      <c r="V1167">
        <v>6</v>
      </c>
      <c r="W1167">
        <v>19</v>
      </c>
      <c r="X1167">
        <v>8</v>
      </c>
      <c r="Y1167">
        <v>207</v>
      </c>
      <c r="Z1167">
        <v>7</v>
      </c>
      <c r="AA1167">
        <v>2</v>
      </c>
      <c r="AB1167">
        <v>12</v>
      </c>
      <c r="AC1167">
        <v>0</v>
      </c>
      <c r="AD1167">
        <v>0</v>
      </c>
      <c r="AE1167">
        <v>0</v>
      </c>
      <c r="AF1167">
        <v>0</v>
      </c>
      <c r="AK1167">
        <v>1</v>
      </c>
      <c r="AL1167">
        <v>1</v>
      </c>
      <c r="AM1167">
        <v>0</v>
      </c>
      <c r="AN1167">
        <v>1</v>
      </c>
      <c r="AP1167">
        <v>2</v>
      </c>
      <c r="AT1167">
        <v>0</v>
      </c>
      <c r="AU1167">
        <v>13</v>
      </c>
      <c r="AV1167" t="s">
        <v>100</v>
      </c>
      <c r="AW1167">
        <v>460</v>
      </c>
      <c r="AX1167">
        <v>735</v>
      </c>
      <c r="BA1167">
        <v>1</v>
      </c>
      <c r="BC1167" t="s">
        <v>2428</v>
      </c>
      <c r="BD1167" s="4">
        <v>43283.152777777781</v>
      </c>
      <c r="BE1167" s="4">
        <v>43283.161851851852</v>
      </c>
      <c r="BF1167" s="4">
        <v>43283.161851851852</v>
      </c>
      <c r="BG1167" t="s">
        <v>83</v>
      </c>
      <c r="BH1167" t="s">
        <v>84</v>
      </c>
      <c r="BI1167" t="s">
        <v>85</v>
      </c>
    </row>
    <row r="1168" spans="1:61" x14ac:dyDescent="0.3">
      <c r="A1168" t="str">
        <f>"200216E0100"</f>
        <v>200216E0100</v>
      </c>
      <c r="B1168" s="2" t="s">
        <v>2429</v>
      </c>
      <c r="C1168">
        <v>20</v>
      </c>
      <c r="D1168" t="s">
        <v>79</v>
      </c>
      <c r="E1168">
        <v>6</v>
      </c>
      <c r="F1168" t="s">
        <v>2299</v>
      </c>
      <c r="G1168">
        <v>216</v>
      </c>
      <c r="H1168">
        <v>1</v>
      </c>
      <c r="I1168" t="s">
        <v>145</v>
      </c>
      <c r="J1168">
        <v>0</v>
      </c>
      <c r="K1168">
        <v>2</v>
      </c>
      <c r="L1168">
        <v>2</v>
      </c>
      <c r="M1168">
        <v>228</v>
      </c>
      <c r="N1168">
        <v>320</v>
      </c>
      <c r="O1168">
        <v>6</v>
      </c>
      <c r="P1168">
        <v>320</v>
      </c>
      <c r="Q1168">
        <v>36</v>
      </c>
      <c r="R1168">
        <v>43</v>
      </c>
      <c r="S1168">
        <v>14</v>
      </c>
      <c r="T1168">
        <v>8</v>
      </c>
      <c r="U1168">
        <v>11</v>
      </c>
      <c r="V1168">
        <v>13</v>
      </c>
      <c r="W1168">
        <v>12</v>
      </c>
      <c r="X1168">
        <v>7</v>
      </c>
      <c r="Y1168">
        <v>145</v>
      </c>
      <c r="Z1168">
        <v>6</v>
      </c>
      <c r="AA1168">
        <v>0</v>
      </c>
      <c r="AB1168">
        <v>11</v>
      </c>
      <c r="AC1168">
        <v>1</v>
      </c>
      <c r="AD1168">
        <v>1</v>
      </c>
      <c r="AE1168">
        <v>0</v>
      </c>
      <c r="AF1168">
        <v>0</v>
      </c>
      <c r="AK1168">
        <v>1</v>
      </c>
      <c r="AL1168">
        <v>0</v>
      </c>
      <c r="AM1168">
        <v>0</v>
      </c>
      <c r="AN1168">
        <v>0</v>
      </c>
      <c r="AP1168">
        <v>1</v>
      </c>
      <c r="AT1168">
        <v>3</v>
      </c>
      <c r="AU1168">
        <v>7</v>
      </c>
      <c r="AV1168">
        <v>320</v>
      </c>
      <c r="AW1168">
        <v>320</v>
      </c>
      <c r="AX1168">
        <v>525</v>
      </c>
      <c r="BA1168">
        <v>1</v>
      </c>
      <c r="BC1168" t="s">
        <v>2430</v>
      </c>
      <c r="BD1168" s="4">
        <v>43283.124305555553</v>
      </c>
      <c r="BE1168" s="4">
        <v>43283.13417824074</v>
      </c>
      <c r="BF1168" s="4">
        <v>43283.13417824074</v>
      </c>
      <c r="BG1168" t="s">
        <v>83</v>
      </c>
      <c r="BH1168" t="s">
        <v>84</v>
      </c>
      <c r="BI1168" t="s">
        <v>85</v>
      </c>
    </row>
    <row r="1169" spans="1:61" x14ac:dyDescent="0.3">
      <c r="A1169" t="str">
        <f>"200216E0101"</f>
        <v>200216E0101</v>
      </c>
      <c r="B1169" s="2" t="s">
        <v>2431</v>
      </c>
      <c r="C1169">
        <v>20</v>
      </c>
      <c r="D1169" t="s">
        <v>79</v>
      </c>
      <c r="E1169">
        <v>6</v>
      </c>
      <c r="F1169" t="s">
        <v>2299</v>
      </c>
      <c r="G1169">
        <v>216</v>
      </c>
      <c r="H1169">
        <v>1</v>
      </c>
      <c r="I1169" t="s">
        <v>145</v>
      </c>
      <c r="J1169">
        <v>1</v>
      </c>
      <c r="K1169">
        <v>2</v>
      </c>
      <c r="L1169">
        <v>2</v>
      </c>
      <c r="M1169">
        <v>233</v>
      </c>
      <c r="N1169">
        <v>315</v>
      </c>
      <c r="O1169">
        <v>3</v>
      </c>
      <c r="P1169">
        <v>315</v>
      </c>
      <c r="Q1169">
        <v>26</v>
      </c>
      <c r="R1169">
        <v>59</v>
      </c>
      <c r="S1169">
        <v>16</v>
      </c>
      <c r="T1169">
        <v>12</v>
      </c>
      <c r="U1169">
        <v>7</v>
      </c>
      <c r="V1169">
        <v>4</v>
      </c>
      <c r="W1169">
        <v>2</v>
      </c>
      <c r="X1169">
        <v>4</v>
      </c>
      <c r="Y1169">
        <v>134</v>
      </c>
      <c r="Z1169">
        <v>3</v>
      </c>
      <c r="AA1169">
        <v>1</v>
      </c>
      <c r="AB1169">
        <v>15</v>
      </c>
      <c r="AC1169">
        <v>0</v>
      </c>
      <c r="AD1169">
        <v>0</v>
      </c>
      <c r="AE1169">
        <v>0</v>
      </c>
      <c r="AF1169">
        <v>0</v>
      </c>
      <c r="AK1169">
        <v>5</v>
      </c>
      <c r="AL1169">
        <v>1</v>
      </c>
      <c r="AM1169">
        <v>0</v>
      </c>
      <c r="AN1169">
        <v>1</v>
      </c>
      <c r="AP1169">
        <v>2</v>
      </c>
      <c r="AT1169">
        <v>0</v>
      </c>
      <c r="AU1169">
        <v>23</v>
      </c>
      <c r="AV1169">
        <v>315</v>
      </c>
      <c r="AW1169">
        <v>315</v>
      </c>
      <c r="AX1169">
        <v>525</v>
      </c>
      <c r="BA1169">
        <v>1</v>
      </c>
      <c r="BC1169" t="s">
        <v>2432</v>
      </c>
      <c r="BD1169" s="4">
        <v>43283.125</v>
      </c>
      <c r="BE1169" s="4">
        <v>43283.139247685183</v>
      </c>
      <c r="BF1169" s="4">
        <v>43283.139247685183</v>
      </c>
      <c r="BG1169" t="s">
        <v>83</v>
      </c>
      <c r="BH1169" t="s">
        <v>84</v>
      </c>
      <c r="BI1169" t="s">
        <v>85</v>
      </c>
    </row>
    <row r="1170" spans="1:61" x14ac:dyDescent="0.3">
      <c r="A1170" t="str">
        <f>"200217B0100"</f>
        <v>200217B0100</v>
      </c>
      <c r="B1170" t="s">
        <v>2433</v>
      </c>
      <c r="C1170">
        <v>20</v>
      </c>
      <c r="D1170" t="s">
        <v>79</v>
      </c>
      <c r="E1170">
        <v>6</v>
      </c>
      <c r="F1170" t="s">
        <v>2299</v>
      </c>
      <c r="G1170">
        <v>217</v>
      </c>
      <c r="H1170">
        <v>1</v>
      </c>
      <c r="I1170" t="s">
        <v>81</v>
      </c>
      <c r="J1170">
        <v>0</v>
      </c>
      <c r="K1170">
        <v>1</v>
      </c>
      <c r="L1170">
        <v>2</v>
      </c>
      <c r="AX1170">
        <v>674</v>
      </c>
      <c r="AZ1170" t="s">
        <v>156</v>
      </c>
      <c r="BA1170">
        <v>0</v>
      </c>
      <c r="BC1170" t="s">
        <v>2434</v>
      </c>
      <c r="BD1170" s="4">
        <v>43283.806944444441</v>
      </c>
      <c r="BE1170" s="4">
        <v>43283.808229166665</v>
      </c>
      <c r="BF1170" s="4">
        <v>43283.808229166665</v>
      </c>
      <c r="BG1170" t="s">
        <v>83</v>
      </c>
      <c r="BH1170" t="s">
        <v>84</v>
      </c>
      <c r="BI1170" t="s">
        <v>85</v>
      </c>
    </row>
    <row r="1171" spans="1:61" x14ac:dyDescent="0.3">
      <c r="A1171" t="str">
        <f>"200217C0100"</f>
        <v>200217C0100</v>
      </c>
      <c r="B1171" t="s">
        <v>2435</v>
      </c>
      <c r="C1171">
        <v>20</v>
      </c>
      <c r="D1171" t="s">
        <v>79</v>
      </c>
      <c r="E1171">
        <v>6</v>
      </c>
      <c r="F1171" t="s">
        <v>2299</v>
      </c>
      <c r="G1171">
        <v>217</v>
      </c>
      <c r="H1171">
        <v>1</v>
      </c>
      <c r="I1171" t="s">
        <v>89</v>
      </c>
      <c r="J1171">
        <v>0</v>
      </c>
      <c r="K1171">
        <v>1</v>
      </c>
      <c r="L1171">
        <v>2</v>
      </c>
      <c r="M1171">
        <v>336</v>
      </c>
      <c r="N1171">
        <v>362</v>
      </c>
      <c r="O1171">
        <v>2</v>
      </c>
      <c r="P1171">
        <v>363</v>
      </c>
      <c r="Q1171">
        <v>28</v>
      </c>
      <c r="R1171">
        <v>67</v>
      </c>
      <c r="S1171">
        <v>10</v>
      </c>
      <c r="T1171">
        <v>20</v>
      </c>
      <c r="U1171">
        <v>11</v>
      </c>
      <c r="V1171">
        <v>2</v>
      </c>
      <c r="W1171">
        <v>7</v>
      </c>
      <c r="X1171">
        <v>9</v>
      </c>
      <c r="Y1171">
        <v>153</v>
      </c>
      <c r="Z1171">
        <v>6</v>
      </c>
      <c r="AA1171">
        <v>0</v>
      </c>
      <c r="AB1171">
        <v>16</v>
      </c>
      <c r="AC1171">
        <v>1</v>
      </c>
      <c r="AD1171">
        <v>0</v>
      </c>
      <c r="AE1171">
        <v>0</v>
      </c>
      <c r="AF1171">
        <v>0</v>
      </c>
      <c r="AK1171">
        <v>8</v>
      </c>
      <c r="AL1171">
        <v>1</v>
      </c>
      <c r="AM1171">
        <v>1</v>
      </c>
      <c r="AN1171">
        <v>2</v>
      </c>
      <c r="AP1171">
        <v>3</v>
      </c>
      <c r="AT1171">
        <v>0</v>
      </c>
      <c r="AU1171">
        <v>18</v>
      </c>
      <c r="AV1171">
        <v>363</v>
      </c>
      <c r="AW1171">
        <v>363</v>
      </c>
      <c r="AX1171">
        <v>673</v>
      </c>
      <c r="BA1171">
        <v>1</v>
      </c>
      <c r="BC1171" t="s">
        <v>2436</v>
      </c>
      <c r="BD1171" s="4">
        <v>43283.683333333334</v>
      </c>
      <c r="BE1171" s="4">
        <v>43283.688252314816</v>
      </c>
      <c r="BF1171" s="4">
        <v>43283.688252314816</v>
      </c>
      <c r="BG1171" t="s">
        <v>83</v>
      </c>
      <c r="BH1171" t="s">
        <v>84</v>
      </c>
      <c r="BI1171" t="s">
        <v>85</v>
      </c>
    </row>
    <row r="1172" spans="1:61" x14ac:dyDescent="0.3">
      <c r="A1172" t="str">
        <f>"200217C0200"</f>
        <v>200217C0200</v>
      </c>
      <c r="B1172" t="s">
        <v>2437</v>
      </c>
      <c r="C1172">
        <v>20</v>
      </c>
      <c r="D1172" t="s">
        <v>79</v>
      </c>
      <c r="E1172">
        <v>6</v>
      </c>
      <c r="F1172" t="s">
        <v>2299</v>
      </c>
      <c r="G1172">
        <v>217</v>
      </c>
      <c r="H1172">
        <v>2</v>
      </c>
      <c r="I1172" t="s">
        <v>89</v>
      </c>
      <c r="J1172">
        <v>0</v>
      </c>
      <c r="K1172">
        <v>1</v>
      </c>
      <c r="L1172">
        <v>2</v>
      </c>
      <c r="M1172">
        <v>326</v>
      </c>
      <c r="N1172">
        <v>370</v>
      </c>
      <c r="O1172">
        <v>1</v>
      </c>
      <c r="P1172">
        <v>350</v>
      </c>
      <c r="Q1172">
        <v>33</v>
      </c>
      <c r="R1172">
        <v>48</v>
      </c>
      <c r="S1172">
        <v>5</v>
      </c>
      <c r="T1172" t="s">
        <v>100</v>
      </c>
      <c r="U1172">
        <v>13</v>
      </c>
      <c r="V1172">
        <v>3</v>
      </c>
      <c r="W1172">
        <v>8</v>
      </c>
      <c r="X1172">
        <v>8</v>
      </c>
      <c r="Y1172">
        <v>184</v>
      </c>
      <c r="Z1172">
        <v>11</v>
      </c>
      <c r="AA1172">
        <v>1</v>
      </c>
      <c r="AB1172">
        <v>6</v>
      </c>
      <c r="AC1172" t="s">
        <v>100</v>
      </c>
      <c r="AD1172" t="s">
        <v>100</v>
      </c>
      <c r="AE1172" t="s">
        <v>100</v>
      </c>
      <c r="AF1172" t="s">
        <v>100</v>
      </c>
      <c r="AK1172">
        <v>7</v>
      </c>
      <c r="AL1172" t="s">
        <v>100</v>
      </c>
      <c r="AM1172" t="s">
        <v>100</v>
      </c>
      <c r="AN1172" t="s">
        <v>100</v>
      </c>
      <c r="AP1172">
        <v>1</v>
      </c>
      <c r="AT1172" t="s">
        <v>100</v>
      </c>
      <c r="AU1172">
        <v>22</v>
      </c>
      <c r="AV1172">
        <v>350</v>
      </c>
      <c r="AW1172">
        <v>350</v>
      </c>
      <c r="AX1172">
        <v>673</v>
      </c>
      <c r="AZ1172" t="s">
        <v>101</v>
      </c>
      <c r="BA1172">
        <v>1</v>
      </c>
      <c r="BC1172" t="s">
        <v>2438</v>
      </c>
      <c r="BD1172" s="4">
        <v>43283.68472222222</v>
      </c>
      <c r="BE1172" s="4">
        <v>43283.687488425923</v>
      </c>
      <c r="BF1172" s="4">
        <v>43283.687488425923</v>
      </c>
      <c r="BG1172" t="s">
        <v>83</v>
      </c>
      <c r="BH1172" t="s">
        <v>84</v>
      </c>
      <c r="BI1172" t="s">
        <v>85</v>
      </c>
    </row>
    <row r="1173" spans="1:61" x14ac:dyDescent="0.3">
      <c r="A1173" t="str">
        <f>"200217C0300"</f>
        <v>200217C0300</v>
      </c>
      <c r="B1173" t="s">
        <v>2439</v>
      </c>
      <c r="C1173">
        <v>20</v>
      </c>
      <c r="D1173" t="s">
        <v>79</v>
      </c>
      <c r="E1173">
        <v>6</v>
      </c>
      <c r="F1173" t="s">
        <v>2299</v>
      </c>
      <c r="G1173">
        <v>217</v>
      </c>
      <c r="H1173">
        <v>3</v>
      </c>
      <c r="I1173" t="s">
        <v>89</v>
      </c>
      <c r="J1173">
        <v>0</v>
      </c>
      <c r="K1173">
        <v>1</v>
      </c>
      <c r="L1173">
        <v>2</v>
      </c>
      <c r="M1173">
        <v>332</v>
      </c>
      <c r="N1173">
        <v>363</v>
      </c>
      <c r="O1173">
        <v>6</v>
      </c>
      <c r="P1173">
        <v>361</v>
      </c>
      <c r="Q1173">
        <v>29</v>
      </c>
      <c r="R1173">
        <v>52</v>
      </c>
      <c r="S1173">
        <v>13</v>
      </c>
      <c r="T1173">
        <v>15</v>
      </c>
      <c r="U1173">
        <v>8</v>
      </c>
      <c r="V1173">
        <v>8</v>
      </c>
      <c r="W1173">
        <v>12</v>
      </c>
      <c r="X1173">
        <v>7</v>
      </c>
      <c r="Y1173">
        <v>153</v>
      </c>
      <c r="Z1173">
        <v>10</v>
      </c>
      <c r="AA1173">
        <v>3</v>
      </c>
      <c r="AB1173">
        <v>12</v>
      </c>
      <c r="AC1173">
        <v>0</v>
      </c>
      <c r="AD1173">
        <v>0</v>
      </c>
      <c r="AE1173">
        <v>0</v>
      </c>
      <c r="AF1173">
        <v>0</v>
      </c>
      <c r="AK1173">
        <v>7</v>
      </c>
      <c r="AL1173">
        <v>3</v>
      </c>
      <c r="AM1173">
        <v>4</v>
      </c>
      <c r="AN1173">
        <v>0</v>
      </c>
      <c r="AP1173">
        <v>3</v>
      </c>
      <c r="AT1173">
        <v>0</v>
      </c>
      <c r="AU1173">
        <v>22</v>
      </c>
      <c r="AV1173">
        <v>361</v>
      </c>
      <c r="AW1173">
        <v>361</v>
      </c>
      <c r="AX1173">
        <v>673</v>
      </c>
      <c r="BA1173">
        <v>1</v>
      </c>
      <c r="BC1173" t="s">
        <v>2440</v>
      </c>
      <c r="BD1173" s="4">
        <v>43283.068055555559</v>
      </c>
      <c r="BE1173" s="4">
        <v>43283.072847222225</v>
      </c>
      <c r="BF1173" s="4">
        <v>43283.072847222225</v>
      </c>
      <c r="BG1173" t="s">
        <v>83</v>
      </c>
      <c r="BH1173" t="s">
        <v>84</v>
      </c>
      <c r="BI1173" t="s">
        <v>85</v>
      </c>
    </row>
    <row r="1174" spans="1:61" x14ac:dyDescent="0.3">
      <c r="A1174" t="str">
        <f>"200217C0400"</f>
        <v>200217C0400</v>
      </c>
      <c r="B1174" t="s">
        <v>2441</v>
      </c>
      <c r="C1174">
        <v>20</v>
      </c>
      <c r="D1174" t="s">
        <v>79</v>
      </c>
      <c r="E1174">
        <v>6</v>
      </c>
      <c r="F1174" t="s">
        <v>2299</v>
      </c>
      <c r="G1174">
        <v>217</v>
      </c>
      <c r="H1174">
        <v>4</v>
      </c>
      <c r="I1174" t="s">
        <v>89</v>
      </c>
      <c r="J1174">
        <v>0</v>
      </c>
      <c r="K1174">
        <v>1</v>
      </c>
      <c r="L1174">
        <v>2</v>
      </c>
      <c r="M1174">
        <v>350</v>
      </c>
      <c r="N1174">
        <v>346</v>
      </c>
      <c r="O1174">
        <v>1</v>
      </c>
      <c r="P1174" t="s">
        <v>100</v>
      </c>
      <c r="Q1174">
        <v>38</v>
      </c>
      <c r="R1174">
        <v>46</v>
      </c>
      <c r="S1174">
        <v>14</v>
      </c>
      <c r="T1174">
        <v>8</v>
      </c>
      <c r="U1174">
        <v>13</v>
      </c>
      <c r="V1174">
        <v>5</v>
      </c>
      <c r="W1174">
        <v>13</v>
      </c>
      <c r="X1174">
        <v>5</v>
      </c>
      <c r="Y1174">
        <v>160</v>
      </c>
      <c r="Z1174">
        <v>7</v>
      </c>
      <c r="AA1174">
        <v>1</v>
      </c>
      <c r="AB1174">
        <v>14</v>
      </c>
      <c r="AC1174">
        <v>0</v>
      </c>
      <c r="AD1174">
        <v>0</v>
      </c>
      <c r="AE1174">
        <v>0</v>
      </c>
      <c r="AF1174">
        <v>1</v>
      </c>
      <c r="AK1174">
        <v>1</v>
      </c>
      <c r="AL1174">
        <v>0</v>
      </c>
      <c r="AM1174">
        <v>0</v>
      </c>
      <c r="AN1174">
        <v>1</v>
      </c>
      <c r="AP1174">
        <v>1</v>
      </c>
      <c r="AT1174">
        <v>1</v>
      </c>
      <c r="AU1174">
        <v>17</v>
      </c>
      <c r="AV1174">
        <v>346</v>
      </c>
      <c r="AW1174">
        <v>346</v>
      </c>
      <c r="AX1174">
        <v>673</v>
      </c>
      <c r="BA1174">
        <v>1</v>
      </c>
      <c r="BC1174" t="s">
        <v>2442</v>
      </c>
      <c r="BD1174" s="4">
        <v>43283.068055555559</v>
      </c>
      <c r="BE1174" s="4">
        <v>43283.075671296298</v>
      </c>
      <c r="BF1174" s="4">
        <v>43283.075671296298</v>
      </c>
      <c r="BG1174" t="s">
        <v>83</v>
      </c>
      <c r="BH1174" t="s">
        <v>84</v>
      </c>
      <c r="BI1174" t="s">
        <v>85</v>
      </c>
    </row>
    <row r="1175" spans="1:61" x14ac:dyDescent="0.3">
      <c r="A1175" t="str">
        <f>"200218B0100"</f>
        <v>200218B0100</v>
      </c>
      <c r="B1175" t="s">
        <v>2443</v>
      </c>
      <c r="C1175">
        <v>20</v>
      </c>
      <c r="D1175" t="s">
        <v>79</v>
      </c>
      <c r="E1175">
        <v>6</v>
      </c>
      <c r="F1175" t="s">
        <v>2299</v>
      </c>
      <c r="G1175">
        <v>218</v>
      </c>
      <c r="H1175">
        <v>1</v>
      </c>
      <c r="I1175" t="s">
        <v>81</v>
      </c>
      <c r="J1175">
        <v>0</v>
      </c>
      <c r="K1175">
        <v>1</v>
      </c>
      <c r="L1175">
        <v>2</v>
      </c>
      <c r="M1175">
        <v>351</v>
      </c>
      <c r="N1175">
        <v>417</v>
      </c>
      <c r="O1175">
        <v>5</v>
      </c>
      <c r="P1175">
        <v>416</v>
      </c>
      <c r="Q1175">
        <v>43</v>
      </c>
      <c r="R1175">
        <v>86</v>
      </c>
      <c r="S1175">
        <v>11</v>
      </c>
      <c r="T1175">
        <v>30</v>
      </c>
      <c r="U1175">
        <v>17</v>
      </c>
      <c r="V1175">
        <v>3</v>
      </c>
      <c r="W1175">
        <v>13</v>
      </c>
      <c r="X1175">
        <v>4</v>
      </c>
      <c r="Y1175">
        <v>170</v>
      </c>
      <c r="Z1175">
        <v>4</v>
      </c>
      <c r="AA1175">
        <v>4</v>
      </c>
      <c r="AB1175">
        <v>12</v>
      </c>
      <c r="AC1175">
        <v>1</v>
      </c>
      <c r="AD1175">
        <v>1</v>
      </c>
      <c r="AE1175">
        <v>0</v>
      </c>
      <c r="AF1175">
        <v>0</v>
      </c>
      <c r="AK1175">
        <v>3</v>
      </c>
      <c r="AL1175">
        <v>2</v>
      </c>
      <c r="AM1175">
        <v>0</v>
      </c>
      <c r="AN1175">
        <v>0</v>
      </c>
      <c r="AP1175">
        <v>1</v>
      </c>
      <c r="AT1175">
        <v>1</v>
      </c>
      <c r="AU1175">
        <v>10</v>
      </c>
      <c r="AV1175">
        <v>416</v>
      </c>
      <c r="AW1175">
        <v>416</v>
      </c>
      <c r="AX1175">
        <v>745</v>
      </c>
      <c r="BA1175">
        <v>1</v>
      </c>
      <c r="BC1175" t="s">
        <v>2444</v>
      </c>
      <c r="BD1175" s="4">
        <v>43283.161805555559</v>
      </c>
      <c r="BE1175" s="4">
        <v>43283.174155092594</v>
      </c>
      <c r="BF1175" s="4">
        <v>43283.174155092594</v>
      </c>
      <c r="BG1175" t="s">
        <v>83</v>
      </c>
      <c r="BH1175" t="s">
        <v>84</v>
      </c>
      <c r="BI1175" t="s">
        <v>85</v>
      </c>
    </row>
    <row r="1176" spans="1:61" x14ac:dyDescent="0.3">
      <c r="A1176" t="str">
        <f>"200218C0100"</f>
        <v>200218C0100</v>
      </c>
      <c r="B1176" t="s">
        <v>2445</v>
      </c>
      <c r="C1176">
        <v>20</v>
      </c>
      <c r="D1176" t="s">
        <v>79</v>
      </c>
      <c r="E1176">
        <v>6</v>
      </c>
      <c r="F1176" t="s">
        <v>2299</v>
      </c>
      <c r="G1176">
        <v>218</v>
      </c>
      <c r="H1176">
        <v>1</v>
      </c>
      <c r="I1176" t="s">
        <v>89</v>
      </c>
      <c r="J1176">
        <v>0</v>
      </c>
      <c r="K1176">
        <v>1</v>
      </c>
      <c r="L1176">
        <v>2</v>
      </c>
      <c r="M1176">
        <v>365</v>
      </c>
      <c r="N1176">
        <v>402</v>
      </c>
      <c r="O1176">
        <v>2</v>
      </c>
      <c r="P1176">
        <v>398</v>
      </c>
      <c r="Q1176">
        <v>40</v>
      </c>
      <c r="R1176">
        <v>76</v>
      </c>
      <c r="S1176">
        <v>6</v>
      </c>
      <c r="T1176">
        <v>24</v>
      </c>
      <c r="U1176">
        <v>11</v>
      </c>
      <c r="V1176">
        <v>3</v>
      </c>
      <c r="W1176">
        <v>11</v>
      </c>
      <c r="X1176">
        <v>4</v>
      </c>
      <c r="Y1176">
        <v>181</v>
      </c>
      <c r="Z1176">
        <v>4</v>
      </c>
      <c r="AA1176">
        <v>1</v>
      </c>
      <c r="AB1176">
        <v>11</v>
      </c>
      <c r="AC1176">
        <v>0</v>
      </c>
      <c r="AD1176">
        <v>1</v>
      </c>
      <c r="AE1176">
        <v>0</v>
      </c>
      <c r="AF1176">
        <v>0</v>
      </c>
      <c r="AK1176">
        <v>1</v>
      </c>
      <c r="AL1176">
        <v>2</v>
      </c>
      <c r="AM1176">
        <v>0</v>
      </c>
      <c r="AN1176">
        <v>1</v>
      </c>
      <c r="AP1176">
        <v>2</v>
      </c>
      <c r="AT1176">
        <v>0</v>
      </c>
      <c r="AU1176">
        <v>19</v>
      </c>
      <c r="AV1176">
        <v>398</v>
      </c>
      <c r="AW1176">
        <v>398</v>
      </c>
      <c r="AX1176">
        <v>744</v>
      </c>
      <c r="BA1176">
        <v>1</v>
      </c>
      <c r="BC1176" t="s">
        <v>2446</v>
      </c>
      <c r="BD1176" s="4">
        <v>43283.191666666666</v>
      </c>
      <c r="BE1176" s="4">
        <v>43283.212245370371</v>
      </c>
      <c r="BF1176" s="4">
        <v>43283.212245370371</v>
      </c>
      <c r="BG1176" t="s">
        <v>83</v>
      </c>
      <c r="BH1176" t="s">
        <v>84</v>
      </c>
      <c r="BI1176" t="s">
        <v>85</v>
      </c>
    </row>
    <row r="1177" spans="1:61" x14ac:dyDescent="0.3">
      <c r="A1177" t="str">
        <f>"200218C0200"</f>
        <v>200218C0200</v>
      </c>
      <c r="B1177" t="s">
        <v>2447</v>
      </c>
      <c r="C1177">
        <v>20</v>
      </c>
      <c r="D1177" t="s">
        <v>79</v>
      </c>
      <c r="E1177">
        <v>6</v>
      </c>
      <c r="F1177" t="s">
        <v>2299</v>
      </c>
      <c r="G1177">
        <v>218</v>
      </c>
      <c r="H1177">
        <v>2</v>
      </c>
      <c r="I1177" t="s">
        <v>89</v>
      </c>
      <c r="J1177">
        <v>0</v>
      </c>
      <c r="K1177">
        <v>1</v>
      </c>
      <c r="L1177">
        <v>2</v>
      </c>
      <c r="M1177">
        <v>361</v>
      </c>
      <c r="N1177">
        <v>405</v>
      </c>
      <c r="O1177">
        <v>8</v>
      </c>
      <c r="P1177">
        <v>406</v>
      </c>
      <c r="Q1177">
        <v>59</v>
      </c>
      <c r="R1177">
        <v>73</v>
      </c>
      <c r="S1177">
        <v>9</v>
      </c>
      <c r="T1177">
        <v>18</v>
      </c>
      <c r="U1177">
        <v>14</v>
      </c>
      <c r="V1177">
        <v>7</v>
      </c>
      <c r="W1177">
        <v>9</v>
      </c>
      <c r="X1177">
        <v>9</v>
      </c>
      <c r="Y1177">
        <v>151</v>
      </c>
      <c r="Z1177">
        <v>9</v>
      </c>
      <c r="AA1177">
        <v>3</v>
      </c>
      <c r="AB1177">
        <v>14</v>
      </c>
      <c r="AC1177">
        <v>1</v>
      </c>
      <c r="AD1177">
        <v>1</v>
      </c>
      <c r="AE1177">
        <v>0</v>
      </c>
      <c r="AF1177">
        <v>0</v>
      </c>
      <c r="AK1177">
        <v>4</v>
      </c>
      <c r="AL1177">
        <v>3</v>
      </c>
      <c r="AM1177">
        <v>0</v>
      </c>
      <c r="AN1177">
        <v>0</v>
      </c>
      <c r="AP1177">
        <v>3</v>
      </c>
      <c r="AT1177">
        <v>2</v>
      </c>
      <c r="AU1177">
        <v>17</v>
      </c>
      <c r="AV1177">
        <v>406</v>
      </c>
      <c r="AW1177">
        <v>406</v>
      </c>
      <c r="AX1177">
        <v>744</v>
      </c>
      <c r="BA1177">
        <v>1</v>
      </c>
      <c r="BC1177" t="s">
        <v>2448</v>
      </c>
      <c r="BD1177" s="4">
        <v>43283.107638888891</v>
      </c>
      <c r="BE1177" s="4">
        <v>43283.113136574073</v>
      </c>
      <c r="BF1177" s="4">
        <v>43283.113136574073</v>
      </c>
      <c r="BG1177" t="s">
        <v>83</v>
      </c>
      <c r="BH1177" t="s">
        <v>84</v>
      </c>
      <c r="BI1177" t="s">
        <v>85</v>
      </c>
    </row>
    <row r="1178" spans="1:61" x14ac:dyDescent="0.3">
      <c r="A1178" t="str">
        <f>"200218C0300"</f>
        <v>200218C0300</v>
      </c>
      <c r="B1178" t="s">
        <v>2449</v>
      </c>
      <c r="C1178">
        <v>20</v>
      </c>
      <c r="D1178" t="s">
        <v>79</v>
      </c>
      <c r="E1178">
        <v>6</v>
      </c>
      <c r="F1178" t="s">
        <v>2299</v>
      </c>
      <c r="G1178">
        <v>218</v>
      </c>
      <c r="H1178">
        <v>3</v>
      </c>
      <c r="I1178" t="s">
        <v>89</v>
      </c>
      <c r="J1178">
        <v>0</v>
      </c>
      <c r="K1178">
        <v>1</v>
      </c>
      <c r="L1178">
        <v>2</v>
      </c>
      <c r="M1178">
        <v>362</v>
      </c>
      <c r="N1178">
        <v>405</v>
      </c>
      <c r="O1178">
        <v>5</v>
      </c>
      <c r="P1178">
        <v>408</v>
      </c>
      <c r="Q1178">
        <v>46</v>
      </c>
      <c r="R1178">
        <v>62</v>
      </c>
      <c r="S1178">
        <v>19</v>
      </c>
      <c r="T1178">
        <v>16</v>
      </c>
      <c r="U1178">
        <v>7</v>
      </c>
      <c r="V1178">
        <v>6</v>
      </c>
      <c r="W1178">
        <v>12</v>
      </c>
      <c r="X1178">
        <v>6</v>
      </c>
      <c r="Y1178">
        <v>186</v>
      </c>
      <c r="Z1178">
        <v>10</v>
      </c>
      <c r="AA1178">
        <v>2</v>
      </c>
      <c r="AB1178">
        <v>8</v>
      </c>
      <c r="AC1178">
        <v>4</v>
      </c>
      <c r="AD1178">
        <v>1</v>
      </c>
      <c r="AE1178">
        <v>0</v>
      </c>
      <c r="AF1178">
        <v>0</v>
      </c>
      <c r="AK1178">
        <v>1</v>
      </c>
      <c r="AL1178">
        <v>0</v>
      </c>
      <c r="AM1178">
        <v>0</v>
      </c>
      <c r="AN1178">
        <v>1</v>
      </c>
      <c r="AP1178">
        <v>0</v>
      </c>
      <c r="AT1178">
        <v>3</v>
      </c>
      <c r="AU1178">
        <v>18</v>
      </c>
      <c r="AV1178">
        <v>408</v>
      </c>
      <c r="AW1178">
        <v>408</v>
      </c>
      <c r="AX1178">
        <v>744</v>
      </c>
      <c r="BA1178">
        <v>1</v>
      </c>
      <c r="BC1178" t="s">
        <v>2450</v>
      </c>
      <c r="BD1178" s="4">
        <v>43283.162499999999</v>
      </c>
      <c r="BE1178" s="4">
        <v>43283.174178240741</v>
      </c>
      <c r="BF1178" s="4">
        <v>43283.174178240741</v>
      </c>
      <c r="BG1178" t="s">
        <v>83</v>
      </c>
      <c r="BH1178" t="s">
        <v>84</v>
      </c>
      <c r="BI1178" t="s">
        <v>85</v>
      </c>
    </row>
    <row r="1179" spans="1:61" x14ac:dyDescent="0.3">
      <c r="A1179" t="str">
        <f>"200218C0400"</f>
        <v>200218C0400</v>
      </c>
      <c r="B1179" t="s">
        <v>2451</v>
      </c>
      <c r="C1179">
        <v>20</v>
      </c>
      <c r="D1179" t="s">
        <v>79</v>
      </c>
      <c r="E1179">
        <v>6</v>
      </c>
      <c r="F1179" t="s">
        <v>2299</v>
      </c>
      <c r="G1179">
        <v>218</v>
      </c>
      <c r="H1179">
        <v>4</v>
      </c>
      <c r="I1179" t="s">
        <v>89</v>
      </c>
      <c r="J1179">
        <v>0</v>
      </c>
      <c r="K1179">
        <v>1</v>
      </c>
      <c r="L1179">
        <v>2</v>
      </c>
      <c r="M1179">
        <v>337</v>
      </c>
      <c r="N1179">
        <v>431</v>
      </c>
      <c r="O1179">
        <v>10</v>
      </c>
      <c r="P1179">
        <v>432</v>
      </c>
      <c r="Q1179">
        <v>46</v>
      </c>
      <c r="R1179">
        <v>78</v>
      </c>
      <c r="S1179">
        <v>16</v>
      </c>
      <c r="T1179">
        <v>13</v>
      </c>
      <c r="U1179">
        <v>12</v>
      </c>
      <c r="V1179">
        <v>5</v>
      </c>
      <c r="W1179">
        <v>6</v>
      </c>
      <c r="X1179">
        <v>3</v>
      </c>
      <c r="Y1179">
        <v>200</v>
      </c>
      <c r="Z1179">
        <v>7</v>
      </c>
      <c r="AA1179">
        <v>4</v>
      </c>
      <c r="AB1179">
        <v>12</v>
      </c>
      <c r="AC1179">
        <v>1</v>
      </c>
      <c r="AD1179">
        <v>0</v>
      </c>
      <c r="AE1179">
        <v>0</v>
      </c>
      <c r="AF1179">
        <v>0</v>
      </c>
      <c r="AK1179">
        <v>9</v>
      </c>
      <c r="AL1179">
        <v>1</v>
      </c>
      <c r="AM1179">
        <v>0</v>
      </c>
      <c r="AN1179">
        <v>0</v>
      </c>
      <c r="AP1179">
        <v>2</v>
      </c>
      <c r="AT1179">
        <v>1</v>
      </c>
      <c r="AU1179">
        <v>16</v>
      </c>
      <c r="AV1179">
        <v>432</v>
      </c>
      <c r="AW1179">
        <v>432</v>
      </c>
      <c r="AX1179">
        <v>744</v>
      </c>
      <c r="BA1179">
        <v>1</v>
      </c>
      <c r="BC1179" t="s">
        <v>2452</v>
      </c>
      <c r="BD1179" s="4">
        <v>43283.102083333331</v>
      </c>
      <c r="BE1179" s="4">
        <v>43283.111898148149</v>
      </c>
      <c r="BF1179" s="4">
        <v>43283.111898148149</v>
      </c>
      <c r="BG1179" t="s">
        <v>83</v>
      </c>
      <c r="BH1179" t="s">
        <v>84</v>
      </c>
      <c r="BI1179" t="s">
        <v>85</v>
      </c>
    </row>
    <row r="1180" spans="1:61" x14ac:dyDescent="0.3">
      <c r="A1180" t="str">
        <f>"200219B0100"</f>
        <v>200219B0100</v>
      </c>
      <c r="B1180" t="s">
        <v>2453</v>
      </c>
      <c r="C1180">
        <v>20</v>
      </c>
      <c r="D1180" t="s">
        <v>79</v>
      </c>
      <c r="E1180">
        <v>6</v>
      </c>
      <c r="F1180" t="s">
        <v>2299</v>
      </c>
      <c r="G1180">
        <v>219</v>
      </c>
      <c r="H1180">
        <v>1</v>
      </c>
      <c r="I1180" t="s">
        <v>81</v>
      </c>
      <c r="J1180">
        <v>0</v>
      </c>
      <c r="K1180">
        <v>1</v>
      </c>
      <c r="L1180">
        <v>2</v>
      </c>
      <c r="M1180">
        <v>275</v>
      </c>
      <c r="N1180">
        <v>484</v>
      </c>
      <c r="O1180">
        <v>5</v>
      </c>
      <c r="P1180">
        <v>482</v>
      </c>
      <c r="Q1180">
        <v>45</v>
      </c>
      <c r="R1180">
        <v>98</v>
      </c>
      <c r="S1180">
        <v>13</v>
      </c>
      <c r="T1180">
        <v>21</v>
      </c>
      <c r="U1180">
        <v>13</v>
      </c>
      <c r="V1180">
        <v>6</v>
      </c>
      <c r="W1180">
        <v>29</v>
      </c>
      <c r="X1180">
        <v>11</v>
      </c>
      <c r="Y1180">
        <v>189</v>
      </c>
      <c r="Z1180">
        <v>4</v>
      </c>
      <c r="AA1180">
        <v>8</v>
      </c>
      <c r="AB1180">
        <v>18</v>
      </c>
      <c r="AC1180">
        <v>1</v>
      </c>
      <c r="AD1180">
        <v>2</v>
      </c>
      <c r="AE1180">
        <v>0</v>
      </c>
      <c r="AF1180">
        <v>1</v>
      </c>
      <c r="AK1180">
        <v>5</v>
      </c>
      <c r="AL1180">
        <v>0</v>
      </c>
      <c r="AM1180">
        <v>0</v>
      </c>
      <c r="AN1180">
        <v>0</v>
      </c>
      <c r="AP1180">
        <v>0</v>
      </c>
      <c r="AT1180">
        <v>0</v>
      </c>
      <c r="AU1180">
        <v>18</v>
      </c>
      <c r="AV1180">
        <v>482</v>
      </c>
      <c r="AW1180">
        <v>482</v>
      </c>
      <c r="AX1180">
        <v>734</v>
      </c>
      <c r="BA1180">
        <v>1</v>
      </c>
      <c r="BC1180" t="s">
        <v>2454</v>
      </c>
      <c r="BD1180" s="4">
        <v>43283.68472222222</v>
      </c>
      <c r="BE1180" s="4">
        <v>43283.688009259262</v>
      </c>
      <c r="BF1180" s="4">
        <v>43283.688009259262</v>
      </c>
      <c r="BG1180" t="s">
        <v>83</v>
      </c>
      <c r="BH1180" t="s">
        <v>84</v>
      </c>
      <c r="BI1180" t="s">
        <v>85</v>
      </c>
    </row>
    <row r="1181" spans="1:61" x14ac:dyDescent="0.3">
      <c r="A1181" t="str">
        <f>"200219C0100"</f>
        <v>200219C0100</v>
      </c>
      <c r="B1181" t="s">
        <v>2455</v>
      </c>
      <c r="C1181">
        <v>20</v>
      </c>
      <c r="D1181" t="s">
        <v>79</v>
      </c>
      <c r="E1181">
        <v>6</v>
      </c>
      <c r="F1181" t="s">
        <v>2299</v>
      </c>
      <c r="G1181">
        <v>219</v>
      </c>
      <c r="H1181">
        <v>1</v>
      </c>
      <c r="I1181" t="s">
        <v>89</v>
      </c>
      <c r="J1181">
        <v>0</v>
      </c>
      <c r="K1181">
        <v>1</v>
      </c>
      <c r="L1181">
        <v>2</v>
      </c>
      <c r="M1181">
        <v>278</v>
      </c>
      <c r="N1181">
        <v>479</v>
      </c>
      <c r="O1181">
        <v>4</v>
      </c>
      <c r="P1181">
        <v>479</v>
      </c>
      <c r="Q1181">
        <v>56</v>
      </c>
      <c r="R1181">
        <v>73</v>
      </c>
      <c r="S1181">
        <v>22</v>
      </c>
      <c r="T1181">
        <v>24</v>
      </c>
      <c r="U1181">
        <v>9</v>
      </c>
      <c r="V1181">
        <v>5</v>
      </c>
      <c r="W1181">
        <v>13</v>
      </c>
      <c r="X1181">
        <v>13</v>
      </c>
      <c r="Y1181">
        <v>221</v>
      </c>
      <c r="Z1181">
        <v>5</v>
      </c>
      <c r="AA1181">
        <v>2</v>
      </c>
      <c r="AB1181">
        <v>13</v>
      </c>
      <c r="AC1181">
        <v>0</v>
      </c>
      <c r="AD1181">
        <v>1</v>
      </c>
      <c r="AE1181">
        <v>0</v>
      </c>
      <c r="AF1181">
        <v>0</v>
      </c>
      <c r="AK1181">
        <v>1</v>
      </c>
      <c r="AL1181">
        <v>0</v>
      </c>
      <c r="AM1181">
        <v>0</v>
      </c>
      <c r="AN1181">
        <v>2</v>
      </c>
      <c r="AP1181">
        <v>1</v>
      </c>
      <c r="AT1181">
        <v>0</v>
      </c>
      <c r="AU1181">
        <v>18</v>
      </c>
      <c r="AV1181">
        <v>479</v>
      </c>
      <c r="AW1181">
        <v>479</v>
      </c>
      <c r="AX1181">
        <v>734</v>
      </c>
      <c r="BA1181">
        <v>1</v>
      </c>
      <c r="BC1181" t="s">
        <v>2456</v>
      </c>
      <c r="BD1181" s="4">
        <v>43283.161805555559</v>
      </c>
      <c r="BE1181" s="4">
        <v>43283.173368055555</v>
      </c>
      <c r="BF1181" s="4">
        <v>43283.173368055555</v>
      </c>
      <c r="BG1181" t="s">
        <v>83</v>
      </c>
      <c r="BH1181" t="s">
        <v>84</v>
      </c>
      <c r="BI1181" t="s">
        <v>85</v>
      </c>
    </row>
    <row r="1182" spans="1:61" x14ac:dyDescent="0.3">
      <c r="A1182" t="str">
        <f>"200219C0200"</f>
        <v>200219C0200</v>
      </c>
      <c r="B1182" t="s">
        <v>2457</v>
      </c>
      <c r="C1182">
        <v>20</v>
      </c>
      <c r="D1182" t="s">
        <v>79</v>
      </c>
      <c r="E1182">
        <v>6</v>
      </c>
      <c r="F1182" t="s">
        <v>2299</v>
      </c>
      <c r="G1182">
        <v>219</v>
      </c>
      <c r="H1182">
        <v>2</v>
      </c>
      <c r="I1182" t="s">
        <v>89</v>
      </c>
      <c r="J1182">
        <v>0</v>
      </c>
      <c r="K1182">
        <v>1</v>
      </c>
      <c r="L1182">
        <v>2</v>
      </c>
      <c r="AX1182">
        <v>734</v>
      </c>
      <c r="AZ1182" t="s">
        <v>156</v>
      </c>
      <c r="BA1182">
        <v>0</v>
      </c>
      <c r="BC1182" t="s">
        <v>2458</v>
      </c>
      <c r="BD1182" s="4">
        <v>43283.806944444441</v>
      </c>
      <c r="BE1182" s="4">
        <v>43283.807928240742</v>
      </c>
      <c r="BF1182" s="4">
        <v>43283.807928240742</v>
      </c>
      <c r="BG1182" t="s">
        <v>83</v>
      </c>
      <c r="BH1182" t="s">
        <v>84</v>
      </c>
      <c r="BI1182" t="s">
        <v>85</v>
      </c>
    </row>
    <row r="1183" spans="1:61" x14ac:dyDescent="0.3">
      <c r="A1183" t="str">
        <f>"200220B0100"</f>
        <v>200220B0100</v>
      </c>
      <c r="B1183" t="s">
        <v>2459</v>
      </c>
      <c r="C1183">
        <v>20</v>
      </c>
      <c r="D1183" t="s">
        <v>79</v>
      </c>
      <c r="E1183">
        <v>6</v>
      </c>
      <c r="F1183" t="s">
        <v>2299</v>
      </c>
      <c r="G1183">
        <v>220</v>
      </c>
      <c r="H1183">
        <v>1</v>
      </c>
      <c r="I1183" t="s">
        <v>81</v>
      </c>
      <c r="J1183">
        <v>0</v>
      </c>
      <c r="K1183">
        <v>2</v>
      </c>
      <c r="L1183">
        <v>2</v>
      </c>
      <c r="M1183">
        <v>281</v>
      </c>
      <c r="N1183">
        <v>435</v>
      </c>
      <c r="O1183">
        <v>4</v>
      </c>
      <c r="P1183">
        <v>435</v>
      </c>
      <c r="Q1183">
        <v>69</v>
      </c>
      <c r="R1183">
        <v>67</v>
      </c>
      <c r="S1183">
        <v>10</v>
      </c>
      <c r="T1183">
        <v>22</v>
      </c>
      <c r="U1183">
        <v>11</v>
      </c>
      <c r="V1183">
        <v>5</v>
      </c>
      <c r="W1183">
        <v>12</v>
      </c>
      <c r="X1183">
        <v>9</v>
      </c>
      <c r="Y1183">
        <v>181</v>
      </c>
      <c r="Z1183">
        <v>2</v>
      </c>
      <c r="AA1183">
        <v>3</v>
      </c>
      <c r="AB1183">
        <v>17</v>
      </c>
      <c r="AC1183">
        <v>0</v>
      </c>
      <c r="AD1183">
        <v>0</v>
      </c>
      <c r="AE1183">
        <v>0</v>
      </c>
      <c r="AF1183">
        <v>0</v>
      </c>
      <c r="AK1183">
        <v>2</v>
      </c>
      <c r="AL1183">
        <v>0</v>
      </c>
      <c r="AM1183">
        <v>0</v>
      </c>
      <c r="AN1183">
        <v>3</v>
      </c>
      <c r="AP1183">
        <v>2</v>
      </c>
      <c r="AT1183">
        <v>1</v>
      </c>
      <c r="AU1183">
        <v>19</v>
      </c>
      <c r="AV1183">
        <v>435</v>
      </c>
      <c r="AW1183">
        <v>435</v>
      </c>
      <c r="AX1183">
        <v>693</v>
      </c>
      <c r="BA1183">
        <v>1</v>
      </c>
      <c r="BC1183" t="s">
        <v>2460</v>
      </c>
      <c r="BD1183" s="4">
        <v>43283.133333333331</v>
      </c>
      <c r="BE1183" s="4">
        <v>43283.138935185183</v>
      </c>
      <c r="BF1183" s="4">
        <v>43283.138935185183</v>
      </c>
      <c r="BG1183" t="s">
        <v>83</v>
      </c>
      <c r="BH1183" t="s">
        <v>84</v>
      </c>
      <c r="BI1183" t="s">
        <v>85</v>
      </c>
    </row>
    <row r="1184" spans="1:61" x14ac:dyDescent="0.3">
      <c r="A1184" t="str">
        <f>"200220C0100"</f>
        <v>200220C0100</v>
      </c>
      <c r="B1184" t="s">
        <v>2461</v>
      </c>
      <c r="C1184">
        <v>20</v>
      </c>
      <c r="D1184" t="s">
        <v>79</v>
      </c>
      <c r="E1184">
        <v>6</v>
      </c>
      <c r="F1184" t="s">
        <v>2299</v>
      </c>
      <c r="G1184">
        <v>220</v>
      </c>
      <c r="H1184">
        <v>1</v>
      </c>
      <c r="I1184" t="s">
        <v>89</v>
      </c>
      <c r="J1184">
        <v>0</v>
      </c>
      <c r="K1184">
        <v>2</v>
      </c>
      <c r="L1184">
        <v>2</v>
      </c>
      <c r="M1184">
        <v>304</v>
      </c>
      <c r="N1184">
        <v>411</v>
      </c>
      <c r="O1184">
        <v>1</v>
      </c>
      <c r="P1184">
        <v>410</v>
      </c>
      <c r="Q1184">
        <v>57</v>
      </c>
      <c r="R1184">
        <v>54</v>
      </c>
      <c r="S1184">
        <v>18</v>
      </c>
      <c r="T1184">
        <v>16</v>
      </c>
      <c r="U1184">
        <v>11</v>
      </c>
      <c r="V1184">
        <v>3</v>
      </c>
      <c r="W1184">
        <v>14</v>
      </c>
      <c r="X1184">
        <v>6</v>
      </c>
      <c r="Y1184">
        <v>177</v>
      </c>
      <c r="Z1184">
        <v>6</v>
      </c>
      <c r="AA1184">
        <v>6</v>
      </c>
      <c r="AB1184">
        <v>18</v>
      </c>
      <c r="AC1184">
        <v>0</v>
      </c>
      <c r="AD1184">
        <v>0</v>
      </c>
      <c r="AE1184">
        <v>0</v>
      </c>
      <c r="AF1184">
        <v>0</v>
      </c>
      <c r="AK1184">
        <v>0</v>
      </c>
      <c r="AL1184">
        <v>0</v>
      </c>
      <c r="AM1184">
        <v>0</v>
      </c>
      <c r="AN1184">
        <v>0</v>
      </c>
      <c r="AP1184">
        <v>1</v>
      </c>
      <c r="AT1184">
        <v>3</v>
      </c>
      <c r="AU1184">
        <v>20</v>
      </c>
      <c r="AV1184">
        <v>410</v>
      </c>
      <c r="AW1184">
        <v>410</v>
      </c>
      <c r="AX1184">
        <v>692</v>
      </c>
      <c r="BA1184">
        <v>1</v>
      </c>
      <c r="BC1184" t="s">
        <v>2462</v>
      </c>
      <c r="BD1184" s="4">
        <v>43283.135416666664</v>
      </c>
      <c r="BE1184" s="4">
        <v>43283.140277777777</v>
      </c>
      <c r="BF1184" s="4">
        <v>43283.140277777777</v>
      </c>
      <c r="BG1184" t="s">
        <v>83</v>
      </c>
      <c r="BH1184" t="s">
        <v>84</v>
      </c>
      <c r="BI1184" t="s">
        <v>85</v>
      </c>
    </row>
    <row r="1185" spans="1:61" x14ac:dyDescent="0.3">
      <c r="A1185" t="str">
        <f>"200220C0200"</f>
        <v>200220C0200</v>
      </c>
      <c r="B1185" t="s">
        <v>2463</v>
      </c>
      <c r="C1185">
        <v>20</v>
      </c>
      <c r="D1185" t="s">
        <v>79</v>
      </c>
      <c r="E1185">
        <v>6</v>
      </c>
      <c r="F1185" t="s">
        <v>2299</v>
      </c>
      <c r="G1185">
        <v>220</v>
      </c>
      <c r="H1185">
        <v>2</v>
      </c>
      <c r="I1185" t="s">
        <v>89</v>
      </c>
      <c r="J1185">
        <v>0</v>
      </c>
      <c r="K1185">
        <v>2</v>
      </c>
      <c r="L1185">
        <v>2</v>
      </c>
      <c r="M1185">
        <v>295</v>
      </c>
      <c r="N1185">
        <v>420</v>
      </c>
      <c r="O1185">
        <v>4</v>
      </c>
      <c r="P1185">
        <v>420</v>
      </c>
      <c r="Q1185">
        <v>61</v>
      </c>
      <c r="R1185">
        <v>61</v>
      </c>
      <c r="S1185">
        <v>8</v>
      </c>
      <c r="T1185">
        <v>24</v>
      </c>
      <c r="U1185">
        <v>3</v>
      </c>
      <c r="V1185">
        <v>4</v>
      </c>
      <c r="W1185">
        <v>11</v>
      </c>
      <c r="X1185">
        <v>5</v>
      </c>
      <c r="Y1185">
        <v>187</v>
      </c>
      <c r="Z1185">
        <v>4</v>
      </c>
      <c r="AA1185">
        <v>1</v>
      </c>
      <c r="AB1185">
        <v>19</v>
      </c>
      <c r="AC1185">
        <v>1</v>
      </c>
      <c r="AD1185">
        <v>0</v>
      </c>
      <c r="AE1185">
        <v>0</v>
      </c>
      <c r="AF1185">
        <v>0</v>
      </c>
      <c r="AK1185">
        <v>4</v>
      </c>
      <c r="AL1185">
        <v>0</v>
      </c>
      <c r="AM1185">
        <v>0</v>
      </c>
      <c r="AN1185">
        <v>3</v>
      </c>
      <c r="AP1185">
        <v>1</v>
      </c>
      <c r="AT1185">
        <v>0</v>
      </c>
      <c r="AU1185">
        <v>23</v>
      </c>
      <c r="AV1185">
        <v>420</v>
      </c>
      <c r="AW1185">
        <v>420</v>
      </c>
      <c r="AX1185">
        <v>692</v>
      </c>
      <c r="BA1185">
        <v>1</v>
      </c>
      <c r="BC1185" t="s">
        <v>2464</v>
      </c>
      <c r="BD1185" s="4">
        <v>43283.133333333331</v>
      </c>
      <c r="BE1185" s="4">
        <v>43283.13621527778</v>
      </c>
      <c r="BF1185" s="4">
        <v>43283.13621527778</v>
      </c>
      <c r="BG1185" t="s">
        <v>83</v>
      </c>
      <c r="BH1185" t="s">
        <v>84</v>
      </c>
      <c r="BI1185" t="s">
        <v>85</v>
      </c>
    </row>
    <row r="1186" spans="1:61" x14ac:dyDescent="0.3">
      <c r="A1186" t="str">
        <f>"200220C0300"</f>
        <v>200220C0300</v>
      </c>
      <c r="B1186" t="s">
        <v>2465</v>
      </c>
      <c r="C1186">
        <v>20</v>
      </c>
      <c r="D1186" t="s">
        <v>79</v>
      </c>
      <c r="E1186">
        <v>6</v>
      </c>
      <c r="F1186" t="s">
        <v>2299</v>
      </c>
      <c r="G1186">
        <v>220</v>
      </c>
      <c r="H1186">
        <v>3</v>
      </c>
      <c r="I1186" t="s">
        <v>89</v>
      </c>
      <c r="J1186">
        <v>0</v>
      </c>
      <c r="K1186">
        <v>2</v>
      </c>
      <c r="L1186">
        <v>2</v>
      </c>
      <c r="M1186">
        <v>298</v>
      </c>
      <c r="N1186">
        <v>416</v>
      </c>
      <c r="O1186">
        <v>2</v>
      </c>
      <c r="P1186">
        <v>416</v>
      </c>
      <c r="Q1186">
        <v>32</v>
      </c>
      <c r="R1186">
        <v>63</v>
      </c>
      <c r="S1186">
        <v>13</v>
      </c>
      <c r="T1186">
        <v>14</v>
      </c>
      <c r="U1186">
        <v>10</v>
      </c>
      <c r="V1186">
        <v>2</v>
      </c>
      <c r="W1186">
        <v>18</v>
      </c>
      <c r="X1186">
        <v>4</v>
      </c>
      <c r="Y1186">
        <v>203</v>
      </c>
      <c r="Z1186">
        <v>7</v>
      </c>
      <c r="AA1186">
        <v>6</v>
      </c>
      <c r="AB1186">
        <v>18</v>
      </c>
      <c r="AC1186">
        <v>0</v>
      </c>
      <c r="AD1186">
        <v>1</v>
      </c>
      <c r="AE1186">
        <v>0</v>
      </c>
      <c r="AF1186">
        <v>0</v>
      </c>
      <c r="AK1186">
        <v>3</v>
      </c>
      <c r="AL1186">
        <v>0</v>
      </c>
      <c r="AM1186">
        <v>0</v>
      </c>
      <c r="AN1186">
        <v>2</v>
      </c>
      <c r="AP1186">
        <v>3</v>
      </c>
      <c r="AT1186">
        <v>2</v>
      </c>
      <c r="AU1186">
        <v>15</v>
      </c>
      <c r="AV1186">
        <v>416</v>
      </c>
      <c r="AW1186">
        <v>416</v>
      </c>
      <c r="AX1186">
        <v>692</v>
      </c>
      <c r="BA1186">
        <v>1</v>
      </c>
      <c r="BC1186" t="s">
        <v>2466</v>
      </c>
      <c r="BD1186" s="4">
        <v>43283.135416666664</v>
      </c>
      <c r="BE1186" s="4">
        <v>43283.142800925925</v>
      </c>
      <c r="BF1186" s="4">
        <v>43283.142800925925</v>
      </c>
      <c r="BG1186" t="s">
        <v>83</v>
      </c>
      <c r="BH1186" t="s">
        <v>84</v>
      </c>
      <c r="BI1186" t="s">
        <v>85</v>
      </c>
    </row>
    <row r="1187" spans="1:61" x14ac:dyDescent="0.3">
      <c r="A1187" t="str">
        <f>"200220E0100"</f>
        <v>200220E0100</v>
      </c>
      <c r="B1187" s="2" t="s">
        <v>2467</v>
      </c>
      <c r="C1187">
        <v>20</v>
      </c>
      <c r="D1187" t="s">
        <v>79</v>
      </c>
      <c r="E1187">
        <v>6</v>
      </c>
      <c r="F1187" t="s">
        <v>2299</v>
      </c>
      <c r="G1187">
        <v>220</v>
      </c>
      <c r="H1187">
        <v>1</v>
      </c>
      <c r="I1187" t="s">
        <v>145</v>
      </c>
      <c r="J1187">
        <v>0</v>
      </c>
      <c r="K1187">
        <v>2</v>
      </c>
      <c r="L1187">
        <v>2</v>
      </c>
      <c r="M1187">
        <v>253</v>
      </c>
      <c r="N1187">
        <v>268</v>
      </c>
      <c r="O1187">
        <v>11</v>
      </c>
      <c r="P1187">
        <v>268</v>
      </c>
      <c r="Q1187" t="s">
        <v>315</v>
      </c>
      <c r="R1187">
        <v>40</v>
      </c>
      <c r="S1187">
        <v>25</v>
      </c>
      <c r="T1187">
        <v>19</v>
      </c>
      <c r="U1187">
        <v>5</v>
      </c>
      <c r="V1187">
        <v>6</v>
      </c>
      <c r="W1187">
        <v>11</v>
      </c>
      <c r="X1187">
        <v>2</v>
      </c>
      <c r="Y1187">
        <v>102</v>
      </c>
      <c r="Z1187">
        <v>2</v>
      </c>
      <c r="AA1187">
        <v>2</v>
      </c>
      <c r="AB1187">
        <v>2</v>
      </c>
      <c r="AC1187">
        <v>1</v>
      </c>
      <c r="AD1187">
        <v>0</v>
      </c>
      <c r="AE1187">
        <v>0</v>
      </c>
      <c r="AF1187">
        <v>0</v>
      </c>
      <c r="AK1187">
        <v>1</v>
      </c>
      <c r="AL1187">
        <v>2</v>
      </c>
      <c r="AM1187">
        <v>0</v>
      </c>
      <c r="AN1187">
        <v>1</v>
      </c>
      <c r="AP1187">
        <v>1</v>
      </c>
      <c r="AT1187">
        <v>0</v>
      </c>
      <c r="AU1187">
        <v>10</v>
      </c>
      <c r="AV1187">
        <v>269</v>
      </c>
      <c r="AW1187">
        <v>232</v>
      </c>
      <c r="AX1187">
        <v>499</v>
      </c>
      <c r="AZ1187" t="s">
        <v>101</v>
      </c>
      <c r="BA1187">
        <v>1</v>
      </c>
      <c r="BC1187" t="s">
        <v>2468</v>
      </c>
      <c r="BD1187" s="4">
        <v>43283.134722222225</v>
      </c>
      <c r="BE1187" s="4">
        <v>43283.158819444441</v>
      </c>
      <c r="BF1187" s="4">
        <v>43283.158819444441</v>
      </c>
      <c r="BG1187" t="s">
        <v>83</v>
      </c>
      <c r="BH1187" t="s">
        <v>84</v>
      </c>
      <c r="BI1187" t="s">
        <v>85</v>
      </c>
    </row>
    <row r="1188" spans="1:61" x14ac:dyDescent="0.3">
      <c r="A1188" t="str">
        <f>"200221B0100"</f>
        <v>200221B0100</v>
      </c>
      <c r="B1188" t="s">
        <v>2469</v>
      </c>
      <c r="C1188">
        <v>20</v>
      </c>
      <c r="D1188" t="s">
        <v>79</v>
      </c>
      <c r="E1188">
        <v>6</v>
      </c>
      <c r="F1188" t="s">
        <v>2299</v>
      </c>
      <c r="G1188">
        <v>221</v>
      </c>
      <c r="H1188">
        <v>1</v>
      </c>
      <c r="I1188" t="s">
        <v>81</v>
      </c>
      <c r="J1188">
        <v>0</v>
      </c>
      <c r="K1188">
        <v>1</v>
      </c>
      <c r="L1188">
        <v>2</v>
      </c>
      <c r="M1188">
        <v>275</v>
      </c>
      <c r="N1188">
        <v>360</v>
      </c>
      <c r="O1188">
        <v>4</v>
      </c>
      <c r="P1188">
        <v>360</v>
      </c>
      <c r="Q1188">
        <v>40</v>
      </c>
      <c r="R1188">
        <v>64</v>
      </c>
      <c r="S1188">
        <v>8</v>
      </c>
      <c r="T1188">
        <v>12</v>
      </c>
      <c r="U1188">
        <v>7</v>
      </c>
      <c r="V1188">
        <v>9</v>
      </c>
      <c r="W1188">
        <v>14</v>
      </c>
      <c r="X1188">
        <v>4</v>
      </c>
      <c r="Y1188">
        <v>160</v>
      </c>
      <c r="Z1188">
        <v>7</v>
      </c>
      <c r="AA1188">
        <v>2</v>
      </c>
      <c r="AB1188">
        <v>9</v>
      </c>
      <c r="AC1188">
        <v>0</v>
      </c>
      <c r="AD1188">
        <v>0</v>
      </c>
      <c r="AE1188">
        <v>1</v>
      </c>
      <c r="AF1188">
        <v>0</v>
      </c>
      <c r="AK1188">
        <v>2</v>
      </c>
      <c r="AL1188">
        <v>2</v>
      </c>
      <c r="AM1188">
        <v>0</v>
      </c>
      <c r="AN1188">
        <v>2</v>
      </c>
      <c r="AP1188">
        <v>2</v>
      </c>
      <c r="AT1188">
        <v>0</v>
      </c>
      <c r="AU1188">
        <v>14</v>
      </c>
      <c r="AV1188">
        <v>359</v>
      </c>
      <c r="AW1188">
        <v>359</v>
      </c>
      <c r="AX1188">
        <v>612</v>
      </c>
      <c r="BA1188">
        <v>1</v>
      </c>
      <c r="BC1188" t="s">
        <v>2470</v>
      </c>
      <c r="BD1188" s="4">
        <v>43283.129166666666</v>
      </c>
      <c r="BE1188" s="4">
        <v>43283.136006944442</v>
      </c>
      <c r="BF1188" s="4">
        <v>43283.136006944442</v>
      </c>
      <c r="BG1188" t="s">
        <v>83</v>
      </c>
      <c r="BH1188" t="s">
        <v>84</v>
      </c>
      <c r="BI1188" t="s">
        <v>85</v>
      </c>
    </row>
    <row r="1189" spans="1:61" x14ac:dyDescent="0.3">
      <c r="A1189" t="str">
        <f>"200221C0100"</f>
        <v>200221C0100</v>
      </c>
      <c r="B1189" t="s">
        <v>2471</v>
      </c>
      <c r="C1189">
        <v>20</v>
      </c>
      <c r="D1189" t="s">
        <v>79</v>
      </c>
      <c r="E1189">
        <v>6</v>
      </c>
      <c r="F1189" t="s">
        <v>2299</v>
      </c>
      <c r="G1189">
        <v>221</v>
      </c>
      <c r="H1189">
        <v>1</v>
      </c>
      <c r="I1189" t="s">
        <v>89</v>
      </c>
      <c r="J1189">
        <v>0</v>
      </c>
      <c r="K1189">
        <v>1</v>
      </c>
      <c r="L1189">
        <v>2</v>
      </c>
      <c r="M1189">
        <v>245</v>
      </c>
      <c r="N1189">
        <v>389</v>
      </c>
      <c r="O1189">
        <v>5</v>
      </c>
      <c r="P1189">
        <v>389</v>
      </c>
      <c r="Q1189">
        <v>39</v>
      </c>
      <c r="R1189">
        <v>66</v>
      </c>
      <c r="S1189">
        <v>7</v>
      </c>
      <c r="T1189">
        <v>16</v>
      </c>
      <c r="U1189">
        <v>8</v>
      </c>
      <c r="V1189">
        <v>14</v>
      </c>
      <c r="W1189">
        <v>6</v>
      </c>
      <c r="X1189">
        <v>7</v>
      </c>
      <c r="Y1189">
        <v>189</v>
      </c>
      <c r="Z1189">
        <v>4</v>
      </c>
      <c r="AA1189">
        <v>2</v>
      </c>
      <c r="AB1189">
        <v>9</v>
      </c>
      <c r="AC1189">
        <v>1</v>
      </c>
      <c r="AD1189">
        <v>0</v>
      </c>
      <c r="AE1189">
        <v>0</v>
      </c>
      <c r="AF1189">
        <v>0</v>
      </c>
      <c r="AK1189">
        <v>3</v>
      </c>
      <c r="AL1189">
        <v>0</v>
      </c>
      <c r="AM1189">
        <v>0</v>
      </c>
      <c r="AN1189">
        <v>1</v>
      </c>
      <c r="AP1189">
        <v>2</v>
      </c>
      <c r="AT1189">
        <v>0</v>
      </c>
      <c r="AU1189">
        <v>14</v>
      </c>
      <c r="AV1189">
        <v>389</v>
      </c>
      <c r="AW1189">
        <v>388</v>
      </c>
      <c r="AX1189">
        <v>612</v>
      </c>
      <c r="BA1189">
        <v>1</v>
      </c>
      <c r="BC1189" t="s">
        <v>2472</v>
      </c>
      <c r="BD1189" s="4">
        <v>43283.127083333333</v>
      </c>
      <c r="BE1189" s="4">
        <v>43283.134363425925</v>
      </c>
      <c r="BF1189" s="4">
        <v>43283.134363425925</v>
      </c>
      <c r="BG1189" t="s">
        <v>83</v>
      </c>
      <c r="BH1189" t="s">
        <v>84</v>
      </c>
      <c r="BI1189" t="s">
        <v>85</v>
      </c>
    </row>
    <row r="1190" spans="1:61" x14ac:dyDescent="0.3">
      <c r="A1190" t="str">
        <f>"200222B0100"</f>
        <v>200222B0100</v>
      </c>
      <c r="B1190" t="s">
        <v>2473</v>
      </c>
      <c r="C1190">
        <v>20</v>
      </c>
      <c r="D1190" t="s">
        <v>79</v>
      </c>
      <c r="E1190">
        <v>6</v>
      </c>
      <c r="F1190" t="s">
        <v>2299</v>
      </c>
      <c r="G1190">
        <v>222</v>
      </c>
      <c r="H1190">
        <v>1</v>
      </c>
      <c r="I1190" t="s">
        <v>81</v>
      </c>
      <c r="J1190">
        <v>0</v>
      </c>
      <c r="K1190">
        <v>1</v>
      </c>
      <c r="L1190">
        <v>2</v>
      </c>
      <c r="M1190">
        <v>235</v>
      </c>
      <c r="N1190">
        <v>398</v>
      </c>
      <c r="O1190">
        <v>1</v>
      </c>
      <c r="P1190">
        <v>398</v>
      </c>
      <c r="Q1190">
        <v>86</v>
      </c>
      <c r="R1190">
        <v>117</v>
      </c>
      <c r="S1190">
        <v>13</v>
      </c>
      <c r="T1190">
        <v>10</v>
      </c>
      <c r="U1190">
        <v>5</v>
      </c>
      <c r="V1190">
        <v>5</v>
      </c>
      <c r="W1190">
        <v>6</v>
      </c>
      <c r="X1190">
        <v>2</v>
      </c>
      <c r="Y1190">
        <v>118</v>
      </c>
      <c r="Z1190">
        <v>7</v>
      </c>
      <c r="AA1190">
        <v>1</v>
      </c>
      <c r="AB1190">
        <v>6</v>
      </c>
      <c r="AC1190">
        <v>0</v>
      </c>
      <c r="AD1190">
        <v>0</v>
      </c>
      <c r="AE1190">
        <v>0</v>
      </c>
      <c r="AF1190">
        <v>0</v>
      </c>
      <c r="AK1190">
        <v>1</v>
      </c>
      <c r="AL1190">
        <v>0</v>
      </c>
      <c r="AM1190">
        <v>2</v>
      </c>
      <c r="AN1190">
        <v>1</v>
      </c>
      <c r="AP1190">
        <v>3</v>
      </c>
      <c r="AT1190">
        <v>0</v>
      </c>
      <c r="AU1190">
        <v>15</v>
      </c>
      <c r="AV1190">
        <v>398</v>
      </c>
      <c r="AW1190">
        <v>398</v>
      </c>
      <c r="AX1190">
        <v>610</v>
      </c>
      <c r="BA1190">
        <v>1</v>
      </c>
      <c r="BC1190" t="s">
        <v>2474</v>
      </c>
      <c r="BD1190" s="4">
        <v>43283.129166666666</v>
      </c>
      <c r="BE1190" s="4">
        <v>43283.134398148148</v>
      </c>
      <c r="BF1190" s="4">
        <v>43283.134398148148</v>
      </c>
      <c r="BG1190" t="s">
        <v>83</v>
      </c>
      <c r="BH1190" t="s">
        <v>84</v>
      </c>
      <c r="BI1190" t="s">
        <v>85</v>
      </c>
    </row>
    <row r="1191" spans="1:61" x14ac:dyDescent="0.3">
      <c r="A1191" t="str">
        <f>"200222C0100"</f>
        <v>200222C0100</v>
      </c>
      <c r="B1191" t="s">
        <v>2475</v>
      </c>
      <c r="C1191">
        <v>20</v>
      </c>
      <c r="D1191" t="s">
        <v>79</v>
      </c>
      <c r="E1191">
        <v>6</v>
      </c>
      <c r="F1191" t="s">
        <v>2299</v>
      </c>
      <c r="G1191">
        <v>222</v>
      </c>
      <c r="H1191">
        <v>1</v>
      </c>
      <c r="I1191" t="s">
        <v>89</v>
      </c>
      <c r="J1191">
        <v>0</v>
      </c>
      <c r="K1191">
        <v>1</v>
      </c>
      <c r="L1191">
        <v>2</v>
      </c>
      <c r="M1191">
        <v>244</v>
      </c>
      <c r="N1191">
        <v>389</v>
      </c>
      <c r="O1191">
        <v>1</v>
      </c>
      <c r="P1191">
        <v>389</v>
      </c>
      <c r="Q1191">
        <v>109</v>
      </c>
      <c r="R1191">
        <v>104</v>
      </c>
      <c r="S1191">
        <v>4</v>
      </c>
      <c r="T1191">
        <v>8</v>
      </c>
      <c r="U1191">
        <v>6</v>
      </c>
      <c r="V1191">
        <v>3</v>
      </c>
      <c r="W1191">
        <v>5</v>
      </c>
      <c r="X1191">
        <v>6</v>
      </c>
      <c r="Y1191">
        <v>125</v>
      </c>
      <c r="Z1191">
        <v>2</v>
      </c>
      <c r="AA1191">
        <v>2</v>
      </c>
      <c r="AB1191">
        <v>2</v>
      </c>
      <c r="AC1191">
        <v>1</v>
      </c>
      <c r="AD1191">
        <v>0</v>
      </c>
      <c r="AE1191">
        <v>0</v>
      </c>
      <c r="AF1191">
        <v>0</v>
      </c>
      <c r="AK1191">
        <v>1</v>
      </c>
      <c r="AL1191">
        <v>0</v>
      </c>
      <c r="AM1191">
        <v>0</v>
      </c>
      <c r="AN1191">
        <v>0</v>
      </c>
      <c r="AP1191">
        <v>0</v>
      </c>
      <c r="AT1191">
        <v>0</v>
      </c>
      <c r="AU1191">
        <v>11</v>
      </c>
      <c r="AV1191">
        <v>389</v>
      </c>
      <c r="AW1191">
        <v>389</v>
      </c>
      <c r="AX1191">
        <v>610</v>
      </c>
      <c r="BA1191">
        <v>1</v>
      </c>
      <c r="BC1191" t="s">
        <v>2476</v>
      </c>
      <c r="BD1191" s="4">
        <v>43283.128472222219</v>
      </c>
      <c r="BE1191" s="4">
        <v>43283.133900462963</v>
      </c>
      <c r="BF1191" s="4">
        <v>43283.133900462963</v>
      </c>
      <c r="BG1191" t="s">
        <v>83</v>
      </c>
      <c r="BH1191" t="s">
        <v>84</v>
      </c>
      <c r="BI1191" t="s">
        <v>85</v>
      </c>
    </row>
    <row r="1192" spans="1:61" x14ac:dyDescent="0.3">
      <c r="A1192" t="str">
        <f>"200223B0100"</f>
        <v>200223B0100</v>
      </c>
      <c r="B1192" t="s">
        <v>2477</v>
      </c>
      <c r="C1192">
        <v>20</v>
      </c>
      <c r="D1192" t="s">
        <v>79</v>
      </c>
      <c r="E1192">
        <v>6</v>
      </c>
      <c r="F1192" t="s">
        <v>2299</v>
      </c>
      <c r="G1192">
        <v>223</v>
      </c>
      <c r="H1192">
        <v>1</v>
      </c>
      <c r="I1192" t="s">
        <v>81</v>
      </c>
      <c r="J1192">
        <v>0</v>
      </c>
      <c r="K1192">
        <v>2</v>
      </c>
      <c r="L1192">
        <v>2</v>
      </c>
      <c r="M1192">
        <v>121</v>
      </c>
      <c r="N1192">
        <v>169</v>
      </c>
      <c r="O1192">
        <v>4</v>
      </c>
      <c r="P1192">
        <v>169</v>
      </c>
      <c r="Q1192">
        <v>24</v>
      </c>
      <c r="R1192">
        <v>64</v>
      </c>
      <c r="S1192">
        <v>3</v>
      </c>
      <c r="T1192">
        <v>5</v>
      </c>
      <c r="U1192">
        <v>2</v>
      </c>
      <c r="V1192">
        <v>1</v>
      </c>
      <c r="W1192">
        <v>4</v>
      </c>
      <c r="X1192">
        <v>2</v>
      </c>
      <c r="Y1192">
        <v>43</v>
      </c>
      <c r="Z1192">
        <v>2</v>
      </c>
      <c r="AA1192">
        <v>0</v>
      </c>
      <c r="AB1192">
        <v>0</v>
      </c>
      <c r="AC1192">
        <v>1</v>
      </c>
      <c r="AD1192">
        <v>1</v>
      </c>
      <c r="AE1192">
        <v>0</v>
      </c>
      <c r="AF1192">
        <v>0</v>
      </c>
      <c r="AK1192">
        <v>0</v>
      </c>
      <c r="AL1192">
        <v>0</v>
      </c>
      <c r="AM1192">
        <v>0</v>
      </c>
      <c r="AN1192">
        <v>1</v>
      </c>
      <c r="AP1192">
        <v>2</v>
      </c>
      <c r="AT1192">
        <v>0</v>
      </c>
      <c r="AU1192">
        <v>14</v>
      </c>
      <c r="AV1192">
        <v>169</v>
      </c>
      <c r="AW1192">
        <v>169</v>
      </c>
      <c r="AX1192">
        <v>267</v>
      </c>
      <c r="BA1192">
        <v>1</v>
      </c>
      <c r="BC1192" t="s">
        <v>2478</v>
      </c>
      <c r="BD1192" s="4">
        <v>43283.081250000003</v>
      </c>
      <c r="BE1192" s="4">
        <v>43283.087453703702</v>
      </c>
      <c r="BF1192" s="4">
        <v>43283.087453703702</v>
      </c>
      <c r="BG1192" t="s">
        <v>83</v>
      </c>
      <c r="BH1192" t="s">
        <v>84</v>
      </c>
      <c r="BI1192" t="s">
        <v>85</v>
      </c>
    </row>
    <row r="1193" spans="1:61" x14ac:dyDescent="0.3">
      <c r="A1193" t="str">
        <f>"200224B0100"</f>
        <v>200224B0100</v>
      </c>
      <c r="B1193" t="s">
        <v>2479</v>
      </c>
      <c r="C1193">
        <v>20</v>
      </c>
      <c r="D1193" t="s">
        <v>79</v>
      </c>
      <c r="E1193">
        <v>6</v>
      </c>
      <c r="F1193" t="s">
        <v>2299</v>
      </c>
      <c r="G1193">
        <v>224</v>
      </c>
      <c r="H1193">
        <v>1</v>
      </c>
      <c r="I1193" t="s">
        <v>81</v>
      </c>
      <c r="J1193">
        <v>0</v>
      </c>
      <c r="K1193">
        <v>2</v>
      </c>
      <c r="L1193">
        <v>2</v>
      </c>
      <c r="M1193" t="s">
        <v>100</v>
      </c>
      <c r="N1193" t="s">
        <v>100</v>
      </c>
      <c r="O1193" t="s">
        <v>100</v>
      </c>
      <c r="P1193" t="s">
        <v>100</v>
      </c>
      <c r="Q1193">
        <v>15</v>
      </c>
      <c r="R1193">
        <v>36</v>
      </c>
      <c r="S1193">
        <v>3</v>
      </c>
      <c r="T1193">
        <v>6</v>
      </c>
      <c r="U1193">
        <v>1</v>
      </c>
      <c r="V1193">
        <v>0</v>
      </c>
      <c r="W1193">
        <v>0</v>
      </c>
      <c r="X1193">
        <v>0</v>
      </c>
      <c r="Y1193">
        <v>37</v>
      </c>
      <c r="Z1193">
        <v>0</v>
      </c>
      <c r="AA1193">
        <v>0</v>
      </c>
      <c r="AB1193">
        <v>1</v>
      </c>
      <c r="AC1193">
        <v>0</v>
      </c>
      <c r="AD1193">
        <v>0</v>
      </c>
      <c r="AE1193">
        <v>0</v>
      </c>
      <c r="AF1193">
        <v>0</v>
      </c>
      <c r="AK1193">
        <v>1</v>
      </c>
      <c r="AL1193">
        <v>0</v>
      </c>
      <c r="AM1193">
        <v>0</v>
      </c>
      <c r="AN1193">
        <v>0</v>
      </c>
      <c r="AP1193">
        <v>1</v>
      </c>
      <c r="AT1193">
        <v>0</v>
      </c>
      <c r="AU1193">
        <v>1</v>
      </c>
      <c r="AV1193">
        <v>102</v>
      </c>
      <c r="AW1193">
        <v>102</v>
      </c>
      <c r="AX1193">
        <v>160</v>
      </c>
      <c r="BA1193">
        <v>1</v>
      </c>
      <c r="BC1193" t="s">
        <v>2480</v>
      </c>
      <c r="BD1193" s="4">
        <v>43283.079861111109</v>
      </c>
      <c r="BE1193" s="4">
        <v>43283.08384259259</v>
      </c>
      <c r="BF1193" s="4">
        <v>43283.08384259259</v>
      </c>
      <c r="BG1193" t="s">
        <v>83</v>
      </c>
      <c r="BH1193" t="s">
        <v>84</v>
      </c>
      <c r="BI1193" t="s">
        <v>85</v>
      </c>
    </row>
    <row r="1194" spans="1:61" x14ac:dyDescent="0.3">
      <c r="A1194" t="str">
        <f>"200225B0100"</f>
        <v>200225B0100</v>
      </c>
      <c r="B1194" t="s">
        <v>2481</v>
      </c>
      <c r="C1194">
        <v>20</v>
      </c>
      <c r="D1194" t="s">
        <v>79</v>
      </c>
      <c r="E1194">
        <v>6</v>
      </c>
      <c r="F1194" t="s">
        <v>2299</v>
      </c>
      <c r="G1194">
        <v>225</v>
      </c>
      <c r="H1194">
        <v>1</v>
      </c>
      <c r="I1194" t="s">
        <v>81</v>
      </c>
      <c r="J1194">
        <v>0</v>
      </c>
      <c r="K1194">
        <v>2</v>
      </c>
      <c r="L1194">
        <v>2</v>
      </c>
      <c r="M1194">
        <v>88</v>
      </c>
      <c r="N1194">
        <v>152</v>
      </c>
      <c r="O1194">
        <v>7</v>
      </c>
      <c r="P1194">
        <v>152</v>
      </c>
      <c r="Q1194">
        <v>5</v>
      </c>
      <c r="R1194">
        <v>79</v>
      </c>
      <c r="S1194">
        <v>3</v>
      </c>
      <c r="T1194">
        <v>4</v>
      </c>
      <c r="U1194">
        <v>6</v>
      </c>
      <c r="V1194">
        <v>1</v>
      </c>
      <c r="W1194">
        <v>1</v>
      </c>
      <c r="X1194">
        <v>1</v>
      </c>
      <c r="Y1194">
        <v>33</v>
      </c>
      <c r="Z1194">
        <v>2</v>
      </c>
      <c r="AA1194">
        <v>0</v>
      </c>
      <c r="AB1194">
        <v>3</v>
      </c>
      <c r="AC1194">
        <v>0</v>
      </c>
      <c r="AD1194">
        <v>0</v>
      </c>
      <c r="AE1194">
        <v>0</v>
      </c>
      <c r="AF1194">
        <v>0</v>
      </c>
      <c r="AK1194">
        <v>3</v>
      </c>
      <c r="AL1194">
        <v>1</v>
      </c>
      <c r="AM1194">
        <v>0</v>
      </c>
      <c r="AN1194">
        <v>1</v>
      </c>
      <c r="AP1194">
        <v>1</v>
      </c>
      <c r="AT1194">
        <v>0</v>
      </c>
      <c r="AU1194">
        <v>8</v>
      </c>
      <c r="AV1194">
        <v>152</v>
      </c>
      <c r="AW1194">
        <v>152</v>
      </c>
      <c r="AX1194">
        <v>217</v>
      </c>
      <c r="BA1194">
        <v>1</v>
      </c>
      <c r="BC1194" t="s">
        <v>2482</v>
      </c>
      <c r="BD1194" s="4">
        <v>43283.081944444442</v>
      </c>
      <c r="BE1194" s="4">
        <v>43283.086099537039</v>
      </c>
      <c r="BF1194" s="4">
        <v>43283.086099537039</v>
      </c>
      <c r="BG1194" t="s">
        <v>83</v>
      </c>
      <c r="BH1194" t="s">
        <v>84</v>
      </c>
      <c r="BI1194" t="s">
        <v>85</v>
      </c>
    </row>
    <row r="1195" spans="1:61" x14ac:dyDescent="0.3">
      <c r="A1195" t="str">
        <f>"200226B0100"</f>
        <v>200226B0100</v>
      </c>
      <c r="B1195" t="s">
        <v>2483</v>
      </c>
      <c r="C1195">
        <v>20</v>
      </c>
      <c r="D1195" t="s">
        <v>79</v>
      </c>
      <c r="E1195">
        <v>6</v>
      </c>
      <c r="F1195" t="s">
        <v>2299</v>
      </c>
      <c r="G1195">
        <v>226</v>
      </c>
      <c r="H1195">
        <v>1</v>
      </c>
      <c r="I1195" t="s">
        <v>81</v>
      </c>
      <c r="J1195">
        <v>0</v>
      </c>
      <c r="K1195">
        <v>2</v>
      </c>
      <c r="L1195">
        <v>2</v>
      </c>
      <c r="M1195" t="s">
        <v>100</v>
      </c>
      <c r="N1195" t="s">
        <v>100</v>
      </c>
      <c r="O1195" t="s">
        <v>100</v>
      </c>
      <c r="P1195" t="s">
        <v>100</v>
      </c>
      <c r="Q1195">
        <v>66</v>
      </c>
      <c r="R1195">
        <v>89</v>
      </c>
      <c r="S1195">
        <v>9</v>
      </c>
      <c r="T1195">
        <v>16</v>
      </c>
      <c r="U1195">
        <v>13</v>
      </c>
      <c r="V1195">
        <v>3</v>
      </c>
      <c r="W1195">
        <v>12</v>
      </c>
      <c r="X1195">
        <v>3</v>
      </c>
      <c r="Y1195">
        <v>106</v>
      </c>
      <c r="Z1195">
        <v>2</v>
      </c>
      <c r="AA1195">
        <v>1</v>
      </c>
      <c r="AB1195">
        <v>8</v>
      </c>
      <c r="AC1195">
        <v>1</v>
      </c>
      <c r="AD1195">
        <v>1</v>
      </c>
      <c r="AE1195">
        <v>1</v>
      </c>
      <c r="AF1195">
        <v>0</v>
      </c>
      <c r="AK1195">
        <v>7</v>
      </c>
      <c r="AL1195">
        <v>3</v>
      </c>
      <c r="AM1195">
        <v>0</v>
      </c>
      <c r="AN1195">
        <v>1</v>
      </c>
      <c r="AP1195">
        <v>5</v>
      </c>
      <c r="AT1195">
        <v>0</v>
      </c>
      <c r="AU1195">
        <v>13</v>
      </c>
      <c r="AV1195">
        <v>357</v>
      </c>
      <c r="AW1195">
        <v>360</v>
      </c>
      <c r="AX1195">
        <v>687</v>
      </c>
      <c r="BA1195">
        <v>1</v>
      </c>
      <c r="BC1195" t="s">
        <v>2484</v>
      </c>
      <c r="BD1195" s="4">
        <v>43283.685416666667</v>
      </c>
      <c r="BE1195" s="4">
        <v>43283.688564814816</v>
      </c>
      <c r="BF1195" s="4">
        <v>43283.688564814816</v>
      </c>
      <c r="BG1195" t="s">
        <v>83</v>
      </c>
      <c r="BH1195" t="s">
        <v>84</v>
      </c>
      <c r="BI1195" t="s">
        <v>85</v>
      </c>
    </row>
    <row r="1196" spans="1:61" x14ac:dyDescent="0.3">
      <c r="A1196" t="str">
        <f>"200227B0100"</f>
        <v>200227B0100</v>
      </c>
      <c r="B1196" t="s">
        <v>2485</v>
      </c>
      <c r="C1196">
        <v>20</v>
      </c>
      <c r="D1196" t="s">
        <v>79</v>
      </c>
      <c r="E1196">
        <v>6</v>
      </c>
      <c r="F1196" t="s">
        <v>2299</v>
      </c>
      <c r="G1196">
        <v>227</v>
      </c>
      <c r="H1196">
        <v>1</v>
      </c>
      <c r="I1196" t="s">
        <v>81</v>
      </c>
      <c r="J1196">
        <v>0</v>
      </c>
      <c r="K1196">
        <v>2</v>
      </c>
      <c r="L1196">
        <v>2</v>
      </c>
      <c r="M1196">
        <v>220</v>
      </c>
      <c r="N1196">
        <v>238</v>
      </c>
      <c r="O1196">
        <v>4</v>
      </c>
      <c r="P1196">
        <v>238</v>
      </c>
      <c r="Q1196">
        <v>80</v>
      </c>
      <c r="R1196">
        <v>40</v>
      </c>
      <c r="S1196">
        <v>5</v>
      </c>
      <c r="T1196">
        <v>12</v>
      </c>
      <c r="U1196">
        <v>3</v>
      </c>
      <c r="V1196">
        <v>2</v>
      </c>
      <c r="W1196">
        <v>2</v>
      </c>
      <c r="X1196">
        <v>1</v>
      </c>
      <c r="Y1196">
        <v>64</v>
      </c>
      <c r="Z1196">
        <v>2</v>
      </c>
      <c r="AA1196">
        <v>0</v>
      </c>
      <c r="AB1196">
        <v>6</v>
      </c>
      <c r="AC1196">
        <v>0</v>
      </c>
      <c r="AD1196">
        <v>1</v>
      </c>
      <c r="AE1196">
        <v>0</v>
      </c>
      <c r="AF1196">
        <v>0</v>
      </c>
      <c r="AK1196">
        <v>0</v>
      </c>
      <c r="AL1196">
        <v>0</v>
      </c>
      <c r="AM1196">
        <v>0</v>
      </c>
      <c r="AN1196">
        <v>0</v>
      </c>
      <c r="AP1196">
        <v>2</v>
      </c>
      <c r="AT1196">
        <v>1</v>
      </c>
      <c r="AU1196">
        <v>17</v>
      </c>
      <c r="AV1196">
        <v>238</v>
      </c>
      <c r="AW1196">
        <v>238</v>
      </c>
      <c r="AX1196">
        <v>435</v>
      </c>
      <c r="BA1196">
        <v>1</v>
      </c>
      <c r="BC1196" t="s">
        <v>2486</v>
      </c>
      <c r="BD1196" s="4">
        <v>43283.05</v>
      </c>
      <c r="BE1196" s="4">
        <v>43283.05541666667</v>
      </c>
      <c r="BF1196" s="4">
        <v>43283.05541666667</v>
      </c>
      <c r="BG1196" t="s">
        <v>83</v>
      </c>
      <c r="BH1196" t="s">
        <v>84</v>
      </c>
      <c r="BI1196" t="s">
        <v>85</v>
      </c>
    </row>
    <row r="1197" spans="1:61" x14ac:dyDescent="0.3">
      <c r="A1197" t="str">
        <f>"200227C0100"</f>
        <v>200227C0100</v>
      </c>
      <c r="B1197" t="s">
        <v>2487</v>
      </c>
      <c r="C1197">
        <v>20</v>
      </c>
      <c r="D1197" t="s">
        <v>79</v>
      </c>
      <c r="E1197">
        <v>6</v>
      </c>
      <c r="F1197" t="s">
        <v>2299</v>
      </c>
      <c r="G1197">
        <v>227</v>
      </c>
      <c r="H1197">
        <v>1</v>
      </c>
      <c r="I1197" t="s">
        <v>89</v>
      </c>
      <c r="J1197">
        <v>0</v>
      </c>
      <c r="K1197">
        <v>2</v>
      </c>
      <c r="L1197">
        <v>2</v>
      </c>
      <c r="M1197">
        <v>218</v>
      </c>
      <c r="N1197">
        <v>240</v>
      </c>
      <c r="O1197">
        <v>5</v>
      </c>
      <c r="P1197">
        <v>240</v>
      </c>
      <c r="Q1197">
        <v>87</v>
      </c>
      <c r="R1197">
        <v>39</v>
      </c>
      <c r="S1197">
        <v>8</v>
      </c>
      <c r="T1197">
        <v>10</v>
      </c>
      <c r="U1197">
        <v>7</v>
      </c>
      <c r="V1197">
        <v>5</v>
      </c>
      <c r="W1197">
        <v>3</v>
      </c>
      <c r="X1197">
        <v>5</v>
      </c>
      <c r="Y1197">
        <v>51</v>
      </c>
      <c r="Z1197">
        <v>2</v>
      </c>
      <c r="AA1197">
        <v>2</v>
      </c>
      <c r="AB1197">
        <v>4</v>
      </c>
      <c r="AC1197">
        <v>0</v>
      </c>
      <c r="AD1197">
        <v>1</v>
      </c>
      <c r="AE1197">
        <v>0</v>
      </c>
      <c r="AF1197">
        <v>0</v>
      </c>
      <c r="AK1197">
        <v>0</v>
      </c>
      <c r="AL1197">
        <v>0</v>
      </c>
      <c r="AM1197">
        <v>0</v>
      </c>
      <c r="AN1197">
        <v>1</v>
      </c>
      <c r="AP1197">
        <v>0</v>
      </c>
      <c r="AT1197">
        <v>1</v>
      </c>
      <c r="AU1197">
        <v>14</v>
      </c>
      <c r="AV1197">
        <v>240</v>
      </c>
      <c r="AW1197">
        <v>240</v>
      </c>
      <c r="AX1197">
        <v>435</v>
      </c>
      <c r="BA1197">
        <v>1</v>
      </c>
      <c r="BC1197" t="s">
        <v>2488</v>
      </c>
      <c r="BD1197" s="4">
        <v>43283.029166666667</v>
      </c>
      <c r="BE1197" s="4">
        <v>43283.034050925926</v>
      </c>
      <c r="BF1197" s="4">
        <v>43283.034050925926</v>
      </c>
      <c r="BG1197" t="s">
        <v>83</v>
      </c>
      <c r="BH1197" t="s">
        <v>84</v>
      </c>
      <c r="BI1197" t="s">
        <v>85</v>
      </c>
    </row>
    <row r="1198" spans="1:61" x14ac:dyDescent="0.3">
      <c r="A1198" t="str">
        <f>"200228B0100"</f>
        <v>200228B0100</v>
      </c>
      <c r="B1198" t="s">
        <v>2489</v>
      </c>
      <c r="C1198">
        <v>20</v>
      </c>
      <c r="D1198" t="s">
        <v>79</v>
      </c>
      <c r="E1198">
        <v>6</v>
      </c>
      <c r="F1198" t="s">
        <v>2299</v>
      </c>
      <c r="G1198">
        <v>228</v>
      </c>
      <c r="H1198">
        <v>1</v>
      </c>
      <c r="I1198" t="s">
        <v>81</v>
      </c>
      <c r="J1198">
        <v>0</v>
      </c>
      <c r="K1198">
        <v>2</v>
      </c>
      <c r="L1198">
        <v>2</v>
      </c>
      <c r="M1198">
        <v>283</v>
      </c>
      <c r="N1198">
        <v>279</v>
      </c>
      <c r="O1198">
        <v>5</v>
      </c>
      <c r="P1198">
        <v>279</v>
      </c>
      <c r="Q1198">
        <v>76</v>
      </c>
      <c r="R1198">
        <v>56</v>
      </c>
      <c r="S1198">
        <v>7</v>
      </c>
      <c r="T1198">
        <v>9</v>
      </c>
      <c r="U1198">
        <v>4</v>
      </c>
      <c r="V1198">
        <v>1</v>
      </c>
      <c r="W1198">
        <v>6</v>
      </c>
      <c r="X1198">
        <v>6</v>
      </c>
      <c r="Y1198">
        <v>85</v>
      </c>
      <c r="Z1198">
        <v>4</v>
      </c>
      <c r="AA1198">
        <v>0</v>
      </c>
      <c r="AB1198">
        <v>2</v>
      </c>
      <c r="AC1198">
        <v>2</v>
      </c>
      <c r="AD1198">
        <v>0</v>
      </c>
      <c r="AE1198">
        <v>0</v>
      </c>
      <c r="AF1198">
        <v>0</v>
      </c>
      <c r="AK1198">
        <v>1</v>
      </c>
      <c r="AL1198">
        <v>0</v>
      </c>
      <c r="AM1198">
        <v>0</v>
      </c>
      <c r="AN1198">
        <v>2</v>
      </c>
      <c r="AP1198">
        <v>1</v>
      </c>
      <c r="AT1198">
        <v>1</v>
      </c>
      <c r="AU1198">
        <v>16</v>
      </c>
      <c r="AV1198">
        <v>279</v>
      </c>
      <c r="AW1198">
        <v>279</v>
      </c>
      <c r="AX1198">
        <v>539</v>
      </c>
      <c r="BA1198">
        <v>1</v>
      </c>
      <c r="BC1198" t="s">
        <v>2490</v>
      </c>
      <c r="BD1198" s="4">
        <v>43283.140972222223</v>
      </c>
      <c r="BE1198" s="4">
        <v>43283.144930555558</v>
      </c>
      <c r="BF1198" s="4">
        <v>43283.144930555558</v>
      </c>
      <c r="BG1198" t="s">
        <v>83</v>
      </c>
      <c r="BH1198" t="s">
        <v>84</v>
      </c>
      <c r="BI1198" t="s">
        <v>85</v>
      </c>
    </row>
    <row r="1199" spans="1:61" x14ac:dyDescent="0.3">
      <c r="A1199" t="str">
        <f>"200228C0100"</f>
        <v>200228C0100</v>
      </c>
      <c r="B1199" t="s">
        <v>2491</v>
      </c>
      <c r="C1199">
        <v>20</v>
      </c>
      <c r="D1199" t="s">
        <v>79</v>
      </c>
      <c r="E1199">
        <v>6</v>
      </c>
      <c r="F1199" t="s">
        <v>2299</v>
      </c>
      <c r="G1199">
        <v>228</v>
      </c>
      <c r="H1199">
        <v>1</v>
      </c>
      <c r="I1199" t="s">
        <v>89</v>
      </c>
      <c r="J1199">
        <v>0</v>
      </c>
      <c r="K1199">
        <v>2</v>
      </c>
      <c r="L1199">
        <v>2</v>
      </c>
      <c r="M1199">
        <v>292</v>
      </c>
      <c r="N1199">
        <v>270</v>
      </c>
      <c r="O1199">
        <v>6</v>
      </c>
      <c r="P1199">
        <v>269</v>
      </c>
      <c r="Q1199">
        <v>81</v>
      </c>
      <c r="R1199">
        <v>38</v>
      </c>
      <c r="S1199">
        <v>9</v>
      </c>
      <c r="T1199">
        <v>17</v>
      </c>
      <c r="U1199">
        <v>1</v>
      </c>
      <c r="V1199">
        <v>6</v>
      </c>
      <c r="W1199">
        <v>6</v>
      </c>
      <c r="X1199">
        <v>4</v>
      </c>
      <c r="Y1199">
        <v>82</v>
      </c>
      <c r="Z1199">
        <v>2</v>
      </c>
      <c r="AA1199">
        <v>1</v>
      </c>
      <c r="AB1199">
        <v>4</v>
      </c>
      <c r="AC1199">
        <v>1</v>
      </c>
      <c r="AD1199">
        <v>2</v>
      </c>
      <c r="AE1199">
        <v>0</v>
      </c>
      <c r="AF1199">
        <v>0</v>
      </c>
      <c r="AK1199">
        <v>1</v>
      </c>
      <c r="AL1199">
        <v>0</v>
      </c>
      <c r="AM1199">
        <v>0</v>
      </c>
      <c r="AN1199">
        <v>2</v>
      </c>
      <c r="AP1199">
        <v>1</v>
      </c>
      <c r="AT1199">
        <v>0</v>
      </c>
      <c r="AU1199">
        <v>17</v>
      </c>
      <c r="AV1199">
        <v>270</v>
      </c>
      <c r="AW1199">
        <v>275</v>
      </c>
      <c r="AX1199">
        <v>539</v>
      </c>
      <c r="BA1199">
        <v>1</v>
      </c>
      <c r="BC1199" t="s">
        <v>2492</v>
      </c>
      <c r="BD1199" s="4">
        <v>43283.142361111109</v>
      </c>
      <c r="BE1199" s="4">
        <v>43283.160497685189</v>
      </c>
      <c r="BF1199" s="4">
        <v>43283.160497685189</v>
      </c>
      <c r="BG1199" t="s">
        <v>83</v>
      </c>
      <c r="BH1199" t="s">
        <v>84</v>
      </c>
      <c r="BI1199" t="s">
        <v>85</v>
      </c>
    </row>
    <row r="1200" spans="1:61" x14ac:dyDescent="0.3">
      <c r="A1200" t="str">
        <f>"200228C0200"</f>
        <v>200228C0200</v>
      </c>
      <c r="B1200" t="s">
        <v>2493</v>
      </c>
      <c r="C1200">
        <v>20</v>
      </c>
      <c r="D1200" t="s">
        <v>79</v>
      </c>
      <c r="E1200">
        <v>6</v>
      </c>
      <c r="F1200" t="s">
        <v>2299</v>
      </c>
      <c r="G1200">
        <v>228</v>
      </c>
      <c r="H1200">
        <v>2</v>
      </c>
      <c r="I1200" t="s">
        <v>89</v>
      </c>
      <c r="J1200">
        <v>0</v>
      </c>
      <c r="K1200">
        <v>2</v>
      </c>
      <c r="L1200">
        <v>2</v>
      </c>
      <c r="M1200">
        <v>290</v>
      </c>
      <c r="N1200">
        <v>268</v>
      </c>
      <c r="O1200">
        <v>5</v>
      </c>
      <c r="P1200">
        <v>271</v>
      </c>
      <c r="Q1200">
        <v>101</v>
      </c>
      <c r="R1200">
        <v>32</v>
      </c>
      <c r="S1200">
        <v>10</v>
      </c>
      <c r="T1200">
        <v>26</v>
      </c>
      <c r="U1200">
        <v>5</v>
      </c>
      <c r="V1200">
        <v>2</v>
      </c>
      <c r="W1200">
        <v>10</v>
      </c>
      <c r="X1200">
        <v>6</v>
      </c>
      <c r="Y1200">
        <v>62</v>
      </c>
      <c r="Z1200">
        <v>3</v>
      </c>
      <c r="AA1200">
        <v>0</v>
      </c>
      <c r="AB1200">
        <v>1</v>
      </c>
      <c r="AC1200">
        <v>1</v>
      </c>
      <c r="AD1200">
        <v>0</v>
      </c>
      <c r="AE1200">
        <v>0</v>
      </c>
      <c r="AF1200">
        <v>0</v>
      </c>
      <c r="AK1200">
        <v>2</v>
      </c>
      <c r="AL1200">
        <v>0</v>
      </c>
      <c r="AM1200">
        <v>1</v>
      </c>
      <c r="AN1200">
        <v>1</v>
      </c>
      <c r="AP1200">
        <v>1</v>
      </c>
      <c r="AT1200">
        <v>0</v>
      </c>
      <c r="AU1200">
        <v>7</v>
      </c>
      <c r="AV1200">
        <v>271</v>
      </c>
      <c r="AW1200">
        <v>271</v>
      </c>
      <c r="AX1200">
        <v>538</v>
      </c>
      <c r="BA1200">
        <v>1</v>
      </c>
      <c r="BC1200" t="s">
        <v>2494</v>
      </c>
      <c r="BD1200" s="4">
        <v>43283.073611111111</v>
      </c>
      <c r="BE1200" s="4">
        <v>43283.077060185184</v>
      </c>
      <c r="BF1200" s="4">
        <v>43283.077060185184</v>
      </c>
      <c r="BG1200" t="s">
        <v>83</v>
      </c>
      <c r="BH1200" t="s">
        <v>84</v>
      </c>
      <c r="BI1200" t="s">
        <v>85</v>
      </c>
    </row>
    <row r="1201" spans="1:61" x14ac:dyDescent="0.3">
      <c r="A1201" t="str">
        <f>"200228E0100"</f>
        <v>200228E0100</v>
      </c>
      <c r="B1201" s="2" t="s">
        <v>2495</v>
      </c>
      <c r="C1201">
        <v>20</v>
      </c>
      <c r="D1201" t="s">
        <v>79</v>
      </c>
      <c r="E1201">
        <v>6</v>
      </c>
      <c r="F1201" t="s">
        <v>2299</v>
      </c>
      <c r="G1201">
        <v>228</v>
      </c>
      <c r="H1201">
        <v>1</v>
      </c>
      <c r="I1201" t="s">
        <v>145</v>
      </c>
      <c r="J1201">
        <v>0</v>
      </c>
      <c r="K1201">
        <v>2</v>
      </c>
      <c r="L1201">
        <v>2</v>
      </c>
      <c r="M1201">
        <v>240</v>
      </c>
      <c r="N1201">
        <v>320</v>
      </c>
      <c r="O1201">
        <v>11</v>
      </c>
      <c r="P1201">
        <v>318</v>
      </c>
      <c r="Q1201">
        <v>49</v>
      </c>
      <c r="R1201">
        <v>47</v>
      </c>
      <c r="S1201">
        <v>6</v>
      </c>
      <c r="T1201">
        <v>15</v>
      </c>
      <c r="U1201">
        <v>11</v>
      </c>
      <c r="V1201">
        <v>7</v>
      </c>
      <c r="W1201">
        <v>8</v>
      </c>
      <c r="X1201">
        <v>18</v>
      </c>
      <c r="Y1201">
        <v>113</v>
      </c>
      <c r="Z1201">
        <v>0</v>
      </c>
      <c r="AA1201">
        <v>2</v>
      </c>
      <c r="AB1201">
        <v>12</v>
      </c>
      <c r="AC1201">
        <v>2</v>
      </c>
      <c r="AD1201">
        <v>0</v>
      </c>
      <c r="AE1201">
        <v>0</v>
      </c>
      <c r="AF1201">
        <v>0</v>
      </c>
      <c r="AK1201">
        <v>2</v>
      </c>
      <c r="AL1201">
        <v>3</v>
      </c>
      <c r="AM1201">
        <v>0</v>
      </c>
      <c r="AN1201">
        <v>1</v>
      </c>
      <c r="AP1201">
        <v>0</v>
      </c>
      <c r="AT1201">
        <v>0</v>
      </c>
      <c r="AU1201">
        <v>22</v>
      </c>
      <c r="AV1201">
        <v>318</v>
      </c>
      <c r="AW1201">
        <v>318</v>
      </c>
      <c r="AX1201">
        <v>537</v>
      </c>
      <c r="BA1201">
        <v>1</v>
      </c>
      <c r="BC1201" t="s">
        <v>2496</v>
      </c>
      <c r="BD1201" s="4">
        <v>43283.686111111114</v>
      </c>
      <c r="BE1201" s="4">
        <v>43283.690023148149</v>
      </c>
      <c r="BF1201" s="4">
        <v>43283.690023148149</v>
      </c>
      <c r="BG1201" t="s">
        <v>83</v>
      </c>
      <c r="BH1201" t="s">
        <v>84</v>
      </c>
      <c r="BI1201" t="s">
        <v>85</v>
      </c>
    </row>
    <row r="1202" spans="1:61" x14ac:dyDescent="0.3">
      <c r="A1202" t="str">
        <f>"200228E0101"</f>
        <v>200228E0101</v>
      </c>
      <c r="B1202" s="2" t="s">
        <v>2497</v>
      </c>
      <c r="C1202">
        <v>20</v>
      </c>
      <c r="D1202" t="s">
        <v>79</v>
      </c>
      <c r="E1202">
        <v>6</v>
      </c>
      <c r="F1202" t="s">
        <v>2299</v>
      </c>
      <c r="G1202">
        <v>228</v>
      </c>
      <c r="H1202">
        <v>1</v>
      </c>
      <c r="I1202" t="s">
        <v>145</v>
      </c>
      <c r="J1202">
        <v>1</v>
      </c>
      <c r="K1202">
        <v>2</v>
      </c>
      <c r="L1202">
        <v>2</v>
      </c>
      <c r="M1202">
        <v>268</v>
      </c>
      <c r="N1202">
        <v>292</v>
      </c>
      <c r="O1202">
        <v>8</v>
      </c>
      <c r="P1202">
        <v>293</v>
      </c>
      <c r="Q1202">
        <v>61</v>
      </c>
      <c r="R1202">
        <v>57</v>
      </c>
      <c r="S1202">
        <v>3</v>
      </c>
      <c r="T1202">
        <v>7</v>
      </c>
      <c r="U1202">
        <v>13</v>
      </c>
      <c r="V1202">
        <v>3</v>
      </c>
      <c r="W1202">
        <v>4</v>
      </c>
      <c r="X1202">
        <v>10</v>
      </c>
      <c r="Y1202">
        <v>102</v>
      </c>
      <c r="Z1202">
        <v>4</v>
      </c>
      <c r="AA1202">
        <v>1</v>
      </c>
      <c r="AB1202">
        <v>4</v>
      </c>
      <c r="AC1202">
        <v>1</v>
      </c>
      <c r="AD1202">
        <v>0</v>
      </c>
      <c r="AE1202">
        <v>1</v>
      </c>
      <c r="AF1202">
        <v>0</v>
      </c>
      <c r="AK1202">
        <v>3</v>
      </c>
      <c r="AL1202">
        <v>0</v>
      </c>
      <c r="AM1202">
        <v>0</v>
      </c>
      <c r="AN1202">
        <v>1</v>
      </c>
      <c r="AP1202">
        <v>2</v>
      </c>
      <c r="AT1202">
        <v>0</v>
      </c>
      <c r="AU1202">
        <v>16</v>
      </c>
      <c r="AV1202">
        <v>293</v>
      </c>
      <c r="AW1202">
        <v>293</v>
      </c>
      <c r="AX1202">
        <v>537</v>
      </c>
      <c r="BA1202">
        <v>1</v>
      </c>
      <c r="BC1202" t="s">
        <v>2498</v>
      </c>
      <c r="BD1202" s="4">
        <v>43283.686805555553</v>
      </c>
      <c r="BE1202" s="4">
        <v>43283.690821759257</v>
      </c>
      <c r="BF1202" s="4">
        <v>43283.690821759257</v>
      </c>
      <c r="BG1202" t="s">
        <v>83</v>
      </c>
      <c r="BH1202" t="s">
        <v>84</v>
      </c>
      <c r="BI1202" t="s">
        <v>85</v>
      </c>
    </row>
    <row r="1203" spans="1:61" x14ac:dyDescent="0.3">
      <c r="A1203" t="str">
        <f>"200228E0102"</f>
        <v>200228E0102</v>
      </c>
      <c r="B1203" s="2" t="s">
        <v>2499</v>
      </c>
      <c r="C1203">
        <v>20</v>
      </c>
      <c r="D1203" t="s">
        <v>79</v>
      </c>
      <c r="E1203">
        <v>6</v>
      </c>
      <c r="F1203" t="s">
        <v>2299</v>
      </c>
      <c r="G1203">
        <v>228</v>
      </c>
      <c r="H1203">
        <v>1</v>
      </c>
      <c r="I1203" t="s">
        <v>145</v>
      </c>
      <c r="J1203">
        <v>2</v>
      </c>
      <c r="K1203">
        <v>2</v>
      </c>
      <c r="L1203">
        <v>2</v>
      </c>
      <c r="M1203">
        <v>293</v>
      </c>
      <c r="N1203">
        <v>267</v>
      </c>
      <c r="O1203">
        <v>0</v>
      </c>
      <c r="P1203">
        <v>266</v>
      </c>
      <c r="Q1203">
        <v>78</v>
      </c>
      <c r="R1203">
        <v>67</v>
      </c>
      <c r="S1203">
        <v>7</v>
      </c>
      <c r="T1203">
        <v>15</v>
      </c>
      <c r="U1203">
        <v>5</v>
      </c>
      <c r="V1203">
        <v>1</v>
      </c>
      <c r="W1203">
        <v>2</v>
      </c>
      <c r="X1203">
        <v>3</v>
      </c>
      <c r="Y1203">
        <v>67</v>
      </c>
      <c r="Z1203">
        <v>2</v>
      </c>
      <c r="AA1203">
        <v>1</v>
      </c>
      <c r="AB1203">
        <v>2</v>
      </c>
      <c r="AC1203">
        <v>2</v>
      </c>
      <c r="AD1203">
        <v>1</v>
      </c>
      <c r="AE1203">
        <v>0</v>
      </c>
      <c r="AF1203">
        <v>0</v>
      </c>
      <c r="AK1203">
        <v>1</v>
      </c>
      <c r="AL1203">
        <v>0</v>
      </c>
      <c r="AM1203">
        <v>0</v>
      </c>
      <c r="AN1203">
        <v>0</v>
      </c>
      <c r="AP1203">
        <v>0</v>
      </c>
      <c r="AT1203">
        <v>0</v>
      </c>
      <c r="AU1203">
        <v>13</v>
      </c>
      <c r="AV1203">
        <v>267</v>
      </c>
      <c r="AW1203">
        <v>267</v>
      </c>
      <c r="AX1203">
        <v>537</v>
      </c>
      <c r="BA1203">
        <v>1</v>
      </c>
      <c r="BC1203" t="s">
        <v>2500</v>
      </c>
      <c r="BD1203" s="4">
        <v>43283.688194444447</v>
      </c>
      <c r="BE1203" s="4">
        <v>43283.692175925928</v>
      </c>
      <c r="BF1203" s="4">
        <v>43283.692175925928</v>
      </c>
      <c r="BG1203" t="s">
        <v>83</v>
      </c>
      <c r="BH1203" t="s">
        <v>84</v>
      </c>
      <c r="BI1203" t="s">
        <v>85</v>
      </c>
    </row>
    <row r="1204" spans="1:61" x14ac:dyDescent="0.3">
      <c r="A1204" t="str">
        <f>"200229B0100"</f>
        <v>200229B0100</v>
      </c>
      <c r="B1204" t="s">
        <v>2501</v>
      </c>
      <c r="C1204">
        <v>20</v>
      </c>
      <c r="D1204" t="s">
        <v>79</v>
      </c>
      <c r="E1204">
        <v>6</v>
      </c>
      <c r="F1204" t="s">
        <v>2299</v>
      </c>
      <c r="G1204">
        <v>229</v>
      </c>
      <c r="H1204">
        <v>1</v>
      </c>
      <c r="I1204" t="s">
        <v>81</v>
      </c>
      <c r="J1204">
        <v>0</v>
      </c>
      <c r="K1204">
        <v>2</v>
      </c>
      <c r="L1204">
        <v>2</v>
      </c>
      <c r="M1204">
        <v>56</v>
      </c>
      <c r="N1204">
        <v>78</v>
      </c>
      <c r="O1204">
        <v>6</v>
      </c>
      <c r="P1204">
        <v>78</v>
      </c>
      <c r="Q1204">
        <v>8</v>
      </c>
      <c r="R1204">
        <v>54</v>
      </c>
      <c r="S1204">
        <v>3</v>
      </c>
      <c r="T1204">
        <v>1</v>
      </c>
      <c r="U1204">
        <v>1</v>
      </c>
      <c r="V1204">
        <v>0</v>
      </c>
      <c r="W1204">
        <v>0</v>
      </c>
      <c r="X1204">
        <v>1</v>
      </c>
      <c r="Y1204">
        <v>7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K1204">
        <v>0</v>
      </c>
      <c r="AL1204">
        <v>1</v>
      </c>
      <c r="AM1204">
        <v>0</v>
      </c>
      <c r="AN1204">
        <v>0</v>
      </c>
      <c r="AP1204">
        <v>1</v>
      </c>
      <c r="AT1204">
        <v>0</v>
      </c>
      <c r="AU1204">
        <v>1</v>
      </c>
      <c r="AV1204">
        <v>78</v>
      </c>
      <c r="AW1204">
        <v>78</v>
      </c>
      <c r="AX1204">
        <v>111</v>
      </c>
      <c r="BA1204">
        <v>1</v>
      </c>
      <c r="BC1204" s="2" t="s">
        <v>2502</v>
      </c>
      <c r="BD1204" s="4">
        <v>43283.099305555559</v>
      </c>
      <c r="BE1204" s="4">
        <v>43283.103009259263</v>
      </c>
      <c r="BF1204" s="4">
        <v>43283.103009259263</v>
      </c>
      <c r="BG1204" t="s">
        <v>83</v>
      </c>
      <c r="BH1204" t="s">
        <v>84</v>
      </c>
      <c r="BI1204" t="s">
        <v>85</v>
      </c>
    </row>
    <row r="1205" spans="1:61" x14ac:dyDescent="0.3">
      <c r="A1205" t="str">
        <f>"200230B0100"</f>
        <v>200230B0100</v>
      </c>
      <c r="B1205" t="s">
        <v>2503</v>
      </c>
      <c r="C1205">
        <v>20</v>
      </c>
      <c r="D1205" t="s">
        <v>79</v>
      </c>
      <c r="E1205">
        <v>6</v>
      </c>
      <c r="F1205" t="s">
        <v>2299</v>
      </c>
      <c r="G1205">
        <v>230</v>
      </c>
      <c r="H1205">
        <v>1</v>
      </c>
      <c r="I1205" t="s">
        <v>81</v>
      </c>
      <c r="J1205">
        <v>0</v>
      </c>
      <c r="K1205">
        <v>2</v>
      </c>
      <c r="L1205">
        <v>2</v>
      </c>
      <c r="M1205">
        <v>98</v>
      </c>
      <c r="N1205" t="s">
        <v>100</v>
      </c>
      <c r="O1205">
        <v>5</v>
      </c>
      <c r="P1205">
        <v>156</v>
      </c>
      <c r="Q1205">
        <v>42</v>
      </c>
      <c r="R1205">
        <v>51</v>
      </c>
      <c r="S1205">
        <v>22</v>
      </c>
      <c r="T1205">
        <v>3</v>
      </c>
      <c r="U1205">
        <v>3</v>
      </c>
      <c r="V1205">
        <v>2</v>
      </c>
      <c r="W1205">
        <v>1</v>
      </c>
      <c r="X1205">
        <v>0</v>
      </c>
      <c r="Y1205">
        <v>27</v>
      </c>
      <c r="Z1205">
        <v>0</v>
      </c>
      <c r="AA1205">
        <v>0</v>
      </c>
      <c r="AB1205">
        <v>1</v>
      </c>
      <c r="AC1205">
        <v>0</v>
      </c>
      <c r="AD1205">
        <v>0</v>
      </c>
      <c r="AE1205">
        <v>0</v>
      </c>
      <c r="AF1205">
        <v>0</v>
      </c>
      <c r="AK1205">
        <v>0</v>
      </c>
      <c r="AL1205">
        <v>0</v>
      </c>
      <c r="AM1205">
        <v>0</v>
      </c>
      <c r="AN1205">
        <v>1</v>
      </c>
      <c r="AP1205">
        <v>0</v>
      </c>
      <c r="AT1205">
        <v>0</v>
      </c>
      <c r="AU1205">
        <v>3</v>
      </c>
      <c r="AV1205">
        <v>156</v>
      </c>
      <c r="AW1205">
        <v>156</v>
      </c>
      <c r="AX1205">
        <v>231</v>
      </c>
      <c r="BA1205">
        <v>1</v>
      </c>
      <c r="BC1205" t="s">
        <v>2504</v>
      </c>
      <c r="BD1205" s="4">
        <v>43283.038888888892</v>
      </c>
      <c r="BE1205" s="4">
        <v>43283.043668981481</v>
      </c>
      <c r="BF1205" s="4">
        <v>43283.043668981481</v>
      </c>
      <c r="BG1205" t="s">
        <v>83</v>
      </c>
      <c r="BH1205" t="s">
        <v>84</v>
      </c>
      <c r="BI1205" t="s">
        <v>85</v>
      </c>
    </row>
    <row r="1206" spans="1:61" x14ac:dyDescent="0.3">
      <c r="A1206" t="str">
        <f>"200231B0100"</f>
        <v>200231B0100</v>
      </c>
      <c r="B1206" t="s">
        <v>2505</v>
      </c>
      <c r="C1206">
        <v>20</v>
      </c>
      <c r="D1206" t="s">
        <v>79</v>
      </c>
      <c r="E1206">
        <v>6</v>
      </c>
      <c r="F1206" t="s">
        <v>2299</v>
      </c>
      <c r="G1206">
        <v>231</v>
      </c>
      <c r="H1206">
        <v>1</v>
      </c>
      <c r="I1206" t="s">
        <v>81</v>
      </c>
      <c r="J1206">
        <v>0</v>
      </c>
      <c r="K1206">
        <v>1</v>
      </c>
      <c r="L1206">
        <v>2</v>
      </c>
      <c r="M1206">
        <v>291</v>
      </c>
      <c r="N1206">
        <v>330</v>
      </c>
      <c r="O1206">
        <v>2</v>
      </c>
      <c r="P1206">
        <v>330</v>
      </c>
      <c r="Q1206">
        <v>34</v>
      </c>
      <c r="R1206">
        <v>52</v>
      </c>
      <c r="S1206">
        <v>9</v>
      </c>
      <c r="T1206">
        <v>9</v>
      </c>
      <c r="U1206">
        <v>8</v>
      </c>
      <c r="V1206">
        <v>5</v>
      </c>
      <c r="W1206">
        <v>5</v>
      </c>
      <c r="X1206">
        <v>23</v>
      </c>
      <c r="Y1206">
        <v>145</v>
      </c>
      <c r="Z1206">
        <v>9</v>
      </c>
      <c r="AA1206">
        <v>2</v>
      </c>
      <c r="AB1206">
        <v>5</v>
      </c>
      <c r="AC1206">
        <v>2</v>
      </c>
      <c r="AD1206">
        <v>0</v>
      </c>
      <c r="AE1206">
        <v>0</v>
      </c>
      <c r="AF1206">
        <v>0</v>
      </c>
      <c r="AK1206">
        <v>4</v>
      </c>
      <c r="AL1206">
        <v>3</v>
      </c>
      <c r="AM1206">
        <v>0</v>
      </c>
      <c r="AN1206">
        <v>0</v>
      </c>
      <c r="AP1206">
        <v>1</v>
      </c>
      <c r="AT1206">
        <v>0</v>
      </c>
      <c r="AU1206">
        <v>14</v>
      </c>
      <c r="AV1206">
        <v>330</v>
      </c>
      <c r="AW1206">
        <v>330</v>
      </c>
      <c r="AX1206">
        <v>596</v>
      </c>
      <c r="BA1206">
        <v>1</v>
      </c>
      <c r="BC1206" t="s">
        <v>2506</v>
      </c>
      <c r="BD1206" s="4">
        <v>43283.101388888892</v>
      </c>
      <c r="BE1206" s="4">
        <v>43283.10564814815</v>
      </c>
      <c r="BF1206" s="4">
        <v>43283.10564814815</v>
      </c>
      <c r="BG1206" t="s">
        <v>83</v>
      </c>
      <c r="BH1206" t="s">
        <v>84</v>
      </c>
      <c r="BI1206" t="s">
        <v>85</v>
      </c>
    </row>
    <row r="1207" spans="1:61" x14ac:dyDescent="0.3">
      <c r="A1207" t="str">
        <f>"200231C0100"</f>
        <v>200231C0100</v>
      </c>
      <c r="B1207" t="s">
        <v>2507</v>
      </c>
      <c r="C1207">
        <v>20</v>
      </c>
      <c r="D1207" t="s">
        <v>79</v>
      </c>
      <c r="E1207">
        <v>6</v>
      </c>
      <c r="F1207" t="s">
        <v>2299</v>
      </c>
      <c r="G1207">
        <v>231</v>
      </c>
      <c r="H1207">
        <v>1</v>
      </c>
      <c r="I1207" t="s">
        <v>89</v>
      </c>
      <c r="J1207">
        <v>0</v>
      </c>
      <c r="K1207">
        <v>1</v>
      </c>
      <c r="L1207">
        <v>2</v>
      </c>
      <c r="M1207">
        <v>300</v>
      </c>
      <c r="N1207">
        <v>319</v>
      </c>
      <c r="O1207">
        <v>3</v>
      </c>
      <c r="P1207">
        <v>318</v>
      </c>
      <c r="Q1207">
        <v>40</v>
      </c>
      <c r="R1207">
        <v>46</v>
      </c>
      <c r="S1207">
        <v>12</v>
      </c>
      <c r="T1207">
        <v>9</v>
      </c>
      <c r="U1207">
        <v>15</v>
      </c>
      <c r="V1207">
        <v>8</v>
      </c>
      <c r="W1207">
        <v>7</v>
      </c>
      <c r="X1207">
        <v>6</v>
      </c>
      <c r="Y1207">
        <v>139</v>
      </c>
      <c r="Z1207">
        <v>6</v>
      </c>
      <c r="AA1207">
        <v>2</v>
      </c>
      <c r="AB1207">
        <v>11</v>
      </c>
      <c r="AC1207">
        <v>1</v>
      </c>
      <c r="AD1207">
        <v>0</v>
      </c>
      <c r="AE1207">
        <v>0</v>
      </c>
      <c r="AF1207">
        <v>0</v>
      </c>
      <c r="AK1207">
        <v>0</v>
      </c>
      <c r="AL1207">
        <v>0</v>
      </c>
      <c r="AM1207">
        <v>0</v>
      </c>
      <c r="AN1207">
        <v>0</v>
      </c>
      <c r="AP1207">
        <v>2</v>
      </c>
      <c r="AT1207">
        <v>0</v>
      </c>
      <c r="AU1207">
        <v>14</v>
      </c>
      <c r="AV1207">
        <v>318</v>
      </c>
      <c r="AW1207">
        <v>318</v>
      </c>
      <c r="AX1207">
        <v>596</v>
      </c>
      <c r="BA1207">
        <v>1</v>
      </c>
      <c r="BC1207" t="s">
        <v>2508</v>
      </c>
      <c r="BD1207" s="4">
        <v>43283.102083333331</v>
      </c>
      <c r="BE1207" s="4">
        <v>43283.108553240738</v>
      </c>
      <c r="BF1207" s="4">
        <v>43283.108553240738</v>
      </c>
      <c r="BG1207" t="s">
        <v>83</v>
      </c>
      <c r="BH1207" t="s">
        <v>84</v>
      </c>
      <c r="BI1207" t="s">
        <v>85</v>
      </c>
    </row>
    <row r="1208" spans="1:61" x14ac:dyDescent="0.3">
      <c r="A1208" t="str">
        <f>"200231C0200"</f>
        <v>200231C0200</v>
      </c>
      <c r="B1208" t="s">
        <v>2509</v>
      </c>
      <c r="C1208">
        <v>20</v>
      </c>
      <c r="D1208" t="s">
        <v>79</v>
      </c>
      <c r="E1208">
        <v>6</v>
      </c>
      <c r="F1208" t="s">
        <v>2299</v>
      </c>
      <c r="G1208">
        <v>231</v>
      </c>
      <c r="H1208">
        <v>2</v>
      </c>
      <c r="I1208" t="s">
        <v>89</v>
      </c>
      <c r="J1208">
        <v>0</v>
      </c>
      <c r="K1208">
        <v>1</v>
      </c>
      <c r="L1208">
        <v>2</v>
      </c>
      <c r="M1208">
        <v>271</v>
      </c>
      <c r="N1208">
        <v>349</v>
      </c>
      <c r="O1208">
        <v>2</v>
      </c>
      <c r="P1208">
        <v>349</v>
      </c>
      <c r="Q1208">
        <v>46</v>
      </c>
      <c r="R1208">
        <v>60</v>
      </c>
      <c r="S1208">
        <v>10</v>
      </c>
      <c r="T1208">
        <v>11</v>
      </c>
      <c r="U1208">
        <v>4</v>
      </c>
      <c r="V1208">
        <v>4</v>
      </c>
      <c r="W1208">
        <v>10</v>
      </c>
      <c r="X1208">
        <v>6</v>
      </c>
      <c r="Y1208">
        <v>158</v>
      </c>
      <c r="Z1208">
        <v>4</v>
      </c>
      <c r="AA1208">
        <v>2</v>
      </c>
      <c r="AB1208">
        <v>8</v>
      </c>
      <c r="AC1208">
        <v>2</v>
      </c>
      <c r="AD1208">
        <v>3</v>
      </c>
      <c r="AE1208">
        <v>0</v>
      </c>
      <c r="AF1208">
        <v>0</v>
      </c>
      <c r="AK1208">
        <v>1</v>
      </c>
      <c r="AL1208">
        <v>0</v>
      </c>
      <c r="AM1208">
        <v>0</v>
      </c>
      <c r="AN1208">
        <v>1</v>
      </c>
      <c r="AP1208">
        <v>4</v>
      </c>
      <c r="AT1208">
        <v>0</v>
      </c>
      <c r="AU1208">
        <v>15</v>
      </c>
      <c r="AV1208">
        <v>349</v>
      </c>
      <c r="AW1208">
        <v>349</v>
      </c>
      <c r="AX1208">
        <v>595</v>
      </c>
      <c r="BA1208">
        <v>1</v>
      </c>
      <c r="BC1208" t="s">
        <v>2510</v>
      </c>
      <c r="BD1208" s="4">
        <v>43283.100694444445</v>
      </c>
      <c r="BE1208" s="4">
        <v>43283.104641203703</v>
      </c>
      <c r="BF1208" s="4">
        <v>43283.104641203703</v>
      </c>
      <c r="BG1208" t="s">
        <v>83</v>
      </c>
      <c r="BH1208" t="s">
        <v>84</v>
      </c>
      <c r="BI1208" t="s">
        <v>85</v>
      </c>
    </row>
    <row r="1209" spans="1:61" x14ac:dyDescent="0.3">
      <c r="A1209" t="str">
        <f>"200231C0300"</f>
        <v>200231C0300</v>
      </c>
      <c r="B1209" t="s">
        <v>2511</v>
      </c>
      <c r="C1209">
        <v>20</v>
      </c>
      <c r="D1209" t="s">
        <v>79</v>
      </c>
      <c r="E1209">
        <v>6</v>
      </c>
      <c r="F1209" t="s">
        <v>2299</v>
      </c>
      <c r="G1209">
        <v>231</v>
      </c>
      <c r="H1209">
        <v>3</v>
      </c>
      <c r="I1209" t="s">
        <v>89</v>
      </c>
      <c r="J1209">
        <v>0</v>
      </c>
      <c r="K1209">
        <v>1</v>
      </c>
      <c r="L1209">
        <v>2</v>
      </c>
      <c r="M1209">
        <v>280</v>
      </c>
      <c r="N1209">
        <v>338</v>
      </c>
      <c r="O1209">
        <v>4</v>
      </c>
      <c r="P1209">
        <v>336</v>
      </c>
      <c r="Q1209">
        <v>34</v>
      </c>
      <c r="R1209">
        <v>53</v>
      </c>
      <c r="S1209">
        <v>5</v>
      </c>
      <c r="T1209">
        <v>18</v>
      </c>
      <c r="U1209">
        <v>11</v>
      </c>
      <c r="V1209">
        <v>5</v>
      </c>
      <c r="W1209">
        <v>15</v>
      </c>
      <c r="X1209">
        <v>14</v>
      </c>
      <c r="Y1209">
        <v>148</v>
      </c>
      <c r="Z1209">
        <v>6</v>
      </c>
      <c r="AA1209">
        <v>0</v>
      </c>
      <c r="AB1209">
        <v>8</v>
      </c>
      <c r="AC1209">
        <v>0</v>
      </c>
      <c r="AD1209">
        <v>0</v>
      </c>
      <c r="AE1209">
        <v>0</v>
      </c>
      <c r="AF1209">
        <v>0</v>
      </c>
      <c r="AK1209">
        <v>3</v>
      </c>
      <c r="AL1209">
        <v>1</v>
      </c>
      <c r="AM1209">
        <v>0</v>
      </c>
      <c r="AN1209">
        <v>0</v>
      </c>
      <c r="AP1209">
        <v>1</v>
      </c>
      <c r="AT1209">
        <v>1</v>
      </c>
      <c r="AU1209">
        <v>13</v>
      </c>
      <c r="AV1209">
        <v>336</v>
      </c>
      <c r="AW1209">
        <v>336</v>
      </c>
      <c r="AX1209">
        <v>595</v>
      </c>
      <c r="BA1209">
        <v>1</v>
      </c>
      <c r="BC1209" t="s">
        <v>2512</v>
      </c>
      <c r="BD1209" s="4">
        <v>43283.102777777778</v>
      </c>
      <c r="BE1209" s="4">
        <v>43283.109583333331</v>
      </c>
      <c r="BF1209" s="4">
        <v>43283.109583333331</v>
      </c>
      <c r="BG1209" t="s">
        <v>83</v>
      </c>
      <c r="BH1209" t="s">
        <v>84</v>
      </c>
      <c r="BI1209" t="s">
        <v>85</v>
      </c>
    </row>
    <row r="1210" spans="1:61" x14ac:dyDescent="0.3">
      <c r="A1210" t="str">
        <f>"200231S0100"</f>
        <v>200231S0100</v>
      </c>
      <c r="B1210" t="s">
        <v>2513</v>
      </c>
      <c r="C1210">
        <v>20</v>
      </c>
      <c r="D1210" t="s">
        <v>79</v>
      </c>
      <c r="E1210">
        <v>6</v>
      </c>
      <c r="F1210" t="s">
        <v>2299</v>
      </c>
      <c r="G1210">
        <v>231</v>
      </c>
      <c r="H1210">
        <v>1</v>
      </c>
      <c r="I1210" t="s">
        <v>104</v>
      </c>
      <c r="J1210">
        <v>0</v>
      </c>
      <c r="K1210">
        <v>1</v>
      </c>
      <c r="L1210">
        <v>3</v>
      </c>
      <c r="M1210">
        <v>355</v>
      </c>
      <c r="N1210">
        <v>64</v>
      </c>
      <c r="O1210">
        <v>0</v>
      </c>
      <c r="P1210">
        <v>61</v>
      </c>
      <c r="Q1210">
        <v>7</v>
      </c>
      <c r="R1210">
        <v>7</v>
      </c>
      <c r="S1210">
        <v>0</v>
      </c>
      <c r="T1210">
        <v>2</v>
      </c>
      <c r="U1210">
        <v>1</v>
      </c>
      <c r="V1210">
        <v>0</v>
      </c>
      <c r="W1210">
        <v>2</v>
      </c>
      <c r="X1210">
        <v>3</v>
      </c>
      <c r="Y1210">
        <v>30</v>
      </c>
      <c r="Z1210">
        <v>1</v>
      </c>
      <c r="AA1210">
        <v>1</v>
      </c>
      <c r="AB1210">
        <v>3</v>
      </c>
      <c r="AC1210">
        <v>0</v>
      </c>
      <c r="AD1210">
        <v>0</v>
      </c>
      <c r="AE1210">
        <v>0</v>
      </c>
      <c r="AF1210">
        <v>0</v>
      </c>
      <c r="AK1210">
        <v>1</v>
      </c>
      <c r="AL1210">
        <v>0</v>
      </c>
      <c r="AM1210">
        <v>0</v>
      </c>
      <c r="AN1210">
        <v>1</v>
      </c>
      <c r="AP1210">
        <v>0</v>
      </c>
      <c r="AT1210">
        <v>0</v>
      </c>
      <c r="AU1210">
        <v>2</v>
      </c>
      <c r="AV1210">
        <v>61</v>
      </c>
      <c r="AW1210">
        <v>61</v>
      </c>
      <c r="AX1210">
        <v>0</v>
      </c>
      <c r="BA1210">
        <v>1</v>
      </c>
      <c r="BC1210" t="s">
        <v>2514</v>
      </c>
      <c r="BD1210" s="4">
        <v>43282.990972222222</v>
      </c>
      <c r="BE1210" s="4">
        <v>43282.995613425926</v>
      </c>
      <c r="BF1210" s="4">
        <v>43282.995613425926</v>
      </c>
      <c r="BG1210" t="s">
        <v>83</v>
      </c>
      <c r="BH1210" t="s">
        <v>84</v>
      </c>
      <c r="BI1210" t="s">
        <v>85</v>
      </c>
    </row>
    <row r="1211" spans="1:61" x14ac:dyDescent="0.3">
      <c r="A1211" t="str">
        <f>"200389B0100"</f>
        <v>200389B0100</v>
      </c>
      <c r="B1211" t="s">
        <v>2515</v>
      </c>
      <c r="C1211">
        <v>20</v>
      </c>
      <c r="D1211" t="s">
        <v>79</v>
      </c>
      <c r="E1211">
        <v>6</v>
      </c>
      <c r="F1211" t="s">
        <v>2299</v>
      </c>
      <c r="G1211">
        <v>389</v>
      </c>
      <c r="H1211">
        <v>1</v>
      </c>
      <c r="I1211" t="s">
        <v>81</v>
      </c>
      <c r="J1211">
        <v>0</v>
      </c>
      <c r="K1211">
        <v>2</v>
      </c>
      <c r="L1211">
        <v>2</v>
      </c>
      <c r="M1211">
        <v>118</v>
      </c>
      <c r="N1211">
        <v>376</v>
      </c>
      <c r="O1211">
        <v>5</v>
      </c>
      <c r="P1211">
        <v>376</v>
      </c>
      <c r="Q1211">
        <v>5</v>
      </c>
      <c r="R1211">
        <v>115</v>
      </c>
      <c r="S1211">
        <v>25</v>
      </c>
      <c r="T1211">
        <v>5</v>
      </c>
      <c r="U1211">
        <v>3</v>
      </c>
      <c r="V1211">
        <v>3</v>
      </c>
      <c r="W1211">
        <v>65</v>
      </c>
      <c r="X1211">
        <v>53</v>
      </c>
      <c r="Y1211">
        <v>74</v>
      </c>
      <c r="Z1211">
        <v>5</v>
      </c>
      <c r="AA1211">
        <v>0</v>
      </c>
      <c r="AB1211">
        <v>2</v>
      </c>
      <c r="AC1211">
        <v>0</v>
      </c>
      <c r="AD1211">
        <v>0</v>
      </c>
      <c r="AE1211">
        <v>0</v>
      </c>
      <c r="AF1211">
        <v>0</v>
      </c>
      <c r="AK1211">
        <v>1</v>
      </c>
      <c r="AL1211">
        <v>0</v>
      </c>
      <c r="AM1211">
        <v>0</v>
      </c>
      <c r="AN1211">
        <v>3</v>
      </c>
      <c r="AP1211">
        <v>0</v>
      </c>
      <c r="AT1211">
        <v>0</v>
      </c>
      <c r="AU1211">
        <v>17</v>
      </c>
      <c r="AV1211">
        <v>376</v>
      </c>
      <c r="AW1211">
        <v>376</v>
      </c>
      <c r="AX1211">
        <v>472</v>
      </c>
      <c r="BA1211">
        <v>1</v>
      </c>
      <c r="BC1211" t="s">
        <v>2516</v>
      </c>
      <c r="BD1211" s="4">
        <v>43283.401388888888</v>
      </c>
      <c r="BE1211" s="4">
        <v>43283.412048611113</v>
      </c>
      <c r="BF1211" s="4">
        <v>43283.412048611113</v>
      </c>
      <c r="BG1211" t="s">
        <v>83</v>
      </c>
      <c r="BH1211" t="s">
        <v>84</v>
      </c>
      <c r="BI1211" t="s">
        <v>85</v>
      </c>
    </row>
    <row r="1212" spans="1:61" x14ac:dyDescent="0.3">
      <c r="A1212" t="str">
        <f>"200389C0100"</f>
        <v>200389C0100</v>
      </c>
      <c r="B1212" t="s">
        <v>2517</v>
      </c>
      <c r="C1212">
        <v>20</v>
      </c>
      <c r="D1212" t="s">
        <v>79</v>
      </c>
      <c r="E1212">
        <v>6</v>
      </c>
      <c r="F1212" t="s">
        <v>2299</v>
      </c>
      <c r="G1212">
        <v>389</v>
      </c>
      <c r="H1212">
        <v>1</v>
      </c>
      <c r="I1212" t="s">
        <v>89</v>
      </c>
      <c r="J1212">
        <v>0</v>
      </c>
      <c r="K1212">
        <v>2</v>
      </c>
      <c r="L1212">
        <v>2</v>
      </c>
      <c r="M1212">
        <v>122</v>
      </c>
      <c r="N1212">
        <v>471</v>
      </c>
      <c r="O1212">
        <v>3</v>
      </c>
      <c r="P1212">
        <v>371</v>
      </c>
      <c r="Q1212">
        <v>8</v>
      </c>
      <c r="R1212">
        <v>78</v>
      </c>
      <c r="S1212">
        <v>12</v>
      </c>
      <c r="T1212">
        <v>7</v>
      </c>
      <c r="U1212">
        <v>3</v>
      </c>
      <c r="V1212">
        <v>3</v>
      </c>
      <c r="W1212">
        <v>91</v>
      </c>
      <c r="X1212">
        <v>52</v>
      </c>
      <c r="Y1212">
        <v>90</v>
      </c>
      <c r="Z1212">
        <v>9</v>
      </c>
      <c r="AA1212">
        <v>0</v>
      </c>
      <c r="AB1212">
        <v>0</v>
      </c>
      <c r="AC1212">
        <v>1</v>
      </c>
      <c r="AD1212">
        <v>0</v>
      </c>
      <c r="AE1212">
        <v>0</v>
      </c>
      <c r="AF1212">
        <v>0</v>
      </c>
      <c r="AK1212">
        <v>1</v>
      </c>
      <c r="AL1212">
        <v>1</v>
      </c>
      <c r="AM1212">
        <v>0</v>
      </c>
      <c r="AN1212">
        <v>0</v>
      </c>
      <c r="AP1212">
        <v>0</v>
      </c>
      <c r="AT1212" t="s">
        <v>100</v>
      </c>
      <c r="AU1212">
        <v>15</v>
      </c>
      <c r="AV1212">
        <v>371</v>
      </c>
      <c r="AW1212">
        <v>371</v>
      </c>
      <c r="AX1212">
        <v>471</v>
      </c>
      <c r="AZ1212" t="s">
        <v>101</v>
      </c>
      <c r="BA1212">
        <v>1</v>
      </c>
      <c r="BC1212" t="s">
        <v>2518</v>
      </c>
      <c r="BD1212" s="4">
        <v>43283.410416666666</v>
      </c>
      <c r="BE1212" s="4">
        <v>43283.41946759259</v>
      </c>
      <c r="BF1212" s="4">
        <v>43283.41946759259</v>
      </c>
      <c r="BG1212" t="s">
        <v>83</v>
      </c>
      <c r="BH1212" t="s">
        <v>84</v>
      </c>
      <c r="BI1212" t="s">
        <v>85</v>
      </c>
    </row>
    <row r="1213" spans="1:61" x14ac:dyDescent="0.3">
      <c r="A1213" t="str">
        <f>"200390B0100"</f>
        <v>200390B0100</v>
      </c>
      <c r="B1213" t="s">
        <v>2519</v>
      </c>
      <c r="C1213">
        <v>20</v>
      </c>
      <c r="D1213" t="s">
        <v>79</v>
      </c>
      <c r="E1213">
        <v>6</v>
      </c>
      <c r="F1213" t="s">
        <v>2299</v>
      </c>
      <c r="G1213">
        <v>390</v>
      </c>
      <c r="H1213">
        <v>1</v>
      </c>
      <c r="I1213" t="s">
        <v>81</v>
      </c>
      <c r="J1213">
        <v>0</v>
      </c>
      <c r="K1213">
        <v>1</v>
      </c>
      <c r="L1213">
        <v>2</v>
      </c>
      <c r="M1213" t="s">
        <v>315</v>
      </c>
      <c r="N1213" t="s">
        <v>315</v>
      </c>
      <c r="O1213">
        <v>6</v>
      </c>
      <c r="P1213" t="s">
        <v>315</v>
      </c>
      <c r="Q1213">
        <v>3</v>
      </c>
      <c r="R1213">
        <v>68</v>
      </c>
      <c r="S1213">
        <v>23</v>
      </c>
      <c r="T1213">
        <v>12</v>
      </c>
      <c r="U1213">
        <v>3</v>
      </c>
      <c r="V1213">
        <v>4</v>
      </c>
      <c r="W1213">
        <v>39</v>
      </c>
      <c r="X1213">
        <v>10</v>
      </c>
      <c r="Y1213">
        <v>67</v>
      </c>
      <c r="Z1213">
        <v>5</v>
      </c>
      <c r="AA1213">
        <v>0</v>
      </c>
      <c r="AB1213">
        <v>1</v>
      </c>
      <c r="AC1213">
        <v>0</v>
      </c>
      <c r="AD1213">
        <v>0</v>
      </c>
      <c r="AE1213">
        <v>0</v>
      </c>
      <c r="AF1213">
        <v>1</v>
      </c>
      <c r="AK1213">
        <v>0</v>
      </c>
      <c r="AL1213">
        <v>1</v>
      </c>
      <c r="AM1213">
        <v>0</v>
      </c>
      <c r="AN1213">
        <v>0</v>
      </c>
      <c r="AP1213">
        <v>0</v>
      </c>
      <c r="AT1213">
        <v>0</v>
      </c>
      <c r="AU1213">
        <v>21</v>
      </c>
      <c r="AV1213">
        <v>258</v>
      </c>
      <c r="AW1213">
        <v>258</v>
      </c>
      <c r="AX1213">
        <v>352</v>
      </c>
      <c r="BA1213">
        <v>1</v>
      </c>
      <c r="BC1213" t="s">
        <v>2520</v>
      </c>
      <c r="BD1213" s="4">
        <v>43283.404861111114</v>
      </c>
      <c r="BE1213" s="4">
        <v>43283.41238425926</v>
      </c>
      <c r="BF1213" s="4">
        <v>43283.41238425926</v>
      </c>
      <c r="BG1213" t="s">
        <v>83</v>
      </c>
      <c r="BH1213" t="s">
        <v>84</v>
      </c>
      <c r="BI1213" t="s">
        <v>85</v>
      </c>
    </row>
    <row r="1214" spans="1:61" x14ac:dyDescent="0.3">
      <c r="A1214" t="str">
        <f>"200391B0100"</f>
        <v>200391B0100</v>
      </c>
      <c r="B1214" t="s">
        <v>2521</v>
      </c>
      <c r="C1214">
        <v>20</v>
      </c>
      <c r="D1214" t="s">
        <v>79</v>
      </c>
      <c r="E1214">
        <v>6</v>
      </c>
      <c r="F1214" t="s">
        <v>2299</v>
      </c>
      <c r="G1214">
        <v>391</v>
      </c>
      <c r="H1214">
        <v>1</v>
      </c>
      <c r="I1214" t="s">
        <v>81</v>
      </c>
      <c r="J1214">
        <v>0</v>
      </c>
      <c r="K1214">
        <v>2</v>
      </c>
      <c r="L1214">
        <v>2</v>
      </c>
      <c r="M1214">
        <v>144</v>
      </c>
      <c r="N1214">
        <v>393</v>
      </c>
      <c r="O1214">
        <v>4</v>
      </c>
      <c r="P1214">
        <v>393</v>
      </c>
      <c r="Q1214">
        <v>13</v>
      </c>
      <c r="R1214">
        <v>81</v>
      </c>
      <c r="S1214">
        <v>23</v>
      </c>
      <c r="T1214">
        <v>30</v>
      </c>
      <c r="U1214">
        <v>7</v>
      </c>
      <c r="V1214">
        <v>5</v>
      </c>
      <c r="W1214">
        <v>83</v>
      </c>
      <c r="X1214">
        <v>34</v>
      </c>
      <c r="Y1214">
        <v>82</v>
      </c>
      <c r="Z1214">
        <v>6</v>
      </c>
      <c r="AA1214">
        <v>1</v>
      </c>
      <c r="AB1214">
        <v>1</v>
      </c>
      <c r="AC1214">
        <v>0</v>
      </c>
      <c r="AD1214">
        <v>0</v>
      </c>
      <c r="AE1214">
        <v>0</v>
      </c>
      <c r="AF1214">
        <v>0</v>
      </c>
      <c r="AK1214">
        <v>0</v>
      </c>
      <c r="AL1214">
        <v>0</v>
      </c>
      <c r="AM1214">
        <v>0</v>
      </c>
      <c r="AN1214">
        <v>0</v>
      </c>
      <c r="AP1214">
        <v>0</v>
      </c>
      <c r="AT1214">
        <v>1</v>
      </c>
      <c r="AU1214">
        <v>26</v>
      </c>
      <c r="AV1214">
        <v>393</v>
      </c>
      <c r="AW1214">
        <v>393</v>
      </c>
      <c r="AX1214">
        <v>515</v>
      </c>
      <c r="BA1214">
        <v>1</v>
      </c>
      <c r="BC1214" t="s">
        <v>2522</v>
      </c>
      <c r="BD1214" s="4">
        <v>43283.406944444447</v>
      </c>
      <c r="BE1214" s="4">
        <v>43283.413368055553</v>
      </c>
      <c r="BF1214" s="4">
        <v>43283.413368055553</v>
      </c>
      <c r="BG1214" t="s">
        <v>83</v>
      </c>
      <c r="BH1214" t="s">
        <v>84</v>
      </c>
      <c r="BI1214" t="s">
        <v>85</v>
      </c>
    </row>
    <row r="1215" spans="1:61" x14ac:dyDescent="0.3">
      <c r="A1215" t="str">
        <f>"200392B0100"</f>
        <v>200392B0100</v>
      </c>
      <c r="B1215" t="s">
        <v>2523</v>
      </c>
      <c r="C1215">
        <v>20</v>
      </c>
      <c r="D1215" t="s">
        <v>79</v>
      </c>
      <c r="E1215">
        <v>6</v>
      </c>
      <c r="F1215" t="s">
        <v>2299</v>
      </c>
      <c r="G1215">
        <v>392</v>
      </c>
      <c r="H1215">
        <v>1</v>
      </c>
      <c r="I1215" t="s">
        <v>81</v>
      </c>
      <c r="J1215">
        <v>0</v>
      </c>
      <c r="K1215">
        <v>2</v>
      </c>
      <c r="L1215">
        <v>2</v>
      </c>
      <c r="M1215">
        <v>54</v>
      </c>
      <c r="N1215">
        <v>69</v>
      </c>
      <c r="O1215">
        <v>5</v>
      </c>
      <c r="P1215">
        <v>69</v>
      </c>
      <c r="Q1215">
        <v>2</v>
      </c>
      <c r="R1215">
        <v>13</v>
      </c>
      <c r="S1215">
        <v>8</v>
      </c>
      <c r="T1215">
        <v>6</v>
      </c>
      <c r="U1215">
        <v>2</v>
      </c>
      <c r="V1215">
        <v>0</v>
      </c>
      <c r="W1215">
        <v>9</v>
      </c>
      <c r="X1215">
        <v>14</v>
      </c>
      <c r="Y1215">
        <v>9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K1215">
        <v>0</v>
      </c>
      <c r="AL1215">
        <v>0</v>
      </c>
      <c r="AM1215">
        <v>0</v>
      </c>
      <c r="AN1215">
        <v>0</v>
      </c>
      <c r="AP1215">
        <v>0</v>
      </c>
      <c r="AT1215">
        <v>0</v>
      </c>
      <c r="AU1215">
        <v>6</v>
      </c>
      <c r="AV1215" t="s">
        <v>100</v>
      </c>
      <c r="AW1215">
        <v>69</v>
      </c>
      <c r="AX1215">
        <v>101</v>
      </c>
      <c r="BA1215">
        <v>1</v>
      </c>
      <c r="BC1215" t="s">
        <v>2524</v>
      </c>
      <c r="BD1215" s="4">
        <v>43283.40902777778</v>
      </c>
      <c r="BE1215" s="4">
        <v>43283.414803240739</v>
      </c>
      <c r="BF1215" s="4">
        <v>43283.414803240739</v>
      </c>
      <c r="BG1215" t="s">
        <v>83</v>
      </c>
      <c r="BH1215" t="s">
        <v>84</v>
      </c>
      <c r="BI1215" t="s">
        <v>85</v>
      </c>
    </row>
    <row r="1216" spans="1:61" x14ac:dyDescent="0.3">
      <c r="A1216" t="str">
        <f>"200393B0100"</f>
        <v>200393B0100</v>
      </c>
      <c r="B1216" t="s">
        <v>2525</v>
      </c>
      <c r="C1216">
        <v>20</v>
      </c>
      <c r="D1216" t="s">
        <v>79</v>
      </c>
      <c r="E1216">
        <v>6</v>
      </c>
      <c r="F1216" t="s">
        <v>2299</v>
      </c>
      <c r="G1216">
        <v>393</v>
      </c>
      <c r="H1216">
        <v>1</v>
      </c>
      <c r="I1216" t="s">
        <v>81</v>
      </c>
      <c r="J1216">
        <v>0</v>
      </c>
      <c r="K1216">
        <v>2</v>
      </c>
      <c r="L1216">
        <v>2</v>
      </c>
      <c r="M1216">
        <v>169</v>
      </c>
      <c r="N1216">
        <v>199</v>
      </c>
      <c r="O1216">
        <v>2</v>
      </c>
      <c r="P1216">
        <v>199</v>
      </c>
      <c r="Q1216">
        <v>2</v>
      </c>
      <c r="R1216">
        <v>81</v>
      </c>
      <c r="S1216">
        <v>2</v>
      </c>
      <c r="T1216">
        <v>7</v>
      </c>
      <c r="U1216">
        <v>0</v>
      </c>
      <c r="V1216">
        <v>2</v>
      </c>
      <c r="W1216">
        <v>45</v>
      </c>
      <c r="X1216">
        <v>18</v>
      </c>
      <c r="Y1216">
        <v>27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K1216">
        <v>1</v>
      </c>
      <c r="AL1216">
        <v>1</v>
      </c>
      <c r="AM1216">
        <v>0</v>
      </c>
      <c r="AN1216">
        <v>1</v>
      </c>
      <c r="AP1216">
        <v>0</v>
      </c>
      <c r="AT1216">
        <v>0</v>
      </c>
      <c r="AU1216">
        <v>12</v>
      </c>
      <c r="AV1216">
        <v>199</v>
      </c>
      <c r="AW1216">
        <v>199</v>
      </c>
      <c r="AX1216">
        <v>346</v>
      </c>
      <c r="BA1216">
        <v>1</v>
      </c>
      <c r="BC1216" t="s">
        <v>2526</v>
      </c>
      <c r="BD1216" s="4">
        <v>43283.409722222219</v>
      </c>
      <c r="BE1216" s="4">
        <v>43283.415289351855</v>
      </c>
      <c r="BF1216" s="4">
        <v>43283.415289351855</v>
      </c>
      <c r="BG1216" t="s">
        <v>83</v>
      </c>
      <c r="BH1216" t="s">
        <v>84</v>
      </c>
      <c r="BI1216" t="s">
        <v>85</v>
      </c>
    </row>
    <row r="1217" spans="1:61" x14ac:dyDescent="0.3">
      <c r="A1217" t="str">
        <f>"200394B0100"</f>
        <v>200394B0100</v>
      </c>
      <c r="B1217" t="s">
        <v>2527</v>
      </c>
      <c r="C1217">
        <v>20</v>
      </c>
      <c r="D1217" t="s">
        <v>79</v>
      </c>
      <c r="E1217">
        <v>6</v>
      </c>
      <c r="F1217" t="s">
        <v>2299</v>
      </c>
      <c r="G1217">
        <v>394</v>
      </c>
      <c r="H1217">
        <v>1</v>
      </c>
      <c r="I1217" t="s">
        <v>81</v>
      </c>
      <c r="J1217">
        <v>0</v>
      </c>
      <c r="K1217">
        <v>2</v>
      </c>
      <c r="L1217">
        <v>2</v>
      </c>
      <c r="M1217">
        <v>109</v>
      </c>
      <c r="N1217">
        <v>241</v>
      </c>
      <c r="O1217">
        <v>1</v>
      </c>
      <c r="P1217">
        <v>241</v>
      </c>
      <c r="Q1217">
        <v>2</v>
      </c>
      <c r="R1217">
        <v>58</v>
      </c>
      <c r="S1217">
        <v>12</v>
      </c>
      <c r="T1217">
        <v>8</v>
      </c>
      <c r="U1217">
        <v>4</v>
      </c>
      <c r="V1217">
        <v>1</v>
      </c>
      <c r="W1217">
        <v>52</v>
      </c>
      <c r="X1217">
        <v>46</v>
      </c>
      <c r="Y1217">
        <v>30</v>
      </c>
      <c r="Z1217">
        <v>4</v>
      </c>
      <c r="AA1217">
        <v>0</v>
      </c>
      <c r="AB1217">
        <v>1</v>
      </c>
      <c r="AC1217">
        <v>0</v>
      </c>
      <c r="AD1217">
        <v>0</v>
      </c>
      <c r="AE1217">
        <v>0</v>
      </c>
      <c r="AF1217">
        <v>0</v>
      </c>
      <c r="AK1217">
        <v>1</v>
      </c>
      <c r="AL1217">
        <v>0</v>
      </c>
      <c r="AM1217">
        <v>0</v>
      </c>
      <c r="AN1217">
        <v>1</v>
      </c>
      <c r="AP1217">
        <v>0</v>
      </c>
      <c r="AT1217">
        <v>0</v>
      </c>
      <c r="AU1217">
        <v>21</v>
      </c>
      <c r="AV1217">
        <v>241</v>
      </c>
      <c r="AW1217">
        <v>241</v>
      </c>
      <c r="AX1217">
        <v>328</v>
      </c>
      <c r="BA1217">
        <v>1</v>
      </c>
      <c r="BC1217" t="s">
        <v>2528</v>
      </c>
      <c r="BD1217" s="4">
        <v>43283.40902777778</v>
      </c>
      <c r="BE1217" s="4">
        <v>43283.414768518516</v>
      </c>
      <c r="BF1217" s="4">
        <v>43283.414768518516</v>
      </c>
      <c r="BG1217" t="s">
        <v>83</v>
      </c>
      <c r="BH1217" t="s">
        <v>84</v>
      </c>
      <c r="BI1217" t="s">
        <v>85</v>
      </c>
    </row>
    <row r="1218" spans="1:61" x14ac:dyDescent="0.3">
      <c r="A1218" t="str">
        <f>"200395B0100"</f>
        <v>200395B0100</v>
      </c>
      <c r="B1218" t="s">
        <v>2529</v>
      </c>
      <c r="C1218">
        <v>20</v>
      </c>
      <c r="D1218" t="s">
        <v>79</v>
      </c>
      <c r="E1218">
        <v>6</v>
      </c>
      <c r="F1218" t="s">
        <v>2299</v>
      </c>
      <c r="G1218">
        <v>395</v>
      </c>
      <c r="H1218">
        <v>1</v>
      </c>
      <c r="I1218" t="s">
        <v>81</v>
      </c>
      <c r="J1218">
        <v>0</v>
      </c>
      <c r="K1218">
        <v>2</v>
      </c>
      <c r="L1218">
        <v>2</v>
      </c>
      <c r="M1218">
        <v>64</v>
      </c>
      <c r="N1218">
        <v>114</v>
      </c>
      <c r="O1218">
        <v>1</v>
      </c>
      <c r="P1218">
        <v>114</v>
      </c>
      <c r="Q1218">
        <v>3</v>
      </c>
      <c r="R1218">
        <v>42</v>
      </c>
      <c r="S1218">
        <v>5</v>
      </c>
      <c r="T1218">
        <v>8</v>
      </c>
      <c r="U1218">
        <v>7</v>
      </c>
      <c r="V1218">
        <v>2</v>
      </c>
      <c r="W1218">
        <v>4</v>
      </c>
      <c r="X1218">
        <v>12</v>
      </c>
      <c r="Y1218">
        <v>15</v>
      </c>
      <c r="Z1218">
        <v>2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K1218">
        <v>0</v>
      </c>
      <c r="AL1218">
        <v>1</v>
      </c>
      <c r="AM1218">
        <v>0</v>
      </c>
      <c r="AN1218">
        <v>0</v>
      </c>
      <c r="AP1218">
        <v>0</v>
      </c>
      <c r="AT1218">
        <v>0</v>
      </c>
      <c r="AU1218">
        <v>13</v>
      </c>
      <c r="AV1218">
        <v>114</v>
      </c>
      <c r="AW1218">
        <v>114</v>
      </c>
      <c r="AX1218">
        <v>156</v>
      </c>
      <c r="BA1218">
        <v>1</v>
      </c>
      <c r="BC1218" t="s">
        <v>2530</v>
      </c>
      <c r="BD1218" s="4">
        <v>43283.404861111114</v>
      </c>
      <c r="BE1218" s="4">
        <v>43283.413888888892</v>
      </c>
      <c r="BF1218" s="4">
        <v>43283.413888888892</v>
      </c>
      <c r="BG1218" t="s">
        <v>83</v>
      </c>
      <c r="BH1218" t="s">
        <v>84</v>
      </c>
      <c r="BI1218" t="s">
        <v>85</v>
      </c>
    </row>
    <row r="1219" spans="1:61" x14ac:dyDescent="0.3">
      <c r="A1219" t="str">
        <f>"200761B0100"</f>
        <v>200761B0100</v>
      </c>
      <c r="B1219" t="s">
        <v>2531</v>
      </c>
      <c r="C1219">
        <v>20</v>
      </c>
      <c r="D1219" t="s">
        <v>79</v>
      </c>
      <c r="E1219">
        <v>6</v>
      </c>
      <c r="F1219" t="s">
        <v>2299</v>
      </c>
      <c r="G1219">
        <v>761</v>
      </c>
      <c r="H1219">
        <v>1</v>
      </c>
      <c r="I1219" t="s">
        <v>81</v>
      </c>
      <c r="J1219">
        <v>0</v>
      </c>
      <c r="K1219">
        <v>1</v>
      </c>
      <c r="L1219">
        <v>2</v>
      </c>
      <c r="M1219">
        <v>199</v>
      </c>
      <c r="N1219">
        <v>157</v>
      </c>
      <c r="O1219" t="s">
        <v>100</v>
      </c>
      <c r="P1219">
        <v>157</v>
      </c>
      <c r="Q1219">
        <v>12</v>
      </c>
      <c r="R1219">
        <v>26</v>
      </c>
      <c r="S1219">
        <v>43</v>
      </c>
      <c r="T1219">
        <v>2</v>
      </c>
      <c r="U1219">
        <v>7</v>
      </c>
      <c r="V1219">
        <v>0</v>
      </c>
      <c r="W1219">
        <v>1</v>
      </c>
      <c r="X1219">
        <v>1</v>
      </c>
      <c r="Y1219">
        <v>31</v>
      </c>
      <c r="Z1219">
        <v>1</v>
      </c>
      <c r="AA1219">
        <v>0</v>
      </c>
      <c r="AB1219">
        <v>0</v>
      </c>
      <c r="AC1219">
        <v>1</v>
      </c>
      <c r="AD1219">
        <v>1</v>
      </c>
      <c r="AE1219">
        <v>0</v>
      </c>
      <c r="AF1219">
        <v>0</v>
      </c>
      <c r="AK1219">
        <v>3</v>
      </c>
      <c r="AL1219">
        <v>1</v>
      </c>
      <c r="AM1219">
        <v>0</v>
      </c>
      <c r="AN1219">
        <v>1</v>
      </c>
      <c r="AP1219">
        <v>0</v>
      </c>
      <c r="AT1219">
        <v>0</v>
      </c>
      <c r="AU1219">
        <v>26</v>
      </c>
      <c r="AV1219">
        <v>157</v>
      </c>
      <c r="AW1219">
        <v>157</v>
      </c>
      <c r="AX1219">
        <v>334</v>
      </c>
      <c r="BA1219">
        <v>1</v>
      </c>
      <c r="BC1219" t="s">
        <v>2532</v>
      </c>
      <c r="BD1219" s="4">
        <v>43283.39166666667</v>
      </c>
      <c r="BE1219" s="4">
        <v>43283.398611111108</v>
      </c>
      <c r="BF1219" s="4">
        <v>43283.398611111108</v>
      </c>
      <c r="BG1219" t="s">
        <v>83</v>
      </c>
      <c r="BH1219" t="s">
        <v>84</v>
      </c>
      <c r="BI1219" t="s">
        <v>85</v>
      </c>
    </row>
    <row r="1220" spans="1:61" x14ac:dyDescent="0.3">
      <c r="A1220" t="str">
        <f>"200907B0100"</f>
        <v>200907B0100</v>
      </c>
      <c r="B1220" t="s">
        <v>2533</v>
      </c>
      <c r="C1220">
        <v>20</v>
      </c>
      <c r="D1220" t="s">
        <v>79</v>
      </c>
      <c r="E1220">
        <v>6</v>
      </c>
      <c r="F1220" t="s">
        <v>2299</v>
      </c>
      <c r="G1220">
        <v>907</v>
      </c>
      <c r="H1220">
        <v>1</v>
      </c>
      <c r="I1220" t="s">
        <v>81</v>
      </c>
      <c r="J1220">
        <v>0</v>
      </c>
      <c r="K1220">
        <v>2</v>
      </c>
      <c r="L1220">
        <v>2</v>
      </c>
      <c r="M1220">
        <v>333</v>
      </c>
      <c r="N1220">
        <v>198</v>
      </c>
      <c r="O1220">
        <v>0</v>
      </c>
      <c r="P1220">
        <v>198</v>
      </c>
      <c r="Q1220">
        <v>7</v>
      </c>
      <c r="R1220">
        <v>36</v>
      </c>
      <c r="S1220">
        <v>20</v>
      </c>
      <c r="T1220">
        <v>4</v>
      </c>
      <c r="U1220">
        <v>27</v>
      </c>
      <c r="V1220">
        <v>1</v>
      </c>
      <c r="W1220">
        <v>1</v>
      </c>
      <c r="X1220">
        <v>14</v>
      </c>
      <c r="Y1220">
        <v>66</v>
      </c>
      <c r="Z1220">
        <v>3</v>
      </c>
      <c r="AA1220">
        <v>0</v>
      </c>
      <c r="AB1220">
        <v>2</v>
      </c>
      <c r="AC1220">
        <v>0</v>
      </c>
      <c r="AD1220">
        <v>2</v>
      </c>
      <c r="AE1220">
        <v>0</v>
      </c>
      <c r="AF1220">
        <v>0</v>
      </c>
      <c r="AK1220">
        <v>3</v>
      </c>
      <c r="AL1220">
        <v>0</v>
      </c>
      <c r="AM1220">
        <v>0</v>
      </c>
      <c r="AN1220">
        <v>0</v>
      </c>
      <c r="AP1220">
        <v>1</v>
      </c>
      <c r="AT1220">
        <v>0</v>
      </c>
      <c r="AU1220">
        <v>11</v>
      </c>
      <c r="AV1220">
        <v>198</v>
      </c>
      <c r="AW1220">
        <v>198</v>
      </c>
      <c r="AX1220">
        <v>509</v>
      </c>
      <c r="BA1220">
        <v>1</v>
      </c>
      <c r="BC1220" t="s">
        <v>2534</v>
      </c>
      <c r="BD1220" s="4">
        <v>43283.390277777777</v>
      </c>
      <c r="BE1220" s="4">
        <v>43283.396203703705</v>
      </c>
      <c r="BF1220" s="4">
        <v>43283.396203703705</v>
      </c>
      <c r="BG1220" t="s">
        <v>83</v>
      </c>
      <c r="BH1220" t="s">
        <v>84</v>
      </c>
      <c r="BI1220" t="s">
        <v>85</v>
      </c>
    </row>
    <row r="1221" spans="1:61" x14ac:dyDescent="0.3">
      <c r="A1221" t="str">
        <f>"200907C0100"</f>
        <v>200907C0100</v>
      </c>
      <c r="B1221" t="s">
        <v>2535</v>
      </c>
      <c r="C1221">
        <v>20</v>
      </c>
      <c r="D1221" t="s">
        <v>79</v>
      </c>
      <c r="E1221">
        <v>6</v>
      </c>
      <c r="F1221" t="s">
        <v>2299</v>
      </c>
      <c r="G1221">
        <v>907</v>
      </c>
      <c r="H1221">
        <v>1</v>
      </c>
      <c r="I1221" t="s">
        <v>89</v>
      </c>
      <c r="J1221">
        <v>0</v>
      </c>
      <c r="K1221">
        <v>2</v>
      </c>
      <c r="L1221">
        <v>2</v>
      </c>
      <c r="M1221">
        <v>309</v>
      </c>
      <c r="N1221">
        <v>222</v>
      </c>
      <c r="O1221">
        <v>0</v>
      </c>
      <c r="P1221">
        <v>222</v>
      </c>
      <c r="Q1221">
        <v>2</v>
      </c>
      <c r="R1221">
        <v>42</v>
      </c>
      <c r="S1221">
        <v>27</v>
      </c>
      <c r="T1221">
        <v>2</v>
      </c>
      <c r="U1221">
        <v>11</v>
      </c>
      <c r="V1221">
        <v>1</v>
      </c>
      <c r="W1221">
        <v>0</v>
      </c>
      <c r="X1221">
        <v>7</v>
      </c>
      <c r="Y1221">
        <v>90</v>
      </c>
      <c r="Z1221">
        <v>10</v>
      </c>
      <c r="AA1221">
        <v>0</v>
      </c>
      <c r="AB1221">
        <v>0</v>
      </c>
      <c r="AC1221">
        <v>0</v>
      </c>
      <c r="AD1221">
        <v>1</v>
      </c>
      <c r="AE1221">
        <v>0</v>
      </c>
      <c r="AF1221">
        <v>0</v>
      </c>
      <c r="AK1221">
        <v>7</v>
      </c>
      <c r="AL1221">
        <v>2</v>
      </c>
      <c r="AM1221">
        <v>0</v>
      </c>
      <c r="AN1221">
        <v>2</v>
      </c>
      <c r="AP1221">
        <v>1</v>
      </c>
      <c r="AT1221">
        <v>0</v>
      </c>
      <c r="AU1221">
        <v>17</v>
      </c>
      <c r="AV1221">
        <v>222</v>
      </c>
      <c r="AW1221">
        <v>222</v>
      </c>
      <c r="AX1221">
        <v>509</v>
      </c>
      <c r="BA1221">
        <v>1</v>
      </c>
      <c r="BC1221" t="s">
        <v>2536</v>
      </c>
      <c r="BD1221" s="4">
        <v>43283.390277777777</v>
      </c>
      <c r="BE1221" s="4">
        <v>43283.395567129628</v>
      </c>
      <c r="BF1221" s="4">
        <v>43283.395567129628</v>
      </c>
      <c r="BG1221" t="s">
        <v>83</v>
      </c>
      <c r="BH1221" t="s">
        <v>84</v>
      </c>
      <c r="BI1221" t="s">
        <v>85</v>
      </c>
    </row>
    <row r="1222" spans="1:61" x14ac:dyDescent="0.3">
      <c r="A1222" t="str">
        <f>"200907E0100"</f>
        <v>200907E0100</v>
      </c>
      <c r="B1222" s="2" t="s">
        <v>2537</v>
      </c>
      <c r="C1222">
        <v>20</v>
      </c>
      <c r="D1222" t="s">
        <v>79</v>
      </c>
      <c r="E1222">
        <v>6</v>
      </c>
      <c r="F1222" t="s">
        <v>2299</v>
      </c>
      <c r="G1222">
        <v>907</v>
      </c>
      <c r="H1222">
        <v>1</v>
      </c>
      <c r="I1222" t="s">
        <v>145</v>
      </c>
      <c r="J1222">
        <v>0</v>
      </c>
      <c r="K1222">
        <v>2</v>
      </c>
      <c r="L1222">
        <v>2</v>
      </c>
      <c r="AX1222">
        <v>508</v>
      </c>
      <c r="AZ1222" t="s">
        <v>156</v>
      </c>
      <c r="BA1222">
        <v>0</v>
      </c>
      <c r="BC1222" t="s">
        <v>2538</v>
      </c>
      <c r="BD1222" s="4">
        <v>43283.807638888888</v>
      </c>
      <c r="BE1222" s="4">
        <v>43283.808576388888</v>
      </c>
      <c r="BF1222" s="4">
        <v>43283.808576388888</v>
      </c>
      <c r="BG1222" t="s">
        <v>83</v>
      </c>
      <c r="BH1222" t="s">
        <v>84</v>
      </c>
      <c r="BI1222" t="s">
        <v>85</v>
      </c>
    </row>
    <row r="1223" spans="1:61" x14ac:dyDescent="0.3">
      <c r="A1223" t="str">
        <f>"200924B0100"</f>
        <v>200924B0100</v>
      </c>
      <c r="B1223" t="s">
        <v>2539</v>
      </c>
      <c r="C1223">
        <v>20</v>
      </c>
      <c r="D1223" t="s">
        <v>79</v>
      </c>
      <c r="E1223">
        <v>6</v>
      </c>
      <c r="F1223" t="s">
        <v>2299</v>
      </c>
      <c r="G1223">
        <v>924</v>
      </c>
      <c r="H1223">
        <v>1</v>
      </c>
      <c r="I1223" t="s">
        <v>81</v>
      </c>
      <c r="J1223">
        <v>0</v>
      </c>
      <c r="K1223">
        <v>2</v>
      </c>
      <c r="L1223">
        <v>2</v>
      </c>
      <c r="M1223">
        <v>258</v>
      </c>
      <c r="N1223">
        <v>301</v>
      </c>
      <c r="O1223">
        <v>1</v>
      </c>
      <c r="P1223">
        <v>301</v>
      </c>
      <c r="Q1223">
        <v>68</v>
      </c>
      <c r="R1223">
        <v>163</v>
      </c>
      <c r="S1223">
        <v>2</v>
      </c>
      <c r="T1223">
        <v>2</v>
      </c>
      <c r="U1223">
        <v>7</v>
      </c>
      <c r="V1223">
        <v>1</v>
      </c>
      <c r="W1223">
        <v>3</v>
      </c>
      <c r="X1223">
        <v>1</v>
      </c>
      <c r="Y1223">
        <v>31</v>
      </c>
      <c r="Z1223">
        <v>0</v>
      </c>
      <c r="AA1223">
        <v>0</v>
      </c>
      <c r="AB1223">
        <v>3</v>
      </c>
      <c r="AC1223">
        <v>2</v>
      </c>
      <c r="AD1223">
        <v>0</v>
      </c>
      <c r="AE1223">
        <v>0</v>
      </c>
      <c r="AF1223">
        <v>0</v>
      </c>
      <c r="AK1223">
        <v>1</v>
      </c>
      <c r="AL1223">
        <v>0</v>
      </c>
      <c r="AM1223">
        <v>0</v>
      </c>
      <c r="AN1223">
        <v>0</v>
      </c>
      <c r="AP1223">
        <v>2</v>
      </c>
      <c r="AT1223">
        <v>0</v>
      </c>
      <c r="AU1223">
        <v>15</v>
      </c>
      <c r="AV1223">
        <v>301</v>
      </c>
      <c r="AW1223">
        <v>301</v>
      </c>
      <c r="AX1223">
        <v>537</v>
      </c>
      <c r="BA1223">
        <v>1</v>
      </c>
      <c r="BC1223" t="s">
        <v>2540</v>
      </c>
      <c r="BD1223" s="4">
        <v>43283.23333333333</v>
      </c>
      <c r="BE1223" s="4">
        <v>43283.256203703706</v>
      </c>
      <c r="BF1223" s="4">
        <v>43283.256203703706</v>
      </c>
      <c r="BG1223" t="s">
        <v>83</v>
      </c>
      <c r="BH1223" t="s">
        <v>84</v>
      </c>
      <c r="BI1223" t="s">
        <v>85</v>
      </c>
    </row>
    <row r="1224" spans="1:61" x14ac:dyDescent="0.3">
      <c r="A1224" t="str">
        <f>"200925B0100"</f>
        <v>200925B0100</v>
      </c>
      <c r="B1224" t="s">
        <v>2541</v>
      </c>
      <c r="C1224">
        <v>20</v>
      </c>
      <c r="D1224" t="s">
        <v>79</v>
      </c>
      <c r="E1224">
        <v>6</v>
      </c>
      <c r="F1224" t="s">
        <v>2299</v>
      </c>
      <c r="G1224">
        <v>925</v>
      </c>
      <c r="H1224">
        <v>1</v>
      </c>
      <c r="I1224" t="s">
        <v>81</v>
      </c>
      <c r="J1224">
        <v>0</v>
      </c>
      <c r="K1224">
        <v>2</v>
      </c>
      <c r="L1224">
        <v>2</v>
      </c>
      <c r="M1224">
        <v>245</v>
      </c>
      <c r="N1224">
        <v>396</v>
      </c>
      <c r="O1224">
        <v>2</v>
      </c>
      <c r="P1224">
        <v>396</v>
      </c>
      <c r="Q1224">
        <v>137</v>
      </c>
      <c r="R1224">
        <v>148</v>
      </c>
      <c r="S1224">
        <v>2</v>
      </c>
      <c r="T1224">
        <v>3</v>
      </c>
      <c r="U1224">
        <v>6</v>
      </c>
      <c r="V1224">
        <v>1</v>
      </c>
      <c r="W1224">
        <v>2</v>
      </c>
      <c r="X1224">
        <v>4</v>
      </c>
      <c r="Y1224">
        <v>58</v>
      </c>
      <c r="Z1224">
        <v>4</v>
      </c>
      <c r="AA1224">
        <v>1</v>
      </c>
      <c r="AB1224">
        <v>5</v>
      </c>
      <c r="AC1224">
        <v>1</v>
      </c>
      <c r="AD1224">
        <v>1</v>
      </c>
      <c r="AE1224">
        <v>0</v>
      </c>
      <c r="AF1224">
        <v>0</v>
      </c>
      <c r="AK1224">
        <v>2</v>
      </c>
      <c r="AL1224">
        <v>1</v>
      </c>
      <c r="AM1224">
        <v>1</v>
      </c>
      <c r="AN1224">
        <v>0</v>
      </c>
      <c r="AP1224">
        <v>2</v>
      </c>
      <c r="AT1224">
        <v>7</v>
      </c>
      <c r="AU1224">
        <v>10</v>
      </c>
      <c r="AV1224">
        <v>396</v>
      </c>
      <c r="AW1224">
        <v>396</v>
      </c>
      <c r="AX1224">
        <v>619</v>
      </c>
      <c r="BA1224">
        <v>1</v>
      </c>
      <c r="BC1224" t="s">
        <v>2542</v>
      </c>
      <c r="BD1224" s="4">
        <v>43283.154861111114</v>
      </c>
      <c r="BE1224" s="4">
        <v>43283.167905092596</v>
      </c>
      <c r="BF1224" s="4">
        <v>43283.167905092596</v>
      </c>
      <c r="BG1224" t="s">
        <v>83</v>
      </c>
      <c r="BH1224" t="s">
        <v>84</v>
      </c>
      <c r="BI1224" t="s">
        <v>85</v>
      </c>
    </row>
    <row r="1225" spans="1:61" x14ac:dyDescent="0.3">
      <c r="A1225" t="str">
        <f>"200926B0100"</f>
        <v>200926B0100</v>
      </c>
      <c r="B1225" t="s">
        <v>2543</v>
      </c>
      <c r="C1225">
        <v>20</v>
      </c>
      <c r="D1225" t="s">
        <v>79</v>
      </c>
      <c r="E1225">
        <v>6</v>
      </c>
      <c r="F1225" t="s">
        <v>2299</v>
      </c>
      <c r="G1225">
        <v>926</v>
      </c>
      <c r="H1225">
        <v>1</v>
      </c>
      <c r="I1225" t="s">
        <v>81</v>
      </c>
      <c r="J1225">
        <v>0</v>
      </c>
      <c r="K1225">
        <v>2</v>
      </c>
      <c r="L1225">
        <v>2</v>
      </c>
      <c r="M1225">
        <v>189</v>
      </c>
      <c r="N1225">
        <v>218</v>
      </c>
      <c r="O1225">
        <v>4</v>
      </c>
      <c r="P1225">
        <v>0</v>
      </c>
      <c r="Q1225">
        <v>84</v>
      </c>
      <c r="R1225">
        <v>39</v>
      </c>
      <c r="S1225">
        <v>2</v>
      </c>
      <c r="T1225">
        <v>3</v>
      </c>
      <c r="U1225">
        <v>5</v>
      </c>
      <c r="V1225">
        <v>3</v>
      </c>
      <c r="W1225">
        <v>1</v>
      </c>
      <c r="X1225">
        <v>2</v>
      </c>
      <c r="Y1225">
        <v>58</v>
      </c>
      <c r="Z1225">
        <v>3</v>
      </c>
      <c r="AA1225">
        <v>0</v>
      </c>
      <c r="AB1225">
        <v>1</v>
      </c>
      <c r="AC1225">
        <v>0</v>
      </c>
      <c r="AD1225">
        <v>1</v>
      </c>
      <c r="AE1225">
        <v>0</v>
      </c>
      <c r="AF1225">
        <v>0</v>
      </c>
      <c r="AK1225">
        <v>0</v>
      </c>
      <c r="AL1225">
        <v>0</v>
      </c>
      <c r="AM1225">
        <v>0</v>
      </c>
      <c r="AN1225">
        <v>2</v>
      </c>
      <c r="AP1225">
        <v>0</v>
      </c>
      <c r="AT1225">
        <v>0</v>
      </c>
      <c r="AU1225">
        <v>14</v>
      </c>
      <c r="AV1225">
        <v>218</v>
      </c>
      <c r="AW1225">
        <v>218</v>
      </c>
      <c r="AX1225">
        <v>384</v>
      </c>
      <c r="BA1225">
        <v>1</v>
      </c>
      <c r="BC1225" t="s">
        <v>2544</v>
      </c>
      <c r="BD1225" s="4">
        <v>43283.135416666664</v>
      </c>
      <c r="BE1225" s="4">
        <v>43283.143182870372</v>
      </c>
      <c r="BF1225" s="4">
        <v>43283.143182870372</v>
      </c>
      <c r="BG1225" t="s">
        <v>83</v>
      </c>
      <c r="BH1225" t="s">
        <v>84</v>
      </c>
      <c r="BI1225" t="s">
        <v>85</v>
      </c>
    </row>
    <row r="1226" spans="1:61" x14ac:dyDescent="0.3">
      <c r="A1226" t="str">
        <f>"200938B0100"</f>
        <v>200938B0100</v>
      </c>
      <c r="B1226" t="s">
        <v>2545</v>
      </c>
      <c r="C1226">
        <v>20</v>
      </c>
      <c r="D1226" t="s">
        <v>79</v>
      </c>
      <c r="E1226">
        <v>6</v>
      </c>
      <c r="F1226" t="s">
        <v>2299</v>
      </c>
      <c r="G1226">
        <v>938</v>
      </c>
      <c r="H1226">
        <v>1</v>
      </c>
      <c r="I1226" t="s">
        <v>81</v>
      </c>
      <c r="J1226">
        <v>0</v>
      </c>
      <c r="K1226">
        <v>1</v>
      </c>
      <c r="L1226">
        <v>2</v>
      </c>
      <c r="M1226">
        <v>390</v>
      </c>
      <c r="N1226">
        <v>169</v>
      </c>
      <c r="O1226">
        <v>0</v>
      </c>
      <c r="P1226">
        <v>169</v>
      </c>
      <c r="Q1226">
        <v>4</v>
      </c>
      <c r="R1226">
        <v>12</v>
      </c>
      <c r="S1226">
        <v>53</v>
      </c>
      <c r="T1226">
        <v>2</v>
      </c>
      <c r="U1226">
        <v>11</v>
      </c>
      <c r="V1226">
        <v>1</v>
      </c>
      <c r="W1226">
        <v>2</v>
      </c>
      <c r="X1226">
        <v>3</v>
      </c>
      <c r="Y1226">
        <v>63</v>
      </c>
      <c r="Z1226">
        <v>5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K1226">
        <v>0</v>
      </c>
      <c r="AL1226">
        <v>0</v>
      </c>
      <c r="AM1226">
        <v>0</v>
      </c>
      <c r="AN1226">
        <v>1</v>
      </c>
      <c r="AP1226">
        <v>0</v>
      </c>
      <c r="AT1226">
        <v>1</v>
      </c>
      <c r="AU1226">
        <v>11</v>
      </c>
      <c r="AV1226">
        <v>169</v>
      </c>
      <c r="AW1226">
        <v>169</v>
      </c>
      <c r="AX1226">
        <v>536</v>
      </c>
      <c r="BA1226">
        <v>1</v>
      </c>
      <c r="BC1226" t="s">
        <v>2546</v>
      </c>
      <c r="BD1226" s="4">
        <v>43283.445833333331</v>
      </c>
      <c r="BE1226" s="4">
        <v>43283.451909722222</v>
      </c>
      <c r="BF1226" s="4">
        <v>43283.451909722222</v>
      </c>
      <c r="BG1226" t="s">
        <v>83</v>
      </c>
      <c r="BH1226" t="s">
        <v>84</v>
      </c>
      <c r="BI1226" t="s">
        <v>85</v>
      </c>
    </row>
    <row r="1227" spans="1:61" x14ac:dyDescent="0.3">
      <c r="A1227" t="str">
        <f>"200938C0100"</f>
        <v>200938C0100</v>
      </c>
      <c r="B1227" t="s">
        <v>2547</v>
      </c>
      <c r="C1227">
        <v>20</v>
      </c>
      <c r="D1227" t="s">
        <v>79</v>
      </c>
      <c r="E1227">
        <v>6</v>
      </c>
      <c r="F1227" t="s">
        <v>2299</v>
      </c>
      <c r="G1227">
        <v>938</v>
      </c>
      <c r="H1227">
        <v>1</v>
      </c>
      <c r="I1227" t="s">
        <v>89</v>
      </c>
      <c r="J1227">
        <v>0</v>
      </c>
      <c r="K1227">
        <v>1</v>
      </c>
      <c r="L1227">
        <v>2</v>
      </c>
      <c r="M1227">
        <v>400</v>
      </c>
      <c r="N1227">
        <v>159</v>
      </c>
      <c r="O1227">
        <v>0</v>
      </c>
      <c r="P1227">
        <v>159</v>
      </c>
      <c r="Q1227">
        <v>8</v>
      </c>
      <c r="R1227">
        <v>14</v>
      </c>
      <c r="S1227">
        <v>48</v>
      </c>
      <c r="T1227">
        <v>11</v>
      </c>
      <c r="U1227">
        <v>2</v>
      </c>
      <c r="V1227">
        <v>0</v>
      </c>
      <c r="W1227">
        <v>2</v>
      </c>
      <c r="X1227">
        <v>2</v>
      </c>
      <c r="Y1227">
        <v>58</v>
      </c>
      <c r="Z1227">
        <v>2</v>
      </c>
      <c r="AA1227">
        <v>0</v>
      </c>
      <c r="AB1227">
        <v>1</v>
      </c>
      <c r="AC1227">
        <v>0</v>
      </c>
      <c r="AD1227">
        <v>0</v>
      </c>
      <c r="AE1227">
        <v>0</v>
      </c>
      <c r="AF1227">
        <v>0</v>
      </c>
      <c r="AK1227">
        <v>1</v>
      </c>
      <c r="AL1227">
        <v>1</v>
      </c>
      <c r="AM1227">
        <v>0</v>
      </c>
      <c r="AN1227">
        <v>2</v>
      </c>
      <c r="AP1227">
        <v>0</v>
      </c>
      <c r="AT1227">
        <v>0</v>
      </c>
      <c r="AU1227">
        <v>7</v>
      </c>
      <c r="AV1227">
        <v>159</v>
      </c>
      <c r="AW1227">
        <v>159</v>
      </c>
      <c r="AX1227">
        <v>536</v>
      </c>
      <c r="BA1227">
        <v>1</v>
      </c>
      <c r="BC1227" t="s">
        <v>2548</v>
      </c>
      <c r="BD1227" s="4">
        <v>43283.447222222225</v>
      </c>
      <c r="BE1227" s="4">
        <v>43283.454305555555</v>
      </c>
      <c r="BF1227" s="4">
        <v>43283.454305555555</v>
      </c>
      <c r="BG1227" t="s">
        <v>83</v>
      </c>
      <c r="BH1227" t="s">
        <v>84</v>
      </c>
      <c r="BI1227" t="s">
        <v>85</v>
      </c>
    </row>
    <row r="1228" spans="1:61" x14ac:dyDescent="0.3">
      <c r="A1228" t="str">
        <f>"200938C0200"</f>
        <v>200938C0200</v>
      </c>
      <c r="B1228" t="s">
        <v>2549</v>
      </c>
      <c r="C1228">
        <v>20</v>
      </c>
      <c r="D1228" t="s">
        <v>79</v>
      </c>
      <c r="E1228">
        <v>6</v>
      </c>
      <c r="F1228" t="s">
        <v>2299</v>
      </c>
      <c r="G1228">
        <v>938</v>
      </c>
      <c r="H1228">
        <v>2</v>
      </c>
      <c r="I1228" t="s">
        <v>89</v>
      </c>
      <c r="J1228">
        <v>0</v>
      </c>
      <c r="K1228">
        <v>1</v>
      </c>
      <c r="L1228">
        <v>2</v>
      </c>
      <c r="M1228">
        <v>402</v>
      </c>
      <c r="N1228">
        <v>157</v>
      </c>
      <c r="O1228">
        <v>3</v>
      </c>
      <c r="P1228">
        <v>157</v>
      </c>
      <c r="Q1228">
        <v>8</v>
      </c>
      <c r="R1228">
        <v>15</v>
      </c>
      <c r="S1228">
        <v>43</v>
      </c>
      <c r="T1228">
        <v>4</v>
      </c>
      <c r="U1228">
        <v>9</v>
      </c>
      <c r="V1228">
        <v>2</v>
      </c>
      <c r="W1228">
        <v>1</v>
      </c>
      <c r="X1228">
        <v>2</v>
      </c>
      <c r="Y1228">
        <v>56</v>
      </c>
      <c r="Z1228">
        <v>5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K1228">
        <v>3</v>
      </c>
      <c r="AL1228">
        <v>0</v>
      </c>
      <c r="AM1228">
        <v>0</v>
      </c>
      <c r="AN1228">
        <v>0</v>
      </c>
      <c r="AP1228">
        <v>0</v>
      </c>
      <c r="AT1228">
        <v>0</v>
      </c>
      <c r="AU1228">
        <v>8</v>
      </c>
      <c r="AV1228">
        <v>157</v>
      </c>
      <c r="AW1228">
        <v>156</v>
      </c>
      <c r="AX1228">
        <v>536</v>
      </c>
      <c r="BA1228">
        <v>1</v>
      </c>
      <c r="BC1228" t="s">
        <v>2550</v>
      </c>
      <c r="BD1228" s="4">
        <v>43283.448611111111</v>
      </c>
      <c r="BE1228" s="4">
        <v>43283.459201388891</v>
      </c>
      <c r="BF1228" s="4">
        <v>43283.459201388891</v>
      </c>
      <c r="BG1228" t="s">
        <v>83</v>
      </c>
      <c r="BH1228" t="s">
        <v>84</v>
      </c>
      <c r="BI1228" t="s">
        <v>85</v>
      </c>
    </row>
    <row r="1229" spans="1:61" x14ac:dyDescent="0.3">
      <c r="A1229" t="str">
        <f>"200939B0100"</f>
        <v>200939B0100</v>
      </c>
      <c r="B1229" t="s">
        <v>2551</v>
      </c>
      <c r="C1229">
        <v>20</v>
      </c>
      <c r="D1229" t="s">
        <v>79</v>
      </c>
      <c r="E1229">
        <v>6</v>
      </c>
      <c r="F1229" t="s">
        <v>2299</v>
      </c>
      <c r="G1229">
        <v>939</v>
      </c>
      <c r="H1229">
        <v>1</v>
      </c>
      <c r="I1229" t="s">
        <v>81</v>
      </c>
      <c r="J1229">
        <v>0</v>
      </c>
      <c r="K1229">
        <v>2</v>
      </c>
      <c r="L1229">
        <v>2</v>
      </c>
      <c r="M1229">
        <v>335</v>
      </c>
      <c r="N1229">
        <v>198</v>
      </c>
      <c r="O1229">
        <v>0</v>
      </c>
      <c r="P1229">
        <v>198</v>
      </c>
      <c r="Q1229">
        <v>13</v>
      </c>
      <c r="R1229">
        <v>8</v>
      </c>
      <c r="S1229">
        <v>50</v>
      </c>
      <c r="T1229">
        <v>2</v>
      </c>
      <c r="U1229">
        <v>20</v>
      </c>
      <c r="V1229">
        <v>3</v>
      </c>
      <c r="W1229">
        <v>2</v>
      </c>
      <c r="X1229">
        <v>2</v>
      </c>
      <c r="Y1229">
        <v>64</v>
      </c>
      <c r="Z1229">
        <v>2</v>
      </c>
      <c r="AA1229">
        <v>0</v>
      </c>
      <c r="AB1229">
        <v>1</v>
      </c>
      <c r="AC1229">
        <v>1</v>
      </c>
      <c r="AD1229">
        <v>1</v>
      </c>
      <c r="AE1229">
        <v>0</v>
      </c>
      <c r="AF1229">
        <v>1</v>
      </c>
      <c r="AK1229">
        <v>4</v>
      </c>
      <c r="AL1229">
        <v>4</v>
      </c>
      <c r="AM1229">
        <v>0</v>
      </c>
      <c r="AN1229">
        <v>0</v>
      </c>
      <c r="AP1229">
        <v>0</v>
      </c>
      <c r="AT1229">
        <v>0</v>
      </c>
      <c r="AU1229">
        <v>17</v>
      </c>
      <c r="AV1229">
        <v>196</v>
      </c>
      <c r="AW1229">
        <v>195</v>
      </c>
      <c r="AX1229">
        <v>511</v>
      </c>
      <c r="BA1229">
        <v>1</v>
      </c>
      <c r="BC1229" t="s">
        <v>2552</v>
      </c>
      <c r="BD1229" s="4">
        <v>43283.445138888892</v>
      </c>
      <c r="BE1229" s="4">
        <v>43283.450555555559</v>
      </c>
      <c r="BF1229" s="4">
        <v>43283.450555555559</v>
      </c>
      <c r="BG1229" t="s">
        <v>83</v>
      </c>
      <c r="BH1229" t="s">
        <v>84</v>
      </c>
      <c r="BI1229" t="s">
        <v>85</v>
      </c>
    </row>
    <row r="1230" spans="1:61" x14ac:dyDescent="0.3">
      <c r="A1230" t="str">
        <f>"200940B0100"</f>
        <v>200940B0100</v>
      </c>
      <c r="B1230" t="s">
        <v>2553</v>
      </c>
      <c r="C1230">
        <v>20</v>
      </c>
      <c r="D1230" t="s">
        <v>79</v>
      </c>
      <c r="E1230">
        <v>6</v>
      </c>
      <c r="F1230" t="s">
        <v>2299</v>
      </c>
      <c r="G1230">
        <v>940</v>
      </c>
      <c r="H1230">
        <v>1</v>
      </c>
      <c r="I1230" t="s">
        <v>81</v>
      </c>
      <c r="J1230">
        <v>0</v>
      </c>
      <c r="K1230">
        <v>2</v>
      </c>
      <c r="L1230">
        <v>2</v>
      </c>
      <c r="M1230">
        <v>108</v>
      </c>
      <c r="N1230">
        <v>127</v>
      </c>
      <c r="O1230">
        <v>4</v>
      </c>
      <c r="P1230">
        <v>123</v>
      </c>
      <c r="Q1230">
        <v>10</v>
      </c>
      <c r="R1230">
        <v>5</v>
      </c>
      <c r="S1230">
        <v>9</v>
      </c>
      <c r="T1230">
        <v>2</v>
      </c>
      <c r="U1230">
        <v>5</v>
      </c>
      <c r="V1230">
        <v>2</v>
      </c>
      <c r="W1230">
        <v>1</v>
      </c>
      <c r="X1230">
        <v>0</v>
      </c>
      <c r="Y1230">
        <v>82</v>
      </c>
      <c r="Z1230">
        <v>2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K1230">
        <v>0</v>
      </c>
      <c r="AL1230">
        <v>0</v>
      </c>
      <c r="AM1230">
        <v>0</v>
      </c>
      <c r="AN1230">
        <v>0</v>
      </c>
      <c r="AP1230">
        <v>0</v>
      </c>
      <c r="AT1230">
        <v>0</v>
      </c>
      <c r="AU1230">
        <v>5</v>
      </c>
      <c r="AV1230">
        <v>123</v>
      </c>
      <c r="AW1230">
        <v>123</v>
      </c>
      <c r="AX1230">
        <v>210</v>
      </c>
      <c r="BA1230">
        <v>1</v>
      </c>
      <c r="BC1230" t="s">
        <v>2554</v>
      </c>
      <c r="BD1230" s="4">
        <v>43283.447916666664</v>
      </c>
      <c r="BE1230" s="4">
        <v>43283.457175925927</v>
      </c>
      <c r="BF1230" s="4">
        <v>43283.457175925927</v>
      </c>
      <c r="BG1230" t="s">
        <v>83</v>
      </c>
      <c r="BH1230" t="s">
        <v>84</v>
      </c>
      <c r="BI1230" t="s">
        <v>85</v>
      </c>
    </row>
    <row r="1231" spans="1:61" x14ac:dyDescent="0.3">
      <c r="A1231" t="str">
        <f>"200941B0100"</f>
        <v>200941B0100</v>
      </c>
      <c r="B1231" t="s">
        <v>2555</v>
      </c>
      <c r="C1231">
        <v>20</v>
      </c>
      <c r="D1231" t="s">
        <v>79</v>
      </c>
      <c r="E1231">
        <v>6</v>
      </c>
      <c r="F1231" t="s">
        <v>2299</v>
      </c>
      <c r="G1231">
        <v>941</v>
      </c>
      <c r="H1231">
        <v>1</v>
      </c>
      <c r="I1231" t="s">
        <v>81</v>
      </c>
      <c r="J1231">
        <v>0</v>
      </c>
      <c r="K1231">
        <v>2</v>
      </c>
      <c r="L1231">
        <v>2</v>
      </c>
      <c r="M1231">
        <v>366</v>
      </c>
      <c r="N1231">
        <v>659</v>
      </c>
      <c r="O1231">
        <v>0</v>
      </c>
      <c r="P1231">
        <v>293</v>
      </c>
      <c r="Q1231">
        <v>9</v>
      </c>
      <c r="R1231">
        <v>79</v>
      </c>
      <c r="S1231">
        <v>12</v>
      </c>
      <c r="T1231">
        <v>3</v>
      </c>
      <c r="U1231">
        <v>17</v>
      </c>
      <c r="V1231">
        <v>4</v>
      </c>
      <c r="W1231">
        <v>2</v>
      </c>
      <c r="X1231">
        <v>3</v>
      </c>
      <c r="Y1231">
        <v>119</v>
      </c>
      <c r="Z1231">
        <v>4</v>
      </c>
      <c r="AA1231">
        <v>0</v>
      </c>
      <c r="AB1231">
        <v>3</v>
      </c>
      <c r="AC1231">
        <v>1</v>
      </c>
      <c r="AD1231">
        <v>2</v>
      </c>
      <c r="AE1231">
        <v>0</v>
      </c>
      <c r="AF1231">
        <v>0</v>
      </c>
      <c r="AK1231">
        <v>4</v>
      </c>
      <c r="AL1231">
        <v>1</v>
      </c>
      <c r="AM1231">
        <v>0</v>
      </c>
      <c r="AN1231">
        <v>2</v>
      </c>
      <c r="AP1231">
        <v>3</v>
      </c>
      <c r="AT1231">
        <v>1</v>
      </c>
      <c r="AU1231">
        <v>24</v>
      </c>
      <c r="AV1231">
        <v>293</v>
      </c>
      <c r="AW1231">
        <v>293</v>
      </c>
      <c r="AX1231">
        <v>637</v>
      </c>
      <c r="BA1231">
        <v>1</v>
      </c>
      <c r="BC1231" t="s">
        <v>2556</v>
      </c>
      <c r="BD1231" s="4">
        <v>43283.234027777777</v>
      </c>
      <c r="BE1231" s="4">
        <v>43283.256145833337</v>
      </c>
      <c r="BF1231" s="4">
        <v>43283.256145833337</v>
      </c>
      <c r="BG1231" t="s">
        <v>83</v>
      </c>
      <c r="BH1231" t="s">
        <v>84</v>
      </c>
      <c r="BI1231" t="s">
        <v>85</v>
      </c>
    </row>
    <row r="1232" spans="1:61" x14ac:dyDescent="0.3">
      <c r="A1232" t="str">
        <f>"200942B0100"</f>
        <v>200942B0100</v>
      </c>
      <c r="B1232" t="s">
        <v>2557</v>
      </c>
      <c r="C1232">
        <v>20</v>
      </c>
      <c r="D1232" t="s">
        <v>79</v>
      </c>
      <c r="E1232">
        <v>6</v>
      </c>
      <c r="F1232" t="s">
        <v>2299</v>
      </c>
      <c r="G1232">
        <v>942</v>
      </c>
      <c r="H1232">
        <v>1</v>
      </c>
      <c r="I1232" t="s">
        <v>81</v>
      </c>
      <c r="J1232">
        <v>0</v>
      </c>
      <c r="K1232">
        <v>2</v>
      </c>
      <c r="L1232">
        <v>2</v>
      </c>
      <c r="M1232">
        <v>226</v>
      </c>
      <c r="N1232">
        <v>215</v>
      </c>
      <c r="O1232">
        <v>1</v>
      </c>
      <c r="P1232">
        <v>215</v>
      </c>
      <c r="Q1232">
        <v>6</v>
      </c>
      <c r="R1232">
        <v>96</v>
      </c>
      <c r="S1232">
        <v>6</v>
      </c>
      <c r="T1232">
        <v>3</v>
      </c>
      <c r="U1232">
        <v>6</v>
      </c>
      <c r="V1232">
        <v>1</v>
      </c>
      <c r="W1232">
        <v>2</v>
      </c>
      <c r="X1232">
        <v>1</v>
      </c>
      <c r="Y1232">
        <v>73</v>
      </c>
      <c r="Z1232">
        <v>1</v>
      </c>
      <c r="AA1232">
        <v>0</v>
      </c>
      <c r="AB1232">
        <v>1</v>
      </c>
      <c r="AC1232">
        <v>0</v>
      </c>
      <c r="AD1232">
        <v>0</v>
      </c>
      <c r="AE1232">
        <v>0</v>
      </c>
      <c r="AF1232">
        <v>0</v>
      </c>
      <c r="AK1232">
        <v>4</v>
      </c>
      <c r="AL1232">
        <v>1</v>
      </c>
      <c r="AM1232">
        <v>1</v>
      </c>
      <c r="AN1232">
        <v>2</v>
      </c>
      <c r="AP1232">
        <v>6</v>
      </c>
      <c r="AT1232">
        <v>0</v>
      </c>
      <c r="AU1232">
        <v>6</v>
      </c>
      <c r="AV1232">
        <v>215</v>
      </c>
      <c r="AW1232">
        <v>216</v>
      </c>
      <c r="AX1232">
        <v>419</v>
      </c>
      <c r="BA1232">
        <v>1</v>
      </c>
      <c r="BC1232" t="s">
        <v>2558</v>
      </c>
      <c r="BD1232" s="4">
        <v>43283.23333333333</v>
      </c>
      <c r="BE1232" s="4">
        <v>43283.255833333336</v>
      </c>
      <c r="BF1232" s="4">
        <v>43283.255833333336</v>
      </c>
      <c r="BG1232" t="s">
        <v>83</v>
      </c>
      <c r="BH1232" t="s">
        <v>84</v>
      </c>
      <c r="BI1232" t="s">
        <v>85</v>
      </c>
    </row>
    <row r="1233" spans="1:61" x14ac:dyDescent="0.3">
      <c r="A1233" t="str">
        <f>"201005B0100"</f>
        <v>201005B0100</v>
      </c>
      <c r="B1233" t="s">
        <v>2559</v>
      </c>
      <c r="C1233">
        <v>20</v>
      </c>
      <c r="D1233" t="s">
        <v>79</v>
      </c>
      <c r="E1233">
        <v>6</v>
      </c>
      <c r="F1233" t="s">
        <v>2299</v>
      </c>
      <c r="G1233">
        <v>1005</v>
      </c>
      <c r="H1233">
        <v>1</v>
      </c>
      <c r="I1233" t="s">
        <v>81</v>
      </c>
      <c r="J1233">
        <v>0</v>
      </c>
      <c r="K1233">
        <v>2</v>
      </c>
      <c r="L1233">
        <v>2</v>
      </c>
      <c r="M1233">
        <v>101</v>
      </c>
      <c r="N1233">
        <v>229</v>
      </c>
      <c r="O1233">
        <v>2</v>
      </c>
      <c r="P1233">
        <v>229</v>
      </c>
      <c r="Q1233">
        <v>84</v>
      </c>
      <c r="R1233">
        <v>80</v>
      </c>
      <c r="S1233">
        <v>4</v>
      </c>
      <c r="T1233">
        <v>1</v>
      </c>
      <c r="U1233">
        <v>5</v>
      </c>
      <c r="V1233">
        <v>1</v>
      </c>
      <c r="W1233">
        <v>2</v>
      </c>
      <c r="X1233">
        <v>0</v>
      </c>
      <c r="Y1233">
        <v>35</v>
      </c>
      <c r="Z1233">
        <v>1</v>
      </c>
      <c r="AA1233">
        <v>1</v>
      </c>
      <c r="AB1233">
        <v>2</v>
      </c>
      <c r="AC1233">
        <v>0</v>
      </c>
      <c r="AD1233">
        <v>4</v>
      </c>
      <c r="AE1233">
        <v>0</v>
      </c>
      <c r="AF1233">
        <v>0</v>
      </c>
      <c r="AK1233">
        <v>1</v>
      </c>
      <c r="AL1233">
        <v>0</v>
      </c>
      <c r="AM1233">
        <v>0</v>
      </c>
      <c r="AN1233">
        <v>0</v>
      </c>
      <c r="AP1233">
        <v>0</v>
      </c>
      <c r="AT1233">
        <v>0</v>
      </c>
      <c r="AU1233">
        <v>8</v>
      </c>
      <c r="AV1233">
        <v>229</v>
      </c>
      <c r="AW1233">
        <v>229</v>
      </c>
      <c r="AX1233">
        <v>308</v>
      </c>
      <c r="BA1233">
        <v>1</v>
      </c>
      <c r="BC1233" t="s">
        <v>2560</v>
      </c>
      <c r="BD1233" s="4">
        <v>43283.066666666666</v>
      </c>
      <c r="BE1233" s="4">
        <v>43283.071828703702</v>
      </c>
      <c r="BF1233" s="4">
        <v>43283.071828703702</v>
      </c>
      <c r="BG1233" t="s">
        <v>83</v>
      </c>
      <c r="BH1233" t="s">
        <v>84</v>
      </c>
      <c r="BI1233" t="s">
        <v>85</v>
      </c>
    </row>
    <row r="1234" spans="1:61" x14ac:dyDescent="0.3">
      <c r="A1234" t="str">
        <f>"201006B0100"</f>
        <v>201006B0100</v>
      </c>
      <c r="B1234" t="s">
        <v>2561</v>
      </c>
      <c r="C1234">
        <v>20</v>
      </c>
      <c r="D1234" t="s">
        <v>79</v>
      </c>
      <c r="E1234">
        <v>6</v>
      </c>
      <c r="F1234" t="s">
        <v>2299</v>
      </c>
      <c r="G1234">
        <v>1006</v>
      </c>
      <c r="H1234">
        <v>1</v>
      </c>
      <c r="I1234" t="s">
        <v>81</v>
      </c>
      <c r="J1234">
        <v>0</v>
      </c>
      <c r="K1234">
        <v>2</v>
      </c>
      <c r="L1234">
        <v>2</v>
      </c>
      <c r="M1234">
        <v>30</v>
      </c>
      <c r="N1234">
        <v>84</v>
      </c>
      <c r="O1234">
        <v>5</v>
      </c>
      <c r="P1234">
        <v>85</v>
      </c>
      <c r="Q1234">
        <v>17</v>
      </c>
      <c r="R1234">
        <v>41</v>
      </c>
      <c r="S1234">
        <v>0</v>
      </c>
      <c r="T1234">
        <v>1</v>
      </c>
      <c r="U1234">
        <v>3</v>
      </c>
      <c r="V1234">
        <v>0</v>
      </c>
      <c r="W1234">
        <v>0</v>
      </c>
      <c r="X1234">
        <v>0</v>
      </c>
      <c r="Y1234">
        <v>19</v>
      </c>
      <c r="Z1234">
        <v>2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K1234">
        <v>0</v>
      </c>
      <c r="AL1234">
        <v>0</v>
      </c>
      <c r="AM1234">
        <v>0</v>
      </c>
      <c r="AN1234">
        <v>0</v>
      </c>
      <c r="AP1234">
        <v>0</v>
      </c>
      <c r="AT1234">
        <v>0</v>
      </c>
      <c r="AU1234">
        <v>2</v>
      </c>
      <c r="AV1234">
        <v>85</v>
      </c>
      <c r="AW1234">
        <v>85</v>
      </c>
      <c r="AX1234">
        <v>98</v>
      </c>
      <c r="BA1234">
        <v>1</v>
      </c>
      <c r="BC1234" t="s">
        <v>2562</v>
      </c>
      <c r="BD1234" s="4">
        <v>43283.065972222219</v>
      </c>
      <c r="BE1234" s="4">
        <v>43283.070879629631</v>
      </c>
      <c r="BF1234" s="4">
        <v>43283.070879629631</v>
      </c>
      <c r="BG1234" t="s">
        <v>83</v>
      </c>
      <c r="BH1234" t="s">
        <v>84</v>
      </c>
      <c r="BI1234" t="s">
        <v>85</v>
      </c>
    </row>
    <row r="1235" spans="1:61" x14ac:dyDescent="0.3">
      <c r="A1235" t="str">
        <f>"201007B0100"</f>
        <v>201007B0100</v>
      </c>
      <c r="B1235" t="s">
        <v>2563</v>
      </c>
      <c r="C1235">
        <v>20</v>
      </c>
      <c r="D1235" t="s">
        <v>79</v>
      </c>
      <c r="E1235">
        <v>6</v>
      </c>
      <c r="F1235" t="s">
        <v>2299</v>
      </c>
      <c r="G1235">
        <v>1007</v>
      </c>
      <c r="H1235">
        <v>1</v>
      </c>
      <c r="I1235" t="s">
        <v>81</v>
      </c>
      <c r="J1235">
        <v>0</v>
      </c>
      <c r="K1235">
        <v>2</v>
      </c>
      <c r="L1235">
        <v>2</v>
      </c>
      <c r="M1235">
        <v>348</v>
      </c>
      <c r="N1235">
        <v>311</v>
      </c>
      <c r="O1235">
        <v>0</v>
      </c>
      <c r="P1235">
        <v>311</v>
      </c>
      <c r="Q1235">
        <v>27</v>
      </c>
      <c r="R1235">
        <v>45</v>
      </c>
      <c r="S1235">
        <v>15</v>
      </c>
      <c r="T1235">
        <v>3</v>
      </c>
      <c r="U1235">
        <v>29</v>
      </c>
      <c r="V1235">
        <v>4</v>
      </c>
      <c r="W1235">
        <v>3</v>
      </c>
      <c r="X1235">
        <v>2</v>
      </c>
      <c r="Y1235">
        <v>137</v>
      </c>
      <c r="Z1235">
        <v>6</v>
      </c>
      <c r="AA1235">
        <v>0</v>
      </c>
      <c r="AB1235">
        <v>1</v>
      </c>
      <c r="AC1235">
        <v>2</v>
      </c>
      <c r="AD1235">
        <v>0</v>
      </c>
      <c r="AE1235">
        <v>0</v>
      </c>
      <c r="AF1235">
        <v>0</v>
      </c>
      <c r="AK1235">
        <v>6</v>
      </c>
      <c r="AL1235">
        <v>3</v>
      </c>
      <c r="AM1235">
        <v>1</v>
      </c>
      <c r="AN1235">
        <v>1</v>
      </c>
      <c r="AP1235">
        <v>1</v>
      </c>
      <c r="AT1235">
        <v>0</v>
      </c>
      <c r="AU1235">
        <v>25</v>
      </c>
      <c r="AV1235">
        <v>311</v>
      </c>
      <c r="AW1235">
        <v>311</v>
      </c>
      <c r="AX1235">
        <v>637</v>
      </c>
      <c r="BA1235">
        <v>1</v>
      </c>
      <c r="BC1235" t="s">
        <v>2564</v>
      </c>
      <c r="BD1235" s="4">
        <v>43283.393750000003</v>
      </c>
      <c r="BE1235" s="4">
        <v>43283.399733796294</v>
      </c>
      <c r="BF1235" s="4">
        <v>43283.399733796294</v>
      </c>
      <c r="BG1235" t="s">
        <v>83</v>
      </c>
      <c r="BH1235" t="s">
        <v>84</v>
      </c>
      <c r="BI1235" t="s">
        <v>85</v>
      </c>
    </row>
    <row r="1236" spans="1:61" x14ac:dyDescent="0.3">
      <c r="A1236" t="str">
        <f>"201008B0100"</f>
        <v>201008B0100</v>
      </c>
      <c r="B1236" t="s">
        <v>2565</v>
      </c>
      <c r="C1236">
        <v>20</v>
      </c>
      <c r="D1236" t="s">
        <v>79</v>
      </c>
      <c r="E1236">
        <v>6</v>
      </c>
      <c r="F1236" t="s">
        <v>2299</v>
      </c>
      <c r="G1236">
        <v>1008</v>
      </c>
      <c r="H1236">
        <v>1</v>
      </c>
      <c r="I1236" t="s">
        <v>81</v>
      </c>
      <c r="J1236">
        <v>0</v>
      </c>
      <c r="K1236">
        <v>2</v>
      </c>
      <c r="L1236">
        <v>2</v>
      </c>
      <c r="M1236">
        <v>216</v>
      </c>
      <c r="N1236">
        <v>164</v>
      </c>
      <c r="O1236">
        <v>2</v>
      </c>
      <c r="P1236">
        <v>164</v>
      </c>
      <c r="Q1236">
        <v>6</v>
      </c>
      <c r="R1236">
        <v>7</v>
      </c>
      <c r="S1236">
        <v>11</v>
      </c>
      <c r="T1236">
        <v>5</v>
      </c>
      <c r="U1236">
        <v>5</v>
      </c>
      <c r="V1236">
        <v>2</v>
      </c>
      <c r="W1236">
        <v>0</v>
      </c>
      <c r="X1236">
        <v>0</v>
      </c>
      <c r="Y1236">
        <v>116</v>
      </c>
      <c r="Z1236">
        <v>3</v>
      </c>
      <c r="AA1236">
        <v>0</v>
      </c>
      <c r="AB1236">
        <v>1</v>
      </c>
      <c r="AC1236">
        <v>0</v>
      </c>
      <c r="AD1236">
        <v>0</v>
      </c>
      <c r="AE1236">
        <v>0</v>
      </c>
      <c r="AF1236">
        <v>0</v>
      </c>
      <c r="AK1236">
        <v>1</v>
      </c>
      <c r="AL1236">
        <v>2</v>
      </c>
      <c r="AM1236">
        <v>0</v>
      </c>
      <c r="AN1236">
        <v>1</v>
      </c>
      <c r="AP1236">
        <v>1</v>
      </c>
      <c r="AT1236">
        <v>0</v>
      </c>
      <c r="AU1236">
        <v>3</v>
      </c>
      <c r="AV1236">
        <v>164</v>
      </c>
      <c r="AW1236">
        <v>164</v>
      </c>
      <c r="AX1236">
        <v>363</v>
      </c>
      <c r="BA1236">
        <v>1</v>
      </c>
      <c r="BC1236" t="s">
        <v>2566</v>
      </c>
      <c r="BD1236" s="4">
        <v>43283.429861111108</v>
      </c>
      <c r="BE1236" s="4">
        <v>43283.433611111112</v>
      </c>
      <c r="BF1236" s="4">
        <v>43283.433611111112</v>
      </c>
      <c r="BG1236" t="s">
        <v>83</v>
      </c>
      <c r="BH1236" t="s">
        <v>84</v>
      </c>
      <c r="BI1236" t="s">
        <v>85</v>
      </c>
    </row>
    <row r="1237" spans="1:61" x14ac:dyDescent="0.3">
      <c r="A1237" t="str">
        <f>"201110B0100"</f>
        <v>201110B0100</v>
      </c>
      <c r="B1237" t="s">
        <v>2567</v>
      </c>
      <c r="C1237">
        <v>20</v>
      </c>
      <c r="D1237" t="s">
        <v>79</v>
      </c>
      <c r="E1237">
        <v>6</v>
      </c>
      <c r="F1237" t="s">
        <v>2299</v>
      </c>
      <c r="G1237">
        <v>1110</v>
      </c>
      <c r="H1237">
        <v>1</v>
      </c>
      <c r="I1237" t="s">
        <v>81</v>
      </c>
      <c r="J1237">
        <v>0</v>
      </c>
      <c r="K1237">
        <v>1</v>
      </c>
      <c r="L1237">
        <v>2</v>
      </c>
      <c r="M1237">
        <v>233</v>
      </c>
      <c r="N1237">
        <v>193</v>
      </c>
      <c r="O1237">
        <v>0</v>
      </c>
      <c r="P1237">
        <v>193</v>
      </c>
      <c r="Q1237">
        <v>18</v>
      </c>
      <c r="R1237">
        <v>62</v>
      </c>
      <c r="S1237">
        <v>11</v>
      </c>
      <c r="T1237">
        <v>1</v>
      </c>
      <c r="U1237">
        <v>5</v>
      </c>
      <c r="V1237">
        <v>1</v>
      </c>
      <c r="W1237">
        <v>1</v>
      </c>
      <c r="X1237">
        <v>3</v>
      </c>
      <c r="Y1237">
        <v>76</v>
      </c>
      <c r="Z1237">
        <v>5</v>
      </c>
      <c r="AA1237">
        <v>1</v>
      </c>
      <c r="AB1237">
        <v>1</v>
      </c>
      <c r="AC1237">
        <v>1</v>
      </c>
      <c r="AD1237">
        <v>0</v>
      </c>
      <c r="AE1237">
        <v>0</v>
      </c>
      <c r="AF1237">
        <v>0</v>
      </c>
      <c r="AK1237">
        <v>2</v>
      </c>
      <c r="AL1237">
        <v>0</v>
      </c>
      <c r="AM1237">
        <v>0</v>
      </c>
      <c r="AN1237">
        <v>0</v>
      </c>
      <c r="AP1237">
        <v>2</v>
      </c>
      <c r="AT1237">
        <v>0</v>
      </c>
      <c r="AU1237">
        <v>3</v>
      </c>
      <c r="AV1237">
        <v>193</v>
      </c>
      <c r="AW1237">
        <v>193</v>
      </c>
      <c r="AX1237">
        <v>405</v>
      </c>
      <c r="BA1237">
        <v>1</v>
      </c>
      <c r="BC1237" t="s">
        <v>2568</v>
      </c>
      <c r="BD1237" s="4">
        <v>43283.404861111114</v>
      </c>
      <c r="BE1237" s="4">
        <v>43283.411157407405</v>
      </c>
      <c r="BF1237" s="4">
        <v>43283.411157407405</v>
      </c>
      <c r="BG1237" t="s">
        <v>83</v>
      </c>
      <c r="BH1237" t="s">
        <v>84</v>
      </c>
      <c r="BI1237" t="s">
        <v>85</v>
      </c>
    </row>
    <row r="1238" spans="1:61" x14ac:dyDescent="0.3">
      <c r="A1238" t="str">
        <f>"201162B0100"</f>
        <v>201162B0100</v>
      </c>
      <c r="B1238" t="s">
        <v>2569</v>
      </c>
      <c r="C1238">
        <v>20</v>
      </c>
      <c r="D1238" t="s">
        <v>79</v>
      </c>
      <c r="E1238">
        <v>6</v>
      </c>
      <c r="F1238" t="s">
        <v>2299</v>
      </c>
      <c r="G1238">
        <v>1162</v>
      </c>
      <c r="H1238">
        <v>1</v>
      </c>
      <c r="I1238" t="s">
        <v>81</v>
      </c>
      <c r="J1238">
        <v>0</v>
      </c>
      <c r="K1238">
        <v>1</v>
      </c>
      <c r="L1238">
        <v>2</v>
      </c>
      <c r="AX1238">
        <v>393</v>
      </c>
      <c r="AZ1238" t="s">
        <v>2570</v>
      </c>
      <c r="BA1238">
        <v>0</v>
      </c>
      <c r="BC1238" t="s">
        <v>2571</v>
      </c>
      <c r="BD1238" s="4">
        <v>43283.713194444441</v>
      </c>
      <c r="BE1238" s="4">
        <v>43283.718981481485</v>
      </c>
      <c r="BF1238" s="4">
        <v>43283.718981481485</v>
      </c>
      <c r="BG1238" t="s">
        <v>83</v>
      </c>
      <c r="BH1238" t="s">
        <v>84</v>
      </c>
      <c r="BI1238" t="s">
        <v>85</v>
      </c>
    </row>
    <row r="1239" spans="1:61" x14ac:dyDescent="0.3">
      <c r="A1239" t="str">
        <f>"201163B0100"</f>
        <v>201163B0100</v>
      </c>
      <c r="B1239" t="s">
        <v>2572</v>
      </c>
      <c r="C1239">
        <v>20</v>
      </c>
      <c r="D1239" t="s">
        <v>79</v>
      </c>
      <c r="E1239">
        <v>6</v>
      </c>
      <c r="F1239" t="s">
        <v>2299</v>
      </c>
      <c r="G1239">
        <v>1163</v>
      </c>
      <c r="H1239">
        <v>1</v>
      </c>
      <c r="I1239" t="s">
        <v>81</v>
      </c>
      <c r="J1239">
        <v>0</v>
      </c>
      <c r="K1239">
        <v>2</v>
      </c>
      <c r="L1239">
        <v>2</v>
      </c>
      <c r="M1239">
        <v>99</v>
      </c>
      <c r="N1239">
        <v>107</v>
      </c>
      <c r="O1239">
        <v>0</v>
      </c>
      <c r="P1239">
        <v>107</v>
      </c>
      <c r="Q1239">
        <v>51</v>
      </c>
      <c r="R1239">
        <v>33</v>
      </c>
      <c r="S1239">
        <v>2</v>
      </c>
      <c r="T1239">
        <v>1</v>
      </c>
      <c r="U1239">
        <v>1</v>
      </c>
      <c r="V1239">
        <v>0</v>
      </c>
      <c r="W1239">
        <v>2</v>
      </c>
      <c r="X1239">
        <v>1</v>
      </c>
      <c r="Y1239">
        <v>6</v>
      </c>
      <c r="Z1239">
        <v>0</v>
      </c>
      <c r="AA1239">
        <v>0</v>
      </c>
      <c r="AB1239">
        <v>0</v>
      </c>
      <c r="AC1239">
        <v>1</v>
      </c>
      <c r="AD1239">
        <v>0</v>
      </c>
      <c r="AE1239">
        <v>0</v>
      </c>
      <c r="AF1239">
        <v>0</v>
      </c>
      <c r="AK1239">
        <v>0</v>
      </c>
      <c r="AL1239">
        <v>1</v>
      </c>
      <c r="AM1239">
        <v>0</v>
      </c>
      <c r="AN1239">
        <v>0</v>
      </c>
      <c r="AP1239">
        <v>0</v>
      </c>
      <c r="AT1239">
        <v>0</v>
      </c>
      <c r="AU1239">
        <v>8</v>
      </c>
      <c r="AV1239">
        <v>107</v>
      </c>
      <c r="AW1239">
        <v>107</v>
      </c>
      <c r="AX1239">
        <v>184</v>
      </c>
      <c r="BA1239">
        <v>1</v>
      </c>
      <c r="BC1239" t="s">
        <v>2573</v>
      </c>
      <c r="BD1239" s="4">
        <v>43283.402083333334</v>
      </c>
      <c r="BE1239" s="4">
        <v>43283.409305555557</v>
      </c>
      <c r="BF1239" s="4">
        <v>43283.409305555557</v>
      </c>
      <c r="BG1239" t="s">
        <v>83</v>
      </c>
      <c r="BH1239" t="s">
        <v>84</v>
      </c>
      <c r="BI1239" t="s">
        <v>85</v>
      </c>
    </row>
    <row r="1240" spans="1:61" x14ac:dyDescent="0.3">
      <c r="A1240" t="str">
        <f>"201251B0100"</f>
        <v>201251B0100</v>
      </c>
      <c r="B1240" t="s">
        <v>2574</v>
      </c>
      <c r="C1240">
        <v>20</v>
      </c>
      <c r="D1240" t="s">
        <v>79</v>
      </c>
      <c r="E1240">
        <v>6</v>
      </c>
      <c r="F1240" t="s">
        <v>2299</v>
      </c>
      <c r="G1240">
        <v>1251</v>
      </c>
      <c r="H1240">
        <v>1</v>
      </c>
      <c r="I1240" t="s">
        <v>81</v>
      </c>
      <c r="J1240">
        <v>0</v>
      </c>
      <c r="K1240">
        <v>1</v>
      </c>
      <c r="L1240">
        <v>2</v>
      </c>
      <c r="M1240">
        <v>208</v>
      </c>
      <c r="N1240">
        <v>211</v>
      </c>
      <c r="O1240">
        <v>0</v>
      </c>
      <c r="P1240">
        <v>211</v>
      </c>
      <c r="Q1240">
        <v>7</v>
      </c>
      <c r="R1240">
        <v>64</v>
      </c>
      <c r="S1240">
        <v>63</v>
      </c>
      <c r="T1240">
        <v>1</v>
      </c>
      <c r="U1240">
        <v>3</v>
      </c>
      <c r="V1240">
        <v>1</v>
      </c>
      <c r="W1240">
        <v>0</v>
      </c>
      <c r="X1240">
        <v>1</v>
      </c>
      <c r="Y1240">
        <v>52</v>
      </c>
      <c r="Z1240">
        <v>1</v>
      </c>
      <c r="AA1240">
        <v>0</v>
      </c>
      <c r="AB1240">
        <v>3</v>
      </c>
      <c r="AC1240">
        <v>0</v>
      </c>
      <c r="AD1240">
        <v>0</v>
      </c>
      <c r="AE1240">
        <v>0</v>
      </c>
      <c r="AF1240">
        <v>0</v>
      </c>
      <c r="AK1240">
        <v>3</v>
      </c>
      <c r="AL1240">
        <v>1</v>
      </c>
      <c r="AM1240">
        <v>0</v>
      </c>
      <c r="AN1240">
        <v>0</v>
      </c>
      <c r="AP1240">
        <v>2</v>
      </c>
      <c r="AT1240">
        <v>0</v>
      </c>
      <c r="AU1240">
        <v>9</v>
      </c>
      <c r="AV1240">
        <v>211</v>
      </c>
      <c r="AW1240">
        <v>211</v>
      </c>
      <c r="AX1240">
        <v>397</v>
      </c>
      <c r="BA1240">
        <v>1</v>
      </c>
      <c r="BC1240" t="s">
        <v>2575</v>
      </c>
      <c r="BD1240" s="4">
        <v>43283.447222222225</v>
      </c>
      <c r="BE1240" s="4">
        <v>43283.46020833333</v>
      </c>
      <c r="BF1240" s="4">
        <v>43283.46020833333</v>
      </c>
      <c r="BG1240" t="s">
        <v>83</v>
      </c>
      <c r="BH1240" t="s">
        <v>84</v>
      </c>
      <c r="BI1240" t="s">
        <v>85</v>
      </c>
    </row>
    <row r="1241" spans="1:61" x14ac:dyDescent="0.3">
      <c r="A1241" t="str">
        <f>"201252B0100"</f>
        <v>201252B0100</v>
      </c>
      <c r="B1241" t="s">
        <v>2576</v>
      </c>
      <c r="C1241">
        <v>20</v>
      </c>
      <c r="D1241" t="s">
        <v>79</v>
      </c>
      <c r="E1241">
        <v>6</v>
      </c>
      <c r="F1241" t="s">
        <v>2299</v>
      </c>
      <c r="G1241">
        <v>1252</v>
      </c>
      <c r="H1241">
        <v>1</v>
      </c>
      <c r="I1241" t="s">
        <v>81</v>
      </c>
      <c r="J1241">
        <v>0</v>
      </c>
      <c r="K1241">
        <v>2</v>
      </c>
      <c r="L1241">
        <v>2</v>
      </c>
      <c r="M1241" t="s">
        <v>315</v>
      </c>
      <c r="N1241" t="s">
        <v>315</v>
      </c>
      <c r="O1241" t="s">
        <v>315</v>
      </c>
      <c r="P1241" t="s">
        <v>315</v>
      </c>
      <c r="Q1241">
        <v>12</v>
      </c>
      <c r="R1241">
        <v>59</v>
      </c>
      <c r="S1241">
        <v>41</v>
      </c>
      <c r="T1241">
        <v>1</v>
      </c>
      <c r="U1241">
        <v>7</v>
      </c>
      <c r="V1241">
        <v>3</v>
      </c>
      <c r="W1241">
        <v>0</v>
      </c>
      <c r="X1241">
        <v>2</v>
      </c>
      <c r="Y1241">
        <v>48</v>
      </c>
      <c r="Z1241">
        <v>1</v>
      </c>
      <c r="AA1241">
        <v>1</v>
      </c>
      <c r="AB1241">
        <v>0</v>
      </c>
      <c r="AC1241">
        <v>0</v>
      </c>
      <c r="AD1241">
        <v>0</v>
      </c>
      <c r="AE1241">
        <v>0</v>
      </c>
      <c r="AF1241">
        <v>0</v>
      </c>
      <c r="AK1241">
        <v>0</v>
      </c>
      <c r="AL1241">
        <v>1</v>
      </c>
      <c r="AM1241">
        <v>0</v>
      </c>
      <c r="AN1241">
        <v>0</v>
      </c>
      <c r="AP1241">
        <v>1</v>
      </c>
      <c r="AT1241">
        <v>0</v>
      </c>
      <c r="AU1241">
        <v>13</v>
      </c>
      <c r="AV1241">
        <v>190</v>
      </c>
      <c r="AW1241">
        <v>190</v>
      </c>
      <c r="AX1241">
        <v>363</v>
      </c>
      <c r="BA1241">
        <v>1</v>
      </c>
      <c r="BC1241" t="s">
        <v>2577</v>
      </c>
      <c r="BD1241" s="4">
        <v>43283.45</v>
      </c>
      <c r="BE1241" s="4">
        <v>43283.457442129627</v>
      </c>
      <c r="BF1241" s="4">
        <v>43283.457442129627</v>
      </c>
      <c r="BG1241" t="s">
        <v>83</v>
      </c>
      <c r="BH1241" t="s">
        <v>84</v>
      </c>
      <c r="BI1241" t="s">
        <v>85</v>
      </c>
    </row>
    <row r="1242" spans="1:61" x14ac:dyDescent="0.3">
      <c r="A1242" t="str">
        <f>"201278B0100"</f>
        <v>201278B0100</v>
      </c>
      <c r="B1242" t="s">
        <v>2578</v>
      </c>
      <c r="C1242">
        <v>20</v>
      </c>
      <c r="D1242" t="s">
        <v>79</v>
      </c>
      <c r="E1242">
        <v>6</v>
      </c>
      <c r="F1242" t="s">
        <v>2299</v>
      </c>
      <c r="G1242">
        <v>1278</v>
      </c>
      <c r="H1242">
        <v>1</v>
      </c>
      <c r="I1242" t="s">
        <v>81</v>
      </c>
      <c r="J1242">
        <v>0</v>
      </c>
      <c r="K1242">
        <v>2</v>
      </c>
      <c r="L1242">
        <v>2</v>
      </c>
      <c r="M1242">
        <v>265</v>
      </c>
      <c r="N1242">
        <v>385</v>
      </c>
      <c r="O1242">
        <v>0</v>
      </c>
      <c r="P1242">
        <v>385</v>
      </c>
      <c r="Q1242">
        <v>11</v>
      </c>
      <c r="R1242">
        <v>92</v>
      </c>
      <c r="S1242">
        <v>153</v>
      </c>
      <c r="T1242">
        <v>3</v>
      </c>
      <c r="U1242">
        <v>15</v>
      </c>
      <c r="V1242">
        <v>10</v>
      </c>
      <c r="W1242">
        <v>5</v>
      </c>
      <c r="X1242">
        <v>2</v>
      </c>
      <c r="Y1242">
        <v>71</v>
      </c>
      <c r="Z1242">
        <v>1</v>
      </c>
      <c r="AA1242">
        <v>0</v>
      </c>
      <c r="AB1242">
        <v>0</v>
      </c>
      <c r="AC1242">
        <v>3</v>
      </c>
      <c r="AD1242">
        <v>2</v>
      </c>
      <c r="AE1242">
        <v>0</v>
      </c>
      <c r="AF1242">
        <v>0</v>
      </c>
      <c r="AK1242">
        <v>3</v>
      </c>
      <c r="AL1242">
        <v>0</v>
      </c>
      <c r="AM1242">
        <v>0</v>
      </c>
      <c r="AN1242">
        <v>1</v>
      </c>
      <c r="AP1242">
        <v>0</v>
      </c>
      <c r="AT1242">
        <v>0</v>
      </c>
      <c r="AU1242">
        <v>13</v>
      </c>
      <c r="AV1242">
        <v>385</v>
      </c>
      <c r="AW1242">
        <v>385</v>
      </c>
      <c r="AX1242">
        <v>628</v>
      </c>
      <c r="BA1242">
        <v>1</v>
      </c>
      <c r="BC1242" t="s">
        <v>2579</v>
      </c>
      <c r="BD1242" s="4">
        <v>43283.093055555553</v>
      </c>
      <c r="BE1242" s="4">
        <v>43283.097199074073</v>
      </c>
      <c r="BF1242" s="4">
        <v>43283.097199074073</v>
      </c>
      <c r="BG1242" t="s">
        <v>83</v>
      </c>
      <c r="BH1242" t="s">
        <v>84</v>
      </c>
      <c r="BI1242" t="s">
        <v>85</v>
      </c>
    </row>
    <row r="1243" spans="1:61" x14ac:dyDescent="0.3">
      <c r="A1243" t="str">
        <f>"201279B0100"</f>
        <v>201279B0100</v>
      </c>
      <c r="B1243" t="s">
        <v>2580</v>
      </c>
      <c r="C1243">
        <v>20</v>
      </c>
      <c r="D1243" t="s">
        <v>79</v>
      </c>
      <c r="E1243">
        <v>6</v>
      </c>
      <c r="F1243" t="s">
        <v>2299</v>
      </c>
      <c r="G1243">
        <v>1279</v>
      </c>
      <c r="H1243">
        <v>1</v>
      </c>
      <c r="I1243" t="s">
        <v>81</v>
      </c>
      <c r="J1243">
        <v>0</v>
      </c>
      <c r="K1243">
        <v>2</v>
      </c>
      <c r="L1243">
        <v>2</v>
      </c>
      <c r="M1243">
        <v>150</v>
      </c>
      <c r="N1243">
        <v>223</v>
      </c>
      <c r="O1243">
        <v>3</v>
      </c>
      <c r="P1243">
        <v>223</v>
      </c>
      <c r="Q1243">
        <v>4</v>
      </c>
      <c r="R1243">
        <v>38</v>
      </c>
      <c r="S1243">
        <v>86</v>
      </c>
      <c r="T1243">
        <v>4</v>
      </c>
      <c r="U1243">
        <v>7</v>
      </c>
      <c r="V1243">
        <v>1</v>
      </c>
      <c r="W1243">
        <v>2</v>
      </c>
      <c r="X1243">
        <v>1</v>
      </c>
      <c r="Y1243">
        <v>45</v>
      </c>
      <c r="Z1243">
        <v>1</v>
      </c>
      <c r="AA1243">
        <v>0</v>
      </c>
      <c r="AB1243">
        <v>4</v>
      </c>
      <c r="AC1243">
        <v>0</v>
      </c>
      <c r="AD1243">
        <v>0</v>
      </c>
      <c r="AE1243">
        <v>0</v>
      </c>
      <c r="AF1243">
        <v>1</v>
      </c>
      <c r="AK1243">
        <v>2</v>
      </c>
      <c r="AL1243">
        <v>0</v>
      </c>
      <c r="AM1243">
        <v>0</v>
      </c>
      <c r="AN1243">
        <v>0</v>
      </c>
      <c r="AP1243">
        <v>3</v>
      </c>
      <c r="AT1243">
        <v>0</v>
      </c>
      <c r="AU1243">
        <v>24</v>
      </c>
      <c r="AV1243">
        <v>223</v>
      </c>
      <c r="AW1243">
        <v>223</v>
      </c>
      <c r="AX1243">
        <v>351</v>
      </c>
      <c r="BA1243">
        <v>1</v>
      </c>
      <c r="BC1243" t="s">
        <v>2581</v>
      </c>
      <c r="BD1243" s="4">
        <v>43283.092361111114</v>
      </c>
      <c r="BE1243" s="4">
        <v>43283.09584490741</v>
      </c>
      <c r="BF1243" s="4">
        <v>43283.09584490741</v>
      </c>
      <c r="BG1243" t="s">
        <v>83</v>
      </c>
      <c r="BH1243" t="s">
        <v>84</v>
      </c>
      <c r="BI1243" t="s">
        <v>85</v>
      </c>
    </row>
    <row r="1244" spans="1:61" x14ac:dyDescent="0.3">
      <c r="A1244" t="str">
        <f>"201280B0100"</f>
        <v>201280B0100</v>
      </c>
      <c r="B1244" t="s">
        <v>2582</v>
      </c>
      <c r="C1244">
        <v>20</v>
      </c>
      <c r="D1244" t="s">
        <v>79</v>
      </c>
      <c r="E1244">
        <v>6</v>
      </c>
      <c r="F1244" t="s">
        <v>2299</v>
      </c>
      <c r="G1244">
        <v>1280</v>
      </c>
      <c r="H1244">
        <v>1</v>
      </c>
      <c r="I1244" t="s">
        <v>81</v>
      </c>
      <c r="J1244">
        <v>0</v>
      </c>
      <c r="K1244">
        <v>2</v>
      </c>
      <c r="L1244">
        <v>2</v>
      </c>
      <c r="M1244">
        <v>236</v>
      </c>
      <c r="N1244">
        <v>354</v>
      </c>
      <c r="O1244">
        <v>2</v>
      </c>
      <c r="P1244">
        <v>354</v>
      </c>
      <c r="Q1244">
        <v>48</v>
      </c>
      <c r="R1244">
        <v>66</v>
      </c>
      <c r="S1244">
        <v>8</v>
      </c>
      <c r="T1244">
        <v>37</v>
      </c>
      <c r="U1244">
        <v>8</v>
      </c>
      <c r="V1244">
        <v>3</v>
      </c>
      <c r="W1244">
        <v>24</v>
      </c>
      <c r="X1244">
        <v>2</v>
      </c>
      <c r="Y1244">
        <v>106</v>
      </c>
      <c r="Z1244">
        <v>6</v>
      </c>
      <c r="AA1244">
        <v>3</v>
      </c>
      <c r="AB1244">
        <v>11</v>
      </c>
      <c r="AC1244">
        <v>0</v>
      </c>
      <c r="AD1244">
        <v>1</v>
      </c>
      <c r="AE1244">
        <v>0</v>
      </c>
      <c r="AF1244">
        <v>0</v>
      </c>
      <c r="AK1244">
        <v>0</v>
      </c>
      <c r="AL1244">
        <v>1</v>
      </c>
      <c r="AM1244">
        <v>0</v>
      </c>
      <c r="AN1244">
        <v>0</v>
      </c>
      <c r="AP1244">
        <v>1</v>
      </c>
      <c r="AT1244">
        <v>0</v>
      </c>
      <c r="AU1244">
        <v>29</v>
      </c>
      <c r="AV1244">
        <v>354</v>
      </c>
      <c r="AW1244">
        <v>354</v>
      </c>
      <c r="AX1244">
        <v>567</v>
      </c>
      <c r="BA1244">
        <v>1</v>
      </c>
      <c r="BC1244" t="s">
        <v>2583</v>
      </c>
      <c r="BD1244" s="4">
        <v>43283.101388888892</v>
      </c>
      <c r="BE1244" s="4">
        <v>43283.106273148151</v>
      </c>
      <c r="BF1244" s="4">
        <v>43283.106273148151</v>
      </c>
      <c r="BG1244" t="s">
        <v>83</v>
      </c>
      <c r="BH1244" t="s">
        <v>84</v>
      </c>
      <c r="BI1244" t="s">
        <v>85</v>
      </c>
    </row>
    <row r="1245" spans="1:61" x14ac:dyDescent="0.3">
      <c r="A1245" t="str">
        <f>"201281B0100"</f>
        <v>201281B0100</v>
      </c>
      <c r="B1245" t="s">
        <v>2584</v>
      </c>
      <c r="C1245">
        <v>20</v>
      </c>
      <c r="D1245" t="s">
        <v>79</v>
      </c>
      <c r="E1245">
        <v>6</v>
      </c>
      <c r="F1245" t="s">
        <v>2299</v>
      </c>
      <c r="G1245">
        <v>1281</v>
      </c>
      <c r="H1245">
        <v>1</v>
      </c>
      <c r="I1245" t="s">
        <v>81</v>
      </c>
      <c r="J1245">
        <v>0</v>
      </c>
      <c r="K1245">
        <v>2</v>
      </c>
      <c r="L1245">
        <v>2</v>
      </c>
      <c r="M1245">
        <v>115</v>
      </c>
      <c r="N1245">
        <v>166</v>
      </c>
      <c r="O1245">
        <v>2</v>
      </c>
      <c r="P1245">
        <v>165</v>
      </c>
      <c r="Q1245">
        <v>1</v>
      </c>
      <c r="R1245">
        <v>57</v>
      </c>
      <c r="S1245">
        <v>11</v>
      </c>
      <c r="T1245">
        <v>0</v>
      </c>
      <c r="U1245">
        <v>20</v>
      </c>
      <c r="V1245">
        <v>2</v>
      </c>
      <c r="W1245">
        <v>0</v>
      </c>
      <c r="X1245">
        <v>0</v>
      </c>
      <c r="Y1245">
        <v>61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K1245">
        <v>3</v>
      </c>
      <c r="AL1245">
        <v>7</v>
      </c>
      <c r="AM1245">
        <v>0</v>
      </c>
      <c r="AN1245">
        <v>0</v>
      </c>
      <c r="AP1245">
        <v>2</v>
      </c>
      <c r="AT1245">
        <v>0</v>
      </c>
      <c r="AU1245">
        <v>2</v>
      </c>
      <c r="AV1245">
        <v>166</v>
      </c>
      <c r="AW1245">
        <v>166</v>
      </c>
      <c r="AX1245">
        <v>259</v>
      </c>
      <c r="BA1245">
        <v>1</v>
      </c>
      <c r="BC1245" t="s">
        <v>2585</v>
      </c>
      <c r="BD1245" s="4">
        <v>43283.403379629628</v>
      </c>
      <c r="BE1245" s="4">
        <v>43283.405347222222</v>
      </c>
      <c r="BF1245" s="4">
        <v>43283.405347222222</v>
      </c>
      <c r="BG1245" t="s">
        <v>373</v>
      </c>
      <c r="BH1245" t="s">
        <v>374</v>
      </c>
      <c r="BI1245" t="s">
        <v>85</v>
      </c>
    </row>
    <row r="1246" spans="1:61" x14ac:dyDescent="0.3">
      <c r="A1246" t="str">
        <f>"201294B0100"</f>
        <v>201294B0100</v>
      </c>
      <c r="B1246" t="s">
        <v>2586</v>
      </c>
      <c r="C1246">
        <v>20</v>
      </c>
      <c r="D1246" t="s">
        <v>79</v>
      </c>
      <c r="E1246">
        <v>6</v>
      </c>
      <c r="F1246" t="s">
        <v>2299</v>
      </c>
      <c r="G1246">
        <v>1294</v>
      </c>
      <c r="H1246">
        <v>1</v>
      </c>
      <c r="I1246" t="s">
        <v>81</v>
      </c>
      <c r="J1246">
        <v>0</v>
      </c>
      <c r="K1246">
        <v>2</v>
      </c>
      <c r="L1246">
        <v>2</v>
      </c>
      <c r="M1246">
        <v>90</v>
      </c>
      <c r="N1246">
        <v>372</v>
      </c>
      <c r="O1246">
        <v>0</v>
      </c>
      <c r="P1246">
        <v>372</v>
      </c>
      <c r="Q1246">
        <v>3</v>
      </c>
      <c r="R1246">
        <v>162</v>
      </c>
      <c r="S1246">
        <v>2</v>
      </c>
      <c r="T1246">
        <v>2</v>
      </c>
      <c r="U1246">
        <v>2</v>
      </c>
      <c r="V1246">
        <v>4</v>
      </c>
      <c r="W1246">
        <v>1</v>
      </c>
      <c r="X1246">
        <v>0</v>
      </c>
      <c r="Y1246">
        <v>172</v>
      </c>
      <c r="Z1246">
        <v>4</v>
      </c>
      <c r="AA1246">
        <v>0</v>
      </c>
      <c r="AB1246">
        <v>1</v>
      </c>
      <c r="AC1246">
        <v>0</v>
      </c>
      <c r="AD1246">
        <v>0</v>
      </c>
      <c r="AE1246">
        <v>0</v>
      </c>
      <c r="AF1246">
        <v>0</v>
      </c>
      <c r="AK1246">
        <v>0</v>
      </c>
      <c r="AL1246">
        <v>0</v>
      </c>
      <c r="AM1246">
        <v>0</v>
      </c>
      <c r="AN1246">
        <v>0</v>
      </c>
      <c r="AP1246">
        <v>2</v>
      </c>
      <c r="AT1246">
        <v>0</v>
      </c>
      <c r="AU1246">
        <v>17</v>
      </c>
      <c r="AV1246">
        <v>372</v>
      </c>
      <c r="AW1246">
        <v>372</v>
      </c>
      <c r="AX1246">
        <v>440</v>
      </c>
      <c r="BA1246">
        <v>1</v>
      </c>
      <c r="BC1246" t="s">
        <v>2587</v>
      </c>
      <c r="BD1246" s="4">
        <v>43283.405555555553</v>
      </c>
      <c r="BE1246" s="4">
        <v>43283.412256944444</v>
      </c>
      <c r="BF1246" s="4">
        <v>43283.412256944444</v>
      </c>
      <c r="BG1246" t="s">
        <v>83</v>
      </c>
      <c r="BH1246" t="s">
        <v>84</v>
      </c>
      <c r="BI1246" t="s">
        <v>85</v>
      </c>
    </row>
    <row r="1247" spans="1:61" x14ac:dyDescent="0.3">
      <c r="A1247" t="str">
        <f>"201294C0100"</f>
        <v>201294C0100</v>
      </c>
      <c r="B1247" t="s">
        <v>2588</v>
      </c>
      <c r="C1247">
        <v>20</v>
      </c>
      <c r="D1247" t="s">
        <v>79</v>
      </c>
      <c r="E1247">
        <v>6</v>
      </c>
      <c r="F1247" t="s">
        <v>2299</v>
      </c>
      <c r="G1247">
        <v>1294</v>
      </c>
      <c r="H1247">
        <v>1</v>
      </c>
      <c r="I1247" t="s">
        <v>89</v>
      </c>
      <c r="J1247">
        <v>0</v>
      </c>
      <c r="K1247">
        <v>2</v>
      </c>
      <c r="L1247">
        <v>2</v>
      </c>
      <c r="M1247">
        <v>85</v>
      </c>
      <c r="N1247">
        <v>0</v>
      </c>
      <c r="O1247">
        <v>0</v>
      </c>
      <c r="P1247">
        <v>377</v>
      </c>
      <c r="Q1247">
        <v>1</v>
      </c>
      <c r="R1247">
        <v>194</v>
      </c>
      <c r="S1247">
        <v>3</v>
      </c>
      <c r="T1247">
        <v>1</v>
      </c>
      <c r="U1247">
        <v>0</v>
      </c>
      <c r="V1247">
        <v>1</v>
      </c>
      <c r="W1247">
        <v>0</v>
      </c>
      <c r="X1247">
        <v>1</v>
      </c>
      <c r="Y1247">
        <v>166</v>
      </c>
      <c r="Z1247">
        <v>2</v>
      </c>
      <c r="AA1247">
        <v>0</v>
      </c>
      <c r="AB1247">
        <v>1</v>
      </c>
      <c r="AC1247">
        <v>0</v>
      </c>
      <c r="AD1247">
        <v>0</v>
      </c>
      <c r="AE1247">
        <v>0</v>
      </c>
      <c r="AF1247">
        <v>0</v>
      </c>
      <c r="AK1247">
        <v>1</v>
      </c>
      <c r="AL1247">
        <v>0</v>
      </c>
      <c r="AM1247">
        <v>0</v>
      </c>
      <c r="AN1247">
        <v>0</v>
      </c>
      <c r="AP1247">
        <v>3</v>
      </c>
      <c r="AT1247">
        <v>0</v>
      </c>
      <c r="AU1247">
        <v>3</v>
      </c>
      <c r="AV1247">
        <v>377</v>
      </c>
      <c r="AW1247">
        <v>377</v>
      </c>
      <c r="AX1247">
        <v>440</v>
      </c>
      <c r="BA1247">
        <v>1</v>
      </c>
      <c r="BC1247" t="s">
        <v>2589</v>
      </c>
      <c r="BD1247" s="4">
        <v>43283.407638888886</v>
      </c>
      <c r="BE1247" s="4">
        <v>43283.415625000001</v>
      </c>
      <c r="BF1247" s="4">
        <v>43283.415625000001</v>
      </c>
      <c r="BG1247" t="s">
        <v>83</v>
      </c>
      <c r="BH1247" t="s">
        <v>84</v>
      </c>
      <c r="BI1247" t="s">
        <v>85</v>
      </c>
    </row>
    <row r="1248" spans="1:61" x14ac:dyDescent="0.3">
      <c r="A1248" t="str">
        <f>"201295B0100"</f>
        <v>201295B0100</v>
      </c>
      <c r="B1248" t="s">
        <v>2590</v>
      </c>
      <c r="C1248">
        <v>20</v>
      </c>
      <c r="D1248" t="s">
        <v>79</v>
      </c>
      <c r="E1248">
        <v>6</v>
      </c>
      <c r="F1248" t="s">
        <v>2299</v>
      </c>
      <c r="G1248">
        <v>1295</v>
      </c>
      <c r="H1248">
        <v>1</v>
      </c>
      <c r="I1248" t="s">
        <v>81</v>
      </c>
      <c r="J1248">
        <v>0</v>
      </c>
      <c r="K1248">
        <v>2</v>
      </c>
      <c r="L1248">
        <v>2</v>
      </c>
      <c r="M1248">
        <v>161</v>
      </c>
      <c r="N1248">
        <v>236</v>
      </c>
      <c r="O1248">
        <v>0</v>
      </c>
      <c r="P1248">
        <v>236</v>
      </c>
      <c r="Q1248">
        <v>1</v>
      </c>
      <c r="R1248">
        <v>105</v>
      </c>
      <c r="S1248">
        <v>3</v>
      </c>
      <c r="T1248">
        <v>0</v>
      </c>
      <c r="U1248">
        <v>5</v>
      </c>
      <c r="V1248">
        <v>0</v>
      </c>
      <c r="W1248">
        <v>0</v>
      </c>
      <c r="X1248">
        <v>1</v>
      </c>
      <c r="Y1248">
        <v>104</v>
      </c>
      <c r="Z1248">
        <v>1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K1248">
        <v>0</v>
      </c>
      <c r="AL1248">
        <v>0</v>
      </c>
      <c r="AM1248">
        <v>0</v>
      </c>
      <c r="AN1248">
        <v>1</v>
      </c>
      <c r="AP1248">
        <v>1</v>
      </c>
      <c r="AT1248">
        <v>0</v>
      </c>
      <c r="AU1248">
        <v>14</v>
      </c>
      <c r="AV1248">
        <v>236</v>
      </c>
      <c r="AW1248">
        <v>236</v>
      </c>
      <c r="AX1248">
        <v>375</v>
      </c>
      <c r="BA1248">
        <v>1</v>
      </c>
      <c r="BC1248" t="s">
        <v>2591</v>
      </c>
      <c r="BD1248" s="4">
        <v>43283.407638888886</v>
      </c>
      <c r="BE1248" s="4">
        <v>43283.414467592593</v>
      </c>
      <c r="BF1248" s="4">
        <v>43283.414467592593</v>
      </c>
      <c r="BG1248" t="s">
        <v>83</v>
      </c>
      <c r="BH1248" t="s">
        <v>84</v>
      </c>
      <c r="BI1248" t="s">
        <v>85</v>
      </c>
    </row>
    <row r="1249" spans="1:61" x14ac:dyDescent="0.3">
      <c r="A1249" t="str">
        <f>"201303B0100"</f>
        <v>201303B0100</v>
      </c>
      <c r="B1249" t="s">
        <v>2592</v>
      </c>
      <c r="C1249">
        <v>20</v>
      </c>
      <c r="D1249" t="s">
        <v>79</v>
      </c>
      <c r="E1249">
        <v>6</v>
      </c>
      <c r="F1249" t="s">
        <v>2299</v>
      </c>
      <c r="G1249">
        <v>1303</v>
      </c>
      <c r="H1249">
        <v>1</v>
      </c>
      <c r="I1249" t="s">
        <v>81</v>
      </c>
      <c r="J1249">
        <v>0</v>
      </c>
      <c r="K1249">
        <v>2</v>
      </c>
      <c r="L1249">
        <v>2</v>
      </c>
      <c r="M1249" t="s">
        <v>100</v>
      </c>
      <c r="N1249">
        <v>258</v>
      </c>
      <c r="O1249">
        <v>0</v>
      </c>
      <c r="P1249">
        <v>258</v>
      </c>
      <c r="Q1249">
        <v>24</v>
      </c>
      <c r="R1249">
        <v>31</v>
      </c>
      <c r="S1249">
        <v>19</v>
      </c>
      <c r="T1249">
        <v>2</v>
      </c>
      <c r="U1249">
        <v>7</v>
      </c>
      <c r="V1249">
        <v>2</v>
      </c>
      <c r="W1249">
        <v>4</v>
      </c>
      <c r="X1249">
        <v>1</v>
      </c>
      <c r="Y1249">
        <v>136</v>
      </c>
      <c r="Z1249">
        <v>3</v>
      </c>
      <c r="AA1249">
        <v>0</v>
      </c>
      <c r="AB1249">
        <v>2</v>
      </c>
      <c r="AC1249">
        <v>0</v>
      </c>
      <c r="AD1249">
        <v>0</v>
      </c>
      <c r="AE1249">
        <v>0</v>
      </c>
      <c r="AF1249">
        <v>0</v>
      </c>
      <c r="AK1249">
        <v>6</v>
      </c>
      <c r="AL1249">
        <v>2</v>
      </c>
      <c r="AM1249">
        <v>0</v>
      </c>
      <c r="AN1249">
        <v>0</v>
      </c>
      <c r="AP1249">
        <v>3</v>
      </c>
      <c r="AT1249">
        <v>0</v>
      </c>
      <c r="AU1249">
        <v>16</v>
      </c>
      <c r="AV1249">
        <v>258</v>
      </c>
      <c r="AW1249">
        <v>258</v>
      </c>
      <c r="AX1249">
        <v>749</v>
      </c>
      <c r="BA1249">
        <v>1</v>
      </c>
      <c r="BC1249" t="s">
        <v>2593</v>
      </c>
      <c r="BD1249" s="4">
        <v>43283.392361111109</v>
      </c>
      <c r="BE1249" s="4">
        <v>43283.398564814815</v>
      </c>
      <c r="BF1249" s="4">
        <v>43283.398564814815</v>
      </c>
      <c r="BG1249" t="s">
        <v>83</v>
      </c>
      <c r="BH1249" t="s">
        <v>84</v>
      </c>
      <c r="BI1249" t="s">
        <v>85</v>
      </c>
    </row>
    <row r="1250" spans="1:61" x14ac:dyDescent="0.3">
      <c r="A1250" t="str">
        <f>"201320B0100"</f>
        <v>201320B0100</v>
      </c>
      <c r="B1250" t="s">
        <v>2594</v>
      </c>
      <c r="C1250">
        <v>20</v>
      </c>
      <c r="D1250" t="s">
        <v>79</v>
      </c>
      <c r="E1250">
        <v>6</v>
      </c>
      <c r="F1250" t="s">
        <v>2299</v>
      </c>
      <c r="G1250">
        <v>1320</v>
      </c>
      <c r="H1250">
        <v>1</v>
      </c>
      <c r="I1250" t="s">
        <v>81</v>
      </c>
      <c r="J1250">
        <v>0</v>
      </c>
      <c r="K1250">
        <v>1</v>
      </c>
      <c r="L1250">
        <v>2</v>
      </c>
      <c r="M1250">
        <v>141</v>
      </c>
      <c r="N1250">
        <v>394</v>
      </c>
      <c r="O1250">
        <v>0</v>
      </c>
      <c r="P1250">
        <v>394</v>
      </c>
      <c r="Q1250">
        <v>185</v>
      </c>
      <c r="R1250">
        <v>122</v>
      </c>
      <c r="S1250">
        <v>3</v>
      </c>
      <c r="T1250">
        <v>1</v>
      </c>
      <c r="U1250">
        <v>35</v>
      </c>
      <c r="V1250">
        <v>0</v>
      </c>
      <c r="W1250">
        <v>0</v>
      </c>
      <c r="X1250">
        <v>0</v>
      </c>
      <c r="Y1250">
        <v>26</v>
      </c>
      <c r="Z1250">
        <v>0</v>
      </c>
      <c r="AA1250">
        <v>0</v>
      </c>
      <c r="AB1250">
        <v>0</v>
      </c>
      <c r="AC1250">
        <v>3</v>
      </c>
      <c r="AD1250">
        <v>1</v>
      </c>
      <c r="AE1250">
        <v>0</v>
      </c>
      <c r="AF1250">
        <v>0</v>
      </c>
      <c r="AK1250">
        <v>0</v>
      </c>
      <c r="AL1250">
        <v>0</v>
      </c>
      <c r="AM1250">
        <v>0</v>
      </c>
      <c r="AN1250">
        <v>0</v>
      </c>
      <c r="AP1250">
        <v>0</v>
      </c>
      <c r="AT1250">
        <v>0</v>
      </c>
      <c r="AU1250">
        <v>14</v>
      </c>
      <c r="AV1250">
        <v>394</v>
      </c>
      <c r="AW1250">
        <v>390</v>
      </c>
      <c r="AX1250">
        <v>514</v>
      </c>
      <c r="BA1250">
        <v>1</v>
      </c>
      <c r="BC1250" t="s">
        <v>2595</v>
      </c>
      <c r="BD1250" s="4">
        <v>43283.415972222225</v>
      </c>
      <c r="BE1250" s="4">
        <v>43283.421064814815</v>
      </c>
      <c r="BF1250" s="4">
        <v>43283.421064814815</v>
      </c>
      <c r="BG1250" t="s">
        <v>83</v>
      </c>
      <c r="BH1250" t="s">
        <v>84</v>
      </c>
      <c r="BI1250" t="s">
        <v>85</v>
      </c>
    </row>
    <row r="1251" spans="1:61" x14ac:dyDescent="0.3">
      <c r="A1251" t="str">
        <f>"201320C0100"</f>
        <v>201320C0100</v>
      </c>
      <c r="B1251" t="s">
        <v>2596</v>
      </c>
      <c r="C1251">
        <v>20</v>
      </c>
      <c r="D1251" t="s">
        <v>79</v>
      </c>
      <c r="E1251">
        <v>6</v>
      </c>
      <c r="F1251" t="s">
        <v>2299</v>
      </c>
      <c r="G1251">
        <v>1320</v>
      </c>
      <c r="H1251">
        <v>1</v>
      </c>
      <c r="I1251" t="s">
        <v>89</v>
      </c>
      <c r="J1251">
        <v>0</v>
      </c>
      <c r="K1251">
        <v>1</v>
      </c>
      <c r="L1251">
        <v>2</v>
      </c>
      <c r="M1251">
        <v>159</v>
      </c>
      <c r="N1251">
        <v>377</v>
      </c>
      <c r="O1251">
        <v>0</v>
      </c>
      <c r="P1251">
        <v>378</v>
      </c>
      <c r="Q1251">
        <v>121</v>
      </c>
      <c r="R1251">
        <v>156</v>
      </c>
      <c r="S1251">
        <v>2</v>
      </c>
      <c r="T1251">
        <v>1</v>
      </c>
      <c r="U1251">
        <v>45</v>
      </c>
      <c r="V1251">
        <v>1</v>
      </c>
      <c r="W1251">
        <v>0</v>
      </c>
      <c r="X1251">
        <v>0</v>
      </c>
      <c r="Y1251">
        <v>33</v>
      </c>
      <c r="Z1251">
        <v>1</v>
      </c>
      <c r="AA1251">
        <v>0</v>
      </c>
      <c r="AB1251">
        <v>1</v>
      </c>
      <c r="AC1251">
        <v>1</v>
      </c>
      <c r="AD1251">
        <v>0</v>
      </c>
      <c r="AE1251">
        <v>0</v>
      </c>
      <c r="AF1251">
        <v>0</v>
      </c>
      <c r="AK1251">
        <v>3</v>
      </c>
      <c r="AL1251">
        <v>1</v>
      </c>
      <c r="AM1251">
        <v>0</v>
      </c>
      <c r="AN1251">
        <v>0</v>
      </c>
      <c r="AP1251">
        <v>0</v>
      </c>
      <c r="AT1251">
        <v>0</v>
      </c>
      <c r="AU1251">
        <v>12</v>
      </c>
      <c r="AV1251">
        <v>378</v>
      </c>
      <c r="AW1251">
        <v>378</v>
      </c>
      <c r="AX1251">
        <v>514</v>
      </c>
      <c r="BA1251">
        <v>1</v>
      </c>
      <c r="BC1251" t="s">
        <v>2597</v>
      </c>
      <c r="BD1251" s="4">
        <v>43283.394444444442</v>
      </c>
      <c r="BE1251" s="4">
        <v>43283.402858796297</v>
      </c>
      <c r="BF1251" s="4">
        <v>43283.402858796297</v>
      </c>
      <c r="BG1251" t="s">
        <v>83</v>
      </c>
      <c r="BH1251" t="s">
        <v>84</v>
      </c>
      <c r="BI1251" t="s">
        <v>85</v>
      </c>
    </row>
    <row r="1252" spans="1:61" x14ac:dyDescent="0.3">
      <c r="A1252" t="str">
        <f>"201320C0200"</f>
        <v>201320C0200</v>
      </c>
      <c r="B1252" t="s">
        <v>2598</v>
      </c>
      <c r="C1252">
        <v>20</v>
      </c>
      <c r="D1252" t="s">
        <v>79</v>
      </c>
      <c r="E1252">
        <v>6</v>
      </c>
      <c r="F1252" t="s">
        <v>2299</v>
      </c>
      <c r="G1252">
        <v>1320</v>
      </c>
      <c r="H1252">
        <v>2</v>
      </c>
      <c r="I1252" t="s">
        <v>89</v>
      </c>
      <c r="J1252">
        <v>0</v>
      </c>
      <c r="K1252">
        <v>1</v>
      </c>
      <c r="L1252">
        <v>2</v>
      </c>
      <c r="M1252">
        <v>170</v>
      </c>
      <c r="N1252">
        <v>365</v>
      </c>
      <c r="O1252">
        <v>0</v>
      </c>
      <c r="P1252">
        <v>365</v>
      </c>
      <c r="Q1252">
        <v>107</v>
      </c>
      <c r="R1252">
        <v>175</v>
      </c>
      <c r="S1252">
        <v>1</v>
      </c>
      <c r="T1252">
        <v>1</v>
      </c>
      <c r="U1252">
        <v>34</v>
      </c>
      <c r="V1252">
        <v>0</v>
      </c>
      <c r="W1252">
        <v>0</v>
      </c>
      <c r="X1252">
        <v>1</v>
      </c>
      <c r="Y1252">
        <v>19</v>
      </c>
      <c r="Z1252">
        <v>1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K1252">
        <v>1</v>
      </c>
      <c r="AL1252">
        <v>0</v>
      </c>
      <c r="AM1252">
        <v>0</v>
      </c>
      <c r="AN1252">
        <v>0</v>
      </c>
      <c r="AP1252">
        <v>8</v>
      </c>
      <c r="AT1252">
        <v>0</v>
      </c>
      <c r="AU1252">
        <v>17</v>
      </c>
      <c r="AV1252">
        <v>365</v>
      </c>
      <c r="AW1252">
        <v>365</v>
      </c>
      <c r="AX1252">
        <v>513</v>
      </c>
      <c r="BA1252">
        <v>1</v>
      </c>
      <c r="BC1252" t="s">
        <v>2599</v>
      </c>
      <c r="BD1252" s="4">
        <v>43283.395833333336</v>
      </c>
      <c r="BE1252" s="4">
        <v>43283.405914351853</v>
      </c>
      <c r="BF1252" s="4">
        <v>43283.405914351853</v>
      </c>
      <c r="BG1252" t="s">
        <v>83</v>
      </c>
      <c r="BH1252" t="s">
        <v>84</v>
      </c>
      <c r="BI1252" t="s">
        <v>85</v>
      </c>
    </row>
    <row r="1253" spans="1:61" x14ac:dyDescent="0.3">
      <c r="A1253" t="str">
        <f>"201321B0100"</f>
        <v>201321B0100</v>
      </c>
      <c r="B1253" t="s">
        <v>2600</v>
      </c>
      <c r="C1253">
        <v>20</v>
      </c>
      <c r="D1253" t="s">
        <v>79</v>
      </c>
      <c r="E1253">
        <v>6</v>
      </c>
      <c r="F1253" t="s">
        <v>2299</v>
      </c>
      <c r="G1253">
        <v>1321</v>
      </c>
      <c r="H1253">
        <v>1</v>
      </c>
      <c r="I1253" t="s">
        <v>81</v>
      </c>
      <c r="J1253">
        <v>0</v>
      </c>
      <c r="K1253">
        <v>2</v>
      </c>
      <c r="L1253">
        <v>2</v>
      </c>
      <c r="M1253">
        <v>147</v>
      </c>
      <c r="N1253">
        <v>190</v>
      </c>
      <c r="O1253">
        <v>3</v>
      </c>
      <c r="P1253">
        <v>190</v>
      </c>
      <c r="Q1253">
        <v>78</v>
      </c>
      <c r="R1253">
        <v>60</v>
      </c>
      <c r="S1253">
        <v>27</v>
      </c>
      <c r="T1253">
        <v>1</v>
      </c>
      <c r="U1253">
        <v>3</v>
      </c>
      <c r="V1253">
        <v>0</v>
      </c>
      <c r="W1253">
        <v>0</v>
      </c>
      <c r="X1253">
        <v>1</v>
      </c>
      <c r="Y1253">
        <v>3</v>
      </c>
      <c r="Z1253">
        <v>0</v>
      </c>
      <c r="AA1253">
        <v>0</v>
      </c>
      <c r="AB1253">
        <v>0</v>
      </c>
      <c r="AC1253">
        <v>2</v>
      </c>
      <c r="AD1253">
        <v>1</v>
      </c>
      <c r="AE1253">
        <v>0</v>
      </c>
      <c r="AF1253">
        <v>0</v>
      </c>
      <c r="AK1253">
        <v>2</v>
      </c>
      <c r="AL1253">
        <v>1</v>
      </c>
      <c r="AM1253">
        <v>0</v>
      </c>
      <c r="AN1253">
        <v>0</v>
      </c>
      <c r="AP1253">
        <v>3</v>
      </c>
      <c r="AT1253">
        <v>0</v>
      </c>
      <c r="AU1253">
        <v>8</v>
      </c>
      <c r="AV1253">
        <v>190</v>
      </c>
      <c r="AW1253">
        <v>190</v>
      </c>
      <c r="AX1253">
        <v>315</v>
      </c>
      <c r="BA1253">
        <v>1</v>
      </c>
      <c r="BC1253" t="s">
        <v>2601</v>
      </c>
      <c r="BD1253" s="4">
        <v>43283.241273148145</v>
      </c>
      <c r="BE1253" s="4">
        <v>43283.262789351851</v>
      </c>
      <c r="BF1253" s="4">
        <v>43283.262789351851</v>
      </c>
      <c r="BG1253" t="s">
        <v>373</v>
      </c>
      <c r="BH1253" t="s">
        <v>374</v>
      </c>
      <c r="BI1253" t="s">
        <v>85</v>
      </c>
    </row>
    <row r="1254" spans="1:61" x14ac:dyDescent="0.3">
      <c r="A1254" t="str">
        <f>"201324B0100"</f>
        <v>201324B0100</v>
      </c>
      <c r="B1254" t="s">
        <v>2602</v>
      </c>
      <c r="C1254">
        <v>20</v>
      </c>
      <c r="D1254" t="s">
        <v>79</v>
      </c>
      <c r="E1254">
        <v>6</v>
      </c>
      <c r="F1254" t="s">
        <v>2299</v>
      </c>
      <c r="G1254">
        <v>1324</v>
      </c>
      <c r="H1254">
        <v>1</v>
      </c>
      <c r="I1254" t="s">
        <v>81</v>
      </c>
      <c r="J1254">
        <v>0</v>
      </c>
      <c r="K1254">
        <v>2</v>
      </c>
      <c r="L1254">
        <v>2</v>
      </c>
      <c r="M1254">
        <v>161</v>
      </c>
      <c r="N1254">
        <v>535</v>
      </c>
      <c r="O1254">
        <v>0</v>
      </c>
      <c r="P1254">
        <v>535</v>
      </c>
      <c r="Q1254">
        <v>193</v>
      </c>
      <c r="R1254">
        <v>133</v>
      </c>
      <c r="S1254">
        <v>8</v>
      </c>
      <c r="T1254">
        <v>7</v>
      </c>
      <c r="U1254">
        <v>130</v>
      </c>
      <c r="V1254">
        <v>0</v>
      </c>
      <c r="W1254">
        <v>3</v>
      </c>
      <c r="X1254">
        <v>2</v>
      </c>
      <c r="Y1254">
        <v>23</v>
      </c>
      <c r="Z1254">
        <v>2</v>
      </c>
      <c r="AA1254">
        <v>0</v>
      </c>
      <c r="AB1254">
        <v>2</v>
      </c>
      <c r="AC1254">
        <v>3</v>
      </c>
      <c r="AD1254">
        <v>0</v>
      </c>
      <c r="AE1254">
        <v>0</v>
      </c>
      <c r="AF1254">
        <v>0</v>
      </c>
      <c r="AK1254">
        <v>2</v>
      </c>
      <c r="AL1254">
        <v>1</v>
      </c>
      <c r="AM1254">
        <v>1</v>
      </c>
      <c r="AN1254">
        <v>0</v>
      </c>
      <c r="AP1254">
        <v>1</v>
      </c>
      <c r="AT1254">
        <v>0</v>
      </c>
      <c r="AU1254">
        <v>15</v>
      </c>
      <c r="AV1254">
        <v>535</v>
      </c>
      <c r="AW1254">
        <v>526</v>
      </c>
      <c r="AX1254">
        <v>674</v>
      </c>
      <c r="BA1254">
        <v>1</v>
      </c>
      <c r="BC1254" t="s">
        <v>2603</v>
      </c>
      <c r="BD1254" s="4">
        <v>43283.375694444447</v>
      </c>
      <c r="BE1254" s="4">
        <v>43283.386863425927</v>
      </c>
      <c r="BF1254" s="4">
        <v>43283.386863425927</v>
      </c>
      <c r="BG1254" t="s">
        <v>83</v>
      </c>
      <c r="BH1254" t="s">
        <v>84</v>
      </c>
      <c r="BI1254" t="s">
        <v>85</v>
      </c>
    </row>
    <row r="1255" spans="1:61" x14ac:dyDescent="0.3">
      <c r="A1255" t="str">
        <f>"201324E0100"</f>
        <v>201324E0100</v>
      </c>
      <c r="B1255" s="2" t="s">
        <v>2604</v>
      </c>
      <c r="C1255">
        <v>20</v>
      </c>
      <c r="D1255" t="s">
        <v>79</v>
      </c>
      <c r="E1255">
        <v>6</v>
      </c>
      <c r="F1255" t="s">
        <v>2299</v>
      </c>
      <c r="G1255">
        <v>1324</v>
      </c>
      <c r="H1255">
        <v>1</v>
      </c>
      <c r="I1255" t="s">
        <v>145</v>
      </c>
      <c r="J1255">
        <v>0</v>
      </c>
      <c r="K1255">
        <v>2</v>
      </c>
      <c r="L1255">
        <v>2</v>
      </c>
      <c r="M1255">
        <v>69</v>
      </c>
      <c r="N1255">
        <v>217</v>
      </c>
      <c r="O1255">
        <v>2</v>
      </c>
      <c r="P1255">
        <v>217</v>
      </c>
      <c r="Q1255">
        <v>185</v>
      </c>
      <c r="R1255">
        <v>0</v>
      </c>
      <c r="S1255">
        <v>7</v>
      </c>
      <c r="T1255">
        <v>0</v>
      </c>
      <c r="U1255">
        <v>3</v>
      </c>
      <c r="V1255">
        <v>0</v>
      </c>
      <c r="W1255">
        <v>3</v>
      </c>
      <c r="X1255">
        <v>1</v>
      </c>
      <c r="Y1255">
        <v>5</v>
      </c>
      <c r="Z1255">
        <v>0</v>
      </c>
      <c r="AA1255">
        <v>0</v>
      </c>
      <c r="AB1255">
        <v>0</v>
      </c>
      <c r="AC1255">
        <v>3</v>
      </c>
      <c r="AD1255">
        <v>2</v>
      </c>
      <c r="AE1255">
        <v>0</v>
      </c>
      <c r="AF1255">
        <v>0</v>
      </c>
      <c r="AK1255">
        <v>0</v>
      </c>
      <c r="AL1255">
        <v>0</v>
      </c>
      <c r="AM1255">
        <v>0</v>
      </c>
      <c r="AN1255">
        <v>0</v>
      </c>
      <c r="AP1255">
        <v>0</v>
      </c>
      <c r="AT1255">
        <v>0</v>
      </c>
      <c r="AU1255">
        <v>8</v>
      </c>
      <c r="AV1255">
        <v>217</v>
      </c>
      <c r="AW1255">
        <v>217</v>
      </c>
      <c r="AX1255">
        <v>265</v>
      </c>
      <c r="BA1255">
        <v>1</v>
      </c>
      <c r="BC1255" t="s">
        <v>2605</v>
      </c>
      <c r="BD1255" s="4">
        <v>43283.373611111114</v>
      </c>
      <c r="BE1255" s="4">
        <v>43283.384884259256</v>
      </c>
      <c r="BF1255" s="4">
        <v>43283.384884259256</v>
      </c>
      <c r="BG1255" t="s">
        <v>83</v>
      </c>
      <c r="BH1255" t="s">
        <v>84</v>
      </c>
      <c r="BI1255" t="s">
        <v>85</v>
      </c>
    </row>
    <row r="1256" spans="1:61" x14ac:dyDescent="0.3">
      <c r="A1256" t="str">
        <f>"201325B0100"</f>
        <v>201325B0100</v>
      </c>
      <c r="B1256" t="s">
        <v>2606</v>
      </c>
      <c r="C1256">
        <v>20</v>
      </c>
      <c r="D1256" t="s">
        <v>79</v>
      </c>
      <c r="E1256">
        <v>6</v>
      </c>
      <c r="F1256" t="s">
        <v>2299</v>
      </c>
      <c r="G1256">
        <v>1325</v>
      </c>
      <c r="H1256">
        <v>1</v>
      </c>
      <c r="I1256" t="s">
        <v>81</v>
      </c>
      <c r="J1256">
        <v>0</v>
      </c>
      <c r="K1256">
        <v>2</v>
      </c>
      <c r="L1256">
        <v>2</v>
      </c>
      <c r="M1256">
        <v>177</v>
      </c>
      <c r="N1256">
        <v>337</v>
      </c>
      <c r="O1256">
        <v>1</v>
      </c>
      <c r="P1256">
        <v>336</v>
      </c>
      <c r="Q1256">
        <v>47</v>
      </c>
      <c r="R1256">
        <v>84</v>
      </c>
      <c r="S1256">
        <v>2</v>
      </c>
      <c r="T1256">
        <v>29</v>
      </c>
      <c r="U1256">
        <v>103</v>
      </c>
      <c r="V1256">
        <v>0</v>
      </c>
      <c r="W1256">
        <v>2</v>
      </c>
      <c r="X1256">
        <v>0</v>
      </c>
      <c r="Y1256">
        <v>38</v>
      </c>
      <c r="Z1256">
        <v>0</v>
      </c>
      <c r="AA1256">
        <v>0</v>
      </c>
      <c r="AB1256">
        <v>1</v>
      </c>
      <c r="AC1256">
        <v>0</v>
      </c>
      <c r="AD1256">
        <v>0</v>
      </c>
      <c r="AE1256">
        <v>0</v>
      </c>
      <c r="AF1256">
        <v>0</v>
      </c>
      <c r="AK1256">
        <v>9</v>
      </c>
      <c r="AL1256">
        <v>4</v>
      </c>
      <c r="AM1256">
        <v>0</v>
      </c>
      <c r="AN1256">
        <v>0</v>
      </c>
      <c r="AP1256">
        <v>1</v>
      </c>
      <c r="AT1256" t="s">
        <v>100</v>
      </c>
      <c r="AU1256">
        <v>16</v>
      </c>
      <c r="AV1256" t="s">
        <v>100</v>
      </c>
      <c r="AW1256">
        <v>336</v>
      </c>
      <c r="AX1256">
        <v>492</v>
      </c>
      <c r="AZ1256" t="s">
        <v>101</v>
      </c>
      <c r="BA1256">
        <v>1</v>
      </c>
      <c r="BC1256" t="s">
        <v>2607</v>
      </c>
      <c r="BD1256" s="4">
        <v>43283.371527777781</v>
      </c>
      <c r="BE1256" s="4">
        <v>43283.383402777778</v>
      </c>
      <c r="BF1256" s="4">
        <v>43283.383402777778</v>
      </c>
      <c r="BG1256" t="s">
        <v>83</v>
      </c>
      <c r="BH1256" t="s">
        <v>84</v>
      </c>
      <c r="BI1256" t="s">
        <v>85</v>
      </c>
    </row>
    <row r="1257" spans="1:61" x14ac:dyDescent="0.3">
      <c r="A1257" t="str">
        <f>"201325C0100"</f>
        <v>201325C0100</v>
      </c>
      <c r="B1257" t="s">
        <v>2608</v>
      </c>
      <c r="C1257">
        <v>20</v>
      </c>
      <c r="D1257" t="s">
        <v>79</v>
      </c>
      <c r="E1257">
        <v>6</v>
      </c>
      <c r="F1257" t="s">
        <v>2299</v>
      </c>
      <c r="G1257">
        <v>1325</v>
      </c>
      <c r="H1257">
        <v>1</v>
      </c>
      <c r="I1257" t="s">
        <v>89</v>
      </c>
      <c r="J1257">
        <v>0</v>
      </c>
      <c r="K1257">
        <v>2</v>
      </c>
      <c r="L1257">
        <v>2</v>
      </c>
      <c r="M1257">
        <v>200</v>
      </c>
      <c r="N1257">
        <v>313</v>
      </c>
      <c r="O1257">
        <v>0</v>
      </c>
      <c r="P1257">
        <v>313</v>
      </c>
      <c r="Q1257">
        <v>51</v>
      </c>
      <c r="R1257">
        <v>81</v>
      </c>
      <c r="S1257">
        <v>1</v>
      </c>
      <c r="T1257">
        <v>24</v>
      </c>
      <c r="U1257">
        <v>92</v>
      </c>
      <c r="V1257">
        <v>1</v>
      </c>
      <c r="W1257">
        <v>1</v>
      </c>
      <c r="X1257">
        <v>0</v>
      </c>
      <c r="Y1257">
        <v>16</v>
      </c>
      <c r="Z1257">
        <v>0</v>
      </c>
      <c r="AA1257">
        <v>0</v>
      </c>
      <c r="AB1257">
        <v>2</v>
      </c>
      <c r="AC1257">
        <v>2</v>
      </c>
      <c r="AD1257">
        <v>1</v>
      </c>
      <c r="AE1257">
        <v>0</v>
      </c>
      <c r="AF1257">
        <v>0</v>
      </c>
      <c r="AK1257">
        <v>9</v>
      </c>
      <c r="AL1257">
        <v>1</v>
      </c>
      <c r="AM1257">
        <v>0</v>
      </c>
      <c r="AN1257">
        <v>0</v>
      </c>
      <c r="AP1257">
        <v>11</v>
      </c>
      <c r="AT1257" t="s">
        <v>100</v>
      </c>
      <c r="AU1257">
        <v>21</v>
      </c>
      <c r="AV1257">
        <v>314</v>
      </c>
      <c r="AW1257">
        <v>314</v>
      </c>
      <c r="AX1257">
        <v>491</v>
      </c>
      <c r="AZ1257" t="s">
        <v>101</v>
      </c>
      <c r="BA1257">
        <v>1</v>
      </c>
      <c r="BC1257" t="s">
        <v>2609</v>
      </c>
      <c r="BD1257" s="4">
        <v>43283.37222222222</v>
      </c>
      <c r="BE1257" s="4">
        <v>43283.383043981485</v>
      </c>
      <c r="BF1257" s="4">
        <v>43283.383043981485</v>
      </c>
      <c r="BG1257" t="s">
        <v>83</v>
      </c>
      <c r="BH1257" t="s">
        <v>84</v>
      </c>
      <c r="BI1257" t="s">
        <v>85</v>
      </c>
    </row>
    <row r="1258" spans="1:61" x14ac:dyDescent="0.3">
      <c r="A1258" t="str">
        <f>"201326B0100"</f>
        <v>201326B0100</v>
      </c>
      <c r="B1258" t="s">
        <v>2610</v>
      </c>
      <c r="C1258">
        <v>20</v>
      </c>
      <c r="D1258" t="s">
        <v>79</v>
      </c>
      <c r="E1258">
        <v>6</v>
      </c>
      <c r="F1258" t="s">
        <v>2299</v>
      </c>
      <c r="G1258">
        <v>1326</v>
      </c>
      <c r="H1258">
        <v>1</v>
      </c>
      <c r="I1258" t="s">
        <v>81</v>
      </c>
      <c r="J1258">
        <v>0</v>
      </c>
      <c r="K1258">
        <v>2</v>
      </c>
      <c r="L1258">
        <v>2</v>
      </c>
      <c r="M1258">
        <v>100</v>
      </c>
      <c r="N1258">
        <v>400</v>
      </c>
      <c r="O1258">
        <v>3</v>
      </c>
      <c r="P1258">
        <v>400</v>
      </c>
      <c r="Q1258">
        <v>56</v>
      </c>
      <c r="R1258">
        <v>119</v>
      </c>
      <c r="S1258">
        <v>1</v>
      </c>
      <c r="T1258">
        <v>2</v>
      </c>
      <c r="U1258">
        <v>89</v>
      </c>
      <c r="V1258" t="s">
        <v>100</v>
      </c>
      <c r="W1258">
        <v>2</v>
      </c>
      <c r="X1258" t="s">
        <v>100</v>
      </c>
      <c r="Y1258">
        <v>68</v>
      </c>
      <c r="Z1258">
        <v>1</v>
      </c>
      <c r="AA1258" t="s">
        <v>100</v>
      </c>
      <c r="AB1258" t="s">
        <v>100</v>
      </c>
      <c r="AC1258" t="s">
        <v>100</v>
      </c>
      <c r="AD1258" t="s">
        <v>100</v>
      </c>
      <c r="AE1258" t="s">
        <v>100</v>
      </c>
      <c r="AF1258" t="s">
        <v>100</v>
      </c>
      <c r="AK1258" t="s">
        <v>100</v>
      </c>
      <c r="AL1258" t="s">
        <v>100</v>
      </c>
      <c r="AM1258" t="s">
        <v>100</v>
      </c>
      <c r="AN1258" t="s">
        <v>100</v>
      </c>
      <c r="AP1258">
        <v>4</v>
      </c>
      <c r="AT1258" t="s">
        <v>100</v>
      </c>
      <c r="AU1258" t="s">
        <v>100</v>
      </c>
      <c r="AV1258">
        <v>347</v>
      </c>
      <c r="AW1258">
        <v>342</v>
      </c>
      <c r="AX1258">
        <v>425</v>
      </c>
      <c r="AZ1258" t="s">
        <v>101</v>
      </c>
      <c r="BA1258">
        <v>1</v>
      </c>
      <c r="BC1258" t="s">
        <v>2611</v>
      </c>
      <c r="BD1258" s="4">
        <v>43283.376388888886</v>
      </c>
      <c r="BE1258" s="4">
        <v>43283.386655092596</v>
      </c>
      <c r="BF1258" s="4">
        <v>43283.386655092596</v>
      </c>
      <c r="BG1258" t="s">
        <v>83</v>
      </c>
      <c r="BH1258" t="s">
        <v>84</v>
      </c>
      <c r="BI1258" t="s">
        <v>85</v>
      </c>
    </row>
    <row r="1259" spans="1:61" x14ac:dyDescent="0.3">
      <c r="A1259" t="str">
        <f>"201326E0100"</f>
        <v>201326E0100</v>
      </c>
      <c r="B1259" s="2" t="s">
        <v>2612</v>
      </c>
      <c r="C1259">
        <v>20</v>
      </c>
      <c r="D1259" t="s">
        <v>79</v>
      </c>
      <c r="E1259">
        <v>6</v>
      </c>
      <c r="F1259" t="s">
        <v>2299</v>
      </c>
      <c r="G1259">
        <v>1326</v>
      </c>
      <c r="H1259">
        <v>1</v>
      </c>
      <c r="I1259" t="s">
        <v>145</v>
      </c>
      <c r="J1259">
        <v>0</v>
      </c>
      <c r="K1259">
        <v>2</v>
      </c>
      <c r="L1259">
        <v>2</v>
      </c>
      <c r="M1259">
        <v>167</v>
      </c>
      <c r="N1259">
        <v>524</v>
      </c>
      <c r="O1259">
        <v>2</v>
      </c>
      <c r="P1259">
        <v>524</v>
      </c>
      <c r="Q1259">
        <v>148</v>
      </c>
      <c r="R1259">
        <v>198</v>
      </c>
      <c r="S1259">
        <v>3</v>
      </c>
      <c r="T1259">
        <v>2</v>
      </c>
      <c r="U1259">
        <v>105</v>
      </c>
      <c r="V1259">
        <v>2</v>
      </c>
      <c r="W1259">
        <v>6</v>
      </c>
      <c r="X1259" t="s">
        <v>100</v>
      </c>
      <c r="Y1259">
        <v>20</v>
      </c>
      <c r="Z1259">
        <v>1</v>
      </c>
      <c r="AA1259" t="s">
        <v>100</v>
      </c>
      <c r="AB1259">
        <v>1</v>
      </c>
      <c r="AC1259">
        <v>4</v>
      </c>
      <c r="AD1259" t="s">
        <v>100</v>
      </c>
      <c r="AE1259" t="s">
        <v>100</v>
      </c>
      <c r="AF1259" t="s">
        <v>100</v>
      </c>
      <c r="AK1259" t="s">
        <v>100</v>
      </c>
      <c r="AL1259" t="s">
        <v>100</v>
      </c>
      <c r="AM1259" t="s">
        <v>100</v>
      </c>
      <c r="AN1259" t="s">
        <v>100</v>
      </c>
      <c r="AP1259">
        <v>4</v>
      </c>
      <c r="AT1259" t="s">
        <v>100</v>
      </c>
      <c r="AU1259">
        <v>30</v>
      </c>
      <c r="AV1259">
        <v>524</v>
      </c>
      <c r="AW1259">
        <v>524</v>
      </c>
      <c r="AX1259">
        <v>668</v>
      </c>
      <c r="AZ1259" t="s">
        <v>101</v>
      </c>
      <c r="BA1259">
        <v>1</v>
      </c>
      <c r="BC1259" t="s">
        <v>2613</v>
      </c>
      <c r="BD1259" s="4">
        <v>43283.376388888886</v>
      </c>
      <c r="BE1259" s="4">
        <v>43283.387812499997</v>
      </c>
      <c r="BF1259" s="4">
        <v>43283.387812499997</v>
      </c>
      <c r="BG1259" t="s">
        <v>83</v>
      </c>
      <c r="BH1259" t="s">
        <v>84</v>
      </c>
      <c r="BI1259" t="s">
        <v>85</v>
      </c>
    </row>
    <row r="1260" spans="1:61" x14ac:dyDescent="0.3">
      <c r="A1260" t="str">
        <f>"201327B0100"</f>
        <v>201327B0100</v>
      </c>
      <c r="B1260" t="s">
        <v>2614</v>
      </c>
      <c r="C1260">
        <v>20</v>
      </c>
      <c r="D1260" t="s">
        <v>79</v>
      </c>
      <c r="E1260">
        <v>6</v>
      </c>
      <c r="F1260" t="s">
        <v>2299</v>
      </c>
      <c r="G1260">
        <v>1327</v>
      </c>
      <c r="H1260">
        <v>1</v>
      </c>
      <c r="I1260" t="s">
        <v>81</v>
      </c>
      <c r="J1260">
        <v>0</v>
      </c>
      <c r="K1260">
        <v>2</v>
      </c>
      <c r="L1260">
        <v>2</v>
      </c>
      <c r="M1260">
        <v>135</v>
      </c>
      <c r="N1260">
        <v>353</v>
      </c>
      <c r="O1260">
        <v>3</v>
      </c>
      <c r="P1260">
        <v>353</v>
      </c>
      <c r="Q1260">
        <v>61</v>
      </c>
      <c r="R1260">
        <v>102</v>
      </c>
      <c r="S1260">
        <v>49</v>
      </c>
      <c r="T1260">
        <v>2</v>
      </c>
      <c r="U1260">
        <v>91</v>
      </c>
      <c r="V1260">
        <v>1</v>
      </c>
      <c r="W1260">
        <v>0</v>
      </c>
      <c r="X1260">
        <v>4</v>
      </c>
      <c r="Y1260">
        <v>29</v>
      </c>
      <c r="Z1260">
        <v>1</v>
      </c>
      <c r="AA1260">
        <v>0</v>
      </c>
      <c r="AB1260">
        <v>0</v>
      </c>
      <c r="AC1260">
        <v>1</v>
      </c>
      <c r="AD1260">
        <v>1</v>
      </c>
      <c r="AE1260">
        <v>0</v>
      </c>
      <c r="AF1260">
        <v>1</v>
      </c>
      <c r="AK1260">
        <v>1</v>
      </c>
      <c r="AL1260">
        <v>0</v>
      </c>
      <c r="AM1260">
        <v>0</v>
      </c>
      <c r="AN1260">
        <v>0</v>
      </c>
      <c r="AP1260">
        <v>0</v>
      </c>
      <c r="AT1260">
        <v>0</v>
      </c>
      <c r="AU1260">
        <v>9</v>
      </c>
      <c r="AV1260">
        <v>353</v>
      </c>
      <c r="AW1260">
        <v>353</v>
      </c>
      <c r="AX1260">
        <v>465</v>
      </c>
      <c r="BA1260">
        <v>1</v>
      </c>
      <c r="BC1260" t="s">
        <v>2615</v>
      </c>
      <c r="BD1260" s="4">
        <v>43283.375694444447</v>
      </c>
      <c r="BE1260" s="4">
        <v>43283.386180555557</v>
      </c>
      <c r="BF1260" s="4">
        <v>43283.386180555557</v>
      </c>
      <c r="BG1260" t="s">
        <v>83</v>
      </c>
      <c r="BH1260" t="s">
        <v>84</v>
      </c>
      <c r="BI1260" t="s">
        <v>85</v>
      </c>
    </row>
    <row r="1261" spans="1:61" x14ac:dyDescent="0.3">
      <c r="A1261" t="str">
        <f>"201327E0100"</f>
        <v>201327E0100</v>
      </c>
      <c r="B1261" s="2" t="s">
        <v>2616</v>
      </c>
      <c r="C1261">
        <v>20</v>
      </c>
      <c r="D1261" t="s">
        <v>79</v>
      </c>
      <c r="E1261">
        <v>6</v>
      </c>
      <c r="F1261" t="s">
        <v>2299</v>
      </c>
      <c r="G1261">
        <v>1327</v>
      </c>
      <c r="H1261">
        <v>1</v>
      </c>
      <c r="I1261" t="s">
        <v>145</v>
      </c>
      <c r="J1261">
        <v>0</v>
      </c>
      <c r="K1261">
        <v>2</v>
      </c>
      <c r="L1261">
        <v>2</v>
      </c>
      <c r="M1261">
        <v>62</v>
      </c>
      <c r="N1261">
        <v>162</v>
      </c>
      <c r="O1261">
        <v>1</v>
      </c>
      <c r="P1261">
        <v>162</v>
      </c>
      <c r="Q1261">
        <v>79</v>
      </c>
      <c r="R1261">
        <v>20</v>
      </c>
      <c r="S1261">
        <v>1</v>
      </c>
      <c r="T1261">
        <v>1</v>
      </c>
      <c r="U1261">
        <v>40</v>
      </c>
      <c r="V1261">
        <v>1</v>
      </c>
      <c r="W1261" t="s">
        <v>100</v>
      </c>
      <c r="X1261">
        <v>1</v>
      </c>
      <c r="Y1261">
        <v>7</v>
      </c>
      <c r="Z1261" t="s">
        <v>100</v>
      </c>
      <c r="AA1261">
        <v>1</v>
      </c>
      <c r="AB1261" t="s">
        <v>100</v>
      </c>
      <c r="AC1261" t="s">
        <v>100</v>
      </c>
      <c r="AD1261" t="s">
        <v>100</v>
      </c>
      <c r="AE1261" t="s">
        <v>100</v>
      </c>
      <c r="AF1261" t="s">
        <v>100</v>
      </c>
      <c r="AK1261">
        <v>3</v>
      </c>
      <c r="AL1261" t="s">
        <v>100</v>
      </c>
      <c r="AM1261" t="s">
        <v>100</v>
      </c>
      <c r="AN1261" t="s">
        <v>100</v>
      </c>
      <c r="AP1261" t="s">
        <v>100</v>
      </c>
      <c r="AT1261" t="s">
        <v>100</v>
      </c>
      <c r="AU1261">
        <v>8</v>
      </c>
      <c r="AV1261">
        <v>162</v>
      </c>
      <c r="AW1261">
        <v>162</v>
      </c>
      <c r="AX1261">
        <v>202</v>
      </c>
      <c r="AZ1261" t="s">
        <v>101</v>
      </c>
      <c r="BA1261">
        <v>1</v>
      </c>
      <c r="BC1261" t="s">
        <v>2617</v>
      </c>
      <c r="BD1261" s="4">
        <v>43283.374305555553</v>
      </c>
      <c r="BE1261" s="4">
        <v>43283.384525462963</v>
      </c>
      <c r="BF1261" s="4">
        <v>43283.384525462963</v>
      </c>
      <c r="BG1261" t="s">
        <v>83</v>
      </c>
      <c r="BH1261" t="s">
        <v>84</v>
      </c>
      <c r="BI1261" t="s">
        <v>85</v>
      </c>
    </row>
    <row r="1262" spans="1:61" x14ac:dyDescent="0.3">
      <c r="A1262" t="str">
        <f>"201328B0100"</f>
        <v>201328B0100</v>
      </c>
      <c r="B1262" t="s">
        <v>2618</v>
      </c>
      <c r="C1262">
        <v>20</v>
      </c>
      <c r="D1262" t="s">
        <v>79</v>
      </c>
      <c r="E1262">
        <v>6</v>
      </c>
      <c r="F1262" t="s">
        <v>2299</v>
      </c>
      <c r="G1262">
        <v>1328</v>
      </c>
      <c r="H1262">
        <v>1</v>
      </c>
      <c r="I1262" t="s">
        <v>81</v>
      </c>
      <c r="J1262">
        <v>0</v>
      </c>
      <c r="K1262">
        <v>2</v>
      </c>
      <c r="L1262">
        <v>2</v>
      </c>
      <c r="M1262">
        <v>42</v>
      </c>
      <c r="N1262">
        <v>132</v>
      </c>
      <c r="O1262">
        <v>2</v>
      </c>
      <c r="P1262">
        <v>132</v>
      </c>
      <c r="Q1262">
        <v>26</v>
      </c>
      <c r="R1262">
        <v>45</v>
      </c>
      <c r="S1262">
        <v>11</v>
      </c>
      <c r="T1262">
        <v>0</v>
      </c>
      <c r="U1262">
        <v>27</v>
      </c>
      <c r="V1262">
        <v>0</v>
      </c>
      <c r="W1262">
        <v>5</v>
      </c>
      <c r="X1262">
        <v>0</v>
      </c>
      <c r="Y1262">
        <v>6</v>
      </c>
      <c r="Z1262">
        <v>2</v>
      </c>
      <c r="AA1262">
        <v>0</v>
      </c>
      <c r="AB1262">
        <v>2</v>
      </c>
      <c r="AC1262">
        <v>0</v>
      </c>
      <c r="AD1262">
        <v>0</v>
      </c>
      <c r="AE1262">
        <v>0</v>
      </c>
      <c r="AF1262">
        <v>1</v>
      </c>
      <c r="AK1262">
        <v>1</v>
      </c>
      <c r="AL1262">
        <v>1</v>
      </c>
      <c r="AM1262">
        <v>0</v>
      </c>
      <c r="AN1262">
        <v>0</v>
      </c>
      <c r="AP1262">
        <v>0</v>
      </c>
      <c r="AT1262">
        <v>0</v>
      </c>
      <c r="AU1262">
        <v>5</v>
      </c>
      <c r="AV1262">
        <v>132</v>
      </c>
      <c r="AW1262">
        <v>132</v>
      </c>
      <c r="AX1262">
        <v>152</v>
      </c>
      <c r="BA1262">
        <v>1</v>
      </c>
      <c r="BC1262" t="s">
        <v>2619</v>
      </c>
      <c r="BD1262" s="4">
        <v>43283.37777777778</v>
      </c>
      <c r="BE1262" s="4">
        <v>43283.392534722225</v>
      </c>
      <c r="BF1262" s="4">
        <v>43283.392534722225</v>
      </c>
      <c r="BG1262" t="s">
        <v>83</v>
      </c>
      <c r="BH1262" t="s">
        <v>84</v>
      </c>
      <c r="BI1262" t="s">
        <v>85</v>
      </c>
    </row>
    <row r="1263" spans="1:61" x14ac:dyDescent="0.3">
      <c r="A1263" t="str">
        <f>"201329B0100"</f>
        <v>201329B0100</v>
      </c>
      <c r="B1263" t="s">
        <v>2620</v>
      </c>
      <c r="C1263">
        <v>20</v>
      </c>
      <c r="D1263" t="s">
        <v>79</v>
      </c>
      <c r="E1263">
        <v>6</v>
      </c>
      <c r="F1263" t="s">
        <v>2299</v>
      </c>
      <c r="G1263">
        <v>1329</v>
      </c>
      <c r="H1263">
        <v>1</v>
      </c>
      <c r="I1263" t="s">
        <v>81</v>
      </c>
      <c r="J1263">
        <v>0</v>
      </c>
      <c r="K1263">
        <v>2</v>
      </c>
      <c r="L1263">
        <v>2</v>
      </c>
      <c r="M1263">
        <v>82</v>
      </c>
      <c r="N1263">
        <v>194</v>
      </c>
      <c r="O1263">
        <v>2</v>
      </c>
      <c r="P1263">
        <v>194</v>
      </c>
      <c r="Q1263">
        <v>64</v>
      </c>
      <c r="R1263">
        <v>55</v>
      </c>
      <c r="S1263">
        <v>0</v>
      </c>
      <c r="T1263">
        <v>4</v>
      </c>
      <c r="U1263">
        <v>64</v>
      </c>
      <c r="V1263">
        <v>0</v>
      </c>
      <c r="W1263">
        <v>0</v>
      </c>
      <c r="X1263">
        <v>0</v>
      </c>
      <c r="Y1263">
        <v>2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K1263">
        <v>0</v>
      </c>
      <c r="AL1263">
        <v>0</v>
      </c>
      <c r="AM1263">
        <v>0</v>
      </c>
      <c r="AN1263">
        <v>0</v>
      </c>
      <c r="AP1263">
        <v>1</v>
      </c>
      <c r="AT1263">
        <v>0</v>
      </c>
      <c r="AU1263">
        <v>4</v>
      </c>
      <c r="AV1263">
        <v>194</v>
      </c>
      <c r="AW1263">
        <v>194</v>
      </c>
      <c r="AX1263">
        <v>254</v>
      </c>
      <c r="BA1263">
        <v>1</v>
      </c>
      <c r="BC1263" t="s">
        <v>2621</v>
      </c>
      <c r="BD1263" s="4">
        <v>43283.371527777781</v>
      </c>
      <c r="BE1263" s="4">
        <v>43283.380011574074</v>
      </c>
      <c r="BF1263" s="4">
        <v>43283.380011574074</v>
      </c>
      <c r="BG1263" t="s">
        <v>83</v>
      </c>
      <c r="BH1263" t="s">
        <v>84</v>
      </c>
      <c r="BI1263" t="s">
        <v>85</v>
      </c>
    </row>
    <row r="1264" spans="1:61" x14ac:dyDescent="0.3">
      <c r="A1264" t="str">
        <f>"201330B0100"</f>
        <v>201330B0100</v>
      </c>
      <c r="B1264" t="s">
        <v>2622</v>
      </c>
      <c r="C1264">
        <v>20</v>
      </c>
      <c r="D1264" t="s">
        <v>79</v>
      </c>
      <c r="E1264">
        <v>6</v>
      </c>
      <c r="F1264" t="s">
        <v>2299</v>
      </c>
      <c r="G1264">
        <v>1330</v>
      </c>
      <c r="H1264">
        <v>1</v>
      </c>
      <c r="I1264" t="s">
        <v>81</v>
      </c>
      <c r="J1264">
        <v>0</v>
      </c>
      <c r="K1264">
        <v>2</v>
      </c>
      <c r="L1264">
        <v>2</v>
      </c>
      <c r="M1264">
        <v>88</v>
      </c>
      <c r="N1264">
        <v>254</v>
      </c>
      <c r="O1264">
        <v>1</v>
      </c>
      <c r="P1264">
        <v>254</v>
      </c>
      <c r="Q1264">
        <v>123</v>
      </c>
      <c r="R1264">
        <v>53</v>
      </c>
      <c r="S1264">
        <v>0</v>
      </c>
      <c r="T1264">
        <v>13</v>
      </c>
      <c r="U1264">
        <v>20</v>
      </c>
      <c r="V1264">
        <v>0</v>
      </c>
      <c r="W1264">
        <v>3</v>
      </c>
      <c r="X1264">
        <v>0</v>
      </c>
      <c r="Y1264">
        <v>11</v>
      </c>
      <c r="Z1264">
        <v>0</v>
      </c>
      <c r="AA1264">
        <v>0</v>
      </c>
      <c r="AB1264">
        <v>1</v>
      </c>
      <c r="AC1264">
        <v>1</v>
      </c>
      <c r="AD1264">
        <v>1</v>
      </c>
      <c r="AE1264">
        <v>2</v>
      </c>
      <c r="AF1264">
        <v>0</v>
      </c>
      <c r="AK1264">
        <v>0</v>
      </c>
      <c r="AL1264">
        <v>8</v>
      </c>
      <c r="AM1264">
        <v>0</v>
      </c>
      <c r="AN1264">
        <v>0</v>
      </c>
      <c r="AP1264">
        <v>3</v>
      </c>
      <c r="AT1264">
        <v>0</v>
      </c>
      <c r="AU1264">
        <v>15</v>
      </c>
      <c r="AV1264">
        <v>254</v>
      </c>
      <c r="AW1264">
        <v>254</v>
      </c>
      <c r="AX1264">
        <v>320</v>
      </c>
      <c r="BA1264">
        <v>1</v>
      </c>
      <c r="BC1264" t="s">
        <v>2623</v>
      </c>
      <c r="BD1264" s="4">
        <v>43283.370138888888</v>
      </c>
      <c r="BE1264" s="4">
        <v>43283.381018518521</v>
      </c>
      <c r="BF1264" s="4">
        <v>43283.381018518521</v>
      </c>
      <c r="BG1264" t="s">
        <v>83</v>
      </c>
      <c r="BH1264" t="s">
        <v>84</v>
      </c>
      <c r="BI1264" t="s">
        <v>85</v>
      </c>
    </row>
    <row r="1265" spans="1:61" x14ac:dyDescent="0.3">
      <c r="A1265" t="str">
        <f>"201331B0100"</f>
        <v>201331B0100</v>
      </c>
      <c r="B1265" t="s">
        <v>2624</v>
      </c>
      <c r="C1265">
        <v>20</v>
      </c>
      <c r="D1265" t="s">
        <v>79</v>
      </c>
      <c r="E1265">
        <v>6</v>
      </c>
      <c r="F1265" t="s">
        <v>2299</v>
      </c>
      <c r="G1265">
        <v>1331</v>
      </c>
      <c r="H1265">
        <v>1</v>
      </c>
      <c r="I1265" t="s">
        <v>81</v>
      </c>
      <c r="J1265">
        <v>0</v>
      </c>
      <c r="K1265">
        <v>2</v>
      </c>
      <c r="L1265">
        <v>2</v>
      </c>
      <c r="M1265">
        <v>159</v>
      </c>
      <c r="N1265" t="s">
        <v>100</v>
      </c>
      <c r="O1265" t="s">
        <v>100</v>
      </c>
      <c r="P1265" t="s">
        <v>100</v>
      </c>
      <c r="Q1265">
        <v>76</v>
      </c>
      <c r="R1265">
        <v>135</v>
      </c>
      <c r="S1265">
        <v>17</v>
      </c>
      <c r="T1265">
        <v>92</v>
      </c>
      <c r="U1265">
        <v>1</v>
      </c>
      <c r="V1265">
        <v>1</v>
      </c>
      <c r="W1265">
        <v>37</v>
      </c>
      <c r="X1265">
        <v>3</v>
      </c>
      <c r="Y1265">
        <v>37</v>
      </c>
      <c r="Z1265">
        <v>3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K1265">
        <v>0</v>
      </c>
      <c r="AL1265">
        <v>0</v>
      </c>
      <c r="AM1265">
        <v>0</v>
      </c>
      <c r="AN1265">
        <v>0</v>
      </c>
      <c r="AP1265">
        <v>1</v>
      </c>
      <c r="AT1265">
        <v>0</v>
      </c>
      <c r="AU1265">
        <v>21</v>
      </c>
      <c r="AV1265">
        <v>405</v>
      </c>
      <c r="AW1265">
        <v>424</v>
      </c>
      <c r="AX1265">
        <v>582</v>
      </c>
      <c r="BA1265">
        <v>1</v>
      </c>
      <c r="BC1265" t="s">
        <v>2625</v>
      </c>
      <c r="BD1265" s="4">
        <v>43283.375</v>
      </c>
      <c r="BE1265" s="4">
        <v>43283.390381944446</v>
      </c>
      <c r="BF1265" s="4">
        <v>43283.390381944446</v>
      </c>
      <c r="BG1265" t="s">
        <v>83</v>
      </c>
      <c r="BH1265" t="s">
        <v>84</v>
      </c>
      <c r="BI1265" t="s">
        <v>85</v>
      </c>
    </row>
    <row r="1266" spans="1:61" x14ac:dyDescent="0.3">
      <c r="A1266" t="str">
        <f>"201332B0100"</f>
        <v>201332B0100</v>
      </c>
      <c r="B1266" t="s">
        <v>2626</v>
      </c>
      <c r="C1266">
        <v>20</v>
      </c>
      <c r="D1266" t="s">
        <v>79</v>
      </c>
      <c r="E1266">
        <v>6</v>
      </c>
      <c r="F1266" t="s">
        <v>2299</v>
      </c>
      <c r="G1266">
        <v>1332</v>
      </c>
      <c r="H1266">
        <v>1</v>
      </c>
      <c r="I1266" t="s">
        <v>81</v>
      </c>
      <c r="J1266">
        <v>0</v>
      </c>
      <c r="K1266">
        <v>2</v>
      </c>
      <c r="L1266">
        <v>2</v>
      </c>
      <c r="M1266">
        <v>74</v>
      </c>
      <c r="N1266">
        <v>93</v>
      </c>
      <c r="O1266">
        <v>2</v>
      </c>
      <c r="P1266">
        <v>93</v>
      </c>
      <c r="Q1266">
        <v>37</v>
      </c>
      <c r="R1266">
        <v>35</v>
      </c>
      <c r="S1266">
        <v>0</v>
      </c>
      <c r="T1266">
        <v>0</v>
      </c>
      <c r="U1266">
        <v>6</v>
      </c>
      <c r="V1266">
        <v>0</v>
      </c>
      <c r="W1266">
        <v>1</v>
      </c>
      <c r="X1266">
        <v>0</v>
      </c>
      <c r="Y1266">
        <v>5</v>
      </c>
      <c r="Z1266">
        <v>0</v>
      </c>
      <c r="AA1266">
        <v>0</v>
      </c>
      <c r="AB1266">
        <v>1</v>
      </c>
      <c r="AC1266">
        <v>0</v>
      </c>
      <c r="AD1266">
        <v>1</v>
      </c>
      <c r="AE1266">
        <v>0</v>
      </c>
      <c r="AF1266">
        <v>0</v>
      </c>
      <c r="AK1266">
        <v>2</v>
      </c>
      <c r="AL1266">
        <v>0</v>
      </c>
      <c r="AM1266">
        <v>0</v>
      </c>
      <c r="AN1266">
        <v>0</v>
      </c>
      <c r="AP1266">
        <v>3</v>
      </c>
      <c r="AT1266">
        <v>0</v>
      </c>
      <c r="AU1266">
        <v>2</v>
      </c>
      <c r="AV1266">
        <v>93</v>
      </c>
      <c r="AW1266">
        <v>93</v>
      </c>
      <c r="AX1266">
        <v>145</v>
      </c>
      <c r="BA1266">
        <v>1</v>
      </c>
      <c r="BC1266" t="s">
        <v>2627</v>
      </c>
      <c r="BD1266" s="4">
        <v>43283.370138888888</v>
      </c>
      <c r="BE1266" s="4">
        <v>43283.38082175926</v>
      </c>
      <c r="BF1266" s="4">
        <v>43283.38082175926</v>
      </c>
      <c r="BG1266" t="s">
        <v>83</v>
      </c>
      <c r="BH1266" t="s">
        <v>84</v>
      </c>
      <c r="BI1266" t="s">
        <v>85</v>
      </c>
    </row>
    <row r="1267" spans="1:61" x14ac:dyDescent="0.3">
      <c r="A1267" t="str">
        <f>"201418B0100"</f>
        <v>201418B0100</v>
      </c>
      <c r="B1267" t="s">
        <v>2628</v>
      </c>
      <c r="C1267">
        <v>20</v>
      </c>
      <c r="D1267" t="s">
        <v>79</v>
      </c>
      <c r="E1267">
        <v>6</v>
      </c>
      <c r="F1267" t="s">
        <v>2299</v>
      </c>
      <c r="G1267">
        <v>1418</v>
      </c>
      <c r="H1267">
        <v>1</v>
      </c>
      <c r="I1267" t="s">
        <v>81</v>
      </c>
      <c r="J1267">
        <v>0</v>
      </c>
      <c r="K1267">
        <v>2</v>
      </c>
      <c r="L1267">
        <v>2</v>
      </c>
      <c r="M1267">
        <v>131</v>
      </c>
      <c r="N1267">
        <v>283</v>
      </c>
      <c r="O1267">
        <v>0</v>
      </c>
      <c r="P1267">
        <v>284</v>
      </c>
      <c r="Q1267">
        <v>1</v>
      </c>
      <c r="R1267">
        <v>69</v>
      </c>
      <c r="S1267">
        <v>114</v>
      </c>
      <c r="T1267">
        <v>0</v>
      </c>
      <c r="U1267">
        <v>3</v>
      </c>
      <c r="V1267">
        <v>1</v>
      </c>
      <c r="W1267">
        <v>1</v>
      </c>
      <c r="X1267">
        <v>2</v>
      </c>
      <c r="Y1267">
        <v>73</v>
      </c>
      <c r="Z1267">
        <v>4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1</v>
      </c>
      <c r="AK1267">
        <v>2</v>
      </c>
      <c r="AL1267">
        <v>1</v>
      </c>
      <c r="AM1267">
        <v>0</v>
      </c>
      <c r="AN1267">
        <v>1</v>
      </c>
      <c r="AP1267">
        <v>0</v>
      </c>
      <c r="AT1267">
        <v>0</v>
      </c>
      <c r="AU1267">
        <v>11</v>
      </c>
      <c r="AV1267">
        <v>284</v>
      </c>
      <c r="AW1267">
        <v>284</v>
      </c>
      <c r="AX1267">
        <v>392</v>
      </c>
      <c r="BA1267">
        <v>1</v>
      </c>
      <c r="BC1267" t="s">
        <v>2629</v>
      </c>
      <c r="BD1267" s="4">
        <v>43283.408333333333</v>
      </c>
      <c r="BE1267" s="4">
        <v>43283.414537037039</v>
      </c>
      <c r="BF1267" s="4">
        <v>43283.414537037039</v>
      </c>
      <c r="BG1267" t="s">
        <v>83</v>
      </c>
      <c r="BH1267" t="s">
        <v>84</v>
      </c>
      <c r="BI1267" t="s">
        <v>85</v>
      </c>
    </row>
    <row r="1268" spans="1:61" x14ac:dyDescent="0.3">
      <c r="A1268" t="str">
        <f>"201418C0100"</f>
        <v>201418C0100</v>
      </c>
      <c r="B1268" t="s">
        <v>2630</v>
      </c>
      <c r="C1268">
        <v>20</v>
      </c>
      <c r="D1268" t="s">
        <v>79</v>
      </c>
      <c r="E1268">
        <v>6</v>
      </c>
      <c r="F1268" t="s">
        <v>2299</v>
      </c>
      <c r="G1268">
        <v>1418</v>
      </c>
      <c r="H1268">
        <v>1</v>
      </c>
      <c r="I1268" t="s">
        <v>89</v>
      </c>
      <c r="J1268">
        <v>0</v>
      </c>
      <c r="K1268">
        <v>2</v>
      </c>
      <c r="L1268">
        <v>2</v>
      </c>
      <c r="M1268">
        <v>139</v>
      </c>
      <c r="N1268">
        <v>274</v>
      </c>
      <c r="O1268">
        <v>0</v>
      </c>
      <c r="P1268">
        <v>274</v>
      </c>
      <c r="Q1268">
        <v>1</v>
      </c>
      <c r="R1268">
        <v>61</v>
      </c>
      <c r="S1268">
        <v>109</v>
      </c>
      <c r="T1268">
        <v>3</v>
      </c>
      <c r="U1268">
        <v>1</v>
      </c>
      <c r="V1268">
        <v>2</v>
      </c>
      <c r="W1268">
        <v>0</v>
      </c>
      <c r="X1268">
        <v>3</v>
      </c>
      <c r="Y1268">
        <v>72</v>
      </c>
      <c r="Z1268">
        <v>2</v>
      </c>
      <c r="AA1268">
        <v>0</v>
      </c>
      <c r="AB1268">
        <v>0</v>
      </c>
      <c r="AC1268">
        <v>2</v>
      </c>
      <c r="AD1268">
        <v>0</v>
      </c>
      <c r="AE1268">
        <v>0</v>
      </c>
      <c r="AF1268">
        <v>0</v>
      </c>
      <c r="AK1268">
        <v>0</v>
      </c>
      <c r="AL1268">
        <v>0</v>
      </c>
      <c r="AM1268">
        <v>0</v>
      </c>
      <c r="AN1268">
        <v>1</v>
      </c>
      <c r="AP1268">
        <v>2</v>
      </c>
      <c r="AT1268">
        <v>0</v>
      </c>
      <c r="AU1268">
        <v>15</v>
      </c>
      <c r="AV1268">
        <v>274</v>
      </c>
      <c r="AW1268">
        <v>274</v>
      </c>
      <c r="AX1268">
        <v>392</v>
      </c>
      <c r="BA1268">
        <v>1</v>
      </c>
      <c r="BC1268" t="s">
        <v>2631</v>
      </c>
      <c r="BD1268" s="4">
        <v>43283.405555555553</v>
      </c>
      <c r="BE1268" s="4">
        <v>43283.412974537037</v>
      </c>
      <c r="BF1268" s="4">
        <v>43283.412974537037</v>
      </c>
      <c r="BG1268" t="s">
        <v>83</v>
      </c>
      <c r="BH1268" t="s">
        <v>84</v>
      </c>
      <c r="BI1268" t="s">
        <v>85</v>
      </c>
    </row>
    <row r="1269" spans="1:61" x14ac:dyDescent="0.3">
      <c r="A1269" t="str">
        <f>"201594B0100"</f>
        <v>201594B0100</v>
      </c>
      <c r="B1269" t="s">
        <v>2632</v>
      </c>
      <c r="C1269">
        <v>20</v>
      </c>
      <c r="D1269" t="s">
        <v>79</v>
      </c>
      <c r="E1269">
        <v>6</v>
      </c>
      <c r="F1269" t="s">
        <v>2299</v>
      </c>
      <c r="G1269">
        <v>1594</v>
      </c>
      <c r="H1269">
        <v>1</v>
      </c>
      <c r="I1269" t="s">
        <v>81</v>
      </c>
      <c r="J1269">
        <v>0</v>
      </c>
      <c r="K1269">
        <v>2</v>
      </c>
      <c r="L1269">
        <v>2</v>
      </c>
      <c r="M1269">
        <v>220</v>
      </c>
      <c r="N1269">
        <v>252</v>
      </c>
      <c r="O1269">
        <v>0</v>
      </c>
      <c r="P1269">
        <v>252</v>
      </c>
      <c r="Q1269">
        <v>45</v>
      </c>
      <c r="R1269">
        <v>52</v>
      </c>
      <c r="S1269">
        <v>13</v>
      </c>
      <c r="T1269">
        <v>1</v>
      </c>
      <c r="U1269">
        <v>16</v>
      </c>
      <c r="V1269">
        <v>5</v>
      </c>
      <c r="W1269">
        <v>1</v>
      </c>
      <c r="X1269">
        <v>6</v>
      </c>
      <c r="Y1269">
        <v>91</v>
      </c>
      <c r="Z1269">
        <v>7</v>
      </c>
      <c r="AA1269">
        <v>2</v>
      </c>
      <c r="AB1269">
        <v>1</v>
      </c>
      <c r="AC1269">
        <v>0</v>
      </c>
      <c r="AD1269">
        <v>0</v>
      </c>
      <c r="AE1269">
        <v>0</v>
      </c>
      <c r="AF1269">
        <v>0</v>
      </c>
      <c r="AK1269">
        <v>1</v>
      </c>
      <c r="AL1269">
        <v>0</v>
      </c>
      <c r="AM1269">
        <v>0</v>
      </c>
      <c r="AN1269">
        <v>0</v>
      </c>
      <c r="AP1269">
        <v>1</v>
      </c>
      <c r="AT1269">
        <v>0</v>
      </c>
      <c r="AU1269">
        <v>10</v>
      </c>
      <c r="AV1269">
        <v>252</v>
      </c>
      <c r="AW1269">
        <v>252</v>
      </c>
      <c r="AX1269">
        <v>450</v>
      </c>
      <c r="BA1269">
        <v>1</v>
      </c>
      <c r="BC1269" t="s">
        <v>2633</v>
      </c>
      <c r="BD1269" s="4">
        <v>43283.143055555556</v>
      </c>
      <c r="BE1269" s="4">
        <v>43283.147291666668</v>
      </c>
      <c r="BF1269" s="4">
        <v>43283.147291666668</v>
      </c>
      <c r="BG1269" t="s">
        <v>83</v>
      </c>
      <c r="BH1269" t="s">
        <v>84</v>
      </c>
      <c r="BI1269" t="s">
        <v>85</v>
      </c>
    </row>
    <row r="1270" spans="1:61" x14ac:dyDescent="0.3">
      <c r="A1270" t="str">
        <f>"201595B0100"</f>
        <v>201595B0100</v>
      </c>
      <c r="B1270" t="s">
        <v>2634</v>
      </c>
      <c r="C1270">
        <v>20</v>
      </c>
      <c r="D1270" t="s">
        <v>79</v>
      </c>
      <c r="E1270">
        <v>6</v>
      </c>
      <c r="F1270" t="s">
        <v>2299</v>
      </c>
      <c r="G1270">
        <v>1595</v>
      </c>
      <c r="H1270">
        <v>1</v>
      </c>
      <c r="I1270" t="s">
        <v>81</v>
      </c>
      <c r="J1270">
        <v>0</v>
      </c>
      <c r="K1270">
        <v>2</v>
      </c>
      <c r="L1270">
        <v>2</v>
      </c>
      <c r="M1270">
        <v>60</v>
      </c>
      <c r="N1270">
        <v>93</v>
      </c>
      <c r="O1270">
        <v>5</v>
      </c>
      <c r="P1270">
        <v>93</v>
      </c>
      <c r="Q1270">
        <v>14</v>
      </c>
      <c r="R1270">
        <v>22</v>
      </c>
      <c r="S1270">
        <v>3</v>
      </c>
      <c r="T1270">
        <v>2</v>
      </c>
      <c r="U1270">
        <v>4</v>
      </c>
      <c r="V1270">
        <v>2</v>
      </c>
      <c r="W1270">
        <v>1</v>
      </c>
      <c r="X1270">
        <v>2</v>
      </c>
      <c r="Y1270">
        <v>37</v>
      </c>
      <c r="Z1270">
        <v>1</v>
      </c>
      <c r="AA1270">
        <v>1</v>
      </c>
      <c r="AB1270">
        <v>0</v>
      </c>
      <c r="AC1270">
        <v>1</v>
      </c>
      <c r="AD1270">
        <v>0</v>
      </c>
      <c r="AE1270">
        <v>0</v>
      </c>
      <c r="AF1270">
        <v>0</v>
      </c>
      <c r="AK1270">
        <v>0</v>
      </c>
      <c r="AL1270">
        <v>1</v>
      </c>
      <c r="AM1270">
        <v>0</v>
      </c>
      <c r="AN1270">
        <v>0</v>
      </c>
      <c r="AP1270">
        <v>0</v>
      </c>
      <c r="AT1270">
        <v>0</v>
      </c>
      <c r="AU1270">
        <v>2</v>
      </c>
      <c r="AV1270">
        <v>93</v>
      </c>
      <c r="AW1270">
        <v>93</v>
      </c>
      <c r="AX1270">
        <v>131</v>
      </c>
      <c r="BA1270">
        <v>1</v>
      </c>
      <c r="BC1270" t="s">
        <v>2635</v>
      </c>
      <c r="BD1270" s="4">
        <v>43283.249305555553</v>
      </c>
      <c r="BE1270" s="4">
        <v>43283.275219907409</v>
      </c>
      <c r="BF1270" s="4">
        <v>43283.275219907409</v>
      </c>
      <c r="BG1270" t="s">
        <v>83</v>
      </c>
      <c r="BH1270" t="s">
        <v>84</v>
      </c>
      <c r="BI1270" t="s">
        <v>85</v>
      </c>
    </row>
    <row r="1271" spans="1:61" x14ac:dyDescent="0.3">
      <c r="A1271" t="str">
        <f>"201596B0100"</f>
        <v>201596B0100</v>
      </c>
      <c r="B1271" t="s">
        <v>2636</v>
      </c>
      <c r="C1271">
        <v>20</v>
      </c>
      <c r="D1271" t="s">
        <v>79</v>
      </c>
      <c r="E1271">
        <v>6</v>
      </c>
      <c r="F1271" t="s">
        <v>2299</v>
      </c>
      <c r="G1271">
        <v>1596</v>
      </c>
      <c r="H1271">
        <v>1</v>
      </c>
      <c r="I1271" t="s">
        <v>81</v>
      </c>
      <c r="J1271">
        <v>0</v>
      </c>
      <c r="K1271">
        <v>2</v>
      </c>
      <c r="L1271">
        <v>2</v>
      </c>
      <c r="M1271">
        <v>90</v>
      </c>
      <c r="N1271">
        <v>139</v>
      </c>
      <c r="O1271">
        <v>0</v>
      </c>
      <c r="P1271">
        <v>138</v>
      </c>
      <c r="Q1271">
        <v>9</v>
      </c>
      <c r="R1271">
        <v>33</v>
      </c>
      <c r="S1271">
        <v>2</v>
      </c>
      <c r="T1271">
        <v>1</v>
      </c>
      <c r="U1271">
        <v>6</v>
      </c>
      <c r="V1271">
        <v>0</v>
      </c>
      <c r="W1271">
        <v>0</v>
      </c>
      <c r="X1271">
        <v>3</v>
      </c>
      <c r="Y1271">
        <v>61</v>
      </c>
      <c r="Z1271">
        <v>10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K1271">
        <v>7</v>
      </c>
      <c r="AL1271">
        <v>0</v>
      </c>
      <c r="AM1271">
        <v>0</v>
      </c>
      <c r="AN1271">
        <v>0</v>
      </c>
      <c r="AP1271">
        <v>1</v>
      </c>
      <c r="AT1271" t="s">
        <v>100</v>
      </c>
      <c r="AU1271" t="s">
        <v>100</v>
      </c>
      <c r="AV1271" t="s">
        <v>100</v>
      </c>
      <c r="AW1271">
        <v>133</v>
      </c>
      <c r="AX1271">
        <v>206</v>
      </c>
      <c r="AZ1271" t="s">
        <v>101</v>
      </c>
      <c r="BA1271">
        <v>1</v>
      </c>
      <c r="BC1271" s="2" t="s">
        <v>2637</v>
      </c>
      <c r="BD1271" s="4">
        <v>43283.249305555553</v>
      </c>
      <c r="BE1271" s="4">
        <v>43283.275266203702</v>
      </c>
      <c r="BF1271" s="4">
        <v>43283.275266203702</v>
      </c>
      <c r="BG1271" t="s">
        <v>83</v>
      </c>
      <c r="BH1271" t="s">
        <v>84</v>
      </c>
      <c r="BI1271" t="s">
        <v>85</v>
      </c>
    </row>
    <row r="1272" spans="1:61" x14ac:dyDescent="0.3">
      <c r="A1272" t="str">
        <f>"201597B0100"</f>
        <v>201597B0100</v>
      </c>
      <c r="B1272" t="s">
        <v>2638</v>
      </c>
      <c r="C1272">
        <v>20</v>
      </c>
      <c r="D1272" t="s">
        <v>79</v>
      </c>
      <c r="E1272">
        <v>6</v>
      </c>
      <c r="F1272" t="s">
        <v>2299</v>
      </c>
      <c r="G1272">
        <v>1597</v>
      </c>
      <c r="H1272">
        <v>1</v>
      </c>
      <c r="I1272" t="s">
        <v>81</v>
      </c>
      <c r="J1272">
        <v>0</v>
      </c>
      <c r="K1272">
        <v>2</v>
      </c>
      <c r="L1272">
        <v>2</v>
      </c>
      <c r="M1272">
        <v>52</v>
      </c>
      <c r="N1272">
        <v>91</v>
      </c>
      <c r="O1272">
        <v>6</v>
      </c>
      <c r="P1272">
        <v>91</v>
      </c>
      <c r="Q1272">
        <v>1</v>
      </c>
      <c r="R1272">
        <v>17</v>
      </c>
      <c r="S1272">
        <v>6</v>
      </c>
      <c r="T1272">
        <v>0</v>
      </c>
      <c r="U1272">
        <v>7</v>
      </c>
      <c r="V1272">
        <v>1</v>
      </c>
      <c r="W1272">
        <v>1</v>
      </c>
      <c r="X1272">
        <v>5</v>
      </c>
      <c r="Y1272">
        <v>40</v>
      </c>
      <c r="Z1272">
        <v>1</v>
      </c>
      <c r="AA1272">
        <v>0</v>
      </c>
      <c r="AB1272">
        <v>1</v>
      </c>
      <c r="AC1272">
        <v>0</v>
      </c>
      <c r="AD1272">
        <v>0</v>
      </c>
      <c r="AE1272">
        <v>0</v>
      </c>
      <c r="AF1272">
        <v>0</v>
      </c>
      <c r="AK1272">
        <v>5</v>
      </c>
      <c r="AL1272">
        <v>1</v>
      </c>
      <c r="AM1272">
        <v>0</v>
      </c>
      <c r="AN1272">
        <v>1</v>
      </c>
      <c r="AP1272">
        <v>1</v>
      </c>
      <c r="AT1272">
        <v>0</v>
      </c>
      <c r="AU1272">
        <v>3</v>
      </c>
      <c r="AV1272" t="s">
        <v>100</v>
      </c>
      <c r="AW1272">
        <v>91</v>
      </c>
      <c r="AX1272">
        <v>121</v>
      </c>
      <c r="BA1272">
        <v>1</v>
      </c>
      <c r="BC1272" t="s">
        <v>2639</v>
      </c>
      <c r="BD1272" s="4">
        <v>43283.15</v>
      </c>
      <c r="BE1272" s="4">
        <v>43283.176099537035</v>
      </c>
      <c r="BF1272" s="4">
        <v>43283.176099537035</v>
      </c>
      <c r="BG1272" t="s">
        <v>83</v>
      </c>
      <c r="BH1272" t="s">
        <v>84</v>
      </c>
      <c r="BI1272" t="s">
        <v>85</v>
      </c>
    </row>
    <row r="1273" spans="1:61" x14ac:dyDescent="0.3">
      <c r="A1273" t="str">
        <f>"201598B0100"</f>
        <v>201598B0100</v>
      </c>
      <c r="B1273" t="s">
        <v>2640</v>
      </c>
      <c r="C1273">
        <v>20</v>
      </c>
      <c r="D1273" t="s">
        <v>79</v>
      </c>
      <c r="E1273">
        <v>6</v>
      </c>
      <c r="F1273" t="s">
        <v>2299</v>
      </c>
      <c r="G1273">
        <v>1598</v>
      </c>
      <c r="H1273">
        <v>1</v>
      </c>
      <c r="I1273" t="s">
        <v>81</v>
      </c>
      <c r="J1273">
        <v>0</v>
      </c>
      <c r="K1273">
        <v>2</v>
      </c>
      <c r="L1273">
        <v>2</v>
      </c>
      <c r="M1273">
        <v>82</v>
      </c>
      <c r="N1273">
        <v>122</v>
      </c>
      <c r="O1273">
        <v>0</v>
      </c>
      <c r="P1273">
        <v>122</v>
      </c>
      <c r="Q1273">
        <v>6</v>
      </c>
      <c r="R1273">
        <v>21</v>
      </c>
      <c r="S1273">
        <v>8</v>
      </c>
      <c r="T1273">
        <v>2</v>
      </c>
      <c r="U1273">
        <v>7</v>
      </c>
      <c r="V1273">
        <v>2</v>
      </c>
      <c r="W1273">
        <v>2</v>
      </c>
      <c r="X1273">
        <v>2</v>
      </c>
      <c r="Y1273">
        <v>55</v>
      </c>
      <c r="Z1273">
        <v>3</v>
      </c>
      <c r="AA1273">
        <v>0</v>
      </c>
      <c r="AB1273">
        <v>2</v>
      </c>
      <c r="AC1273">
        <v>1</v>
      </c>
      <c r="AD1273">
        <v>0</v>
      </c>
      <c r="AE1273">
        <v>1</v>
      </c>
      <c r="AF1273">
        <v>1</v>
      </c>
      <c r="AK1273">
        <v>1</v>
      </c>
      <c r="AL1273">
        <v>0</v>
      </c>
      <c r="AM1273">
        <v>0</v>
      </c>
      <c r="AN1273">
        <v>0</v>
      </c>
      <c r="AP1273">
        <v>0</v>
      </c>
      <c r="AT1273">
        <v>0</v>
      </c>
      <c r="AU1273">
        <v>8</v>
      </c>
      <c r="AV1273">
        <v>122</v>
      </c>
      <c r="AW1273">
        <v>122</v>
      </c>
      <c r="AX1273">
        <v>182</v>
      </c>
      <c r="BA1273">
        <v>1</v>
      </c>
      <c r="BC1273" t="s">
        <v>2641</v>
      </c>
      <c r="BD1273" s="4">
        <v>43283.13958333333</v>
      </c>
      <c r="BE1273" s="4">
        <v>43283.14503472222</v>
      </c>
      <c r="BF1273" s="4">
        <v>43283.14503472222</v>
      </c>
      <c r="BG1273" t="s">
        <v>83</v>
      </c>
      <c r="BH1273" t="s">
        <v>84</v>
      </c>
      <c r="BI1273" t="s">
        <v>85</v>
      </c>
    </row>
    <row r="1274" spans="1:61" x14ac:dyDescent="0.3">
      <c r="A1274" t="str">
        <f>"201599B0100"</f>
        <v>201599B0100</v>
      </c>
      <c r="B1274" t="s">
        <v>2642</v>
      </c>
      <c r="C1274">
        <v>20</v>
      </c>
      <c r="D1274" t="s">
        <v>79</v>
      </c>
      <c r="E1274">
        <v>6</v>
      </c>
      <c r="F1274" t="s">
        <v>2299</v>
      </c>
      <c r="G1274">
        <v>1599</v>
      </c>
      <c r="H1274">
        <v>1</v>
      </c>
      <c r="I1274" t="s">
        <v>81</v>
      </c>
      <c r="J1274">
        <v>0</v>
      </c>
      <c r="K1274">
        <v>2</v>
      </c>
      <c r="L1274">
        <v>2</v>
      </c>
      <c r="M1274">
        <v>52</v>
      </c>
      <c r="N1274">
        <v>57</v>
      </c>
      <c r="O1274">
        <v>5</v>
      </c>
      <c r="P1274">
        <v>57</v>
      </c>
      <c r="Q1274">
        <v>3</v>
      </c>
      <c r="R1274">
        <v>13</v>
      </c>
      <c r="S1274">
        <v>1</v>
      </c>
      <c r="T1274">
        <v>1</v>
      </c>
      <c r="U1274">
        <v>3</v>
      </c>
      <c r="V1274">
        <v>3</v>
      </c>
      <c r="W1274">
        <v>0</v>
      </c>
      <c r="X1274">
        <v>1</v>
      </c>
      <c r="Y1274">
        <v>27</v>
      </c>
      <c r="Z1274">
        <v>1</v>
      </c>
      <c r="AA1274">
        <v>0</v>
      </c>
      <c r="AB1274">
        <v>0</v>
      </c>
      <c r="AC1274">
        <v>1</v>
      </c>
      <c r="AD1274" t="s">
        <v>100</v>
      </c>
      <c r="AE1274" t="s">
        <v>100</v>
      </c>
      <c r="AF1274" t="s">
        <v>100</v>
      </c>
      <c r="AK1274">
        <v>1</v>
      </c>
      <c r="AL1274" t="s">
        <v>100</v>
      </c>
      <c r="AM1274" t="s">
        <v>100</v>
      </c>
      <c r="AN1274" t="s">
        <v>100</v>
      </c>
      <c r="AP1274" t="s">
        <v>100</v>
      </c>
      <c r="AT1274" t="s">
        <v>100</v>
      </c>
      <c r="AU1274">
        <v>2</v>
      </c>
      <c r="AV1274" t="s">
        <v>100</v>
      </c>
      <c r="AW1274">
        <v>57</v>
      </c>
      <c r="AX1274">
        <v>87</v>
      </c>
      <c r="AZ1274" t="s">
        <v>101</v>
      </c>
      <c r="BA1274">
        <v>1</v>
      </c>
      <c r="BC1274" t="s">
        <v>2643</v>
      </c>
      <c r="BD1274" s="4">
        <v>43283.248611111114</v>
      </c>
      <c r="BE1274" s="4">
        <v>43283.277615740742</v>
      </c>
      <c r="BF1274" s="4">
        <v>43283.277615740742</v>
      </c>
      <c r="BG1274" t="s">
        <v>83</v>
      </c>
      <c r="BH1274" t="s">
        <v>84</v>
      </c>
      <c r="BI1274" t="s">
        <v>85</v>
      </c>
    </row>
    <row r="1275" spans="1:61" x14ac:dyDescent="0.3">
      <c r="A1275" t="str">
        <f>"201600B0100"</f>
        <v>201600B0100</v>
      </c>
      <c r="B1275" t="s">
        <v>2644</v>
      </c>
      <c r="C1275">
        <v>20</v>
      </c>
      <c r="D1275" t="s">
        <v>79</v>
      </c>
      <c r="E1275">
        <v>6</v>
      </c>
      <c r="F1275" t="s">
        <v>2299</v>
      </c>
      <c r="G1275">
        <v>1600</v>
      </c>
      <c r="H1275">
        <v>1</v>
      </c>
      <c r="I1275" t="s">
        <v>81</v>
      </c>
      <c r="J1275">
        <v>0</v>
      </c>
      <c r="K1275">
        <v>2</v>
      </c>
      <c r="L1275">
        <v>2</v>
      </c>
      <c r="M1275">
        <v>115</v>
      </c>
      <c r="N1275">
        <v>161</v>
      </c>
      <c r="O1275">
        <v>3</v>
      </c>
      <c r="P1275">
        <v>161</v>
      </c>
      <c r="Q1275">
        <v>9</v>
      </c>
      <c r="R1275">
        <v>20</v>
      </c>
      <c r="S1275">
        <v>19</v>
      </c>
      <c r="T1275">
        <v>2</v>
      </c>
      <c r="U1275">
        <v>13</v>
      </c>
      <c r="V1275">
        <v>1</v>
      </c>
      <c r="W1275">
        <v>3</v>
      </c>
      <c r="X1275">
        <v>2</v>
      </c>
      <c r="Y1275">
        <v>80</v>
      </c>
      <c r="Z1275">
        <v>1</v>
      </c>
      <c r="AA1275">
        <v>0</v>
      </c>
      <c r="AB1275">
        <v>1</v>
      </c>
      <c r="AC1275">
        <v>1</v>
      </c>
      <c r="AD1275">
        <v>0</v>
      </c>
      <c r="AE1275">
        <v>0</v>
      </c>
      <c r="AF1275">
        <v>0</v>
      </c>
      <c r="AK1275">
        <v>2</v>
      </c>
      <c r="AL1275">
        <v>2</v>
      </c>
      <c r="AM1275">
        <v>0</v>
      </c>
      <c r="AN1275">
        <v>2</v>
      </c>
      <c r="AP1275">
        <v>0</v>
      </c>
      <c r="AT1275">
        <v>0</v>
      </c>
      <c r="AU1275">
        <v>3</v>
      </c>
      <c r="AV1275">
        <v>161</v>
      </c>
      <c r="AW1275">
        <v>161</v>
      </c>
      <c r="AX1275">
        <v>254</v>
      </c>
      <c r="BA1275">
        <v>1</v>
      </c>
      <c r="BC1275" t="s">
        <v>2645</v>
      </c>
      <c r="BD1275" s="4">
        <v>43283.084027777775</v>
      </c>
      <c r="BE1275" s="4">
        <v>43283.088379629633</v>
      </c>
      <c r="BF1275" s="4">
        <v>43283.088379629633</v>
      </c>
      <c r="BG1275" t="s">
        <v>83</v>
      </c>
      <c r="BH1275" t="s">
        <v>84</v>
      </c>
      <c r="BI1275" t="s">
        <v>85</v>
      </c>
    </row>
    <row r="1276" spans="1:61" x14ac:dyDescent="0.3">
      <c r="A1276" t="str">
        <f>"201636B0100"</f>
        <v>201636B0100</v>
      </c>
      <c r="B1276" t="s">
        <v>2646</v>
      </c>
      <c r="C1276">
        <v>20</v>
      </c>
      <c r="D1276" t="s">
        <v>79</v>
      </c>
      <c r="E1276">
        <v>6</v>
      </c>
      <c r="F1276" t="s">
        <v>2299</v>
      </c>
      <c r="G1276">
        <v>1636</v>
      </c>
      <c r="H1276">
        <v>1</v>
      </c>
      <c r="I1276" t="s">
        <v>81</v>
      </c>
      <c r="J1276">
        <v>0</v>
      </c>
      <c r="K1276">
        <v>2</v>
      </c>
      <c r="L1276">
        <v>2</v>
      </c>
      <c r="M1276">
        <v>335</v>
      </c>
      <c r="N1276">
        <v>289</v>
      </c>
      <c r="O1276">
        <v>0</v>
      </c>
      <c r="P1276">
        <v>289</v>
      </c>
      <c r="Q1276">
        <v>6</v>
      </c>
      <c r="R1276">
        <v>159</v>
      </c>
      <c r="S1276">
        <v>41</v>
      </c>
      <c r="T1276">
        <v>7</v>
      </c>
      <c r="U1276">
        <v>13</v>
      </c>
      <c r="V1276">
        <v>0</v>
      </c>
      <c r="W1276">
        <v>1</v>
      </c>
      <c r="X1276">
        <v>2</v>
      </c>
      <c r="Y1276">
        <v>14</v>
      </c>
      <c r="Z1276">
        <v>3</v>
      </c>
      <c r="AA1276">
        <v>0</v>
      </c>
      <c r="AB1276">
        <v>0</v>
      </c>
      <c r="AC1276">
        <v>2</v>
      </c>
      <c r="AD1276">
        <v>0</v>
      </c>
      <c r="AE1276">
        <v>0</v>
      </c>
      <c r="AF1276">
        <v>0</v>
      </c>
      <c r="AK1276">
        <v>4</v>
      </c>
      <c r="AL1276">
        <v>0</v>
      </c>
      <c r="AM1276">
        <v>0</v>
      </c>
      <c r="AN1276">
        <v>0</v>
      </c>
      <c r="AP1276">
        <v>7</v>
      </c>
      <c r="AT1276">
        <v>0</v>
      </c>
      <c r="AU1276">
        <v>30</v>
      </c>
      <c r="AV1276">
        <v>289</v>
      </c>
      <c r="AW1276">
        <v>289</v>
      </c>
      <c r="AX1276">
        <v>602</v>
      </c>
      <c r="BA1276">
        <v>1</v>
      </c>
      <c r="BC1276" t="s">
        <v>2647</v>
      </c>
      <c r="BD1276" s="4">
        <v>43283.369444444441</v>
      </c>
      <c r="BE1276" s="4">
        <v>43283.379826388889</v>
      </c>
      <c r="BF1276" s="4">
        <v>43283.379826388889</v>
      </c>
      <c r="BG1276" t="s">
        <v>83</v>
      </c>
      <c r="BH1276" t="s">
        <v>84</v>
      </c>
      <c r="BI1276" t="s">
        <v>85</v>
      </c>
    </row>
    <row r="1277" spans="1:61" x14ac:dyDescent="0.3">
      <c r="A1277" t="str">
        <f>"201636C0100"</f>
        <v>201636C0100</v>
      </c>
      <c r="B1277" t="s">
        <v>2648</v>
      </c>
      <c r="C1277">
        <v>20</v>
      </c>
      <c r="D1277" t="s">
        <v>79</v>
      </c>
      <c r="E1277">
        <v>6</v>
      </c>
      <c r="F1277" t="s">
        <v>2299</v>
      </c>
      <c r="G1277">
        <v>1636</v>
      </c>
      <c r="H1277">
        <v>1</v>
      </c>
      <c r="I1277" t="s">
        <v>89</v>
      </c>
      <c r="J1277">
        <v>0</v>
      </c>
      <c r="K1277">
        <v>2</v>
      </c>
      <c r="L1277">
        <v>2</v>
      </c>
      <c r="M1277">
        <v>322</v>
      </c>
      <c r="N1277">
        <v>302</v>
      </c>
      <c r="O1277">
        <v>0</v>
      </c>
      <c r="P1277">
        <v>624</v>
      </c>
      <c r="Q1277">
        <v>8</v>
      </c>
      <c r="R1277">
        <v>136</v>
      </c>
      <c r="S1277">
        <v>47</v>
      </c>
      <c r="T1277">
        <v>7</v>
      </c>
      <c r="U1277">
        <v>13</v>
      </c>
      <c r="V1277">
        <v>4</v>
      </c>
      <c r="W1277">
        <v>0</v>
      </c>
      <c r="X1277">
        <v>1</v>
      </c>
      <c r="Y1277">
        <v>36</v>
      </c>
      <c r="Z1277">
        <v>3</v>
      </c>
      <c r="AA1277">
        <v>0</v>
      </c>
      <c r="AB1277">
        <v>0</v>
      </c>
      <c r="AC1277">
        <v>0</v>
      </c>
      <c r="AD1277">
        <v>2</v>
      </c>
      <c r="AE1277">
        <v>0</v>
      </c>
      <c r="AF1277">
        <v>0</v>
      </c>
      <c r="AK1277">
        <v>4</v>
      </c>
      <c r="AL1277">
        <v>0</v>
      </c>
      <c r="AM1277">
        <v>0</v>
      </c>
      <c r="AN1277">
        <v>0</v>
      </c>
      <c r="AP1277">
        <v>7</v>
      </c>
      <c r="AT1277">
        <v>0</v>
      </c>
      <c r="AU1277">
        <v>34</v>
      </c>
      <c r="AV1277">
        <v>302</v>
      </c>
      <c r="AW1277">
        <v>302</v>
      </c>
      <c r="AX1277">
        <v>602</v>
      </c>
      <c r="BA1277">
        <v>1</v>
      </c>
      <c r="BC1277" t="s">
        <v>2649</v>
      </c>
      <c r="BD1277" s="4">
        <v>43283.370833333334</v>
      </c>
      <c r="BE1277" s="4">
        <v>43283.382071759261</v>
      </c>
      <c r="BF1277" s="4">
        <v>43283.382071759261</v>
      </c>
      <c r="BG1277" t="s">
        <v>83</v>
      </c>
      <c r="BH1277" t="s">
        <v>84</v>
      </c>
      <c r="BI1277" t="s">
        <v>85</v>
      </c>
    </row>
    <row r="1278" spans="1:61" x14ac:dyDescent="0.3">
      <c r="A1278" t="str">
        <f>"201636C0200"</f>
        <v>201636C0200</v>
      </c>
      <c r="B1278" t="s">
        <v>2650</v>
      </c>
      <c r="C1278">
        <v>20</v>
      </c>
      <c r="D1278" t="s">
        <v>79</v>
      </c>
      <c r="E1278">
        <v>6</v>
      </c>
      <c r="F1278" t="s">
        <v>2299</v>
      </c>
      <c r="G1278">
        <v>1636</v>
      </c>
      <c r="H1278">
        <v>2</v>
      </c>
      <c r="I1278" t="s">
        <v>89</v>
      </c>
      <c r="J1278">
        <v>0</v>
      </c>
      <c r="K1278">
        <v>2</v>
      </c>
      <c r="L1278">
        <v>2</v>
      </c>
      <c r="M1278">
        <v>351</v>
      </c>
      <c r="N1278">
        <v>273</v>
      </c>
      <c r="O1278">
        <v>0</v>
      </c>
      <c r="P1278">
        <v>273</v>
      </c>
      <c r="Q1278">
        <v>9</v>
      </c>
      <c r="R1278">
        <v>125</v>
      </c>
      <c r="S1278">
        <v>39</v>
      </c>
      <c r="T1278">
        <v>2</v>
      </c>
      <c r="U1278">
        <v>21</v>
      </c>
      <c r="V1278">
        <v>1</v>
      </c>
      <c r="W1278">
        <v>1</v>
      </c>
      <c r="X1278">
        <v>2</v>
      </c>
      <c r="Y1278">
        <v>32</v>
      </c>
      <c r="Z1278">
        <v>1</v>
      </c>
      <c r="AA1278">
        <v>1</v>
      </c>
      <c r="AB1278">
        <v>1</v>
      </c>
      <c r="AC1278">
        <v>0</v>
      </c>
      <c r="AD1278">
        <v>0</v>
      </c>
      <c r="AE1278">
        <v>0</v>
      </c>
      <c r="AF1278">
        <v>0</v>
      </c>
      <c r="AK1278">
        <v>0</v>
      </c>
      <c r="AL1278">
        <v>2</v>
      </c>
      <c r="AM1278">
        <v>0</v>
      </c>
      <c r="AN1278">
        <v>0</v>
      </c>
      <c r="AP1278">
        <v>3</v>
      </c>
      <c r="AT1278">
        <v>0</v>
      </c>
      <c r="AU1278">
        <v>33</v>
      </c>
      <c r="AV1278">
        <v>273</v>
      </c>
      <c r="AW1278">
        <v>273</v>
      </c>
      <c r="AX1278">
        <v>602</v>
      </c>
      <c r="BA1278">
        <v>1</v>
      </c>
      <c r="BC1278" t="s">
        <v>2651</v>
      </c>
      <c r="BD1278" s="4">
        <v>43283.370138888888</v>
      </c>
      <c r="BE1278" s="4">
        <v>43283.379872685182</v>
      </c>
      <c r="BF1278" s="4">
        <v>43283.379872685182</v>
      </c>
      <c r="BG1278" t="s">
        <v>83</v>
      </c>
      <c r="BH1278" t="s">
        <v>84</v>
      </c>
      <c r="BI1278" t="s">
        <v>85</v>
      </c>
    </row>
    <row r="1279" spans="1:61" x14ac:dyDescent="0.3">
      <c r="A1279" t="str">
        <f>"201636C0300"</f>
        <v>201636C0300</v>
      </c>
      <c r="B1279" t="s">
        <v>2652</v>
      </c>
      <c r="C1279">
        <v>20</v>
      </c>
      <c r="D1279" t="s">
        <v>79</v>
      </c>
      <c r="E1279">
        <v>6</v>
      </c>
      <c r="F1279" t="s">
        <v>2299</v>
      </c>
      <c r="G1279">
        <v>1636</v>
      </c>
      <c r="H1279">
        <v>3</v>
      </c>
      <c r="I1279" t="s">
        <v>89</v>
      </c>
      <c r="J1279">
        <v>0</v>
      </c>
      <c r="K1279">
        <v>2</v>
      </c>
      <c r="L1279">
        <v>2</v>
      </c>
      <c r="M1279">
        <v>355</v>
      </c>
      <c r="N1279">
        <v>268</v>
      </c>
      <c r="O1279">
        <v>0</v>
      </c>
      <c r="P1279">
        <v>268</v>
      </c>
      <c r="Q1279">
        <v>3</v>
      </c>
      <c r="R1279">
        <v>123</v>
      </c>
      <c r="S1279">
        <v>26</v>
      </c>
      <c r="T1279">
        <v>11</v>
      </c>
      <c r="U1279">
        <v>17</v>
      </c>
      <c r="V1279">
        <v>2</v>
      </c>
      <c r="W1279">
        <v>2</v>
      </c>
      <c r="X1279">
        <v>6</v>
      </c>
      <c r="Y1279">
        <v>39</v>
      </c>
      <c r="Z1279">
        <v>0</v>
      </c>
      <c r="AA1279">
        <v>0</v>
      </c>
      <c r="AB1279">
        <v>1</v>
      </c>
      <c r="AC1279">
        <v>0</v>
      </c>
      <c r="AD1279">
        <v>0</v>
      </c>
      <c r="AE1279">
        <v>0</v>
      </c>
      <c r="AF1279">
        <v>0</v>
      </c>
      <c r="AK1279">
        <v>0</v>
      </c>
      <c r="AL1279">
        <v>2</v>
      </c>
      <c r="AM1279">
        <v>0</v>
      </c>
      <c r="AN1279">
        <v>0</v>
      </c>
      <c r="AP1279">
        <v>4</v>
      </c>
      <c r="AT1279">
        <v>0</v>
      </c>
      <c r="AU1279">
        <v>32</v>
      </c>
      <c r="AV1279">
        <v>268</v>
      </c>
      <c r="AW1279">
        <v>268</v>
      </c>
      <c r="AX1279">
        <v>601</v>
      </c>
      <c r="BA1279">
        <v>1</v>
      </c>
      <c r="BC1279" t="s">
        <v>2653</v>
      </c>
      <c r="BD1279" s="4">
        <v>43283.37222222222</v>
      </c>
      <c r="BE1279" s="4">
        <v>43283.383564814816</v>
      </c>
      <c r="BF1279" s="4">
        <v>43283.383564814816</v>
      </c>
      <c r="BG1279" t="s">
        <v>83</v>
      </c>
      <c r="BH1279" t="s">
        <v>84</v>
      </c>
      <c r="BI1279" t="s">
        <v>85</v>
      </c>
    </row>
    <row r="1280" spans="1:61" x14ac:dyDescent="0.3">
      <c r="A1280" t="str">
        <f>"201683B0100"</f>
        <v>201683B0100</v>
      </c>
      <c r="B1280" t="s">
        <v>2654</v>
      </c>
      <c r="C1280">
        <v>20</v>
      </c>
      <c r="D1280" t="s">
        <v>79</v>
      </c>
      <c r="E1280">
        <v>6</v>
      </c>
      <c r="F1280" t="s">
        <v>2299</v>
      </c>
      <c r="G1280">
        <v>1683</v>
      </c>
      <c r="H1280">
        <v>1</v>
      </c>
      <c r="I1280" t="s">
        <v>81</v>
      </c>
      <c r="J1280">
        <v>0</v>
      </c>
      <c r="K1280">
        <v>2</v>
      </c>
      <c r="L1280">
        <v>2</v>
      </c>
      <c r="M1280">
        <v>151</v>
      </c>
      <c r="N1280">
        <v>217</v>
      </c>
      <c r="O1280">
        <v>8</v>
      </c>
      <c r="P1280">
        <v>217</v>
      </c>
      <c r="Q1280">
        <v>8</v>
      </c>
      <c r="R1280">
        <v>82</v>
      </c>
      <c r="S1280">
        <v>15</v>
      </c>
      <c r="T1280">
        <v>5</v>
      </c>
      <c r="U1280">
        <v>18</v>
      </c>
      <c r="V1280">
        <v>1</v>
      </c>
      <c r="W1280">
        <v>0</v>
      </c>
      <c r="X1280">
        <v>1</v>
      </c>
      <c r="Y1280">
        <v>61</v>
      </c>
      <c r="Z1280">
        <v>6</v>
      </c>
      <c r="AA1280">
        <v>0</v>
      </c>
      <c r="AB1280">
        <v>0</v>
      </c>
      <c r="AC1280">
        <v>1</v>
      </c>
      <c r="AD1280">
        <v>0</v>
      </c>
      <c r="AE1280">
        <v>0</v>
      </c>
      <c r="AF1280">
        <v>0</v>
      </c>
      <c r="AK1280">
        <v>5</v>
      </c>
      <c r="AL1280">
        <v>2</v>
      </c>
      <c r="AM1280">
        <v>0</v>
      </c>
      <c r="AN1280">
        <v>2</v>
      </c>
      <c r="AP1280">
        <v>3</v>
      </c>
      <c r="AT1280">
        <v>0</v>
      </c>
      <c r="AU1280">
        <v>7</v>
      </c>
      <c r="AV1280">
        <v>217</v>
      </c>
      <c r="AW1280">
        <v>217</v>
      </c>
      <c r="AX1280">
        <v>349</v>
      </c>
      <c r="BA1280">
        <v>1</v>
      </c>
      <c r="BC1280" t="s">
        <v>2655</v>
      </c>
      <c r="BD1280" s="4">
        <v>43283.247916666667</v>
      </c>
      <c r="BE1280" s="4">
        <v>43283.273090277777</v>
      </c>
      <c r="BF1280" s="4">
        <v>43283.273090277777</v>
      </c>
      <c r="BG1280" t="s">
        <v>83</v>
      </c>
      <c r="BH1280" t="s">
        <v>84</v>
      </c>
      <c r="BI1280" t="s">
        <v>85</v>
      </c>
    </row>
    <row r="1281" spans="1:61" x14ac:dyDescent="0.3">
      <c r="A1281" t="str">
        <f>"201690B0100"</f>
        <v>201690B0100</v>
      </c>
      <c r="B1281" t="s">
        <v>2656</v>
      </c>
      <c r="C1281">
        <v>20</v>
      </c>
      <c r="D1281" t="s">
        <v>79</v>
      </c>
      <c r="E1281">
        <v>6</v>
      </c>
      <c r="F1281" t="s">
        <v>2299</v>
      </c>
      <c r="G1281">
        <v>1690</v>
      </c>
      <c r="H1281">
        <v>1</v>
      </c>
      <c r="I1281" t="s">
        <v>81</v>
      </c>
      <c r="J1281">
        <v>0</v>
      </c>
      <c r="K1281">
        <v>1</v>
      </c>
      <c r="L1281">
        <v>2</v>
      </c>
      <c r="M1281">
        <v>146</v>
      </c>
      <c r="N1281">
        <v>169</v>
      </c>
      <c r="O1281">
        <v>0</v>
      </c>
      <c r="P1281">
        <v>169</v>
      </c>
      <c r="Q1281">
        <v>7</v>
      </c>
      <c r="R1281">
        <v>59</v>
      </c>
      <c r="S1281">
        <v>9</v>
      </c>
      <c r="T1281">
        <v>2</v>
      </c>
      <c r="U1281">
        <v>4</v>
      </c>
      <c r="V1281">
        <v>1</v>
      </c>
      <c r="W1281">
        <v>1</v>
      </c>
      <c r="X1281">
        <v>10</v>
      </c>
      <c r="Y1281">
        <v>66</v>
      </c>
      <c r="Z1281">
        <v>3</v>
      </c>
      <c r="AA1281">
        <v>0</v>
      </c>
      <c r="AB1281">
        <v>0</v>
      </c>
      <c r="AC1281">
        <v>0</v>
      </c>
      <c r="AD1281">
        <v>2</v>
      </c>
      <c r="AE1281">
        <v>0</v>
      </c>
      <c r="AF1281">
        <v>1</v>
      </c>
      <c r="AK1281">
        <v>0</v>
      </c>
      <c r="AL1281">
        <v>0</v>
      </c>
      <c r="AM1281">
        <v>0</v>
      </c>
      <c r="AN1281">
        <v>1</v>
      </c>
      <c r="AP1281">
        <v>0</v>
      </c>
      <c r="AT1281">
        <v>0</v>
      </c>
      <c r="AU1281">
        <v>3</v>
      </c>
      <c r="AV1281">
        <v>169</v>
      </c>
      <c r="AW1281">
        <v>169</v>
      </c>
      <c r="AX1281">
        <v>293</v>
      </c>
      <c r="BA1281">
        <v>1</v>
      </c>
      <c r="BC1281" t="s">
        <v>2657</v>
      </c>
      <c r="BD1281" s="4">
        <v>43283.428472222222</v>
      </c>
      <c r="BE1281" s="4">
        <v>43283.433796296296</v>
      </c>
      <c r="BF1281" s="4">
        <v>43283.433796296296</v>
      </c>
      <c r="BG1281" t="s">
        <v>83</v>
      </c>
      <c r="BH1281" t="s">
        <v>84</v>
      </c>
      <c r="BI1281" t="s">
        <v>85</v>
      </c>
    </row>
    <row r="1282" spans="1:61" x14ac:dyDescent="0.3">
      <c r="A1282" t="str">
        <f>"201704B0100"</f>
        <v>201704B0100</v>
      </c>
      <c r="B1282" t="s">
        <v>2658</v>
      </c>
      <c r="C1282">
        <v>20</v>
      </c>
      <c r="D1282" t="s">
        <v>79</v>
      </c>
      <c r="E1282">
        <v>6</v>
      </c>
      <c r="F1282" t="s">
        <v>2299</v>
      </c>
      <c r="G1282">
        <v>1704</v>
      </c>
      <c r="H1282">
        <v>1</v>
      </c>
      <c r="I1282" t="s">
        <v>81</v>
      </c>
      <c r="J1282">
        <v>0</v>
      </c>
      <c r="K1282">
        <v>1</v>
      </c>
      <c r="L1282">
        <v>2</v>
      </c>
      <c r="M1282">
        <v>133</v>
      </c>
      <c r="N1282">
        <v>345</v>
      </c>
      <c r="O1282">
        <v>9</v>
      </c>
      <c r="P1282" t="s">
        <v>315</v>
      </c>
      <c r="Q1282">
        <v>20</v>
      </c>
      <c r="R1282">
        <v>102</v>
      </c>
      <c r="S1282">
        <v>137</v>
      </c>
      <c r="T1282">
        <v>2</v>
      </c>
      <c r="U1282">
        <v>3</v>
      </c>
      <c r="V1282">
        <v>4</v>
      </c>
      <c r="W1282">
        <v>4</v>
      </c>
      <c r="X1282">
        <v>0</v>
      </c>
      <c r="Y1282">
        <v>53</v>
      </c>
      <c r="Z1282">
        <v>0</v>
      </c>
      <c r="AA1282">
        <v>0</v>
      </c>
      <c r="AB1282">
        <v>0</v>
      </c>
      <c r="AC1282">
        <v>1</v>
      </c>
      <c r="AD1282">
        <v>2</v>
      </c>
      <c r="AE1282">
        <v>0</v>
      </c>
      <c r="AF1282">
        <v>0</v>
      </c>
      <c r="AK1282">
        <v>0</v>
      </c>
      <c r="AL1282">
        <v>1</v>
      </c>
      <c r="AM1282">
        <v>1</v>
      </c>
      <c r="AN1282">
        <v>0</v>
      </c>
      <c r="AP1282">
        <v>0</v>
      </c>
      <c r="AT1282">
        <v>0</v>
      </c>
      <c r="AU1282">
        <v>15</v>
      </c>
      <c r="AV1282">
        <v>345</v>
      </c>
      <c r="AW1282">
        <v>345</v>
      </c>
      <c r="AX1282">
        <v>456</v>
      </c>
      <c r="BA1282">
        <v>1</v>
      </c>
      <c r="BC1282" t="s">
        <v>2659</v>
      </c>
      <c r="BD1282" s="4">
        <v>43283.405555555553</v>
      </c>
      <c r="BE1282" s="4">
        <v>43283.413136574076</v>
      </c>
      <c r="BF1282" s="4">
        <v>43283.413136574076</v>
      </c>
      <c r="BG1282" t="s">
        <v>83</v>
      </c>
      <c r="BH1282" t="s">
        <v>84</v>
      </c>
      <c r="BI1282" t="s">
        <v>85</v>
      </c>
    </row>
    <row r="1283" spans="1:61" x14ac:dyDescent="0.3">
      <c r="A1283" t="str">
        <f>"201704C0100"</f>
        <v>201704C0100</v>
      </c>
      <c r="B1283" t="s">
        <v>2660</v>
      </c>
      <c r="C1283">
        <v>20</v>
      </c>
      <c r="D1283" t="s">
        <v>79</v>
      </c>
      <c r="E1283">
        <v>6</v>
      </c>
      <c r="F1283" t="s">
        <v>2299</v>
      </c>
      <c r="G1283">
        <v>1704</v>
      </c>
      <c r="H1283">
        <v>1</v>
      </c>
      <c r="I1283" t="s">
        <v>89</v>
      </c>
      <c r="J1283">
        <v>0</v>
      </c>
      <c r="K1283">
        <v>1</v>
      </c>
      <c r="L1283">
        <v>2</v>
      </c>
      <c r="M1283">
        <v>132</v>
      </c>
      <c r="N1283">
        <v>346</v>
      </c>
      <c r="O1283">
        <v>6</v>
      </c>
      <c r="P1283">
        <v>346</v>
      </c>
      <c r="Q1283">
        <v>13</v>
      </c>
      <c r="R1283">
        <v>97</v>
      </c>
      <c r="S1283">
        <v>135</v>
      </c>
      <c r="T1283">
        <v>3</v>
      </c>
      <c r="U1283">
        <v>4</v>
      </c>
      <c r="V1283">
        <v>1</v>
      </c>
      <c r="W1283">
        <v>7</v>
      </c>
      <c r="X1283">
        <v>0</v>
      </c>
      <c r="Y1283">
        <v>60</v>
      </c>
      <c r="Z1283">
        <v>3</v>
      </c>
      <c r="AA1283">
        <v>0</v>
      </c>
      <c r="AB1283">
        <v>1</v>
      </c>
      <c r="AC1283">
        <v>0</v>
      </c>
      <c r="AD1283">
        <v>0</v>
      </c>
      <c r="AE1283">
        <v>0</v>
      </c>
      <c r="AF1283">
        <v>1</v>
      </c>
      <c r="AK1283">
        <v>0</v>
      </c>
      <c r="AL1283">
        <v>0</v>
      </c>
      <c r="AM1283">
        <v>0</v>
      </c>
      <c r="AN1283">
        <v>0</v>
      </c>
      <c r="AP1283">
        <v>2</v>
      </c>
      <c r="AT1283">
        <v>0</v>
      </c>
      <c r="AU1283">
        <v>19</v>
      </c>
      <c r="AV1283">
        <v>346</v>
      </c>
      <c r="AW1283">
        <v>346</v>
      </c>
      <c r="AX1283">
        <v>456</v>
      </c>
      <c r="BA1283">
        <v>1</v>
      </c>
      <c r="BC1283" t="s">
        <v>2661</v>
      </c>
      <c r="BD1283" s="4">
        <v>43283.409722222219</v>
      </c>
      <c r="BE1283" s="4">
        <v>43283.418541666666</v>
      </c>
      <c r="BF1283" s="4">
        <v>43283.418541666666</v>
      </c>
      <c r="BG1283" t="s">
        <v>83</v>
      </c>
      <c r="BH1283" t="s">
        <v>84</v>
      </c>
      <c r="BI1283" t="s">
        <v>85</v>
      </c>
    </row>
    <row r="1284" spans="1:61" x14ac:dyDescent="0.3">
      <c r="A1284" t="str">
        <f>"201705B0100"</f>
        <v>201705B0100</v>
      </c>
      <c r="B1284" t="s">
        <v>2662</v>
      </c>
      <c r="C1284">
        <v>20</v>
      </c>
      <c r="D1284" t="s">
        <v>79</v>
      </c>
      <c r="E1284">
        <v>6</v>
      </c>
      <c r="F1284" t="s">
        <v>2299</v>
      </c>
      <c r="G1284">
        <v>1705</v>
      </c>
      <c r="H1284">
        <v>1</v>
      </c>
      <c r="I1284" t="s">
        <v>81</v>
      </c>
      <c r="J1284">
        <v>0</v>
      </c>
      <c r="K1284">
        <v>1</v>
      </c>
      <c r="L1284">
        <v>2</v>
      </c>
      <c r="M1284">
        <v>133</v>
      </c>
      <c r="N1284">
        <v>273</v>
      </c>
      <c r="O1284">
        <v>1</v>
      </c>
      <c r="P1284">
        <v>272</v>
      </c>
      <c r="Q1284">
        <v>6</v>
      </c>
      <c r="R1284">
        <v>93</v>
      </c>
      <c r="S1284">
        <v>112</v>
      </c>
      <c r="T1284">
        <v>2</v>
      </c>
      <c r="U1284">
        <v>6</v>
      </c>
      <c r="V1284">
        <v>0</v>
      </c>
      <c r="W1284">
        <v>1</v>
      </c>
      <c r="X1284">
        <v>1</v>
      </c>
      <c r="Y1284">
        <v>35</v>
      </c>
      <c r="Z1284">
        <v>2</v>
      </c>
      <c r="AA1284">
        <v>1</v>
      </c>
      <c r="AB1284">
        <v>0</v>
      </c>
      <c r="AC1284">
        <v>0</v>
      </c>
      <c r="AD1284">
        <v>0</v>
      </c>
      <c r="AE1284">
        <v>0</v>
      </c>
      <c r="AF1284">
        <v>2</v>
      </c>
      <c r="AK1284">
        <v>0</v>
      </c>
      <c r="AL1284">
        <v>1</v>
      </c>
      <c r="AM1284">
        <v>0</v>
      </c>
      <c r="AN1284">
        <v>0</v>
      </c>
      <c r="AP1284">
        <v>0</v>
      </c>
      <c r="AT1284">
        <v>0</v>
      </c>
      <c r="AU1284">
        <v>11</v>
      </c>
      <c r="AV1284">
        <v>273</v>
      </c>
      <c r="AW1284">
        <v>273</v>
      </c>
      <c r="AX1284">
        <v>384</v>
      </c>
      <c r="BA1284">
        <v>1</v>
      </c>
      <c r="BC1284" t="s">
        <v>2663</v>
      </c>
      <c r="BD1284" s="4">
        <v>43283.411111111112</v>
      </c>
      <c r="BE1284" s="4">
        <v>43283.420798611114</v>
      </c>
      <c r="BF1284" s="4">
        <v>43283.420798611114</v>
      </c>
      <c r="BG1284" t="s">
        <v>83</v>
      </c>
      <c r="BH1284" t="s">
        <v>84</v>
      </c>
      <c r="BI1284" t="s">
        <v>85</v>
      </c>
    </row>
    <row r="1285" spans="1:61" x14ac:dyDescent="0.3">
      <c r="A1285" t="str">
        <f>"201705C0100"</f>
        <v>201705C0100</v>
      </c>
      <c r="B1285" t="s">
        <v>2664</v>
      </c>
      <c r="C1285">
        <v>20</v>
      </c>
      <c r="D1285" t="s">
        <v>79</v>
      </c>
      <c r="E1285">
        <v>6</v>
      </c>
      <c r="F1285" t="s">
        <v>2299</v>
      </c>
      <c r="G1285">
        <v>1705</v>
      </c>
      <c r="H1285">
        <v>1</v>
      </c>
      <c r="I1285" t="s">
        <v>89</v>
      </c>
      <c r="J1285">
        <v>0</v>
      </c>
      <c r="K1285">
        <v>1</v>
      </c>
      <c r="L1285">
        <v>2</v>
      </c>
      <c r="M1285">
        <v>111</v>
      </c>
      <c r="N1285">
        <v>294</v>
      </c>
      <c r="O1285" t="s">
        <v>315</v>
      </c>
      <c r="P1285">
        <v>294</v>
      </c>
      <c r="Q1285">
        <v>3</v>
      </c>
      <c r="R1285">
        <v>127</v>
      </c>
      <c r="S1285">
        <v>96</v>
      </c>
      <c r="T1285">
        <v>2</v>
      </c>
      <c r="U1285">
        <v>6</v>
      </c>
      <c r="V1285">
        <v>1</v>
      </c>
      <c r="W1285" t="s">
        <v>315</v>
      </c>
      <c r="X1285">
        <v>47</v>
      </c>
      <c r="Y1285">
        <v>3</v>
      </c>
      <c r="Z1285">
        <v>0</v>
      </c>
      <c r="AA1285">
        <v>0</v>
      </c>
      <c r="AB1285" t="s">
        <v>100</v>
      </c>
      <c r="AC1285">
        <v>0</v>
      </c>
      <c r="AD1285">
        <v>0</v>
      </c>
      <c r="AE1285">
        <v>0</v>
      </c>
      <c r="AF1285">
        <v>0</v>
      </c>
      <c r="AK1285">
        <v>0</v>
      </c>
      <c r="AL1285">
        <v>0</v>
      </c>
      <c r="AM1285">
        <v>0</v>
      </c>
      <c r="AN1285">
        <v>0</v>
      </c>
      <c r="AP1285">
        <v>8</v>
      </c>
      <c r="AT1285" t="s">
        <v>315</v>
      </c>
      <c r="AU1285">
        <v>0</v>
      </c>
      <c r="AV1285">
        <v>294</v>
      </c>
      <c r="AW1285">
        <v>293</v>
      </c>
      <c r="AX1285">
        <v>383</v>
      </c>
      <c r="AZ1285" t="s">
        <v>101</v>
      </c>
      <c r="BA1285">
        <v>1</v>
      </c>
      <c r="BC1285" t="s">
        <v>2665</v>
      </c>
      <c r="BD1285" s="4">
        <v>43283.409722222219</v>
      </c>
      <c r="BE1285" s="4">
        <v>43283.420810185184</v>
      </c>
      <c r="BF1285" s="4">
        <v>43283.420810185184</v>
      </c>
      <c r="BG1285" t="s">
        <v>83</v>
      </c>
      <c r="BH1285" t="s">
        <v>84</v>
      </c>
      <c r="BI1285" t="s">
        <v>85</v>
      </c>
    </row>
    <row r="1286" spans="1:61" x14ac:dyDescent="0.3">
      <c r="A1286" t="str">
        <f>"201706B0100"</f>
        <v>201706B0100</v>
      </c>
      <c r="B1286" t="s">
        <v>2666</v>
      </c>
      <c r="C1286">
        <v>20</v>
      </c>
      <c r="D1286" t="s">
        <v>79</v>
      </c>
      <c r="E1286">
        <v>6</v>
      </c>
      <c r="F1286" t="s">
        <v>2299</v>
      </c>
      <c r="G1286">
        <v>1706</v>
      </c>
      <c r="H1286">
        <v>1</v>
      </c>
      <c r="I1286" t="s">
        <v>81</v>
      </c>
      <c r="J1286">
        <v>0</v>
      </c>
      <c r="K1286">
        <v>2</v>
      </c>
      <c r="L1286">
        <v>2</v>
      </c>
      <c r="M1286">
        <v>141</v>
      </c>
      <c r="N1286">
        <v>255</v>
      </c>
      <c r="O1286">
        <v>2</v>
      </c>
      <c r="P1286">
        <v>255</v>
      </c>
      <c r="Q1286">
        <v>7</v>
      </c>
      <c r="R1286">
        <v>85</v>
      </c>
      <c r="S1286">
        <v>128</v>
      </c>
      <c r="T1286">
        <v>1</v>
      </c>
      <c r="U1286">
        <v>1</v>
      </c>
      <c r="V1286">
        <v>0</v>
      </c>
      <c r="W1286">
        <v>0</v>
      </c>
      <c r="X1286">
        <v>0</v>
      </c>
      <c r="Y1286">
        <v>27</v>
      </c>
      <c r="Z1286">
        <v>0</v>
      </c>
      <c r="AA1286">
        <v>0</v>
      </c>
      <c r="AB1286">
        <v>0</v>
      </c>
      <c r="AC1286">
        <v>3</v>
      </c>
      <c r="AD1286">
        <v>0</v>
      </c>
      <c r="AE1286">
        <v>0</v>
      </c>
      <c r="AF1286">
        <v>0</v>
      </c>
      <c r="AK1286">
        <v>0</v>
      </c>
      <c r="AL1286">
        <v>0</v>
      </c>
      <c r="AM1286">
        <v>0</v>
      </c>
      <c r="AN1286">
        <v>0</v>
      </c>
      <c r="AP1286">
        <v>0</v>
      </c>
      <c r="AT1286">
        <v>0</v>
      </c>
      <c r="AU1286">
        <v>3</v>
      </c>
      <c r="AV1286">
        <v>255</v>
      </c>
      <c r="AW1286">
        <v>255</v>
      </c>
      <c r="AX1286">
        <v>374</v>
      </c>
      <c r="BA1286">
        <v>1</v>
      </c>
      <c r="BC1286" t="s">
        <v>2667</v>
      </c>
      <c r="BD1286" s="4">
        <v>43283.40625</v>
      </c>
      <c r="BE1286" s="4">
        <v>43283.412581018521</v>
      </c>
      <c r="BF1286" s="4">
        <v>43283.412581018521</v>
      </c>
      <c r="BG1286" t="s">
        <v>83</v>
      </c>
      <c r="BH1286" t="s">
        <v>84</v>
      </c>
      <c r="BI1286" t="s">
        <v>85</v>
      </c>
    </row>
    <row r="1287" spans="1:61" x14ac:dyDescent="0.3">
      <c r="A1287" t="str">
        <f>"201787B0100"</f>
        <v>201787B0100</v>
      </c>
      <c r="B1287" t="s">
        <v>2668</v>
      </c>
      <c r="C1287">
        <v>20</v>
      </c>
      <c r="D1287" t="s">
        <v>79</v>
      </c>
      <c r="E1287">
        <v>6</v>
      </c>
      <c r="F1287" t="s">
        <v>2299</v>
      </c>
      <c r="G1287">
        <v>1787</v>
      </c>
      <c r="H1287">
        <v>1</v>
      </c>
      <c r="I1287" t="s">
        <v>81</v>
      </c>
      <c r="J1287">
        <v>0</v>
      </c>
      <c r="K1287">
        <v>1</v>
      </c>
      <c r="L1287">
        <v>2</v>
      </c>
      <c r="M1287" t="s">
        <v>100</v>
      </c>
      <c r="N1287" t="s">
        <v>100</v>
      </c>
      <c r="O1287" t="s">
        <v>100</v>
      </c>
      <c r="P1287" t="s">
        <v>100</v>
      </c>
      <c r="Q1287">
        <v>5</v>
      </c>
      <c r="R1287">
        <v>151</v>
      </c>
      <c r="S1287">
        <v>13</v>
      </c>
      <c r="T1287">
        <v>5</v>
      </c>
      <c r="U1287">
        <v>16</v>
      </c>
      <c r="V1287">
        <v>0</v>
      </c>
      <c r="W1287">
        <v>3</v>
      </c>
      <c r="X1287">
        <v>0</v>
      </c>
      <c r="Y1287">
        <v>203</v>
      </c>
      <c r="Z1287">
        <v>3</v>
      </c>
      <c r="AA1287">
        <v>0</v>
      </c>
      <c r="AB1287">
        <v>1</v>
      </c>
      <c r="AC1287">
        <v>0</v>
      </c>
      <c r="AD1287">
        <v>0</v>
      </c>
      <c r="AE1287">
        <v>1</v>
      </c>
      <c r="AF1287">
        <v>0</v>
      </c>
      <c r="AK1287">
        <v>5</v>
      </c>
      <c r="AL1287">
        <v>3</v>
      </c>
      <c r="AM1287">
        <v>0</v>
      </c>
      <c r="AN1287">
        <v>0</v>
      </c>
      <c r="AP1287">
        <v>3</v>
      </c>
      <c r="AT1287">
        <v>0</v>
      </c>
      <c r="AU1287">
        <v>7</v>
      </c>
      <c r="AV1287">
        <v>419</v>
      </c>
      <c r="AW1287">
        <v>419</v>
      </c>
      <c r="AX1287">
        <v>652</v>
      </c>
      <c r="BA1287">
        <v>1</v>
      </c>
      <c r="BC1287" t="s">
        <v>2669</v>
      </c>
      <c r="BD1287" s="4">
        <v>43283.063194444447</v>
      </c>
      <c r="BE1287" s="4">
        <v>43283.067569444444</v>
      </c>
      <c r="BF1287" s="4">
        <v>43283.067569444444</v>
      </c>
      <c r="BG1287" t="s">
        <v>83</v>
      </c>
      <c r="BH1287" t="s">
        <v>84</v>
      </c>
      <c r="BI1287" t="s">
        <v>85</v>
      </c>
    </row>
    <row r="1288" spans="1:61" x14ac:dyDescent="0.3">
      <c r="A1288" t="str">
        <f>"201788B0100"</f>
        <v>201788B0100</v>
      </c>
      <c r="B1288" t="s">
        <v>2670</v>
      </c>
      <c r="C1288">
        <v>20</v>
      </c>
      <c r="D1288" t="s">
        <v>79</v>
      </c>
      <c r="E1288">
        <v>6</v>
      </c>
      <c r="F1288" t="s">
        <v>2299</v>
      </c>
      <c r="G1288">
        <v>1788</v>
      </c>
      <c r="H1288">
        <v>1</v>
      </c>
      <c r="I1288" t="s">
        <v>81</v>
      </c>
      <c r="J1288">
        <v>0</v>
      </c>
      <c r="K1288">
        <v>2</v>
      </c>
      <c r="L1288">
        <v>2</v>
      </c>
      <c r="M1288">
        <v>307</v>
      </c>
      <c r="N1288">
        <v>403</v>
      </c>
      <c r="O1288">
        <v>1</v>
      </c>
      <c r="P1288" t="s">
        <v>315</v>
      </c>
      <c r="Q1288">
        <v>16</v>
      </c>
      <c r="R1288">
        <v>125</v>
      </c>
      <c r="S1288">
        <v>23</v>
      </c>
      <c r="T1288">
        <v>3</v>
      </c>
      <c r="U1288">
        <v>13</v>
      </c>
      <c r="V1288">
        <v>5</v>
      </c>
      <c r="W1288">
        <v>3</v>
      </c>
      <c r="X1288">
        <v>3</v>
      </c>
      <c r="Y1288">
        <v>191</v>
      </c>
      <c r="Z1288">
        <v>2</v>
      </c>
      <c r="AA1288">
        <v>2</v>
      </c>
      <c r="AB1288">
        <v>1</v>
      </c>
      <c r="AC1288">
        <v>0</v>
      </c>
      <c r="AD1288">
        <v>0</v>
      </c>
      <c r="AE1288">
        <v>0</v>
      </c>
      <c r="AF1288">
        <v>0</v>
      </c>
      <c r="AK1288">
        <v>1</v>
      </c>
      <c r="AL1288">
        <v>1</v>
      </c>
      <c r="AM1288">
        <v>0</v>
      </c>
      <c r="AN1288">
        <v>0</v>
      </c>
      <c r="AP1288">
        <v>3</v>
      </c>
      <c r="AT1288">
        <v>0</v>
      </c>
      <c r="AU1288">
        <v>10</v>
      </c>
      <c r="AV1288">
        <v>402</v>
      </c>
      <c r="AW1288">
        <v>402</v>
      </c>
      <c r="AX1288">
        <v>688</v>
      </c>
      <c r="BA1288">
        <v>1</v>
      </c>
      <c r="BC1288" t="s">
        <v>2671</v>
      </c>
      <c r="BD1288" s="4">
        <v>43283.061111111114</v>
      </c>
      <c r="BE1288" s="4">
        <v>43283.086898148147</v>
      </c>
      <c r="BF1288" s="4">
        <v>43283.086898148147</v>
      </c>
      <c r="BG1288" t="s">
        <v>83</v>
      </c>
      <c r="BH1288" t="s">
        <v>84</v>
      </c>
      <c r="BI1288" t="s">
        <v>85</v>
      </c>
    </row>
    <row r="1289" spans="1:61" x14ac:dyDescent="0.3">
      <c r="A1289" t="str">
        <f>"201971B0100"</f>
        <v>201971B0100</v>
      </c>
      <c r="B1289" t="s">
        <v>2672</v>
      </c>
      <c r="C1289">
        <v>20</v>
      </c>
      <c r="D1289" t="s">
        <v>79</v>
      </c>
      <c r="E1289">
        <v>6</v>
      </c>
      <c r="F1289" t="s">
        <v>2299</v>
      </c>
      <c r="G1289">
        <v>1971</v>
      </c>
      <c r="H1289">
        <v>1</v>
      </c>
      <c r="I1289" t="s">
        <v>81</v>
      </c>
      <c r="J1289">
        <v>0</v>
      </c>
      <c r="K1289">
        <v>2</v>
      </c>
      <c r="L1289">
        <v>2</v>
      </c>
      <c r="M1289">
        <v>264</v>
      </c>
      <c r="N1289">
        <v>448</v>
      </c>
      <c r="O1289">
        <v>0</v>
      </c>
      <c r="P1289">
        <v>448</v>
      </c>
      <c r="Q1289">
        <v>139</v>
      </c>
      <c r="R1289">
        <v>216</v>
      </c>
      <c r="S1289">
        <v>14</v>
      </c>
      <c r="T1289">
        <v>2</v>
      </c>
      <c r="U1289">
        <v>0</v>
      </c>
      <c r="V1289">
        <v>2</v>
      </c>
      <c r="W1289">
        <v>0</v>
      </c>
      <c r="X1289">
        <v>2</v>
      </c>
      <c r="Y1289">
        <v>42</v>
      </c>
      <c r="Z1289">
        <v>1</v>
      </c>
      <c r="AA1289">
        <v>0</v>
      </c>
      <c r="AB1289">
        <v>0</v>
      </c>
      <c r="AC1289">
        <v>3</v>
      </c>
      <c r="AD1289">
        <v>2</v>
      </c>
      <c r="AE1289">
        <v>0</v>
      </c>
      <c r="AF1289">
        <v>0</v>
      </c>
      <c r="AK1289">
        <v>3</v>
      </c>
      <c r="AL1289">
        <v>1</v>
      </c>
      <c r="AM1289">
        <v>0</v>
      </c>
      <c r="AN1289">
        <v>0</v>
      </c>
      <c r="AP1289">
        <v>3</v>
      </c>
      <c r="AT1289" t="s">
        <v>100</v>
      </c>
      <c r="AU1289">
        <v>27</v>
      </c>
      <c r="AV1289" t="s">
        <v>100</v>
      </c>
      <c r="AW1289">
        <v>457</v>
      </c>
      <c r="AX1289">
        <v>692</v>
      </c>
      <c r="AZ1289" t="s">
        <v>101</v>
      </c>
      <c r="BA1289">
        <v>1</v>
      </c>
      <c r="BC1289" t="s">
        <v>2673</v>
      </c>
      <c r="BD1289" s="4">
        <v>43283.244444444441</v>
      </c>
      <c r="BE1289" s="4">
        <v>43283.273576388892</v>
      </c>
      <c r="BF1289" s="4">
        <v>43283.273576388892</v>
      </c>
      <c r="BG1289" t="s">
        <v>83</v>
      </c>
      <c r="BH1289" t="s">
        <v>84</v>
      </c>
      <c r="BI1289" t="s">
        <v>85</v>
      </c>
    </row>
    <row r="1290" spans="1:61" x14ac:dyDescent="0.3">
      <c r="A1290" t="str">
        <f>"201971C0100"</f>
        <v>201971C0100</v>
      </c>
      <c r="B1290" t="s">
        <v>2674</v>
      </c>
      <c r="C1290">
        <v>20</v>
      </c>
      <c r="D1290" t="s">
        <v>79</v>
      </c>
      <c r="E1290">
        <v>6</v>
      </c>
      <c r="F1290" t="s">
        <v>2299</v>
      </c>
      <c r="G1290">
        <v>1971</v>
      </c>
      <c r="H1290">
        <v>1</v>
      </c>
      <c r="I1290" t="s">
        <v>89</v>
      </c>
      <c r="J1290">
        <v>0</v>
      </c>
      <c r="K1290">
        <v>2</v>
      </c>
      <c r="L1290">
        <v>2</v>
      </c>
      <c r="M1290">
        <v>250</v>
      </c>
      <c r="N1290">
        <v>0</v>
      </c>
      <c r="O1290">
        <v>0</v>
      </c>
      <c r="P1290">
        <v>464</v>
      </c>
      <c r="Q1290">
        <v>215</v>
      </c>
      <c r="R1290">
        <v>161</v>
      </c>
      <c r="S1290">
        <v>6</v>
      </c>
      <c r="T1290">
        <v>3</v>
      </c>
      <c r="U1290">
        <v>5</v>
      </c>
      <c r="V1290">
        <v>4</v>
      </c>
      <c r="W1290">
        <v>0</v>
      </c>
      <c r="X1290">
        <v>1</v>
      </c>
      <c r="Y1290">
        <v>37</v>
      </c>
      <c r="Z1290">
        <v>0</v>
      </c>
      <c r="AA1290">
        <v>0</v>
      </c>
      <c r="AB1290">
        <v>1</v>
      </c>
      <c r="AC1290">
        <v>2</v>
      </c>
      <c r="AD1290">
        <v>5</v>
      </c>
      <c r="AE1290">
        <v>0</v>
      </c>
      <c r="AF1290">
        <v>0</v>
      </c>
      <c r="AK1290">
        <v>1</v>
      </c>
      <c r="AL1290">
        <v>0</v>
      </c>
      <c r="AM1290">
        <v>0</v>
      </c>
      <c r="AN1290">
        <v>0</v>
      </c>
      <c r="AP1290">
        <v>6</v>
      </c>
      <c r="AT1290">
        <v>0</v>
      </c>
      <c r="AU1290">
        <v>10</v>
      </c>
      <c r="AV1290">
        <v>465</v>
      </c>
      <c r="AW1290">
        <v>457</v>
      </c>
      <c r="AX1290">
        <v>692</v>
      </c>
      <c r="BA1290">
        <v>1</v>
      </c>
      <c r="BC1290" t="s">
        <v>2675</v>
      </c>
      <c r="BD1290" s="4">
        <v>43283.234722222223</v>
      </c>
      <c r="BE1290" s="4">
        <v>43283.269965277781</v>
      </c>
      <c r="BF1290" s="4">
        <v>43283.269965277781</v>
      </c>
      <c r="BG1290" t="s">
        <v>83</v>
      </c>
      <c r="BH1290" t="s">
        <v>84</v>
      </c>
      <c r="BI1290" t="s">
        <v>85</v>
      </c>
    </row>
    <row r="1291" spans="1:61" x14ac:dyDescent="0.3">
      <c r="A1291" t="str">
        <f>"201972B0100"</f>
        <v>201972B0100</v>
      </c>
      <c r="B1291" t="s">
        <v>2676</v>
      </c>
      <c r="C1291">
        <v>20</v>
      </c>
      <c r="D1291" t="s">
        <v>79</v>
      </c>
      <c r="E1291">
        <v>6</v>
      </c>
      <c r="F1291" t="s">
        <v>2299</v>
      </c>
      <c r="G1291">
        <v>1972</v>
      </c>
      <c r="H1291">
        <v>1</v>
      </c>
      <c r="I1291" t="s">
        <v>81</v>
      </c>
      <c r="J1291">
        <v>0</v>
      </c>
      <c r="K1291">
        <v>2</v>
      </c>
      <c r="L1291">
        <v>2</v>
      </c>
      <c r="M1291">
        <v>214</v>
      </c>
      <c r="N1291">
        <v>299</v>
      </c>
      <c r="O1291">
        <v>2</v>
      </c>
      <c r="P1291">
        <v>298</v>
      </c>
      <c r="Q1291">
        <v>67</v>
      </c>
      <c r="R1291">
        <v>171</v>
      </c>
      <c r="S1291">
        <v>6</v>
      </c>
      <c r="T1291">
        <v>2</v>
      </c>
      <c r="U1291">
        <v>7</v>
      </c>
      <c r="V1291">
        <v>3</v>
      </c>
      <c r="W1291">
        <v>1</v>
      </c>
      <c r="X1291">
        <v>1</v>
      </c>
      <c r="Y1291">
        <v>21</v>
      </c>
      <c r="Z1291">
        <v>2</v>
      </c>
      <c r="AA1291">
        <v>0</v>
      </c>
      <c r="AB1291">
        <v>0</v>
      </c>
      <c r="AC1291">
        <v>1</v>
      </c>
      <c r="AD1291">
        <v>1</v>
      </c>
      <c r="AE1291">
        <v>0</v>
      </c>
      <c r="AF1291">
        <v>0</v>
      </c>
      <c r="AK1291">
        <v>3</v>
      </c>
      <c r="AL1291">
        <v>1</v>
      </c>
      <c r="AM1291">
        <v>0</v>
      </c>
      <c r="AN1291">
        <v>1</v>
      </c>
      <c r="AP1291">
        <v>0</v>
      </c>
      <c r="AT1291">
        <v>0</v>
      </c>
      <c r="AU1291">
        <v>10</v>
      </c>
      <c r="AV1291">
        <v>298</v>
      </c>
      <c r="AW1291">
        <v>298</v>
      </c>
      <c r="AX1291">
        <v>494</v>
      </c>
      <c r="BA1291">
        <v>1</v>
      </c>
      <c r="BC1291" t="s">
        <v>2677</v>
      </c>
      <c r="BD1291" s="4">
        <v>43283.234027777777</v>
      </c>
      <c r="BE1291" s="4">
        <v>43283.259479166663</v>
      </c>
      <c r="BF1291" s="4">
        <v>43283.259479166663</v>
      </c>
      <c r="BG1291" t="s">
        <v>83</v>
      </c>
      <c r="BH1291" t="s">
        <v>84</v>
      </c>
      <c r="BI1291" t="s">
        <v>85</v>
      </c>
    </row>
    <row r="1292" spans="1:61" x14ac:dyDescent="0.3">
      <c r="A1292" t="str">
        <f>"201978B0100"</f>
        <v>201978B0100</v>
      </c>
      <c r="B1292" t="s">
        <v>2678</v>
      </c>
      <c r="C1292">
        <v>20</v>
      </c>
      <c r="D1292" t="s">
        <v>79</v>
      </c>
      <c r="E1292">
        <v>6</v>
      </c>
      <c r="F1292" t="s">
        <v>2299</v>
      </c>
      <c r="G1292">
        <v>1978</v>
      </c>
      <c r="H1292">
        <v>1</v>
      </c>
      <c r="I1292" t="s">
        <v>81</v>
      </c>
      <c r="J1292">
        <v>0</v>
      </c>
      <c r="K1292">
        <v>2</v>
      </c>
      <c r="L1292">
        <v>2</v>
      </c>
      <c r="M1292">
        <v>146</v>
      </c>
      <c r="N1292">
        <v>406</v>
      </c>
      <c r="O1292">
        <v>5</v>
      </c>
      <c r="P1292">
        <v>401</v>
      </c>
      <c r="Q1292">
        <v>3</v>
      </c>
      <c r="R1292">
        <v>129</v>
      </c>
      <c r="S1292">
        <v>9</v>
      </c>
      <c r="T1292">
        <v>4</v>
      </c>
      <c r="U1292">
        <v>2</v>
      </c>
      <c r="V1292">
        <v>1</v>
      </c>
      <c r="W1292">
        <v>68</v>
      </c>
      <c r="X1292">
        <v>3</v>
      </c>
      <c r="Y1292">
        <v>146</v>
      </c>
      <c r="Z1292">
        <v>13</v>
      </c>
      <c r="AA1292">
        <v>0</v>
      </c>
      <c r="AB1292">
        <v>1</v>
      </c>
      <c r="AC1292">
        <v>0</v>
      </c>
      <c r="AD1292">
        <v>0</v>
      </c>
      <c r="AE1292">
        <v>0</v>
      </c>
      <c r="AF1292">
        <v>0</v>
      </c>
      <c r="AK1292">
        <v>3</v>
      </c>
      <c r="AL1292">
        <v>2</v>
      </c>
      <c r="AM1292">
        <v>0</v>
      </c>
      <c r="AN1292">
        <v>1</v>
      </c>
      <c r="AP1292">
        <v>3</v>
      </c>
      <c r="AT1292">
        <v>0</v>
      </c>
      <c r="AU1292">
        <v>17</v>
      </c>
      <c r="AV1292">
        <v>405</v>
      </c>
      <c r="AW1292">
        <v>405</v>
      </c>
      <c r="AX1292">
        <v>530</v>
      </c>
      <c r="BA1292">
        <v>1</v>
      </c>
      <c r="BC1292" t="s">
        <v>2679</v>
      </c>
      <c r="BD1292" s="4">
        <v>43283.275000000001</v>
      </c>
      <c r="BE1292" s="4">
        <v>43283.303217592591</v>
      </c>
      <c r="BF1292" s="4">
        <v>43283.303217592591</v>
      </c>
      <c r="BG1292" t="s">
        <v>83</v>
      </c>
      <c r="BH1292" t="s">
        <v>84</v>
      </c>
      <c r="BI1292" t="s">
        <v>85</v>
      </c>
    </row>
    <row r="1293" spans="1:61" x14ac:dyDescent="0.3">
      <c r="A1293" t="str">
        <f>"201978C0100"</f>
        <v>201978C0100</v>
      </c>
      <c r="B1293" t="s">
        <v>2680</v>
      </c>
      <c r="C1293">
        <v>20</v>
      </c>
      <c r="D1293" t="s">
        <v>79</v>
      </c>
      <c r="E1293">
        <v>6</v>
      </c>
      <c r="F1293" t="s">
        <v>2299</v>
      </c>
      <c r="G1293">
        <v>1978</v>
      </c>
      <c r="H1293">
        <v>1</v>
      </c>
      <c r="I1293" t="s">
        <v>89</v>
      </c>
      <c r="J1293">
        <v>0</v>
      </c>
      <c r="K1293">
        <v>2</v>
      </c>
      <c r="L1293">
        <v>2</v>
      </c>
      <c r="M1293">
        <v>125</v>
      </c>
      <c r="N1293">
        <v>425</v>
      </c>
      <c r="O1293">
        <v>1</v>
      </c>
      <c r="P1293">
        <v>427</v>
      </c>
      <c r="Q1293">
        <v>4</v>
      </c>
      <c r="R1293">
        <v>165</v>
      </c>
      <c r="S1293">
        <v>15</v>
      </c>
      <c r="T1293">
        <v>7</v>
      </c>
      <c r="U1293">
        <v>6</v>
      </c>
      <c r="V1293">
        <v>0</v>
      </c>
      <c r="W1293">
        <v>58</v>
      </c>
      <c r="X1293">
        <v>4</v>
      </c>
      <c r="Y1293">
        <v>132</v>
      </c>
      <c r="Z1293">
        <v>15</v>
      </c>
      <c r="AA1293">
        <v>0</v>
      </c>
      <c r="AB1293">
        <v>0</v>
      </c>
      <c r="AC1293">
        <v>0</v>
      </c>
      <c r="AD1293">
        <v>1</v>
      </c>
      <c r="AE1293">
        <v>0</v>
      </c>
      <c r="AF1293">
        <v>0</v>
      </c>
      <c r="AK1293">
        <v>1</v>
      </c>
      <c r="AL1293">
        <v>1</v>
      </c>
      <c r="AM1293">
        <v>0</v>
      </c>
      <c r="AN1293">
        <v>1</v>
      </c>
      <c r="AP1293">
        <v>2</v>
      </c>
      <c r="AT1293">
        <v>0</v>
      </c>
      <c r="AU1293">
        <v>15</v>
      </c>
      <c r="AV1293">
        <v>427</v>
      </c>
      <c r="AW1293">
        <v>427</v>
      </c>
      <c r="AX1293">
        <v>529</v>
      </c>
      <c r="BA1293">
        <v>1</v>
      </c>
      <c r="BC1293" t="s">
        <v>2681</v>
      </c>
      <c r="BD1293" s="4">
        <v>43283.275000000001</v>
      </c>
      <c r="BE1293" s="4">
        <v>43283.322118055556</v>
      </c>
      <c r="BF1293" s="4">
        <v>43283.322118055556</v>
      </c>
      <c r="BG1293" t="s">
        <v>83</v>
      </c>
      <c r="BH1293" t="s">
        <v>84</v>
      </c>
      <c r="BI1293" t="s">
        <v>85</v>
      </c>
    </row>
    <row r="1294" spans="1:61" x14ac:dyDescent="0.3">
      <c r="A1294" t="str">
        <f>"201979B0100"</f>
        <v>201979B0100</v>
      </c>
      <c r="B1294" t="s">
        <v>2682</v>
      </c>
      <c r="C1294">
        <v>20</v>
      </c>
      <c r="D1294" t="s">
        <v>79</v>
      </c>
      <c r="E1294">
        <v>6</v>
      </c>
      <c r="F1294" t="s">
        <v>2299</v>
      </c>
      <c r="G1294">
        <v>1979</v>
      </c>
      <c r="H1294">
        <v>1</v>
      </c>
      <c r="I1294" t="s">
        <v>81</v>
      </c>
      <c r="J1294">
        <v>0</v>
      </c>
      <c r="K1294">
        <v>2</v>
      </c>
      <c r="L1294">
        <v>2</v>
      </c>
      <c r="M1294">
        <v>205</v>
      </c>
      <c r="N1294">
        <v>532</v>
      </c>
      <c r="O1294">
        <v>1</v>
      </c>
      <c r="P1294">
        <v>532</v>
      </c>
      <c r="Q1294">
        <v>13</v>
      </c>
      <c r="R1294">
        <v>197</v>
      </c>
      <c r="S1294">
        <v>18</v>
      </c>
      <c r="T1294">
        <v>8</v>
      </c>
      <c r="U1294">
        <v>6</v>
      </c>
      <c r="V1294">
        <v>4</v>
      </c>
      <c r="W1294">
        <v>70</v>
      </c>
      <c r="X1294">
        <v>2</v>
      </c>
      <c r="Y1294">
        <v>179</v>
      </c>
      <c r="Z1294">
        <v>11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K1294">
        <v>0</v>
      </c>
      <c r="AL1294">
        <v>0</v>
      </c>
      <c r="AM1294">
        <v>0</v>
      </c>
      <c r="AN1294">
        <v>1</v>
      </c>
      <c r="AP1294">
        <v>2</v>
      </c>
      <c r="AT1294">
        <v>0</v>
      </c>
      <c r="AU1294">
        <v>21</v>
      </c>
      <c r="AV1294">
        <v>532</v>
      </c>
      <c r="AW1294">
        <v>532</v>
      </c>
      <c r="AX1294">
        <v>716</v>
      </c>
      <c r="BA1294">
        <v>1</v>
      </c>
      <c r="BC1294" t="s">
        <v>2683</v>
      </c>
      <c r="BD1294" s="4">
        <v>43283.274305555555</v>
      </c>
      <c r="BE1294" s="4">
        <v>43283.301400462966</v>
      </c>
      <c r="BF1294" s="4">
        <v>43283.301400462966</v>
      </c>
      <c r="BG1294" t="s">
        <v>83</v>
      </c>
      <c r="BH1294" t="s">
        <v>84</v>
      </c>
      <c r="BI1294" t="s">
        <v>85</v>
      </c>
    </row>
    <row r="1295" spans="1:61" x14ac:dyDescent="0.3">
      <c r="A1295" t="str">
        <f>"201980B0100"</f>
        <v>201980B0100</v>
      </c>
      <c r="B1295" t="s">
        <v>2684</v>
      </c>
      <c r="C1295">
        <v>20</v>
      </c>
      <c r="D1295" t="s">
        <v>79</v>
      </c>
      <c r="E1295">
        <v>6</v>
      </c>
      <c r="F1295" t="s">
        <v>2299</v>
      </c>
      <c r="G1295">
        <v>1980</v>
      </c>
      <c r="H1295">
        <v>1</v>
      </c>
      <c r="I1295" t="s">
        <v>81</v>
      </c>
      <c r="J1295">
        <v>0</v>
      </c>
      <c r="K1295">
        <v>2</v>
      </c>
      <c r="L1295">
        <v>2</v>
      </c>
      <c r="M1295">
        <v>80</v>
      </c>
      <c r="N1295">
        <v>257</v>
      </c>
      <c r="O1295">
        <v>0</v>
      </c>
      <c r="P1295" t="s">
        <v>100</v>
      </c>
      <c r="Q1295">
        <v>1</v>
      </c>
      <c r="R1295">
        <v>62</v>
      </c>
      <c r="S1295" t="s">
        <v>100</v>
      </c>
      <c r="T1295" t="s">
        <v>100</v>
      </c>
      <c r="U1295">
        <v>4</v>
      </c>
      <c r="V1295">
        <v>1</v>
      </c>
      <c r="W1295">
        <v>118</v>
      </c>
      <c r="X1295">
        <v>1</v>
      </c>
      <c r="Y1295">
        <v>51</v>
      </c>
      <c r="Z1295" t="s">
        <v>100</v>
      </c>
      <c r="AA1295" t="s">
        <v>100</v>
      </c>
      <c r="AB1295">
        <v>1</v>
      </c>
      <c r="AC1295" t="s">
        <v>100</v>
      </c>
      <c r="AD1295" t="s">
        <v>100</v>
      </c>
      <c r="AE1295" t="s">
        <v>100</v>
      </c>
      <c r="AF1295" t="s">
        <v>100</v>
      </c>
      <c r="AK1295" t="s">
        <v>100</v>
      </c>
      <c r="AL1295" t="s">
        <v>100</v>
      </c>
      <c r="AM1295" t="s">
        <v>100</v>
      </c>
      <c r="AN1295" t="s">
        <v>100</v>
      </c>
      <c r="AP1295" t="s">
        <v>100</v>
      </c>
      <c r="AT1295" t="s">
        <v>100</v>
      </c>
      <c r="AU1295">
        <v>18</v>
      </c>
      <c r="AV1295" t="s">
        <v>100</v>
      </c>
      <c r="AW1295">
        <v>257</v>
      </c>
      <c r="AX1295">
        <v>315</v>
      </c>
      <c r="AZ1295" t="s">
        <v>101</v>
      </c>
      <c r="BA1295">
        <v>1</v>
      </c>
      <c r="BC1295" t="s">
        <v>2685</v>
      </c>
      <c r="BD1295" s="4">
        <v>43283.275000000001</v>
      </c>
      <c r="BE1295" s="4">
        <v>43283.301354166666</v>
      </c>
      <c r="BF1295" s="4">
        <v>43283.301354166666</v>
      </c>
      <c r="BG1295" t="s">
        <v>83</v>
      </c>
      <c r="BH1295" t="s">
        <v>84</v>
      </c>
      <c r="BI1295" t="s">
        <v>85</v>
      </c>
    </row>
    <row r="1296" spans="1:61" x14ac:dyDescent="0.3">
      <c r="A1296" t="str">
        <f>"201981B0100"</f>
        <v>201981B0100</v>
      </c>
      <c r="B1296" t="s">
        <v>2686</v>
      </c>
      <c r="C1296">
        <v>20</v>
      </c>
      <c r="D1296" t="s">
        <v>79</v>
      </c>
      <c r="E1296">
        <v>6</v>
      </c>
      <c r="F1296" t="s">
        <v>2299</v>
      </c>
      <c r="G1296">
        <v>1981</v>
      </c>
      <c r="H1296">
        <v>1</v>
      </c>
      <c r="I1296" t="s">
        <v>81</v>
      </c>
      <c r="J1296">
        <v>0</v>
      </c>
      <c r="K1296">
        <v>2</v>
      </c>
      <c r="L1296">
        <v>2</v>
      </c>
      <c r="M1296">
        <v>72</v>
      </c>
      <c r="N1296" t="s">
        <v>100</v>
      </c>
      <c r="O1296" t="s">
        <v>100</v>
      </c>
      <c r="P1296" t="s">
        <v>100</v>
      </c>
      <c r="Q1296">
        <v>2</v>
      </c>
      <c r="R1296">
        <v>65</v>
      </c>
      <c r="S1296">
        <v>7</v>
      </c>
      <c r="T1296">
        <v>4</v>
      </c>
      <c r="U1296">
        <v>1</v>
      </c>
      <c r="V1296">
        <v>0</v>
      </c>
      <c r="W1296">
        <v>25</v>
      </c>
      <c r="X1296">
        <v>0</v>
      </c>
      <c r="Y1296">
        <v>29</v>
      </c>
      <c r="Z1296">
        <v>2</v>
      </c>
      <c r="AA1296">
        <v>0</v>
      </c>
      <c r="AB1296">
        <v>0</v>
      </c>
      <c r="AC1296">
        <v>1</v>
      </c>
      <c r="AD1296" t="s">
        <v>100</v>
      </c>
      <c r="AE1296" t="s">
        <v>100</v>
      </c>
      <c r="AF1296" t="s">
        <v>100</v>
      </c>
      <c r="AK1296" t="s">
        <v>100</v>
      </c>
      <c r="AL1296" t="s">
        <v>100</v>
      </c>
      <c r="AM1296" t="s">
        <v>100</v>
      </c>
      <c r="AN1296">
        <v>1</v>
      </c>
      <c r="AP1296">
        <v>1</v>
      </c>
      <c r="AT1296" t="s">
        <v>100</v>
      </c>
      <c r="AU1296">
        <v>10</v>
      </c>
      <c r="AV1296">
        <v>148</v>
      </c>
      <c r="AW1296">
        <v>148</v>
      </c>
      <c r="AX1296">
        <v>198</v>
      </c>
      <c r="AZ1296" t="s">
        <v>101</v>
      </c>
      <c r="BA1296">
        <v>1</v>
      </c>
      <c r="BC1296" t="s">
        <v>2687</v>
      </c>
      <c r="BD1296" s="4">
        <v>43283.273611111108</v>
      </c>
      <c r="BE1296" s="4">
        <v>43283.316064814811</v>
      </c>
      <c r="BF1296" s="4">
        <v>43283.316064814811</v>
      </c>
      <c r="BG1296" t="s">
        <v>83</v>
      </c>
      <c r="BH1296" t="s">
        <v>84</v>
      </c>
      <c r="BI1296" t="s">
        <v>85</v>
      </c>
    </row>
    <row r="1297" spans="1:61" x14ac:dyDescent="0.3">
      <c r="A1297" t="str">
        <f>"201982B0100"</f>
        <v>201982B0100</v>
      </c>
      <c r="B1297" t="s">
        <v>2688</v>
      </c>
      <c r="C1297">
        <v>20</v>
      </c>
      <c r="D1297" t="s">
        <v>79</v>
      </c>
      <c r="E1297">
        <v>6</v>
      </c>
      <c r="F1297" t="s">
        <v>2299</v>
      </c>
      <c r="G1297">
        <v>1982</v>
      </c>
      <c r="H1297">
        <v>1</v>
      </c>
      <c r="I1297" t="s">
        <v>81</v>
      </c>
      <c r="J1297">
        <v>0</v>
      </c>
      <c r="K1297">
        <v>2</v>
      </c>
      <c r="L1297">
        <v>2</v>
      </c>
      <c r="M1297">
        <v>89</v>
      </c>
      <c r="N1297">
        <v>229</v>
      </c>
      <c r="O1297">
        <v>1</v>
      </c>
      <c r="P1297">
        <v>229</v>
      </c>
      <c r="Q1297">
        <v>3</v>
      </c>
      <c r="R1297">
        <v>71</v>
      </c>
      <c r="S1297">
        <v>1</v>
      </c>
      <c r="T1297">
        <v>3</v>
      </c>
      <c r="U1297">
        <v>3</v>
      </c>
      <c r="V1297">
        <v>1</v>
      </c>
      <c r="W1297">
        <v>58</v>
      </c>
      <c r="X1297">
        <v>0</v>
      </c>
      <c r="Y1297">
        <v>69</v>
      </c>
      <c r="Z1297">
        <v>1</v>
      </c>
      <c r="AA1297">
        <v>1</v>
      </c>
      <c r="AB1297">
        <v>1</v>
      </c>
      <c r="AC1297">
        <v>0</v>
      </c>
      <c r="AD1297">
        <v>0</v>
      </c>
      <c r="AE1297">
        <v>0</v>
      </c>
      <c r="AF1297">
        <v>0</v>
      </c>
      <c r="AK1297">
        <v>0</v>
      </c>
      <c r="AL1297">
        <v>0</v>
      </c>
      <c r="AM1297">
        <v>0</v>
      </c>
      <c r="AN1297">
        <v>0</v>
      </c>
      <c r="AP1297">
        <v>0</v>
      </c>
      <c r="AT1297">
        <v>0</v>
      </c>
      <c r="AU1297">
        <v>17</v>
      </c>
      <c r="AV1297">
        <v>229</v>
      </c>
      <c r="AW1297">
        <v>229</v>
      </c>
      <c r="AX1297">
        <v>296</v>
      </c>
      <c r="BA1297">
        <v>1</v>
      </c>
      <c r="BC1297" t="s">
        <v>2689</v>
      </c>
      <c r="BD1297" s="4">
        <v>43283.274305555555</v>
      </c>
      <c r="BE1297" s="4">
        <v>43283.301203703704</v>
      </c>
      <c r="BF1297" s="4">
        <v>43283.301203703704</v>
      </c>
      <c r="BG1297" t="s">
        <v>83</v>
      </c>
      <c r="BH1297" t="s">
        <v>84</v>
      </c>
      <c r="BI1297" t="s">
        <v>85</v>
      </c>
    </row>
    <row r="1298" spans="1:61" x14ac:dyDescent="0.3">
      <c r="A1298" t="str">
        <f>"201983B0100"</f>
        <v>201983B0100</v>
      </c>
      <c r="B1298" t="s">
        <v>2690</v>
      </c>
      <c r="C1298">
        <v>20</v>
      </c>
      <c r="D1298" t="s">
        <v>79</v>
      </c>
      <c r="E1298">
        <v>6</v>
      </c>
      <c r="F1298" t="s">
        <v>2299</v>
      </c>
      <c r="G1298">
        <v>1983</v>
      </c>
      <c r="H1298">
        <v>1</v>
      </c>
      <c r="I1298" t="s">
        <v>81</v>
      </c>
      <c r="J1298">
        <v>0</v>
      </c>
      <c r="K1298">
        <v>2</v>
      </c>
      <c r="L1298">
        <v>2</v>
      </c>
      <c r="M1298">
        <v>52</v>
      </c>
      <c r="N1298">
        <v>162</v>
      </c>
      <c r="O1298">
        <v>7</v>
      </c>
      <c r="P1298">
        <v>162</v>
      </c>
      <c r="Q1298">
        <v>6</v>
      </c>
      <c r="R1298">
        <v>43</v>
      </c>
      <c r="S1298">
        <v>3</v>
      </c>
      <c r="T1298">
        <v>0</v>
      </c>
      <c r="U1298">
        <v>3</v>
      </c>
      <c r="V1298">
        <v>0</v>
      </c>
      <c r="W1298">
        <v>33</v>
      </c>
      <c r="X1298">
        <v>0</v>
      </c>
      <c r="Y1298">
        <v>56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K1298">
        <v>1</v>
      </c>
      <c r="AL1298">
        <v>0</v>
      </c>
      <c r="AM1298">
        <v>0</v>
      </c>
      <c r="AN1298">
        <v>0</v>
      </c>
      <c r="AP1298">
        <v>4</v>
      </c>
      <c r="AT1298">
        <v>0</v>
      </c>
      <c r="AU1298">
        <v>13</v>
      </c>
      <c r="AV1298">
        <v>162</v>
      </c>
      <c r="AW1298">
        <v>162</v>
      </c>
      <c r="AX1298">
        <v>192</v>
      </c>
      <c r="BA1298">
        <v>1</v>
      </c>
      <c r="BC1298" t="s">
        <v>2691</v>
      </c>
      <c r="BD1298" s="4">
        <v>43283.17083333333</v>
      </c>
      <c r="BE1298" s="4">
        <v>43283.183738425927</v>
      </c>
      <c r="BF1298" s="4">
        <v>43283.183738425927</v>
      </c>
      <c r="BG1298" t="s">
        <v>83</v>
      </c>
      <c r="BH1298" t="s">
        <v>84</v>
      </c>
      <c r="BI1298" t="s">
        <v>85</v>
      </c>
    </row>
    <row r="1299" spans="1:61" x14ac:dyDescent="0.3">
      <c r="A1299" t="str">
        <f>"201984B0100"</f>
        <v>201984B0100</v>
      </c>
      <c r="B1299" t="s">
        <v>2692</v>
      </c>
      <c r="C1299">
        <v>20</v>
      </c>
      <c r="D1299" t="s">
        <v>79</v>
      </c>
      <c r="E1299">
        <v>6</v>
      </c>
      <c r="F1299" t="s">
        <v>2299</v>
      </c>
      <c r="G1299">
        <v>1984</v>
      </c>
      <c r="H1299">
        <v>1</v>
      </c>
      <c r="I1299" t="s">
        <v>81</v>
      </c>
      <c r="J1299">
        <v>0</v>
      </c>
      <c r="K1299">
        <v>2</v>
      </c>
      <c r="L1299">
        <v>2</v>
      </c>
      <c r="M1299">
        <v>41</v>
      </c>
      <c r="N1299">
        <v>88</v>
      </c>
      <c r="O1299">
        <v>2</v>
      </c>
      <c r="P1299">
        <v>88</v>
      </c>
      <c r="Q1299">
        <v>0</v>
      </c>
      <c r="R1299">
        <v>18</v>
      </c>
      <c r="S1299">
        <v>1</v>
      </c>
      <c r="T1299">
        <v>0</v>
      </c>
      <c r="U1299">
        <v>1</v>
      </c>
      <c r="V1299">
        <v>0</v>
      </c>
      <c r="W1299">
        <v>43</v>
      </c>
      <c r="X1299">
        <v>0</v>
      </c>
      <c r="Y1299">
        <v>22</v>
      </c>
      <c r="Z1299">
        <v>1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K1299">
        <v>0</v>
      </c>
      <c r="AL1299">
        <v>0</v>
      </c>
      <c r="AM1299">
        <v>0</v>
      </c>
      <c r="AN1299">
        <v>0</v>
      </c>
      <c r="AP1299">
        <v>0</v>
      </c>
      <c r="AT1299">
        <v>0</v>
      </c>
      <c r="AU1299">
        <v>2</v>
      </c>
      <c r="AV1299">
        <v>88</v>
      </c>
      <c r="AW1299">
        <v>88</v>
      </c>
      <c r="AX1299">
        <v>107</v>
      </c>
      <c r="BA1299">
        <v>1</v>
      </c>
      <c r="BC1299" t="s">
        <v>2693</v>
      </c>
      <c r="BD1299" s="4">
        <v>43283.17083333333</v>
      </c>
      <c r="BE1299" s="4">
        <v>43283.185196759259</v>
      </c>
      <c r="BF1299" s="4">
        <v>43283.185196759259</v>
      </c>
      <c r="BG1299" t="s">
        <v>83</v>
      </c>
      <c r="BH1299" t="s">
        <v>84</v>
      </c>
      <c r="BI1299" t="s">
        <v>85</v>
      </c>
    </row>
    <row r="1300" spans="1:61" x14ac:dyDescent="0.3">
      <c r="A1300" t="str">
        <f>"201985B0100"</f>
        <v>201985B0100</v>
      </c>
      <c r="B1300" t="s">
        <v>2694</v>
      </c>
      <c r="C1300">
        <v>20</v>
      </c>
      <c r="D1300" t="s">
        <v>79</v>
      </c>
      <c r="E1300">
        <v>6</v>
      </c>
      <c r="F1300" t="s">
        <v>2299</v>
      </c>
      <c r="G1300">
        <v>1985</v>
      </c>
      <c r="H1300">
        <v>1</v>
      </c>
      <c r="I1300" t="s">
        <v>81</v>
      </c>
      <c r="J1300">
        <v>0</v>
      </c>
      <c r="K1300">
        <v>2</v>
      </c>
      <c r="L1300">
        <v>2</v>
      </c>
      <c r="M1300">
        <v>70</v>
      </c>
      <c r="N1300" t="s">
        <v>315</v>
      </c>
      <c r="O1300">
        <v>0</v>
      </c>
      <c r="P1300">
        <v>171</v>
      </c>
      <c r="Q1300">
        <v>2</v>
      </c>
      <c r="R1300">
        <v>32</v>
      </c>
      <c r="S1300">
        <v>5</v>
      </c>
      <c r="T1300">
        <v>0</v>
      </c>
      <c r="U1300">
        <v>17</v>
      </c>
      <c r="V1300">
        <v>1</v>
      </c>
      <c r="W1300">
        <v>35</v>
      </c>
      <c r="X1300">
        <v>3</v>
      </c>
      <c r="Y1300">
        <v>62</v>
      </c>
      <c r="Z1300">
        <v>1</v>
      </c>
      <c r="AA1300">
        <v>0</v>
      </c>
      <c r="AB1300">
        <v>2</v>
      </c>
      <c r="AC1300">
        <v>0</v>
      </c>
      <c r="AD1300">
        <v>0</v>
      </c>
      <c r="AE1300">
        <v>0</v>
      </c>
      <c r="AF1300">
        <v>0</v>
      </c>
      <c r="AK1300">
        <v>1</v>
      </c>
      <c r="AL1300">
        <v>1</v>
      </c>
      <c r="AM1300">
        <v>0</v>
      </c>
      <c r="AN1300">
        <v>0</v>
      </c>
      <c r="AP1300">
        <v>0</v>
      </c>
      <c r="AT1300">
        <v>0</v>
      </c>
      <c r="AU1300">
        <v>9</v>
      </c>
      <c r="AV1300">
        <v>171</v>
      </c>
      <c r="AW1300">
        <v>171</v>
      </c>
      <c r="AX1300">
        <v>219</v>
      </c>
      <c r="BA1300">
        <v>1</v>
      </c>
      <c r="BC1300" t="s">
        <v>2695</v>
      </c>
      <c r="BD1300" s="4">
        <v>43283.170138888891</v>
      </c>
      <c r="BE1300" s="4">
        <v>43283.186678240738</v>
      </c>
      <c r="BF1300" s="4">
        <v>43283.186678240738</v>
      </c>
      <c r="BG1300" t="s">
        <v>83</v>
      </c>
      <c r="BH1300" t="s">
        <v>84</v>
      </c>
      <c r="BI1300" t="s">
        <v>85</v>
      </c>
    </row>
    <row r="1301" spans="1:61" x14ac:dyDescent="0.3">
      <c r="A1301" t="str">
        <f>"201986B0100"</f>
        <v>201986B0100</v>
      </c>
      <c r="B1301" t="s">
        <v>2696</v>
      </c>
      <c r="C1301">
        <v>20</v>
      </c>
      <c r="D1301" t="s">
        <v>79</v>
      </c>
      <c r="E1301">
        <v>6</v>
      </c>
      <c r="F1301" t="s">
        <v>2299</v>
      </c>
      <c r="G1301">
        <v>1986</v>
      </c>
      <c r="H1301">
        <v>1</v>
      </c>
      <c r="I1301" t="s">
        <v>81</v>
      </c>
      <c r="J1301">
        <v>0</v>
      </c>
      <c r="K1301">
        <v>2</v>
      </c>
      <c r="L1301">
        <v>2</v>
      </c>
      <c r="M1301">
        <v>80</v>
      </c>
      <c r="N1301">
        <v>226</v>
      </c>
      <c r="O1301">
        <v>2</v>
      </c>
      <c r="P1301">
        <v>1</v>
      </c>
      <c r="Q1301">
        <v>8</v>
      </c>
      <c r="R1301">
        <v>3</v>
      </c>
      <c r="S1301">
        <v>8</v>
      </c>
      <c r="T1301">
        <v>2</v>
      </c>
      <c r="U1301">
        <v>2</v>
      </c>
      <c r="V1301">
        <v>1</v>
      </c>
      <c r="W1301">
        <v>70</v>
      </c>
      <c r="X1301">
        <v>2</v>
      </c>
      <c r="Y1301">
        <v>40</v>
      </c>
      <c r="Z1301">
        <v>5</v>
      </c>
      <c r="AA1301">
        <v>0</v>
      </c>
      <c r="AB1301">
        <v>1</v>
      </c>
      <c r="AC1301">
        <v>0</v>
      </c>
      <c r="AD1301">
        <v>0</v>
      </c>
      <c r="AE1301">
        <v>0</v>
      </c>
      <c r="AF1301">
        <v>0</v>
      </c>
      <c r="AK1301">
        <v>1</v>
      </c>
      <c r="AL1301">
        <v>0</v>
      </c>
      <c r="AM1301">
        <v>0</v>
      </c>
      <c r="AN1301">
        <v>0</v>
      </c>
      <c r="AP1301">
        <v>9</v>
      </c>
      <c r="AT1301">
        <v>0</v>
      </c>
      <c r="AU1301">
        <v>14</v>
      </c>
      <c r="AV1301">
        <v>226</v>
      </c>
      <c r="AW1301">
        <v>166</v>
      </c>
      <c r="AX1301">
        <v>284</v>
      </c>
      <c r="BA1301">
        <v>1</v>
      </c>
      <c r="BC1301" t="s">
        <v>2697</v>
      </c>
      <c r="BD1301" s="4">
        <v>43283.25</v>
      </c>
      <c r="BE1301" s="4">
        <v>43283.276562500003</v>
      </c>
      <c r="BF1301" s="4">
        <v>43283.276562500003</v>
      </c>
      <c r="BG1301" t="s">
        <v>83</v>
      </c>
      <c r="BH1301" t="s">
        <v>84</v>
      </c>
      <c r="BI1301" t="s">
        <v>85</v>
      </c>
    </row>
    <row r="1302" spans="1:61" x14ac:dyDescent="0.3">
      <c r="A1302" t="str">
        <f>"201993B0100"</f>
        <v>201993B0100</v>
      </c>
      <c r="B1302" t="s">
        <v>2698</v>
      </c>
      <c r="C1302">
        <v>20</v>
      </c>
      <c r="D1302" t="s">
        <v>79</v>
      </c>
      <c r="E1302">
        <v>6</v>
      </c>
      <c r="F1302" t="s">
        <v>2299</v>
      </c>
      <c r="G1302">
        <v>1993</v>
      </c>
      <c r="H1302">
        <v>1</v>
      </c>
      <c r="I1302" t="s">
        <v>81</v>
      </c>
      <c r="J1302">
        <v>0</v>
      </c>
      <c r="K1302">
        <v>2</v>
      </c>
      <c r="L1302">
        <v>2</v>
      </c>
      <c r="M1302">
        <v>162</v>
      </c>
      <c r="N1302">
        <v>183</v>
      </c>
      <c r="O1302">
        <v>0</v>
      </c>
      <c r="P1302">
        <v>0</v>
      </c>
      <c r="Q1302">
        <v>2</v>
      </c>
      <c r="R1302">
        <v>58</v>
      </c>
      <c r="S1302">
        <v>10</v>
      </c>
      <c r="T1302">
        <v>2</v>
      </c>
      <c r="U1302">
        <v>9</v>
      </c>
      <c r="V1302">
        <v>1</v>
      </c>
      <c r="W1302">
        <v>1</v>
      </c>
      <c r="X1302">
        <v>2</v>
      </c>
      <c r="Y1302">
        <v>82</v>
      </c>
      <c r="Z1302">
        <v>3</v>
      </c>
      <c r="AA1302">
        <v>0</v>
      </c>
      <c r="AB1302">
        <v>1</v>
      </c>
      <c r="AC1302">
        <v>0</v>
      </c>
      <c r="AD1302">
        <v>0</v>
      </c>
      <c r="AE1302">
        <v>0</v>
      </c>
      <c r="AF1302">
        <v>0</v>
      </c>
      <c r="AK1302">
        <v>3</v>
      </c>
      <c r="AL1302">
        <v>1</v>
      </c>
      <c r="AM1302">
        <v>0</v>
      </c>
      <c r="AN1302">
        <v>0</v>
      </c>
      <c r="AP1302">
        <v>1</v>
      </c>
      <c r="AT1302">
        <v>0</v>
      </c>
      <c r="AU1302">
        <v>7</v>
      </c>
      <c r="AV1302">
        <v>183</v>
      </c>
      <c r="AW1302">
        <v>183</v>
      </c>
      <c r="AX1302">
        <v>323</v>
      </c>
      <c r="BA1302">
        <v>1</v>
      </c>
      <c r="BC1302" t="s">
        <v>2699</v>
      </c>
      <c r="BD1302" s="4">
        <v>43283.431250000001</v>
      </c>
      <c r="BE1302" s="4">
        <v>43283.45820601852</v>
      </c>
      <c r="BF1302" s="4">
        <v>43283.45820601852</v>
      </c>
      <c r="BG1302" t="s">
        <v>83</v>
      </c>
      <c r="BH1302" t="s">
        <v>84</v>
      </c>
      <c r="BI1302" t="s">
        <v>85</v>
      </c>
    </row>
    <row r="1303" spans="1:61" x14ac:dyDescent="0.3">
      <c r="A1303" t="str">
        <f>"201994B0100"</f>
        <v>201994B0100</v>
      </c>
      <c r="B1303" t="s">
        <v>2700</v>
      </c>
      <c r="C1303">
        <v>20</v>
      </c>
      <c r="D1303" t="s">
        <v>79</v>
      </c>
      <c r="E1303">
        <v>6</v>
      </c>
      <c r="F1303" t="s">
        <v>2299</v>
      </c>
      <c r="G1303">
        <v>1994</v>
      </c>
      <c r="H1303">
        <v>1</v>
      </c>
      <c r="I1303" t="s">
        <v>81</v>
      </c>
      <c r="J1303">
        <v>0</v>
      </c>
      <c r="K1303">
        <v>2</v>
      </c>
      <c r="L1303">
        <v>2</v>
      </c>
      <c r="M1303">
        <v>138</v>
      </c>
      <c r="N1303">
        <v>71</v>
      </c>
      <c r="O1303">
        <v>5</v>
      </c>
      <c r="P1303">
        <v>71</v>
      </c>
      <c r="Q1303">
        <v>2</v>
      </c>
      <c r="R1303">
        <v>17</v>
      </c>
      <c r="S1303">
        <v>5</v>
      </c>
      <c r="T1303">
        <v>3</v>
      </c>
      <c r="U1303">
        <v>5</v>
      </c>
      <c r="V1303">
        <v>4</v>
      </c>
      <c r="W1303">
        <v>4</v>
      </c>
      <c r="X1303">
        <v>1</v>
      </c>
      <c r="Y1303">
        <v>21</v>
      </c>
      <c r="Z1303">
        <v>2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K1303">
        <v>0</v>
      </c>
      <c r="AL1303">
        <v>0</v>
      </c>
      <c r="AM1303">
        <v>0</v>
      </c>
      <c r="AN1303">
        <v>0</v>
      </c>
      <c r="AP1303">
        <v>0</v>
      </c>
      <c r="AT1303">
        <v>0</v>
      </c>
      <c r="AU1303">
        <v>7</v>
      </c>
      <c r="AV1303">
        <v>71</v>
      </c>
      <c r="AW1303">
        <v>71</v>
      </c>
      <c r="AX1303">
        <v>188</v>
      </c>
      <c r="BA1303">
        <v>1</v>
      </c>
      <c r="BC1303" t="s">
        <v>2701</v>
      </c>
      <c r="BD1303" s="4">
        <v>43283.48541666667</v>
      </c>
      <c r="BE1303" s="4">
        <v>43283.489918981482</v>
      </c>
      <c r="BF1303" s="4">
        <v>43283.489918981482</v>
      </c>
      <c r="BG1303" t="s">
        <v>83</v>
      </c>
      <c r="BH1303" t="s">
        <v>84</v>
      </c>
      <c r="BI1303" t="s">
        <v>85</v>
      </c>
    </row>
    <row r="1304" spans="1:61" x14ac:dyDescent="0.3">
      <c r="A1304" t="str">
        <f>"201995B0100"</f>
        <v>201995B0100</v>
      </c>
      <c r="B1304" t="s">
        <v>2702</v>
      </c>
      <c r="C1304">
        <v>20</v>
      </c>
      <c r="D1304" t="s">
        <v>79</v>
      </c>
      <c r="E1304">
        <v>6</v>
      </c>
      <c r="F1304" t="s">
        <v>2299</v>
      </c>
      <c r="G1304">
        <v>1995</v>
      </c>
      <c r="H1304">
        <v>1</v>
      </c>
      <c r="I1304" t="s">
        <v>81</v>
      </c>
      <c r="J1304">
        <v>0</v>
      </c>
      <c r="K1304">
        <v>2</v>
      </c>
      <c r="L1304">
        <v>2</v>
      </c>
      <c r="M1304">
        <v>185</v>
      </c>
      <c r="N1304">
        <v>403</v>
      </c>
      <c r="O1304">
        <v>0</v>
      </c>
      <c r="P1304">
        <v>403</v>
      </c>
      <c r="Q1304">
        <v>66</v>
      </c>
      <c r="R1304">
        <v>81</v>
      </c>
      <c r="S1304">
        <v>22</v>
      </c>
      <c r="T1304">
        <v>14</v>
      </c>
      <c r="U1304">
        <v>32</v>
      </c>
      <c r="V1304">
        <v>4</v>
      </c>
      <c r="W1304">
        <v>3</v>
      </c>
      <c r="X1304">
        <v>21</v>
      </c>
      <c r="Y1304">
        <v>86</v>
      </c>
      <c r="Z1304">
        <v>4</v>
      </c>
      <c r="AA1304">
        <v>32</v>
      </c>
      <c r="AB1304">
        <v>4</v>
      </c>
      <c r="AC1304">
        <v>3</v>
      </c>
      <c r="AD1304">
        <v>1</v>
      </c>
      <c r="AE1304">
        <v>1</v>
      </c>
      <c r="AF1304">
        <v>0</v>
      </c>
      <c r="AK1304">
        <v>2</v>
      </c>
      <c r="AL1304">
        <v>0</v>
      </c>
      <c r="AM1304">
        <v>0</v>
      </c>
      <c r="AN1304">
        <v>0</v>
      </c>
      <c r="AP1304">
        <v>1</v>
      </c>
      <c r="AT1304">
        <v>0</v>
      </c>
      <c r="AU1304">
        <v>26</v>
      </c>
      <c r="AV1304">
        <v>403</v>
      </c>
      <c r="AW1304">
        <v>403</v>
      </c>
      <c r="AX1304">
        <v>566</v>
      </c>
      <c r="BA1304">
        <v>1</v>
      </c>
      <c r="BC1304" t="s">
        <v>2703</v>
      </c>
      <c r="BD1304" s="4">
        <v>43283.306250000001</v>
      </c>
      <c r="BE1304" s="4">
        <v>43283.335312499999</v>
      </c>
      <c r="BF1304" s="4">
        <v>43283.335312499999</v>
      </c>
      <c r="BG1304" t="s">
        <v>83</v>
      </c>
      <c r="BH1304" t="s">
        <v>84</v>
      </c>
      <c r="BI1304" t="s">
        <v>85</v>
      </c>
    </row>
    <row r="1305" spans="1:61" x14ac:dyDescent="0.3">
      <c r="A1305" t="str">
        <f>"201995C0100"</f>
        <v>201995C0100</v>
      </c>
      <c r="B1305" t="s">
        <v>2704</v>
      </c>
      <c r="C1305">
        <v>20</v>
      </c>
      <c r="D1305" t="s">
        <v>79</v>
      </c>
      <c r="E1305">
        <v>6</v>
      </c>
      <c r="F1305" t="s">
        <v>2299</v>
      </c>
      <c r="G1305">
        <v>1995</v>
      </c>
      <c r="H1305">
        <v>1</v>
      </c>
      <c r="I1305" t="s">
        <v>89</v>
      </c>
      <c r="J1305">
        <v>0</v>
      </c>
      <c r="K1305">
        <v>2</v>
      </c>
      <c r="L1305">
        <v>2</v>
      </c>
      <c r="M1305">
        <v>151</v>
      </c>
      <c r="N1305">
        <v>0</v>
      </c>
      <c r="O1305">
        <v>0</v>
      </c>
      <c r="P1305">
        <v>0</v>
      </c>
      <c r="Q1305">
        <v>63</v>
      </c>
      <c r="R1305">
        <v>113</v>
      </c>
      <c r="S1305">
        <v>11</v>
      </c>
      <c r="T1305">
        <v>6</v>
      </c>
      <c r="U1305">
        <v>28</v>
      </c>
      <c r="V1305">
        <v>4</v>
      </c>
      <c r="W1305">
        <v>3</v>
      </c>
      <c r="X1305">
        <v>27</v>
      </c>
      <c r="Y1305">
        <v>107</v>
      </c>
      <c r="Z1305">
        <v>3</v>
      </c>
      <c r="AA1305">
        <v>36</v>
      </c>
      <c r="AB1305">
        <v>4</v>
      </c>
      <c r="AC1305">
        <v>2</v>
      </c>
      <c r="AD1305">
        <v>1</v>
      </c>
      <c r="AE1305" t="s">
        <v>100</v>
      </c>
      <c r="AF1305" t="s">
        <v>100</v>
      </c>
      <c r="AK1305" t="s">
        <v>100</v>
      </c>
      <c r="AL1305" t="s">
        <v>100</v>
      </c>
      <c r="AM1305" t="s">
        <v>100</v>
      </c>
      <c r="AN1305" t="s">
        <v>100</v>
      </c>
      <c r="AP1305" t="s">
        <v>100</v>
      </c>
      <c r="AT1305" t="s">
        <v>100</v>
      </c>
      <c r="AU1305">
        <v>29</v>
      </c>
      <c r="AV1305">
        <v>437</v>
      </c>
      <c r="AW1305">
        <v>437</v>
      </c>
      <c r="AX1305">
        <v>566</v>
      </c>
      <c r="AZ1305" t="s">
        <v>101</v>
      </c>
      <c r="BA1305">
        <v>1</v>
      </c>
      <c r="BC1305" t="s">
        <v>2705</v>
      </c>
      <c r="BD1305" s="4">
        <v>43283.305555555555</v>
      </c>
      <c r="BE1305" s="4">
        <v>43283.331134259257</v>
      </c>
      <c r="BF1305" s="4">
        <v>43283.331134259257</v>
      </c>
      <c r="BG1305" t="s">
        <v>83</v>
      </c>
      <c r="BH1305" t="s">
        <v>84</v>
      </c>
      <c r="BI1305" t="s">
        <v>85</v>
      </c>
    </row>
    <row r="1306" spans="1:61" x14ac:dyDescent="0.3">
      <c r="A1306" t="str">
        <f>"201995C0200"</f>
        <v>201995C0200</v>
      </c>
      <c r="B1306" t="s">
        <v>2706</v>
      </c>
      <c r="C1306">
        <v>20</v>
      </c>
      <c r="D1306" t="s">
        <v>79</v>
      </c>
      <c r="E1306">
        <v>6</v>
      </c>
      <c r="F1306" t="s">
        <v>2299</v>
      </c>
      <c r="G1306">
        <v>1995</v>
      </c>
      <c r="H1306">
        <v>2</v>
      </c>
      <c r="I1306" t="s">
        <v>89</v>
      </c>
      <c r="J1306">
        <v>0</v>
      </c>
      <c r="K1306">
        <v>2</v>
      </c>
      <c r="L1306">
        <v>2</v>
      </c>
      <c r="M1306" t="s">
        <v>315</v>
      </c>
      <c r="N1306">
        <v>422</v>
      </c>
      <c r="O1306">
        <v>0</v>
      </c>
      <c r="P1306">
        <v>422</v>
      </c>
      <c r="Q1306">
        <v>78</v>
      </c>
      <c r="R1306">
        <v>98</v>
      </c>
      <c r="S1306">
        <v>8</v>
      </c>
      <c r="T1306">
        <v>2</v>
      </c>
      <c r="U1306">
        <v>27</v>
      </c>
      <c r="V1306">
        <v>4</v>
      </c>
      <c r="W1306">
        <v>5</v>
      </c>
      <c r="X1306">
        <v>20</v>
      </c>
      <c r="Y1306">
        <v>111</v>
      </c>
      <c r="Z1306">
        <v>3</v>
      </c>
      <c r="AA1306">
        <v>36</v>
      </c>
      <c r="AB1306">
        <v>5</v>
      </c>
      <c r="AC1306">
        <v>0</v>
      </c>
      <c r="AD1306">
        <v>1</v>
      </c>
      <c r="AE1306">
        <v>0</v>
      </c>
      <c r="AF1306">
        <v>0</v>
      </c>
      <c r="AK1306">
        <v>1</v>
      </c>
      <c r="AL1306">
        <v>0</v>
      </c>
      <c r="AM1306">
        <v>0</v>
      </c>
      <c r="AN1306">
        <v>0</v>
      </c>
      <c r="AP1306">
        <v>2</v>
      </c>
      <c r="AT1306">
        <v>0</v>
      </c>
      <c r="AU1306">
        <v>21</v>
      </c>
      <c r="AV1306">
        <v>422</v>
      </c>
      <c r="AW1306">
        <v>422</v>
      </c>
      <c r="AX1306">
        <v>566</v>
      </c>
      <c r="BA1306">
        <v>1</v>
      </c>
      <c r="BC1306" t="s">
        <v>2707</v>
      </c>
      <c r="BD1306" s="4">
        <v>43283.307638888888</v>
      </c>
      <c r="BE1306" s="4">
        <v>43283.367662037039</v>
      </c>
      <c r="BF1306" s="4">
        <v>43283.367662037039</v>
      </c>
      <c r="BG1306" t="s">
        <v>83</v>
      </c>
      <c r="BH1306" t="s">
        <v>84</v>
      </c>
      <c r="BI1306" t="s">
        <v>85</v>
      </c>
    </row>
    <row r="1307" spans="1:61" x14ac:dyDescent="0.3">
      <c r="A1307" t="str">
        <f>"201995E0100"</f>
        <v>201995E0100</v>
      </c>
      <c r="B1307" s="2" t="s">
        <v>2708</v>
      </c>
      <c r="C1307">
        <v>20</v>
      </c>
      <c r="D1307" t="s">
        <v>79</v>
      </c>
      <c r="E1307">
        <v>6</v>
      </c>
      <c r="F1307" t="s">
        <v>2299</v>
      </c>
      <c r="G1307">
        <v>1995</v>
      </c>
      <c r="H1307">
        <v>1</v>
      </c>
      <c r="I1307" t="s">
        <v>145</v>
      </c>
      <c r="J1307">
        <v>0</v>
      </c>
      <c r="K1307">
        <v>2</v>
      </c>
      <c r="L1307">
        <v>2</v>
      </c>
      <c r="M1307">
        <v>96</v>
      </c>
      <c r="N1307">
        <v>110</v>
      </c>
      <c r="O1307">
        <v>6</v>
      </c>
      <c r="P1307">
        <v>109</v>
      </c>
      <c r="Q1307">
        <v>21</v>
      </c>
      <c r="R1307">
        <v>22</v>
      </c>
      <c r="S1307">
        <v>11</v>
      </c>
      <c r="T1307">
        <v>1</v>
      </c>
      <c r="U1307">
        <v>4</v>
      </c>
      <c r="V1307">
        <v>2</v>
      </c>
      <c r="W1307">
        <v>0</v>
      </c>
      <c r="X1307">
        <v>0</v>
      </c>
      <c r="Y1307">
        <v>26</v>
      </c>
      <c r="Z1307">
        <v>0</v>
      </c>
      <c r="AA1307">
        <v>15</v>
      </c>
      <c r="AB1307">
        <v>1</v>
      </c>
      <c r="AC1307">
        <v>1</v>
      </c>
      <c r="AD1307">
        <v>1</v>
      </c>
      <c r="AE1307">
        <v>0</v>
      </c>
      <c r="AF1307">
        <v>0</v>
      </c>
      <c r="AK1307">
        <v>0</v>
      </c>
      <c r="AL1307">
        <v>0</v>
      </c>
      <c r="AM1307">
        <v>0</v>
      </c>
      <c r="AN1307">
        <v>0</v>
      </c>
      <c r="AP1307">
        <v>0</v>
      </c>
      <c r="AT1307">
        <v>0</v>
      </c>
      <c r="AU1307">
        <v>4</v>
      </c>
      <c r="AV1307">
        <v>109</v>
      </c>
      <c r="AW1307">
        <v>109</v>
      </c>
      <c r="AX1307">
        <v>183</v>
      </c>
      <c r="BA1307">
        <v>1</v>
      </c>
      <c r="BC1307" t="s">
        <v>2709</v>
      </c>
      <c r="BD1307" s="4">
        <v>43283.308333333334</v>
      </c>
      <c r="BE1307" s="4">
        <v>43283.335486111115</v>
      </c>
      <c r="BF1307" s="4">
        <v>43283.335486111115</v>
      </c>
      <c r="BG1307" t="s">
        <v>83</v>
      </c>
      <c r="BH1307" t="s">
        <v>84</v>
      </c>
      <c r="BI1307" t="s">
        <v>85</v>
      </c>
    </row>
    <row r="1308" spans="1:61" x14ac:dyDescent="0.3">
      <c r="A1308" t="str">
        <f>"201996B0100"</f>
        <v>201996B0100</v>
      </c>
      <c r="B1308" t="s">
        <v>2710</v>
      </c>
      <c r="C1308">
        <v>20</v>
      </c>
      <c r="D1308" t="s">
        <v>79</v>
      </c>
      <c r="E1308">
        <v>6</v>
      </c>
      <c r="F1308" t="s">
        <v>2299</v>
      </c>
      <c r="G1308">
        <v>1996</v>
      </c>
      <c r="H1308">
        <v>1</v>
      </c>
      <c r="I1308" t="s">
        <v>81</v>
      </c>
      <c r="J1308">
        <v>0</v>
      </c>
      <c r="K1308">
        <v>2</v>
      </c>
      <c r="L1308">
        <v>2</v>
      </c>
      <c r="M1308">
        <v>154</v>
      </c>
      <c r="N1308">
        <v>420</v>
      </c>
      <c r="O1308">
        <v>13</v>
      </c>
      <c r="P1308">
        <v>266</v>
      </c>
      <c r="Q1308">
        <v>33</v>
      </c>
      <c r="R1308">
        <v>56</v>
      </c>
      <c r="S1308">
        <v>10</v>
      </c>
      <c r="T1308">
        <v>5</v>
      </c>
      <c r="U1308">
        <v>33</v>
      </c>
      <c r="V1308">
        <v>3</v>
      </c>
      <c r="W1308">
        <v>2</v>
      </c>
      <c r="X1308">
        <v>8</v>
      </c>
      <c r="Y1308">
        <v>60</v>
      </c>
      <c r="Z1308">
        <v>2</v>
      </c>
      <c r="AA1308">
        <v>26</v>
      </c>
      <c r="AB1308">
        <v>4</v>
      </c>
      <c r="AC1308">
        <v>1</v>
      </c>
      <c r="AD1308">
        <v>1</v>
      </c>
      <c r="AE1308">
        <v>1</v>
      </c>
      <c r="AF1308">
        <v>0</v>
      </c>
      <c r="AK1308">
        <v>2</v>
      </c>
      <c r="AL1308">
        <v>1</v>
      </c>
      <c r="AM1308">
        <v>0</v>
      </c>
      <c r="AN1308">
        <v>0</v>
      </c>
      <c r="AP1308">
        <v>0</v>
      </c>
      <c r="AT1308">
        <v>0</v>
      </c>
      <c r="AU1308">
        <v>18</v>
      </c>
      <c r="AV1308">
        <v>266</v>
      </c>
      <c r="AW1308">
        <v>266</v>
      </c>
      <c r="AX1308">
        <v>397</v>
      </c>
      <c r="BA1308">
        <v>1</v>
      </c>
      <c r="BC1308" t="s">
        <v>2711</v>
      </c>
      <c r="BD1308" s="4">
        <v>43283.306944444441</v>
      </c>
      <c r="BE1308" s="4">
        <v>43283.333657407406</v>
      </c>
      <c r="BF1308" s="4">
        <v>43283.333657407406</v>
      </c>
      <c r="BG1308" t="s">
        <v>83</v>
      </c>
      <c r="BH1308" t="s">
        <v>84</v>
      </c>
      <c r="BI1308" t="s">
        <v>85</v>
      </c>
    </row>
    <row r="1309" spans="1:61" x14ac:dyDescent="0.3">
      <c r="A1309" t="str">
        <f>"201997B0100"</f>
        <v>201997B0100</v>
      </c>
      <c r="B1309" t="s">
        <v>2712</v>
      </c>
      <c r="C1309">
        <v>20</v>
      </c>
      <c r="D1309" t="s">
        <v>79</v>
      </c>
      <c r="E1309">
        <v>6</v>
      </c>
      <c r="F1309" t="s">
        <v>2299</v>
      </c>
      <c r="G1309">
        <v>1997</v>
      </c>
      <c r="H1309">
        <v>1</v>
      </c>
      <c r="I1309" t="s">
        <v>81</v>
      </c>
      <c r="J1309">
        <v>0</v>
      </c>
      <c r="K1309">
        <v>2</v>
      </c>
      <c r="L1309">
        <v>2</v>
      </c>
      <c r="M1309">
        <v>180</v>
      </c>
      <c r="N1309">
        <v>230</v>
      </c>
      <c r="O1309">
        <v>3</v>
      </c>
      <c r="P1309">
        <v>229</v>
      </c>
      <c r="Q1309">
        <v>29</v>
      </c>
      <c r="R1309">
        <v>35</v>
      </c>
      <c r="S1309">
        <v>5</v>
      </c>
      <c r="T1309">
        <v>3</v>
      </c>
      <c r="U1309">
        <v>4</v>
      </c>
      <c r="V1309">
        <v>2</v>
      </c>
      <c r="W1309">
        <v>0</v>
      </c>
      <c r="X1309">
        <v>40</v>
      </c>
      <c r="Y1309">
        <v>15</v>
      </c>
      <c r="Z1309">
        <v>1</v>
      </c>
      <c r="AA1309">
        <v>74</v>
      </c>
      <c r="AB1309">
        <v>0</v>
      </c>
      <c r="AC1309">
        <v>2</v>
      </c>
      <c r="AD1309">
        <v>2</v>
      </c>
      <c r="AE1309">
        <v>0</v>
      </c>
      <c r="AF1309">
        <v>0</v>
      </c>
      <c r="AK1309">
        <v>0</v>
      </c>
      <c r="AL1309">
        <v>1</v>
      </c>
      <c r="AM1309">
        <v>0</v>
      </c>
      <c r="AN1309">
        <v>0</v>
      </c>
      <c r="AP1309">
        <v>0</v>
      </c>
      <c r="AT1309">
        <v>16</v>
      </c>
      <c r="AU1309">
        <v>16</v>
      </c>
      <c r="AV1309">
        <v>229</v>
      </c>
      <c r="AW1309">
        <v>245</v>
      </c>
      <c r="AX1309">
        <v>388</v>
      </c>
      <c r="BA1309">
        <v>1</v>
      </c>
      <c r="BC1309" t="s">
        <v>2713</v>
      </c>
      <c r="BD1309" s="4">
        <v>43283.306944444441</v>
      </c>
      <c r="BE1309" s="4">
        <v>43283.33148148148</v>
      </c>
      <c r="BF1309" s="4">
        <v>43283.33148148148</v>
      </c>
      <c r="BG1309" t="s">
        <v>83</v>
      </c>
      <c r="BH1309" t="s">
        <v>84</v>
      </c>
      <c r="BI1309" t="s">
        <v>85</v>
      </c>
    </row>
    <row r="1310" spans="1:61" x14ac:dyDescent="0.3">
      <c r="A1310" t="str">
        <f>"201998B0100"</f>
        <v>201998B0100</v>
      </c>
      <c r="B1310" t="s">
        <v>2714</v>
      </c>
      <c r="C1310">
        <v>20</v>
      </c>
      <c r="D1310" t="s">
        <v>79</v>
      </c>
      <c r="E1310">
        <v>6</v>
      </c>
      <c r="F1310" t="s">
        <v>2299</v>
      </c>
      <c r="G1310">
        <v>1998</v>
      </c>
      <c r="H1310">
        <v>1</v>
      </c>
      <c r="I1310" t="s">
        <v>81</v>
      </c>
      <c r="J1310">
        <v>0</v>
      </c>
      <c r="K1310">
        <v>2</v>
      </c>
      <c r="L1310">
        <v>2</v>
      </c>
      <c r="M1310">
        <v>183</v>
      </c>
      <c r="N1310">
        <v>550</v>
      </c>
      <c r="O1310">
        <v>4</v>
      </c>
      <c r="P1310">
        <v>550</v>
      </c>
      <c r="Q1310">
        <v>39</v>
      </c>
      <c r="R1310">
        <v>81</v>
      </c>
      <c r="S1310">
        <v>57</v>
      </c>
      <c r="T1310">
        <v>4</v>
      </c>
      <c r="U1310">
        <v>42</v>
      </c>
      <c r="V1310">
        <v>5</v>
      </c>
      <c r="W1310">
        <v>3</v>
      </c>
      <c r="X1310">
        <v>128</v>
      </c>
      <c r="Y1310">
        <v>37</v>
      </c>
      <c r="Z1310">
        <v>5</v>
      </c>
      <c r="AA1310">
        <v>110</v>
      </c>
      <c r="AB1310" t="s">
        <v>100</v>
      </c>
      <c r="AC1310" t="s">
        <v>100</v>
      </c>
      <c r="AD1310">
        <v>1</v>
      </c>
      <c r="AE1310" t="s">
        <v>100</v>
      </c>
      <c r="AF1310" t="s">
        <v>100</v>
      </c>
      <c r="AK1310" t="s">
        <v>100</v>
      </c>
      <c r="AL1310" t="s">
        <v>100</v>
      </c>
      <c r="AM1310" t="s">
        <v>100</v>
      </c>
      <c r="AN1310" t="s">
        <v>100</v>
      </c>
      <c r="AP1310" t="s">
        <v>100</v>
      </c>
      <c r="AT1310">
        <v>38</v>
      </c>
      <c r="AU1310">
        <v>38</v>
      </c>
      <c r="AV1310">
        <v>550</v>
      </c>
      <c r="AW1310">
        <v>588</v>
      </c>
      <c r="AX1310">
        <v>711</v>
      </c>
      <c r="AZ1310" t="s">
        <v>101</v>
      </c>
      <c r="BA1310">
        <v>1</v>
      </c>
      <c r="BC1310" t="s">
        <v>2715</v>
      </c>
      <c r="BD1310" s="4">
        <v>43283.308333333334</v>
      </c>
      <c r="BE1310" s="4">
        <v>43283.335960648146</v>
      </c>
      <c r="BF1310" s="4">
        <v>43283.335960648146</v>
      </c>
      <c r="BG1310" t="s">
        <v>83</v>
      </c>
      <c r="BH1310" t="s">
        <v>84</v>
      </c>
      <c r="BI1310" t="s">
        <v>85</v>
      </c>
    </row>
    <row r="1311" spans="1:61" x14ac:dyDescent="0.3">
      <c r="A1311" t="str">
        <f>"202070B0100"</f>
        <v>202070B0100</v>
      </c>
      <c r="B1311" t="s">
        <v>2716</v>
      </c>
      <c r="C1311">
        <v>20</v>
      </c>
      <c r="D1311" t="s">
        <v>79</v>
      </c>
      <c r="E1311">
        <v>6</v>
      </c>
      <c r="F1311" t="s">
        <v>2299</v>
      </c>
      <c r="G1311">
        <v>2070</v>
      </c>
      <c r="H1311">
        <v>1</v>
      </c>
      <c r="I1311" t="s">
        <v>81</v>
      </c>
      <c r="J1311">
        <v>0</v>
      </c>
      <c r="K1311">
        <v>2</v>
      </c>
      <c r="L1311">
        <v>2</v>
      </c>
      <c r="M1311">
        <v>139</v>
      </c>
      <c r="N1311">
        <v>329</v>
      </c>
      <c r="O1311">
        <v>0</v>
      </c>
      <c r="P1311">
        <v>190</v>
      </c>
      <c r="Q1311">
        <v>5</v>
      </c>
      <c r="R1311">
        <v>87</v>
      </c>
      <c r="S1311">
        <v>3</v>
      </c>
      <c r="T1311">
        <v>1</v>
      </c>
      <c r="U1311">
        <v>9</v>
      </c>
      <c r="V1311">
        <v>0</v>
      </c>
      <c r="W1311">
        <v>0</v>
      </c>
      <c r="X1311">
        <v>2</v>
      </c>
      <c r="Y1311">
        <v>66</v>
      </c>
      <c r="Z1311">
        <v>2</v>
      </c>
      <c r="AA1311">
        <v>2</v>
      </c>
      <c r="AB1311">
        <v>1</v>
      </c>
      <c r="AC1311">
        <v>0</v>
      </c>
      <c r="AD1311">
        <v>0</v>
      </c>
      <c r="AE1311">
        <v>0</v>
      </c>
      <c r="AF1311">
        <v>0</v>
      </c>
      <c r="AK1311">
        <v>3</v>
      </c>
      <c r="AL1311">
        <v>1</v>
      </c>
      <c r="AM1311">
        <v>0</v>
      </c>
      <c r="AN1311">
        <v>0</v>
      </c>
      <c r="AP1311">
        <v>1</v>
      </c>
      <c r="AT1311">
        <v>7</v>
      </c>
      <c r="AU1311">
        <v>7</v>
      </c>
      <c r="AV1311">
        <v>190</v>
      </c>
      <c r="AW1311">
        <v>197</v>
      </c>
      <c r="AX1311">
        <v>307</v>
      </c>
      <c r="BA1311">
        <v>1</v>
      </c>
      <c r="BC1311" t="s">
        <v>2717</v>
      </c>
      <c r="BD1311" s="4">
        <v>43283.061111111114</v>
      </c>
      <c r="BE1311" s="4">
        <v>43283.066655092596</v>
      </c>
      <c r="BF1311" s="4">
        <v>43283.066655092596</v>
      </c>
      <c r="BG1311" t="s">
        <v>83</v>
      </c>
      <c r="BH1311" t="s">
        <v>84</v>
      </c>
      <c r="BI1311" t="s">
        <v>85</v>
      </c>
    </row>
    <row r="1312" spans="1:61" x14ac:dyDescent="0.3">
      <c r="A1312" t="str">
        <f>"202117B0100"</f>
        <v>202117B0100</v>
      </c>
      <c r="B1312" t="s">
        <v>2718</v>
      </c>
      <c r="C1312">
        <v>20</v>
      </c>
      <c r="D1312" t="s">
        <v>79</v>
      </c>
      <c r="E1312">
        <v>6</v>
      </c>
      <c r="F1312" t="s">
        <v>2299</v>
      </c>
      <c r="G1312">
        <v>2117</v>
      </c>
      <c r="H1312">
        <v>1</v>
      </c>
      <c r="I1312" t="s">
        <v>81</v>
      </c>
      <c r="J1312">
        <v>0</v>
      </c>
      <c r="K1312">
        <v>1</v>
      </c>
      <c r="L1312">
        <v>2</v>
      </c>
      <c r="M1312">
        <v>264</v>
      </c>
      <c r="N1312">
        <v>494</v>
      </c>
      <c r="O1312">
        <v>0</v>
      </c>
      <c r="P1312">
        <v>494</v>
      </c>
      <c r="Q1312">
        <v>25</v>
      </c>
      <c r="R1312">
        <v>163</v>
      </c>
      <c r="S1312">
        <v>42</v>
      </c>
      <c r="T1312">
        <v>5</v>
      </c>
      <c r="U1312">
        <v>2</v>
      </c>
      <c r="V1312">
        <v>5</v>
      </c>
      <c r="W1312">
        <v>81</v>
      </c>
      <c r="X1312">
        <v>4</v>
      </c>
      <c r="Y1312">
        <v>134</v>
      </c>
      <c r="Z1312">
        <v>4</v>
      </c>
      <c r="AA1312">
        <v>0</v>
      </c>
      <c r="AB1312">
        <v>1</v>
      </c>
      <c r="AC1312">
        <v>0</v>
      </c>
      <c r="AD1312">
        <v>0</v>
      </c>
      <c r="AE1312">
        <v>0</v>
      </c>
      <c r="AF1312">
        <v>0</v>
      </c>
      <c r="AK1312">
        <v>0</v>
      </c>
      <c r="AL1312">
        <v>1</v>
      </c>
      <c r="AM1312">
        <v>0</v>
      </c>
      <c r="AN1312">
        <v>0</v>
      </c>
      <c r="AP1312">
        <v>1</v>
      </c>
      <c r="AT1312">
        <v>0</v>
      </c>
      <c r="AU1312">
        <v>26</v>
      </c>
      <c r="AV1312">
        <v>494</v>
      </c>
      <c r="AW1312">
        <v>494</v>
      </c>
      <c r="AX1312">
        <v>736</v>
      </c>
      <c r="BA1312">
        <v>1</v>
      </c>
      <c r="BC1312" t="s">
        <v>2719</v>
      </c>
      <c r="BD1312" s="4">
        <v>43283.38958333333</v>
      </c>
      <c r="BE1312" s="4">
        <v>43283.394699074073</v>
      </c>
      <c r="BF1312" s="4">
        <v>43283.394699074073</v>
      </c>
      <c r="BG1312" t="s">
        <v>83</v>
      </c>
      <c r="BH1312" t="s">
        <v>84</v>
      </c>
      <c r="BI1312" t="s">
        <v>85</v>
      </c>
    </row>
    <row r="1313" spans="1:61" x14ac:dyDescent="0.3">
      <c r="A1313" t="str">
        <f>"202118B0100"</f>
        <v>202118B0100</v>
      </c>
      <c r="B1313" t="s">
        <v>2720</v>
      </c>
      <c r="C1313">
        <v>20</v>
      </c>
      <c r="D1313" t="s">
        <v>79</v>
      </c>
      <c r="E1313">
        <v>6</v>
      </c>
      <c r="F1313" t="s">
        <v>2299</v>
      </c>
      <c r="G1313">
        <v>2118</v>
      </c>
      <c r="H1313">
        <v>1</v>
      </c>
      <c r="I1313" t="s">
        <v>81</v>
      </c>
      <c r="J1313">
        <v>0</v>
      </c>
      <c r="K1313">
        <v>1</v>
      </c>
      <c r="L1313">
        <v>2</v>
      </c>
      <c r="M1313">
        <v>146</v>
      </c>
      <c r="N1313">
        <v>309</v>
      </c>
      <c r="O1313">
        <v>0</v>
      </c>
      <c r="P1313">
        <v>309</v>
      </c>
      <c r="Q1313">
        <v>8</v>
      </c>
      <c r="R1313">
        <v>128</v>
      </c>
      <c r="S1313">
        <v>14</v>
      </c>
      <c r="T1313">
        <v>1</v>
      </c>
      <c r="U1313">
        <v>1</v>
      </c>
      <c r="V1313">
        <v>0</v>
      </c>
      <c r="W1313">
        <v>34</v>
      </c>
      <c r="X1313">
        <v>3</v>
      </c>
      <c r="Y1313">
        <v>89</v>
      </c>
      <c r="Z1313">
        <v>2</v>
      </c>
      <c r="AA1313">
        <v>1</v>
      </c>
      <c r="AB1313">
        <v>2</v>
      </c>
      <c r="AC1313">
        <v>0</v>
      </c>
      <c r="AD1313">
        <v>0</v>
      </c>
      <c r="AE1313">
        <v>0</v>
      </c>
      <c r="AF1313">
        <v>0</v>
      </c>
      <c r="AK1313">
        <v>0</v>
      </c>
      <c r="AL1313">
        <v>0</v>
      </c>
      <c r="AM1313">
        <v>0</v>
      </c>
      <c r="AN1313">
        <v>0</v>
      </c>
      <c r="AP1313">
        <v>2</v>
      </c>
      <c r="AT1313">
        <v>0</v>
      </c>
      <c r="AU1313">
        <v>24</v>
      </c>
      <c r="AV1313">
        <v>309</v>
      </c>
      <c r="AW1313">
        <v>309</v>
      </c>
      <c r="AX1313">
        <v>433</v>
      </c>
      <c r="BA1313">
        <v>1</v>
      </c>
      <c r="BC1313" t="s">
        <v>2721</v>
      </c>
      <c r="BD1313" s="4">
        <v>43283.384722222225</v>
      </c>
      <c r="BE1313" s="4">
        <v>43283.38925925926</v>
      </c>
      <c r="BF1313" s="4">
        <v>43283.38925925926</v>
      </c>
      <c r="BG1313" t="s">
        <v>83</v>
      </c>
      <c r="BH1313" t="s">
        <v>84</v>
      </c>
      <c r="BI1313" t="s">
        <v>85</v>
      </c>
    </row>
    <row r="1314" spans="1:61" x14ac:dyDescent="0.3">
      <c r="A1314" t="str">
        <f>"202118C0100"</f>
        <v>202118C0100</v>
      </c>
      <c r="B1314" t="s">
        <v>2722</v>
      </c>
      <c r="C1314">
        <v>20</v>
      </c>
      <c r="D1314" t="s">
        <v>79</v>
      </c>
      <c r="E1314">
        <v>6</v>
      </c>
      <c r="F1314" t="s">
        <v>2299</v>
      </c>
      <c r="G1314">
        <v>2118</v>
      </c>
      <c r="H1314">
        <v>1</v>
      </c>
      <c r="I1314" t="s">
        <v>89</v>
      </c>
      <c r="J1314">
        <v>0</v>
      </c>
      <c r="K1314">
        <v>1</v>
      </c>
      <c r="L1314">
        <v>2</v>
      </c>
      <c r="M1314">
        <v>133</v>
      </c>
      <c r="N1314">
        <v>322</v>
      </c>
      <c r="O1314">
        <v>0</v>
      </c>
      <c r="P1314">
        <v>322</v>
      </c>
      <c r="Q1314">
        <v>18</v>
      </c>
      <c r="R1314">
        <v>130</v>
      </c>
      <c r="S1314">
        <v>12</v>
      </c>
      <c r="T1314">
        <v>3</v>
      </c>
      <c r="U1314">
        <v>5</v>
      </c>
      <c r="V1314">
        <v>2</v>
      </c>
      <c r="W1314">
        <v>52</v>
      </c>
      <c r="X1314">
        <v>5</v>
      </c>
      <c r="Y1314">
        <v>78</v>
      </c>
      <c r="Z1314">
        <v>0</v>
      </c>
      <c r="AA1314">
        <v>0</v>
      </c>
      <c r="AB1314">
        <v>1</v>
      </c>
      <c r="AC1314">
        <v>0</v>
      </c>
      <c r="AD1314">
        <v>0</v>
      </c>
      <c r="AE1314">
        <v>0</v>
      </c>
      <c r="AF1314">
        <v>0</v>
      </c>
      <c r="AK1314">
        <v>0</v>
      </c>
      <c r="AL1314">
        <v>0</v>
      </c>
      <c r="AM1314">
        <v>0</v>
      </c>
      <c r="AN1314">
        <v>0</v>
      </c>
      <c r="AP1314">
        <v>1</v>
      </c>
      <c r="AT1314">
        <v>0</v>
      </c>
      <c r="AU1314">
        <v>15</v>
      </c>
      <c r="AV1314">
        <v>322</v>
      </c>
      <c r="AW1314">
        <v>322</v>
      </c>
      <c r="AX1314">
        <v>433</v>
      </c>
      <c r="BA1314">
        <v>1</v>
      </c>
      <c r="BC1314" t="s">
        <v>2723</v>
      </c>
      <c r="BD1314" s="4">
        <v>43283.392361111109</v>
      </c>
      <c r="BE1314" s="4">
        <v>43283.397337962961</v>
      </c>
      <c r="BF1314" s="4">
        <v>43283.397337962961</v>
      </c>
      <c r="BG1314" t="s">
        <v>83</v>
      </c>
      <c r="BH1314" t="s">
        <v>84</v>
      </c>
      <c r="BI1314" t="s">
        <v>85</v>
      </c>
    </row>
    <row r="1315" spans="1:61" x14ac:dyDescent="0.3">
      <c r="A1315" t="str">
        <f>"202119B0100"</f>
        <v>202119B0100</v>
      </c>
      <c r="B1315" t="s">
        <v>2724</v>
      </c>
      <c r="C1315">
        <v>20</v>
      </c>
      <c r="D1315" t="s">
        <v>79</v>
      </c>
      <c r="E1315">
        <v>6</v>
      </c>
      <c r="F1315" t="s">
        <v>2299</v>
      </c>
      <c r="G1315">
        <v>2119</v>
      </c>
      <c r="H1315">
        <v>1</v>
      </c>
      <c r="I1315" t="s">
        <v>81</v>
      </c>
      <c r="J1315">
        <v>0</v>
      </c>
      <c r="K1315">
        <v>2</v>
      </c>
      <c r="L1315">
        <v>2</v>
      </c>
      <c r="M1315">
        <v>191</v>
      </c>
      <c r="N1315">
        <v>207</v>
      </c>
      <c r="O1315">
        <v>0</v>
      </c>
      <c r="P1315">
        <v>207</v>
      </c>
      <c r="Q1315">
        <v>7</v>
      </c>
      <c r="R1315">
        <v>134</v>
      </c>
      <c r="S1315">
        <v>3</v>
      </c>
      <c r="T1315">
        <v>0</v>
      </c>
      <c r="U1315">
        <v>0</v>
      </c>
      <c r="V1315">
        <v>3</v>
      </c>
      <c r="W1315">
        <v>8</v>
      </c>
      <c r="X1315">
        <v>6</v>
      </c>
      <c r="Y1315">
        <v>38</v>
      </c>
      <c r="Z1315">
        <v>2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K1315">
        <v>0</v>
      </c>
      <c r="AL1315">
        <v>0</v>
      </c>
      <c r="AM1315">
        <v>0</v>
      </c>
      <c r="AN1315">
        <v>0</v>
      </c>
      <c r="AP1315">
        <v>1</v>
      </c>
      <c r="AT1315">
        <v>0</v>
      </c>
      <c r="AU1315">
        <v>5</v>
      </c>
      <c r="AV1315">
        <v>207</v>
      </c>
      <c r="AW1315">
        <v>207</v>
      </c>
      <c r="AX1315">
        <v>376</v>
      </c>
      <c r="BA1315">
        <v>1</v>
      </c>
      <c r="BC1315" t="s">
        <v>2725</v>
      </c>
      <c r="BD1315" s="4">
        <v>43283.402083333334</v>
      </c>
      <c r="BE1315" s="4">
        <v>43283.408877314818</v>
      </c>
      <c r="BF1315" s="4">
        <v>43283.408877314818</v>
      </c>
      <c r="BG1315" t="s">
        <v>83</v>
      </c>
      <c r="BH1315" t="s">
        <v>84</v>
      </c>
      <c r="BI1315" t="s">
        <v>85</v>
      </c>
    </row>
    <row r="1316" spans="1:61" x14ac:dyDescent="0.3">
      <c r="A1316" t="str">
        <f>"202120B0100"</f>
        <v>202120B0100</v>
      </c>
      <c r="B1316" t="s">
        <v>2726</v>
      </c>
      <c r="C1316">
        <v>20</v>
      </c>
      <c r="D1316" t="s">
        <v>79</v>
      </c>
      <c r="E1316">
        <v>6</v>
      </c>
      <c r="F1316" t="s">
        <v>2299</v>
      </c>
      <c r="G1316">
        <v>2120</v>
      </c>
      <c r="H1316">
        <v>1</v>
      </c>
      <c r="I1316" t="s">
        <v>81</v>
      </c>
      <c r="J1316">
        <v>0</v>
      </c>
      <c r="K1316">
        <v>2</v>
      </c>
      <c r="L1316">
        <v>2</v>
      </c>
      <c r="M1316">
        <v>134</v>
      </c>
      <c r="N1316">
        <v>161</v>
      </c>
      <c r="O1316">
        <v>0</v>
      </c>
      <c r="P1316">
        <v>161</v>
      </c>
      <c r="Q1316">
        <v>0</v>
      </c>
      <c r="R1316">
        <v>51</v>
      </c>
      <c r="S1316">
        <v>3</v>
      </c>
      <c r="T1316">
        <v>0</v>
      </c>
      <c r="U1316">
        <v>0</v>
      </c>
      <c r="V1316">
        <v>0</v>
      </c>
      <c r="W1316">
        <v>37</v>
      </c>
      <c r="X1316">
        <v>0</v>
      </c>
      <c r="Y1316">
        <v>0</v>
      </c>
      <c r="Z1316">
        <v>0</v>
      </c>
      <c r="AA1316">
        <v>1</v>
      </c>
      <c r="AB1316">
        <v>1</v>
      </c>
      <c r="AC1316">
        <v>0</v>
      </c>
      <c r="AD1316">
        <v>0</v>
      </c>
      <c r="AE1316">
        <v>0</v>
      </c>
      <c r="AF1316">
        <v>0</v>
      </c>
      <c r="AK1316">
        <v>0</v>
      </c>
      <c r="AL1316">
        <v>0</v>
      </c>
      <c r="AM1316">
        <v>0</v>
      </c>
      <c r="AN1316">
        <v>0</v>
      </c>
      <c r="AP1316">
        <v>0</v>
      </c>
      <c r="AT1316">
        <v>0</v>
      </c>
      <c r="AU1316">
        <v>7</v>
      </c>
      <c r="AV1316" t="s">
        <v>100</v>
      </c>
      <c r="AW1316">
        <v>100</v>
      </c>
      <c r="AX1316">
        <v>273</v>
      </c>
      <c r="BA1316">
        <v>1</v>
      </c>
      <c r="BC1316" t="s">
        <v>2727</v>
      </c>
      <c r="BD1316" s="4">
        <v>43283.386805555558</v>
      </c>
      <c r="BE1316" s="4">
        <v>43283.391412037039</v>
      </c>
      <c r="BF1316" s="4">
        <v>43283.391412037039</v>
      </c>
      <c r="BG1316" t="s">
        <v>83</v>
      </c>
      <c r="BH1316" t="s">
        <v>84</v>
      </c>
      <c r="BI1316" t="s">
        <v>85</v>
      </c>
    </row>
    <row r="1317" spans="1:61" x14ac:dyDescent="0.3">
      <c r="A1317" t="str">
        <f>"202121B0100"</f>
        <v>202121B0100</v>
      </c>
      <c r="B1317" t="s">
        <v>2728</v>
      </c>
      <c r="C1317">
        <v>20</v>
      </c>
      <c r="D1317" t="s">
        <v>79</v>
      </c>
      <c r="E1317">
        <v>6</v>
      </c>
      <c r="F1317" t="s">
        <v>2299</v>
      </c>
      <c r="G1317">
        <v>2121</v>
      </c>
      <c r="H1317">
        <v>1</v>
      </c>
      <c r="I1317" t="s">
        <v>81</v>
      </c>
      <c r="J1317">
        <v>0</v>
      </c>
      <c r="K1317">
        <v>2</v>
      </c>
      <c r="L1317">
        <v>2</v>
      </c>
      <c r="M1317">
        <v>121</v>
      </c>
      <c r="N1317">
        <v>235</v>
      </c>
      <c r="O1317">
        <v>0</v>
      </c>
      <c r="P1317">
        <v>235</v>
      </c>
      <c r="Q1317">
        <v>0</v>
      </c>
      <c r="R1317">
        <v>53</v>
      </c>
      <c r="S1317">
        <v>9</v>
      </c>
      <c r="T1317">
        <v>0</v>
      </c>
      <c r="U1317">
        <v>3</v>
      </c>
      <c r="V1317">
        <v>2</v>
      </c>
      <c r="W1317">
        <v>10</v>
      </c>
      <c r="X1317">
        <v>1</v>
      </c>
      <c r="Y1317">
        <v>145</v>
      </c>
      <c r="Z1317">
        <v>1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K1317">
        <v>0</v>
      </c>
      <c r="AL1317">
        <v>1</v>
      </c>
      <c r="AM1317">
        <v>0</v>
      </c>
      <c r="AN1317">
        <v>0</v>
      </c>
      <c r="AP1317">
        <v>0</v>
      </c>
      <c r="AT1317">
        <v>0</v>
      </c>
      <c r="AU1317">
        <v>1</v>
      </c>
      <c r="AV1317">
        <v>235</v>
      </c>
      <c r="AW1317">
        <v>226</v>
      </c>
      <c r="AX1317">
        <v>334</v>
      </c>
      <c r="BA1317">
        <v>1</v>
      </c>
      <c r="BC1317" t="s">
        <v>2729</v>
      </c>
      <c r="BD1317" s="4">
        <v>43283.386111111111</v>
      </c>
      <c r="BE1317" s="4">
        <v>43283.391238425924</v>
      </c>
      <c r="BF1317" s="4">
        <v>43283.391238425924</v>
      </c>
      <c r="BG1317" t="s">
        <v>83</v>
      </c>
      <c r="BH1317" t="s">
        <v>84</v>
      </c>
      <c r="BI1317" t="s">
        <v>85</v>
      </c>
    </row>
    <row r="1318" spans="1:61" x14ac:dyDescent="0.3">
      <c r="A1318" t="str">
        <f>"202122B0100"</f>
        <v>202122B0100</v>
      </c>
      <c r="B1318" t="s">
        <v>2730</v>
      </c>
      <c r="C1318">
        <v>20</v>
      </c>
      <c r="D1318" t="s">
        <v>79</v>
      </c>
      <c r="E1318">
        <v>6</v>
      </c>
      <c r="F1318" t="s">
        <v>2299</v>
      </c>
      <c r="G1318">
        <v>2122</v>
      </c>
      <c r="H1318">
        <v>1</v>
      </c>
      <c r="I1318" t="s">
        <v>81</v>
      </c>
      <c r="J1318">
        <v>0</v>
      </c>
      <c r="K1318">
        <v>2</v>
      </c>
      <c r="L1318">
        <v>2</v>
      </c>
      <c r="M1318">
        <v>178</v>
      </c>
      <c r="N1318">
        <v>396</v>
      </c>
      <c r="O1318">
        <v>2</v>
      </c>
      <c r="P1318">
        <v>396</v>
      </c>
      <c r="Q1318">
        <v>5</v>
      </c>
      <c r="R1318">
        <v>139</v>
      </c>
      <c r="S1318">
        <v>20</v>
      </c>
      <c r="T1318">
        <v>2</v>
      </c>
      <c r="U1318">
        <v>4</v>
      </c>
      <c r="V1318">
        <v>4</v>
      </c>
      <c r="W1318">
        <v>43</v>
      </c>
      <c r="X1318">
        <v>6</v>
      </c>
      <c r="Y1318">
        <v>158</v>
      </c>
      <c r="Z1318">
        <v>1</v>
      </c>
      <c r="AA1318">
        <v>0</v>
      </c>
      <c r="AB1318">
        <v>2</v>
      </c>
      <c r="AC1318">
        <v>0</v>
      </c>
      <c r="AD1318">
        <v>0</v>
      </c>
      <c r="AE1318">
        <v>0</v>
      </c>
      <c r="AF1318">
        <v>0</v>
      </c>
      <c r="AK1318">
        <v>0</v>
      </c>
      <c r="AL1318">
        <v>0</v>
      </c>
      <c r="AM1318">
        <v>0</v>
      </c>
      <c r="AN1318">
        <v>0</v>
      </c>
      <c r="AP1318">
        <v>0</v>
      </c>
      <c r="AT1318">
        <v>0</v>
      </c>
      <c r="AU1318">
        <v>9</v>
      </c>
      <c r="AV1318">
        <v>396</v>
      </c>
      <c r="AW1318">
        <v>393</v>
      </c>
      <c r="AX1318">
        <v>553</v>
      </c>
      <c r="BA1318">
        <v>1</v>
      </c>
      <c r="BC1318" t="s">
        <v>2731</v>
      </c>
      <c r="BD1318" s="4">
        <v>43283.394444444442</v>
      </c>
      <c r="BE1318" s="4">
        <v>43283.401365740741</v>
      </c>
      <c r="BF1318" s="4">
        <v>43283.401365740741</v>
      </c>
      <c r="BG1318" t="s">
        <v>83</v>
      </c>
      <c r="BH1318" t="s">
        <v>84</v>
      </c>
      <c r="BI1318" t="s">
        <v>85</v>
      </c>
    </row>
    <row r="1319" spans="1:61" x14ac:dyDescent="0.3">
      <c r="A1319" t="str">
        <f>"202165B0100"</f>
        <v>202165B0100</v>
      </c>
      <c r="B1319" t="s">
        <v>2732</v>
      </c>
      <c r="C1319">
        <v>20</v>
      </c>
      <c r="D1319" t="s">
        <v>79</v>
      </c>
      <c r="E1319">
        <v>6</v>
      </c>
      <c r="F1319" t="s">
        <v>2299</v>
      </c>
      <c r="G1319">
        <v>2165</v>
      </c>
      <c r="H1319">
        <v>1</v>
      </c>
      <c r="I1319" t="s">
        <v>81</v>
      </c>
      <c r="J1319">
        <v>0</v>
      </c>
      <c r="K1319">
        <v>1</v>
      </c>
      <c r="L1319">
        <v>2</v>
      </c>
      <c r="M1319">
        <v>289</v>
      </c>
      <c r="N1319">
        <v>177</v>
      </c>
      <c r="O1319">
        <v>1</v>
      </c>
      <c r="P1319">
        <v>177</v>
      </c>
      <c r="Q1319">
        <v>2</v>
      </c>
      <c r="R1319">
        <v>31</v>
      </c>
      <c r="S1319">
        <v>40</v>
      </c>
      <c r="T1319">
        <v>1</v>
      </c>
      <c r="U1319">
        <v>13</v>
      </c>
      <c r="V1319">
        <v>0</v>
      </c>
      <c r="W1319">
        <v>3</v>
      </c>
      <c r="X1319">
        <v>1</v>
      </c>
      <c r="Y1319">
        <v>64</v>
      </c>
      <c r="Z1319">
        <v>7</v>
      </c>
      <c r="AA1319">
        <v>1</v>
      </c>
      <c r="AB1319">
        <v>0</v>
      </c>
      <c r="AC1319">
        <v>0</v>
      </c>
      <c r="AD1319">
        <v>0</v>
      </c>
      <c r="AE1319">
        <v>0</v>
      </c>
      <c r="AF1319">
        <v>0</v>
      </c>
      <c r="AK1319">
        <v>5</v>
      </c>
      <c r="AL1319">
        <v>0</v>
      </c>
      <c r="AM1319">
        <v>0</v>
      </c>
      <c r="AN1319">
        <v>0</v>
      </c>
      <c r="AP1319">
        <v>0</v>
      </c>
      <c r="AT1319">
        <v>0</v>
      </c>
      <c r="AU1319">
        <v>9</v>
      </c>
      <c r="AV1319">
        <v>177</v>
      </c>
      <c r="AW1319">
        <v>177</v>
      </c>
      <c r="AX1319">
        <v>444</v>
      </c>
      <c r="BA1319">
        <v>1</v>
      </c>
      <c r="BC1319" t="s">
        <v>2733</v>
      </c>
      <c r="BD1319" s="4">
        <v>43283.425694444442</v>
      </c>
      <c r="BE1319" s="4">
        <v>43283.429768518516</v>
      </c>
      <c r="BF1319" s="4">
        <v>43283.429768518516</v>
      </c>
      <c r="BG1319" t="s">
        <v>83</v>
      </c>
      <c r="BH1319" t="s">
        <v>84</v>
      </c>
      <c r="BI1319" t="s">
        <v>85</v>
      </c>
    </row>
    <row r="1320" spans="1:61" x14ac:dyDescent="0.3">
      <c r="A1320" t="str">
        <f>"202166B0100"</f>
        <v>202166B0100</v>
      </c>
      <c r="B1320" t="s">
        <v>2734</v>
      </c>
      <c r="C1320">
        <v>20</v>
      </c>
      <c r="D1320" t="s">
        <v>79</v>
      </c>
      <c r="E1320">
        <v>6</v>
      </c>
      <c r="F1320" t="s">
        <v>2299</v>
      </c>
      <c r="G1320">
        <v>2166</v>
      </c>
      <c r="H1320">
        <v>1</v>
      </c>
      <c r="I1320" t="s">
        <v>81</v>
      </c>
      <c r="J1320">
        <v>0</v>
      </c>
      <c r="K1320">
        <v>2</v>
      </c>
      <c r="L1320">
        <v>2</v>
      </c>
      <c r="M1320">
        <v>248</v>
      </c>
      <c r="N1320">
        <v>153</v>
      </c>
      <c r="O1320">
        <v>0</v>
      </c>
      <c r="P1320">
        <v>153</v>
      </c>
      <c r="Q1320">
        <v>3</v>
      </c>
      <c r="R1320">
        <v>16</v>
      </c>
      <c r="S1320">
        <v>45</v>
      </c>
      <c r="T1320">
        <v>5</v>
      </c>
      <c r="U1320">
        <v>8</v>
      </c>
      <c r="V1320">
        <v>2</v>
      </c>
      <c r="W1320">
        <v>1</v>
      </c>
      <c r="X1320">
        <v>2</v>
      </c>
      <c r="Y1320">
        <v>62</v>
      </c>
      <c r="Z1320">
        <v>1</v>
      </c>
      <c r="AA1320">
        <v>0</v>
      </c>
      <c r="AB1320">
        <v>1</v>
      </c>
      <c r="AC1320">
        <v>0</v>
      </c>
      <c r="AD1320">
        <v>0</v>
      </c>
      <c r="AE1320">
        <v>0</v>
      </c>
      <c r="AF1320">
        <v>0</v>
      </c>
      <c r="AK1320">
        <v>0</v>
      </c>
      <c r="AL1320">
        <v>0</v>
      </c>
      <c r="AM1320">
        <v>0</v>
      </c>
      <c r="AN1320">
        <v>0</v>
      </c>
      <c r="AP1320">
        <v>0</v>
      </c>
      <c r="AT1320">
        <v>0</v>
      </c>
      <c r="AU1320">
        <v>6</v>
      </c>
      <c r="AV1320">
        <v>153</v>
      </c>
      <c r="AW1320">
        <v>152</v>
      </c>
      <c r="AX1320">
        <v>379</v>
      </c>
      <c r="BA1320">
        <v>1</v>
      </c>
      <c r="BC1320" t="s">
        <v>2735</v>
      </c>
      <c r="BD1320" s="4">
        <v>43283.427083333336</v>
      </c>
      <c r="BE1320" s="4">
        <v>43283.431134259263</v>
      </c>
      <c r="BF1320" s="4">
        <v>43283.431134259263</v>
      </c>
      <c r="BG1320" t="s">
        <v>83</v>
      </c>
      <c r="BH1320" t="s">
        <v>84</v>
      </c>
      <c r="BI1320" t="s">
        <v>85</v>
      </c>
    </row>
    <row r="1321" spans="1:61" x14ac:dyDescent="0.3">
      <c r="A1321" t="str">
        <f>"202237B0100"</f>
        <v>202237B0100</v>
      </c>
      <c r="B1321" t="s">
        <v>2736</v>
      </c>
      <c r="C1321">
        <v>20</v>
      </c>
      <c r="D1321" t="s">
        <v>79</v>
      </c>
      <c r="E1321">
        <v>6</v>
      </c>
      <c r="F1321" t="s">
        <v>2299</v>
      </c>
      <c r="G1321">
        <v>2237</v>
      </c>
      <c r="H1321">
        <v>1</v>
      </c>
      <c r="I1321" t="s">
        <v>81</v>
      </c>
      <c r="J1321">
        <v>0</v>
      </c>
      <c r="K1321">
        <v>1</v>
      </c>
      <c r="L1321">
        <v>2</v>
      </c>
      <c r="M1321">
        <v>269</v>
      </c>
      <c r="N1321">
        <v>384</v>
      </c>
      <c r="O1321">
        <v>2</v>
      </c>
      <c r="P1321">
        <v>384</v>
      </c>
      <c r="Q1321">
        <v>3</v>
      </c>
      <c r="R1321">
        <v>76</v>
      </c>
      <c r="S1321">
        <v>66</v>
      </c>
      <c r="T1321">
        <v>8</v>
      </c>
      <c r="U1321">
        <v>15</v>
      </c>
      <c r="V1321">
        <v>2</v>
      </c>
      <c r="W1321">
        <v>1</v>
      </c>
      <c r="X1321">
        <v>3</v>
      </c>
      <c r="Y1321">
        <v>173</v>
      </c>
      <c r="Z1321">
        <v>3</v>
      </c>
      <c r="AA1321">
        <v>0</v>
      </c>
      <c r="AB1321">
        <v>2</v>
      </c>
      <c r="AC1321">
        <v>0</v>
      </c>
      <c r="AD1321">
        <v>1</v>
      </c>
      <c r="AE1321">
        <v>0</v>
      </c>
      <c r="AF1321">
        <v>0</v>
      </c>
      <c r="AK1321">
        <v>2</v>
      </c>
      <c r="AL1321">
        <v>1</v>
      </c>
      <c r="AM1321">
        <v>0</v>
      </c>
      <c r="AN1321">
        <v>1</v>
      </c>
      <c r="AP1321">
        <v>4</v>
      </c>
      <c r="AT1321">
        <v>0</v>
      </c>
      <c r="AU1321">
        <v>23</v>
      </c>
      <c r="AV1321">
        <v>384</v>
      </c>
      <c r="AW1321">
        <v>384</v>
      </c>
      <c r="AX1321">
        <v>631</v>
      </c>
      <c r="BA1321">
        <v>1</v>
      </c>
      <c r="BC1321" t="s">
        <v>2737</v>
      </c>
      <c r="BD1321" s="4">
        <v>43283.45208333333</v>
      </c>
      <c r="BE1321" s="4">
        <v>43283.456342592595</v>
      </c>
      <c r="BF1321" s="4">
        <v>43283.456342592595</v>
      </c>
      <c r="BG1321" t="s">
        <v>83</v>
      </c>
      <c r="BH1321" t="s">
        <v>84</v>
      </c>
      <c r="BI1321" t="s">
        <v>85</v>
      </c>
    </row>
    <row r="1322" spans="1:61" x14ac:dyDescent="0.3">
      <c r="A1322" t="str">
        <f>"202238B0100"</f>
        <v>202238B0100</v>
      </c>
      <c r="B1322" t="s">
        <v>2738</v>
      </c>
      <c r="C1322">
        <v>20</v>
      </c>
      <c r="D1322" t="s">
        <v>79</v>
      </c>
      <c r="E1322">
        <v>6</v>
      </c>
      <c r="F1322" t="s">
        <v>2299</v>
      </c>
      <c r="G1322">
        <v>2238</v>
      </c>
      <c r="H1322">
        <v>1</v>
      </c>
      <c r="I1322" t="s">
        <v>81</v>
      </c>
      <c r="J1322">
        <v>0</v>
      </c>
      <c r="K1322">
        <v>1</v>
      </c>
      <c r="L1322">
        <v>2</v>
      </c>
      <c r="M1322">
        <v>221</v>
      </c>
      <c r="N1322">
        <v>532</v>
      </c>
      <c r="O1322">
        <v>2</v>
      </c>
      <c r="P1322">
        <v>532</v>
      </c>
      <c r="Q1322">
        <v>10</v>
      </c>
      <c r="R1322">
        <v>121</v>
      </c>
      <c r="S1322">
        <v>148</v>
      </c>
      <c r="T1322">
        <v>6</v>
      </c>
      <c r="U1322">
        <v>15</v>
      </c>
      <c r="V1322">
        <v>4</v>
      </c>
      <c r="W1322">
        <v>0</v>
      </c>
      <c r="X1322">
        <v>8</v>
      </c>
      <c r="Y1322">
        <v>124</v>
      </c>
      <c r="Z1322">
        <v>6</v>
      </c>
      <c r="AA1322">
        <v>0</v>
      </c>
      <c r="AB1322">
        <v>2</v>
      </c>
      <c r="AC1322">
        <v>0</v>
      </c>
      <c r="AD1322">
        <v>0</v>
      </c>
      <c r="AE1322">
        <v>0</v>
      </c>
      <c r="AF1322">
        <v>2</v>
      </c>
      <c r="AK1322">
        <v>3</v>
      </c>
      <c r="AL1322">
        <v>1</v>
      </c>
      <c r="AM1322">
        <v>0</v>
      </c>
      <c r="AN1322">
        <v>1</v>
      </c>
      <c r="AP1322">
        <v>4</v>
      </c>
      <c r="AT1322">
        <v>0</v>
      </c>
      <c r="AU1322">
        <v>77</v>
      </c>
      <c r="AV1322">
        <v>532</v>
      </c>
      <c r="AW1322">
        <v>532</v>
      </c>
      <c r="AX1322">
        <v>731</v>
      </c>
      <c r="BA1322">
        <v>1</v>
      </c>
      <c r="BC1322" t="s">
        <v>2739</v>
      </c>
      <c r="BD1322" s="4">
        <v>43283.450694444444</v>
      </c>
      <c r="BE1322" s="4">
        <v>43283.455034722225</v>
      </c>
      <c r="BF1322" s="4">
        <v>43283.455034722225</v>
      </c>
      <c r="BG1322" t="s">
        <v>83</v>
      </c>
      <c r="BH1322" t="s">
        <v>84</v>
      </c>
      <c r="BI1322" t="s">
        <v>85</v>
      </c>
    </row>
    <row r="1323" spans="1:61" x14ac:dyDescent="0.3">
      <c r="A1323" t="str">
        <f>"202239B0100"</f>
        <v>202239B0100</v>
      </c>
      <c r="B1323" t="s">
        <v>2740</v>
      </c>
      <c r="C1323">
        <v>20</v>
      </c>
      <c r="D1323" t="s">
        <v>79</v>
      </c>
      <c r="E1323">
        <v>6</v>
      </c>
      <c r="F1323" t="s">
        <v>2299</v>
      </c>
      <c r="G1323">
        <v>2239</v>
      </c>
      <c r="H1323">
        <v>1</v>
      </c>
      <c r="I1323" t="s">
        <v>81</v>
      </c>
      <c r="J1323">
        <v>0</v>
      </c>
      <c r="K1323">
        <v>1</v>
      </c>
      <c r="L1323">
        <v>2</v>
      </c>
      <c r="M1323">
        <v>164</v>
      </c>
      <c r="N1323">
        <v>278</v>
      </c>
      <c r="O1323">
        <v>1</v>
      </c>
      <c r="P1323">
        <v>276</v>
      </c>
      <c r="Q1323">
        <v>4</v>
      </c>
      <c r="R1323">
        <v>73</v>
      </c>
      <c r="S1323">
        <v>73</v>
      </c>
      <c r="T1323">
        <v>4</v>
      </c>
      <c r="U1323">
        <v>7</v>
      </c>
      <c r="V1323">
        <v>5</v>
      </c>
      <c r="W1323">
        <v>3</v>
      </c>
      <c r="X1323">
        <v>2</v>
      </c>
      <c r="Y1323">
        <v>82</v>
      </c>
      <c r="Z1323">
        <v>6</v>
      </c>
      <c r="AA1323">
        <v>0</v>
      </c>
      <c r="AB1323">
        <v>1</v>
      </c>
      <c r="AC1323">
        <v>0</v>
      </c>
      <c r="AD1323">
        <v>0</v>
      </c>
      <c r="AE1323">
        <v>0</v>
      </c>
      <c r="AF1323">
        <v>0</v>
      </c>
      <c r="AK1323">
        <v>3</v>
      </c>
      <c r="AL1323">
        <v>0</v>
      </c>
      <c r="AM1323">
        <v>1</v>
      </c>
      <c r="AN1323">
        <v>0</v>
      </c>
      <c r="AP1323">
        <v>0</v>
      </c>
      <c r="AT1323">
        <v>0</v>
      </c>
      <c r="AU1323">
        <v>12</v>
      </c>
      <c r="AV1323">
        <v>276</v>
      </c>
      <c r="AW1323">
        <v>276</v>
      </c>
      <c r="AX1323">
        <v>420</v>
      </c>
      <c r="BA1323">
        <v>1</v>
      </c>
      <c r="BC1323" t="s">
        <v>2741</v>
      </c>
      <c r="BD1323" s="4">
        <v>43283.34652777778</v>
      </c>
      <c r="BE1323" s="4">
        <v>43283.360543981478</v>
      </c>
      <c r="BF1323" s="4">
        <v>43283.360543981478</v>
      </c>
      <c r="BG1323" t="s">
        <v>83</v>
      </c>
      <c r="BH1323" t="s">
        <v>84</v>
      </c>
      <c r="BI1323" t="s">
        <v>85</v>
      </c>
    </row>
    <row r="1324" spans="1:61" x14ac:dyDescent="0.3">
      <c r="A1324" t="str">
        <f>"202239C0100"</f>
        <v>202239C0100</v>
      </c>
      <c r="B1324" t="s">
        <v>2742</v>
      </c>
      <c r="C1324">
        <v>20</v>
      </c>
      <c r="D1324" t="s">
        <v>79</v>
      </c>
      <c r="E1324">
        <v>6</v>
      </c>
      <c r="F1324" t="s">
        <v>2299</v>
      </c>
      <c r="G1324">
        <v>2239</v>
      </c>
      <c r="H1324">
        <v>1</v>
      </c>
      <c r="I1324" t="s">
        <v>89</v>
      </c>
      <c r="J1324">
        <v>0</v>
      </c>
      <c r="K1324">
        <v>1</v>
      </c>
      <c r="L1324">
        <v>2</v>
      </c>
      <c r="M1324">
        <v>134</v>
      </c>
      <c r="N1324">
        <v>309</v>
      </c>
      <c r="O1324">
        <v>6</v>
      </c>
      <c r="P1324">
        <v>309</v>
      </c>
      <c r="Q1324">
        <v>10</v>
      </c>
      <c r="R1324">
        <v>78</v>
      </c>
      <c r="S1324">
        <v>77</v>
      </c>
      <c r="T1324">
        <v>5</v>
      </c>
      <c r="U1324">
        <v>6</v>
      </c>
      <c r="V1324">
        <v>4</v>
      </c>
      <c r="W1324">
        <v>4</v>
      </c>
      <c r="X1324">
        <v>1</v>
      </c>
      <c r="Y1324">
        <v>82</v>
      </c>
      <c r="Z1324">
        <v>6</v>
      </c>
      <c r="AA1324">
        <v>0</v>
      </c>
      <c r="AB1324">
        <v>2</v>
      </c>
      <c r="AC1324">
        <v>0</v>
      </c>
      <c r="AD1324">
        <v>0</v>
      </c>
      <c r="AE1324">
        <v>0</v>
      </c>
      <c r="AF1324">
        <v>0</v>
      </c>
      <c r="AK1324">
        <v>3</v>
      </c>
      <c r="AL1324">
        <v>0</v>
      </c>
      <c r="AM1324">
        <v>0</v>
      </c>
      <c r="AN1324">
        <v>2</v>
      </c>
      <c r="AP1324">
        <v>1</v>
      </c>
      <c r="AT1324">
        <v>0</v>
      </c>
      <c r="AU1324">
        <v>25</v>
      </c>
      <c r="AV1324">
        <v>308</v>
      </c>
      <c r="AW1324">
        <v>306</v>
      </c>
      <c r="AX1324">
        <v>420</v>
      </c>
      <c r="BA1324">
        <v>1</v>
      </c>
      <c r="BC1324" t="s">
        <v>2743</v>
      </c>
      <c r="BD1324" s="4">
        <v>43283.345833333333</v>
      </c>
      <c r="BE1324" s="4">
        <v>43283.363796296297</v>
      </c>
      <c r="BF1324" s="4">
        <v>43283.363796296297</v>
      </c>
      <c r="BG1324" t="s">
        <v>83</v>
      </c>
      <c r="BH1324" t="s">
        <v>84</v>
      </c>
      <c r="BI1324" t="s">
        <v>85</v>
      </c>
    </row>
    <row r="1325" spans="1:61" x14ac:dyDescent="0.3">
      <c r="A1325" t="str">
        <f>"202240B0100"</f>
        <v>202240B0100</v>
      </c>
      <c r="B1325" t="s">
        <v>2744</v>
      </c>
      <c r="C1325">
        <v>20</v>
      </c>
      <c r="D1325" t="s">
        <v>79</v>
      </c>
      <c r="E1325">
        <v>6</v>
      </c>
      <c r="F1325" t="s">
        <v>2299</v>
      </c>
      <c r="G1325">
        <v>2240</v>
      </c>
      <c r="H1325">
        <v>1</v>
      </c>
      <c r="I1325" t="s">
        <v>81</v>
      </c>
      <c r="J1325">
        <v>0</v>
      </c>
      <c r="K1325">
        <v>2</v>
      </c>
      <c r="L1325">
        <v>2</v>
      </c>
      <c r="M1325">
        <v>346</v>
      </c>
      <c r="N1325">
        <v>365</v>
      </c>
      <c r="O1325">
        <v>2</v>
      </c>
      <c r="P1325">
        <v>365</v>
      </c>
      <c r="Q1325">
        <v>0</v>
      </c>
      <c r="R1325">
        <v>146</v>
      </c>
      <c r="S1325">
        <v>68</v>
      </c>
      <c r="T1325">
        <v>2</v>
      </c>
      <c r="U1325">
        <v>9</v>
      </c>
      <c r="V1325">
        <v>2</v>
      </c>
      <c r="W1325">
        <v>2</v>
      </c>
      <c r="X1325">
        <v>1</v>
      </c>
      <c r="Y1325">
        <v>104</v>
      </c>
      <c r="Z1325">
        <v>3</v>
      </c>
      <c r="AA1325">
        <v>0</v>
      </c>
      <c r="AB1325">
        <v>1</v>
      </c>
      <c r="AC1325">
        <v>0</v>
      </c>
      <c r="AD1325">
        <v>1</v>
      </c>
      <c r="AE1325">
        <v>0</v>
      </c>
      <c r="AF1325">
        <v>1</v>
      </c>
      <c r="AK1325">
        <v>0</v>
      </c>
      <c r="AL1325">
        <v>0</v>
      </c>
      <c r="AM1325">
        <v>0</v>
      </c>
      <c r="AN1325">
        <v>0</v>
      </c>
      <c r="AP1325">
        <v>0</v>
      </c>
      <c r="AT1325">
        <v>0</v>
      </c>
      <c r="AU1325">
        <v>25</v>
      </c>
      <c r="AV1325">
        <v>365</v>
      </c>
      <c r="AW1325">
        <v>365</v>
      </c>
      <c r="AX1325">
        <v>689</v>
      </c>
      <c r="BA1325">
        <v>1</v>
      </c>
      <c r="BC1325" t="s">
        <v>2745</v>
      </c>
      <c r="BD1325" s="4">
        <v>43283.686805555553</v>
      </c>
      <c r="BE1325" s="4">
        <v>43283.689942129633</v>
      </c>
      <c r="BF1325" s="4">
        <v>43283.689942129633</v>
      </c>
      <c r="BG1325" t="s">
        <v>83</v>
      </c>
      <c r="BH1325" t="s">
        <v>84</v>
      </c>
      <c r="BI1325" t="s">
        <v>85</v>
      </c>
    </row>
    <row r="1326" spans="1:61" x14ac:dyDescent="0.3">
      <c r="A1326" t="str">
        <f>"202241B0100"</f>
        <v>202241B0100</v>
      </c>
      <c r="B1326" t="s">
        <v>2746</v>
      </c>
      <c r="C1326">
        <v>20</v>
      </c>
      <c r="D1326" t="s">
        <v>79</v>
      </c>
      <c r="E1326">
        <v>6</v>
      </c>
      <c r="F1326" t="s">
        <v>2299</v>
      </c>
      <c r="G1326">
        <v>2241</v>
      </c>
      <c r="H1326">
        <v>1</v>
      </c>
      <c r="I1326" t="s">
        <v>81</v>
      </c>
      <c r="J1326">
        <v>0</v>
      </c>
      <c r="K1326">
        <v>2</v>
      </c>
      <c r="L1326">
        <v>2</v>
      </c>
      <c r="M1326">
        <v>79</v>
      </c>
      <c r="N1326" t="s">
        <v>315</v>
      </c>
      <c r="O1326">
        <v>4</v>
      </c>
      <c r="P1326">
        <v>79</v>
      </c>
      <c r="Q1326">
        <v>0</v>
      </c>
      <c r="R1326">
        <v>31</v>
      </c>
      <c r="S1326">
        <v>24</v>
      </c>
      <c r="T1326">
        <v>0</v>
      </c>
      <c r="U1326">
        <v>0</v>
      </c>
      <c r="V1326">
        <v>2</v>
      </c>
      <c r="W1326">
        <v>0</v>
      </c>
      <c r="X1326">
        <v>3</v>
      </c>
      <c r="Y1326">
        <v>11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K1326">
        <v>1</v>
      </c>
      <c r="AL1326">
        <v>0</v>
      </c>
      <c r="AM1326">
        <v>0</v>
      </c>
      <c r="AN1326">
        <v>0</v>
      </c>
      <c r="AP1326">
        <v>0</v>
      </c>
      <c r="AT1326">
        <v>0</v>
      </c>
      <c r="AU1326">
        <v>7</v>
      </c>
      <c r="AV1326">
        <v>79</v>
      </c>
      <c r="AW1326">
        <v>79</v>
      </c>
      <c r="AX1326">
        <v>136</v>
      </c>
      <c r="BA1326">
        <v>1</v>
      </c>
      <c r="BC1326" t="s">
        <v>2747</v>
      </c>
      <c r="BD1326" s="4">
        <v>43283.45208333333</v>
      </c>
      <c r="BE1326" s="4">
        <v>43283.457476851851</v>
      </c>
      <c r="BF1326" s="4">
        <v>43283.457476851851</v>
      </c>
      <c r="BG1326" t="s">
        <v>83</v>
      </c>
      <c r="BH1326" t="s">
        <v>84</v>
      </c>
      <c r="BI1326" t="s">
        <v>85</v>
      </c>
    </row>
    <row r="1327" spans="1:61" x14ac:dyDescent="0.3">
      <c r="A1327" t="str">
        <f>"202242B0100"</f>
        <v>202242B0100</v>
      </c>
      <c r="B1327" t="s">
        <v>2748</v>
      </c>
      <c r="C1327">
        <v>20</v>
      </c>
      <c r="D1327" t="s">
        <v>79</v>
      </c>
      <c r="E1327">
        <v>6</v>
      </c>
      <c r="F1327" t="s">
        <v>2299</v>
      </c>
      <c r="G1327">
        <v>2242</v>
      </c>
      <c r="H1327">
        <v>1</v>
      </c>
      <c r="I1327" t="s">
        <v>81</v>
      </c>
      <c r="J1327">
        <v>0</v>
      </c>
      <c r="K1327">
        <v>2</v>
      </c>
      <c r="L1327">
        <v>2</v>
      </c>
      <c r="AX1327">
        <v>611</v>
      </c>
      <c r="AZ1327" t="s">
        <v>156</v>
      </c>
      <c r="BA1327">
        <v>0</v>
      </c>
      <c r="BC1327" t="s">
        <v>2749</v>
      </c>
      <c r="BD1327" s="4">
        <v>43283.808333333334</v>
      </c>
      <c r="BE1327" s="4">
        <v>43283.809421296297</v>
      </c>
      <c r="BF1327" s="4">
        <v>43283.809421296297</v>
      </c>
      <c r="BG1327" t="s">
        <v>83</v>
      </c>
      <c r="BH1327" t="s">
        <v>84</v>
      </c>
      <c r="BI1327" t="s">
        <v>85</v>
      </c>
    </row>
    <row r="1328" spans="1:61" x14ac:dyDescent="0.3">
      <c r="A1328" t="str">
        <f>"202242C0100"</f>
        <v>202242C0100</v>
      </c>
      <c r="B1328" t="s">
        <v>2750</v>
      </c>
      <c r="C1328">
        <v>20</v>
      </c>
      <c r="D1328" t="s">
        <v>79</v>
      </c>
      <c r="E1328">
        <v>6</v>
      </c>
      <c r="F1328" t="s">
        <v>2299</v>
      </c>
      <c r="G1328">
        <v>2242</v>
      </c>
      <c r="H1328">
        <v>1</v>
      </c>
      <c r="I1328" t="s">
        <v>89</v>
      </c>
      <c r="J1328">
        <v>0</v>
      </c>
      <c r="K1328">
        <v>2</v>
      </c>
      <c r="L1328">
        <v>2</v>
      </c>
      <c r="M1328">
        <v>351</v>
      </c>
      <c r="N1328">
        <v>355</v>
      </c>
      <c r="O1328">
        <v>4</v>
      </c>
      <c r="P1328">
        <v>282</v>
      </c>
      <c r="Q1328">
        <v>4</v>
      </c>
      <c r="R1328">
        <v>31</v>
      </c>
      <c r="S1328">
        <v>60</v>
      </c>
      <c r="T1328">
        <v>2</v>
      </c>
      <c r="U1328">
        <v>20</v>
      </c>
      <c r="V1328">
        <v>1</v>
      </c>
      <c r="W1328">
        <v>2</v>
      </c>
      <c r="X1328">
        <v>5</v>
      </c>
      <c r="Y1328">
        <v>114</v>
      </c>
      <c r="Z1328">
        <v>8</v>
      </c>
      <c r="AA1328">
        <v>3</v>
      </c>
      <c r="AB1328">
        <v>1</v>
      </c>
      <c r="AC1328">
        <v>0</v>
      </c>
      <c r="AD1328">
        <v>1</v>
      </c>
      <c r="AE1328">
        <v>0</v>
      </c>
      <c r="AF1328">
        <v>1</v>
      </c>
      <c r="AK1328">
        <v>2</v>
      </c>
      <c r="AL1328">
        <v>1</v>
      </c>
      <c r="AM1328">
        <v>0</v>
      </c>
      <c r="AN1328">
        <v>0</v>
      </c>
      <c r="AP1328">
        <v>0</v>
      </c>
      <c r="AT1328">
        <v>0</v>
      </c>
      <c r="AU1328">
        <v>26</v>
      </c>
      <c r="AV1328">
        <v>282</v>
      </c>
      <c r="AW1328">
        <v>282</v>
      </c>
      <c r="AX1328">
        <v>610</v>
      </c>
      <c r="BA1328">
        <v>1</v>
      </c>
      <c r="BC1328" t="s">
        <v>2751</v>
      </c>
      <c r="BD1328" s="4">
        <v>43283.450694444444</v>
      </c>
      <c r="BE1328" s="4">
        <v>43283.460150462961</v>
      </c>
      <c r="BF1328" s="4">
        <v>43283.460150462961</v>
      </c>
      <c r="BG1328" t="s">
        <v>83</v>
      </c>
      <c r="BH1328" t="s">
        <v>84</v>
      </c>
      <c r="BI1328" t="s">
        <v>85</v>
      </c>
    </row>
    <row r="1329" spans="1:61" x14ac:dyDescent="0.3">
      <c r="A1329" t="str">
        <f>"202242C0200"</f>
        <v>202242C0200</v>
      </c>
      <c r="B1329" t="s">
        <v>2752</v>
      </c>
      <c r="C1329">
        <v>20</v>
      </c>
      <c r="D1329" t="s">
        <v>79</v>
      </c>
      <c r="E1329">
        <v>6</v>
      </c>
      <c r="F1329" t="s">
        <v>2299</v>
      </c>
      <c r="G1329">
        <v>2242</v>
      </c>
      <c r="H1329">
        <v>2</v>
      </c>
      <c r="I1329" t="s">
        <v>89</v>
      </c>
      <c r="J1329">
        <v>0</v>
      </c>
      <c r="K1329">
        <v>2</v>
      </c>
      <c r="L1329">
        <v>2</v>
      </c>
      <c r="M1329">
        <v>383</v>
      </c>
      <c r="N1329">
        <v>250</v>
      </c>
      <c r="O1329">
        <v>4</v>
      </c>
      <c r="P1329">
        <v>250</v>
      </c>
      <c r="Q1329">
        <v>6</v>
      </c>
      <c r="R1329">
        <v>24</v>
      </c>
      <c r="S1329">
        <v>59</v>
      </c>
      <c r="T1329">
        <v>1</v>
      </c>
      <c r="U1329">
        <v>17</v>
      </c>
      <c r="V1329">
        <v>6</v>
      </c>
      <c r="W1329">
        <v>0</v>
      </c>
      <c r="X1329">
        <v>4</v>
      </c>
      <c r="Y1329">
        <v>107</v>
      </c>
      <c r="Z1329">
        <v>1</v>
      </c>
      <c r="AA1329">
        <v>1</v>
      </c>
      <c r="AB1329">
        <v>0</v>
      </c>
      <c r="AC1329">
        <v>0</v>
      </c>
      <c r="AD1329">
        <v>0</v>
      </c>
      <c r="AE1329">
        <v>0</v>
      </c>
      <c r="AF1329">
        <v>0</v>
      </c>
      <c r="AK1329">
        <v>0</v>
      </c>
      <c r="AL1329">
        <v>3</v>
      </c>
      <c r="AM1329">
        <v>0</v>
      </c>
      <c r="AN1329">
        <v>0</v>
      </c>
      <c r="AP1329">
        <v>0</v>
      </c>
      <c r="AT1329">
        <v>0</v>
      </c>
      <c r="AU1329">
        <v>21</v>
      </c>
      <c r="AV1329">
        <v>250</v>
      </c>
      <c r="AW1329">
        <v>250</v>
      </c>
      <c r="AX1329">
        <v>610</v>
      </c>
      <c r="BA1329">
        <v>1</v>
      </c>
      <c r="BC1329" t="s">
        <v>2753</v>
      </c>
      <c r="BD1329" s="4">
        <v>43283.447916666664</v>
      </c>
      <c r="BE1329" s="4">
        <v>43283.475624999999</v>
      </c>
      <c r="BF1329" s="4">
        <v>43283.475624999999</v>
      </c>
      <c r="BG1329" t="s">
        <v>83</v>
      </c>
      <c r="BH1329" t="s">
        <v>84</v>
      </c>
      <c r="BI1329" t="s">
        <v>85</v>
      </c>
    </row>
    <row r="1330" spans="1:61" x14ac:dyDescent="0.3">
      <c r="A1330" t="str">
        <f>"202243B0100"</f>
        <v>202243B0100</v>
      </c>
      <c r="B1330" t="s">
        <v>2754</v>
      </c>
      <c r="C1330">
        <v>20</v>
      </c>
      <c r="D1330" t="s">
        <v>79</v>
      </c>
      <c r="E1330">
        <v>6</v>
      </c>
      <c r="F1330" t="s">
        <v>2299</v>
      </c>
      <c r="G1330">
        <v>2243</v>
      </c>
      <c r="H1330">
        <v>1</v>
      </c>
      <c r="I1330" t="s">
        <v>81</v>
      </c>
      <c r="J1330">
        <v>0</v>
      </c>
      <c r="K1330">
        <v>2</v>
      </c>
      <c r="L1330">
        <v>2</v>
      </c>
      <c r="M1330">
        <v>228</v>
      </c>
      <c r="N1330">
        <v>265</v>
      </c>
      <c r="O1330">
        <v>0</v>
      </c>
      <c r="P1330">
        <v>265</v>
      </c>
      <c r="Q1330">
        <v>3</v>
      </c>
      <c r="R1330">
        <v>39</v>
      </c>
      <c r="S1330">
        <v>23</v>
      </c>
      <c r="T1330">
        <v>1</v>
      </c>
      <c r="U1330">
        <v>15</v>
      </c>
      <c r="V1330">
        <v>5</v>
      </c>
      <c r="W1330">
        <v>0</v>
      </c>
      <c r="X1330">
        <v>3</v>
      </c>
      <c r="Y1330">
        <v>139</v>
      </c>
      <c r="Z1330">
        <v>6</v>
      </c>
      <c r="AA1330">
        <v>0</v>
      </c>
      <c r="AB1330">
        <v>1</v>
      </c>
      <c r="AC1330">
        <v>0</v>
      </c>
      <c r="AD1330">
        <v>0</v>
      </c>
      <c r="AE1330">
        <v>0</v>
      </c>
      <c r="AF1330">
        <v>0</v>
      </c>
      <c r="AK1330">
        <v>6</v>
      </c>
      <c r="AL1330">
        <v>0</v>
      </c>
      <c r="AM1330">
        <v>0</v>
      </c>
      <c r="AN1330">
        <v>0</v>
      </c>
      <c r="AP1330">
        <v>5</v>
      </c>
      <c r="AT1330">
        <v>0</v>
      </c>
      <c r="AU1330">
        <v>19</v>
      </c>
      <c r="AV1330">
        <v>265</v>
      </c>
      <c r="AW1330">
        <v>265</v>
      </c>
      <c r="AX1330">
        <v>472</v>
      </c>
      <c r="BA1330">
        <v>1</v>
      </c>
      <c r="BC1330" t="s">
        <v>2755</v>
      </c>
      <c r="BD1330" s="4">
        <v>43283.023715277777</v>
      </c>
      <c r="BE1330" s="4">
        <v>43283.028587962966</v>
      </c>
      <c r="BF1330" s="4">
        <v>43283.028587962966</v>
      </c>
      <c r="BG1330" t="s">
        <v>373</v>
      </c>
      <c r="BH1330" t="s">
        <v>374</v>
      </c>
      <c r="BI1330" t="s">
        <v>85</v>
      </c>
    </row>
    <row r="1331" spans="1:61" x14ac:dyDescent="0.3">
      <c r="A1331" t="str">
        <f>"202243C0100"</f>
        <v>202243C0100</v>
      </c>
      <c r="B1331" t="s">
        <v>2756</v>
      </c>
      <c r="C1331">
        <v>20</v>
      </c>
      <c r="D1331" t="s">
        <v>79</v>
      </c>
      <c r="E1331">
        <v>6</v>
      </c>
      <c r="F1331" t="s">
        <v>2299</v>
      </c>
      <c r="G1331">
        <v>2243</v>
      </c>
      <c r="H1331">
        <v>1</v>
      </c>
      <c r="I1331" t="s">
        <v>89</v>
      </c>
      <c r="J1331">
        <v>0</v>
      </c>
      <c r="K1331">
        <v>2</v>
      </c>
      <c r="L1331">
        <v>2</v>
      </c>
      <c r="M1331">
        <v>194</v>
      </c>
      <c r="N1331">
        <v>300</v>
      </c>
      <c r="O1331">
        <v>0</v>
      </c>
      <c r="P1331">
        <v>300</v>
      </c>
      <c r="Q1331">
        <v>2</v>
      </c>
      <c r="R1331">
        <v>50</v>
      </c>
      <c r="S1331">
        <v>20</v>
      </c>
      <c r="T1331">
        <v>1</v>
      </c>
      <c r="U1331">
        <v>10</v>
      </c>
      <c r="V1331">
        <v>2</v>
      </c>
      <c r="W1331">
        <v>2</v>
      </c>
      <c r="X1331">
        <v>1</v>
      </c>
      <c r="Y1331">
        <v>180</v>
      </c>
      <c r="Z1331">
        <v>5</v>
      </c>
      <c r="AA1331">
        <v>0</v>
      </c>
      <c r="AB1331">
        <v>1</v>
      </c>
      <c r="AC1331">
        <v>0</v>
      </c>
      <c r="AD1331">
        <v>0</v>
      </c>
      <c r="AE1331">
        <v>0</v>
      </c>
      <c r="AF1331">
        <v>0</v>
      </c>
      <c r="AK1331">
        <v>4</v>
      </c>
      <c r="AL1331">
        <v>4</v>
      </c>
      <c r="AM1331">
        <v>0</v>
      </c>
      <c r="AN1331">
        <v>3</v>
      </c>
      <c r="AP1331">
        <v>1</v>
      </c>
      <c r="AT1331">
        <v>0</v>
      </c>
      <c r="AU1331">
        <v>14</v>
      </c>
      <c r="AV1331">
        <v>300</v>
      </c>
      <c r="AW1331">
        <v>300</v>
      </c>
      <c r="AX1331">
        <v>472</v>
      </c>
      <c r="BA1331">
        <v>1</v>
      </c>
      <c r="BC1331" t="s">
        <v>2757</v>
      </c>
      <c r="BD1331" s="4">
        <v>43282.978182870371</v>
      </c>
      <c r="BE1331" s="4">
        <v>43282.982534722221</v>
      </c>
      <c r="BF1331" s="4">
        <v>43282.982534722221</v>
      </c>
      <c r="BG1331" t="s">
        <v>373</v>
      </c>
      <c r="BH1331" t="s">
        <v>374</v>
      </c>
      <c r="BI1331" t="s">
        <v>85</v>
      </c>
    </row>
    <row r="1332" spans="1:61" x14ac:dyDescent="0.3">
      <c r="A1332" t="str">
        <f>"202274B0100"</f>
        <v>202274B0100</v>
      </c>
      <c r="B1332" t="s">
        <v>2758</v>
      </c>
      <c r="C1332">
        <v>20</v>
      </c>
      <c r="D1332" t="s">
        <v>79</v>
      </c>
      <c r="E1332">
        <v>6</v>
      </c>
      <c r="F1332" t="s">
        <v>2299</v>
      </c>
      <c r="G1332">
        <v>2274</v>
      </c>
      <c r="H1332">
        <v>1</v>
      </c>
      <c r="I1332" t="s">
        <v>81</v>
      </c>
      <c r="J1332">
        <v>0</v>
      </c>
      <c r="K1332">
        <v>2</v>
      </c>
      <c r="L1332">
        <v>2</v>
      </c>
      <c r="M1332">
        <v>277</v>
      </c>
      <c r="N1332">
        <v>150</v>
      </c>
      <c r="O1332">
        <v>0</v>
      </c>
      <c r="P1332">
        <v>150</v>
      </c>
      <c r="Q1332">
        <v>5</v>
      </c>
      <c r="R1332">
        <v>42</v>
      </c>
      <c r="S1332">
        <v>21</v>
      </c>
      <c r="T1332">
        <v>2</v>
      </c>
      <c r="U1332">
        <v>12</v>
      </c>
      <c r="V1332">
        <v>2</v>
      </c>
      <c r="W1332">
        <v>1</v>
      </c>
      <c r="X1332">
        <v>2</v>
      </c>
      <c r="Y1332">
        <v>43</v>
      </c>
      <c r="Z1332">
        <v>5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K1332">
        <v>1</v>
      </c>
      <c r="AL1332">
        <v>1</v>
      </c>
      <c r="AM1332">
        <v>1</v>
      </c>
      <c r="AN1332">
        <v>0</v>
      </c>
      <c r="AP1332">
        <v>1</v>
      </c>
      <c r="AT1332">
        <v>0</v>
      </c>
      <c r="AU1332">
        <v>11</v>
      </c>
      <c r="AV1332">
        <v>150</v>
      </c>
      <c r="AW1332">
        <v>150</v>
      </c>
      <c r="AX1332">
        <v>404</v>
      </c>
      <c r="BA1332">
        <v>1</v>
      </c>
      <c r="BC1332" t="s">
        <v>2759</v>
      </c>
      <c r="BD1332" s="4">
        <v>43283.372916666667</v>
      </c>
      <c r="BE1332" s="4">
        <v>43283.384259259263</v>
      </c>
      <c r="BF1332" s="4">
        <v>43283.384259259263</v>
      </c>
      <c r="BG1332" t="s">
        <v>83</v>
      </c>
      <c r="BH1332" t="s">
        <v>84</v>
      </c>
      <c r="BI1332" t="s">
        <v>85</v>
      </c>
    </row>
    <row r="1333" spans="1:61" x14ac:dyDescent="0.3">
      <c r="A1333" t="str">
        <f>"202274C0100"</f>
        <v>202274C0100</v>
      </c>
      <c r="B1333" t="s">
        <v>2760</v>
      </c>
      <c r="C1333">
        <v>20</v>
      </c>
      <c r="D1333" t="s">
        <v>79</v>
      </c>
      <c r="E1333">
        <v>6</v>
      </c>
      <c r="F1333" t="s">
        <v>2299</v>
      </c>
      <c r="G1333">
        <v>2274</v>
      </c>
      <c r="H1333">
        <v>1</v>
      </c>
      <c r="I1333" t="s">
        <v>89</v>
      </c>
      <c r="J1333">
        <v>0</v>
      </c>
      <c r="K1333">
        <v>2</v>
      </c>
      <c r="L1333">
        <v>2</v>
      </c>
      <c r="M1333">
        <v>247</v>
      </c>
      <c r="N1333">
        <v>178</v>
      </c>
      <c r="O1333">
        <v>0</v>
      </c>
      <c r="P1333">
        <v>178</v>
      </c>
      <c r="Q1333">
        <v>9</v>
      </c>
      <c r="R1333">
        <v>52</v>
      </c>
      <c r="S1333">
        <v>38</v>
      </c>
      <c r="T1333">
        <v>3</v>
      </c>
      <c r="U1333">
        <v>6</v>
      </c>
      <c r="V1333">
        <v>3</v>
      </c>
      <c r="W1333">
        <v>0</v>
      </c>
      <c r="X1333">
        <v>0</v>
      </c>
      <c r="Y1333">
        <v>51</v>
      </c>
      <c r="Z1333">
        <v>5</v>
      </c>
      <c r="AA1333">
        <v>0</v>
      </c>
      <c r="AB1333">
        <v>0</v>
      </c>
      <c r="AC1333">
        <v>1</v>
      </c>
      <c r="AD1333">
        <v>0</v>
      </c>
      <c r="AE1333">
        <v>0</v>
      </c>
      <c r="AF1333">
        <v>0</v>
      </c>
      <c r="AK1333">
        <v>1</v>
      </c>
      <c r="AL1333">
        <v>0</v>
      </c>
      <c r="AM1333">
        <v>0</v>
      </c>
      <c r="AN1333">
        <v>0</v>
      </c>
      <c r="AP1333">
        <v>0</v>
      </c>
      <c r="AT1333">
        <v>0</v>
      </c>
      <c r="AU1333">
        <v>9</v>
      </c>
      <c r="AV1333">
        <v>178</v>
      </c>
      <c r="AW1333">
        <v>178</v>
      </c>
      <c r="AX1333">
        <v>403</v>
      </c>
      <c r="BA1333">
        <v>1</v>
      </c>
      <c r="BC1333" t="s">
        <v>2761</v>
      </c>
      <c r="BD1333" s="4">
        <v>43283.370833333334</v>
      </c>
      <c r="BE1333" s="4">
        <v>43283.380023148151</v>
      </c>
      <c r="BF1333" s="4">
        <v>43283.380023148151</v>
      </c>
      <c r="BG1333" t="s">
        <v>83</v>
      </c>
      <c r="BH1333" t="s">
        <v>84</v>
      </c>
      <c r="BI1333" t="s">
        <v>85</v>
      </c>
    </row>
    <row r="1334" spans="1:61" x14ac:dyDescent="0.3">
      <c r="A1334" t="str">
        <f>"202275B0100"</f>
        <v>202275B0100</v>
      </c>
      <c r="B1334" t="s">
        <v>2762</v>
      </c>
      <c r="C1334">
        <v>20</v>
      </c>
      <c r="D1334" t="s">
        <v>79</v>
      </c>
      <c r="E1334">
        <v>6</v>
      </c>
      <c r="F1334" t="s">
        <v>2299</v>
      </c>
      <c r="G1334">
        <v>2275</v>
      </c>
      <c r="H1334">
        <v>1</v>
      </c>
      <c r="I1334" t="s">
        <v>81</v>
      </c>
      <c r="J1334">
        <v>0</v>
      </c>
      <c r="K1334">
        <v>2</v>
      </c>
      <c r="L1334">
        <v>2</v>
      </c>
      <c r="M1334">
        <v>216</v>
      </c>
      <c r="N1334">
        <v>472</v>
      </c>
      <c r="O1334">
        <v>8</v>
      </c>
      <c r="P1334">
        <v>472</v>
      </c>
      <c r="Q1334">
        <v>4</v>
      </c>
      <c r="R1334">
        <v>133</v>
      </c>
      <c r="S1334">
        <v>114</v>
      </c>
      <c r="T1334">
        <v>4</v>
      </c>
      <c r="U1334">
        <v>8</v>
      </c>
      <c r="V1334">
        <v>5</v>
      </c>
      <c r="W1334">
        <v>1</v>
      </c>
      <c r="X1334">
        <v>11</v>
      </c>
      <c r="Y1334">
        <v>121</v>
      </c>
      <c r="Z1334">
        <v>4</v>
      </c>
      <c r="AA1334">
        <v>29</v>
      </c>
      <c r="AB1334">
        <v>3</v>
      </c>
      <c r="AC1334">
        <v>0</v>
      </c>
      <c r="AD1334">
        <v>0</v>
      </c>
      <c r="AE1334">
        <v>1</v>
      </c>
      <c r="AF1334">
        <v>1</v>
      </c>
      <c r="AK1334">
        <v>6</v>
      </c>
      <c r="AL1334">
        <v>0</v>
      </c>
      <c r="AM1334">
        <v>0</v>
      </c>
      <c r="AN1334">
        <v>0</v>
      </c>
      <c r="AP1334">
        <v>0</v>
      </c>
      <c r="AT1334">
        <v>0</v>
      </c>
      <c r="AU1334">
        <v>27</v>
      </c>
      <c r="AV1334">
        <v>472</v>
      </c>
      <c r="AW1334">
        <v>472</v>
      </c>
      <c r="AX1334">
        <v>666</v>
      </c>
      <c r="BA1334">
        <v>1</v>
      </c>
      <c r="BC1334" t="s">
        <v>2763</v>
      </c>
      <c r="BD1334" s="4">
        <v>43283.429166666669</v>
      </c>
      <c r="BE1334" s="4">
        <v>43283.435127314813</v>
      </c>
      <c r="BF1334" s="4">
        <v>43283.435127314813</v>
      </c>
      <c r="BG1334" t="s">
        <v>83</v>
      </c>
      <c r="BH1334" t="s">
        <v>84</v>
      </c>
      <c r="BI1334" t="s">
        <v>85</v>
      </c>
    </row>
    <row r="1335" spans="1:61" x14ac:dyDescent="0.3">
      <c r="A1335" t="str">
        <f>"202275C0100"</f>
        <v>202275C0100</v>
      </c>
      <c r="B1335" t="s">
        <v>2764</v>
      </c>
      <c r="C1335">
        <v>20</v>
      </c>
      <c r="D1335" t="s">
        <v>79</v>
      </c>
      <c r="E1335">
        <v>6</v>
      </c>
      <c r="F1335" t="s">
        <v>2299</v>
      </c>
      <c r="G1335">
        <v>2275</v>
      </c>
      <c r="H1335">
        <v>1</v>
      </c>
      <c r="I1335" t="s">
        <v>89</v>
      </c>
      <c r="J1335">
        <v>0</v>
      </c>
      <c r="K1335">
        <v>2</v>
      </c>
      <c r="L1335">
        <v>2</v>
      </c>
      <c r="M1335">
        <v>227</v>
      </c>
      <c r="N1335">
        <v>460</v>
      </c>
      <c r="O1335">
        <v>0</v>
      </c>
      <c r="P1335">
        <v>460</v>
      </c>
      <c r="Q1335">
        <v>3</v>
      </c>
      <c r="R1335">
        <v>115</v>
      </c>
      <c r="S1335">
        <v>103</v>
      </c>
      <c r="T1335">
        <v>5</v>
      </c>
      <c r="U1335">
        <v>11</v>
      </c>
      <c r="V1335">
        <v>5</v>
      </c>
      <c r="W1335">
        <v>2</v>
      </c>
      <c r="X1335">
        <v>13</v>
      </c>
      <c r="Y1335">
        <v>135</v>
      </c>
      <c r="Z1335">
        <v>4</v>
      </c>
      <c r="AA1335">
        <v>25</v>
      </c>
      <c r="AB1335">
        <v>0</v>
      </c>
      <c r="AC1335">
        <v>1</v>
      </c>
      <c r="AD1335">
        <v>0</v>
      </c>
      <c r="AE1335">
        <v>0</v>
      </c>
      <c r="AF1335">
        <v>1</v>
      </c>
      <c r="AK1335">
        <v>1</v>
      </c>
      <c r="AL1335">
        <v>0</v>
      </c>
      <c r="AM1335">
        <v>0</v>
      </c>
      <c r="AN1335">
        <v>4</v>
      </c>
      <c r="AP1335">
        <v>0</v>
      </c>
      <c r="AT1335">
        <v>0</v>
      </c>
      <c r="AU1335">
        <v>32</v>
      </c>
      <c r="AV1335">
        <v>460</v>
      </c>
      <c r="AW1335">
        <v>460</v>
      </c>
      <c r="AX1335">
        <v>665</v>
      </c>
      <c r="BA1335">
        <v>1</v>
      </c>
      <c r="BC1335" s="2" t="s">
        <v>2765</v>
      </c>
      <c r="BD1335" s="4">
        <v>43283.427777777775</v>
      </c>
      <c r="BE1335" s="4">
        <v>43283.433113425926</v>
      </c>
      <c r="BF1335" s="4">
        <v>43283.433113425926</v>
      </c>
      <c r="BG1335" t="s">
        <v>83</v>
      </c>
      <c r="BH1335" t="s">
        <v>84</v>
      </c>
      <c r="BI1335" t="s">
        <v>85</v>
      </c>
    </row>
    <row r="1336" spans="1:61" x14ac:dyDescent="0.3">
      <c r="A1336" t="str">
        <f>"202276B0100"</f>
        <v>202276B0100</v>
      </c>
      <c r="B1336" t="s">
        <v>2766</v>
      </c>
      <c r="C1336">
        <v>20</v>
      </c>
      <c r="D1336" t="s">
        <v>79</v>
      </c>
      <c r="E1336">
        <v>6</v>
      </c>
      <c r="F1336" t="s">
        <v>2299</v>
      </c>
      <c r="G1336">
        <v>2276</v>
      </c>
      <c r="H1336">
        <v>1</v>
      </c>
      <c r="I1336" t="s">
        <v>81</v>
      </c>
      <c r="J1336">
        <v>0</v>
      </c>
      <c r="K1336">
        <v>1</v>
      </c>
      <c r="L1336">
        <v>2</v>
      </c>
      <c r="M1336">
        <v>212</v>
      </c>
      <c r="N1336">
        <v>368</v>
      </c>
      <c r="O1336">
        <v>3</v>
      </c>
      <c r="P1336">
        <v>368</v>
      </c>
      <c r="Q1336">
        <v>9</v>
      </c>
      <c r="R1336">
        <v>107</v>
      </c>
      <c r="S1336">
        <v>80</v>
      </c>
      <c r="T1336">
        <v>5</v>
      </c>
      <c r="U1336">
        <v>7</v>
      </c>
      <c r="V1336">
        <v>3</v>
      </c>
      <c r="W1336">
        <v>2</v>
      </c>
      <c r="X1336">
        <v>14</v>
      </c>
      <c r="Y1336">
        <v>107</v>
      </c>
      <c r="Z1336">
        <v>4</v>
      </c>
      <c r="AA1336">
        <v>3</v>
      </c>
      <c r="AB1336">
        <v>1</v>
      </c>
      <c r="AC1336">
        <v>0</v>
      </c>
      <c r="AD1336">
        <v>0</v>
      </c>
      <c r="AE1336">
        <v>0</v>
      </c>
      <c r="AF1336">
        <v>0</v>
      </c>
      <c r="AK1336">
        <v>1</v>
      </c>
      <c r="AL1336">
        <v>0</v>
      </c>
      <c r="AM1336">
        <v>0</v>
      </c>
      <c r="AN1336">
        <v>2</v>
      </c>
      <c r="AP1336">
        <v>3</v>
      </c>
      <c r="AT1336">
        <v>0</v>
      </c>
      <c r="AU1336">
        <v>18</v>
      </c>
      <c r="AV1336">
        <v>368</v>
      </c>
      <c r="AW1336">
        <v>366</v>
      </c>
      <c r="AX1336">
        <v>557</v>
      </c>
      <c r="BA1336">
        <v>1</v>
      </c>
      <c r="BC1336" t="s">
        <v>2767</v>
      </c>
      <c r="BD1336" s="4">
        <v>43283.424305555556</v>
      </c>
      <c r="BE1336" s="4">
        <v>43283.428541666668</v>
      </c>
      <c r="BF1336" s="4">
        <v>43283.428541666668</v>
      </c>
      <c r="BG1336" t="s">
        <v>83</v>
      </c>
      <c r="BH1336" t="s">
        <v>84</v>
      </c>
      <c r="BI1336" t="s">
        <v>85</v>
      </c>
    </row>
    <row r="1337" spans="1:61" x14ac:dyDescent="0.3">
      <c r="A1337" t="str">
        <f>"202276C0100"</f>
        <v>202276C0100</v>
      </c>
      <c r="B1337" t="s">
        <v>2768</v>
      </c>
      <c r="C1337">
        <v>20</v>
      </c>
      <c r="D1337" t="s">
        <v>79</v>
      </c>
      <c r="E1337">
        <v>6</v>
      </c>
      <c r="F1337" t="s">
        <v>2299</v>
      </c>
      <c r="G1337">
        <v>2276</v>
      </c>
      <c r="H1337">
        <v>1</v>
      </c>
      <c r="I1337" t="s">
        <v>89</v>
      </c>
      <c r="J1337">
        <v>0</v>
      </c>
      <c r="K1337">
        <v>1</v>
      </c>
      <c r="L1337">
        <v>2</v>
      </c>
      <c r="M1337">
        <v>165</v>
      </c>
      <c r="N1337">
        <v>414</v>
      </c>
      <c r="O1337">
        <v>2</v>
      </c>
      <c r="P1337">
        <v>414</v>
      </c>
      <c r="Q1337">
        <v>3</v>
      </c>
      <c r="R1337">
        <v>134</v>
      </c>
      <c r="S1337">
        <v>95</v>
      </c>
      <c r="T1337">
        <v>4</v>
      </c>
      <c r="U1337">
        <v>3</v>
      </c>
      <c r="V1337">
        <v>3</v>
      </c>
      <c r="W1337">
        <v>1</v>
      </c>
      <c r="X1337">
        <v>14</v>
      </c>
      <c r="Y1337">
        <v>109</v>
      </c>
      <c r="Z1337">
        <v>7</v>
      </c>
      <c r="AA1337">
        <v>9</v>
      </c>
      <c r="AB1337">
        <v>3</v>
      </c>
      <c r="AC1337">
        <v>0</v>
      </c>
      <c r="AD1337">
        <v>1</v>
      </c>
      <c r="AE1337">
        <v>0</v>
      </c>
      <c r="AF1337">
        <v>0</v>
      </c>
      <c r="AK1337">
        <v>2</v>
      </c>
      <c r="AL1337">
        <v>0</v>
      </c>
      <c r="AM1337">
        <v>0</v>
      </c>
      <c r="AN1337">
        <v>0</v>
      </c>
      <c r="AP1337">
        <v>3</v>
      </c>
      <c r="AT1337">
        <v>0</v>
      </c>
      <c r="AU1337">
        <v>23</v>
      </c>
      <c r="AV1337" t="s">
        <v>100</v>
      </c>
      <c r="AW1337">
        <v>414</v>
      </c>
      <c r="AX1337">
        <v>557</v>
      </c>
      <c r="BA1337">
        <v>1</v>
      </c>
      <c r="BC1337" t="s">
        <v>2769</v>
      </c>
      <c r="BD1337" s="4">
        <v>43283.425000000003</v>
      </c>
      <c r="BE1337" s="4">
        <v>43283.428368055553</v>
      </c>
      <c r="BF1337" s="4">
        <v>43283.428368055553</v>
      </c>
      <c r="BG1337" t="s">
        <v>83</v>
      </c>
      <c r="BH1337" t="s">
        <v>84</v>
      </c>
      <c r="BI1337" t="s">
        <v>85</v>
      </c>
    </row>
    <row r="1338" spans="1:61" x14ac:dyDescent="0.3">
      <c r="A1338" t="str">
        <f>"202277B0100"</f>
        <v>202277B0100</v>
      </c>
      <c r="B1338" t="s">
        <v>2770</v>
      </c>
      <c r="C1338">
        <v>20</v>
      </c>
      <c r="D1338" t="s">
        <v>79</v>
      </c>
      <c r="E1338">
        <v>6</v>
      </c>
      <c r="F1338" t="s">
        <v>2299</v>
      </c>
      <c r="G1338">
        <v>2277</v>
      </c>
      <c r="H1338">
        <v>1</v>
      </c>
      <c r="I1338" t="s">
        <v>81</v>
      </c>
      <c r="J1338">
        <v>0</v>
      </c>
      <c r="K1338">
        <v>2</v>
      </c>
      <c r="L1338">
        <v>2</v>
      </c>
      <c r="M1338">
        <v>167</v>
      </c>
      <c r="N1338">
        <v>176</v>
      </c>
      <c r="O1338">
        <v>3</v>
      </c>
      <c r="P1338">
        <v>176</v>
      </c>
      <c r="Q1338">
        <v>5</v>
      </c>
      <c r="R1338">
        <v>127</v>
      </c>
      <c r="S1338">
        <v>6</v>
      </c>
      <c r="T1338">
        <v>2</v>
      </c>
      <c r="U1338">
        <v>2</v>
      </c>
      <c r="V1338">
        <v>2</v>
      </c>
      <c r="W1338">
        <v>0</v>
      </c>
      <c r="X1338">
        <v>0</v>
      </c>
      <c r="Y1338">
        <v>16</v>
      </c>
      <c r="Z1338">
        <v>1</v>
      </c>
      <c r="AA1338">
        <v>8</v>
      </c>
      <c r="AB1338">
        <v>0</v>
      </c>
      <c r="AC1338">
        <v>0</v>
      </c>
      <c r="AD1338">
        <v>0</v>
      </c>
      <c r="AE1338">
        <v>0</v>
      </c>
      <c r="AF1338">
        <v>0</v>
      </c>
      <c r="AK1338">
        <v>0</v>
      </c>
      <c r="AL1338">
        <v>0</v>
      </c>
      <c r="AM1338">
        <v>0</v>
      </c>
      <c r="AN1338">
        <v>1</v>
      </c>
      <c r="AP1338">
        <v>3</v>
      </c>
      <c r="AT1338">
        <v>0</v>
      </c>
      <c r="AU1338">
        <v>4</v>
      </c>
      <c r="AV1338">
        <v>176</v>
      </c>
      <c r="AW1338">
        <v>177</v>
      </c>
      <c r="AX1338">
        <v>321</v>
      </c>
      <c r="BA1338">
        <v>1</v>
      </c>
      <c r="BC1338" t="s">
        <v>2771</v>
      </c>
      <c r="BD1338" s="4">
        <v>43283.688194444447</v>
      </c>
      <c r="BE1338" s="4">
        <v>43283.691828703704</v>
      </c>
      <c r="BF1338" s="4">
        <v>43283.691828703704</v>
      </c>
      <c r="BG1338" t="s">
        <v>83</v>
      </c>
      <c r="BH1338" t="s">
        <v>84</v>
      </c>
      <c r="BI1338" t="s">
        <v>85</v>
      </c>
    </row>
    <row r="1339" spans="1:61" x14ac:dyDescent="0.3">
      <c r="A1339" t="str">
        <f>"202278B0100"</f>
        <v>202278B0100</v>
      </c>
      <c r="B1339" t="s">
        <v>2772</v>
      </c>
      <c r="C1339">
        <v>20</v>
      </c>
      <c r="D1339" t="s">
        <v>79</v>
      </c>
      <c r="E1339">
        <v>6</v>
      </c>
      <c r="F1339" t="s">
        <v>2299</v>
      </c>
      <c r="G1339">
        <v>2278</v>
      </c>
      <c r="H1339">
        <v>1</v>
      </c>
      <c r="I1339" t="s">
        <v>81</v>
      </c>
      <c r="J1339">
        <v>0</v>
      </c>
      <c r="K1339">
        <v>2</v>
      </c>
      <c r="L1339">
        <v>2</v>
      </c>
      <c r="M1339">
        <v>192</v>
      </c>
      <c r="N1339">
        <v>132</v>
      </c>
      <c r="O1339">
        <v>1</v>
      </c>
      <c r="P1339">
        <v>132</v>
      </c>
      <c r="Q1339">
        <v>6</v>
      </c>
      <c r="R1339">
        <v>6</v>
      </c>
      <c r="S1339">
        <v>52</v>
      </c>
      <c r="T1339">
        <v>1</v>
      </c>
      <c r="U1339">
        <v>2</v>
      </c>
      <c r="V1339">
        <v>3</v>
      </c>
      <c r="W1339">
        <v>0</v>
      </c>
      <c r="X1339">
        <v>0</v>
      </c>
      <c r="Y1339">
        <v>39</v>
      </c>
      <c r="Z1339">
        <v>1</v>
      </c>
      <c r="AA1339">
        <v>5</v>
      </c>
      <c r="AB1339">
        <v>0</v>
      </c>
      <c r="AC1339">
        <v>2</v>
      </c>
      <c r="AD1339">
        <v>0</v>
      </c>
      <c r="AE1339">
        <v>0</v>
      </c>
      <c r="AF1339">
        <v>0</v>
      </c>
      <c r="AK1339">
        <v>4</v>
      </c>
      <c r="AL1339">
        <v>0</v>
      </c>
      <c r="AM1339">
        <v>0</v>
      </c>
      <c r="AN1339">
        <v>0</v>
      </c>
      <c r="AP1339">
        <v>0</v>
      </c>
      <c r="AT1339">
        <v>0</v>
      </c>
      <c r="AU1339">
        <v>11</v>
      </c>
      <c r="AV1339">
        <v>132</v>
      </c>
      <c r="AW1339">
        <v>132</v>
      </c>
      <c r="AX1339">
        <v>301</v>
      </c>
      <c r="BA1339">
        <v>1</v>
      </c>
      <c r="BC1339" t="s">
        <v>2773</v>
      </c>
      <c r="BD1339" s="4">
        <v>43283.388888888891</v>
      </c>
      <c r="BE1339" s="4">
        <v>43283.393113425926</v>
      </c>
      <c r="BF1339" s="4">
        <v>43283.393113425926</v>
      </c>
      <c r="BG1339" t="s">
        <v>83</v>
      </c>
      <c r="BH1339" t="s">
        <v>84</v>
      </c>
      <c r="BI1339" t="s">
        <v>85</v>
      </c>
    </row>
    <row r="1340" spans="1:61" x14ac:dyDescent="0.3">
      <c r="A1340" t="str">
        <f>"202279B0100"</f>
        <v>202279B0100</v>
      </c>
      <c r="B1340" t="s">
        <v>2774</v>
      </c>
      <c r="C1340">
        <v>20</v>
      </c>
      <c r="D1340" t="s">
        <v>79</v>
      </c>
      <c r="E1340">
        <v>6</v>
      </c>
      <c r="F1340" t="s">
        <v>2299</v>
      </c>
      <c r="G1340">
        <v>2279</v>
      </c>
      <c r="H1340">
        <v>1</v>
      </c>
      <c r="I1340" t="s">
        <v>81</v>
      </c>
      <c r="J1340">
        <v>0</v>
      </c>
      <c r="K1340">
        <v>2</v>
      </c>
      <c r="L1340">
        <v>2</v>
      </c>
      <c r="M1340">
        <v>195</v>
      </c>
      <c r="N1340">
        <v>168</v>
      </c>
      <c r="O1340">
        <v>2</v>
      </c>
      <c r="P1340">
        <v>168</v>
      </c>
      <c r="Q1340">
        <v>6</v>
      </c>
      <c r="R1340">
        <v>30</v>
      </c>
      <c r="S1340">
        <v>18</v>
      </c>
      <c r="T1340">
        <v>2</v>
      </c>
      <c r="U1340">
        <v>7</v>
      </c>
      <c r="V1340">
        <v>2</v>
      </c>
      <c r="W1340">
        <v>1</v>
      </c>
      <c r="X1340">
        <v>3</v>
      </c>
      <c r="Y1340">
        <v>79</v>
      </c>
      <c r="Z1340">
        <v>5</v>
      </c>
      <c r="AA1340">
        <v>2</v>
      </c>
      <c r="AB1340">
        <v>1</v>
      </c>
      <c r="AC1340" t="s">
        <v>100</v>
      </c>
      <c r="AD1340" t="s">
        <v>100</v>
      </c>
      <c r="AE1340" t="s">
        <v>100</v>
      </c>
      <c r="AF1340" t="s">
        <v>100</v>
      </c>
      <c r="AK1340">
        <v>3</v>
      </c>
      <c r="AL1340" t="s">
        <v>100</v>
      </c>
      <c r="AM1340" t="s">
        <v>100</v>
      </c>
      <c r="AN1340" t="s">
        <v>100</v>
      </c>
      <c r="AP1340" t="s">
        <v>100</v>
      </c>
      <c r="AT1340" t="s">
        <v>100</v>
      </c>
      <c r="AU1340">
        <v>9</v>
      </c>
      <c r="AV1340">
        <v>168</v>
      </c>
      <c r="AW1340">
        <v>168</v>
      </c>
      <c r="AX1340">
        <v>341</v>
      </c>
      <c r="AZ1340" t="s">
        <v>101</v>
      </c>
      <c r="BA1340">
        <v>1</v>
      </c>
      <c r="BC1340" t="s">
        <v>2775</v>
      </c>
      <c r="BD1340" s="4">
        <v>43283.429861111108</v>
      </c>
      <c r="BE1340" s="4">
        <v>43283.433715277781</v>
      </c>
      <c r="BF1340" s="4">
        <v>43283.433715277781</v>
      </c>
      <c r="BG1340" t="s">
        <v>83</v>
      </c>
      <c r="BH1340" t="s">
        <v>84</v>
      </c>
      <c r="BI1340" t="s">
        <v>85</v>
      </c>
    </row>
    <row r="1341" spans="1:61" x14ac:dyDescent="0.3">
      <c r="A1341" t="str">
        <f>"202280B0100"</f>
        <v>202280B0100</v>
      </c>
      <c r="B1341" t="s">
        <v>2776</v>
      </c>
      <c r="C1341">
        <v>20</v>
      </c>
      <c r="D1341" t="s">
        <v>79</v>
      </c>
      <c r="E1341">
        <v>6</v>
      </c>
      <c r="F1341" t="s">
        <v>2299</v>
      </c>
      <c r="G1341">
        <v>2280</v>
      </c>
      <c r="H1341">
        <v>1</v>
      </c>
      <c r="I1341" t="s">
        <v>81</v>
      </c>
      <c r="J1341">
        <v>0</v>
      </c>
      <c r="K1341">
        <v>2</v>
      </c>
      <c r="L1341">
        <v>2</v>
      </c>
      <c r="M1341">
        <v>59</v>
      </c>
      <c r="N1341">
        <v>70</v>
      </c>
      <c r="O1341">
        <v>4</v>
      </c>
      <c r="P1341">
        <v>70</v>
      </c>
      <c r="Q1341">
        <v>3</v>
      </c>
      <c r="R1341">
        <v>4</v>
      </c>
      <c r="S1341">
        <v>30</v>
      </c>
      <c r="T1341">
        <v>0</v>
      </c>
      <c r="U1341">
        <v>1</v>
      </c>
      <c r="V1341">
        <v>0</v>
      </c>
      <c r="W1341">
        <v>0</v>
      </c>
      <c r="X1341">
        <v>0</v>
      </c>
      <c r="Y1341">
        <v>25</v>
      </c>
      <c r="Z1341">
        <v>1</v>
      </c>
      <c r="AA1341">
        <v>1</v>
      </c>
      <c r="AB1341">
        <v>0</v>
      </c>
      <c r="AC1341">
        <v>0</v>
      </c>
      <c r="AD1341">
        <v>0</v>
      </c>
      <c r="AE1341">
        <v>0</v>
      </c>
      <c r="AF1341">
        <v>0</v>
      </c>
      <c r="AK1341">
        <v>0</v>
      </c>
      <c r="AL1341">
        <v>0</v>
      </c>
      <c r="AM1341">
        <v>0</v>
      </c>
      <c r="AN1341">
        <v>0</v>
      </c>
      <c r="AP1341">
        <v>0</v>
      </c>
      <c r="AT1341">
        <v>0</v>
      </c>
      <c r="AU1341">
        <v>5</v>
      </c>
      <c r="AV1341">
        <v>70</v>
      </c>
      <c r="AW1341">
        <v>70</v>
      </c>
      <c r="AX1341">
        <v>107</v>
      </c>
      <c r="BA1341">
        <v>1</v>
      </c>
      <c r="BC1341" t="s">
        <v>2777</v>
      </c>
      <c r="BD1341" s="4">
        <v>43283.430555555555</v>
      </c>
      <c r="BE1341" s="4">
        <v>43283.434201388889</v>
      </c>
      <c r="BF1341" s="4">
        <v>43283.434201388889</v>
      </c>
      <c r="BG1341" t="s">
        <v>83</v>
      </c>
      <c r="BH1341" t="s">
        <v>84</v>
      </c>
      <c r="BI1341" t="s">
        <v>85</v>
      </c>
    </row>
    <row r="1342" spans="1:61" x14ac:dyDescent="0.3">
      <c r="A1342" t="str">
        <f>"202281B0100"</f>
        <v>202281B0100</v>
      </c>
      <c r="B1342" t="s">
        <v>2778</v>
      </c>
      <c r="C1342">
        <v>20</v>
      </c>
      <c r="D1342" t="s">
        <v>79</v>
      </c>
      <c r="E1342">
        <v>6</v>
      </c>
      <c r="F1342" t="s">
        <v>2299</v>
      </c>
      <c r="G1342">
        <v>2281</v>
      </c>
      <c r="H1342">
        <v>1</v>
      </c>
      <c r="I1342" t="s">
        <v>81</v>
      </c>
      <c r="J1342">
        <v>0</v>
      </c>
      <c r="K1342">
        <v>2</v>
      </c>
      <c r="L1342">
        <v>2</v>
      </c>
      <c r="M1342">
        <v>226</v>
      </c>
      <c r="N1342">
        <v>112</v>
      </c>
      <c r="O1342">
        <v>3</v>
      </c>
      <c r="P1342">
        <v>112</v>
      </c>
      <c r="Q1342">
        <v>2</v>
      </c>
      <c r="R1342">
        <v>43</v>
      </c>
      <c r="S1342">
        <v>17</v>
      </c>
      <c r="T1342">
        <v>3</v>
      </c>
      <c r="U1342">
        <v>4</v>
      </c>
      <c r="V1342">
        <v>1</v>
      </c>
      <c r="W1342">
        <v>0</v>
      </c>
      <c r="X1342">
        <v>1</v>
      </c>
      <c r="Y1342">
        <v>25</v>
      </c>
      <c r="Z1342">
        <v>3</v>
      </c>
      <c r="AA1342">
        <v>3</v>
      </c>
      <c r="AB1342">
        <v>2</v>
      </c>
      <c r="AC1342">
        <v>0</v>
      </c>
      <c r="AD1342">
        <v>0</v>
      </c>
      <c r="AE1342">
        <v>0</v>
      </c>
      <c r="AF1342">
        <v>0</v>
      </c>
      <c r="AK1342">
        <v>0</v>
      </c>
      <c r="AL1342">
        <v>1</v>
      </c>
      <c r="AM1342">
        <v>0</v>
      </c>
      <c r="AN1342">
        <v>0</v>
      </c>
      <c r="AP1342">
        <v>0</v>
      </c>
      <c r="AT1342">
        <v>0</v>
      </c>
      <c r="AU1342">
        <v>7</v>
      </c>
      <c r="AV1342">
        <v>112</v>
      </c>
      <c r="AW1342">
        <v>112</v>
      </c>
      <c r="AX1342">
        <v>316</v>
      </c>
      <c r="BA1342">
        <v>1</v>
      </c>
      <c r="BC1342" t="s">
        <v>2779</v>
      </c>
      <c r="BD1342" s="4">
        <v>43283.428472222222</v>
      </c>
      <c r="BE1342" s="4">
        <v>43283.457939814813</v>
      </c>
      <c r="BF1342" s="4">
        <v>43283.457939814813</v>
      </c>
      <c r="BG1342" t="s">
        <v>83</v>
      </c>
      <c r="BH1342" t="s">
        <v>84</v>
      </c>
      <c r="BI1342" t="s">
        <v>85</v>
      </c>
    </row>
    <row r="1343" spans="1:61" x14ac:dyDescent="0.3">
      <c r="A1343" t="str">
        <f>"202282B0100"</f>
        <v>202282B0100</v>
      </c>
      <c r="B1343" t="s">
        <v>2780</v>
      </c>
      <c r="C1343">
        <v>20</v>
      </c>
      <c r="D1343" t="s">
        <v>79</v>
      </c>
      <c r="E1343">
        <v>6</v>
      </c>
      <c r="F1343" t="s">
        <v>2299</v>
      </c>
      <c r="G1343">
        <v>2282</v>
      </c>
      <c r="H1343">
        <v>1</v>
      </c>
      <c r="I1343" t="s">
        <v>81</v>
      </c>
      <c r="J1343">
        <v>0</v>
      </c>
      <c r="K1343">
        <v>2</v>
      </c>
      <c r="L1343">
        <v>2</v>
      </c>
      <c r="M1343">
        <v>169</v>
      </c>
      <c r="N1343">
        <v>117</v>
      </c>
      <c r="O1343">
        <v>5</v>
      </c>
      <c r="P1343">
        <v>117</v>
      </c>
      <c r="Q1343">
        <v>6</v>
      </c>
      <c r="R1343">
        <v>28</v>
      </c>
      <c r="S1343">
        <v>11</v>
      </c>
      <c r="T1343">
        <v>2</v>
      </c>
      <c r="U1343">
        <v>2</v>
      </c>
      <c r="V1343">
        <v>2</v>
      </c>
      <c r="W1343">
        <v>0</v>
      </c>
      <c r="X1343">
        <v>3</v>
      </c>
      <c r="Y1343">
        <v>32</v>
      </c>
      <c r="Z1343">
        <v>1</v>
      </c>
      <c r="AA1343">
        <v>16</v>
      </c>
      <c r="AB1343">
        <v>2</v>
      </c>
      <c r="AC1343">
        <v>0</v>
      </c>
      <c r="AD1343">
        <v>2</v>
      </c>
      <c r="AE1343">
        <v>0</v>
      </c>
      <c r="AF1343">
        <v>0</v>
      </c>
      <c r="AK1343">
        <v>0</v>
      </c>
      <c r="AL1343">
        <v>0</v>
      </c>
      <c r="AM1343">
        <v>0</v>
      </c>
      <c r="AN1343">
        <v>0</v>
      </c>
      <c r="AP1343">
        <v>0</v>
      </c>
      <c r="AT1343">
        <v>0</v>
      </c>
      <c r="AU1343">
        <v>10</v>
      </c>
      <c r="AV1343">
        <v>117</v>
      </c>
      <c r="AW1343">
        <v>117</v>
      </c>
      <c r="AX1343">
        <v>264</v>
      </c>
      <c r="BA1343">
        <v>1</v>
      </c>
      <c r="BC1343" t="s">
        <v>2781</v>
      </c>
      <c r="BD1343" s="4">
        <v>43283.426388888889</v>
      </c>
      <c r="BE1343" s="4">
        <v>43283.429143518515</v>
      </c>
      <c r="BF1343" s="4">
        <v>43283.429143518515</v>
      </c>
      <c r="BG1343" t="s">
        <v>83</v>
      </c>
      <c r="BH1343" t="s">
        <v>84</v>
      </c>
      <c r="BI1343" t="s">
        <v>85</v>
      </c>
    </row>
    <row r="1344" spans="1:61" x14ac:dyDescent="0.3">
      <c r="A1344" t="str">
        <f>"202283B0100"</f>
        <v>202283B0100</v>
      </c>
      <c r="B1344" t="s">
        <v>2782</v>
      </c>
      <c r="C1344">
        <v>20</v>
      </c>
      <c r="D1344" t="s">
        <v>79</v>
      </c>
      <c r="E1344">
        <v>6</v>
      </c>
      <c r="F1344" t="s">
        <v>2299</v>
      </c>
      <c r="G1344">
        <v>2283</v>
      </c>
      <c r="H1344">
        <v>1</v>
      </c>
      <c r="I1344" t="s">
        <v>81</v>
      </c>
      <c r="J1344">
        <v>0</v>
      </c>
      <c r="K1344">
        <v>2</v>
      </c>
      <c r="L1344">
        <v>2</v>
      </c>
      <c r="M1344">
        <v>94</v>
      </c>
      <c r="N1344">
        <v>132</v>
      </c>
      <c r="O1344">
        <v>7</v>
      </c>
      <c r="P1344">
        <v>125</v>
      </c>
      <c r="Q1344">
        <v>2</v>
      </c>
      <c r="R1344">
        <v>60</v>
      </c>
      <c r="S1344">
        <v>12</v>
      </c>
      <c r="T1344">
        <v>4</v>
      </c>
      <c r="U1344">
        <v>1</v>
      </c>
      <c r="V1344">
        <v>1</v>
      </c>
      <c r="W1344">
        <v>0</v>
      </c>
      <c r="X1344">
        <v>3</v>
      </c>
      <c r="Y1344">
        <v>26</v>
      </c>
      <c r="Z1344">
        <v>0</v>
      </c>
      <c r="AA1344">
        <v>7</v>
      </c>
      <c r="AB1344">
        <v>0</v>
      </c>
      <c r="AC1344">
        <v>0</v>
      </c>
      <c r="AD1344">
        <v>0</v>
      </c>
      <c r="AE1344">
        <v>0</v>
      </c>
      <c r="AF1344">
        <v>0</v>
      </c>
      <c r="AK1344">
        <v>0</v>
      </c>
      <c r="AL1344">
        <v>0</v>
      </c>
      <c r="AM1344">
        <v>0</v>
      </c>
      <c r="AN1344">
        <v>0</v>
      </c>
      <c r="AP1344">
        <v>2</v>
      </c>
      <c r="AT1344">
        <v>0</v>
      </c>
      <c r="AU1344">
        <v>7</v>
      </c>
      <c r="AV1344">
        <v>125</v>
      </c>
      <c r="AW1344">
        <v>125</v>
      </c>
      <c r="AX1344">
        <v>197</v>
      </c>
      <c r="BA1344">
        <v>1</v>
      </c>
      <c r="BC1344" t="s">
        <v>2783</v>
      </c>
      <c r="BD1344" s="4">
        <v>43283.424305555556</v>
      </c>
      <c r="BE1344" s="4">
        <v>43283.428182870368</v>
      </c>
      <c r="BF1344" s="4">
        <v>43283.428182870368</v>
      </c>
      <c r="BG1344" t="s">
        <v>83</v>
      </c>
      <c r="BH1344" t="s">
        <v>84</v>
      </c>
      <c r="BI1344" t="s">
        <v>85</v>
      </c>
    </row>
    <row r="1345" spans="1:61" x14ac:dyDescent="0.3">
      <c r="A1345" t="str">
        <f>"202284B0100"</f>
        <v>202284B0100</v>
      </c>
      <c r="B1345" t="s">
        <v>2784</v>
      </c>
      <c r="C1345">
        <v>20</v>
      </c>
      <c r="D1345" t="s">
        <v>79</v>
      </c>
      <c r="E1345">
        <v>6</v>
      </c>
      <c r="F1345" t="s">
        <v>2299</v>
      </c>
      <c r="G1345">
        <v>2284</v>
      </c>
      <c r="H1345">
        <v>1</v>
      </c>
      <c r="I1345" t="s">
        <v>81</v>
      </c>
      <c r="J1345">
        <v>0</v>
      </c>
      <c r="K1345">
        <v>2</v>
      </c>
      <c r="L1345">
        <v>2</v>
      </c>
      <c r="M1345">
        <v>79</v>
      </c>
      <c r="N1345">
        <v>154</v>
      </c>
      <c r="O1345">
        <v>3</v>
      </c>
      <c r="P1345">
        <v>154</v>
      </c>
      <c r="Q1345">
        <v>8</v>
      </c>
      <c r="R1345">
        <v>29</v>
      </c>
      <c r="S1345">
        <v>15</v>
      </c>
      <c r="T1345">
        <v>5</v>
      </c>
      <c r="U1345">
        <v>7</v>
      </c>
      <c r="V1345">
        <v>0</v>
      </c>
      <c r="W1345">
        <v>0</v>
      </c>
      <c r="X1345">
        <v>4</v>
      </c>
      <c r="Y1345">
        <v>59</v>
      </c>
      <c r="Z1345">
        <v>3</v>
      </c>
      <c r="AA1345">
        <v>10</v>
      </c>
      <c r="AB1345">
        <v>0</v>
      </c>
      <c r="AC1345">
        <v>0</v>
      </c>
      <c r="AD1345">
        <v>2</v>
      </c>
      <c r="AE1345">
        <v>0</v>
      </c>
      <c r="AF1345">
        <v>0</v>
      </c>
      <c r="AK1345">
        <v>0</v>
      </c>
      <c r="AL1345">
        <v>0</v>
      </c>
      <c r="AM1345">
        <v>0</v>
      </c>
      <c r="AN1345">
        <v>0</v>
      </c>
      <c r="AP1345">
        <v>1</v>
      </c>
      <c r="AT1345">
        <v>0</v>
      </c>
      <c r="AU1345">
        <v>11</v>
      </c>
      <c r="AV1345">
        <v>154</v>
      </c>
      <c r="AW1345">
        <v>154</v>
      </c>
      <c r="AX1345">
        <v>211</v>
      </c>
      <c r="BA1345">
        <v>1</v>
      </c>
      <c r="BC1345" t="s">
        <v>2785</v>
      </c>
      <c r="BD1345" s="4">
        <v>43283.425000000003</v>
      </c>
      <c r="BE1345" s="4">
        <v>43283.428738425922</v>
      </c>
      <c r="BF1345" s="4">
        <v>43283.428738425922</v>
      </c>
      <c r="BG1345" t="s">
        <v>83</v>
      </c>
      <c r="BH1345" t="s">
        <v>84</v>
      </c>
      <c r="BI1345" t="s">
        <v>85</v>
      </c>
    </row>
    <row r="1346" spans="1:61" x14ac:dyDescent="0.3">
      <c r="A1346" t="str">
        <f>"202285B0100"</f>
        <v>202285B0100</v>
      </c>
      <c r="B1346" t="s">
        <v>2786</v>
      </c>
      <c r="C1346">
        <v>20</v>
      </c>
      <c r="D1346" t="s">
        <v>79</v>
      </c>
      <c r="E1346">
        <v>6</v>
      </c>
      <c r="F1346" t="s">
        <v>2299</v>
      </c>
      <c r="G1346">
        <v>2285</v>
      </c>
      <c r="H1346">
        <v>1</v>
      </c>
      <c r="I1346" t="s">
        <v>81</v>
      </c>
      <c r="J1346">
        <v>0</v>
      </c>
      <c r="K1346">
        <v>2</v>
      </c>
      <c r="L1346">
        <v>2</v>
      </c>
      <c r="M1346">
        <v>175</v>
      </c>
      <c r="N1346">
        <v>111</v>
      </c>
      <c r="O1346">
        <v>2</v>
      </c>
      <c r="P1346">
        <v>111</v>
      </c>
      <c r="Q1346">
        <v>1</v>
      </c>
      <c r="R1346">
        <v>26</v>
      </c>
      <c r="S1346">
        <v>5</v>
      </c>
      <c r="T1346">
        <v>2</v>
      </c>
      <c r="U1346">
        <v>1</v>
      </c>
      <c r="V1346">
        <v>2</v>
      </c>
      <c r="W1346">
        <v>2</v>
      </c>
      <c r="X1346">
        <v>3</v>
      </c>
      <c r="Y1346">
        <v>58</v>
      </c>
      <c r="Z1346">
        <v>2</v>
      </c>
      <c r="AA1346">
        <v>1</v>
      </c>
      <c r="AB1346">
        <v>0</v>
      </c>
      <c r="AC1346">
        <v>0</v>
      </c>
      <c r="AD1346">
        <v>0</v>
      </c>
      <c r="AE1346">
        <v>0</v>
      </c>
      <c r="AF1346">
        <v>1</v>
      </c>
      <c r="AK1346">
        <v>0</v>
      </c>
      <c r="AL1346">
        <v>0</v>
      </c>
      <c r="AM1346">
        <v>0</v>
      </c>
      <c r="AN1346">
        <v>0</v>
      </c>
      <c r="AP1346">
        <v>0</v>
      </c>
      <c r="AT1346" t="s">
        <v>100</v>
      </c>
      <c r="AU1346">
        <v>7</v>
      </c>
      <c r="AV1346">
        <v>111</v>
      </c>
      <c r="AW1346">
        <v>111</v>
      </c>
      <c r="AX1346">
        <v>264</v>
      </c>
      <c r="AZ1346" t="s">
        <v>101</v>
      </c>
      <c r="BA1346">
        <v>1</v>
      </c>
      <c r="BC1346" s="2" t="s">
        <v>2787</v>
      </c>
      <c r="BD1346" s="4">
        <v>43283.42291666667</v>
      </c>
      <c r="BE1346" s="4">
        <v>43283.426782407405</v>
      </c>
      <c r="BF1346" s="4">
        <v>43283.426782407405</v>
      </c>
      <c r="BG1346" t="s">
        <v>83</v>
      </c>
      <c r="BH1346" t="s">
        <v>84</v>
      </c>
      <c r="BI1346" t="s">
        <v>85</v>
      </c>
    </row>
    <row r="1347" spans="1:61" x14ac:dyDescent="0.3">
      <c r="A1347" t="str">
        <f>"202286B0100"</f>
        <v>202286B0100</v>
      </c>
      <c r="B1347" t="s">
        <v>2788</v>
      </c>
      <c r="C1347">
        <v>20</v>
      </c>
      <c r="D1347" t="s">
        <v>79</v>
      </c>
      <c r="E1347">
        <v>6</v>
      </c>
      <c r="F1347" t="s">
        <v>2299</v>
      </c>
      <c r="G1347">
        <v>2286</v>
      </c>
      <c r="H1347">
        <v>1</v>
      </c>
      <c r="I1347" t="s">
        <v>81</v>
      </c>
      <c r="J1347">
        <v>0</v>
      </c>
      <c r="K1347">
        <v>2</v>
      </c>
      <c r="L1347">
        <v>2</v>
      </c>
      <c r="M1347">
        <v>105</v>
      </c>
      <c r="N1347">
        <v>117</v>
      </c>
      <c r="O1347">
        <v>2</v>
      </c>
      <c r="P1347">
        <v>117</v>
      </c>
      <c r="Q1347">
        <v>1</v>
      </c>
      <c r="R1347">
        <v>27</v>
      </c>
      <c r="S1347">
        <v>18</v>
      </c>
      <c r="T1347">
        <v>0</v>
      </c>
      <c r="U1347">
        <v>2</v>
      </c>
      <c r="V1347">
        <v>2</v>
      </c>
      <c r="W1347">
        <v>1</v>
      </c>
      <c r="X1347">
        <v>2</v>
      </c>
      <c r="Y1347">
        <v>59</v>
      </c>
      <c r="Z1347">
        <v>1</v>
      </c>
      <c r="AA1347">
        <v>1</v>
      </c>
      <c r="AB1347">
        <v>0</v>
      </c>
      <c r="AC1347">
        <v>0</v>
      </c>
      <c r="AD1347">
        <v>0</v>
      </c>
      <c r="AE1347">
        <v>0</v>
      </c>
      <c r="AF1347">
        <v>0</v>
      </c>
      <c r="AK1347">
        <v>0</v>
      </c>
      <c r="AL1347">
        <v>0</v>
      </c>
      <c r="AM1347">
        <v>0</v>
      </c>
      <c r="AN1347">
        <v>0</v>
      </c>
      <c r="AP1347">
        <v>0</v>
      </c>
      <c r="AT1347">
        <v>0</v>
      </c>
      <c r="AU1347">
        <v>3</v>
      </c>
      <c r="AV1347" t="s">
        <v>100</v>
      </c>
      <c r="AW1347">
        <v>117</v>
      </c>
      <c r="AX1347">
        <v>200</v>
      </c>
      <c r="BA1347">
        <v>1</v>
      </c>
      <c r="BC1347" t="s">
        <v>2789</v>
      </c>
      <c r="BD1347" s="4">
        <v>43283.428472222222</v>
      </c>
      <c r="BE1347" s="4">
        <v>43283.462175925924</v>
      </c>
      <c r="BF1347" s="4">
        <v>43283.462175925924</v>
      </c>
      <c r="BG1347" t="s">
        <v>83</v>
      </c>
      <c r="BH1347" t="s">
        <v>84</v>
      </c>
      <c r="BI1347" t="s">
        <v>85</v>
      </c>
    </row>
    <row r="1348" spans="1:61" x14ac:dyDescent="0.3">
      <c r="A1348" t="str">
        <f>"202287B0100"</f>
        <v>202287B0100</v>
      </c>
      <c r="B1348" t="s">
        <v>2790</v>
      </c>
      <c r="C1348">
        <v>20</v>
      </c>
      <c r="D1348" t="s">
        <v>79</v>
      </c>
      <c r="E1348">
        <v>6</v>
      </c>
      <c r="F1348" t="s">
        <v>2299</v>
      </c>
      <c r="G1348">
        <v>2287</v>
      </c>
      <c r="H1348">
        <v>1</v>
      </c>
      <c r="I1348" t="s">
        <v>81</v>
      </c>
      <c r="J1348">
        <v>0</v>
      </c>
      <c r="K1348">
        <v>2</v>
      </c>
      <c r="L1348">
        <v>2</v>
      </c>
      <c r="M1348">
        <v>84</v>
      </c>
      <c r="N1348">
        <v>81</v>
      </c>
      <c r="O1348">
        <v>3</v>
      </c>
      <c r="P1348">
        <v>81</v>
      </c>
      <c r="Q1348">
        <v>1</v>
      </c>
      <c r="R1348">
        <v>39</v>
      </c>
      <c r="S1348">
        <v>16</v>
      </c>
      <c r="T1348">
        <v>1</v>
      </c>
      <c r="U1348">
        <v>0</v>
      </c>
      <c r="V1348">
        <v>0</v>
      </c>
      <c r="W1348">
        <v>0</v>
      </c>
      <c r="X1348">
        <v>0</v>
      </c>
      <c r="Y1348">
        <v>15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K1348">
        <v>0</v>
      </c>
      <c r="AL1348">
        <v>0</v>
      </c>
      <c r="AM1348">
        <v>0</v>
      </c>
      <c r="AN1348">
        <v>0</v>
      </c>
      <c r="AP1348">
        <v>0</v>
      </c>
      <c r="AT1348">
        <v>0</v>
      </c>
      <c r="AU1348">
        <v>9</v>
      </c>
      <c r="AV1348">
        <v>81</v>
      </c>
      <c r="AW1348">
        <v>81</v>
      </c>
      <c r="AX1348">
        <v>143</v>
      </c>
      <c r="BA1348">
        <v>1</v>
      </c>
      <c r="BC1348" t="s">
        <v>2791</v>
      </c>
      <c r="BD1348" s="4">
        <v>43283.430555555555</v>
      </c>
      <c r="BE1348" s="4">
        <v>43283.433749999997</v>
      </c>
      <c r="BF1348" s="4">
        <v>43283.433749999997</v>
      </c>
      <c r="BG1348" t="s">
        <v>83</v>
      </c>
      <c r="BH1348" t="s">
        <v>84</v>
      </c>
      <c r="BI1348" t="s">
        <v>85</v>
      </c>
    </row>
    <row r="1349" spans="1:61" x14ac:dyDescent="0.3">
      <c r="A1349" t="str">
        <f>"202288B0100"</f>
        <v>202288B0100</v>
      </c>
      <c r="B1349" t="s">
        <v>2792</v>
      </c>
      <c r="C1349">
        <v>20</v>
      </c>
      <c r="D1349" t="s">
        <v>79</v>
      </c>
      <c r="E1349">
        <v>6</v>
      </c>
      <c r="F1349" t="s">
        <v>2299</v>
      </c>
      <c r="G1349">
        <v>2288</v>
      </c>
      <c r="H1349">
        <v>1</v>
      </c>
      <c r="I1349" t="s">
        <v>81</v>
      </c>
      <c r="J1349">
        <v>0</v>
      </c>
      <c r="K1349">
        <v>2</v>
      </c>
      <c r="L1349">
        <v>2</v>
      </c>
      <c r="AX1349">
        <v>91</v>
      </c>
      <c r="AZ1349" t="s">
        <v>156</v>
      </c>
      <c r="BA1349">
        <v>0</v>
      </c>
      <c r="BC1349" t="s">
        <v>2793</v>
      </c>
      <c r="BD1349" s="4">
        <v>43283.808333333334</v>
      </c>
      <c r="BE1349" s="4">
        <v>43283.810115740744</v>
      </c>
      <c r="BF1349" s="4">
        <v>43283.810115740744</v>
      </c>
      <c r="BG1349" t="s">
        <v>83</v>
      </c>
      <c r="BH1349" t="s">
        <v>84</v>
      </c>
      <c r="BI1349" t="s">
        <v>85</v>
      </c>
    </row>
    <row r="1350" spans="1:61" x14ac:dyDescent="0.3">
      <c r="A1350" t="str">
        <f>"202289B0100"</f>
        <v>202289B0100</v>
      </c>
      <c r="B1350" t="s">
        <v>2794</v>
      </c>
      <c r="C1350">
        <v>20</v>
      </c>
      <c r="D1350" t="s">
        <v>79</v>
      </c>
      <c r="E1350">
        <v>6</v>
      </c>
      <c r="F1350" t="s">
        <v>2299</v>
      </c>
      <c r="G1350">
        <v>2289</v>
      </c>
      <c r="H1350">
        <v>1</v>
      </c>
      <c r="I1350" t="s">
        <v>81</v>
      </c>
      <c r="J1350">
        <v>0</v>
      </c>
      <c r="K1350">
        <v>2</v>
      </c>
      <c r="L1350">
        <v>2</v>
      </c>
      <c r="M1350">
        <v>142</v>
      </c>
      <c r="N1350">
        <v>105</v>
      </c>
      <c r="O1350">
        <v>6</v>
      </c>
      <c r="P1350">
        <v>105</v>
      </c>
      <c r="Q1350">
        <v>0</v>
      </c>
      <c r="R1350">
        <v>20</v>
      </c>
      <c r="S1350">
        <v>20</v>
      </c>
      <c r="T1350">
        <v>0</v>
      </c>
      <c r="U1350">
        <v>6</v>
      </c>
      <c r="V1350">
        <v>1</v>
      </c>
      <c r="W1350">
        <v>2</v>
      </c>
      <c r="X1350">
        <v>1</v>
      </c>
      <c r="Y1350">
        <v>41</v>
      </c>
      <c r="Z1350">
        <v>3</v>
      </c>
      <c r="AA1350">
        <v>2</v>
      </c>
      <c r="AB1350">
        <v>0</v>
      </c>
      <c r="AC1350">
        <v>0</v>
      </c>
      <c r="AD1350">
        <v>0</v>
      </c>
      <c r="AE1350">
        <v>0</v>
      </c>
      <c r="AF1350">
        <v>0</v>
      </c>
      <c r="AK1350">
        <v>1</v>
      </c>
      <c r="AL1350">
        <v>0</v>
      </c>
      <c r="AM1350">
        <v>0</v>
      </c>
      <c r="AN1350">
        <v>0</v>
      </c>
      <c r="AP1350">
        <v>0</v>
      </c>
      <c r="AT1350">
        <v>0</v>
      </c>
      <c r="AU1350">
        <v>8</v>
      </c>
      <c r="AV1350">
        <v>105</v>
      </c>
      <c r="AW1350">
        <v>105</v>
      </c>
      <c r="AX1350">
        <v>225</v>
      </c>
      <c r="BA1350">
        <v>1</v>
      </c>
      <c r="BC1350" t="s">
        <v>2795</v>
      </c>
      <c r="BD1350" s="4">
        <v>43283.423611111109</v>
      </c>
      <c r="BE1350" s="4">
        <v>43283.426712962966</v>
      </c>
      <c r="BF1350" s="4">
        <v>43283.426712962966</v>
      </c>
      <c r="BG1350" t="s">
        <v>83</v>
      </c>
      <c r="BH1350" t="s">
        <v>84</v>
      </c>
      <c r="BI1350" t="s">
        <v>85</v>
      </c>
    </row>
    <row r="1351" spans="1:61" x14ac:dyDescent="0.3">
      <c r="A1351" t="str">
        <f>"202432B0100"</f>
        <v>202432B0100</v>
      </c>
      <c r="B1351" t="s">
        <v>2796</v>
      </c>
      <c r="C1351">
        <v>20</v>
      </c>
      <c r="D1351" t="s">
        <v>79</v>
      </c>
      <c r="E1351">
        <v>6</v>
      </c>
      <c r="F1351" t="s">
        <v>2299</v>
      </c>
      <c r="G1351">
        <v>2432</v>
      </c>
      <c r="H1351">
        <v>1</v>
      </c>
      <c r="I1351" t="s">
        <v>81</v>
      </c>
      <c r="J1351">
        <v>0</v>
      </c>
      <c r="K1351">
        <v>2</v>
      </c>
      <c r="L1351">
        <v>2</v>
      </c>
      <c r="M1351">
        <v>223</v>
      </c>
      <c r="N1351">
        <v>310</v>
      </c>
      <c r="O1351">
        <v>0</v>
      </c>
      <c r="P1351">
        <v>310</v>
      </c>
      <c r="Q1351">
        <v>111</v>
      </c>
      <c r="R1351">
        <v>42</v>
      </c>
      <c r="S1351">
        <v>10</v>
      </c>
      <c r="T1351">
        <v>3</v>
      </c>
      <c r="U1351">
        <v>89</v>
      </c>
      <c r="V1351">
        <v>6</v>
      </c>
      <c r="W1351">
        <v>2</v>
      </c>
      <c r="X1351">
        <v>2</v>
      </c>
      <c r="Y1351">
        <v>22</v>
      </c>
      <c r="Z1351">
        <v>1</v>
      </c>
      <c r="AA1351">
        <v>0</v>
      </c>
      <c r="AB1351">
        <v>2</v>
      </c>
      <c r="AC1351">
        <v>2</v>
      </c>
      <c r="AD1351">
        <v>0</v>
      </c>
      <c r="AE1351">
        <v>0</v>
      </c>
      <c r="AF1351">
        <v>0</v>
      </c>
      <c r="AK1351">
        <v>1</v>
      </c>
      <c r="AL1351">
        <v>2</v>
      </c>
      <c r="AM1351">
        <v>1</v>
      </c>
      <c r="AN1351">
        <v>1</v>
      </c>
      <c r="AP1351">
        <v>0</v>
      </c>
      <c r="AT1351">
        <v>0</v>
      </c>
      <c r="AU1351">
        <v>13</v>
      </c>
      <c r="AV1351">
        <v>310</v>
      </c>
      <c r="AW1351">
        <v>310</v>
      </c>
      <c r="AX1351">
        <v>511</v>
      </c>
      <c r="BA1351">
        <v>1</v>
      </c>
      <c r="BC1351" t="s">
        <v>2797</v>
      </c>
      <c r="BD1351" s="4">
        <v>43283.398611111108</v>
      </c>
      <c r="BE1351" s="4">
        <v>43283.407337962963</v>
      </c>
      <c r="BF1351" s="4">
        <v>43283.407337962963</v>
      </c>
      <c r="BG1351" t="s">
        <v>83</v>
      </c>
      <c r="BH1351" t="s">
        <v>84</v>
      </c>
      <c r="BI1351" t="s">
        <v>85</v>
      </c>
    </row>
    <row r="1352" spans="1:61" x14ac:dyDescent="0.3">
      <c r="A1352" t="str">
        <f>"202432C0100"</f>
        <v>202432C0100</v>
      </c>
      <c r="B1352" t="s">
        <v>2798</v>
      </c>
      <c r="C1352">
        <v>20</v>
      </c>
      <c r="D1352" t="s">
        <v>79</v>
      </c>
      <c r="E1352">
        <v>6</v>
      </c>
      <c r="F1352" t="s">
        <v>2299</v>
      </c>
      <c r="G1352">
        <v>2432</v>
      </c>
      <c r="H1352">
        <v>1</v>
      </c>
      <c r="I1352" t="s">
        <v>89</v>
      </c>
      <c r="J1352">
        <v>0</v>
      </c>
      <c r="K1352">
        <v>2</v>
      </c>
      <c r="L1352">
        <v>2</v>
      </c>
      <c r="M1352">
        <v>225</v>
      </c>
      <c r="N1352">
        <v>308</v>
      </c>
      <c r="O1352">
        <v>0</v>
      </c>
      <c r="P1352">
        <v>308</v>
      </c>
      <c r="Q1352">
        <v>107</v>
      </c>
      <c r="R1352">
        <v>46</v>
      </c>
      <c r="S1352">
        <v>11</v>
      </c>
      <c r="T1352">
        <v>3</v>
      </c>
      <c r="U1352">
        <v>57</v>
      </c>
      <c r="V1352">
        <v>2</v>
      </c>
      <c r="W1352">
        <v>0</v>
      </c>
      <c r="X1352">
        <v>2</v>
      </c>
      <c r="Y1352">
        <v>35</v>
      </c>
      <c r="Z1352">
        <v>1</v>
      </c>
      <c r="AA1352">
        <v>0</v>
      </c>
      <c r="AB1352">
        <v>2</v>
      </c>
      <c r="AC1352">
        <v>2</v>
      </c>
      <c r="AD1352">
        <v>0</v>
      </c>
      <c r="AE1352">
        <v>0</v>
      </c>
      <c r="AF1352">
        <v>0</v>
      </c>
      <c r="AK1352">
        <v>0</v>
      </c>
      <c r="AL1352">
        <v>1</v>
      </c>
      <c r="AM1352">
        <v>0</v>
      </c>
      <c r="AN1352">
        <v>0</v>
      </c>
      <c r="AP1352">
        <v>5</v>
      </c>
      <c r="AT1352">
        <v>0</v>
      </c>
      <c r="AU1352">
        <v>34</v>
      </c>
      <c r="AV1352">
        <v>308</v>
      </c>
      <c r="AW1352">
        <v>308</v>
      </c>
      <c r="AX1352">
        <v>510</v>
      </c>
      <c r="BA1352">
        <v>1</v>
      </c>
      <c r="BC1352" t="s">
        <v>2799</v>
      </c>
      <c r="BD1352" s="4">
        <v>43283.399305555555</v>
      </c>
      <c r="BE1352" s="4">
        <v>43283.407002314816</v>
      </c>
      <c r="BF1352" s="4">
        <v>43283.407002314816</v>
      </c>
      <c r="BG1352" t="s">
        <v>83</v>
      </c>
      <c r="BH1352" t="s">
        <v>84</v>
      </c>
      <c r="BI1352" t="s">
        <v>85</v>
      </c>
    </row>
    <row r="1353" spans="1:61" x14ac:dyDescent="0.3">
      <c r="A1353" t="str">
        <f>"202433B0100"</f>
        <v>202433B0100</v>
      </c>
      <c r="B1353" t="s">
        <v>2800</v>
      </c>
      <c r="C1353">
        <v>20</v>
      </c>
      <c r="D1353" t="s">
        <v>79</v>
      </c>
      <c r="E1353">
        <v>6</v>
      </c>
      <c r="F1353" t="s">
        <v>2299</v>
      </c>
      <c r="G1353">
        <v>2433</v>
      </c>
      <c r="H1353">
        <v>1</v>
      </c>
      <c r="I1353" t="s">
        <v>81</v>
      </c>
      <c r="J1353">
        <v>0</v>
      </c>
      <c r="K1353">
        <v>2</v>
      </c>
      <c r="L1353">
        <v>2</v>
      </c>
      <c r="M1353">
        <v>252</v>
      </c>
      <c r="N1353">
        <v>449</v>
      </c>
      <c r="O1353">
        <v>0</v>
      </c>
      <c r="P1353">
        <v>449</v>
      </c>
      <c r="Q1353">
        <v>126</v>
      </c>
      <c r="R1353">
        <v>83</v>
      </c>
      <c r="S1353">
        <v>6</v>
      </c>
      <c r="T1353">
        <v>3</v>
      </c>
      <c r="U1353">
        <v>144</v>
      </c>
      <c r="V1353">
        <v>2</v>
      </c>
      <c r="W1353">
        <v>0</v>
      </c>
      <c r="X1353">
        <v>1</v>
      </c>
      <c r="Y1353">
        <v>22</v>
      </c>
      <c r="Z1353">
        <v>6</v>
      </c>
      <c r="AA1353">
        <v>0</v>
      </c>
      <c r="AB1353">
        <v>1</v>
      </c>
      <c r="AC1353">
        <v>1</v>
      </c>
      <c r="AD1353">
        <v>0</v>
      </c>
      <c r="AE1353">
        <v>0</v>
      </c>
      <c r="AF1353">
        <v>0</v>
      </c>
      <c r="AK1353">
        <v>2</v>
      </c>
      <c r="AL1353">
        <v>5</v>
      </c>
      <c r="AM1353">
        <v>0</v>
      </c>
      <c r="AN1353">
        <v>0</v>
      </c>
      <c r="AP1353">
        <v>1</v>
      </c>
      <c r="AT1353">
        <v>0</v>
      </c>
      <c r="AU1353">
        <v>45</v>
      </c>
      <c r="AV1353">
        <v>449</v>
      </c>
      <c r="AW1353">
        <v>448</v>
      </c>
      <c r="AX1353">
        <v>688</v>
      </c>
      <c r="BA1353">
        <v>1</v>
      </c>
      <c r="BC1353" t="s">
        <v>2801</v>
      </c>
      <c r="BD1353" s="4">
        <v>43283.398611111108</v>
      </c>
      <c r="BE1353" s="4">
        <v>43283.406469907408</v>
      </c>
      <c r="BF1353" s="4">
        <v>43283.406469907408</v>
      </c>
      <c r="BG1353" t="s">
        <v>83</v>
      </c>
      <c r="BH1353" t="s">
        <v>84</v>
      </c>
      <c r="BI1353" t="s">
        <v>85</v>
      </c>
    </row>
    <row r="1354" spans="1:61" x14ac:dyDescent="0.3">
      <c r="A1354" t="str">
        <f>"202434B0100"</f>
        <v>202434B0100</v>
      </c>
      <c r="B1354" t="s">
        <v>2802</v>
      </c>
      <c r="C1354">
        <v>20</v>
      </c>
      <c r="D1354" t="s">
        <v>79</v>
      </c>
      <c r="E1354">
        <v>6</v>
      </c>
      <c r="F1354" t="s">
        <v>2299</v>
      </c>
      <c r="G1354">
        <v>2434</v>
      </c>
      <c r="H1354">
        <v>1</v>
      </c>
      <c r="I1354" t="s">
        <v>81</v>
      </c>
      <c r="J1354">
        <v>0</v>
      </c>
      <c r="K1354">
        <v>2</v>
      </c>
      <c r="L1354">
        <v>2</v>
      </c>
      <c r="M1354">
        <v>215</v>
      </c>
      <c r="N1354">
        <v>298</v>
      </c>
      <c r="O1354">
        <v>0</v>
      </c>
      <c r="P1354">
        <v>298</v>
      </c>
      <c r="Q1354">
        <v>82</v>
      </c>
      <c r="R1354">
        <v>47</v>
      </c>
      <c r="S1354">
        <v>7</v>
      </c>
      <c r="T1354">
        <v>2</v>
      </c>
      <c r="U1354">
        <v>94</v>
      </c>
      <c r="V1354">
        <v>2</v>
      </c>
      <c r="W1354">
        <v>2</v>
      </c>
      <c r="X1354">
        <v>0</v>
      </c>
      <c r="Y1354">
        <v>29</v>
      </c>
      <c r="Z1354">
        <v>1</v>
      </c>
      <c r="AA1354">
        <v>0</v>
      </c>
      <c r="AB1354">
        <v>1</v>
      </c>
      <c r="AC1354">
        <v>0</v>
      </c>
      <c r="AD1354">
        <v>3</v>
      </c>
      <c r="AE1354">
        <v>2</v>
      </c>
      <c r="AF1354">
        <v>0</v>
      </c>
      <c r="AK1354">
        <v>0</v>
      </c>
      <c r="AL1354">
        <v>3</v>
      </c>
      <c r="AM1354">
        <v>0</v>
      </c>
      <c r="AN1354">
        <v>0</v>
      </c>
      <c r="AP1354">
        <v>1</v>
      </c>
      <c r="AT1354">
        <v>1</v>
      </c>
      <c r="AU1354">
        <v>21</v>
      </c>
      <c r="AV1354">
        <v>298</v>
      </c>
      <c r="AW1354">
        <v>298</v>
      </c>
      <c r="AX1354">
        <v>492</v>
      </c>
      <c r="BA1354">
        <v>1</v>
      </c>
      <c r="BC1354" t="s">
        <v>2803</v>
      </c>
      <c r="BD1354" s="4">
        <v>43283.386099537034</v>
      </c>
      <c r="BE1354" s="4">
        <v>43283.389166666668</v>
      </c>
      <c r="BF1354" s="4">
        <v>43283.389166666668</v>
      </c>
      <c r="BG1354" t="s">
        <v>373</v>
      </c>
      <c r="BH1354" t="s">
        <v>374</v>
      </c>
      <c r="BI1354" t="s">
        <v>85</v>
      </c>
    </row>
    <row r="1355" spans="1:61" x14ac:dyDescent="0.3">
      <c r="A1355" t="str">
        <f>"202435B0100"</f>
        <v>202435B0100</v>
      </c>
      <c r="B1355" t="s">
        <v>2804</v>
      </c>
      <c r="C1355">
        <v>20</v>
      </c>
      <c r="D1355" t="s">
        <v>79</v>
      </c>
      <c r="E1355">
        <v>6</v>
      </c>
      <c r="F1355" t="s">
        <v>2299</v>
      </c>
      <c r="G1355">
        <v>2435</v>
      </c>
      <c r="H1355">
        <v>1</v>
      </c>
      <c r="I1355" t="s">
        <v>81</v>
      </c>
      <c r="J1355">
        <v>0</v>
      </c>
      <c r="K1355">
        <v>2</v>
      </c>
      <c r="L1355">
        <v>2</v>
      </c>
      <c r="M1355">
        <v>437</v>
      </c>
      <c r="N1355">
        <v>212</v>
      </c>
      <c r="O1355">
        <v>2</v>
      </c>
      <c r="P1355">
        <v>212</v>
      </c>
      <c r="Q1355">
        <v>12</v>
      </c>
      <c r="R1355">
        <v>46</v>
      </c>
      <c r="S1355">
        <v>15</v>
      </c>
      <c r="T1355">
        <v>6</v>
      </c>
      <c r="U1355">
        <v>18</v>
      </c>
      <c r="V1355">
        <v>6</v>
      </c>
      <c r="W1355">
        <v>1</v>
      </c>
      <c r="X1355">
        <v>2</v>
      </c>
      <c r="Y1355">
        <v>73</v>
      </c>
      <c r="Z1355">
        <v>5</v>
      </c>
      <c r="AA1355">
        <v>1</v>
      </c>
      <c r="AB1355">
        <v>3</v>
      </c>
      <c r="AC1355">
        <v>1</v>
      </c>
      <c r="AD1355">
        <v>0</v>
      </c>
      <c r="AE1355">
        <v>0</v>
      </c>
      <c r="AF1355">
        <v>0</v>
      </c>
      <c r="AK1355">
        <v>3</v>
      </c>
      <c r="AL1355">
        <v>4</v>
      </c>
      <c r="AM1355">
        <v>0</v>
      </c>
      <c r="AN1355">
        <v>0</v>
      </c>
      <c r="AP1355">
        <v>1</v>
      </c>
      <c r="AT1355">
        <v>0</v>
      </c>
      <c r="AU1355">
        <v>15</v>
      </c>
      <c r="AV1355">
        <v>212</v>
      </c>
      <c r="AW1355">
        <v>212</v>
      </c>
      <c r="AX1355">
        <v>627</v>
      </c>
      <c r="BA1355">
        <v>1</v>
      </c>
      <c r="BC1355" t="s">
        <v>2805</v>
      </c>
      <c r="BD1355" s="4">
        <v>43283.056250000001</v>
      </c>
      <c r="BE1355" s="4">
        <v>43283.060671296298</v>
      </c>
      <c r="BF1355" s="4">
        <v>43283.060671296298</v>
      </c>
      <c r="BG1355" t="s">
        <v>83</v>
      </c>
      <c r="BH1355" t="s">
        <v>84</v>
      </c>
      <c r="BI1355" t="s">
        <v>85</v>
      </c>
    </row>
    <row r="1356" spans="1:61" x14ac:dyDescent="0.3">
      <c r="A1356" t="str">
        <f>"202435C0100"</f>
        <v>202435C0100</v>
      </c>
      <c r="B1356" t="s">
        <v>2806</v>
      </c>
      <c r="C1356">
        <v>20</v>
      </c>
      <c r="D1356" t="s">
        <v>79</v>
      </c>
      <c r="E1356">
        <v>6</v>
      </c>
      <c r="F1356" t="s">
        <v>2299</v>
      </c>
      <c r="G1356">
        <v>2435</v>
      </c>
      <c r="H1356">
        <v>1</v>
      </c>
      <c r="I1356" t="s">
        <v>89</v>
      </c>
      <c r="J1356">
        <v>0</v>
      </c>
      <c r="K1356">
        <v>2</v>
      </c>
      <c r="L1356">
        <v>2</v>
      </c>
      <c r="M1356">
        <v>403</v>
      </c>
      <c r="N1356">
        <v>246</v>
      </c>
      <c r="O1356">
        <v>3</v>
      </c>
      <c r="P1356">
        <v>246</v>
      </c>
      <c r="Q1356">
        <v>13</v>
      </c>
      <c r="R1356">
        <v>57</v>
      </c>
      <c r="S1356">
        <v>9</v>
      </c>
      <c r="T1356">
        <v>4</v>
      </c>
      <c r="U1356">
        <v>21</v>
      </c>
      <c r="V1356">
        <v>3</v>
      </c>
      <c r="W1356">
        <v>2</v>
      </c>
      <c r="X1356">
        <v>1</v>
      </c>
      <c r="Y1356">
        <v>94</v>
      </c>
      <c r="Z1356">
        <v>6</v>
      </c>
      <c r="AA1356">
        <v>1</v>
      </c>
      <c r="AB1356">
        <v>2</v>
      </c>
      <c r="AC1356">
        <v>2</v>
      </c>
      <c r="AD1356">
        <v>0</v>
      </c>
      <c r="AE1356">
        <v>0</v>
      </c>
      <c r="AF1356">
        <v>0</v>
      </c>
      <c r="AK1356">
        <v>6</v>
      </c>
      <c r="AL1356">
        <v>6</v>
      </c>
      <c r="AM1356">
        <v>0</v>
      </c>
      <c r="AN1356">
        <v>4</v>
      </c>
      <c r="AP1356">
        <v>1</v>
      </c>
      <c r="AT1356">
        <v>0</v>
      </c>
      <c r="AU1356">
        <v>14</v>
      </c>
      <c r="AV1356">
        <v>226</v>
      </c>
      <c r="AW1356">
        <v>246</v>
      </c>
      <c r="AX1356">
        <v>627</v>
      </c>
      <c r="BA1356">
        <v>1</v>
      </c>
      <c r="BC1356" t="s">
        <v>2807</v>
      </c>
      <c r="BD1356" s="4">
        <v>43283.059027777781</v>
      </c>
      <c r="BE1356" s="4">
        <v>43283.062650462962</v>
      </c>
      <c r="BF1356" s="4">
        <v>43283.062650462962</v>
      </c>
      <c r="BG1356" t="s">
        <v>83</v>
      </c>
      <c r="BH1356" t="s">
        <v>84</v>
      </c>
      <c r="BI1356" t="s">
        <v>85</v>
      </c>
    </row>
    <row r="1357" spans="1:61" x14ac:dyDescent="0.3">
      <c r="A1357" t="str">
        <f>"202451B0100"</f>
        <v>202451B0100</v>
      </c>
      <c r="B1357" t="s">
        <v>2808</v>
      </c>
      <c r="C1357">
        <v>20</v>
      </c>
      <c r="D1357" t="s">
        <v>79</v>
      </c>
      <c r="E1357">
        <v>6</v>
      </c>
      <c r="F1357" t="s">
        <v>2299</v>
      </c>
      <c r="G1357">
        <v>2451</v>
      </c>
      <c r="H1357">
        <v>1</v>
      </c>
      <c r="I1357" t="s">
        <v>81</v>
      </c>
      <c r="J1357">
        <v>0</v>
      </c>
      <c r="K1357">
        <v>2</v>
      </c>
      <c r="L1357">
        <v>2</v>
      </c>
      <c r="M1357">
        <v>170</v>
      </c>
      <c r="N1357">
        <v>284</v>
      </c>
      <c r="O1357">
        <v>1</v>
      </c>
      <c r="P1357">
        <v>280</v>
      </c>
      <c r="Q1357">
        <v>112</v>
      </c>
      <c r="R1357">
        <v>108</v>
      </c>
      <c r="S1357">
        <v>1</v>
      </c>
      <c r="T1357">
        <v>11</v>
      </c>
      <c r="U1357">
        <v>0</v>
      </c>
      <c r="V1357">
        <v>2</v>
      </c>
      <c r="W1357">
        <v>0</v>
      </c>
      <c r="X1357">
        <v>1</v>
      </c>
      <c r="Y1357">
        <v>25</v>
      </c>
      <c r="Z1357">
        <v>1</v>
      </c>
      <c r="AA1357">
        <v>2</v>
      </c>
      <c r="AB1357">
        <v>1</v>
      </c>
      <c r="AC1357">
        <v>1</v>
      </c>
      <c r="AD1357">
        <v>0</v>
      </c>
      <c r="AE1357">
        <v>0</v>
      </c>
      <c r="AF1357">
        <v>0</v>
      </c>
      <c r="AK1357">
        <v>0</v>
      </c>
      <c r="AL1357">
        <v>0</v>
      </c>
      <c r="AM1357">
        <v>0</v>
      </c>
      <c r="AN1357">
        <v>0</v>
      </c>
      <c r="AP1357">
        <v>5</v>
      </c>
      <c r="AT1357">
        <v>0</v>
      </c>
      <c r="AU1357">
        <v>10</v>
      </c>
      <c r="AV1357">
        <v>280</v>
      </c>
      <c r="AW1357">
        <v>280</v>
      </c>
      <c r="AX1357">
        <v>431</v>
      </c>
      <c r="BA1357">
        <v>1</v>
      </c>
      <c r="BC1357" t="s">
        <v>2809</v>
      </c>
      <c r="BD1357" s="4">
        <v>43283.109722222223</v>
      </c>
      <c r="BE1357" s="4">
        <v>43283.114560185182</v>
      </c>
      <c r="BF1357" s="4">
        <v>43283.114560185182</v>
      </c>
      <c r="BG1357" t="s">
        <v>83</v>
      </c>
      <c r="BH1357" t="s">
        <v>84</v>
      </c>
      <c r="BI1357" t="s">
        <v>85</v>
      </c>
    </row>
    <row r="1358" spans="1:61" x14ac:dyDescent="0.3">
      <c r="A1358" t="str">
        <f>"200117B0100"</f>
        <v>200117B0100</v>
      </c>
      <c r="B1358" t="s">
        <v>2810</v>
      </c>
      <c r="C1358">
        <v>20</v>
      </c>
      <c r="D1358" t="s">
        <v>79</v>
      </c>
      <c r="E1358">
        <v>7</v>
      </c>
      <c r="F1358" t="s">
        <v>2811</v>
      </c>
      <c r="G1358">
        <v>117</v>
      </c>
      <c r="H1358">
        <v>1</v>
      </c>
      <c r="I1358" t="s">
        <v>81</v>
      </c>
      <c r="J1358">
        <v>0</v>
      </c>
      <c r="K1358">
        <v>1</v>
      </c>
      <c r="L1358">
        <v>2</v>
      </c>
      <c r="M1358">
        <v>375</v>
      </c>
      <c r="N1358">
        <v>279</v>
      </c>
      <c r="O1358">
        <v>0</v>
      </c>
      <c r="P1358">
        <v>279</v>
      </c>
      <c r="Q1358">
        <v>12</v>
      </c>
      <c r="R1358">
        <v>47</v>
      </c>
      <c r="S1358">
        <v>53</v>
      </c>
      <c r="T1358">
        <v>10</v>
      </c>
      <c r="U1358">
        <v>35</v>
      </c>
      <c r="V1358">
        <v>5</v>
      </c>
      <c r="W1358">
        <v>4</v>
      </c>
      <c r="X1358">
        <v>6</v>
      </c>
      <c r="Y1358">
        <v>69</v>
      </c>
      <c r="Z1358">
        <v>10</v>
      </c>
      <c r="AB1358">
        <v>4</v>
      </c>
      <c r="AC1358">
        <v>0</v>
      </c>
      <c r="AD1358">
        <v>0</v>
      </c>
      <c r="AE1358">
        <v>0</v>
      </c>
      <c r="AF1358">
        <v>0</v>
      </c>
      <c r="AK1358">
        <v>0</v>
      </c>
      <c r="AL1358">
        <v>2</v>
      </c>
      <c r="AM1358">
        <v>0</v>
      </c>
      <c r="AN1358">
        <v>3</v>
      </c>
      <c r="AQ1358">
        <v>0</v>
      </c>
      <c r="AT1358">
        <v>0</v>
      </c>
      <c r="AU1358">
        <v>19</v>
      </c>
      <c r="AV1358">
        <v>279</v>
      </c>
      <c r="AW1358">
        <v>279</v>
      </c>
      <c r="AX1358">
        <v>632</v>
      </c>
      <c r="BA1358">
        <v>1</v>
      </c>
      <c r="BC1358" t="s">
        <v>2812</v>
      </c>
      <c r="BD1358" s="4">
        <v>43283.652083333334</v>
      </c>
      <c r="BE1358" s="4">
        <v>43283.657546296294</v>
      </c>
      <c r="BF1358" s="4">
        <v>43283.657546296294</v>
      </c>
      <c r="BG1358" t="s">
        <v>83</v>
      </c>
      <c r="BH1358" t="s">
        <v>84</v>
      </c>
      <c r="BI1358" t="s">
        <v>85</v>
      </c>
    </row>
    <row r="1359" spans="1:61" x14ac:dyDescent="0.3">
      <c r="A1359" t="str">
        <f>"200117C0100"</f>
        <v>200117C0100</v>
      </c>
      <c r="B1359" t="s">
        <v>2813</v>
      </c>
      <c r="C1359">
        <v>20</v>
      </c>
      <c r="D1359" t="s">
        <v>79</v>
      </c>
      <c r="E1359">
        <v>7</v>
      </c>
      <c r="F1359" t="s">
        <v>2811</v>
      </c>
      <c r="G1359">
        <v>117</v>
      </c>
      <c r="H1359">
        <v>1</v>
      </c>
      <c r="I1359" t="s">
        <v>89</v>
      </c>
      <c r="J1359">
        <v>0</v>
      </c>
      <c r="K1359">
        <v>1</v>
      </c>
      <c r="L1359">
        <v>2</v>
      </c>
      <c r="M1359">
        <v>356</v>
      </c>
      <c r="N1359">
        <v>297</v>
      </c>
      <c r="O1359">
        <v>0</v>
      </c>
      <c r="P1359">
        <v>297</v>
      </c>
      <c r="Q1359">
        <v>20</v>
      </c>
      <c r="R1359">
        <v>65</v>
      </c>
      <c r="S1359">
        <v>44</v>
      </c>
      <c r="T1359">
        <v>11</v>
      </c>
      <c r="U1359">
        <v>20</v>
      </c>
      <c r="V1359">
        <v>7</v>
      </c>
      <c r="W1359">
        <v>3</v>
      </c>
      <c r="X1359">
        <v>6</v>
      </c>
      <c r="Y1359">
        <v>78</v>
      </c>
      <c r="Z1359">
        <v>5</v>
      </c>
      <c r="AB1359">
        <v>1</v>
      </c>
      <c r="AC1359">
        <v>1</v>
      </c>
      <c r="AD1359">
        <v>3</v>
      </c>
      <c r="AE1359">
        <v>0</v>
      </c>
      <c r="AF1359">
        <v>0</v>
      </c>
      <c r="AK1359">
        <v>4</v>
      </c>
      <c r="AL1359">
        <v>0</v>
      </c>
      <c r="AM1359">
        <v>0</v>
      </c>
      <c r="AN1359">
        <v>2</v>
      </c>
      <c r="AQ1359">
        <v>0</v>
      </c>
      <c r="AT1359">
        <v>0</v>
      </c>
      <c r="AU1359">
        <v>19</v>
      </c>
      <c r="AV1359" t="s">
        <v>100</v>
      </c>
      <c r="AW1359">
        <v>289</v>
      </c>
      <c r="AX1359">
        <v>631</v>
      </c>
      <c r="BA1359">
        <v>1</v>
      </c>
      <c r="BC1359" t="s">
        <v>2814</v>
      </c>
      <c r="BD1359" s="4">
        <v>43283.697222222225</v>
      </c>
      <c r="BE1359" s="4">
        <v>43283.703935185185</v>
      </c>
      <c r="BF1359" s="4">
        <v>43283.703935185185</v>
      </c>
      <c r="BG1359" t="s">
        <v>83</v>
      </c>
      <c r="BH1359" t="s">
        <v>84</v>
      </c>
      <c r="BI1359" t="s">
        <v>85</v>
      </c>
    </row>
    <row r="1360" spans="1:61" x14ac:dyDescent="0.3">
      <c r="A1360" t="str">
        <f>"200118B0100"</f>
        <v>200118B0100</v>
      </c>
      <c r="B1360" t="s">
        <v>2815</v>
      </c>
      <c r="C1360">
        <v>20</v>
      </c>
      <c r="D1360" t="s">
        <v>79</v>
      </c>
      <c r="E1360">
        <v>7</v>
      </c>
      <c r="F1360" t="s">
        <v>2811</v>
      </c>
      <c r="G1360">
        <v>118</v>
      </c>
      <c r="H1360">
        <v>1</v>
      </c>
      <c r="I1360" t="s">
        <v>81</v>
      </c>
      <c r="J1360">
        <v>0</v>
      </c>
      <c r="K1360">
        <v>2</v>
      </c>
      <c r="L1360">
        <v>2</v>
      </c>
      <c r="M1360">
        <v>210</v>
      </c>
      <c r="N1360">
        <v>104</v>
      </c>
      <c r="O1360">
        <v>8</v>
      </c>
      <c r="P1360" t="s">
        <v>100</v>
      </c>
      <c r="Q1360">
        <v>3</v>
      </c>
      <c r="R1360">
        <v>5</v>
      </c>
      <c r="S1360">
        <v>10</v>
      </c>
      <c r="T1360">
        <v>1</v>
      </c>
      <c r="U1360">
        <v>6</v>
      </c>
      <c r="V1360">
        <v>3</v>
      </c>
      <c r="W1360">
        <v>8</v>
      </c>
      <c r="X1360">
        <v>4</v>
      </c>
      <c r="Y1360">
        <v>56</v>
      </c>
      <c r="Z1360">
        <v>1</v>
      </c>
      <c r="AB1360" t="s">
        <v>100</v>
      </c>
      <c r="AC1360" t="s">
        <v>100</v>
      </c>
      <c r="AD1360" t="s">
        <v>100</v>
      </c>
      <c r="AE1360" t="s">
        <v>100</v>
      </c>
      <c r="AF1360" t="s">
        <v>100</v>
      </c>
      <c r="AK1360" t="s">
        <v>100</v>
      </c>
      <c r="AL1360" t="s">
        <v>100</v>
      </c>
      <c r="AM1360" t="s">
        <v>100</v>
      </c>
      <c r="AN1360" t="s">
        <v>100</v>
      </c>
      <c r="AQ1360" t="s">
        <v>100</v>
      </c>
      <c r="AT1360" t="s">
        <v>100</v>
      </c>
      <c r="AU1360">
        <v>7</v>
      </c>
      <c r="AV1360">
        <v>104</v>
      </c>
      <c r="AW1360">
        <v>104</v>
      </c>
      <c r="AX1360">
        <v>292</v>
      </c>
      <c r="AZ1360" t="s">
        <v>101</v>
      </c>
      <c r="BA1360">
        <v>1</v>
      </c>
      <c r="BC1360" s="2" t="s">
        <v>2816</v>
      </c>
      <c r="BD1360" s="4">
        <v>43282.990277777775</v>
      </c>
      <c r="BE1360" s="4">
        <v>43282.994120370371</v>
      </c>
      <c r="BF1360" s="4">
        <v>43282.994120370371</v>
      </c>
      <c r="BG1360" t="s">
        <v>373</v>
      </c>
      <c r="BH1360" t="s">
        <v>374</v>
      </c>
      <c r="BI1360" t="s">
        <v>85</v>
      </c>
    </row>
    <row r="1361" spans="1:61" x14ac:dyDescent="0.3">
      <c r="A1361" t="str">
        <f>"200119B0100"</f>
        <v>200119B0100</v>
      </c>
      <c r="B1361" t="s">
        <v>2817</v>
      </c>
      <c r="C1361">
        <v>20</v>
      </c>
      <c r="D1361" t="s">
        <v>79</v>
      </c>
      <c r="E1361">
        <v>7</v>
      </c>
      <c r="F1361" t="s">
        <v>2811</v>
      </c>
      <c r="G1361">
        <v>119</v>
      </c>
      <c r="H1361">
        <v>1</v>
      </c>
      <c r="I1361" t="s">
        <v>81</v>
      </c>
      <c r="J1361">
        <v>0</v>
      </c>
      <c r="K1361">
        <v>2</v>
      </c>
      <c r="L1361">
        <v>2</v>
      </c>
      <c r="M1361">
        <v>334</v>
      </c>
      <c r="N1361">
        <v>516</v>
      </c>
      <c r="O1361">
        <v>0</v>
      </c>
      <c r="P1361">
        <v>182</v>
      </c>
      <c r="Q1361">
        <v>1</v>
      </c>
      <c r="R1361">
        <v>17</v>
      </c>
      <c r="S1361">
        <v>15</v>
      </c>
      <c r="T1361">
        <v>3</v>
      </c>
      <c r="U1361">
        <v>22</v>
      </c>
      <c r="V1361">
        <v>3</v>
      </c>
      <c r="W1361">
        <v>2</v>
      </c>
      <c r="X1361">
        <v>4</v>
      </c>
      <c r="Y1361">
        <v>89</v>
      </c>
      <c r="Z1361">
        <v>6</v>
      </c>
      <c r="AB1361">
        <v>2</v>
      </c>
      <c r="AC1361">
        <v>0</v>
      </c>
      <c r="AD1361">
        <v>0</v>
      </c>
      <c r="AE1361">
        <v>0</v>
      </c>
      <c r="AF1361">
        <v>0</v>
      </c>
      <c r="AK1361">
        <v>1</v>
      </c>
      <c r="AL1361">
        <v>0</v>
      </c>
      <c r="AM1361">
        <v>0</v>
      </c>
      <c r="AN1361">
        <v>0</v>
      </c>
      <c r="AQ1361">
        <v>0</v>
      </c>
      <c r="AT1361">
        <v>0</v>
      </c>
      <c r="AU1361">
        <v>0</v>
      </c>
      <c r="AV1361" t="s">
        <v>315</v>
      </c>
      <c r="AW1361">
        <v>165</v>
      </c>
      <c r="AX1361">
        <v>496</v>
      </c>
      <c r="BA1361">
        <v>1</v>
      </c>
      <c r="BC1361" t="s">
        <v>2818</v>
      </c>
      <c r="BD1361" s="4">
        <v>43283.667361111111</v>
      </c>
      <c r="BE1361" s="4">
        <v>43283.671400462961</v>
      </c>
      <c r="BF1361" s="4">
        <v>43283.671400462961</v>
      </c>
      <c r="BG1361" t="s">
        <v>83</v>
      </c>
      <c r="BH1361" t="s">
        <v>84</v>
      </c>
      <c r="BI1361" t="s">
        <v>85</v>
      </c>
    </row>
    <row r="1362" spans="1:61" x14ac:dyDescent="0.3">
      <c r="A1362" t="str">
        <f>"200119C0100"</f>
        <v>200119C0100</v>
      </c>
      <c r="B1362" t="s">
        <v>2819</v>
      </c>
      <c r="C1362">
        <v>20</v>
      </c>
      <c r="D1362" t="s">
        <v>79</v>
      </c>
      <c r="E1362">
        <v>7</v>
      </c>
      <c r="F1362" t="s">
        <v>2811</v>
      </c>
      <c r="G1362">
        <v>119</v>
      </c>
      <c r="H1362">
        <v>1</v>
      </c>
      <c r="I1362" t="s">
        <v>89</v>
      </c>
      <c r="J1362">
        <v>0</v>
      </c>
      <c r="K1362">
        <v>2</v>
      </c>
      <c r="L1362">
        <v>2</v>
      </c>
      <c r="M1362">
        <v>349</v>
      </c>
      <c r="N1362">
        <v>169</v>
      </c>
      <c r="O1362">
        <v>0</v>
      </c>
      <c r="P1362">
        <v>169</v>
      </c>
      <c r="Q1362">
        <v>5</v>
      </c>
      <c r="R1362">
        <v>5</v>
      </c>
      <c r="S1362">
        <v>2</v>
      </c>
      <c r="T1362">
        <v>24</v>
      </c>
      <c r="U1362">
        <v>13</v>
      </c>
      <c r="V1362">
        <v>4</v>
      </c>
      <c r="W1362">
        <v>2</v>
      </c>
      <c r="X1362">
        <v>2</v>
      </c>
      <c r="Y1362">
        <v>88</v>
      </c>
      <c r="Z1362">
        <v>5</v>
      </c>
      <c r="AB1362">
        <v>1</v>
      </c>
      <c r="AC1362">
        <v>0</v>
      </c>
      <c r="AD1362">
        <v>1</v>
      </c>
      <c r="AE1362">
        <v>0</v>
      </c>
      <c r="AF1362">
        <v>0</v>
      </c>
      <c r="AK1362">
        <v>0</v>
      </c>
      <c r="AL1362">
        <v>0</v>
      </c>
      <c r="AM1362">
        <v>0</v>
      </c>
      <c r="AN1362">
        <v>2</v>
      </c>
      <c r="AQ1362">
        <v>0</v>
      </c>
      <c r="AT1362">
        <v>0</v>
      </c>
      <c r="AU1362">
        <v>15</v>
      </c>
      <c r="AV1362">
        <v>169</v>
      </c>
      <c r="AW1362">
        <v>169</v>
      </c>
      <c r="AX1362">
        <v>496</v>
      </c>
      <c r="BA1362">
        <v>1</v>
      </c>
      <c r="BC1362" t="s">
        <v>2820</v>
      </c>
      <c r="BD1362" s="4">
        <v>43283.674305555556</v>
      </c>
      <c r="BE1362" s="4">
        <v>43283.68277777778</v>
      </c>
      <c r="BF1362" s="4">
        <v>43283.68277777778</v>
      </c>
      <c r="BG1362" t="s">
        <v>83</v>
      </c>
      <c r="BH1362" t="s">
        <v>84</v>
      </c>
      <c r="BI1362" t="s">
        <v>85</v>
      </c>
    </row>
    <row r="1363" spans="1:61" x14ac:dyDescent="0.3">
      <c r="A1363" t="str">
        <f>"200119E0100"</f>
        <v>200119E0100</v>
      </c>
      <c r="B1363" s="2" t="s">
        <v>2821</v>
      </c>
      <c r="C1363">
        <v>20</v>
      </c>
      <c r="D1363" t="s">
        <v>79</v>
      </c>
      <c r="E1363">
        <v>7</v>
      </c>
      <c r="F1363" t="s">
        <v>2811</v>
      </c>
      <c r="G1363">
        <v>119</v>
      </c>
      <c r="H1363">
        <v>1</v>
      </c>
      <c r="I1363" t="s">
        <v>145</v>
      </c>
      <c r="J1363">
        <v>0</v>
      </c>
      <c r="K1363">
        <v>2</v>
      </c>
      <c r="L1363">
        <v>2</v>
      </c>
      <c r="M1363">
        <v>277</v>
      </c>
      <c r="N1363">
        <v>191</v>
      </c>
      <c r="O1363">
        <v>0</v>
      </c>
      <c r="P1363">
        <v>191</v>
      </c>
      <c r="Q1363">
        <v>2</v>
      </c>
      <c r="R1363">
        <v>0</v>
      </c>
      <c r="S1363">
        <v>67</v>
      </c>
      <c r="T1363">
        <v>0</v>
      </c>
      <c r="U1363">
        <v>15</v>
      </c>
      <c r="V1363">
        <v>4</v>
      </c>
      <c r="W1363">
        <v>9</v>
      </c>
      <c r="X1363">
        <v>1</v>
      </c>
      <c r="Y1363">
        <v>45</v>
      </c>
      <c r="Z1363">
        <v>12</v>
      </c>
      <c r="AB1363">
        <v>0</v>
      </c>
      <c r="AC1363">
        <v>1</v>
      </c>
      <c r="AD1363">
        <v>0</v>
      </c>
      <c r="AE1363">
        <v>0</v>
      </c>
      <c r="AF1363">
        <v>0</v>
      </c>
      <c r="AK1363">
        <v>3</v>
      </c>
      <c r="AL1363">
        <v>0</v>
      </c>
      <c r="AM1363">
        <v>1</v>
      </c>
      <c r="AN1363">
        <v>2</v>
      </c>
      <c r="AQ1363">
        <v>0</v>
      </c>
      <c r="AT1363">
        <v>0</v>
      </c>
      <c r="AU1363">
        <v>29</v>
      </c>
      <c r="AV1363">
        <v>191</v>
      </c>
      <c r="AW1363">
        <v>191</v>
      </c>
      <c r="AX1363">
        <v>446</v>
      </c>
      <c r="BA1363">
        <v>1</v>
      </c>
      <c r="BC1363" t="s">
        <v>2822</v>
      </c>
      <c r="BD1363" s="4">
        <v>43283.5625</v>
      </c>
      <c r="BE1363" s="4">
        <v>43283.57309027778</v>
      </c>
      <c r="BF1363" s="4">
        <v>43283.57309027778</v>
      </c>
      <c r="BG1363" t="s">
        <v>83</v>
      </c>
      <c r="BH1363" t="s">
        <v>84</v>
      </c>
      <c r="BI1363" t="s">
        <v>548</v>
      </c>
    </row>
    <row r="1364" spans="1:61" x14ac:dyDescent="0.3">
      <c r="A1364" t="str">
        <f>"200119E0200"</f>
        <v>200119E0200</v>
      </c>
      <c r="B1364" s="2" t="s">
        <v>2823</v>
      </c>
      <c r="C1364">
        <v>20</v>
      </c>
      <c r="D1364" t="s">
        <v>79</v>
      </c>
      <c r="E1364">
        <v>7</v>
      </c>
      <c r="F1364" t="s">
        <v>2811</v>
      </c>
      <c r="G1364">
        <v>119</v>
      </c>
      <c r="H1364">
        <v>2</v>
      </c>
      <c r="I1364" t="s">
        <v>145</v>
      </c>
      <c r="J1364">
        <v>0</v>
      </c>
      <c r="K1364">
        <v>2</v>
      </c>
      <c r="L1364">
        <v>2</v>
      </c>
      <c r="AX1364">
        <v>523</v>
      </c>
      <c r="AZ1364" t="s">
        <v>156</v>
      </c>
      <c r="BA1364">
        <v>0</v>
      </c>
      <c r="BC1364" t="s">
        <v>2824</v>
      </c>
      <c r="BD1364" s="4">
        <v>43283.695138888892</v>
      </c>
      <c r="BE1364" s="4">
        <v>43283.699699074074</v>
      </c>
      <c r="BF1364" s="4">
        <v>43283.699699074074</v>
      </c>
      <c r="BG1364" t="s">
        <v>83</v>
      </c>
      <c r="BH1364" t="s">
        <v>84</v>
      </c>
      <c r="BI1364" t="s">
        <v>85</v>
      </c>
    </row>
    <row r="1365" spans="1:61" x14ac:dyDescent="0.3">
      <c r="A1365" t="str">
        <f>"200120B0100"</f>
        <v>200120B0100</v>
      </c>
      <c r="B1365" t="s">
        <v>2825</v>
      </c>
      <c r="C1365">
        <v>20</v>
      </c>
      <c r="D1365" t="s">
        <v>79</v>
      </c>
      <c r="E1365">
        <v>7</v>
      </c>
      <c r="F1365" t="s">
        <v>2811</v>
      </c>
      <c r="G1365">
        <v>120</v>
      </c>
      <c r="H1365">
        <v>1</v>
      </c>
      <c r="I1365" t="s">
        <v>81</v>
      </c>
      <c r="J1365">
        <v>0</v>
      </c>
      <c r="K1365">
        <v>2</v>
      </c>
      <c r="L1365">
        <v>2</v>
      </c>
      <c r="M1365">
        <v>270</v>
      </c>
      <c r="N1365" t="s">
        <v>100</v>
      </c>
      <c r="O1365" t="s">
        <v>100</v>
      </c>
      <c r="P1365" t="s">
        <v>100</v>
      </c>
      <c r="Q1365">
        <v>5</v>
      </c>
      <c r="R1365">
        <v>3</v>
      </c>
      <c r="S1365">
        <v>67</v>
      </c>
      <c r="T1365">
        <v>3</v>
      </c>
      <c r="U1365">
        <v>36</v>
      </c>
      <c r="V1365">
        <v>8</v>
      </c>
      <c r="W1365">
        <v>4</v>
      </c>
      <c r="X1365">
        <v>7</v>
      </c>
      <c r="Y1365">
        <v>100</v>
      </c>
      <c r="Z1365">
        <v>12</v>
      </c>
      <c r="AB1365">
        <v>0</v>
      </c>
      <c r="AC1365">
        <v>0</v>
      </c>
      <c r="AD1365">
        <v>0</v>
      </c>
      <c r="AE1365">
        <v>0</v>
      </c>
      <c r="AF1365">
        <v>0</v>
      </c>
      <c r="AK1365">
        <v>1</v>
      </c>
      <c r="AL1365">
        <v>0</v>
      </c>
      <c r="AM1365">
        <v>0</v>
      </c>
      <c r="AN1365">
        <v>4</v>
      </c>
      <c r="AQ1365">
        <v>0</v>
      </c>
      <c r="AT1365">
        <v>5</v>
      </c>
      <c r="AU1365">
        <v>16</v>
      </c>
      <c r="AV1365">
        <v>271</v>
      </c>
      <c r="AW1365">
        <v>271</v>
      </c>
      <c r="AX1365">
        <v>656</v>
      </c>
      <c r="BA1365">
        <v>1</v>
      </c>
      <c r="BC1365" t="s">
        <v>2826</v>
      </c>
      <c r="BD1365" s="4">
        <v>43283.625</v>
      </c>
      <c r="BE1365" s="4">
        <v>43283.633969907409</v>
      </c>
      <c r="BF1365" s="4">
        <v>43283.633969907409</v>
      </c>
      <c r="BG1365" t="s">
        <v>83</v>
      </c>
      <c r="BH1365" t="s">
        <v>84</v>
      </c>
      <c r="BI1365" t="s">
        <v>85</v>
      </c>
    </row>
    <row r="1366" spans="1:61" x14ac:dyDescent="0.3">
      <c r="A1366" t="str">
        <f>"200120E0100"</f>
        <v>200120E0100</v>
      </c>
      <c r="B1366" s="2" t="s">
        <v>2827</v>
      </c>
      <c r="C1366">
        <v>20</v>
      </c>
      <c r="D1366" t="s">
        <v>79</v>
      </c>
      <c r="E1366">
        <v>7</v>
      </c>
      <c r="F1366" t="s">
        <v>2811</v>
      </c>
      <c r="G1366">
        <v>120</v>
      </c>
      <c r="H1366">
        <v>1</v>
      </c>
      <c r="I1366" t="s">
        <v>145</v>
      </c>
      <c r="J1366">
        <v>0</v>
      </c>
      <c r="K1366">
        <v>2</v>
      </c>
      <c r="L1366">
        <v>2</v>
      </c>
      <c r="M1366">
        <v>388</v>
      </c>
      <c r="N1366">
        <v>265</v>
      </c>
      <c r="O1366">
        <v>0</v>
      </c>
      <c r="P1366">
        <v>265</v>
      </c>
      <c r="Q1366">
        <v>5</v>
      </c>
      <c r="R1366">
        <v>20</v>
      </c>
      <c r="S1366">
        <v>20</v>
      </c>
      <c r="T1366">
        <v>6</v>
      </c>
      <c r="U1366">
        <v>42</v>
      </c>
      <c r="V1366">
        <v>10</v>
      </c>
      <c r="W1366">
        <v>4</v>
      </c>
      <c r="X1366">
        <v>4</v>
      </c>
      <c r="Y1366">
        <v>108</v>
      </c>
      <c r="Z1366">
        <v>14</v>
      </c>
      <c r="AB1366">
        <v>0</v>
      </c>
      <c r="AC1366">
        <v>0</v>
      </c>
      <c r="AD1366">
        <v>0</v>
      </c>
      <c r="AE1366">
        <v>0</v>
      </c>
      <c r="AF1366">
        <v>0</v>
      </c>
      <c r="AK1366">
        <v>1</v>
      </c>
      <c r="AL1366">
        <v>3</v>
      </c>
      <c r="AM1366">
        <v>0</v>
      </c>
      <c r="AN1366">
        <v>0</v>
      </c>
      <c r="AQ1366">
        <v>0</v>
      </c>
      <c r="AT1366">
        <v>0</v>
      </c>
      <c r="AU1366">
        <v>0</v>
      </c>
      <c r="AV1366">
        <v>390</v>
      </c>
      <c r="AW1366">
        <v>237</v>
      </c>
      <c r="AX1366">
        <v>630</v>
      </c>
      <c r="BA1366">
        <v>1</v>
      </c>
      <c r="BC1366" t="s">
        <v>2828</v>
      </c>
      <c r="BD1366" s="4">
        <v>43283.707638888889</v>
      </c>
      <c r="BE1366" s="4">
        <v>43283.712002314816</v>
      </c>
      <c r="BF1366" s="4">
        <v>43283.712002314816</v>
      </c>
      <c r="BG1366" t="s">
        <v>83</v>
      </c>
      <c r="BH1366" t="s">
        <v>84</v>
      </c>
      <c r="BI1366" t="s">
        <v>548</v>
      </c>
    </row>
    <row r="1367" spans="1:61" x14ac:dyDescent="0.3">
      <c r="A1367" t="str">
        <f>"200120E0200"</f>
        <v>200120E0200</v>
      </c>
      <c r="B1367" s="2" t="s">
        <v>2829</v>
      </c>
      <c r="C1367">
        <v>20</v>
      </c>
      <c r="D1367" t="s">
        <v>79</v>
      </c>
      <c r="E1367">
        <v>7</v>
      </c>
      <c r="F1367" t="s">
        <v>2811</v>
      </c>
      <c r="G1367">
        <v>120</v>
      </c>
      <c r="H1367">
        <v>2</v>
      </c>
      <c r="I1367" t="s">
        <v>145</v>
      </c>
      <c r="J1367">
        <v>0</v>
      </c>
      <c r="K1367">
        <v>2</v>
      </c>
      <c r="L1367">
        <v>2</v>
      </c>
      <c r="AX1367">
        <v>481</v>
      </c>
      <c r="AZ1367" t="s">
        <v>932</v>
      </c>
      <c r="BA1367">
        <v>0</v>
      </c>
      <c r="BC1367" t="s">
        <v>2830</v>
      </c>
      <c r="BD1367" s="4">
        <v>43282.820138888892</v>
      </c>
      <c r="BE1367" s="4">
        <v>43283.820636574077</v>
      </c>
      <c r="BF1367" s="4">
        <v>43283.820636574077</v>
      </c>
      <c r="BG1367" t="s">
        <v>83</v>
      </c>
      <c r="BH1367" t="s">
        <v>84</v>
      </c>
      <c r="BI1367" t="s">
        <v>85</v>
      </c>
    </row>
    <row r="1368" spans="1:61" x14ac:dyDescent="0.3">
      <c r="A1368" t="str">
        <f>"200131B0100"</f>
        <v>200131B0100</v>
      </c>
      <c r="B1368" t="s">
        <v>2831</v>
      </c>
      <c r="C1368">
        <v>20</v>
      </c>
      <c r="D1368" t="s">
        <v>79</v>
      </c>
      <c r="E1368">
        <v>7</v>
      </c>
      <c r="F1368" t="s">
        <v>2811</v>
      </c>
      <c r="G1368">
        <v>131</v>
      </c>
      <c r="H1368">
        <v>1</v>
      </c>
      <c r="I1368" t="s">
        <v>81</v>
      </c>
      <c r="J1368">
        <v>0</v>
      </c>
      <c r="K1368">
        <v>2</v>
      </c>
      <c r="L1368">
        <v>2</v>
      </c>
      <c r="M1368">
        <v>353</v>
      </c>
      <c r="N1368">
        <v>410</v>
      </c>
      <c r="O1368">
        <v>1</v>
      </c>
      <c r="P1368">
        <v>410</v>
      </c>
      <c r="Q1368">
        <v>7</v>
      </c>
      <c r="R1368">
        <v>17</v>
      </c>
      <c r="S1368">
        <v>21</v>
      </c>
      <c r="T1368">
        <v>4</v>
      </c>
      <c r="U1368">
        <v>9</v>
      </c>
      <c r="V1368">
        <v>14</v>
      </c>
      <c r="W1368">
        <v>7</v>
      </c>
      <c r="X1368">
        <v>4</v>
      </c>
      <c r="Y1368">
        <v>291</v>
      </c>
      <c r="Z1368">
        <v>6</v>
      </c>
      <c r="AB1368">
        <v>9</v>
      </c>
      <c r="AC1368">
        <v>0</v>
      </c>
      <c r="AD1368">
        <v>0</v>
      </c>
      <c r="AE1368">
        <v>0</v>
      </c>
      <c r="AF1368">
        <v>0</v>
      </c>
      <c r="AK1368">
        <v>8</v>
      </c>
      <c r="AL1368">
        <v>0</v>
      </c>
      <c r="AM1368">
        <v>0</v>
      </c>
      <c r="AN1368">
        <v>1</v>
      </c>
      <c r="AQ1368">
        <v>0</v>
      </c>
      <c r="AT1368">
        <v>0</v>
      </c>
      <c r="AU1368">
        <v>12</v>
      </c>
      <c r="AV1368">
        <v>410</v>
      </c>
      <c r="AW1368">
        <v>410</v>
      </c>
      <c r="AX1368">
        <v>741</v>
      </c>
      <c r="BA1368">
        <v>1</v>
      </c>
      <c r="BC1368" t="s">
        <v>2832</v>
      </c>
      <c r="BD1368" s="4">
        <v>43283.03125</v>
      </c>
      <c r="BE1368" s="4">
        <v>43283.037754629629</v>
      </c>
      <c r="BF1368" s="4">
        <v>43283.037754629629</v>
      </c>
      <c r="BG1368" t="s">
        <v>83</v>
      </c>
      <c r="BH1368" t="s">
        <v>84</v>
      </c>
      <c r="BI1368" t="s">
        <v>85</v>
      </c>
    </row>
    <row r="1369" spans="1:61" x14ac:dyDescent="0.3">
      <c r="A1369" t="str">
        <f>"200131C0100"</f>
        <v>200131C0100</v>
      </c>
      <c r="B1369" t="s">
        <v>2833</v>
      </c>
      <c r="C1369">
        <v>20</v>
      </c>
      <c r="D1369" t="s">
        <v>79</v>
      </c>
      <c r="E1369">
        <v>7</v>
      </c>
      <c r="F1369" t="s">
        <v>2811</v>
      </c>
      <c r="G1369">
        <v>131</v>
      </c>
      <c r="H1369">
        <v>1</v>
      </c>
      <c r="I1369" t="s">
        <v>89</v>
      </c>
      <c r="J1369">
        <v>0</v>
      </c>
      <c r="K1369">
        <v>2</v>
      </c>
      <c r="L1369">
        <v>2</v>
      </c>
      <c r="M1369">
        <v>403</v>
      </c>
      <c r="N1369">
        <v>359</v>
      </c>
      <c r="O1369">
        <v>0</v>
      </c>
      <c r="P1369">
        <v>359</v>
      </c>
      <c r="Q1369">
        <v>5</v>
      </c>
      <c r="R1369">
        <v>7</v>
      </c>
      <c r="S1369">
        <v>17</v>
      </c>
      <c r="T1369">
        <v>10</v>
      </c>
      <c r="U1369">
        <v>9</v>
      </c>
      <c r="V1369">
        <v>6</v>
      </c>
      <c r="W1369">
        <v>4</v>
      </c>
      <c r="X1369">
        <v>3</v>
      </c>
      <c r="Y1369">
        <v>264</v>
      </c>
      <c r="Z1369">
        <v>6</v>
      </c>
      <c r="AB1369">
        <v>4</v>
      </c>
      <c r="AC1369">
        <v>0</v>
      </c>
      <c r="AD1369">
        <v>0</v>
      </c>
      <c r="AE1369">
        <v>0</v>
      </c>
      <c r="AF1369">
        <v>0</v>
      </c>
      <c r="AK1369">
        <v>5</v>
      </c>
      <c r="AL1369">
        <v>1</v>
      </c>
      <c r="AM1369">
        <v>0</v>
      </c>
      <c r="AN1369">
        <v>1</v>
      </c>
      <c r="AQ1369">
        <v>0</v>
      </c>
      <c r="AT1369">
        <v>0</v>
      </c>
      <c r="AU1369">
        <v>17</v>
      </c>
      <c r="AV1369">
        <v>359</v>
      </c>
      <c r="AW1369">
        <v>359</v>
      </c>
      <c r="AX1369">
        <v>740</v>
      </c>
      <c r="BA1369">
        <v>1</v>
      </c>
      <c r="BC1369" t="s">
        <v>2834</v>
      </c>
      <c r="BD1369" s="4">
        <v>43283.102083333331</v>
      </c>
      <c r="BE1369" s="4">
        <v>43283.107233796298</v>
      </c>
      <c r="BF1369" s="4">
        <v>43283.107233796298</v>
      </c>
      <c r="BG1369" t="s">
        <v>83</v>
      </c>
      <c r="BH1369" t="s">
        <v>84</v>
      </c>
      <c r="BI1369" t="s">
        <v>85</v>
      </c>
    </row>
    <row r="1370" spans="1:61" x14ac:dyDescent="0.3">
      <c r="A1370" t="str">
        <f>"200132B0100"</f>
        <v>200132B0100</v>
      </c>
      <c r="B1370" t="s">
        <v>2835</v>
      </c>
      <c r="C1370">
        <v>20</v>
      </c>
      <c r="D1370" t="s">
        <v>79</v>
      </c>
      <c r="E1370">
        <v>7</v>
      </c>
      <c r="F1370" t="s">
        <v>2811</v>
      </c>
      <c r="G1370">
        <v>132</v>
      </c>
      <c r="H1370">
        <v>1</v>
      </c>
      <c r="I1370" t="s">
        <v>81</v>
      </c>
      <c r="J1370">
        <v>0</v>
      </c>
      <c r="K1370">
        <v>2</v>
      </c>
      <c r="L1370">
        <v>2</v>
      </c>
      <c r="M1370">
        <v>239</v>
      </c>
      <c r="N1370">
        <v>523</v>
      </c>
      <c r="O1370">
        <v>0</v>
      </c>
      <c r="P1370">
        <v>523</v>
      </c>
      <c r="Q1370">
        <v>1</v>
      </c>
      <c r="R1370">
        <v>1</v>
      </c>
      <c r="S1370">
        <v>0</v>
      </c>
      <c r="T1370">
        <v>1</v>
      </c>
      <c r="U1370">
        <v>9</v>
      </c>
      <c r="V1370">
        <v>3</v>
      </c>
      <c r="W1370">
        <v>1</v>
      </c>
      <c r="X1370">
        <v>3</v>
      </c>
      <c r="Y1370">
        <v>499</v>
      </c>
      <c r="Z1370">
        <v>6</v>
      </c>
      <c r="AB1370" t="s">
        <v>100</v>
      </c>
      <c r="AC1370" t="s">
        <v>100</v>
      </c>
      <c r="AD1370" t="s">
        <v>100</v>
      </c>
      <c r="AE1370" t="s">
        <v>100</v>
      </c>
      <c r="AF1370" t="s">
        <v>100</v>
      </c>
      <c r="AK1370" t="s">
        <v>100</v>
      </c>
      <c r="AL1370" t="s">
        <v>100</v>
      </c>
      <c r="AM1370" t="s">
        <v>100</v>
      </c>
      <c r="AN1370" t="s">
        <v>100</v>
      </c>
      <c r="AQ1370" t="s">
        <v>100</v>
      </c>
      <c r="AT1370" t="s">
        <v>100</v>
      </c>
      <c r="AU1370">
        <v>2</v>
      </c>
      <c r="AV1370">
        <v>523</v>
      </c>
      <c r="AW1370">
        <v>526</v>
      </c>
      <c r="AX1370">
        <v>739</v>
      </c>
      <c r="AZ1370" t="s">
        <v>101</v>
      </c>
      <c r="BA1370">
        <v>1</v>
      </c>
      <c r="BC1370" t="s">
        <v>2836</v>
      </c>
      <c r="BD1370" s="4">
        <v>43283.320138888892</v>
      </c>
      <c r="BE1370" s="4">
        <v>43283.366249999999</v>
      </c>
      <c r="BF1370" s="4">
        <v>43283.366249999999</v>
      </c>
      <c r="BG1370" t="s">
        <v>83</v>
      </c>
      <c r="BH1370" t="s">
        <v>84</v>
      </c>
      <c r="BI1370" t="s">
        <v>85</v>
      </c>
    </row>
    <row r="1371" spans="1:61" x14ac:dyDescent="0.3">
      <c r="A1371" t="str">
        <f>"200133B0100"</f>
        <v>200133B0100</v>
      </c>
      <c r="B1371" t="s">
        <v>2837</v>
      </c>
      <c r="C1371">
        <v>20</v>
      </c>
      <c r="D1371" t="s">
        <v>79</v>
      </c>
      <c r="E1371">
        <v>7</v>
      </c>
      <c r="F1371" t="s">
        <v>2811</v>
      </c>
      <c r="G1371">
        <v>133</v>
      </c>
      <c r="H1371">
        <v>1</v>
      </c>
      <c r="I1371" t="s">
        <v>81</v>
      </c>
      <c r="J1371">
        <v>0</v>
      </c>
      <c r="K1371">
        <v>2</v>
      </c>
      <c r="L1371">
        <v>2</v>
      </c>
      <c r="M1371">
        <v>112</v>
      </c>
      <c r="N1371">
        <v>157</v>
      </c>
      <c r="O1371">
        <v>0</v>
      </c>
      <c r="P1371">
        <v>157</v>
      </c>
      <c r="Q1371">
        <v>0</v>
      </c>
      <c r="R1371">
        <v>1</v>
      </c>
      <c r="S1371">
        <v>1</v>
      </c>
      <c r="T1371">
        <v>2</v>
      </c>
      <c r="U1371">
        <v>2</v>
      </c>
      <c r="V1371">
        <v>1</v>
      </c>
      <c r="W1371">
        <v>2</v>
      </c>
      <c r="X1371">
        <v>2</v>
      </c>
      <c r="Y1371">
        <v>136</v>
      </c>
      <c r="Z1371">
        <v>1</v>
      </c>
      <c r="AB1371">
        <v>0</v>
      </c>
      <c r="AC1371">
        <v>0</v>
      </c>
      <c r="AD1371">
        <v>0</v>
      </c>
      <c r="AE1371">
        <v>0</v>
      </c>
      <c r="AF1371">
        <v>0</v>
      </c>
      <c r="AK1371">
        <v>0</v>
      </c>
      <c r="AL1371">
        <v>1</v>
      </c>
      <c r="AM1371">
        <v>0</v>
      </c>
      <c r="AN1371">
        <v>1</v>
      </c>
      <c r="AQ1371">
        <v>0</v>
      </c>
      <c r="AT1371">
        <v>0</v>
      </c>
      <c r="AU1371">
        <v>7</v>
      </c>
      <c r="AV1371">
        <v>157</v>
      </c>
      <c r="AW1371">
        <v>157</v>
      </c>
      <c r="AX1371">
        <v>247</v>
      </c>
      <c r="BA1371">
        <v>1</v>
      </c>
      <c r="BC1371" t="s">
        <v>2838</v>
      </c>
      <c r="BD1371" s="4">
        <v>43283.018750000003</v>
      </c>
      <c r="BE1371" s="4">
        <v>43283.027071759258</v>
      </c>
      <c r="BF1371" s="4">
        <v>43283.027071759258</v>
      </c>
      <c r="BG1371" t="s">
        <v>83</v>
      </c>
      <c r="BH1371" t="s">
        <v>84</v>
      </c>
      <c r="BI1371" t="s">
        <v>85</v>
      </c>
    </row>
    <row r="1372" spans="1:61" x14ac:dyDescent="0.3">
      <c r="A1372" t="str">
        <f>"200133E0100"</f>
        <v>200133E0100</v>
      </c>
      <c r="B1372" s="2" t="s">
        <v>2839</v>
      </c>
      <c r="C1372">
        <v>20</v>
      </c>
      <c r="D1372" t="s">
        <v>79</v>
      </c>
      <c r="E1372">
        <v>7</v>
      </c>
      <c r="F1372" t="s">
        <v>2811</v>
      </c>
      <c r="G1372">
        <v>133</v>
      </c>
      <c r="H1372">
        <v>1</v>
      </c>
      <c r="I1372" t="s">
        <v>145</v>
      </c>
      <c r="J1372">
        <v>0</v>
      </c>
      <c r="K1372">
        <v>2</v>
      </c>
      <c r="L1372">
        <v>2</v>
      </c>
      <c r="M1372">
        <v>54</v>
      </c>
      <c r="N1372">
        <v>433</v>
      </c>
      <c r="O1372" t="s">
        <v>100</v>
      </c>
      <c r="P1372">
        <v>433</v>
      </c>
      <c r="Q1372" t="s">
        <v>100</v>
      </c>
      <c r="R1372" t="s">
        <v>100</v>
      </c>
      <c r="S1372" t="s">
        <v>100</v>
      </c>
      <c r="T1372" t="s">
        <v>100</v>
      </c>
      <c r="U1372">
        <v>10</v>
      </c>
      <c r="V1372" t="s">
        <v>100</v>
      </c>
      <c r="W1372" t="s">
        <v>100</v>
      </c>
      <c r="X1372">
        <v>2</v>
      </c>
      <c r="Y1372">
        <v>416</v>
      </c>
      <c r="Z1372">
        <v>3</v>
      </c>
      <c r="AB1372" t="s">
        <v>100</v>
      </c>
      <c r="AC1372" t="s">
        <v>100</v>
      </c>
      <c r="AD1372" t="s">
        <v>100</v>
      </c>
      <c r="AE1372" t="s">
        <v>100</v>
      </c>
      <c r="AF1372" t="s">
        <v>100</v>
      </c>
      <c r="AK1372" t="s">
        <v>100</v>
      </c>
      <c r="AL1372" t="s">
        <v>100</v>
      </c>
      <c r="AM1372" t="s">
        <v>100</v>
      </c>
      <c r="AN1372" t="s">
        <v>100</v>
      </c>
      <c r="AQ1372" t="s">
        <v>100</v>
      </c>
      <c r="AT1372" t="s">
        <v>100</v>
      </c>
      <c r="AU1372">
        <v>2</v>
      </c>
      <c r="AV1372">
        <v>433</v>
      </c>
      <c r="AW1372">
        <v>433</v>
      </c>
      <c r="AX1372">
        <v>456</v>
      </c>
      <c r="AZ1372" t="s">
        <v>101</v>
      </c>
      <c r="BA1372">
        <v>1</v>
      </c>
      <c r="BC1372" t="s">
        <v>2840</v>
      </c>
      <c r="BD1372" s="4">
        <v>43283.323611111111</v>
      </c>
      <c r="BE1372" s="4">
        <v>43283.346620370372</v>
      </c>
      <c r="BF1372" s="4">
        <v>43283.346620370372</v>
      </c>
      <c r="BG1372" t="s">
        <v>83</v>
      </c>
      <c r="BH1372" t="s">
        <v>84</v>
      </c>
      <c r="BI1372" t="s">
        <v>85</v>
      </c>
    </row>
    <row r="1373" spans="1:61" x14ac:dyDescent="0.3">
      <c r="A1373" t="str">
        <f>"200198B0100"</f>
        <v>200198B0100</v>
      </c>
      <c r="B1373" t="s">
        <v>2841</v>
      </c>
      <c r="C1373">
        <v>20</v>
      </c>
      <c r="D1373" t="s">
        <v>79</v>
      </c>
      <c r="E1373">
        <v>7</v>
      </c>
      <c r="F1373" t="s">
        <v>2811</v>
      </c>
      <c r="G1373">
        <v>198</v>
      </c>
      <c r="H1373">
        <v>1</v>
      </c>
      <c r="I1373" t="s">
        <v>81</v>
      </c>
      <c r="J1373">
        <v>0</v>
      </c>
      <c r="K1373">
        <v>2</v>
      </c>
      <c r="L1373">
        <v>2</v>
      </c>
      <c r="M1373">
        <v>321</v>
      </c>
      <c r="N1373">
        <v>690</v>
      </c>
      <c r="O1373">
        <v>3</v>
      </c>
      <c r="P1373" t="s">
        <v>315</v>
      </c>
      <c r="Q1373">
        <v>7</v>
      </c>
      <c r="R1373">
        <v>30</v>
      </c>
      <c r="S1373">
        <v>68</v>
      </c>
      <c r="T1373">
        <v>6</v>
      </c>
      <c r="U1373">
        <v>20</v>
      </c>
      <c r="V1373">
        <v>6</v>
      </c>
      <c r="W1373">
        <v>5</v>
      </c>
      <c r="X1373">
        <v>5</v>
      </c>
      <c r="Y1373">
        <v>167</v>
      </c>
      <c r="Z1373">
        <v>10</v>
      </c>
      <c r="AB1373">
        <v>5</v>
      </c>
      <c r="AC1373">
        <v>3</v>
      </c>
      <c r="AD1373">
        <v>1</v>
      </c>
      <c r="AE1373">
        <v>0</v>
      </c>
      <c r="AF1373">
        <v>0</v>
      </c>
      <c r="AK1373">
        <v>7</v>
      </c>
      <c r="AL1373">
        <v>4</v>
      </c>
      <c r="AM1373">
        <v>1</v>
      </c>
      <c r="AN1373">
        <v>0</v>
      </c>
      <c r="AQ1373">
        <v>0</v>
      </c>
      <c r="AT1373">
        <v>0</v>
      </c>
      <c r="AU1373">
        <v>24</v>
      </c>
      <c r="AV1373">
        <v>369</v>
      </c>
      <c r="AW1373">
        <v>369</v>
      </c>
      <c r="AX1373">
        <v>668</v>
      </c>
      <c r="BA1373">
        <v>1</v>
      </c>
      <c r="BC1373" t="s">
        <v>2842</v>
      </c>
      <c r="BD1373" s="4">
        <v>43283.181250000001</v>
      </c>
      <c r="BE1373" s="4">
        <v>43283.19798611111</v>
      </c>
      <c r="BF1373" s="4">
        <v>43283.19798611111</v>
      </c>
      <c r="BG1373" t="s">
        <v>83</v>
      </c>
      <c r="BH1373" t="s">
        <v>84</v>
      </c>
      <c r="BI1373" t="s">
        <v>85</v>
      </c>
    </row>
    <row r="1374" spans="1:61" x14ac:dyDescent="0.3">
      <c r="A1374" t="str">
        <f>"200198C0100"</f>
        <v>200198C0100</v>
      </c>
      <c r="B1374" t="s">
        <v>2843</v>
      </c>
      <c r="C1374">
        <v>20</v>
      </c>
      <c r="D1374" t="s">
        <v>79</v>
      </c>
      <c r="E1374">
        <v>7</v>
      </c>
      <c r="F1374" t="s">
        <v>2811</v>
      </c>
      <c r="G1374">
        <v>198</v>
      </c>
      <c r="H1374">
        <v>1</v>
      </c>
      <c r="I1374" t="s">
        <v>89</v>
      </c>
      <c r="J1374">
        <v>0</v>
      </c>
      <c r="K1374">
        <v>2</v>
      </c>
      <c r="L1374">
        <v>2</v>
      </c>
      <c r="M1374">
        <v>320</v>
      </c>
      <c r="N1374" t="s">
        <v>100</v>
      </c>
      <c r="O1374" t="s">
        <v>100</v>
      </c>
      <c r="P1374">
        <v>370</v>
      </c>
      <c r="Q1374">
        <v>9</v>
      </c>
      <c r="R1374">
        <v>33</v>
      </c>
      <c r="S1374">
        <v>70</v>
      </c>
      <c r="T1374">
        <v>6</v>
      </c>
      <c r="U1374">
        <v>26</v>
      </c>
      <c r="V1374">
        <v>10</v>
      </c>
      <c r="W1374">
        <v>2</v>
      </c>
      <c r="X1374">
        <v>6</v>
      </c>
      <c r="Y1374">
        <v>166</v>
      </c>
      <c r="Z1374">
        <v>13</v>
      </c>
      <c r="AB1374">
        <v>1</v>
      </c>
      <c r="AC1374">
        <v>0</v>
      </c>
      <c r="AD1374">
        <v>1</v>
      </c>
      <c r="AE1374">
        <v>0</v>
      </c>
      <c r="AF1374">
        <v>0</v>
      </c>
      <c r="AK1374">
        <v>7</v>
      </c>
      <c r="AL1374">
        <v>5</v>
      </c>
      <c r="AM1374">
        <v>1</v>
      </c>
      <c r="AN1374">
        <v>1</v>
      </c>
      <c r="AQ1374">
        <v>0</v>
      </c>
      <c r="AT1374">
        <v>0</v>
      </c>
      <c r="AU1374">
        <v>16</v>
      </c>
      <c r="AV1374">
        <v>370</v>
      </c>
      <c r="AW1374">
        <v>373</v>
      </c>
      <c r="AX1374">
        <v>668</v>
      </c>
      <c r="BA1374">
        <v>1</v>
      </c>
      <c r="BC1374" t="s">
        <v>2844</v>
      </c>
      <c r="BD1374" s="4">
        <v>43283.183333333334</v>
      </c>
      <c r="BE1374" s="4">
        <v>43283.202268518522</v>
      </c>
      <c r="BF1374" s="4">
        <v>43283.202268518522</v>
      </c>
      <c r="BG1374" t="s">
        <v>83</v>
      </c>
      <c r="BH1374" t="s">
        <v>84</v>
      </c>
      <c r="BI1374" t="s">
        <v>85</v>
      </c>
    </row>
    <row r="1375" spans="1:61" x14ac:dyDescent="0.3">
      <c r="A1375" t="str">
        <f>"200198C0200"</f>
        <v>200198C0200</v>
      </c>
      <c r="B1375" t="s">
        <v>2845</v>
      </c>
      <c r="C1375">
        <v>20</v>
      </c>
      <c r="D1375" t="s">
        <v>79</v>
      </c>
      <c r="E1375">
        <v>7</v>
      </c>
      <c r="F1375" t="s">
        <v>2811</v>
      </c>
      <c r="G1375">
        <v>198</v>
      </c>
      <c r="H1375">
        <v>2</v>
      </c>
      <c r="I1375" t="s">
        <v>89</v>
      </c>
      <c r="J1375">
        <v>0</v>
      </c>
      <c r="K1375">
        <v>2</v>
      </c>
      <c r="L1375">
        <v>2</v>
      </c>
      <c r="M1375">
        <v>350</v>
      </c>
      <c r="N1375">
        <v>331</v>
      </c>
      <c r="O1375">
        <v>3</v>
      </c>
      <c r="P1375">
        <v>331</v>
      </c>
      <c r="Q1375">
        <v>6</v>
      </c>
      <c r="R1375">
        <v>25</v>
      </c>
      <c r="S1375">
        <v>65</v>
      </c>
      <c r="T1375">
        <v>2</v>
      </c>
      <c r="U1375">
        <v>30</v>
      </c>
      <c r="V1375">
        <v>9</v>
      </c>
      <c r="W1375">
        <v>8</v>
      </c>
      <c r="X1375">
        <v>3</v>
      </c>
      <c r="Y1375">
        <v>145</v>
      </c>
      <c r="Z1375">
        <v>6</v>
      </c>
      <c r="AB1375">
        <v>0</v>
      </c>
      <c r="AC1375">
        <v>1</v>
      </c>
      <c r="AD1375">
        <v>0</v>
      </c>
      <c r="AE1375">
        <v>0</v>
      </c>
      <c r="AF1375">
        <v>0</v>
      </c>
      <c r="AK1375">
        <v>11</v>
      </c>
      <c r="AL1375">
        <v>3</v>
      </c>
      <c r="AM1375">
        <v>0</v>
      </c>
      <c r="AN1375">
        <v>1</v>
      </c>
      <c r="AQ1375">
        <v>0</v>
      </c>
      <c r="AT1375">
        <v>0</v>
      </c>
      <c r="AU1375">
        <v>0</v>
      </c>
      <c r="AV1375">
        <v>331</v>
      </c>
      <c r="AW1375">
        <v>315</v>
      </c>
      <c r="AX1375">
        <v>667</v>
      </c>
      <c r="BA1375">
        <v>1</v>
      </c>
      <c r="BC1375" t="s">
        <v>2846</v>
      </c>
      <c r="BD1375" s="4">
        <v>43283.185416666667</v>
      </c>
      <c r="BE1375" s="4">
        <v>43283.204270833332</v>
      </c>
      <c r="BF1375" s="4">
        <v>43283.204270833332</v>
      </c>
      <c r="BG1375" t="s">
        <v>83</v>
      </c>
      <c r="BH1375" t="s">
        <v>84</v>
      </c>
      <c r="BI1375" t="s">
        <v>85</v>
      </c>
    </row>
    <row r="1376" spans="1:61" x14ac:dyDescent="0.3">
      <c r="A1376" t="str">
        <f>"200199B0100"</f>
        <v>200199B0100</v>
      </c>
      <c r="B1376" t="s">
        <v>2847</v>
      </c>
      <c r="C1376">
        <v>20</v>
      </c>
      <c r="D1376" t="s">
        <v>79</v>
      </c>
      <c r="E1376">
        <v>7</v>
      </c>
      <c r="F1376" t="s">
        <v>2811</v>
      </c>
      <c r="G1376">
        <v>199</v>
      </c>
      <c r="H1376">
        <v>1</v>
      </c>
      <c r="I1376" t="s">
        <v>81</v>
      </c>
      <c r="J1376">
        <v>0</v>
      </c>
      <c r="K1376">
        <v>2</v>
      </c>
      <c r="L1376">
        <v>2</v>
      </c>
      <c r="M1376">
        <v>189</v>
      </c>
      <c r="N1376">
        <v>120</v>
      </c>
      <c r="O1376">
        <v>0</v>
      </c>
      <c r="P1376">
        <v>120</v>
      </c>
      <c r="Q1376">
        <v>0</v>
      </c>
      <c r="R1376">
        <v>4</v>
      </c>
      <c r="S1376">
        <v>4</v>
      </c>
      <c r="T1376">
        <v>1</v>
      </c>
      <c r="U1376">
        <v>14</v>
      </c>
      <c r="V1376">
        <v>0</v>
      </c>
      <c r="W1376">
        <v>1</v>
      </c>
      <c r="X1376">
        <v>2</v>
      </c>
      <c r="Y1376">
        <v>75</v>
      </c>
      <c r="Z1376">
        <v>5</v>
      </c>
      <c r="AB1376">
        <v>1</v>
      </c>
      <c r="AC1376">
        <v>0</v>
      </c>
      <c r="AD1376">
        <v>0</v>
      </c>
      <c r="AE1376">
        <v>1</v>
      </c>
      <c r="AF1376">
        <v>0</v>
      </c>
      <c r="AK1376">
        <v>4</v>
      </c>
      <c r="AL1376">
        <v>2</v>
      </c>
      <c r="AM1376">
        <v>1</v>
      </c>
      <c r="AN1376">
        <v>0</v>
      </c>
      <c r="AQ1376">
        <v>0</v>
      </c>
      <c r="AT1376">
        <v>0</v>
      </c>
      <c r="AU1376">
        <v>5</v>
      </c>
      <c r="AV1376" t="s">
        <v>100</v>
      </c>
      <c r="AW1376">
        <v>120</v>
      </c>
      <c r="AX1376">
        <v>287</v>
      </c>
      <c r="BA1376">
        <v>1</v>
      </c>
      <c r="BC1376" t="s">
        <v>2848</v>
      </c>
      <c r="BD1376" s="4">
        <v>43283.188194444447</v>
      </c>
      <c r="BE1376" s="4">
        <v>43283.206273148149</v>
      </c>
      <c r="BF1376" s="4">
        <v>43283.206273148149</v>
      </c>
      <c r="BG1376" t="s">
        <v>83</v>
      </c>
      <c r="BH1376" t="s">
        <v>84</v>
      </c>
      <c r="BI1376" t="s">
        <v>85</v>
      </c>
    </row>
    <row r="1377" spans="1:61" x14ac:dyDescent="0.3">
      <c r="A1377" t="str">
        <f>"200200B0100"</f>
        <v>200200B0100</v>
      </c>
      <c r="B1377" t="s">
        <v>2849</v>
      </c>
      <c r="C1377">
        <v>20</v>
      </c>
      <c r="D1377" t="s">
        <v>79</v>
      </c>
      <c r="E1377">
        <v>7</v>
      </c>
      <c r="F1377" t="s">
        <v>2811</v>
      </c>
      <c r="G1377">
        <v>200</v>
      </c>
      <c r="H1377">
        <v>1</v>
      </c>
      <c r="I1377" t="s">
        <v>81</v>
      </c>
      <c r="J1377">
        <v>0</v>
      </c>
      <c r="K1377">
        <v>2</v>
      </c>
      <c r="L1377">
        <v>2</v>
      </c>
      <c r="M1377">
        <v>362</v>
      </c>
      <c r="N1377">
        <v>154</v>
      </c>
      <c r="O1377">
        <v>0</v>
      </c>
      <c r="P1377">
        <v>153</v>
      </c>
      <c r="Q1377">
        <v>2</v>
      </c>
      <c r="R1377">
        <v>3</v>
      </c>
      <c r="S1377">
        <v>55</v>
      </c>
      <c r="T1377">
        <v>3</v>
      </c>
      <c r="U1377">
        <v>12</v>
      </c>
      <c r="V1377">
        <v>1</v>
      </c>
      <c r="W1377">
        <v>3</v>
      </c>
      <c r="X1377">
        <v>1</v>
      </c>
      <c r="Y1377">
        <v>46</v>
      </c>
      <c r="Z1377">
        <v>4</v>
      </c>
      <c r="AB1377">
        <v>1</v>
      </c>
      <c r="AC1377">
        <v>0</v>
      </c>
      <c r="AD1377">
        <v>0</v>
      </c>
      <c r="AE1377">
        <v>0</v>
      </c>
      <c r="AF1377">
        <v>0</v>
      </c>
      <c r="AK1377">
        <v>6</v>
      </c>
      <c r="AL1377">
        <v>1</v>
      </c>
      <c r="AM1377">
        <v>0</v>
      </c>
      <c r="AN1377">
        <v>0</v>
      </c>
      <c r="AQ1377">
        <v>0</v>
      </c>
      <c r="AT1377">
        <v>0</v>
      </c>
      <c r="AU1377">
        <v>15</v>
      </c>
      <c r="AV1377">
        <v>153</v>
      </c>
      <c r="AW1377">
        <v>153</v>
      </c>
      <c r="AX1377">
        <v>494</v>
      </c>
      <c r="BA1377">
        <v>1</v>
      </c>
      <c r="BC1377" t="s">
        <v>2850</v>
      </c>
      <c r="BD1377" s="4">
        <v>43283.23541666667</v>
      </c>
      <c r="BE1377" s="4">
        <v>43283.257916666669</v>
      </c>
      <c r="BF1377" s="4">
        <v>43283.257916666669</v>
      </c>
      <c r="BG1377" t="s">
        <v>83</v>
      </c>
      <c r="BH1377" t="s">
        <v>84</v>
      </c>
      <c r="BI1377" t="s">
        <v>85</v>
      </c>
    </row>
    <row r="1378" spans="1:61" x14ac:dyDescent="0.3">
      <c r="A1378" t="str">
        <f>"200200C0100"</f>
        <v>200200C0100</v>
      </c>
      <c r="B1378" t="s">
        <v>2851</v>
      </c>
      <c r="C1378">
        <v>20</v>
      </c>
      <c r="D1378" t="s">
        <v>79</v>
      </c>
      <c r="E1378">
        <v>7</v>
      </c>
      <c r="F1378" t="s">
        <v>2811</v>
      </c>
      <c r="G1378">
        <v>200</v>
      </c>
      <c r="H1378">
        <v>1</v>
      </c>
      <c r="I1378" t="s">
        <v>89</v>
      </c>
      <c r="J1378">
        <v>0</v>
      </c>
      <c r="K1378">
        <v>2</v>
      </c>
      <c r="L1378">
        <v>2</v>
      </c>
      <c r="M1378">
        <v>365</v>
      </c>
      <c r="N1378">
        <v>152</v>
      </c>
      <c r="O1378">
        <v>2</v>
      </c>
      <c r="P1378">
        <v>150</v>
      </c>
      <c r="Q1378">
        <v>0</v>
      </c>
      <c r="R1378">
        <v>6</v>
      </c>
      <c r="S1378">
        <v>66</v>
      </c>
      <c r="T1378">
        <v>3</v>
      </c>
      <c r="U1378">
        <v>9</v>
      </c>
      <c r="V1378">
        <v>9</v>
      </c>
      <c r="W1378">
        <v>1</v>
      </c>
      <c r="X1378">
        <v>2</v>
      </c>
      <c r="Y1378">
        <v>40</v>
      </c>
      <c r="Z1378">
        <v>2</v>
      </c>
      <c r="AB1378">
        <v>1</v>
      </c>
      <c r="AC1378">
        <v>0</v>
      </c>
      <c r="AD1378">
        <v>0</v>
      </c>
      <c r="AE1378">
        <v>0</v>
      </c>
      <c r="AF1378">
        <v>0</v>
      </c>
      <c r="AK1378">
        <v>1</v>
      </c>
      <c r="AL1378">
        <v>1</v>
      </c>
      <c r="AM1378">
        <v>0</v>
      </c>
      <c r="AN1378">
        <v>0</v>
      </c>
      <c r="AQ1378">
        <v>0</v>
      </c>
      <c r="AT1378">
        <v>0</v>
      </c>
      <c r="AU1378">
        <v>8</v>
      </c>
      <c r="AV1378">
        <v>150</v>
      </c>
      <c r="AW1378">
        <v>149</v>
      </c>
      <c r="AX1378">
        <v>494</v>
      </c>
      <c r="BA1378">
        <v>1</v>
      </c>
      <c r="BC1378" t="s">
        <v>2852</v>
      </c>
      <c r="BD1378" s="4">
        <v>43283.232638888891</v>
      </c>
      <c r="BE1378" s="4">
        <v>43283.273148148146</v>
      </c>
      <c r="BF1378" s="4">
        <v>43283.273148148146</v>
      </c>
      <c r="BG1378" t="s">
        <v>83</v>
      </c>
      <c r="BH1378" t="s">
        <v>84</v>
      </c>
      <c r="BI1378" t="s">
        <v>85</v>
      </c>
    </row>
    <row r="1379" spans="1:61" x14ac:dyDescent="0.3">
      <c r="A1379" t="str">
        <f>"200643B0100"</f>
        <v>200643B0100</v>
      </c>
      <c r="B1379" t="s">
        <v>2853</v>
      </c>
      <c r="C1379">
        <v>20</v>
      </c>
      <c r="D1379" t="s">
        <v>79</v>
      </c>
      <c r="E1379">
        <v>7</v>
      </c>
      <c r="F1379" t="s">
        <v>2811</v>
      </c>
      <c r="G1379">
        <v>643</v>
      </c>
      <c r="H1379">
        <v>1</v>
      </c>
      <c r="I1379" t="s">
        <v>81</v>
      </c>
      <c r="J1379">
        <v>0</v>
      </c>
      <c r="K1379">
        <v>2</v>
      </c>
      <c r="L1379">
        <v>2</v>
      </c>
      <c r="M1379">
        <v>226</v>
      </c>
      <c r="N1379">
        <v>449</v>
      </c>
      <c r="O1379">
        <v>4</v>
      </c>
      <c r="P1379">
        <v>451</v>
      </c>
      <c r="Q1379">
        <v>17</v>
      </c>
      <c r="R1379">
        <v>41</v>
      </c>
      <c r="S1379">
        <v>81</v>
      </c>
      <c r="T1379">
        <v>5</v>
      </c>
      <c r="U1379">
        <v>13</v>
      </c>
      <c r="V1379">
        <v>5</v>
      </c>
      <c r="W1379">
        <v>6</v>
      </c>
      <c r="X1379">
        <v>3</v>
      </c>
      <c r="Y1379">
        <v>197</v>
      </c>
      <c r="Z1379">
        <v>7</v>
      </c>
      <c r="AB1379">
        <v>28</v>
      </c>
      <c r="AC1379">
        <v>0</v>
      </c>
      <c r="AD1379">
        <v>0</v>
      </c>
      <c r="AE1379">
        <v>0</v>
      </c>
      <c r="AF1379">
        <v>2</v>
      </c>
      <c r="AK1379">
        <v>9</v>
      </c>
      <c r="AL1379">
        <v>0</v>
      </c>
      <c r="AM1379">
        <v>1</v>
      </c>
      <c r="AN1379">
        <v>0</v>
      </c>
      <c r="AQ1379">
        <v>0</v>
      </c>
      <c r="AT1379">
        <v>0</v>
      </c>
      <c r="AU1379">
        <v>36</v>
      </c>
      <c r="AV1379">
        <v>451</v>
      </c>
      <c r="AW1379">
        <v>451</v>
      </c>
      <c r="AX1379">
        <v>652</v>
      </c>
      <c r="BA1379">
        <v>1</v>
      </c>
      <c r="BC1379" t="s">
        <v>2854</v>
      </c>
      <c r="BD1379" s="4">
        <v>43283.164583333331</v>
      </c>
      <c r="BE1379" s="4">
        <v>43283.177187499998</v>
      </c>
      <c r="BF1379" s="4">
        <v>43283.177187499998</v>
      </c>
      <c r="BG1379" t="s">
        <v>83</v>
      </c>
      <c r="BH1379" t="s">
        <v>84</v>
      </c>
      <c r="BI1379" t="s">
        <v>85</v>
      </c>
    </row>
    <row r="1380" spans="1:61" x14ac:dyDescent="0.3">
      <c r="A1380" t="str">
        <f>"200643C0100"</f>
        <v>200643C0100</v>
      </c>
      <c r="B1380" t="s">
        <v>2855</v>
      </c>
      <c r="C1380">
        <v>20</v>
      </c>
      <c r="D1380" t="s">
        <v>79</v>
      </c>
      <c r="E1380">
        <v>7</v>
      </c>
      <c r="F1380" t="s">
        <v>2811</v>
      </c>
      <c r="G1380">
        <v>643</v>
      </c>
      <c r="H1380">
        <v>1</v>
      </c>
      <c r="I1380" t="s">
        <v>89</v>
      </c>
      <c r="J1380">
        <v>0</v>
      </c>
      <c r="K1380">
        <v>2</v>
      </c>
      <c r="L1380">
        <v>2</v>
      </c>
      <c r="M1380">
        <v>238</v>
      </c>
      <c r="N1380" t="s">
        <v>100</v>
      </c>
      <c r="O1380">
        <v>669</v>
      </c>
      <c r="P1380" t="s">
        <v>100</v>
      </c>
      <c r="Q1380">
        <v>8</v>
      </c>
      <c r="R1380">
        <v>30</v>
      </c>
      <c r="S1380">
        <v>91</v>
      </c>
      <c r="T1380">
        <v>9</v>
      </c>
      <c r="U1380">
        <v>20</v>
      </c>
      <c r="V1380">
        <v>16</v>
      </c>
      <c r="W1380">
        <v>5</v>
      </c>
      <c r="X1380">
        <v>0</v>
      </c>
      <c r="Y1380">
        <v>189</v>
      </c>
      <c r="Z1380">
        <v>11</v>
      </c>
      <c r="AB1380">
        <v>17</v>
      </c>
      <c r="AC1380">
        <v>0</v>
      </c>
      <c r="AD1380">
        <v>0</v>
      </c>
      <c r="AE1380">
        <v>0</v>
      </c>
      <c r="AF1380">
        <v>0</v>
      </c>
      <c r="AK1380">
        <v>3</v>
      </c>
      <c r="AL1380">
        <v>2</v>
      </c>
      <c r="AM1380">
        <v>0</v>
      </c>
      <c r="AN1380">
        <v>1</v>
      </c>
      <c r="AQ1380">
        <v>0</v>
      </c>
      <c r="AT1380">
        <v>0</v>
      </c>
      <c r="AU1380">
        <v>30</v>
      </c>
      <c r="AV1380">
        <v>432</v>
      </c>
      <c r="AW1380">
        <v>432</v>
      </c>
      <c r="AX1380">
        <v>651</v>
      </c>
      <c r="BA1380">
        <v>1</v>
      </c>
      <c r="BC1380" t="s">
        <v>2856</v>
      </c>
      <c r="BD1380" s="4">
        <v>43283.169444444444</v>
      </c>
      <c r="BE1380" s="4">
        <v>43283.187962962962</v>
      </c>
      <c r="BF1380" s="4">
        <v>43283.187962962962</v>
      </c>
      <c r="BG1380" t="s">
        <v>83</v>
      </c>
      <c r="BH1380" t="s">
        <v>84</v>
      </c>
      <c r="BI1380" t="s">
        <v>85</v>
      </c>
    </row>
    <row r="1381" spans="1:61" x14ac:dyDescent="0.3">
      <c r="A1381" t="str">
        <f>"200643C0200"</f>
        <v>200643C0200</v>
      </c>
      <c r="B1381" t="s">
        <v>2857</v>
      </c>
      <c r="C1381">
        <v>20</v>
      </c>
      <c r="D1381" t="s">
        <v>79</v>
      </c>
      <c r="E1381">
        <v>7</v>
      </c>
      <c r="F1381" t="s">
        <v>2811</v>
      </c>
      <c r="G1381">
        <v>643</v>
      </c>
      <c r="H1381">
        <v>2</v>
      </c>
      <c r="I1381" t="s">
        <v>89</v>
      </c>
      <c r="J1381">
        <v>0</v>
      </c>
      <c r="K1381">
        <v>2</v>
      </c>
      <c r="L1381">
        <v>2</v>
      </c>
      <c r="M1381">
        <v>248</v>
      </c>
      <c r="N1381">
        <v>425</v>
      </c>
      <c r="O1381">
        <v>1</v>
      </c>
      <c r="P1381">
        <v>427</v>
      </c>
      <c r="Q1381">
        <v>13</v>
      </c>
      <c r="R1381">
        <v>35</v>
      </c>
      <c r="S1381">
        <v>78</v>
      </c>
      <c r="T1381">
        <v>4</v>
      </c>
      <c r="U1381">
        <v>15</v>
      </c>
      <c r="V1381">
        <v>8</v>
      </c>
      <c r="W1381">
        <v>8</v>
      </c>
      <c r="X1381">
        <v>6</v>
      </c>
      <c r="Y1381">
        <v>198</v>
      </c>
      <c r="Z1381">
        <v>10</v>
      </c>
      <c r="AB1381">
        <v>22</v>
      </c>
      <c r="AC1381">
        <v>2</v>
      </c>
      <c r="AD1381">
        <v>2</v>
      </c>
      <c r="AE1381">
        <v>0</v>
      </c>
      <c r="AF1381">
        <v>0</v>
      </c>
      <c r="AK1381">
        <v>1</v>
      </c>
      <c r="AL1381">
        <v>2</v>
      </c>
      <c r="AM1381">
        <v>1</v>
      </c>
      <c r="AN1381">
        <v>1</v>
      </c>
      <c r="AQ1381">
        <v>1</v>
      </c>
      <c r="AT1381">
        <v>1</v>
      </c>
      <c r="AU1381">
        <v>19</v>
      </c>
      <c r="AV1381">
        <v>427</v>
      </c>
      <c r="AW1381">
        <v>427</v>
      </c>
      <c r="AX1381">
        <v>651</v>
      </c>
      <c r="BA1381">
        <v>1</v>
      </c>
      <c r="BC1381" t="s">
        <v>2858</v>
      </c>
      <c r="BD1381" s="4">
        <v>43283.165972222225</v>
      </c>
      <c r="BE1381" s="4">
        <v>43283.178067129629</v>
      </c>
      <c r="BF1381" s="4">
        <v>43283.178067129629</v>
      </c>
      <c r="BG1381" t="s">
        <v>83</v>
      </c>
      <c r="BH1381" t="s">
        <v>84</v>
      </c>
      <c r="BI1381" t="s">
        <v>85</v>
      </c>
    </row>
    <row r="1382" spans="1:61" x14ac:dyDescent="0.3">
      <c r="A1382" t="str">
        <f>"200643E0100"</f>
        <v>200643E0100</v>
      </c>
      <c r="B1382" s="2" t="s">
        <v>2859</v>
      </c>
      <c r="C1382">
        <v>20</v>
      </c>
      <c r="D1382" t="s">
        <v>79</v>
      </c>
      <c r="E1382">
        <v>7</v>
      </c>
      <c r="F1382" t="s">
        <v>2811</v>
      </c>
      <c r="G1382">
        <v>643</v>
      </c>
      <c r="H1382">
        <v>1</v>
      </c>
      <c r="I1382" t="s">
        <v>145</v>
      </c>
      <c r="J1382">
        <v>0</v>
      </c>
      <c r="K1382">
        <v>2</v>
      </c>
      <c r="L1382">
        <v>2</v>
      </c>
      <c r="M1382">
        <v>110</v>
      </c>
      <c r="N1382">
        <v>44</v>
      </c>
      <c r="O1382">
        <v>3</v>
      </c>
      <c r="P1382">
        <v>44</v>
      </c>
      <c r="Q1382">
        <v>1</v>
      </c>
      <c r="R1382">
        <v>8</v>
      </c>
      <c r="S1382">
        <v>8</v>
      </c>
      <c r="T1382">
        <v>1</v>
      </c>
      <c r="U1382">
        <v>3</v>
      </c>
      <c r="V1382">
        <v>3</v>
      </c>
      <c r="W1382">
        <v>1</v>
      </c>
      <c r="X1382">
        <v>4</v>
      </c>
      <c r="Y1382">
        <v>10</v>
      </c>
      <c r="Z1382">
        <v>0</v>
      </c>
      <c r="AB1382">
        <v>5</v>
      </c>
      <c r="AC1382">
        <v>0</v>
      </c>
      <c r="AD1382">
        <v>0</v>
      </c>
      <c r="AE1382">
        <v>0</v>
      </c>
      <c r="AF1382">
        <v>0</v>
      </c>
      <c r="AK1382">
        <v>0</v>
      </c>
      <c r="AL1382">
        <v>0</v>
      </c>
      <c r="AM1382">
        <v>0</v>
      </c>
      <c r="AN1382">
        <v>0</v>
      </c>
      <c r="AQ1382">
        <v>0</v>
      </c>
      <c r="AT1382">
        <v>0</v>
      </c>
      <c r="AU1382">
        <v>97</v>
      </c>
      <c r="AV1382" t="s">
        <v>100</v>
      </c>
      <c r="AW1382">
        <v>141</v>
      </c>
      <c r="AX1382">
        <v>227</v>
      </c>
      <c r="BA1382">
        <v>1</v>
      </c>
      <c r="BC1382" t="s">
        <v>2860</v>
      </c>
      <c r="BD1382" s="4">
        <v>43283.324999999997</v>
      </c>
      <c r="BE1382" s="4">
        <v>43283.345578703702</v>
      </c>
      <c r="BF1382" s="4">
        <v>43283.345578703702</v>
      </c>
      <c r="BG1382" t="s">
        <v>83</v>
      </c>
      <c r="BH1382" t="s">
        <v>84</v>
      </c>
      <c r="BI1382" t="s">
        <v>85</v>
      </c>
    </row>
    <row r="1383" spans="1:61" x14ac:dyDescent="0.3">
      <c r="A1383" t="str">
        <f>"200644B0100"</f>
        <v>200644B0100</v>
      </c>
      <c r="B1383" t="s">
        <v>2861</v>
      </c>
      <c r="C1383">
        <v>20</v>
      </c>
      <c r="D1383" t="s">
        <v>79</v>
      </c>
      <c r="E1383">
        <v>7</v>
      </c>
      <c r="F1383" t="s">
        <v>2811</v>
      </c>
      <c r="G1383">
        <v>644</v>
      </c>
      <c r="H1383">
        <v>1</v>
      </c>
      <c r="I1383" t="s">
        <v>81</v>
      </c>
      <c r="J1383">
        <v>0</v>
      </c>
      <c r="K1383">
        <v>2</v>
      </c>
      <c r="L1383">
        <v>2</v>
      </c>
      <c r="M1383">
        <v>212</v>
      </c>
      <c r="N1383">
        <v>370</v>
      </c>
      <c r="O1383">
        <v>5</v>
      </c>
      <c r="P1383">
        <v>370</v>
      </c>
      <c r="Q1383">
        <v>7</v>
      </c>
      <c r="R1383">
        <v>23</v>
      </c>
      <c r="S1383">
        <v>63</v>
      </c>
      <c r="T1383">
        <v>8</v>
      </c>
      <c r="U1383">
        <v>21</v>
      </c>
      <c r="V1383">
        <v>2</v>
      </c>
      <c r="W1383">
        <v>5</v>
      </c>
      <c r="X1383">
        <v>1</v>
      </c>
      <c r="Y1383">
        <v>184</v>
      </c>
      <c r="Z1383">
        <v>12</v>
      </c>
      <c r="AB1383">
        <v>11</v>
      </c>
      <c r="AC1383">
        <v>1</v>
      </c>
      <c r="AD1383">
        <v>0</v>
      </c>
      <c r="AE1383">
        <v>0</v>
      </c>
      <c r="AF1383">
        <v>0</v>
      </c>
      <c r="AK1383">
        <v>6</v>
      </c>
      <c r="AL1383">
        <v>0</v>
      </c>
      <c r="AM1383">
        <v>0</v>
      </c>
      <c r="AN1383">
        <v>0</v>
      </c>
      <c r="AQ1383">
        <v>0</v>
      </c>
      <c r="AT1383">
        <v>0</v>
      </c>
      <c r="AU1383">
        <v>26</v>
      </c>
      <c r="AV1383">
        <v>370</v>
      </c>
      <c r="AW1383">
        <v>370</v>
      </c>
      <c r="AX1383">
        <v>559</v>
      </c>
      <c r="BA1383">
        <v>1</v>
      </c>
      <c r="BC1383" t="s">
        <v>2862</v>
      </c>
      <c r="BD1383" s="4">
        <v>43283.138194444444</v>
      </c>
      <c r="BE1383" s="4">
        <v>43283.143831018519</v>
      </c>
      <c r="BF1383" s="4">
        <v>43283.143831018519</v>
      </c>
      <c r="BG1383" t="s">
        <v>83</v>
      </c>
      <c r="BH1383" t="s">
        <v>84</v>
      </c>
      <c r="BI1383" t="s">
        <v>85</v>
      </c>
    </row>
    <row r="1384" spans="1:61" x14ac:dyDescent="0.3">
      <c r="A1384" t="str">
        <f>"200644C0100"</f>
        <v>200644C0100</v>
      </c>
      <c r="B1384" t="s">
        <v>2863</v>
      </c>
      <c r="C1384">
        <v>20</v>
      </c>
      <c r="D1384" t="s">
        <v>79</v>
      </c>
      <c r="E1384">
        <v>7</v>
      </c>
      <c r="F1384" t="s">
        <v>2811</v>
      </c>
      <c r="G1384">
        <v>644</v>
      </c>
      <c r="H1384">
        <v>1</v>
      </c>
      <c r="I1384" t="s">
        <v>89</v>
      </c>
      <c r="J1384">
        <v>0</v>
      </c>
      <c r="K1384">
        <v>2</v>
      </c>
      <c r="L1384">
        <v>2</v>
      </c>
      <c r="M1384">
        <v>221</v>
      </c>
      <c r="N1384">
        <v>359</v>
      </c>
      <c r="O1384" t="s">
        <v>315</v>
      </c>
      <c r="P1384">
        <v>359</v>
      </c>
      <c r="Q1384">
        <v>5</v>
      </c>
      <c r="R1384">
        <v>29</v>
      </c>
      <c r="S1384">
        <v>53</v>
      </c>
      <c r="T1384">
        <v>4</v>
      </c>
      <c r="U1384">
        <v>12</v>
      </c>
      <c r="V1384">
        <v>5</v>
      </c>
      <c r="W1384">
        <v>4</v>
      </c>
      <c r="X1384">
        <v>5</v>
      </c>
      <c r="Y1384">
        <v>192</v>
      </c>
      <c r="Z1384">
        <v>8</v>
      </c>
      <c r="AB1384">
        <v>16</v>
      </c>
      <c r="AC1384">
        <v>1</v>
      </c>
      <c r="AD1384">
        <v>0</v>
      </c>
      <c r="AE1384">
        <v>0</v>
      </c>
      <c r="AF1384">
        <v>1</v>
      </c>
      <c r="AK1384">
        <v>2</v>
      </c>
      <c r="AL1384">
        <v>0</v>
      </c>
      <c r="AM1384">
        <v>0</v>
      </c>
      <c r="AN1384">
        <v>0</v>
      </c>
      <c r="AQ1384">
        <v>0</v>
      </c>
      <c r="AT1384">
        <v>0</v>
      </c>
      <c r="AU1384">
        <v>24</v>
      </c>
      <c r="AV1384">
        <v>361</v>
      </c>
      <c r="AW1384">
        <v>361</v>
      </c>
      <c r="AX1384">
        <v>559</v>
      </c>
      <c r="BA1384">
        <v>1</v>
      </c>
      <c r="BC1384" t="s">
        <v>2864</v>
      </c>
      <c r="BD1384" s="4">
        <v>43283.14166666667</v>
      </c>
      <c r="BE1384" s="4">
        <v>43283.146064814813</v>
      </c>
      <c r="BF1384" s="4">
        <v>43283.146064814813</v>
      </c>
      <c r="BG1384" t="s">
        <v>83</v>
      </c>
      <c r="BH1384" t="s">
        <v>84</v>
      </c>
      <c r="BI1384" t="s">
        <v>85</v>
      </c>
    </row>
    <row r="1385" spans="1:61" x14ac:dyDescent="0.3">
      <c r="A1385" t="str">
        <f>"200644C0200"</f>
        <v>200644C0200</v>
      </c>
      <c r="B1385" t="s">
        <v>2865</v>
      </c>
      <c r="C1385">
        <v>20</v>
      </c>
      <c r="D1385" t="s">
        <v>79</v>
      </c>
      <c r="E1385">
        <v>7</v>
      </c>
      <c r="F1385" t="s">
        <v>2811</v>
      </c>
      <c r="G1385">
        <v>644</v>
      </c>
      <c r="H1385">
        <v>2</v>
      </c>
      <c r="I1385" t="s">
        <v>89</v>
      </c>
      <c r="J1385">
        <v>0</v>
      </c>
      <c r="K1385">
        <v>2</v>
      </c>
      <c r="L1385">
        <v>2</v>
      </c>
      <c r="M1385">
        <v>208</v>
      </c>
      <c r="N1385">
        <v>373</v>
      </c>
      <c r="O1385">
        <v>8</v>
      </c>
      <c r="P1385">
        <v>373</v>
      </c>
      <c r="Q1385">
        <v>9</v>
      </c>
      <c r="R1385">
        <v>22</v>
      </c>
      <c r="S1385">
        <v>64</v>
      </c>
      <c r="T1385">
        <v>7</v>
      </c>
      <c r="U1385">
        <v>8</v>
      </c>
      <c r="V1385">
        <v>15</v>
      </c>
      <c r="W1385">
        <v>5</v>
      </c>
      <c r="X1385">
        <v>3</v>
      </c>
      <c r="Y1385">
        <v>167</v>
      </c>
      <c r="Z1385">
        <v>8</v>
      </c>
      <c r="AB1385">
        <v>16</v>
      </c>
      <c r="AC1385">
        <v>0</v>
      </c>
      <c r="AD1385">
        <v>2</v>
      </c>
      <c r="AE1385">
        <v>0</v>
      </c>
      <c r="AF1385">
        <v>0</v>
      </c>
      <c r="AK1385">
        <v>10</v>
      </c>
      <c r="AL1385">
        <v>1</v>
      </c>
      <c r="AM1385">
        <v>0</v>
      </c>
      <c r="AN1385">
        <v>3</v>
      </c>
      <c r="AQ1385">
        <v>0</v>
      </c>
      <c r="AT1385">
        <v>0</v>
      </c>
      <c r="AU1385">
        <v>33</v>
      </c>
      <c r="AV1385">
        <v>373</v>
      </c>
      <c r="AW1385">
        <v>373</v>
      </c>
      <c r="AX1385">
        <v>558</v>
      </c>
      <c r="BA1385">
        <v>1</v>
      </c>
      <c r="BC1385" t="s">
        <v>2866</v>
      </c>
      <c r="BD1385" s="4">
        <v>43283.143055555556</v>
      </c>
      <c r="BE1385" s="4">
        <v>43283.15047453704</v>
      </c>
      <c r="BF1385" s="4">
        <v>43283.15047453704</v>
      </c>
      <c r="BG1385" t="s">
        <v>83</v>
      </c>
      <c r="BH1385" t="s">
        <v>84</v>
      </c>
      <c r="BI1385" t="s">
        <v>85</v>
      </c>
    </row>
    <row r="1386" spans="1:61" x14ac:dyDescent="0.3">
      <c r="A1386" t="str">
        <f>"200645B0100"</f>
        <v>200645B0100</v>
      </c>
      <c r="B1386" t="s">
        <v>2867</v>
      </c>
      <c r="C1386">
        <v>20</v>
      </c>
      <c r="D1386" t="s">
        <v>79</v>
      </c>
      <c r="E1386">
        <v>7</v>
      </c>
      <c r="F1386" t="s">
        <v>2811</v>
      </c>
      <c r="G1386">
        <v>645</v>
      </c>
      <c r="H1386">
        <v>1</v>
      </c>
      <c r="I1386" t="s">
        <v>81</v>
      </c>
      <c r="J1386">
        <v>0</v>
      </c>
      <c r="K1386">
        <v>2</v>
      </c>
      <c r="L1386">
        <v>2</v>
      </c>
      <c r="M1386">
        <v>175</v>
      </c>
      <c r="N1386">
        <v>456</v>
      </c>
      <c r="O1386">
        <v>10</v>
      </c>
      <c r="P1386">
        <v>5</v>
      </c>
      <c r="Q1386">
        <v>13</v>
      </c>
      <c r="R1386">
        <v>67</v>
      </c>
      <c r="S1386">
        <v>79</v>
      </c>
      <c r="T1386">
        <v>3</v>
      </c>
      <c r="U1386">
        <v>10</v>
      </c>
      <c r="V1386">
        <v>10</v>
      </c>
      <c r="W1386">
        <v>7</v>
      </c>
      <c r="X1386">
        <v>1</v>
      </c>
      <c r="Y1386">
        <v>207</v>
      </c>
      <c r="Z1386">
        <v>7</v>
      </c>
      <c r="AB1386">
        <v>15</v>
      </c>
      <c r="AC1386">
        <v>3</v>
      </c>
      <c r="AD1386">
        <v>1</v>
      </c>
      <c r="AE1386">
        <v>0</v>
      </c>
      <c r="AF1386">
        <v>0</v>
      </c>
      <c r="AK1386">
        <v>4</v>
      </c>
      <c r="AL1386">
        <v>0</v>
      </c>
      <c r="AM1386">
        <v>0</v>
      </c>
      <c r="AN1386">
        <v>3</v>
      </c>
      <c r="AQ1386">
        <v>1</v>
      </c>
      <c r="AT1386" t="s">
        <v>100</v>
      </c>
      <c r="AU1386">
        <v>23</v>
      </c>
      <c r="AV1386">
        <v>454</v>
      </c>
      <c r="AW1386">
        <v>454</v>
      </c>
      <c r="AX1386">
        <v>609</v>
      </c>
      <c r="AZ1386" t="s">
        <v>101</v>
      </c>
      <c r="BA1386">
        <v>1</v>
      </c>
      <c r="BC1386" t="s">
        <v>2868</v>
      </c>
      <c r="BD1386" s="4">
        <v>43283.171527777777</v>
      </c>
      <c r="BE1386" s="4">
        <v>43283.192881944444</v>
      </c>
      <c r="BF1386" s="4">
        <v>43283.192881944444</v>
      </c>
      <c r="BG1386" t="s">
        <v>83</v>
      </c>
      <c r="BH1386" t="s">
        <v>84</v>
      </c>
      <c r="BI1386" t="s">
        <v>85</v>
      </c>
    </row>
    <row r="1387" spans="1:61" x14ac:dyDescent="0.3">
      <c r="A1387" t="str">
        <f>"200645C0100"</f>
        <v>200645C0100</v>
      </c>
      <c r="B1387" t="s">
        <v>2869</v>
      </c>
      <c r="C1387">
        <v>20</v>
      </c>
      <c r="D1387" t="s">
        <v>79</v>
      </c>
      <c r="E1387">
        <v>7</v>
      </c>
      <c r="F1387" t="s">
        <v>2811</v>
      </c>
      <c r="G1387">
        <v>645</v>
      </c>
      <c r="H1387">
        <v>1</v>
      </c>
      <c r="I1387" t="s">
        <v>89</v>
      </c>
      <c r="J1387">
        <v>0</v>
      </c>
      <c r="K1387">
        <v>2</v>
      </c>
      <c r="L1387">
        <v>2</v>
      </c>
      <c r="M1387">
        <v>210</v>
      </c>
      <c r="N1387">
        <v>422</v>
      </c>
      <c r="O1387">
        <v>9</v>
      </c>
      <c r="P1387">
        <v>422</v>
      </c>
      <c r="Q1387">
        <v>10</v>
      </c>
      <c r="R1387">
        <v>45</v>
      </c>
      <c r="S1387">
        <v>81</v>
      </c>
      <c r="T1387">
        <v>11</v>
      </c>
      <c r="U1387">
        <v>25</v>
      </c>
      <c r="V1387">
        <v>10</v>
      </c>
      <c r="W1387">
        <v>4</v>
      </c>
      <c r="X1387">
        <v>4</v>
      </c>
      <c r="Y1387">
        <v>181</v>
      </c>
      <c r="Z1387">
        <v>6</v>
      </c>
      <c r="AB1387">
        <v>11</v>
      </c>
      <c r="AC1387">
        <v>1</v>
      </c>
      <c r="AD1387">
        <v>0</v>
      </c>
      <c r="AE1387">
        <v>0</v>
      </c>
      <c r="AF1387">
        <v>0</v>
      </c>
      <c r="AK1387">
        <v>7</v>
      </c>
      <c r="AL1387">
        <v>1</v>
      </c>
      <c r="AM1387">
        <v>0</v>
      </c>
      <c r="AN1387">
        <v>0</v>
      </c>
      <c r="AQ1387">
        <v>4</v>
      </c>
      <c r="AT1387">
        <v>0</v>
      </c>
      <c r="AU1387">
        <v>20</v>
      </c>
      <c r="AV1387">
        <v>422</v>
      </c>
      <c r="AW1387">
        <v>421</v>
      </c>
      <c r="AX1387">
        <v>609</v>
      </c>
      <c r="BA1387">
        <v>1</v>
      </c>
      <c r="BC1387" s="2" t="s">
        <v>2870</v>
      </c>
      <c r="BD1387" s="4">
        <v>43283.109722222223</v>
      </c>
      <c r="BE1387" s="4">
        <v>43283.116273148145</v>
      </c>
      <c r="BF1387" s="4">
        <v>43283.116273148145</v>
      </c>
      <c r="BG1387" t="s">
        <v>83</v>
      </c>
      <c r="BH1387" t="s">
        <v>84</v>
      </c>
      <c r="BI1387" t="s">
        <v>85</v>
      </c>
    </row>
    <row r="1388" spans="1:61" x14ac:dyDescent="0.3">
      <c r="A1388" t="str">
        <f>"200645C0200"</f>
        <v>200645C0200</v>
      </c>
      <c r="B1388" t="s">
        <v>2871</v>
      </c>
      <c r="C1388">
        <v>20</v>
      </c>
      <c r="D1388" t="s">
        <v>79</v>
      </c>
      <c r="E1388">
        <v>7</v>
      </c>
      <c r="F1388" t="s">
        <v>2811</v>
      </c>
      <c r="G1388">
        <v>645</v>
      </c>
      <c r="H1388">
        <v>2</v>
      </c>
      <c r="I1388" t="s">
        <v>89</v>
      </c>
      <c r="J1388">
        <v>0</v>
      </c>
      <c r="K1388">
        <v>2</v>
      </c>
      <c r="L1388">
        <v>2</v>
      </c>
      <c r="AX1388">
        <v>609</v>
      </c>
      <c r="AZ1388" t="s">
        <v>156</v>
      </c>
      <c r="BA1388">
        <v>0</v>
      </c>
      <c r="BC1388" t="s">
        <v>2872</v>
      </c>
      <c r="BD1388" s="4">
        <v>43283.696527777778</v>
      </c>
      <c r="BE1388" s="4">
        <v>43283.700381944444</v>
      </c>
      <c r="BF1388" s="4">
        <v>43283.700381944444</v>
      </c>
      <c r="BG1388" t="s">
        <v>83</v>
      </c>
      <c r="BH1388" t="s">
        <v>84</v>
      </c>
      <c r="BI1388" t="s">
        <v>85</v>
      </c>
    </row>
    <row r="1389" spans="1:61" x14ac:dyDescent="0.3">
      <c r="A1389" t="str">
        <f>"200645E0100"</f>
        <v>200645E0100</v>
      </c>
      <c r="B1389" s="2" t="s">
        <v>2873</v>
      </c>
      <c r="C1389">
        <v>20</v>
      </c>
      <c r="D1389" t="s">
        <v>79</v>
      </c>
      <c r="E1389">
        <v>7</v>
      </c>
      <c r="F1389" t="s">
        <v>2811</v>
      </c>
      <c r="G1389">
        <v>645</v>
      </c>
      <c r="H1389">
        <v>1</v>
      </c>
      <c r="I1389" t="s">
        <v>145</v>
      </c>
      <c r="J1389">
        <v>0</v>
      </c>
      <c r="K1389">
        <v>2</v>
      </c>
      <c r="L1389">
        <v>2</v>
      </c>
      <c r="M1389">
        <v>276</v>
      </c>
      <c r="N1389">
        <v>343</v>
      </c>
      <c r="O1389">
        <v>11</v>
      </c>
      <c r="P1389">
        <v>343</v>
      </c>
      <c r="Q1389">
        <v>6</v>
      </c>
      <c r="R1389">
        <v>20</v>
      </c>
      <c r="S1389">
        <v>53</v>
      </c>
      <c r="T1389">
        <v>3</v>
      </c>
      <c r="U1389">
        <v>17</v>
      </c>
      <c r="V1389">
        <v>6</v>
      </c>
      <c r="W1389">
        <v>8</v>
      </c>
      <c r="X1389">
        <v>1</v>
      </c>
      <c r="Y1389">
        <v>174</v>
      </c>
      <c r="Z1389">
        <v>6</v>
      </c>
      <c r="AB1389">
        <v>29</v>
      </c>
      <c r="AC1389">
        <v>0</v>
      </c>
      <c r="AD1389">
        <v>1</v>
      </c>
      <c r="AE1389">
        <v>0</v>
      </c>
      <c r="AF1389">
        <v>3</v>
      </c>
      <c r="AK1389">
        <v>1</v>
      </c>
      <c r="AL1389">
        <v>0</v>
      </c>
      <c r="AM1389">
        <v>0</v>
      </c>
      <c r="AN1389">
        <v>1</v>
      </c>
      <c r="AQ1389">
        <v>1</v>
      </c>
      <c r="AT1389">
        <v>0</v>
      </c>
      <c r="AU1389">
        <v>12</v>
      </c>
      <c r="AV1389" t="s">
        <v>315</v>
      </c>
      <c r="AW1389">
        <v>342</v>
      </c>
      <c r="AX1389">
        <v>595</v>
      </c>
      <c r="BA1389">
        <v>1</v>
      </c>
      <c r="BC1389" t="s">
        <v>2874</v>
      </c>
      <c r="BD1389" s="4">
        <v>43283.157638888886</v>
      </c>
      <c r="BE1389" s="4">
        <v>43283.172546296293</v>
      </c>
      <c r="BF1389" s="4">
        <v>43283.172546296293</v>
      </c>
      <c r="BG1389" t="s">
        <v>83</v>
      </c>
      <c r="BH1389" t="s">
        <v>84</v>
      </c>
      <c r="BI1389" t="s">
        <v>85</v>
      </c>
    </row>
    <row r="1390" spans="1:61" x14ac:dyDescent="0.3">
      <c r="A1390" t="str">
        <f>"200646B0100"</f>
        <v>200646B0100</v>
      </c>
      <c r="B1390" t="s">
        <v>2875</v>
      </c>
      <c r="C1390">
        <v>20</v>
      </c>
      <c r="D1390" t="s">
        <v>79</v>
      </c>
      <c r="E1390">
        <v>7</v>
      </c>
      <c r="F1390" t="s">
        <v>2811</v>
      </c>
      <c r="G1390">
        <v>646</v>
      </c>
      <c r="H1390">
        <v>1</v>
      </c>
      <c r="I1390" t="s">
        <v>81</v>
      </c>
      <c r="J1390">
        <v>0</v>
      </c>
      <c r="K1390">
        <v>2</v>
      </c>
      <c r="L1390">
        <v>2</v>
      </c>
      <c r="M1390">
        <v>229</v>
      </c>
      <c r="N1390">
        <v>408</v>
      </c>
      <c r="O1390">
        <v>0</v>
      </c>
      <c r="P1390">
        <v>408</v>
      </c>
      <c r="Q1390">
        <v>4</v>
      </c>
      <c r="R1390">
        <v>38</v>
      </c>
      <c r="S1390">
        <v>117</v>
      </c>
      <c r="T1390">
        <v>3</v>
      </c>
      <c r="U1390">
        <v>22</v>
      </c>
      <c r="V1390">
        <v>8</v>
      </c>
      <c r="W1390">
        <v>0</v>
      </c>
      <c r="X1390">
        <v>0</v>
      </c>
      <c r="Y1390">
        <v>166</v>
      </c>
      <c r="Z1390">
        <v>4</v>
      </c>
      <c r="AB1390">
        <v>15</v>
      </c>
      <c r="AC1390">
        <v>0</v>
      </c>
      <c r="AD1390">
        <v>0</v>
      </c>
      <c r="AE1390">
        <v>0</v>
      </c>
      <c r="AF1390">
        <v>0</v>
      </c>
      <c r="AK1390">
        <v>4</v>
      </c>
      <c r="AL1390">
        <v>2</v>
      </c>
      <c r="AM1390">
        <v>0</v>
      </c>
      <c r="AN1390">
        <v>0</v>
      </c>
      <c r="AQ1390">
        <v>0</v>
      </c>
      <c r="AT1390">
        <v>0</v>
      </c>
      <c r="AU1390">
        <v>27</v>
      </c>
      <c r="AV1390">
        <v>408</v>
      </c>
      <c r="AW1390">
        <v>410</v>
      </c>
      <c r="AX1390">
        <v>616</v>
      </c>
      <c r="BA1390">
        <v>1</v>
      </c>
      <c r="BC1390" t="s">
        <v>2876</v>
      </c>
      <c r="BD1390" s="4">
        <v>43283.269444444442</v>
      </c>
      <c r="BE1390" s="4">
        <v>43283.296006944445</v>
      </c>
      <c r="BF1390" s="4">
        <v>43283.296006944445</v>
      </c>
      <c r="BG1390" t="s">
        <v>83</v>
      </c>
      <c r="BH1390" t="s">
        <v>84</v>
      </c>
      <c r="BI1390" t="s">
        <v>85</v>
      </c>
    </row>
    <row r="1391" spans="1:61" x14ac:dyDescent="0.3">
      <c r="A1391" t="str">
        <f>"200646C0100"</f>
        <v>200646C0100</v>
      </c>
      <c r="B1391" t="s">
        <v>2877</v>
      </c>
      <c r="C1391">
        <v>20</v>
      </c>
      <c r="D1391" t="s">
        <v>79</v>
      </c>
      <c r="E1391">
        <v>7</v>
      </c>
      <c r="F1391" t="s">
        <v>2811</v>
      </c>
      <c r="G1391">
        <v>646</v>
      </c>
      <c r="H1391">
        <v>1</v>
      </c>
      <c r="I1391" t="s">
        <v>89</v>
      </c>
      <c r="J1391">
        <v>0</v>
      </c>
      <c r="K1391">
        <v>2</v>
      </c>
      <c r="L1391">
        <v>2</v>
      </c>
      <c r="M1391" t="s">
        <v>100</v>
      </c>
      <c r="N1391" t="s">
        <v>100</v>
      </c>
      <c r="O1391" t="s">
        <v>100</v>
      </c>
      <c r="P1391" t="s">
        <v>100</v>
      </c>
      <c r="Q1391" t="s">
        <v>100</v>
      </c>
      <c r="R1391" t="s">
        <v>100</v>
      </c>
      <c r="S1391" t="s">
        <v>100</v>
      </c>
      <c r="T1391" t="s">
        <v>100</v>
      </c>
      <c r="U1391" t="s">
        <v>100</v>
      </c>
      <c r="V1391" t="s">
        <v>100</v>
      </c>
      <c r="W1391" t="s">
        <v>100</v>
      </c>
      <c r="X1391" t="s">
        <v>100</v>
      </c>
      <c r="Y1391" t="s">
        <v>100</v>
      </c>
      <c r="Z1391" t="s">
        <v>100</v>
      </c>
      <c r="AB1391" t="s">
        <v>100</v>
      </c>
      <c r="AC1391" t="s">
        <v>100</v>
      </c>
      <c r="AD1391" t="s">
        <v>100</v>
      </c>
      <c r="AE1391" t="s">
        <v>100</v>
      </c>
      <c r="AF1391" t="s">
        <v>100</v>
      </c>
      <c r="AK1391" t="s">
        <v>100</v>
      </c>
      <c r="AL1391" t="s">
        <v>100</v>
      </c>
      <c r="AM1391" t="s">
        <v>100</v>
      </c>
      <c r="AN1391" t="s">
        <v>100</v>
      </c>
      <c r="AQ1391" t="s">
        <v>100</v>
      </c>
      <c r="AT1391" t="s">
        <v>100</v>
      </c>
      <c r="AU1391" t="s">
        <v>100</v>
      </c>
      <c r="AX1391">
        <v>615</v>
      </c>
      <c r="AZ1391" t="s">
        <v>794</v>
      </c>
      <c r="BA1391">
        <v>0</v>
      </c>
      <c r="BC1391" t="s">
        <v>2878</v>
      </c>
      <c r="BD1391" s="4">
        <v>43283.267361111109</v>
      </c>
      <c r="BE1391" s="4">
        <v>43283.304745370369</v>
      </c>
      <c r="BF1391" s="4">
        <v>43283.304745370369</v>
      </c>
      <c r="BG1391" t="s">
        <v>83</v>
      </c>
      <c r="BH1391" t="s">
        <v>84</v>
      </c>
      <c r="BI1391" t="s">
        <v>85</v>
      </c>
    </row>
    <row r="1392" spans="1:61" x14ac:dyDescent="0.3">
      <c r="A1392" t="str">
        <f>"200646C0200"</f>
        <v>200646C0200</v>
      </c>
      <c r="B1392" t="s">
        <v>2879</v>
      </c>
      <c r="C1392">
        <v>20</v>
      </c>
      <c r="D1392" t="s">
        <v>79</v>
      </c>
      <c r="E1392">
        <v>7</v>
      </c>
      <c r="F1392" t="s">
        <v>2811</v>
      </c>
      <c r="G1392">
        <v>646</v>
      </c>
      <c r="H1392">
        <v>2</v>
      </c>
      <c r="I1392" t="s">
        <v>89</v>
      </c>
      <c r="J1392">
        <v>0</v>
      </c>
      <c r="K1392">
        <v>2</v>
      </c>
      <c r="L1392">
        <v>2</v>
      </c>
      <c r="M1392">
        <v>222</v>
      </c>
      <c r="N1392">
        <v>416</v>
      </c>
      <c r="O1392">
        <v>2</v>
      </c>
      <c r="P1392">
        <v>416</v>
      </c>
      <c r="Q1392">
        <v>5</v>
      </c>
      <c r="R1392">
        <v>29</v>
      </c>
      <c r="S1392">
        <v>109</v>
      </c>
      <c r="T1392">
        <v>1</v>
      </c>
      <c r="U1392">
        <v>21</v>
      </c>
      <c r="V1392">
        <v>21</v>
      </c>
      <c r="W1392">
        <v>3</v>
      </c>
      <c r="X1392">
        <v>1</v>
      </c>
      <c r="Y1392">
        <v>183</v>
      </c>
      <c r="Z1392">
        <v>4</v>
      </c>
      <c r="AB1392">
        <v>20</v>
      </c>
      <c r="AC1392">
        <v>0</v>
      </c>
      <c r="AD1392">
        <v>0</v>
      </c>
      <c r="AE1392">
        <v>0</v>
      </c>
      <c r="AF1392">
        <v>0</v>
      </c>
      <c r="AK1392">
        <v>0</v>
      </c>
      <c r="AL1392">
        <v>2</v>
      </c>
      <c r="AM1392">
        <v>0</v>
      </c>
      <c r="AN1392">
        <v>0</v>
      </c>
      <c r="AQ1392">
        <v>0</v>
      </c>
      <c r="AT1392">
        <v>0</v>
      </c>
      <c r="AU1392">
        <v>17</v>
      </c>
      <c r="AV1392">
        <v>416</v>
      </c>
      <c r="AW1392">
        <v>416</v>
      </c>
      <c r="AX1392">
        <v>615</v>
      </c>
      <c r="BA1392">
        <v>1</v>
      </c>
      <c r="BC1392" t="s">
        <v>2880</v>
      </c>
      <c r="BD1392" s="4">
        <v>43283.26458333333</v>
      </c>
      <c r="BE1392" s="4">
        <v>43283.304236111115</v>
      </c>
      <c r="BF1392" s="4">
        <v>43283.304236111115</v>
      </c>
      <c r="BG1392" t="s">
        <v>83</v>
      </c>
      <c r="BH1392" t="s">
        <v>84</v>
      </c>
      <c r="BI1392" t="s">
        <v>85</v>
      </c>
    </row>
    <row r="1393" spans="1:61" x14ac:dyDescent="0.3">
      <c r="A1393" t="str">
        <f>"200646S0100"</f>
        <v>200646S0100</v>
      </c>
      <c r="B1393" t="s">
        <v>2881</v>
      </c>
      <c r="C1393">
        <v>20</v>
      </c>
      <c r="D1393" t="s">
        <v>79</v>
      </c>
      <c r="E1393">
        <v>7</v>
      </c>
      <c r="F1393" t="s">
        <v>2811</v>
      </c>
      <c r="G1393">
        <v>646</v>
      </c>
      <c r="H1393">
        <v>1</v>
      </c>
      <c r="I1393" t="s">
        <v>104</v>
      </c>
      <c r="J1393">
        <v>0</v>
      </c>
      <c r="K1393">
        <v>2</v>
      </c>
      <c r="L1393">
        <v>3</v>
      </c>
      <c r="AX1393">
        <v>0</v>
      </c>
      <c r="AZ1393" t="s">
        <v>156</v>
      </c>
      <c r="BA1393">
        <v>0</v>
      </c>
      <c r="BC1393" t="s">
        <v>2882</v>
      </c>
      <c r="BD1393" s="4">
        <v>43283.697222222225</v>
      </c>
      <c r="BE1393" s="4">
        <v>43283.700196759259</v>
      </c>
      <c r="BF1393" s="4">
        <v>43283.700196759259</v>
      </c>
      <c r="BG1393" t="s">
        <v>83</v>
      </c>
      <c r="BH1393" t="s">
        <v>84</v>
      </c>
      <c r="BI1393" t="s">
        <v>85</v>
      </c>
    </row>
    <row r="1394" spans="1:61" x14ac:dyDescent="0.3">
      <c r="A1394" t="str">
        <f>"200646S0200"</f>
        <v>200646S0200</v>
      </c>
      <c r="B1394" t="s">
        <v>2883</v>
      </c>
      <c r="C1394">
        <v>20</v>
      </c>
      <c r="D1394" t="s">
        <v>79</v>
      </c>
      <c r="E1394">
        <v>7</v>
      </c>
      <c r="F1394" t="s">
        <v>2811</v>
      </c>
      <c r="G1394">
        <v>646</v>
      </c>
      <c r="H1394">
        <v>2</v>
      </c>
      <c r="I1394" t="s">
        <v>104</v>
      </c>
      <c r="J1394">
        <v>0</v>
      </c>
      <c r="K1394">
        <v>2</v>
      </c>
      <c r="L1394">
        <v>3</v>
      </c>
      <c r="M1394">
        <v>448</v>
      </c>
      <c r="N1394">
        <v>163</v>
      </c>
      <c r="O1394">
        <v>0</v>
      </c>
      <c r="P1394">
        <v>163</v>
      </c>
      <c r="Q1394">
        <v>3</v>
      </c>
      <c r="R1394">
        <v>11</v>
      </c>
      <c r="S1394">
        <v>20</v>
      </c>
      <c r="T1394">
        <v>1</v>
      </c>
      <c r="U1394">
        <v>5</v>
      </c>
      <c r="V1394">
        <v>8</v>
      </c>
      <c r="W1394">
        <v>5</v>
      </c>
      <c r="X1394">
        <v>1</v>
      </c>
      <c r="Y1394">
        <v>95</v>
      </c>
      <c r="Z1394">
        <v>1</v>
      </c>
      <c r="AB1394">
        <v>2</v>
      </c>
      <c r="AC1394">
        <v>0</v>
      </c>
      <c r="AD1394">
        <v>0</v>
      </c>
      <c r="AE1394">
        <v>0</v>
      </c>
      <c r="AF1394">
        <v>0</v>
      </c>
      <c r="AK1394">
        <v>7</v>
      </c>
      <c r="AL1394">
        <v>0</v>
      </c>
      <c r="AM1394">
        <v>0</v>
      </c>
      <c r="AN1394">
        <v>0</v>
      </c>
      <c r="AQ1394">
        <v>0</v>
      </c>
      <c r="AT1394">
        <v>0</v>
      </c>
      <c r="AU1394">
        <v>4</v>
      </c>
      <c r="AV1394">
        <v>163</v>
      </c>
      <c r="AW1394">
        <v>163</v>
      </c>
      <c r="AX1394">
        <v>0</v>
      </c>
      <c r="BA1394">
        <v>1</v>
      </c>
      <c r="BC1394" t="s">
        <v>2884</v>
      </c>
      <c r="BD1394" s="4">
        <v>43283.281944444447</v>
      </c>
      <c r="BE1394" s="4">
        <v>43283.310555555552</v>
      </c>
      <c r="BF1394" s="4">
        <v>43283.310555555552</v>
      </c>
      <c r="BG1394" t="s">
        <v>83</v>
      </c>
      <c r="BH1394" t="s">
        <v>84</v>
      </c>
      <c r="BI1394" t="s">
        <v>85</v>
      </c>
    </row>
    <row r="1395" spans="1:61" x14ac:dyDescent="0.3">
      <c r="A1395" t="str">
        <f>"200647B0100"</f>
        <v>200647B0100</v>
      </c>
      <c r="B1395" t="s">
        <v>2885</v>
      </c>
      <c r="C1395">
        <v>20</v>
      </c>
      <c r="D1395" t="s">
        <v>79</v>
      </c>
      <c r="E1395">
        <v>7</v>
      </c>
      <c r="F1395" t="s">
        <v>2811</v>
      </c>
      <c r="G1395">
        <v>647</v>
      </c>
      <c r="H1395">
        <v>1</v>
      </c>
      <c r="I1395" t="s">
        <v>81</v>
      </c>
      <c r="J1395">
        <v>0</v>
      </c>
      <c r="K1395">
        <v>1</v>
      </c>
      <c r="L1395">
        <v>2</v>
      </c>
      <c r="M1395">
        <v>195</v>
      </c>
      <c r="N1395">
        <v>343</v>
      </c>
      <c r="O1395">
        <v>3</v>
      </c>
      <c r="P1395">
        <v>343</v>
      </c>
      <c r="Q1395">
        <v>15</v>
      </c>
      <c r="R1395">
        <v>31</v>
      </c>
      <c r="S1395">
        <v>92</v>
      </c>
      <c r="T1395">
        <v>4</v>
      </c>
      <c r="U1395">
        <v>6</v>
      </c>
      <c r="V1395">
        <v>11</v>
      </c>
      <c r="W1395">
        <v>2</v>
      </c>
      <c r="X1395">
        <v>9</v>
      </c>
      <c r="Y1395">
        <v>104</v>
      </c>
      <c r="Z1395">
        <v>8</v>
      </c>
      <c r="AB1395">
        <v>36</v>
      </c>
      <c r="AC1395">
        <v>2</v>
      </c>
      <c r="AD1395">
        <v>1</v>
      </c>
      <c r="AE1395">
        <v>0</v>
      </c>
      <c r="AF1395">
        <v>0</v>
      </c>
      <c r="AK1395">
        <v>3</v>
      </c>
      <c r="AL1395">
        <v>1</v>
      </c>
      <c r="AM1395">
        <v>0</v>
      </c>
      <c r="AN1395">
        <v>0</v>
      </c>
      <c r="AQ1395">
        <v>1</v>
      </c>
      <c r="AT1395">
        <v>0</v>
      </c>
      <c r="AU1395">
        <v>21</v>
      </c>
      <c r="AV1395">
        <v>347</v>
      </c>
      <c r="AW1395">
        <v>347</v>
      </c>
      <c r="AX1395">
        <v>516</v>
      </c>
      <c r="BA1395">
        <v>1</v>
      </c>
      <c r="BC1395" t="s">
        <v>2886</v>
      </c>
      <c r="BD1395" s="4">
        <v>43283.041666666664</v>
      </c>
      <c r="BE1395" s="4">
        <v>43283.05164351852</v>
      </c>
      <c r="BF1395" s="4">
        <v>43283.05164351852</v>
      </c>
      <c r="BG1395" t="s">
        <v>83</v>
      </c>
      <c r="BH1395" t="s">
        <v>84</v>
      </c>
      <c r="BI1395" t="s">
        <v>85</v>
      </c>
    </row>
    <row r="1396" spans="1:61" x14ac:dyDescent="0.3">
      <c r="A1396" t="str">
        <f>"200647C0100"</f>
        <v>200647C0100</v>
      </c>
      <c r="B1396" t="s">
        <v>2887</v>
      </c>
      <c r="C1396">
        <v>20</v>
      </c>
      <c r="D1396" t="s">
        <v>79</v>
      </c>
      <c r="E1396">
        <v>7</v>
      </c>
      <c r="F1396" t="s">
        <v>2811</v>
      </c>
      <c r="G1396">
        <v>647</v>
      </c>
      <c r="H1396">
        <v>1</v>
      </c>
      <c r="I1396" t="s">
        <v>89</v>
      </c>
      <c r="J1396">
        <v>0</v>
      </c>
      <c r="K1396">
        <v>1</v>
      </c>
      <c r="L1396">
        <v>2</v>
      </c>
      <c r="M1396">
        <v>167</v>
      </c>
      <c r="N1396">
        <v>378</v>
      </c>
      <c r="O1396">
        <v>9</v>
      </c>
      <c r="P1396">
        <v>378</v>
      </c>
      <c r="Q1396">
        <v>10</v>
      </c>
      <c r="R1396">
        <v>45</v>
      </c>
      <c r="S1396">
        <v>95</v>
      </c>
      <c r="T1396">
        <v>9</v>
      </c>
      <c r="U1396">
        <v>9</v>
      </c>
      <c r="V1396">
        <v>3</v>
      </c>
      <c r="W1396">
        <v>2</v>
      </c>
      <c r="X1396">
        <v>3</v>
      </c>
      <c r="Y1396" t="s">
        <v>315</v>
      </c>
      <c r="Z1396">
        <v>9</v>
      </c>
      <c r="AB1396">
        <v>37</v>
      </c>
      <c r="AC1396">
        <v>4</v>
      </c>
      <c r="AD1396">
        <v>0</v>
      </c>
      <c r="AE1396">
        <v>0</v>
      </c>
      <c r="AF1396">
        <v>0</v>
      </c>
      <c r="AK1396">
        <v>3</v>
      </c>
      <c r="AL1396">
        <v>0</v>
      </c>
      <c r="AM1396">
        <v>0</v>
      </c>
      <c r="AN1396">
        <v>1</v>
      </c>
      <c r="AQ1396">
        <v>0</v>
      </c>
      <c r="AT1396">
        <v>0</v>
      </c>
      <c r="AU1396">
        <v>18</v>
      </c>
      <c r="AV1396">
        <v>367</v>
      </c>
      <c r="AW1396">
        <v>248</v>
      </c>
      <c r="AX1396">
        <v>515</v>
      </c>
      <c r="AZ1396" t="s">
        <v>101</v>
      </c>
      <c r="BA1396">
        <v>1</v>
      </c>
      <c r="BC1396" t="s">
        <v>2888</v>
      </c>
      <c r="BD1396" s="4">
        <v>43283.045138888891</v>
      </c>
      <c r="BE1396" s="4">
        <v>43283.076273148145</v>
      </c>
      <c r="BF1396" s="4">
        <v>43283.076273148145</v>
      </c>
      <c r="BG1396" t="s">
        <v>83</v>
      </c>
      <c r="BH1396" t="s">
        <v>84</v>
      </c>
      <c r="BI1396" t="s">
        <v>85</v>
      </c>
    </row>
    <row r="1397" spans="1:61" x14ac:dyDescent="0.3">
      <c r="A1397" t="str">
        <f>"200647C0200"</f>
        <v>200647C0200</v>
      </c>
      <c r="B1397" t="s">
        <v>2889</v>
      </c>
      <c r="C1397">
        <v>20</v>
      </c>
      <c r="D1397" t="s">
        <v>79</v>
      </c>
      <c r="E1397">
        <v>7</v>
      </c>
      <c r="F1397" t="s">
        <v>2811</v>
      </c>
      <c r="G1397">
        <v>647</v>
      </c>
      <c r="H1397">
        <v>2</v>
      </c>
      <c r="I1397" t="s">
        <v>89</v>
      </c>
      <c r="J1397">
        <v>0</v>
      </c>
      <c r="K1397">
        <v>1</v>
      </c>
      <c r="L1397">
        <v>2</v>
      </c>
      <c r="M1397">
        <v>163</v>
      </c>
      <c r="N1397">
        <v>375</v>
      </c>
      <c r="O1397">
        <v>8</v>
      </c>
      <c r="P1397">
        <v>375</v>
      </c>
      <c r="Q1397">
        <v>16</v>
      </c>
      <c r="R1397">
        <v>46</v>
      </c>
      <c r="S1397">
        <v>98</v>
      </c>
      <c r="T1397">
        <v>6</v>
      </c>
      <c r="U1397">
        <v>4</v>
      </c>
      <c r="V1397">
        <v>11</v>
      </c>
      <c r="W1397">
        <v>6</v>
      </c>
      <c r="X1397">
        <v>6</v>
      </c>
      <c r="Y1397">
        <v>136</v>
      </c>
      <c r="Z1397">
        <v>12</v>
      </c>
      <c r="AB1397">
        <v>23</v>
      </c>
      <c r="AC1397" t="s">
        <v>100</v>
      </c>
      <c r="AD1397" t="s">
        <v>100</v>
      </c>
      <c r="AE1397" t="s">
        <v>100</v>
      </c>
      <c r="AF1397" t="s">
        <v>100</v>
      </c>
      <c r="AK1397" t="s">
        <v>100</v>
      </c>
      <c r="AL1397" t="s">
        <v>100</v>
      </c>
      <c r="AM1397" t="s">
        <v>100</v>
      </c>
      <c r="AN1397" t="s">
        <v>100</v>
      </c>
      <c r="AQ1397" t="s">
        <v>100</v>
      </c>
      <c r="AT1397" t="s">
        <v>100</v>
      </c>
      <c r="AU1397">
        <v>11</v>
      </c>
      <c r="AV1397">
        <v>375</v>
      </c>
      <c r="AW1397">
        <v>375</v>
      </c>
      <c r="AX1397">
        <v>515</v>
      </c>
      <c r="AZ1397" t="s">
        <v>101</v>
      </c>
      <c r="BA1397">
        <v>1</v>
      </c>
      <c r="BC1397" t="s">
        <v>2890</v>
      </c>
      <c r="BD1397" s="4">
        <v>43283.04791666667</v>
      </c>
      <c r="BE1397" s="4">
        <v>43283.053449074076</v>
      </c>
      <c r="BF1397" s="4">
        <v>43283.053449074076</v>
      </c>
      <c r="BG1397" t="s">
        <v>83</v>
      </c>
      <c r="BH1397" t="s">
        <v>84</v>
      </c>
      <c r="BI1397" t="s">
        <v>85</v>
      </c>
    </row>
    <row r="1398" spans="1:61" x14ac:dyDescent="0.3">
      <c r="A1398" t="str">
        <f>"200648B0100"</f>
        <v>200648B0100</v>
      </c>
      <c r="B1398" t="s">
        <v>2891</v>
      </c>
      <c r="C1398">
        <v>20</v>
      </c>
      <c r="D1398" t="s">
        <v>79</v>
      </c>
      <c r="E1398">
        <v>7</v>
      </c>
      <c r="F1398" t="s">
        <v>2811</v>
      </c>
      <c r="G1398">
        <v>648</v>
      </c>
      <c r="H1398">
        <v>1</v>
      </c>
      <c r="I1398" t="s">
        <v>81</v>
      </c>
      <c r="J1398">
        <v>0</v>
      </c>
      <c r="K1398">
        <v>2</v>
      </c>
      <c r="L1398">
        <v>2</v>
      </c>
      <c r="M1398">
        <v>191</v>
      </c>
      <c r="N1398">
        <v>408</v>
      </c>
      <c r="O1398">
        <v>2</v>
      </c>
      <c r="P1398">
        <v>408</v>
      </c>
      <c r="Q1398">
        <v>11</v>
      </c>
      <c r="R1398">
        <v>41</v>
      </c>
      <c r="S1398">
        <v>83</v>
      </c>
      <c r="T1398">
        <v>5</v>
      </c>
      <c r="U1398">
        <v>4</v>
      </c>
      <c r="V1398">
        <v>7</v>
      </c>
      <c r="W1398">
        <v>6</v>
      </c>
      <c r="X1398">
        <v>2</v>
      </c>
      <c r="Y1398">
        <v>183</v>
      </c>
      <c r="Z1398">
        <v>9</v>
      </c>
      <c r="AB1398">
        <v>22</v>
      </c>
      <c r="AC1398">
        <v>1</v>
      </c>
      <c r="AD1398">
        <v>0</v>
      </c>
      <c r="AE1398">
        <v>0</v>
      </c>
      <c r="AF1398">
        <v>2</v>
      </c>
      <c r="AK1398">
        <v>6</v>
      </c>
      <c r="AL1398">
        <v>0</v>
      </c>
      <c r="AM1398">
        <v>0</v>
      </c>
      <c r="AN1398">
        <v>3</v>
      </c>
      <c r="AQ1398">
        <v>0</v>
      </c>
      <c r="AT1398">
        <v>0</v>
      </c>
      <c r="AU1398">
        <v>23</v>
      </c>
      <c r="AV1398">
        <v>408</v>
      </c>
      <c r="AW1398">
        <v>408</v>
      </c>
      <c r="AX1398">
        <v>577</v>
      </c>
      <c r="BA1398">
        <v>1</v>
      </c>
      <c r="BC1398" t="s">
        <v>2892</v>
      </c>
      <c r="BD1398" s="4">
        <v>43283.112500000003</v>
      </c>
      <c r="BE1398" s="4">
        <v>43283.120219907411</v>
      </c>
      <c r="BF1398" s="4">
        <v>43283.120219907411</v>
      </c>
      <c r="BG1398" t="s">
        <v>83</v>
      </c>
      <c r="BH1398" t="s">
        <v>84</v>
      </c>
      <c r="BI1398" t="s">
        <v>85</v>
      </c>
    </row>
    <row r="1399" spans="1:61" x14ac:dyDescent="0.3">
      <c r="A1399" t="str">
        <f>"200648C0100"</f>
        <v>200648C0100</v>
      </c>
      <c r="B1399" t="s">
        <v>2893</v>
      </c>
      <c r="C1399">
        <v>20</v>
      </c>
      <c r="D1399" t="s">
        <v>79</v>
      </c>
      <c r="E1399">
        <v>7</v>
      </c>
      <c r="F1399" t="s">
        <v>2811</v>
      </c>
      <c r="G1399">
        <v>648</v>
      </c>
      <c r="H1399">
        <v>1</v>
      </c>
      <c r="I1399" t="s">
        <v>89</v>
      </c>
      <c r="J1399">
        <v>0</v>
      </c>
      <c r="K1399">
        <v>2</v>
      </c>
      <c r="L1399">
        <v>2</v>
      </c>
      <c r="M1399">
        <v>209</v>
      </c>
      <c r="N1399">
        <v>390</v>
      </c>
      <c r="O1399">
        <v>0</v>
      </c>
      <c r="P1399">
        <v>390</v>
      </c>
      <c r="Q1399">
        <v>7</v>
      </c>
      <c r="R1399">
        <v>37</v>
      </c>
      <c r="S1399">
        <v>66</v>
      </c>
      <c r="T1399">
        <v>6</v>
      </c>
      <c r="U1399">
        <v>10</v>
      </c>
      <c r="V1399">
        <v>10</v>
      </c>
      <c r="W1399">
        <v>3</v>
      </c>
      <c r="X1399">
        <v>7</v>
      </c>
      <c r="Y1399">
        <v>175</v>
      </c>
      <c r="Z1399">
        <v>11</v>
      </c>
      <c r="AB1399">
        <v>30</v>
      </c>
      <c r="AC1399">
        <v>1</v>
      </c>
      <c r="AD1399">
        <v>0</v>
      </c>
      <c r="AE1399">
        <v>0</v>
      </c>
      <c r="AF1399">
        <v>0</v>
      </c>
      <c r="AK1399">
        <v>2</v>
      </c>
      <c r="AL1399">
        <v>2</v>
      </c>
      <c r="AM1399">
        <v>0</v>
      </c>
      <c r="AN1399">
        <v>0</v>
      </c>
      <c r="AQ1399">
        <v>0</v>
      </c>
      <c r="AT1399">
        <v>1</v>
      </c>
      <c r="AU1399">
        <v>22</v>
      </c>
      <c r="AV1399">
        <v>390</v>
      </c>
      <c r="AW1399">
        <v>390</v>
      </c>
      <c r="AX1399">
        <v>576</v>
      </c>
      <c r="BA1399">
        <v>1</v>
      </c>
      <c r="BC1399" t="s">
        <v>2894</v>
      </c>
      <c r="BD1399" s="4">
        <v>43283.107638888891</v>
      </c>
      <c r="BE1399" s="4">
        <v>43283.112615740742</v>
      </c>
      <c r="BF1399" s="4">
        <v>43283.112615740742</v>
      </c>
      <c r="BG1399" t="s">
        <v>83</v>
      </c>
      <c r="BH1399" t="s">
        <v>84</v>
      </c>
      <c r="BI1399" t="s">
        <v>85</v>
      </c>
    </row>
    <row r="1400" spans="1:61" x14ac:dyDescent="0.3">
      <c r="A1400" t="str">
        <f>"200648E0100"</f>
        <v>200648E0100</v>
      </c>
      <c r="B1400" s="2" t="s">
        <v>2895</v>
      </c>
      <c r="C1400">
        <v>20</v>
      </c>
      <c r="D1400" t="s">
        <v>79</v>
      </c>
      <c r="E1400">
        <v>7</v>
      </c>
      <c r="F1400" t="s">
        <v>2811</v>
      </c>
      <c r="G1400">
        <v>648</v>
      </c>
      <c r="H1400">
        <v>1</v>
      </c>
      <c r="I1400" t="s">
        <v>145</v>
      </c>
      <c r="J1400">
        <v>0</v>
      </c>
      <c r="K1400">
        <v>2</v>
      </c>
      <c r="L1400">
        <v>2</v>
      </c>
      <c r="M1400">
        <v>195</v>
      </c>
      <c r="N1400">
        <v>408</v>
      </c>
      <c r="O1400">
        <v>5</v>
      </c>
      <c r="P1400">
        <v>407</v>
      </c>
      <c r="Q1400">
        <v>5</v>
      </c>
      <c r="R1400">
        <v>19</v>
      </c>
      <c r="S1400">
        <v>63</v>
      </c>
      <c r="T1400">
        <v>4</v>
      </c>
      <c r="U1400">
        <v>20</v>
      </c>
      <c r="V1400">
        <v>13</v>
      </c>
      <c r="W1400">
        <v>3</v>
      </c>
      <c r="X1400">
        <v>2</v>
      </c>
      <c r="Y1400">
        <v>211</v>
      </c>
      <c r="Z1400">
        <v>9</v>
      </c>
      <c r="AB1400">
        <v>22</v>
      </c>
      <c r="AC1400">
        <v>2</v>
      </c>
      <c r="AD1400">
        <v>1</v>
      </c>
      <c r="AE1400">
        <v>0</v>
      </c>
      <c r="AF1400">
        <v>0</v>
      </c>
      <c r="AK1400">
        <v>3</v>
      </c>
      <c r="AL1400">
        <v>0</v>
      </c>
      <c r="AM1400">
        <v>1</v>
      </c>
      <c r="AN1400">
        <v>0</v>
      </c>
      <c r="AQ1400">
        <v>0</v>
      </c>
      <c r="AT1400">
        <v>0</v>
      </c>
      <c r="AU1400">
        <v>29</v>
      </c>
      <c r="AV1400">
        <v>407</v>
      </c>
      <c r="AW1400">
        <v>407</v>
      </c>
      <c r="AX1400">
        <v>580</v>
      </c>
      <c r="BA1400">
        <v>1</v>
      </c>
      <c r="BC1400" t="s">
        <v>2896</v>
      </c>
      <c r="BD1400" s="4">
        <v>43283.128472222219</v>
      </c>
      <c r="BE1400" s="4">
        <v>43283.162442129629</v>
      </c>
      <c r="BF1400" s="4">
        <v>43283.162442129629</v>
      </c>
      <c r="BG1400" t="s">
        <v>83</v>
      </c>
      <c r="BH1400" t="s">
        <v>84</v>
      </c>
      <c r="BI1400" t="s">
        <v>85</v>
      </c>
    </row>
    <row r="1401" spans="1:61" x14ac:dyDescent="0.3">
      <c r="A1401" t="str">
        <f>"200648E0101"</f>
        <v>200648E0101</v>
      </c>
      <c r="B1401" s="2" t="s">
        <v>2897</v>
      </c>
      <c r="C1401">
        <v>20</v>
      </c>
      <c r="D1401" t="s">
        <v>79</v>
      </c>
      <c r="E1401">
        <v>7</v>
      </c>
      <c r="F1401" t="s">
        <v>2811</v>
      </c>
      <c r="G1401">
        <v>648</v>
      </c>
      <c r="H1401">
        <v>1</v>
      </c>
      <c r="I1401" t="s">
        <v>145</v>
      </c>
      <c r="J1401">
        <v>1</v>
      </c>
      <c r="K1401">
        <v>2</v>
      </c>
      <c r="L1401">
        <v>2</v>
      </c>
      <c r="M1401">
        <v>204</v>
      </c>
      <c r="N1401">
        <v>398</v>
      </c>
      <c r="O1401">
        <v>5</v>
      </c>
      <c r="P1401">
        <v>399</v>
      </c>
      <c r="Q1401">
        <v>8</v>
      </c>
      <c r="R1401">
        <v>25</v>
      </c>
      <c r="S1401">
        <v>75</v>
      </c>
      <c r="T1401">
        <v>7</v>
      </c>
      <c r="U1401">
        <v>19</v>
      </c>
      <c r="V1401">
        <v>14</v>
      </c>
      <c r="W1401">
        <v>4</v>
      </c>
      <c r="X1401">
        <v>4</v>
      </c>
      <c r="Y1401">
        <v>171</v>
      </c>
      <c r="Z1401">
        <v>8</v>
      </c>
      <c r="AB1401">
        <v>23</v>
      </c>
      <c r="AC1401">
        <v>0</v>
      </c>
      <c r="AD1401">
        <v>0</v>
      </c>
      <c r="AE1401">
        <v>0</v>
      </c>
      <c r="AF1401">
        <v>0</v>
      </c>
      <c r="AK1401">
        <v>3</v>
      </c>
      <c r="AL1401">
        <v>0</v>
      </c>
      <c r="AM1401">
        <v>0</v>
      </c>
      <c r="AN1401">
        <v>2</v>
      </c>
      <c r="AQ1401">
        <v>0</v>
      </c>
      <c r="AT1401">
        <v>0</v>
      </c>
      <c r="AU1401">
        <v>36</v>
      </c>
      <c r="AV1401">
        <v>399</v>
      </c>
      <c r="AW1401">
        <v>399</v>
      </c>
      <c r="AX1401">
        <v>579</v>
      </c>
      <c r="BA1401">
        <v>1</v>
      </c>
      <c r="BC1401" t="s">
        <v>2898</v>
      </c>
      <c r="BD1401" s="4">
        <v>43283.115277777775</v>
      </c>
      <c r="BE1401" s="4">
        <v>43283.135555555556</v>
      </c>
      <c r="BF1401" s="4">
        <v>43283.135555555556</v>
      </c>
      <c r="BG1401" t="s">
        <v>83</v>
      </c>
      <c r="BH1401" t="s">
        <v>84</v>
      </c>
      <c r="BI1401" t="s">
        <v>85</v>
      </c>
    </row>
    <row r="1402" spans="1:61" x14ac:dyDescent="0.3">
      <c r="A1402" t="str">
        <f>"200649B0100"</f>
        <v>200649B0100</v>
      </c>
      <c r="B1402" t="s">
        <v>2899</v>
      </c>
      <c r="C1402">
        <v>20</v>
      </c>
      <c r="D1402" t="s">
        <v>79</v>
      </c>
      <c r="E1402">
        <v>7</v>
      </c>
      <c r="F1402" t="s">
        <v>2811</v>
      </c>
      <c r="G1402">
        <v>649</v>
      </c>
      <c r="H1402">
        <v>1</v>
      </c>
      <c r="I1402" t="s">
        <v>81</v>
      </c>
      <c r="J1402">
        <v>0</v>
      </c>
      <c r="K1402">
        <v>2</v>
      </c>
      <c r="L1402">
        <v>2</v>
      </c>
      <c r="AX1402">
        <v>229</v>
      </c>
      <c r="AZ1402" t="s">
        <v>156</v>
      </c>
      <c r="BA1402">
        <v>0</v>
      </c>
      <c r="BC1402" t="s">
        <v>2900</v>
      </c>
      <c r="BD1402" s="4">
        <v>43283.695833333331</v>
      </c>
      <c r="BE1402" s="4">
        <v>43283.70008101852</v>
      </c>
      <c r="BF1402" s="4">
        <v>43283.70008101852</v>
      </c>
      <c r="BG1402" t="s">
        <v>83</v>
      </c>
      <c r="BH1402" t="s">
        <v>84</v>
      </c>
      <c r="BI1402" t="s">
        <v>85</v>
      </c>
    </row>
    <row r="1403" spans="1:61" x14ac:dyDescent="0.3">
      <c r="A1403" t="str">
        <f>"200649E0100"</f>
        <v>200649E0100</v>
      </c>
      <c r="B1403" s="2" t="s">
        <v>2901</v>
      </c>
      <c r="C1403">
        <v>20</v>
      </c>
      <c r="D1403" t="s">
        <v>79</v>
      </c>
      <c r="E1403">
        <v>7</v>
      </c>
      <c r="F1403" t="s">
        <v>2811</v>
      </c>
      <c r="G1403">
        <v>649</v>
      </c>
      <c r="H1403">
        <v>1</v>
      </c>
      <c r="I1403" t="s">
        <v>145</v>
      </c>
      <c r="J1403">
        <v>0</v>
      </c>
      <c r="K1403">
        <v>2</v>
      </c>
      <c r="L1403">
        <v>2</v>
      </c>
      <c r="M1403">
        <v>190</v>
      </c>
      <c r="N1403">
        <v>445</v>
      </c>
      <c r="O1403">
        <v>0</v>
      </c>
      <c r="P1403">
        <v>445</v>
      </c>
      <c r="Q1403">
        <v>2</v>
      </c>
      <c r="R1403">
        <v>72</v>
      </c>
      <c r="S1403">
        <v>34</v>
      </c>
      <c r="T1403">
        <v>10</v>
      </c>
      <c r="U1403">
        <v>20</v>
      </c>
      <c r="V1403">
        <v>10</v>
      </c>
      <c r="W1403">
        <v>1</v>
      </c>
      <c r="X1403">
        <v>5</v>
      </c>
      <c r="Y1403">
        <v>170</v>
      </c>
      <c r="Z1403">
        <v>16</v>
      </c>
      <c r="AB1403">
        <v>42</v>
      </c>
      <c r="AC1403">
        <v>0</v>
      </c>
      <c r="AD1403">
        <v>2</v>
      </c>
      <c r="AE1403">
        <v>0</v>
      </c>
      <c r="AF1403">
        <v>0</v>
      </c>
      <c r="AK1403">
        <v>1</v>
      </c>
      <c r="AL1403">
        <v>0</v>
      </c>
      <c r="AM1403">
        <v>0</v>
      </c>
      <c r="AN1403">
        <v>3</v>
      </c>
      <c r="AQ1403">
        <v>0</v>
      </c>
      <c r="AT1403">
        <v>2</v>
      </c>
      <c r="AU1403">
        <v>55</v>
      </c>
      <c r="AV1403">
        <v>445</v>
      </c>
      <c r="AW1403">
        <v>445</v>
      </c>
      <c r="AX1403">
        <v>612</v>
      </c>
      <c r="BA1403">
        <v>1</v>
      </c>
      <c r="BC1403" s="2" t="s">
        <v>2902</v>
      </c>
      <c r="BD1403" s="4">
        <v>43283.586111111108</v>
      </c>
      <c r="BE1403" s="4">
        <v>43283.591608796298</v>
      </c>
      <c r="BF1403" s="4">
        <v>43283.591608796298</v>
      </c>
      <c r="BG1403" t="s">
        <v>83</v>
      </c>
      <c r="BH1403" t="s">
        <v>84</v>
      </c>
      <c r="BI1403" t="s">
        <v>85</v>
      </c>
    </row>
    <row r="1404" spans="1:61" x14ac:dyDescent="0.3">
      <c r="A1404" t="str">
        <f>"200650B0100"</f>
        <v>200650B0100</v>
      </c>
      <c r="B1404" t="s">
        <v>2903</v>
      </c>
      <c r="C1404">
        <v>20</v>
      </c>
      <c r="D1404" t="s">
        <v>79</v>
      </c>
      <c r="E1404">
        <v>7</v>
      </c>
      <c r="F1404" t="s">
        <v>2811</v>
      </c>
      <c r="G1404">
        <v>650</v>
      </c>
      <c r="H1404">
        <v>1</v>
      </c>
      <c r="I1404" t="s">
        <v>81</v>
      </c>
      <c r="J1404">
        <v>0</v>
      </c>
      <c r="K1404">
        <v>2</v>
      </c>
      <c r="L1404">
        <v>2</v>
      </c>
      <c r="M1404">
        <v>133</v>
      </c>
      <c r="N1404">
        <v>349</v>
      </c>
      <c r="O1404">
        <v>0</v>
      </c>
      <c r="P1404">
        <v>349</v>
      </c>
      <c r="Q1404">
        <v>3</v>
      </c>
      <c r="R1404">
        <v>62</v>
      </c>
      <c r="S1404">
        <v>6</v>
      </c>
      <c r="T1404">
        <v>2</v>
      </c>
      <c r="U1404">
        <v>16</v>
      </c>
      <c r="V1404">
        <v>4</v>
      </c>
      <c r="W1404">
        <v>3</v>
      </c>
      <c r="X1404">
        <v>3</v>
      </c>
      <c r="Y1404">
        <v>210</v>
      </c>
      <c r="Z1404">
        <v>0</v>
      </c>
      <c r="AB1404">
        <v>3</v>
      </c>
      <c r="AC1404">
        <v>0</v>
      </c>
      <c r="AD1404">
        <v>0</v>
      </c>
      <c r="AE1404">
        <v>0</v>
      </c>
      <c r="AF1404">
        <v>0</v>
      </c>
      <c r="AK1404">
        <v>1</v>
      </c>
      <c r="AL1404">
        <v>0</v>
      </c>
      <c r="AM1404">
        <v>0</v>
      </c>
      <c r="AN1404">
        <v>1</v>
      </c>
      <c r="AQ1404">
        <v>0</v>
      </c>
      <c r="AT1404">
        <v>0</v>
      </c>
      <c r="AU1404">
        <v>35</v>
      </c>
      <c r="AV1404">
        <v>349</v>
      </c>
      <c r="AW1404">
        <v>349</v>
      </c>
      <c r="AX1404">
        <v>459</v>
      </c>
      <c r="BA1404">
        <v>1</v>
      </c>
      <c r="BC1404" t="s">
        <v>2904</v>
      </c>
      <c r="BD1404" s="4">
        <v>43283.743055555555</v>
      </c>
      <c r="BE1404" s="4">
        <v>43283.746701388889</v>
      </c>
      <c r="BF1404" s="4">
        <v>43283.746701388889</v>
      </c>
      <c r="BG1404" t="s">
        <v>83</v>
      </c>
      <c r="BH1404" t="s">
        <v>84</v>
      </c>
      <c r="BI1404" t="s">
        <v>85</v>
      </c>
    </row>
    <row r="1405" spans="1:61" x14ac:dyDescent="0.3">
      <c r="A1405" t="str">
        <f>"200650C0100"</f>
        <v>200650C0100</v>
      </c>
      <c r="B1405" t="s">
        <v>2905</v>
      </c>
      <c r="C1405">
        <v>20</v>
      </c>
      <c r="D1405" t="s">
        <v>79</v>
      </c>
      <c r="E1405">
        <v>7</v>
      </c>
      <c r="F1405" t="s">
        <v>2811</v>
      </c>
      <c r="G1405">
        <v>650</v>
      </c>
      <c r="H1405">
        <v>1</v>
      </c>
      <c r="I1405" t="s">
        <v>89</v>
      </c>
      <c r="J1405">
        <v>0</v>
      </c>
      <c r="K1405">
        <v>2</v>
      </c>
      <c r="L1405">
        <v>2</v>
      </c>
      <c r="M1405">
        <v>121</v>
      </c>
      <c r="N1405">
        <v>361</v>
      </c>
      <c r="O1405">
        <v>1</v>
      </c>
      <c r="P1405">
        <v>361</v>
      </c>
      <c r="Q1405">
        <v>4</v>
      </c>
      <c r="R1405">
        <v>55</v>
      </c>
      <c r="S1405">
        <v>24</v>
      </c>
      <c r="T1405">
        <v>4</v>
      </c>
      <c r="U1405">
        <v>12</v>
      </c>
      <c r="V1405">
        <v>2</v>
      </c>
      <c r="W1405">
        <v>1</v>
      </c>
      <c r="X1405">
        <v>5</v>
      </c>
      <c r="Y1405">
        <v>206</v>
      </c>
      <c r="Z1405">
        <v>8</v>
      </c>
      <c r="AB1405">
        <v>6</v>
      </c>
      <c r="AC1405">
        <v>0</v>
      </c>
      <c r="AD1405">
        <v>0</v>
      </c>
      <c r="AE1405">
        <v>0</v>
      </c>
      <c r="AF1405">
        <v>0</v>
      </c>
      <c r="AK1405">
        <v>0</v>
      </c>
      <c r="AL1405">
        <v>0</v>
      </c>
      <c r="AM1405">
        <v>0</v>
      </c>
      <c r="AN1405">
        <v>0</v>
      </c>
      <c r="AQ1405">
        <v>0</v>
      </c>
      <c r="AT1405">
        <v>0</v>
      </c>
      <c r="AU1405">
        <v>34</v>
      </c>
      <c r="AV1405">
        <v>361</v>
      </c>
      <c r="AW1405">
        <v>361</v>
      </c>
      <c r="AX1405">
        <v>459</v>
      </c>
      <c r="BA1405">
        <v>1</v>
      </c>
      <c r="BC1405" t="s">
        <v>2906</v>
      </c>
      <c r="BD1405" s="4">
        <v>43283.584027777775</v>
      </c>
      <c r="BE1405" s="4">
        <v>43283.589687500003</v>
      </c>
      <c r="BF1405" s="4">
        <v>43283.589687500003</v>
      </c>
      <c r="BG1405" t="s">
        <v>83</v>
      </c>
      <c r="BH1405" t="s">
        <v>84</v>
      </c>
      <c r="BI1405" t="s">
        <v>85</v>
      </c>
    </row>
    <row r="1406" spans="1:61" x14ac:dyDescent="0.3">
      <c r="A1406" t="str">
        <f>"200651B0100"</f>
        <v>200651B0100</v>
      </c>
      <c r="B1406" t="s">
        <v>2907</v>
      </c>
      <c r="C1406">
        <v>20</v>
      </c>
      <c r="D1406" t="s">
        <v>79</v>
      </c>
      <c r="E1406">
        <v>7</v>
      </c>
      <c r="F1406" t="s">
        <v>2811</v>
      </c>
      <c r="G1406">
        <v>651</v>
      </c>
      <c r="H1406">
        <v>1</v>
      </c>
      <c r="I1406" t="s">
        <v>81</v>
      </c>
      <c r="J1406">
        <v>0</v>
      </c>
      <c r="K1406">
        <v>2</v>
      </c>
      <c r="L1406">
        <v>2</v>
      </c>
      <c r="M1406">
        <v>113</v>
      </c>
      <c r="N1406">
        <v>295</v>
      </c>
      <c r="O1406">
        <v>0</v>
      </c>
      <c r="P1406">
        <v>295</v>
      </c>
      <c r="Q1406">
        <v>5</v>
      </c>
      <c r="R1406">
        <v>36</v>
      </c>
      <c r="S1406">
        <v>15</v>
      </c>
      <c r="T1406">
        <v>4</v>
      </c>
      <c r="U1406">
        <v>11</v>
      </c>
      <c r="V1406">
        <v>5</v>
      </c>
      <c r="W1406">
        <v>7</v>
      </c>
      <c r="X1406">
        <v>4</v>
      </c>
      <c r="Y1406">
        <v>131</v>
      </c>
      <c r="Z1406">
        <v>7</v>
      </c>
      <c r="AB1406">
        <v>34</v>
      </c>
      <c r="AC1406">
        <v>0</v>
      </c>
      <c r="AD1406">
        <v>0</v>
      </c>
      <c r="AE1406">
        <v>0</v>
      </c>
      <c r="AF1406">
        <v>1</v>
      </c>
      <c r="AK1406">
        <v>1</v>
      </c>
      <c r="AL1406">
        <v>1</v>
      </c>
      <c r="AM1406">
        <v>0</v>
      </c>
      <c r="AN1406">
        <v>0</v>
      </c>
      <c r="AQ1406">
        <v>0</v>
      </c>
      <c r="AT1406">
        <v>0</v>
      </c>
      <c r="AU1406">
        <v>33</v>
      </c>
      <c r="AV1406">
        <v>295</v>
      </c>
      <c r="AW1406">
        <v>295</v>
      </c>
      <c r="AX1406">
        <v>385</v>
      </c>
      <c r="BA1406">
        <v>1</v>
      </c>
      <c r="BC1406" s="2" t="s">
        <v>2908</v>
      </c>
      <c r="BD1406" s="4">
        <v>43283.59097222222</v>
      </c>
      <c r="BE1406" s="4">
        <v>43283.594930555555</v>
      </c>
      <c r="BF1406" s="4">
        <v>43283.594930555555</v>
      </c>
      <c r="BG1406" t="s">
        <v>83</v>
      </c>
      <c r="BH1406" t="s">
        <v>84</v>
      </c>
      <c r="BI1406" t="s">
        <v>85</v>
      </c>
    </row>
    <row r="1407" spans="1:61" x14ac:dyDescent="0.3">
      <c r="A1407" t="str">
        <f>"200652B0100"</f>
        <v>200652B0100</v>
      </c>
      <c r="B1407" t="s">
        <v>2909</v>
      </c>
      <c r="C1407">
        <v>20</v>
      </c>
      <c r="D1407" t="s">
        <v>79</v>
      </c>
      <c r="E1407">
        <v>7</v>
      </c>
      <c r="F1407" t="s">
        <v>2811</v>
      </c>
      <c r="G1407">
        <v>652</v>
      </c>
      <c r="H1407">
        <v>1</v>
      </c>
      <c r="I1407" t="s">
        <v>81</v>
      </c>
      <c r="J1407">
        <v>0</v>
      </c>
      <c r="K1407">
        <v>2</v>
      </c>
      <c r="L1407">
        <v>2</v>
      </c>
      <c r="AX1407">
        <v>592</v>
      </c>
      <c r="AZ1407" t="s">
        <v>156</v>
      </c>
      <c r="BA1407">
        <v>0</v>
      </c>
      <c r="BC1407" t="s">
        <v>2910</v>
      </c>
      <c r="BD1407" s="4">
        <v>43283.697222222225</v>
      </c>
      <c r="BE1407" s="4">
        <v>43283.700613425928</v>
      </c>
      <c r="BF1407" s="4">
        <v>43283.700613425928</v>
      </c>
      <c r="BG1407" t="s">
        <v>83</v>
      </c>
      <c r="BH1407" t="s">
        <v>84</v>
      </c>
      <c r="BI1407" t="s">
        <v>85</v>
      </c>
    </row>
    <row r="1408" spans="1:61" x14ac:dyDescent="0.3">
      <c r="A1408" t="str">
        <f>"200653B0100"</f>
        <v>200653B0100</v>
      </c>
      <c r="B1408" t="s">
        <v>2911</v>
      </c>
      <c r="C1408">
        <v>20</v>
      </c>
      <c r="D1408" t="s">
        <v>79</v>
      </c>
      <c r="E1408">
        <v>7</v>
      </c>
      <c r="F1408" t="s">
        <v>2811</v>
      </c>
      <c r="G1408">
        <v>653</v>
      </c>
      <c r="H1408">
        <v>1</v>
      </c>
      <c r="I1408" t="s">
        <v>81</v>
      </c>
      <c r="J1408">
        <v>0</v>
      </c>
      <c r="K1408">
        <v>2</v>
      </c>
      <c r="L1408">
        <v>2</v>
      </c>
      <c r="M1408">
        <v>186</v>
      </c>
      <c r="N1408">
        <v>414</v>
      </c>
      <c r="O1408">
        <v>3</v>
      </c>
      <c r="P1408">
        <v>414</v>
      </c>
      <c r="Q1408">
        <v>0</v>
      </c>
      <c r="R1408">
        <v>0</v>
      </c>
      <c r="S1408">
        <v>2</v>
      </c>
      <c r="T1408">
        <v>1</v>
      </c>
      <c r="U1408">
        <v>4</v>
      </c>
      <c r="V1408">
        <v>1</v>
      </c>
      <c r="W1408">
        <v>5</v>
      </c>
      <c r="X1408">
        <v>0</v>
      </c>
      <c r="Y1408">
        <v>391</v>
      </c>
      <c r="Z1408">
        <v>3</v>
      </c>
      <c r="AB1408">
        <v>0</v>
      </c>
      <c r="AC1408">
        <v>0</v>
      </c>
      <c r="AD1408">
        <v>0</v>
      </c>
      <c r="AE1408">
        <v>0</v>
      </c>
      <c r="AF1408">
        <v>0</v>
      </c>
      <c r="AK1408">
        <v>3</v>
      </c>
      <c r="AL1408">
        <v>0</v>
      </c>
      <c r="AM1408">
        <v>0</v>
      </c>
      <c r="AN1408">
        <v>0</v>
      </c>
      <c r="AQ1408">
        <v>0</v>
      </c>
      <c r="AT1408">
        <v>0</v>
      </c>
      <c r="AU1408">
        <v>4</v>
      </c>
      <c r="AV1408">
        <v>414</v>
      </c>
      <c r="AW1408">
        <v>414</v>
      </c>
      <c r="AX1408">
        <v>577</v>
      </c>
      <c r="BA1408">
        <v>1</v>
      </c>
      <c r="BC1408" t="s">
        <v>2912</v>
      </c>
      <c r="BD1408" s="4">
        <v>43283.19027777778</v>
      </c>
      <c r="BE1408" s="4">
        <v>43283.207175925927</v>
      </c>
      <c r="BF1408" s="4">
        <v>43283.207175925927</v>
      </c>
      <c r="BG1408" t="s">
        <v>83</v>
      </c>
      <c r="BH1408" t="s">
        <v>84</v>
      </c>
      <c r="BI1408" t="s">
        <v>85</v>
      </c>
    </row>
    <row r="1409" spans="1:61" x14ac:dyDescent="0.3">
      <c r="A1409" t="str">
        <f>"200654B0100"</f>
        <v>200654B0100</v>
      </c>
      <c r="B1409" t="s">
        <v>2913</v>
      </c>
      <c r="C1409">
        <v>20</v>
      </c>
      <c r="D1409" t="s">
        <v>79</v>
      </c>
      <c r="E1409">
        <v>7</v>
      </c>
      <c r="F1409" t="s">
        <v>2811</v>
      </c>
      <c r="G1409">
        <v>654</v>
      </c>
      <c r="H1409">
        <v>1</v>
      </c>
      <c r="I1409" t="s">
        <v>81</v>
      </c>
      <c r="J1409">
        <v>0</v>
      </c>
      <c r="K1409">
        <v>2</v>
      </c>
      <c r="L1409">
        <v>2</v>
      </c>
      <c r="M1409">
        <v>201</v>
      </c>
      <c r="N1409">
        <v>349</v>
      </c>
      <c r="O1409">
        <v>1</v>
      </c>
      <c r="P1409">
        <v>349</v>
      </c>
      <c r="Q1409">
        <v>9</v>
      </c>
      <c r="R1409">
        <v>38</v>
      </c>
      <c r="S1409">
        <v>40</v>
      </c>
      <c r="T1409">
        <v>6</v>
      </c>
      <c r="U1409">
        <v>11</v>
      </c>
      <c r="V1409">
        <v>4</v>
      </c>
      <c r="W1409">
        <v>3</v>
      </c>
      <c r="X1409">
        <v>4</v>
      </c>
      <c r="Y1409">
        <v>183</v>
      </c>
      <c r="Z1409">
        <v>2</v>
      </c>
      <c r="AB1409">
        <v>10</v>
      </c>
      <c r="AC1409">
        <v>0</v>
      </c>
      <c r="AD1409">
        <v>0</v>
      </c>
      <c r="AE1409">
        <v>0</v>
      </c>
      <c r="AF1409">
        <v>0</v>
      </c>
      <c r="AK1409">
        <v>0</v>
      </c>
      <c r="AL1409">
        <v>3</v>
      </c>
      <c r="AM1409">
        <v>5</v>
      </c>
      <c r="AN1409">
        <v>3</v>
      </c>
      <c r="AQ1409">
        <v>0</v>
      </c>
      <c r="AT1409">
        <v>0</v>
      </c>
      <c r="AU1409">
        <v>28</v>
      </c>
      <c r="AV1409">
        <v>349</v>
      </c>
      <c r="AW1409">
        <v>349</v>
      </c>
      <c r="AX1409">
        <v>527</v>
      </c>
      <c r="BA1409">
        <v>1</v>
      </c>
      <c r="BC1409" t="s">
        <v>2914</v>
      </c>
      <c r="BD1409" s="4">
        <v>43283.213888888888</v>
      </c>
      <c r="BE1409" s="4">
        <v>43283.236446759256</v>
      </c>
      <c r="BF1409" s="4">
        <v>43283.236446759256</v>
      </c>
      <c r="BG1409" t="s">
        <v>83</v>
      </c>
      <c r="BH1409" t="s">
        <v>84</v>
      </c>
      <c r="BI1409" t="s">
        <v>85</v>
      </c>
    </row>
    <row r="1410" spans="1:61" x14ac:dyDescent="0.3">
      <c r="A1410" t="str">
        <f>"200654E0100"</f>
        <v>200654E0100</v>
      </c>
      <c r="B1410" s="2" t="s">
        <v>2915</v>
      </c>
      <c r="C1410">
        <v>20</v>
      </c>
      <c r="D1410" t="s">
        <v>79</v>
      </c>
      <c r="E1410">
        <v>7</v>
      </c>
      <c r="F1410" t="s">
        <v>2811</v>
      </c>
      <c r="G1410">
        <v>654</v>
      </c>
      <c r="H1410">
        <v>1</v>
      </c>
      <c r="I1410" t="s">
        <v>145</v>
      </c>
      <c r="J1410">
        <v>0</v>
      </c>
      <c r="K1410">
        <v>2</v>
      </c>
      <c r="L1410">
        <v>2</v>
      </c>
      <c r="M1410">
        <v>258</v>
      </c>
      <c r="N1410">
        <v>476</v>
      </c>
      <c r="O1410">
        <v>2</v>
      </c>
      <c r="P1410">
        <v>466</v>
      </c>
      <c r="Q1410">
        <v>18</v>
      </c>
      <c r="R1410">
        <v>40</v>
      </c>
      <c r="S1410">
        <v>69</v>
      </c>
      <c r="T1410">
        <v>7</v>
      </c>
      <c r="U1410">
        <v>22</v>
      </c>
      <c r="V1410">
        <v>12</v>
      </c>
      <c r="W1410">
        <v>5</v>
      </c>
      <c r="X1410">
        <v>12</v>
      </c>
      <c r="Y1410">
        <v>213</v>
      </c>
      <c r="Z1410">
        <v>25</v>
      </c>
      <c r="AB1410">
        <v>22</v>
      </c>
      <c r="AC1410">
        <v>0</v>
      </c>
      <c r="AD1410">
        <v>0</v>
      </c>
      <c r="AE1410">
        <v>0</v>
      </c>
      <c r="AF1410">
        <v>0</v>
      </c>
      <c r="AK1410">
        <v>2</v>
      </c>
      <c r="AL1410">
        <v>2</v>
      </c>
      <c r="AM1410">
        <v>0</v>
      </c>
      <c r="AN1410">
        <v>0</v>
      </c>
      <c r="AQ1410">
        <v>0</v>
      </c>
      <c r="AT1410">
        <v>0</v>
      </c>
      <c r="AU1410">
        <v>27</v>
      </c>
      <c r="AV1410">
        <v>476</v>
      </c>
      <c r="AW1410">
        <v>476</v>
      </c>
      <c r="AX1410">
        <v>711</v>
      </c>
      <c r="BA1410">
        <v>1</v>
      </c>
      <c r="BC1410" t="s">
        <v>2916</v>
      </c>
      <c r="BD1410" s="4">
        <v>43283.219444444447</v>
      </c>
      <c r="BE1410" s="4">
        <v>43283.242326388892</v>
      </c>
      <c r="BF1410" s="4">
        <v>43283.242326388892</v>
      </c>
      <c r="BG1410" t="s">
        <v>83</v>
      </c>
      <c r="BH1410" t="s">
        <v>84</v>
      </c>
      <c r="BI1410" t="s">
        <v>85</v>
      </c>
    </row>
    <row r="1411" spans="1:61" x14ac:dyDescent="0.3">
      <c r="A1411" t="str">
        <f>"200655B0100"</f>
        <v>200655B0100</v>
      </c>
      <c r="B1411" t="s">
        <v>2917</v>
      </c>
      <c r="C1411">
        <v>20</v>
      </c>
      <c r="D1411" t="s">
        <v>79</v>
      </c>
      <c r="E1411">
        <v>7</v>
      </c>
      <c r="F1411" t="s">
        <v>2811</v>
      </c>
      <c r="G1411">
        <v>655</v>
      </c>
      <c r="H1411">
        <v>1</v>
      </c>
      <c r="I1411" t="s">
        <v>81</v>
      </c>
      <c r="J1411">
        <v>0</v>
      </c>
      <c r="K1411">
        <v>2</v>
      </c>
      <c r="L1411">
        <v>2</v>
      </c>
      <c r="M1411">
        <v>254</v>
      </c>
      <c r="N1411" t="s">
        <v>100</v>
      </c>
      <c r="O1411" t="s">
        <v>100</v>
      </c>
      <c r="P1411">
        <v>0</v>
      </c>
      <c r="Q1411">
        <v>11</v>
      </c>
      <c r="R1411">
        <v>42</v>
      </c>
      <c r="S1411">
        <v>33</v>
      </c>
      <c r="T1411">
        <v>0</v>
      </c>
      <c r="U1411">
        <v>25</v>
      </c>
      <c r="V1411">
        <v>6</v>
      </c>
      <c r="W1411">
        <v>7</v>
      </c>
      <c r="X1411">
        <v>7</v>
      </c>
      <c r="Y1411">
        <v>189</v>
      </c>
      <c r="Z1411">
        <v>11</v>
      </c>
      <c r="AB1411">
        <v>29</v>
      </c>
      <c r="AC1411">
        <v>0</v>
      </c>
      <c r="AD1411">
        <v>0</v>
      </c>
      <c r="AE1411">
        <v>0</v>
      </c>
      <c r="AF1411">
        <v>1</v>
      </c>
      <c r="AK1411">
        <v>12</v>
      </c>
      <c r="AL1411">
        <v>4</v>
      </c>
      <c r="AM1411">
        <v>0</v>
      </c>
      <c r="AN1411">
        <v>4</v>
      </c>
      <c r="AQ1411">
        <v>0</v>
      </c>
      <c r="AT1411" t="s">
        <v>100</v>
      </c>
      <c r="AU1411">
        <v>32</v>
      </c>
      <c r="AV1411">
        <v>413</v>
      </c>
      <c r="AW1411">
        <v>413</v>
      </c>
      <c r="AX1411">
        <v>644</v>
      </c>
      <c r="AZ1411" t="s">
        <v>101</v>
      </c>
      <c r="BA1411">
        <v>1</v>
      </c>
      <c r="BC1411" t="s">
        <v>2918</v>
      </c>
      <c r="BD1411" s="4">
        <v>43283.211805555555</v>
      </c>
      <c r="BE1411" s="4">
        <v>43283.244490740741</v>
      </c>
      <c r="BF1411" s="4">
        <v>43283.244490740741</v>
      </c>
      <c r="BG1411" t="s">
        <v>83</v>
      </c>
      <c r="BH1411" t="s">
        <v>84</v>
      </c>
      <c r="BI1411" t="s">
        <v>85</v>
      </c>
    </row>
    <row r="1412" spans="1:61" x14ac:dyDescent="0.3">
      <c r="A1412" t="str">
        <f>"200655C0100"</f>
        <v>200655C0100</v>
      </c>
      <c r="B1412" t="s">
        <v>2919</v>
      </c>
      <c r="C1412">
        <v>20</v>
      </c>
      <c r="D1412" t="s">
        <v>79</v>
      </c>
      <c r="E1412">
        <v>7</v>
      </c>
      <c r="F1412" t="s">
        <v>2811</v>
      </c>
      <c r="G1412">
        <v>655</v>
      </c>
      <c r="H1412">
        <v>1</v>
      </c>
      <c r="I1412" t="s">
        <v>89</v>
      </c>
      <c r="J1412">
        <v>0</v>
      </c>
      <c r="K1412">
        <v>2</v>
      </c>
      <c r="L1412">
        <v>2</v>
      </c>
      <c r="M1412">
        <v>262</v>
      </c>
      <c r="N1412">
        <v>406</v>
      </c>
      <c r="O1412">
        <v>0</v>
      </c>
      <c r="P1412">
        <v>406</v>
      </c>
      <c r="Q1412">
        <v>6</v>
      </c>
      <c r="R1412">
        <v>32</v>
      </c>
      <c r="S1412">
        <v>42</v>
      </c>
      <c r="T1412">
        <v>3</v>
      </c>
      <c r="U1412">
        <v>24</v>
      </c>
      <c r="V1412">
        <v>10</v>
      </c>
      <c r="W1412">
        <v>8</v>
      </c>
      <c r="X1412">
        <v>2</v>
      </c>
      <c r="Y1412">
        <v>192</v>
      </c>
      <c r="Z1412">
        <v>12</v>
      </c>
      <c r="AB1412">
        <v>33</v>
      </c>
      <c r="AC1412">
        <v>1</v>
      </c>
      <c r="AD1412">
        <v>0</v>
      </c>
      <c r="AE1412">
        <v>0</v>
      </c>
      <c r="AF1412">
        <v>0</v>
      </c>
      <c r="AK1412">
        <v>4</v>
      </c>
      <c r="AL1412">
        <v>2</v>
      </c>
      <c r="AM1412">
        <v>2</v>
      </c>
      <c r="AN1412">
        <v>1</v>
      </c>
      <c r="AQ1412">
        <v>0</v>
      </c>
      <c r="AT1412">
        <v>0</v>
      </c>
      <c r="AU1412">
        <v>32</v>
      </c>
      <c r="AV1412">
        <v>406</v>
      </c>
      <c r="AW1412">
        <v>406</v>
      </c>
      <c r="AX1412">
        <v>644</v>
      </c>
      <c r="BA1412">
        <v>1</v>
      </c>
      <c r="BC1412" t="s">
        <v>2920</v>
      </c>
      <c r="BD1412" s="4">
        <v>43283.209027777775</v>
      </c>
      <c r="BE1412" s="4">
        <v>43283.243842592594</v>
      </c>
      <c r="BF1412" s="4">
        <v>43283.243842592594</v>
      </c>
      <c r="BG1412" t="s">
        <v>83</v>
      </c>
      <c r="BH1412" t="s">
        <v>84</v>
      </c>
      <c r="BI1412" t="s">
        <v>85</v>
      </c>
    </row>
    <row r="1413" spans="1:61" x14ac:dyDescent="0.3">
      <c r="A1413" t="str">
        <f>"200656B0100"</f>
        <v>200656B0100</v>
      </c>
      <c r="B1413" t="s">
        <v>2921</v>
      </c>
      <c r="C1413">
        <v>20</v>
      </c>
      <c r="D1413" t="s">
        <v>79</v>
      </c>
      <c r="E1413">
        <v>7</v>
      </c>
      <c r="F1413" t="s">
        <v>2811</v>
      </c>
      <c r="G1413">
        <v>656</v>
      </c>
      <c r="H1413">
        <v>1</v>
      </c>
      <c r="I1413" t="s">
        <v>81</v>
      </c>
      <c r="J1413">
        <v>0</v>
      </c>
      <c r="K1413">
        <v>2</v>
      </c>
      <c r="L1413">
        <v>2</v>
      </c>
      <c r="M1413">
        <v>185</v>
      </c>
      <c r="N1413">
        <v>429</v>
      </c>
      <c r="O1413">
        <v>0</v>
      </c>
      <c r="P1413">
        <v>429</v>
      </c>
      <c r="Q1413">
        <v>3</v>
      </c>
      <c r="R1413">
        <v>12</v>
      </c>
      <c r="S1413">
        <v>22</v>
      </c>
      <c r="T1413">
        <v>5</v>
      </c>
      <c r="U1413">
        <v>17</v>
      </c>
      <c r="V1413">
        <v>4</v>
      </c>
      <c r="W1413">
        <v>6</v>
      </c>
      <c r="X1413">
        <v>3</v>
      </c>
      <c r="Y1413">
        <v>277</v>
      </c>
      <c r="Z1413">
        <v>4</v>
      </c>
      <c r="AB1413">
        <v>38</v>
      </c>
      <c r="AC1413" t="s">
        <v>100</v>
      </c>
      <c r="AD1413" t="s">
        <v>100</v>
      </c>
      <c r="AE1413" t="s">
        <v>100</v>
      </c>
      <c r="AF1413" t="s">
        <v>100</v>
      </c>
      <c r="AK1413">
        <v>7</v>
      </c>
      <c r="AL1413">
        <v>2</v>
      </c>
      <c r="AM1413" t="s">
        <v>100</v>
      </c>
      <c r="AN1413">
        <v>1</v>
      </c>
      <c r="AQ1413" t="s">
        <v>100</v>
      </c>
      <c r="AT1413" t="s">
        <v>100</v>
      </c>
      <c r="AU1413">
        <v>28</v>
      </c>
      <c r="AV1413" t="s">
        <v>100</v>
      </c>
      <c r="AW1413">
        <v>429</v>
      </c>
      <c r="AX1413">
        <v>591</v>
      </c>
      <c r="AZ1413" t="s">
        <v>101</v>
      </c>
      <c r="BA1413">
        <v>1</v>
      </c>
      <c r="BC1413" t="s">
        <v>2922</v>
      </c>
      <c r="BD1413" s="4">
        <v>43283.22152777778</v>
      </c>
      <c r="BE1413" s="4">
        <v>43283.24423611111</v>
      </c>
      <c r="BF1413" s="4">
        <v>43283.24423611111</v>
      </c>
      <c r="BG1413" t="s">
        <v>83</v>
      </c>
      <c r="BH1413" t="s">
        <v>84</v>
      </c>
      <c r="BI1413" t="s">
        <v>85</v>
      </c>
    </row>
    <row r="1414" spans="1:61" x14ac:dyDescent="0.3">
      <c r="A1414" t="str">
        <f>"200656C0100"</f>
        <v>200656C0100</v>
      </c>
      <c r="B1414" t="s">
        <v>2923</v>
      </c>
      <c r="C1414">
        <v>20</v>
      </c>
      <c r="D1414" t="s">
        <v>79</v>
      </c>
      <c r="E1414">
        <v>7</v>
      </c>
      <c r="F1414" t="s">
        <v>2811</v>
      </c>
      <c r="G1414">
        <v>656</v>
      </c>
      <c r="H1414">
        <v>1</v>
      </c>
      <c r="I1414" t="s">
        <v>89</v>
      </c>
      <c r="J1414">
        <v>0</v>
      </c>
      <c r="K1414">
        <v>2</v>
      </c>
      <c r="L1414">
        <v>2</v>
      </c>
      <c r="M1414">
        <v>229</v>
      </c>
      <c r="N1414">
        <v>384</v>
      </c>
      <c r="O1414">
        <v>0</v>
      </c>
      <c r="P1414">
        <v>384</v>
      </c>
      <c r="Q1414">
        <v>3</v>
      </c>
      <c r="R1414">
        <v>10</v>
      </c>
      <c r="S1414">
        <v>13</v>
      </c>
      <c r="T1414">
        <v>6</v>
      </c>
      <c r="U1414">
        <v>9</v>
      </c>
      <c r="V1414">
        <v>4</v>
      </c>
      <c r="W1414">
        <v>3</v>
      </c>
      <c r="X1414">
        <v>2</v>
      </c>
      <c r="Y1414">
        <v>234</v>
      </c>
      <c r="Z1414">
        <v>11</v>
      </c>
      <c r="AB1414">
        <v>50</v>
      </c>
      <c r="AC1414">
        <v>0</v>
      </c>
      <c r="AD1414">
        <v>0</v>
      </c>
      <c r="AE1414">
        <v>0</v>
      </c>
      <c r="AF1414">
        <v>1</v>
      </c>
      <c r="AK1414">
        <v>2</v>
      </c>
      <c r="AL1414">
        <v>0</v>
      </c>
      <c r="AM1414">
        <v>0</v>
      </c>
      <c r="AN1414">
        <v>3</v>
      </c>
      <c r="AQ1414">
        <v>0</v>
      </c>
      <c r="AT1414">
        <v>0</v>
      </c>
      <c r="AU1414">
        <v>32</v>
      </c>
      <c r="AV1414">
        <v>383</v>
      </c>
      <c r="AW1414">
        <v>383</v>
      </c>
      <c r="AX1414">
        <v>591</v>
      </c>
      <c r="BA1414">
        <v>1</v>
      </c>
      <c r="BC1414" t="s">
        <v>2924</v>
      </c>
      <c r="BD1414" s="4">
        <v>43283.227083333331</v>
      </c>
      <c r="BE1414" s="4">
        <v>43283.2500462963</v>
      </c>
      <c r="BF1414" s="4">
        <v>43283.2500462963</v>
      </c>
      <c r="BG1414" t="s">
        <v>83</v>
      </c>
      <c r="BH1414" t="s">
        <v>84</v>
      </c>
      <c r="BI1414" t="s">
        <v>85</v>
      </c>
    </row>
    <row r="1415" spans="1:61" x14ac:dyDescent="0.3">
      <c r="A1415" t="str">
        <f>"200657B0100"</f>
        <v>200657B0100</v>
      </c>
      <c r="B1415" t="s">
        <v>2925</v>
      </c>
      <c r="C1415">
        <v>20</v>
      </c>
      <c r="D1415" t="s">
        <v>79</v>
      </c>
      <c r="E1415">
        <v>7</v>
      </c>
      <c r="F1415" t="s">
        <v>2811</v>
      </c>
      <c r="G1415">
        <v>657</v>
      </c>
      <c r="H1415">
        <v>1</v>
      </c>
      <c r="I1415" t="s">
        <v>81</v>
      </c>
      <c r="J1415">
        <v>0</v>
      </c>
      <c r="K1415">
        <v>2</v>
      </c>
      <c r="L1415">
        <v>2</v>
      </c>
      <c r="M1415">
        <v>0</v>
      </c>
      <c r="N1415">
        <v>415</v>
      </c>
      <c r="O1415">
        <v>0</v>
      </c>
      <c r="P1415">
        <v>418</v>
      </c>
      <c r="Q1415">
        <v>0</v>
      </c>
      <c r="R1415">
        <v>35</v>
      </c>
      <c r="S1415">
        <v>0</v>
      </c>
      <c r="T1415">
        <v>0</v>
      </c>
      <c r="U1415">
        <v>0</v>
      </c>
      <c r="V1415">
        <v>0</v>
      </c>
      <c r="W1415">
        <v>5</v>
      </c>
      <c r="X1415">
        <v>0</v>
      </c>
      <c r="Y1415">
        <v>270</v>
      </c>
      <c r="Z1415">
        <v>0</v>
      </c>
      <c r="AB1415">
        <v>22</v>
      </c>
      <c r="AC1415">
        <v>50</v>
      </c>
      <c r="AD1415">
        <v>0</v>
      </c>
      <c r="AE1415">
        <v>0</v>
      </c>
      <c r="AF1415">
        <v>0</v>
      </c>
      <c r="AK1415">
        <v>0</v>
      </c>
      <c r="AL1415">
        <v>0</v>
      </c>
      <c r="AM1415">
        <v>0</v>
      </c>
      <c r="AN1415">
        <v>0</v>
      </c>
      <c r="AQ1415">
        <v>0</v>
      </c>
      <c r="AT1415">
        <v>0</v>
      </c>
      <c r="AU1415">
        <v>36</v>
      </c>
      <c r="AV1415">
        <v>418</v>
      </c>
      <c r="AW1415">
        <v>418</v>
      </c>
      <c r="AX1415">
        <v>668</v>
      </c>
      <c r="BA1415">
        <v>1</v>
      </c>
      <c r="BC1415" t="s">
        <v>2926</v>
      </c>
      <c r="BD1415" s="4">
        <v>43283.152777777781</v>
      </c>
      <c r="BE1415" s="4">
        <v>43283.175428240742</v>
      </c>
      <c r="BF1415" s="4">
        <v>43283.175428240742</v>
      </c>
      <c r="BG1415" t="s">
        <v>83</v>
      </c>
      <c r="BH1415" t="s">
        <v>84</v>
      </c>
      <c r="BI1415" t="s">
        <v>548</v>
      </c>
    </row>
    <row r="1416" spans="1:61" x14ac:dyDescent="0.3">
      <c r="A1416" t="str">
        <f>"200657C0100"</f>
        <v>200657C0100</v>
      </c>
      <c r="B1416" t="s">
        <v>2927</v>
      </c>
      <c r="C1416">
        <v>20</v>
      </c>
      <c r="D1416" t="s">
        <v>79</v>
      </c>
      <c r="E1416">
        <v>7</v>
      </c>
      <c r="F1416" t="s">
        <v>2811</v>
      </c>
      <c r="G1416">
        <v>657</v>
      </c>
      <c r="H1416">
        <v>1</v>
      </c>
      <c r="I1416" t="s">
        <v>89</v>
      </c>
      <c r="J1416">
        <v>0</v>
      </c>
      <c r="K1416">
        <v>2</v>
      </c>
      <c r="L1416">
        <v>2</v>
      </c>
      <c r="M1416">
        <v>289</v>
      </c>
      <c r="N1416">
        <v>402</v>
      </c>
      <c r="O1416">
        <v>0</v>
      </c>
      <c r="P1416">
        <v>400</v>
      </c>
      <c r="Q1416">
        <v>7</v>
      </c>
      <c r="R1416">
        <v>20</v>
      </c>
      <c r="S1416">
        <v>55</v>
      </c>
      <c r="T1416">
        <v>8</v>
      </c>
      <c r="U1416">
        <v>14</v>
      </c>
      <c r="V1416">
        <v>6</v>
      </c>
      <c r="W1416">
        <v>10</v>
      </c>
      <c r="X1416">
        <v>1</v>
      </c>
      <c r="Y1416">
        <v>215</v>
      </c>
      <c r="Z1416">
        <v>6</v>
      </c>
      <c r="AB1416">
        <v>23</v>
      </c>
      <c r="AC1416">
        <v>0</v>
      </c>
      <c r="AD1416">
        <v>0</v>
      </c>
      <c r="AE1416">
        <v>0</v>
      </c>
      <c r="AF1416">
        <v>0</v>
      </c>
      <c r="AK1416">
        <v>0</v>
      </c>
      <c r="AL1416">
        <v>0</v>
      </c>
      <c r="AM1416">
        <v>0</v>
      </c>
      <c r="AN1416">
        <v>0</v>
      </c>
      <c r="AQ1416">
        <v>0</v>
      </c>
      <c r="AT1416">
        <v>0</v>
      </c>
      <c r="AU1416">
        <v>35</v>
      </c>
      <c r="AV1416">
        <v>400</v>
      </c>
      <c r="AW1416">
        <v>400</v>
      </c>
      <c r="AX1416">
        <v>668</v>
      </c>
      <c r="BA1416">
        <v>1</v>
      </c>
      <c r="BC1416" t="s">
        <v>2928</v>
      </c>
      <c r="BD1416" s="4">
        <v>43283.157638888886</v>
      </c>
      <c r="BE1416" s="4">
        <v>43283.171446759261</v>
      </c>
      <c r="BF1416" s="4">
        <v>43283.171446759261</v>
      </c>
      <c r="BG1416" t="s">
        <v>83</v>
      </c>
      <c r="BH1416" t="s">
        <v>84</v>
      </c>
      <c r="BI1416" t="s">
        <v>548</v>
      </c>
    </row>
    <row r="1417" spans="1:61" x14ac:dyDescent="0.3">
      <c r="A1417" t="str">
        <f>"200658B0100"</f>
        <v>200658B0100</v>
      </c>
      <c r="B1417" t="s">
        <v>2929</v>
      </c>
      <c r="C1417">
        <v>20</v>
      </c>
      <c r="D1417" t="s">
        <v>79</v>
      </c>
      <c r="E1417">
        <v>7</v>
      </c>
      <c r="F1417" t="s">
        <v>2811</v>
      </c>
      <c r="G1417">
        <v>658</v>
      </c>
      <c r="H1417">
        <v>1</v>
      </c>
      <c r="I1417" t="s">
        <v>81</v>
      </c>
      <c r="J1417">
        <v>0</v>
      </c>
      <c r="K1417">
        <v>2</v>
      </c>
      <c r="L1417">
        <v>2</v>
      </c>
      <c r="M1417">
        <v>173</v>
      </c>
      <c r="N1417">
        <v>459</v>
      </c>
      <c r="O1417">
        <v>2</v>
      </c>
      <c r="P1417">
        <v>284</v>
      </c>
      <c r="Q1417">
        <v>3</v>
      </c>
      <c r="R1417">
        <v>26</v>
      </c>
      <c r="S1417">
        <v>24</v>
      </c>
      <c r="T1417">
        <v>8</v>
      </c>
      <c r="U1417">
        <v>6</v>
      </c>
      <c r="V1417">
        <v>6</v>
      </c>
      <c r="W1417">
        <v>6</v>
      </c>
      <c r="X1417">
        <v>4</v>
      </c>
      <c r="Y1417">
        <v>136</v>
      </c>
      <c r="Z1417">
        <v>9</v>
      </c>
      <c r="AB1417">
        <v>8</v>
      </c>
      <c r="AC1417">
        <v>0</v>
      </c>
      <c r="AD1417">
        <v>0</v>
      </c>
      <c r="AE1417">
        <v>0</v>
      </c>
      <c r="AF1417">
        <v>0</v>
      </c>
      <c r="AK1417">
        <v>1</v>
      </c>
      <c r="AL1417">
        <v>0</v>
      </c>
      <c r="AM1417">
        <v>0</v>
      </c>
      <c r="AN1417">
        <v>1</v>
      </c>
      <c r="AQ1417">
        <v>0</v>
      </c>
      <c r="AT1417">
        <v>0</v>
      </c>
      <c r="AU1417">
        <v>46</v>
      </c>
      <c r="AV1417">
        <v>284</v>
      </c>
      <c r="AW1417">
        <v>284</v>
      </c>
      <c r="AX1417">
        <v>436</v>
      </c>
      <c r="BA1417">
        <v>1</v>
      </c>
      <c r="BC1417" t="s">
        <v>2930</v>
      </c>
      <c r="BD1417" s="4">
        <v>43283.218055555553</v>
      </c>
      <c r="BE1417" s="4">
        <v>43283.242291666669</v>
      </c>
      <c r="BF1417" s="4">
        <v>43283.242291666669</v>
      </c>
      <c r="BG1417" t="s">
        <v>83</v>
      </c>
      <c r="BH1417" t="s">
        <v>84</v>
      </c>
      <c r="BI1417" t="s">
        <v>85</v>
      </c>
    </row>
    <row r="1418" spans="1:61" x14ac:dyDescent="0.3">
      <c r="A1418" t="str">
        <f>"200659B0100"</f>
        <v>200659B0100</v>
      </c>
      <c r="B1418" t="s">
        <v>2931</v>
      </c>
      <c r="C1418">
        <v>20</v>
      </c>
      <c r="D1418" t="s">
        <v>79</v>
      </c>
      <c r="E1418">
        <v>7</v>
      </c>
      <c r="F1418" t="s">
        <v>2811</v>
      </c>
      <c r="G1418">
        <v>659</v>
      </c>
      <c r="H1418">
        <v>1</v>
      </c>
      <c r="I1418" t="s">
        <v>81</v>
      </c>
      <c r="J1418">
        <v>0</v>
      </c>
      <c r="K1418">
        <v>2</v>
      </c>
      <c r="L1418">
        <v>2</v>
      </c>
      <c r="M1418">
        <v>144</v>
      </c>
      <c r="N1418">
        <v>339</v>
      </c>
      <c r="O1418">
        <v>0</v>
      </c>
      <c r="P1418">
        <v>339</v>
      </c>
      <c r="Q1418">
        <v>7</v>
      </c>
      <c r="R1418">
        <v>29</v>
      </c>
      <c r="S1418">
        <v>28</v>
      </c>
      <c r="T1418">
        <v>4</v>
      </c>
      <c r="U1418">
        <v>9</v>
      </c>
      <c r="V1418">
        <v>9</v>
      </c>
      <c r="W1418">
        <v>4</v>
      </c>
      <c r="X1418">
        <v>2</v>
      </c>
      <c r="Y1418">
        <v>190</v>
      </c>
      <c r="Z1418">
        <v>8</v>
      </c>
      <c r="AB1418">
        <v>20</v>
      </c>
      <c r="AC1418">
        <v>0</v>
      </c>
      <c r="AD1418">
        <v>0</v>
      </c>
      <c r="AE1418">
        <v>0</v>
      </c>
      <c r="AF1418">
        <v>0</v>
      </c>
      <c r="AK1418">
        <v>2</v>
      </c>
      <c r="AL1418">
        <v>2</v>
      </c>
      <c r="AM1418">
        <v>0</v>
      </c>
      <c r="AN1418">
        <v>0</v>
      </c>
      <c r="AQ1418">
        <v>1</v>
      </c>
      <c r="AT1418">
        <v>1</v>
      </c>
      <c r="AU1418">
        <v>23</v>
      </c>
      <c r="AV1418">
        <v>339</v>
      </c>
      <c r="AW1418">
        <v>339</v>
      </c>
      <c r="AX1418">
        <v>460</v>
      </c>
      <c r="BA1418">
        <v>1</v>
      </c>
      <c r="BC1418" t="s">
        <v>2932</v>
      </c>
      <c r="BD1418" s="4">
        <v>43283.231249999997</v>
      </c>
      <c r="BE1418" s="4">
        <v>43283.255648148152</v>
      </c>
      <c r="BF1418" s="4">
        <v>43283.255648148152</v>
      </c>
      <c r="BG1418" t="s">
        <v>83</v>
      </c>
      <c r="BH1418" t="s">
        <v>84</v>
      </c>
      <c r="BI1418" t="s">
        <v>85</v>
      </c>
    </row>
    <row r="1419" spans="1:61" x14ac:dyDescent="0.3">
      <c r="A1419" t="str">
        <f>"200659C0100"</f>
        <v>200659C0100</v>
      </c>
      <c r="B1419" t="s">
        <v>2933</v>
      </c>
      <c r="C1419">
        <v>20</v>
      </c>
      <c r="D1419" t="s">
        <v>79</v>
      </c>
      <c r="E1419">
        <v>7</v>
      </c>
      <c r="F1419" t="s">
        <v>2811</v>
      </c>
      <c r="G1419">
        <v>659</v>
      </c>
      <c r="H1419">
        <v>1</v>
      </c>
      <c r="I1419" t="s">
        <v>89</v>
      </c>
      <c r="J1419">
        <v>0</v>
      </c>
      <c r="K1419">
        <v>2</v>
      </c>
      <c r="L1419">
        <v>2</v>
      </c>
      <c r="M1419">
        <v>155</v>
      </c>
      <c r="N1419" t="s">
        <v>100</v>
      </c>
      <c r="O1419" t="s">
        <v>100</v>
      </c>
      <c r="P1419">
        <v>328</v>
      </c>
      <c r="Q1419">
        <v>4</v>
      </c>
      <c r="R1419">
        <v>35</v>
      </c>
      <c r="S1419">
        <v>30</v>
      </c>
      <c r="T1419">
        <v>6</v>
      </c>
      <c r="U1419">
        <v>11</v>
      </c>
      <c r="V1419">
        <v>5</v>
      </c>
      <c r="W1419">
        <v>4</v>
      </c>
      <c r="X1419">
        <v>1</v>
      </c>
      <c r="Y1419">
        <v>182</v>
      </c>
      <c r="Z1419">
        <v>9</v>
      </c>
      <c r="AB1419">
        <v>13</v>
      </c>
      <c r="AC1419">
        <v>0</v>
      </c>
      <c r="AD1419">
        <v>0</v>
      </c>
      <c r="AE1419">
        <v>0</v>
      </c>
      <c r="AF1419">
        <v>0</v>
      </c>
      <c r="AK1419">
        <v>4</v>
      </c>
      <c r="AL1419">
        <v>0</v>
      </c>
      <c r="AM1419">
        <v>0</v>
      </c>
      <c r="AN1419">
        <v>2</v>
      </c>
      <c r="AQ1419">
        <v>0</v>
      </c>
      <c r="AT1419">
        <v>0</v>
      </c>
      <c r="AU1419">
        <v>22</v>
      </c>
      <c r="AV1419">
        <v>328</v>
      </c>
      <c r="AW1419">
        <v>328</v>
      </c>
      <c r="AX1419">
        <v>460</v>
      </c>
      <c r="BA1419">
        <v>1</v>
      </c>
      <c r="BC1419" t="s">
        <v>2934</v>
      </c>
      <c r="BD1419" s="4">
        <v>43283.223611111112</v>
      </c>
      <c r="BE1419" s="4">
        <v>43283.247175925928</v>
      </c>
      <c r="BF1419" s="4">
        <v>43283.247175925928</v>
      </c>
      <c r="BG1419" t="s">
        <v>83</v>
      </c>
      <c r="BH1419" t="s">
        <v>84</v>
      </c>
      <c r="BI1419" t="s">
        <v>85</v>
      </c>
    </row>
    <row r="1420" spans="1:61" x14ac:dyDescent="0.3">
      <c r="A1420" t="str">
        <f>"200659E0100"</f>
        <v>200659E0100</v>
      </c>
      <c r="B1420" s="2" t="s">
        <v>2935</v>
      </c>
      <c r="C1420">
        <v>20</v>
      </c>
      <c r="D1420" t="s">
        <v>79</v>
      </c>
      <c r="E1420">
        <v>7</v>
      </c>
      <c r="F1420" t="s">
        <v>2811</v>
      </c>
      <c r="G1420">
        <v>659</v>
      </c>
      <c r="H1420">
        <v>1</v>
      </c>
      <c r="I1420" t="s">
        <v>145</v>
      </c>
      <c r="J1420">
        <v>0</v>
      </c>
      <c r="K1420">
        <v>2</v>
      </c>
      <c r="L1420">
        <v>2</v>
      </c>
      <c r="M1420">
        <v>217</v>
      </c>
      <c r="N1420">
        <v>574</v>
      </c>
      <c r="O1420">
        <v>14</v>
      </c>
      <c r="P1420">
        <v>363</v>
      </c>
      <c r="Q1420">
        <v>5</v>
      </c>
      <c r="R1420" t="s">
        <v>100</v>
      </c>
      <c r="S1420">
        <v>69</v>
      </c>
      <c r="T1420" t="s">
        <v>100</v>
      </c>
      <c r="U1420" t="s">
        <v>100</v>
      </c>
      <c r="V1420">
        <v>3</v>
      </c>
      <c r="W1420">
        <v>3</v>
      </c>
      <c r="X1420" t="s">
        <v>100</v>
      </c>
      <c r="Y1420" t="s">
        <v>100</v>
      </c>
      <c r="Z1420" t="s">
        <v>100</v>
      </c>
      <c r="AB1420">
        <v>38</v>
      </c>
      <c r="AC1420" t="s">
        <v>100</v>
      </c>
      <c r="AD1420" t="s">
        <v>100</v>
      </c>
      <c r="AE1420" t="s">
        <v>100</v>
      </c>
      <c r="AF1420" t="s">
        <v>100</v>
      </c>
      <c r="AK1420">
        <v>190</v>
      </c>
      <c r="AL1420" t="s">
        <v>100</v>
      </c>
      <c r="AM1420" t="s">
        <v>100</v>
      </c>
      <c r="AN1420" t="s">
        <v>100</v>
      </c>
      <c r="AQ1420">
        <v>37</v>
      </c>
      <c r="AT1420" t="s">
        <v>100</v>
      </c>
      <c r="AU1420">
        <v>20</v>
      </c>
      <c r="AV1420" t="s">
        <v>100</v>
      </c>
      <c r="AW1420">
        <v>365</v>
      </c>
      <c r="AX1420">
        <v>560</v>
      </c>
      <c r="AZ1420" t="s">
        <v>101</v>
      </c>
      <c r="BA1420">
        <v>1</v>
      </c>
      <c r="BC1420" t="s">
        <v>2936</v>
      </c>
      <c r="BD1420" s="4">
        <v>43283.229166666664</v>
      </c>
      <c r="BE1420" s="4">
        <v>43283.256099537037</v>
      </c>
      <c r="BF1420" s="4">
        <v>43283.256099537037</v>
      </c>
      <c r="BG1420" t="s">
        <v>83</v>
      </c>
      <c r="BH1420" t="s">
        <v>84</v>
      </c>
      <c r="BI1420" t="s">
        <v>85</v>
      </c>
    </row>
    <row r="1421" spans="1:61" x14ac:dyDescent="0.3">
      <c r="A1421" t="str">
        <f>"200660B0100"</f>
        <v>200660B0100</v>
      </c>
      <c r="B1421" t="s">
        <v>2937</v>
      </c>
      <c r="C1421">
        <v>20</v>
      </c>
      <c r="D1421" t="s">
        <v>79</v>
      </c>
      <c r="E1421">
        <v>7</v>
      </c>
      <c r="F1421" t="s">
        <v>2811</v>
      </c>
      <c r="G1421">
        <v>660</v>
      </c>
      <c r="H1421">
        <v>1</v>
      </c>
      <c r="I1421" t="s">
        <v>81</v>
      </c>
      <c r="J1421">
        <v>0</v>
      </c>
      <c r="K1421">
        <v>2</v>
      </c>
      <c r="L1421">
        <v>2</v>
      </c>
      <c r="M1421">
        <v>205</v>
      </c>
      <c r="N1421">
        <v>296</v>
      </c>
      <c r="O1421">
        <v>0</v>
      </c>
      <c r="P1421">
        <v>296</v>
      </c>
      <c r="Q1421">
        <v>9</v>
      </c>
      <c r="R1421">
        <v>43</v>
      </c>
      <c r="S1421">
        <v>35</v>
      </c>
      <c r="T1421">
        <v>6</v>
      </c>
      <c r="U1421">
        <v>9</v>
      </c>
      <c r="V1421">
        <v>9</v>
      </c>
      <c r="W1421">
        <v>3</v>
      </c>
      <c r="X1421">
        <v>9</v>
      </c>
      <c r="Y1421">
        <v>120</v>
      </c>
      <c r="Z1421">
        <v>5</v>
      </c>
      <c r="AB1421">
        <v>14</v>
      </c>
      <c r="AC1421">
        <v>1</v>
      </c>
      <c r="AD1421">
        <v>0</v>
      </c>
      <c r="AE1421">
        <v>0</v>
      </c>
      <c r="AF1421">
        <v>0</v>
      </c>
      <c r="AK1421">
        <v>1</v>
      </c>
      <c r="AL1421">
        <v>1</v>
      </c>
      <c r="AM1421">
        <v>0</v>
      </c>
      <c r="AN1421">
        <v>1</v>
      </c>
      <c r="AQ1421">
        <v>0</v>
      </c>
      <c r="AT1421">
        <v>0</v>
      </c>
      <c r="AU1421">
        <v>30</v>
      </c>
      <c r="AV1421">
        <v>296</v>
      </c>
      <c r="AW1421">
        <v>296</v>
      </c>
      <c r="AX1421">
        <v>478</v>
      </c>
      <c r="BA1421">
        <v>1</v>
      </c>
      <c r="BC1421" t="s">
        <v>2938</v>
      </c>
      <c r="BD1421" s="4">
        <v>43283.760416666664</v>
      </c>
      <c r="BE1421" s="4">
        <v>43283.764548611114</v>
      </c>
      <c r="BF1421" s="4">
        <v>43283.764548611114</v>
      </c>
      <c r="BG1421" t="s">
        <v>83</v>
      </c>
      <c r="BH1421" t="s">
        <v>84</v>
      </c>
      <c r="BI1421" t="s">
        <v>85</v>
      </c>
    </row>
    <row r="1422" spans="1:61" x14ac:dyDescent="0.3">
      <c r="A1422" t="str">
        <f>"200660C0100"</f>
        <v>200660C0100</v>
      </c>
      <c r="B1422" t="s">
        <v>2939</v>
      </c>
      <c r="C1422">
        <v>20</v>
      </c>
      <c r="D1422" t="s">
        <v>79</v>
      </c>
      <c r="E1422">
        <v>7</v>
      </c>
      <c r="F1422" t="s">
        <v>2811</v>
      </c>
      <c r="G1422">
        <v>660</v>
      </c>
      <c r="H1422">
        <v>1</v>
      </c>
      <c r="I1422" t="s">
        <v>89</v>
      </c>
      <c r="J1422">
        <v>0</v>
      </c>
      <c r="K1422">
        <v>2</v>
      </c>
      <c r="L1422">
        <v>2</v>
      </c>
      <c r="M1422">
        <v>173</v>
      </c>
      <c r="N1422">
        <v>304</v>
      </c>
      <c r="O1422">
        <v>0</v>
      </c>
      <c r="P1422">
        <v>304</v>
      </c>
      <c r="Q1422">
        <v>0</v>
      </c>
      <c r="R1422">
        <v>45</v>
      </c>
      <c r="S1422">
        <v>36</v>
      </c>
      <c r="T1422">
        <v>8</v>
      </c>
      <c r="U1422">
        <v>13</v>
      </c>
      <c r="V1422">
        <v>4</v>
      </c>
      <c r="W1422">
        <v>3</v>
      </c>
      <c r="X1422">
        <v>5</v>
      </c>
      <c r="Y1422">
        <v>138</v>
      </c>
      <c r="Z1422">
        <v>5</v>
      </c>
      <c r="AB1422">
        <v>8</v>
      </c>
      <c r="AC1422">
        <v>1</v>
      </c>
      <c r="AD1422">
        <v>1</v>
      </c>
      <c r="AE1422">
        <v>0</v>
      </c>
      <c r="AF1422">
        <v>0</v>
      </c>
      <c r="AK1422">
        <v>1</v>
      </c>
      <c r="AL1422">
        <v>0</v>
      </c>
      <c r="AM1422">
        <v>0</v>
      </c>
      <c r="AN1422">
        <v>0</v>
      </c>
      <c r="AQ1422">
        <v>1</v>
      </c>
      <c r="AT1422">
        <v>0</v>
      </c>
      <c r="AU1422">
        <v>29</v>
      </c>
      <c r="AV1422">
        <v>304</v>
      </c>
      <c r="AW1422">
        <v>298</v>
      </c>
      <c r="AX1422">
        <v>477</v>
      </c>
      <c r="BA1422">
        <v>1</v>
      </c>
      <c r="BC1422" t="s">
        <v>2940</v>
      </c>
      <c r="BD1422" s="4">
        <v>43283.76458333333</v>
      </c>
      <c r="BE1422" s="4">
        <v>43283.77752314815</v>
      </c>
      <c r="BF1422" s="4">
        <v>43283.77752314815</v>
      </c>
      <c r="BG1422" t="s">
        <v>83</v>
      </c>
      <c r="BH1422" t="s">
        <v>84</v>
      </c>
      <c r="BI1422" t="s">
        <v>85</v>
      </c>
    </row>
    <row r="1423" spans="1:61" x14ac:dyDescent="0.3">
      <c r="A1423" t="str">
        <f>"200663B0100"</f>
        <v>200663B0100</v>
      </c>
      <c r="B1423" t="s">
        <v>2941</v>
      </c>
      <c r="C1423">
        <v>20</v>
      </c>
      <c r="D1423" t="s">
        <v>79</v>
      </c>
      <c r="E1423">
        <v>7</v>
      </c>
      <c r="F1423" t="s">
        <v>2811</v>
      </c>
      <c r="G1423">
        <v>663</v>
      </c>
      <c r="H1423">
        <v>1</v>
      </c>
      <c r="I1423" t="s">
        <v>81</v>
      </c>
      <c r="J1423">
        <v>0</v>
      </c>
      <c r="K1423">
        <v>2</v>
      </c>
      <c r="L1423">
        <v>2</v>
      </c>
      <c r="M1423">
        <v>282</v>
      </c>
      <c r="N1423">
        <v>294</v>
      </c>
      <c r="O1423">
        <v>6</v>
      </c>
      <c r="P1423">
        <v>294</v>
      </c>
      <c r="Q1423">
        <v>7</v>
      </c>
      <c r="R1423">
        <v>23</v>
      </c>
      <c r="S1423">
        <v>22</v>
      </c>
      <c r="T1423">
        <v>9</v>
      </c>
      <c r="U1423">
        <v>20</v>
      </c>
      <c r="V1423">
        <v>2</v>
      </c>
      <c r="W1423">
        <v>25</v>
      </c>
      <c r="X1423">
        <v>2</v>
      </c>
      <c r="Y1423">
        <v>139</v>
      </c>
      <c r="Z1423">
        <v>11</v>
      </c>
      <c r="AB1423" t="s">
        <v>100</v>
      </c>
      <c r="AC1423">
        <v>0</v>
      </c>
      <c r="AD1423">
        <v>0</v>
      </c>
      <c r="AE1423">
        <v>0</v>
      </c>
      <c r="AF1423">
        <v>1</v>
      </c>
      <c r="AK1423">
        <v>15</v>
      </c>
      <c r="AL1423">
        <v>2</v>
      </c>
      <c r="AM1423">
        <v>0</v>
      </c>
      <c r="AN1423">
        <v>4</v>
      </c>
      <c r="AQ1423">
        <v>0</v>
      </c>
      <c r="AT1423">
        <v>0</v>
      </c>
      <c r="AU1423">
        <v>12</v>
      </c>
      <c r="AV1423">
        <v>294</v>
      </c>
      <c r="AW1423">
        <v>294</v>
      </c>
      <c r="AX1423">
        <v>554</v>
      </c>
      <c r="AZ1423" t="s">
        <v>101</v>
      </c>
      <c r="BA1423">
        <v>1</v>
      </c>
      <c r="BC1423" t="s">
        <v>2942</v>
      </c>
      <c r="BD1423" s="4">
        <v>43283.293055555558</v>
      </c>
      <c r="BE1423" s="4">
        <v>43283.318344907406</v>
      </c>
      <c r="BF1423" s="4">
        <v>43283.318344907406</v>
      </c>
      <c r="BG1423" t="s">
        <v>83</v>
      </c>
      <c r="BH1423" t="s">
        <v>84</v>
      </c>
      <c r="BI1423" t="s">
        <v>85</v>
      </c>
    </row>
    <row r="1424" spans="1:61" x14ac:dyDescent="0.3">
      <c r="A1424" t="str">
        <f>"200663C0100"</f>
        <v>200663C0100</v>
      </c>
      <c r="B1424" t="s">
        <v>2943</v>
      </c>
      <c r="C1424">
        <v>20</v>
      </c>
      <c r="D1424" t="s">
        <v>79</v>
      </c>
      <c r="E1424">
        <v>7</v>
      </c>
      <c r="F1424" t="s">
        <v>2811</v>
      </c>
      <c r="G1424">
        <v>663</v>
      </c>
      <c r="H1424">
        <v>1</v>
      </c>
      <c r="I1424" t="s">
        <v>89</v>
      </c>
      <c r="J1424">
        <v>0</v>
      </c>
      <c r="K1424">
        <v>2</v>
      </c>
      <c r="L1424">
        <v>2</v>
      </c>
      <c r="M1424">
        <v>298</v>
      </c>
      <c r="N1424">
        <v>277</v>
      </c>
      <c r="O1424">
        <v>3</v>
      </c>
      <c r="P1424">
        <v>277</v>
      </c>
      <c r="Q1424">
        <v>3</v>
      </c>
      <c r="R1424">
        <v>37</v>
      </c>
      <c r="S1424">
        <v>16</v>
      </c>
      <c r="T1424">
        <v>12</v>
      </c>
      <c r="U1424">
        <v>12</v>
      </c>
      <c r="V1424">
        <v>2</v>
      </c>
      <c r="W1424">
        <v>9</v>
      </c>
      <c r="X1424">
        <v>6</v>
      </c>
      <c r="Y1424">
        <v>119</v>
      </c>
      <c r="Z1424">
        <v>3</v>
      </c>
      <c r="AB1424">
        <v>0</v>
      </c>
      <c r="AC1424">
        <v>0</v>
      </c>
      <c r="AD1424">
        <v>0</v>
      </c>
      <c r="AE1424">
        <v>0</v>
      </c>
      <c r="AF1424">
        <v>0</v>
      </c>
      <c r="AK1424">
        <v>17</v>
      </c>
      <c r="AL1424">
        <v>2</v>
      </c>
      <c r="AM1424">
        <v>0</v>
      </c>
      <c r="AN1424">
        <v>2</v>
      </c>
      <c r="AQ1424">
        <v>0</v>
      </c>
      <c r="AT1424">
        <v>0</v>
      </c>
      <c r="AU1424">
        <v>37</v>
      </c>
      <c r="AV1424">
        <v>277</v>
      </c>
      <c r="AW1424">
        <v>277</v>
      </c>
      <c r="AX1424">
        <v>553</v>
      </c>
      <c r="BA1424">
        <v>1</v>
      </c>
      <c r="BC1424" t="s">
        <v>2944</v>
      </c>
      <c r="BD1424" s="4">
        <v>43283.299305555556</v>
      </c>
      <c r="BE1424" s="4">
        <v>43283.329895833333</v>
      </c>
      <c r="BF1424" s="4">
        <v>43283.329895833333</v>
      </c>
      <c r="BG1424" t="s">
        <v>83</v>
      </c>
      <c r="BH1424" t="s">
        <v>84</v>
      </c>
      <c r="BI1424" t="s">
        <v>85</v>
      </c>
    </row>
    <row r="1425" spans="1:61" x14ac:dyDescent="0.3">
      <c r="A1425" t="str">
        <f>"200664B0100"</f>
        <v>200664B0100</v>
      </c>
      <c r="B1425" t="s">
        <v>2945</v>
      </c>
      <c r="C1425">
        <v>20</v>
      </c>
      <c r="D1425" t="s">
        <v>79</v>
      </c>
      <c r="E1425">
        <v>7</v>
      </c>
      <c r="F1425" t="s">
        <v>2811</v>
      </c>
      <c r="G1425">
        <v>664</v>
      </c>
      <c r="H1425">
        <v>1</v>
      </c>
      <c r="I1425" t="s">
        <v>81</v>
      </c>
      <c r="J1425">
        <v>0</v>
      </c>
      <c r="K1425">
        <v>2</v>
      </c>
      <c r="L1425">
        <v>2</v>
      </c>
      <c r="M1425">
        <v>357</v>
      </c>
      <c r="N1425">
        <v>365</v>
      </c>
      <c r="O1425">
        <v>5</v>
      </c>
      <c r="P1425">
        <v>365</v>
      </c>
      <c r="Q1425">
        <v>10</v>
      </c>
      <c r="R1425">
        <v>38</v>
      </c>
      <c r="S1425">
        <v>19</v>
      </c>
      <c r="T1425">
        <v>6</v>
      </c>
      <c r="U1425">
        <v>7</v>
      </c>
      <c r="V1425">
        <v>1</v>
      </c>
      <c r="W1425">
        <v>5</v>
      </c>
      <c r="X1425">
        <v>1</v>
      </c>
      <c r="Y1425">
        <v>222</v>
      </c>
      <c r="Z1425">
        <v>5</v>
      </c>
      <c r="AB1425">
        <v>2</v>
      </c>
      <c r="AC1425">
        <v>2</v>
      </c>
      <c r="AD1425">
        <v>0</v>
      </c>
      <c r="AE1425">
        <v>0</v>
      </c>
      <c r="AF1425">
        <v>0</v>
      </c>
      <c r="AK1425">
        <v>17</v>
      </c>
      <c r="AL1425">
        <v>6</v>
      </c>
      <c r="AM1425">
        <v>0</v>
      </c>
      <c r="AN1425">
        <v>5</v>
      </c>
      <c r="AQ1425">
        <v>0</v>
      </c>
      <c r="AT1425">
        <v>0</v>
      </c>
      <c r="AU1425">
        <v>19</v>
      </c>
      <c r="AV1425">
        <v>365</v>
      </c>
      <c r="AW1425">
        <v>365</v>
      </c>
      <c r="AX1425">
        <v>700</v>
      </c>
      <c r="BA1425">
        <v>1</v>
      </c>
      <c r="BC1425" t="s">
        <v>2946</v>
      </c>
      <c r="BD1425" s="4">
        <v>43283.332638888889</v>
      </c>
      <c r="BE1425" s="4">
        <v>43283.354849537034</v>
      </c>
      <c r="BF1425" s="4">
        <v>43283.354849537034</v>
      </c>
      <c r="BG1425" t="s">
        <v>83</v>
      </c>
      <c r="BH1425" t="s">
        <v>84</v>
      </c>
      <c r="BI1425" t="s">
        <v>85</v>
      </c>
    </row>
    <row r="1426" spans="1:61" x14ac:dyDescent="0.3">
      <c r="A1426" t="str">
        <f>"200665B0100"</f>
        <v>200665B0100</v>
      </c>
      <c r="B1426" t="s">
        <v>2947</v>
      </c>
      <c r="C1426">
        <v>20</v>
      </c>
      <c r="D1426" t="s">
        <v>79</v>
      </c>
      <c r="E1426">
        <v>7</v>
      </c>
      <c r="F1426" t="s">
        <v>2811</v>
      </c>
      <c r="G1426">
        <v>665</v>
      </c>
      <c r="H1426">
        <v>1</v>
      </c>
      <c r="I1426" t="s">
        <v>81</v>
      </c>
      <c r="J1426">
        <v>0</v>
      </c>
      <c r="K1426">
        <v>2</v>
      </c>
      <c r="L1426">
        <v>2</v>
      </c>
      <c r="M1426">
        <v>114</v>
      </c>
      <c r="N1426">
        <v>133</v>
      </c>
      <c r="O1426">
        <v>7</v>
      </c>
      <c r="P1426">
        <v>133</v>
      </c>
      <c r="Q1426">
        <v>1</v>
      </c>
      <c r="R1426">
        <v>5</v>
      </c>
      <c r="S1426">
        <v>15</v>
      </c>
      <c r="T1426">
        <v>2</v>
      </c>
      <c r="U1426">
        <v>9</v>
      </c>
      <c r="V1426">
        <v>3</v>
      </c>
      <c r="W1426">
        <v>1</v>
      </c>
      <c r="X1426">
        <v>6</v>
      </c>
      <c r="Y1426">
        <v>76</v>
      </c>
      <c r="Z1426">
        <v>4</v>
      </c>
      <c r="AB1426">
        <v>1</v>
      </c>
      <c r="AC1426">
        <v>0</v>
      </c>
      <c r="AD1426">
        <v>0</v>
      </c>
      <c r="AE1426">
        <v>0</v>
      </c>
      <c r="AF1426">
        <v>0</v>
      </c>
      <c r="AK1426">
        <v>1</v>
      </c>
      <c r="AL1426">
        <v>0</v>
      </c>
      <c r="AM1426">
        <v>0</v>
      </c>
      <c r="AN1426">
        <v>5</v>
      </c>
      <c r="AQ1426">
        <v>0</v>
      </c>
      <c r="AT1426">
        <v>0</v>
      </c>
      <c r="AU1426">
        <v>4</v>
      </c>
      <c r="AV1426">
        <v>133</v>
      </c>
      <c r="AW1426">
        <v>133</v>
      </c>
      <c r="AX1426">
        <v>225</v>
      </c>
      <c r="BA1426">
        <v>1</v>
      </c>
      <c r="BC1426" t="s">
        <v>2948</v>
      </c>
      <c r="BD1426" s="4">
        <v>43283.30972222222</v>
      </c>
      <c r="BE1426" s="4">
        <v>43283.335127314815</v>
      </c>
      <c r="BF1426" s="4">
        <v>43283.335127314815</v>
      </c>
      <c r="BG1426" t="s">
        <v>83</v>
      </c>
      <c r="BH1426" t="s">
        <v>84</v>
      </c>
      <c r="BI1426" t="s">
        <v>85</v>
      </c>
    </row>
    <row r="1427" spans="1:61" x14ac:dyDescent="0.3">
      <c r="A1427" t="str">
        <f>"200665E0100"</f>
        <v>200665E0100</v>
      </c>
      <c r="B1427" s="2" t="s">
        <v>2949</v>
      </c>
      <c r="C1427">
        <v>20</v>
      </c>
      <c r="D1427" t="s">
        <v>79</v>
      </c>
      <c r="E1427">
        <v>7</v>
      </c>
      <c r="F1427" t="s">
        <v>2811</v>
      </c>
      <c r="G1427">
        <v>665</v>
      </c>
      <c r="H1427">
        <v>1</v>
      </c>
      <c r="I1427" t="s">
        <v>145</v>
      </c>
      <c r="J1427">
        <v>0</v>
      </c>
      <c r="K1427">
        <v>2</v>
      </c>
      <c r="L1427">
        <v>2</v>
      </c>
      <c r="M1427">
        <v>137</v>
      </c>
      <c r="N1427">
        <v>186</v>
      </c>
      <c r="O1427">
        <v>3</v>
      </c>
      <c r="P1427">
        <v>186</v>
      </c>
      <c r="Q1427">
        <v>2</v>
      </c>
      <c r="R1427">
        <v>38</v>
      </c>
      <c r="S1427">
        <v>10</v>
      </c>
      <c r="T1427">
        <v>8</v>
      </c>
      <c r="U1427">
        <v>12</v>
      </c>
      <c r="V1427">
        <v>3</v>
      </c>
      <c r="W1427">
        <v>10</v>
      </c>
      <c r="X1427">
        <v>0</v>
      </c>
      <c r="Y1427">
        <v>77</v>
      </c>
      <c r="Z1427">
        <v>2</v>
      </c>
      <c r="AB1427">
        <v>0</v>
      </c>
      <c r="AC1427">
        <v>0</v>
      </c>
      <c r="AD1427">
        <v>0</v>
      </c>
      <c r="AE1427">
        <v>0</v>
      </c>
      <c r="AF1427">
        <v>0</v>
      </c>
      <c r="AK1427">
        <v>8</v>
      </c>
      <c r="AL1427">
        <v>0</v>
      </c>
      <c r="AM1427">
        <v>1</v>
      </c>
      <c r="AN1427">
        <v>4</v>
      </c>
      <c r="AQ1427">
        <v>0</v>
      </c>
      <c r="AT1427">
        <v>0</v>
      </c>
      <c r="AU1427">
        <v>11</v>
      </c>
      <c r="AV1427">
        <v>186</v>
      </c>
      <c r="AW1427">
        <v>186</v>
      </c>
      <c r="AX1427">
        <v>301</v>
      </c>
      <c r="BA1427">
        <v>1</v>
      </c>
      <c r="BC1427" t="s">
        <v>2950</v>
      </c>
      <c r="BD1427" s="4">
        <v>43283.320833333331</v>
      </c>
      <c r="BE1427" s="4">
        <v>43283.349641203706</v>
      </c>
      <c r="BF1427" s="4">
        <v>43283.349641203706</v>
      </c>
      <c r="BG1427" t="s">
        <v>83</v>
      </c>
      <c r="BH1427" t="s">
        <v>84</v>
      </c>
      <c r="BI1427" t="s">
        <v>85</v>
      </c>
    </row>
    <row r="1428" spans="1:61" x14ac:dyDescent="0.3">
      <c r="A1428" t="str">
        <f>"200738B0100"</f>
        <v>200738B0100</v>
      </c>
      <c r="B1428" t="s">
        <v>2951</v>
      </c>
      <c r="C1428">
        <v>20</v>
      </c>
      <c r="D1428" t="s">
        <v>79</v>
      </c>
      <c r="E1428">
        <v>7</v>
      </c>
      <c r="F1428" t="s">
        <v>2811</v>
      </c>
      <c r="G1428">
        <v>738</v>
      </c>
      <c r="H1428">
        <v>1</v>
      </c>
      <c r="I1428" t="s">
        <v>81</v>
      </c>
      <c r="J1428">
        <v>0</v>
      </c>
      <c r="K1428">
        <v>2</v>
      </c>
      <c r="L1428">
        <v>2</v>
      </c>
      <c r="M1428">
        <v>116</v>
      </c>
      <c r="N1428">
        <v>328</v>
      </c>
      <c r="O1428">
        <v>1</v>
      </c>
      <c r="P1428">
        <v>328</v>
      </c>
      <c r="Q1428">
        <v>7</v>
      </c>
      <c r="R1428">
        <v>138</v>
      </c>
      <c r="S1428">
        <v>9</v>
      </c>
      <c r="T1428">
        <v>7</v>
      </c>
      <c r="U1428">
        <v>70</v>
      </c>
      <c r="V1428">
        <v>3</v>
      </c>
      <c r="W1428">
        <v>2</v>
      </c>
      <c r="X1428">
        <v>2</v>
      </c>
      <c r="Y1428">
        <v>34</v>
      </c>
      <c r="Z1428">
        <v>5</v>
      </c>
      <c r="AB1428">
        <v>6</v>
      </c>
      <c r="AC1428">
        <v>0</v>
      </c>
      <c r="AD1428">
        <v>0</v>
      </c>
      <c r="AE1428">
        <v>0</v>
      </c>
      <c r="AF1428">
        <v>0</v>
      </c>
      <c r="AK1428">
        <v>1</v>
      </c>
      <c r="AL1428">
        <v>4</v>
      </c>
      <c r="AM1428">
        <v>1</v>
      </c>
      <c r="AN1428">
        <v>2</v>
      </c>
      <c r="AQ1428">
        <v>2</v>
      </c>
      <c r="AT1428">
        <v>0</v>
      </c>
      <c r="AU1428">
        <v>35</v>
      </c>
      <c r="AV1428">
        <v>328</v>
      </c>
      <c r="AW1428">
        <v>328</v>
      </c>
      <c r="AX1428">
        <v>422</v>
      </c>
      <c r="BA1428">
        <v>1</v>
      </c>
      <c r="BC1428" t="s">
        <v>2952</v>
      </c>
      <c r="BD1428" s="4">
        <v>43283.798611111109</v>
      </c>
      <c r="BE1428" s="4">
        <v>43283.803101851852</v>
      </c>
      <c r="BF1428" s="4">
        <v>43283.803101851852</v>
      </c>
      <c r="BG1428" t="s">
        <v>83</v>
      </c>
      <c r="BH1428" t="s">
        <v>84</v>
      </c>
      <c r="BI1428" t="s">
        <v>85</v>
      </c>
    </row>
    <row r="1429" spans="1:61" x14ac:dyDescent="0.3">
      <c r="A1429" t="str">
        <f>"200738C0100"</f>
        <v>200738C0100</v>
      </c>
      <c r="B1429" t="s">
        <v>2953</v>
      </c>
      <c r="C1429">
        <v>20</v>
      </c>
      <c r="D1429" t="s">
        <v>79</v>
      </c>
      <c r="E1429">
        <v>7</v>
      </c>
      <c r="F1429" t="s">
        <v>2811</v>
      </c>
      <c r="G1429">
        <v>738</v>
      </c>
      <c r="H1429">
        <v>1</v>
      </c>
      <c r="I1429" t="s">
        <v>89</v>
      </c>
      <c r="J1429">
        <v>0</v>
      </c>
      <c r="K1429">
        <v>2</v>
      </c>
      <c r="L1429">
        <v>2</v>
      </c>
      <c r="M1429">
        <v>109</v>
      </c>
      <c r="N1429">
        <v>334</v>
      </c>
      <c r="O1429">
        <v>1</v>
      </c>
      <c r="P1429">
        <v>334</v>
      </c>
      <c r="Q1429">
        <v>4</v>
      </c>
      <c r="R1429">
        <v>130</v>
      </c>
      <c r="S1429">
        <v>16</v>
      </c>
      <c r="T1429">
        <v>19</v>
      </c>
      <c r="U1429">
        <v>83</v>
      </c>
      <c r="V1429">
        <v>2</v>
      </c>
      <c r="W1429">
        <v>1</v>
      </c>
      <c r="X1429">
        <v>2</v>
      </c>
      <c r="Y1429">
        <v>35</v>
      </c>
      <c r="Z1429">
        <v>0</v>
      </c>
      <c r="AB1429">
        <v>1</v>
      </c>
      <c r="AC1429">
        <v>0</v>
      </c>
      <c r="AD1429">
        <v>0</v>
      </c>
      <c r="AE1429">
        <v>0</v>
      </c>
      <c r="AF1429">
        <v>0</v>
      </c>
      <c r="AK1429">
        <v>1</v>
      </c>
      <c r="AL1429">
        <v>4</v>
      </c>
      <c r="AM1429">
        <v>2</v>
      </c>
      <c r="AN1429">
        <v>2</v>
      </c>
      <c r="AQ1429">
        <v>0</v>
      </c>
      <c r="AT1429">
        <v>0</v>
      </c>
      <c r="AU1429">
        <v>32</v>
      </c>
      <c r="AV1429">
        <v>334</v>
      </c>
      <c r="AW1429">
        <v>334</v>
      </c>
      <c r="AX1429">
        <v>421</v>
      </c>
      <c r="BA1429">
        <v>1</v>
      </c>
      <c r="BC1429" t="s">
        <v>2954</v>
      </c>
      <c r="BD1429" s="4">
        <v>43283.797222222223</v>
      </c>
      <c r="BE1429" s="4">
        <v>43283.801921296297</v>
      </c>
      <c r="BF1429" s="4">
        <v>43283.801921296297</v>
      </c>
      <c r="BG1429" t="s">
        <v>83</v>
      </c>
      <c r="BH1429" t="s">
        <v>84</v>
      </c>
      <c r="BI1429" t="s">
        <v>85</v>
      </c>
    </row>
    <row r="1430" spans="1:61" x14ac:dyDescent="0.3">
      <c r="A1430" t="str">
        <f>"200739B0100"</f>
        <v>200739B0100</v>
      </c>
      <c r="B1430" t="s">
        <v>2955</v>
      </c>
      <c r="C1430">
        <v>20</v>
      </c>
      <c r="D1430" t="s">
        <v>79</v>
      </c>
      <c r="E1430">
        <v>7</v>
      </c>
      <c r="F1430" t="s">
        <v>2811</v>
      </c>
      <c r="G1430">
        <v>739</v>
      </c>
      <c r="H1430">
        <v>1</v>
      </c>
      <c r="I1430" t="s">
        <v>81</v>
      </c>
      <c r="J1430">
        <v>0</v>
      </c>
      <c r="K1430">
        <v>2</v>
      </c>
      <c r="L1430">
        <v>2</v>
      </c>
      <c r="M1430">
        <v>135</v>
      </c>
      <c r="N1430">
        <v>389</v>
      </c>
      <c r="O1430">
        <v>1</v>
      </c>
      <c r="P1430">
        <v>389</v>
      </c>
      <c r="Q1430">
        <v>1</v>
      </c>
      <c r="R1430">
        <v>22</v>
      </c>
      <c r="S1430">
        <v>48</v>
      </c>
      <c r="T1430">
        <v>12</v>
      </c>
      <c r="U1430">
        <v>186</v>
      </c>
      <c r="V1430">
        <v>3</v>
      </c>
      <c r="W1430">
        <v>2</v>
      </c>
      <c r="X1430">
        <v>1</v>
      </c>
      <c r="Y1430">
        <v>79</v>
      </c>
      <c r="Z1430">
        <v>2</v>
      </c>
      <c r="AB1430">
        <v>0</v>
      </c>
      <c r="AC1430">
        <v>0</v>
      </c>
      <c r="AD1430">
        <v>0</v>
      </c>
      <c r="AE1430">
        <v>0</v>
      </c>
      <c r="AF1430">
        <v>0</v>
      </c>
      <c r="AK1430">
        <v>7</v>
      </c>
      <c r="AL1430">
        <v>7</v>
      </c>
      <c r="AM1430">
        <v>0</v>
      </c>
      <c r="AN1430">
        <v>0</v>
      </c>
      <c r="AQ1430">
        <v>0</v>
      </c>
      <c r="AT1430">
        <v>0</v>
      </c>
      <c r="AU1430">
        <v>19</v>
      </c>
      <c r="AV1430">
        <v>389</v>
      </c>
      <c r="AW1430">
        <v>389</v>
      </c>
      <c r="AX1430">
        <v>502</v>
      </c>
      <c r="BA1430">
        <v>1</v>
      </c>
      <c r="BC1430" t="s">
        <v>2956</v>
      </c>
      <c r="BD1430" s="4">
        <v>43283.657638888886</v>
      </c>
      <c r="BE1430" s="4">
        <v>43283.662453703706</v>
      </c>
      <c r="BF1430" s="4">
        <v>43283.662453703706</v>
      </c>
      <c r="BG1430" t="s">
        <v>83</v>
      </c>
      <c r="BH1430" t="s">
        <v>84</v>
      </c>
      <c r="BI1430" t="s">
        <v>85</v>
      </c>
    </row>
    <row r="1431" spans="1:61" x14ac:dyDescent="0.3">
      <c r="A1431" t="str">
        <f>"200740B0100"</f>
        <v>200740B0100</v>
      </c>
      <c r="B1431" t="s">
        <v>2957</v>
      </c>
      <c r="C1431">
        <v>20</v>
      </c>
      <c r="D1431" t="s">
        <v>79</v>
      </c>
      <c r="E1431">
        <v>7</v>
      </c>
      <c r="F1431" t="s">
        <v>2811</v>
      </c>
      <c r="G1431">
        <v>740</v>
      </c>
      <c r="H1431">
        <v>1</v>
      </c>
      <c r="I1431" t="s">
        <v>81</v>
      </c>
      <c r="J1431">
        <v>0</v>
      </c>
      <c r="K1431">
        <v>2</v>
      </c>
      <c r="L1431">
        <v>2</v>
      </c>
      <c r="M1431">
        <v>169</v>
      </c>
      <c r="N1431">
        <v>504</v>
      </c>
      <c r="O1431">
        <v>1</v>
      </c>
      <c r="P1431">
        <v>504</v>
      </c>
      <c r="Q1431">
        <v>5</v>
      </c>
      <c r="R1431">
        <v>164</v>
      </c>
      <c r="S1431">
        <v>15</v>
      </c>
      <c r="T1431">
        <v>15</v>
      </c>
      <c r="U1431">
        <v>194</v>
      </c>
      <c r="V1431">
        <v>2</v>
      </c>
      <c r="W1431">
        <v>1</v>
      </c>
      <c r="X1431">
        <v>4</v>
      </c>
      <c r="Y1431">
        <v>50</v>
      </c>
      <c r="Z1431">
        <v>9</v>
      </c>
      <c r="AB1431">
        <v>6</v>
      </c>
      <c r="AC1431">
        <v>0</v>
      </c>
      <c r="AD1431">
        <v>0</v>
      </c>
      <c r="AE1431">
        <v>0</v>
      </c>
      <c r="AF1431">
        <v>0</v>
      </c>
      <c r="AK1431">
        <v>4</v>
      </c>
      <c r="AL1431">
        <v>7</v>
      </c>
      <c r="AM1431">
        <v>1</v>
      </c>
      <c r="AN1431">
        <v>1</v>
      </c>
      <c r="AQ1431">
        <v>1</v>
      </c>
      <c r="AT1431">
        <v>0</v>
      </c>
      <c r="AU1431">
        <v>25</v>
      </c>
      <c r="AV1431">
        <v>504</v>
      </c>
      <c r="AW1431">
        <v>504</v>
      </c>
      <c r="AX1431">
        <v>651</v>
      </c>
      <c r="BA1431">
        <v>1</v>
      </c>
      <c r="BC1431" t="s">
        <v>2958</v>
      </c>
      <c r="BD1431" s="4">
        <v>43283.792361111111</v>
      </c>
      <c r="BE1431" s="4">
        <v>43283.796759259261</v>
      </c>
      <c r="BF1431" s="4">
        <v>43283.796759259261</v>
      </c>
      <c r="BG1431" t="s">
        <v>83</v>
      </c>
      <c r="BH1431" t="s">
        <v>84</v>
      </c>
      <c r="BI1431" t="s">
        <v>85</v>
      </c>
    </row>
    <row r="1432" spans="1:61" x14ac:dyDescent="0.3">
      <c r="A1432" t="str">
        <f>"201099B0100"</f>
        <v>201099B0100</v>
      </c>
      <c r="B1432" t="s">
        <v>2959</v>
      </c>
      <c r="C1432">
        <v>20</v>
      </c>
      <c r="D1432" t="s">
        <v>79</v>
      </c>
      <c r="E1432">
        <v>7</v>
      </c>
      <c r="F1432" t="s">
        <v>2811</v>
      </c>
      <c r="G1432">
        <v>1099</v>
      </c>
      <c r="H1432">
        <v>1</v>
      </c>
      <c r="I1432" t="s">
        <v>81</v>
      </c>
      <c r="J1432">
        <v>0</v>
      </c>
      <c r="K1432">
        <v>1</v>
      </c>
      <c r="L1432">
        <v>2</v>
      </c>
      <c r="M1432">
        <v>206</v>
      </c>
      <c r="N1432">
        <v>520</v>
      </c>
      <c r="O1432">
        <v>0</v>
      </c>
      <c r="P1432">
        <v>500</v>
      </c>
      <c r="Q1432">
        <v>88</v>
      </c>
      <c r="R1432">
        <v>62</v>
      </c>
      <c r="S1432">
        <v>63</v>
      </c>
      <c r="T1432">
        <v>2</v>
      </c>
      <c r="U1432">
        <v>4</v>
      </c>
      <c r="V1432">
        <v>5</v>
      </c>
      <c r="W1432">
        <v>1</v>
      </c>
      <c r="X1432">
        <v>13</v>
      </c>
      <c r="Y1432">
        <v>247</v>
      </c>
      <c r="Z1432">
        <v>7</v>
      </c>
      <c r="AB1432">
        <v>0</v>
      </c>
      <c r="AC1432">
        <v>0</v>
      </c>
      <c r="AD1432">
        <v>3</v>
      </c>
      <c r="AE1432">
        <v>0</v>
      </c>
      <c r="AF1432">
        <v>0</v>
      </c>
      <c r="AK1432">
        <v>2</v>
      </c>
      <c r="AL1432">
        <v>2</v>
      </c>
      <c r="AM1432">
        <v>0</v>
      </c>
      <c r="AN1432">
        <v>2</v>
      </c>
      <c r="AQ1432">
        <v>0</v>
      </c>
      <c r="AT1432">
        <v>0</v>
      </c>
      <c r="AU1432">
        <v>19</v>
      </c>
      <c r="AV1432">
        <v>520</v>
      </c>
      <c r="AW1432">
        <v>520</v>
      </c>
      <c r="AX1432">
        <v>704</v>
      </c>
      <c r="BA1432">
        <v>1</v>
      </c>
      <c r="BC1432" t="s">
        <v>2960</v>
      </c>
      <c r="BD1432" s="4">
        <v>43283.761805555558</v>
      </c>
      <c r="BE1432" s="4">
        <v>43283.767418981479</v>
      </c>
      <c r="BF1432" s="4">
        <v>43283.767418981479</v>
      </c>
      <c r="BG1432" t="s">
        <v>83</v>
      </c>
      <c r="BH1432" t="s">
        <v>84</v>
      </c>
      <c r="BI1432" t="s">
        <v>85</v>
      </c>
    </row>
    <row r="1433" spans="1:61" x14ac:dyDescent="0.3">
      <c r="A1433" t="str">
        <f>"201099C0100"</f>
        <v>201099C0100</v>
      </c>
      <c r="B1433" t="s">
        <v>2961</v>
      </c>
      <c r="C1433">
        <v>20</v>
      </c>
      <c r="D1433" t="s">
        <v>79</v>
      </c>
      <c r="E1433">
        <v>7</v>
      </c>
      <c r="F1433" t="s">
        <v>2811</v>
      </c>
      <c r="G1433">
        <v>1099</v>
      </c>
      <c r="H1433">
        <v>1</v>
      </c>
      <c r="I1433" t="s">
        <v>89</v>
      </c>
      <c r="J1433">
        <v>0</v>
      </c>
      <c r="K1433">
        <v>1</v>
      </c>
      <c r="L1433">
        <v>2</v>
      </c>
      <c r="M1433">
        <v>234</v>
      </c>
      <c r="N1433">
        <v>492</v>
      </c>
      <c r="O1433">
        <v>1</v>
      </c>
      <c r="P1433" t="s">
        <v>100</v>
      </c>
      <c r="Q1433">
        <v>69</v>
      </c>
      <c r="R1433">
        <v>54</v>
      </c>
      <c r="S1433">
        <v>77</v>
      </c>
      <c r="T1433">
        <v>1</v>
      </c>
      <c r="U1433">
        <v>3</v>
      </c>
      <c r="V1433">
        <v>6</v>
      </c>
      <c r="W1433">
        <v>2</v>
      </c>
      <c r="X1433">
        <v>14</v>
      </c>
      <c r="Y1433">
        <v>225</v>
      </c>
      <c r="Z1433">
        <v>5</v>
      </c>
      <c r="AB1433">
        <v>3</v>
      </c>
      <c r="AC1433">
        <v>0</v>
      </c>
      <c r="AD1433">
        <v>5</v>
      </c>
      <c r="AE1433">
        <v>0</v>
      </c>
      <c r="AF1433">
        <v>0</v>
      </c>
      <c r="AK1433">
        <v>2</v>
      </c>
      <c r="AL1433">
        <v>0</v>
      </c>
      <c r="AM1433">
        <v>2</v>
      </c>
      <c r="AN1433">
        <v>2</v>
      </c>
      <c r="AQ1433">
        <v>0</v>
      </c>
      <c r="AT1433">
        <v>0</v>
      </c>
      <c r="AU1433">
        <v>18</v>
      </c>
      <c r="AV1433">
        <v>491</v>
      </c>
      <c r="AW1433">
        <v>488</v>
      </c>
      <c r="AX1433">
        <v>704</v>
      </c>
      <c r="BA1433">
        <v>1</v>
      </c>
      <c r="BC1433" t="s">
        <v>2962</v>
      </c>
      <c r="BD1433" s="4">
        <v>43283.745138888888</v>
      </c>
      <c r="BE1433" s="4">
        <v>43283.752222222225</v>
      </c>
      <c r="BF1433" s="4">
        <v>43283.752222222225</v>
      </c>
      <c r="BG1433" t="s">
        <v>83</v>
      </c>
      <c r="BH1433" t="s">
        <v>84</v>
      </c>
      <c r="BI1433" t="s">
        <v>85</v>
      </c>
    </row>
    <row r="1434" spans="1:61" x14ac:dyDescent="0.3">
      <c r="A1434" t="str">
        <f>"201100B0100"</f>
        <v>201100B0100</v>
      </c>
      <c r="B1434" t="s">
        <v>2963</v>
      </c>
      <c r="C1434">
        <v>20</v>
      </c>
      <c r="D1434" t="s">
        <v>79</v>
      </c>
      <c r="E1434">
        <v>7</v>
      </c>
      <c r="F1434" t="s">
        <v>2811</v>
      </c>
      <c r="G1434">
        <v>1100</v>
      </c>
      <c r="H1434">
        <v>1</v>
      </c>
      <c r="I1434" t="s">
        <v>81</v>
      </c>
      <c r="J1434">
        <v>0</v>
      </c>
      <c r="K1434">
        <v>2</v>
      </c>
      <c r="L1434">
        <v>2</v>
      </c>
      <c r="M1434">
        <v>159</v>
      </c>
      <c r="N1434">
        <v>455</v>
      </c>
      <c r="O1434">
        <v>8</v>
      </c>
      <c r="P1434">
        <v>454</v>
      </c>
      <c r="Q1434">
        <v>72</v>
      </c>
      <c r="R1434">
        <v>52</v>
      </c>
      <c r="S1434">
        <v>35</v>
      </c>
      <c r="T1434">
        <v>3</v>
      </c>
      <c r="U1434">
        <v>6</v>
      </c>
      <c r="V1434">
        <v>3</v>
      </c>
      <c r="W1434">
        <v>4</v>
      </c>
      <c r="X1434">
        <v>0</v>
      </c>
      <c r="Y1434">
        <v>245</v>
      </c>
      <c r="Z1434">
        <v>1</v>
      </c>
      <c r="AB1434">
        <v>0</v>
      </c>
      <c r="AC1434">
        <v>1</v>
      </c>
      <c r="AD1434">
        <v>6</v>
      </c>
      <c r="AE1434">
        <v>1</v>
      </c>
      <c r="AF1434">
        <v>0</v>
      </c>
      <c r="AK1434">
        <v>4</v>
      </c>
      <c r="AL1434">
        <v>1</v>
      </c>
      <c r="AM1434">
        <v>0</v>
      </c>
      <c r="AN1434">
        <v>4</v>
      </c>
      <c r="AQ1434">
        <v>0</v>
      </c>
      <c r="AT1434">
        <v>0</v>
      </c>
      <c r="AU1434">
        <v>16</v>
      </c>
      <c r="AV1434">
        <v>454</v>
      </c>
      <c r="AW1434">
        <v>454</v>
      </c>
      <c r="AX1434">
        <v>592</v>
      </c>
      <c r="BA1434">
        <v>1</v>
      </c>
      <c r="BC1434" t="s">
        <v>2964</v>
      </c>
      <c r="BD1434" s="4">
        <v>43283.598611111112</v>
      </c>
      <c r="BE1434" s="4">
        <v>43283.60900462963</v>
      </c>
      <c r="BF1434" s="4">
        <v>43283.60900462963</v>
      </c>
      <c r="BG1434" t="s">
        <v>83</v>
      </c>
      <c r="BH1434" t="s">
        <v>84</v>
      </c>
      <c r="BI1434" t="s">
        <v>548</v>
      </c>
    </row>
    <row r="1435" spans="1:61" x14ac:dyDescent="0.3">
      <c r="A1435" t="str">
        <f>"201100C0100"</f>
        <v>201100C0100</v>
      </c>
      <c r="B1435" t="s">
        <v>2965</v>
      </c>
      <c r="C1435">
        <v>20</v>
      </c>
      <c r="D1435" t="s">
        <v>79</v>
      </c>
      <c r="E1435">
        <v>7</v>
      </c>
      <c r="F1435" t="s">
        <v>2811</v>
      </c>
      <c r="G1435">
        <v>1100</v>
      </c>
      <c r="H1435">
        <v>1</v>
      </c>
      <c r="I1435" t="s">
        <v>89</v>
      </c>
      <c r="J1435">
        <v>0</v>
      </c>
      <c r="K1435">
        <v>2</v>
      </c>
      <c r="L1435">
        <v>2</v>
      </c>
      <c r="M1435">
        <v>213</v>
      </c>
      <c r="N1435" t="s">
        <v>100</v>
      </c>
      <c r="O1435">
        <v>0</v>
      </c>
      <c r="P1435">
        <v>398</v>
      </c>
      <c r="Q1435">
        <v>58</v>
      </c>
      <c r="R1435">
        <v>52</v>
      </c>
      <c r="S1435">
        <v>61</v>
      </c>
      <c r="T1435">
        <v>2</v>
      </c>
      <c r="U1435">
        <v>5</v>
      </c>
      <c r="V1435">
        <v>2</v>
      </c>
      <c r="W1435">
        <v>12</v>
      </c>
      <c r="X1435">
        <v>3</v>
      </c>
      <c r="Y1435">
        <v>180</v>
      </c>
      <c r="Z1435">
        <v>3</v>
      </c>
      <c r="AB1435">
        <v>2</v>
      </c>
      <c r="AC1435">
        <v>1</v>
      </c>
      <c r="AD1435">
        <v>3</v>
      </c>
      <c r="AE1435">
        <v>0</v>
      </c>
      <c r="AF1435">
        <v>0</v>
      </c>
      <c r="AK1435">
        <v>3</v>
      </c>
      <c r="AL1435">
        <v>0</v>
      </c>
      <c r="AM1435">
        <v>0</v>
      </c>
      <c r="AN1435">
        <v>2</v>
      </c>
      <c r="AQ1435">
        <v>0</v>
      </c>
      <c r="AT1435">
        <v>0</v>
      </c>
      <c r="AU1435">
        <v>9</v>
      </c>
      <c r="AV1435">
        <v>398</v>
      </c>
      <c r="AW1435">
        <v>398</v>
      </c>
      <c r="AX1435">
        <v>592</v>
      </c>
      <c r="BA1435">
        <v>1</v>
      </c>
      <c r="BC1435" t="s">
        <v>2966</v>
      </c>
      <c r="BD1435" s="4">
        <v>43283.758333333331</v>
      </c>
      <c r="BE1435" s="4">
        <v>43283.764050925929</v>
      </c>
      <c r="BF1435" s="4">
        <v>43283.764050925929</v>
      </c>
      <c r="BG1435" t="s">
        <v>83</v>
      </c>
      <c r="BH1435" t="s">
        <v>84</v>
      </c>
      <c r="BI1435" t="s">
        <v>85</v>
      </c>
    </row>
    <row r="1436" spans="1:61" x14ac:dyDescent="0.3">
      <c r="A1436" t="str">
        <f>"201100C0200"</f>
        <v>201100C0200</v>
      </c>
      <c r="B1436" t="s">
        <v>2967</v>
      </c>
      <c r="C1436">
        <v>20</v>
      </c>
      <c r="D1436" t="s">
        <v>79</v>
      </c>
      <c r="E1436">
        <v>7</v>
      </c>
      <c r="F1436" t="s">
        <v>2811</v>
      </c>
      <c r="G1436">
        <v>1100</v>
      </c>
      <c r="H1436">
        <v>2</v>
      </c>
      <c r="I1436" t="s">
        <v>89</v>
      </c>
      <c r="J1436">
        <v>0</v>
      </c>
      <c r="K1436">
        <v>2</v>
      </c>
      <c r="L1436">
        <v>2</v>
      </c>
      <c r="M1436">
        <v>163</v>
      </c>
      <c r="N1436">
        <v>450</v>
      </c>
      <c r="O1436">
        <v>0</v>
      </c>
      <c r="P1436">
        <v>454</v>
      </c>
      <c r="Q1436">
        <v>70</v>
      </c>
      <c r="R1436">
        <v>47</v>
      </c>
      <c r="S1436">
        <v>49</v>
      </c>
      <c r="T1436">
        <v>1</v>
      </c>
      <c r="U1436">
        <v>6</v>
      </c>
      <c r="V1436">
        <v>5</v>
      </c>
      <c r="W1436">
        <v>0</v>
      </c>
      <c r="X1436">
        <v>7</v>
      </c>
      <c r="Y1436">
        <v>253</v>
      </c>
      <c r="Z1436">
        <v>3</v>
      </c>
      <c r="AB1436">
        <v>2</v>
      </c>
      <c r="AC1436">
        <v>0</v>
      </c>
      <c r="AD1436">
        <v>0</v>
      </c>
      <c r="AE1436">
        <v>0</v>
      </c>
      <c r="AF1436">
        <v>0</v>
      </c>
      <c r="AK1436">
        <v>2</v>
      </c>
      <c r="AL1436">
        <v>0</v>
      </c>
      <c r="AM1436">
        <v>0</v>
      </c>
      <c r="AN1436">
        <v>1</v>
      </c>
      <c r="AQ1436">
        <v>0</v>
      </c>
      <c r="AT1436">
        <v>0</v>
      </c>
      <c r="AU1436">
        <v>8</v>
      </c>
      <c r="AV1436">
        <v>454</v>
      </c>
      <c r="AW1436">
        <v>454</v>
      </c>
      <c r="AX1436">
        <v>591</v>
      </c>
      <c r="BA1436">
        <v>1</v>
      </c>
      <c r="BC1436" t="s">
        <v>2968</v>
      </c>
      <c r="BD1436" s="4">
        <v>43283.70208333333</v>
      </c>
      <c r="BE1436" s="4">
        <v>43283.711377314816</v>
      </c>
      <c r="BF1436" s="4">
        <v>43283.711377314816</v>
      </c>
      <c r="BG1436" t="s">
        <v>83</v>
      </c>
      <c r="BH1436" t="s">
        <v>84</v>
      </c>
      <c r="BI1436" t="s">
        <v>85</v>
      </c>
    </row>
    <row r="1437" spans="1:61" x14ac:dyDescent="0.3">
      <c r="A1437" t="str">
        <f>"201101B0100"</f>
        <v>201101B0100</v>
      </c>
      <c r="B1437" t="s">
        <v>2969</v>
      </c>
      <c r="C1437">
        <v>20</v>
      </c>
      <c r="D1437" t="s">
        <v>79</v>
      </c>
      <c r="E1437">
        <v>7</v>
      </c>
      <c r="F1437" t="s">
        <v>2811</v>
      </c>
      <c r="G1437">
        <v>1101</v>
      </c>
      <c r="H1437">
        <v>1</v>
      </c>
      <c r="I1437" t="s">
        <v>81</v>
      </c>
      <c r="J1437">
        <v>0</v>
      </c>
      <c r="K1437">
        <v>2</v>
      </c>
      <c r="L1437">
        <v>2</v>
      </c>
      <c r="M1437">
        <v>109</v>
      </c>
      <c r="N1437">
        <v>329</v>
      </c>
      <c r="O1437">
        <v>2</v>
      </c>
      <c r="P1437">
        <v>329</v>
      </c>
      <c r="Q1437">
        <v>26</v>
      </c>
      <c r="R1437">
        <v>151</v>
      </c>
      <c r="S1437">
        <v>29</v>
      </c>
      <c r="T1437">
        <v>6</v>
      </c>
      <c r="U1437">
        <v>4</v>
      </c>
      <c r="V1437">
        <v>6</v>
      </c>
      <c r="W1437">
        <v>3</v>
      </c>
      <c r="X1437">
        <v>3</v>
      </c>
      <c r="Y1437">
        <v>78</v>
      </c>
      <c r="Z1437">
        <v>1</v>
      </c>
      <c r="AB1437">
        <v>0</v>
      </c>
      <c r="AC1437">
        <v>3</v>
      </c>
      <c r="AD1437">
        <v>3</v>
      </c>
      <c r="AE1437">
        <v>0</v>
      </c>
      <c r="AF1437">
        <v>0</v>
      </c>
      <c r="AK1437">
        <v>2</v>
      </c>
      <c r="AL1437">
        <v>0</v>
      </c>
      <c r="AM1437">
        <v>0</v>
      </c>
      <c r="AN1437">
        <v>1</v>
      </c>
      <c r="AQ1437">
        <v>0</v>
      </c>
      <c r="AT1437">
        <v>0</v>
      </c>
      <c r="AU1437">
        <v>13</v>
      </c>
      <c r="AV1437">
        <v>329</v>
      </c>
      <c r="AW1437">
        <v>329</v>
      </c>
      <c r="AX1437">
        <v>416</v>
      </c>
      <c r="BA1437">
        <v>1</v>
      </c>
      <c r="BC1437" t="s">
        <v>2970</v>
      </c>
      <c r="BD1437" s="4">
        <v>43283.728472222225</v>
      </c>
      <c r="BE1437" s="4">
        <v>43283.735185185185</v>
      </c>
      <c r="BF1437" s="4">
        <v>43283.735185185185</v>
      </c>
      <c r="BG1437" t="s">
        <v>83</v>
      </c>
      <c r="BH1437" t="s">
        <v>84</v>
      </c>
      <c r="BI1437" t="s">
        <v>85</v>
      </c>
    </row>
    <row r="1438" spans="1:61" x14ac:dyDescent="0.3">
      <c r="A1438" t="str">
        <f>"201101C0100"</f>
        <v>201101C0100</v>
      </c>
      <c r="B1438" t="s">
        <v>2971</v>
      </c>
      <c r="C1438">
        <v>20</v>
      </c>
      <c r="D1438" t="s">
        <v>79</v>
      </c>
      <c r="E1438">
        <v>7</v>
      </c>
      <c r="F1438" t="s">
        <v>2811</v>
      </c>
      <c r="G1438">
        <v>1101</v>
      </c>
      <c r="H1438">
        <v>1</v>
      </c>
      <c r="I1438" t="s">
        <v>89</v>
      </c>
      <c r="J1438">
        <v>0</v>
      </c>
      <c r="K1438">
        <v>2</v>
      </c>
      <c r="L1438">
        <v>2</v>
      </c>
      <c r="M1438">
        <v>116</v>
      </c>
      <c r="N1438">
        <v>321</v>
      </c>
      <c r="O1438">
        <v>7</v>
      </c>
      <c r="P1438">
        <v>321</v>
      </c>
      <c r="Q1438">
        <v>27</v>
      </c>
      <c r="R1438">
        <v>136</v>
      </c>
      <c r="S1438">
        <v>46</v>
      </c>
      <c r="T1438">
        <v>3</v>
      </c>
      <c r="U1438">
        <v>1</v>
      </c>
      <c r="V1438">
        <v>6</v>
      </c>
      <c r="W1438">
        <v>1</v>
      </c>
      <c r="X1438">
        <v>6</v>
      </c>
      <c r="Y1438">
        <v>76</v>
      </c>
      <c r="Z1438">
        <v>2</v>
      </c>
      <c r="AB1438">
        <v>0</v>
      </c>
      <c r="AC1438">
        <v>0</v>
      </c>
      <c r="AD1438">
        <v>1</v>
      </c>
      <c r="AE1438">
        <v>0</v>
      </c>
      <c r="AF1438">
        <v>0</v>
      </c>
      <c r="AK1438">
        <v>2</v>
      </c>
      <c r="AL1438">
        <v>0</v>
      </c>
      <c r="AM1438">
        <v>0</v>
      </c>
      <c r="AN1438">
        <v>1</v>
      </c>
      <c r="AQ1438">
        <v>1</v>
      </c>
      <c r="AT1438">
        <v>0</v>
      </c>
      <c r="AU1438">
        <v>12</v>
      </c>
      <c r="AV1438">
        <v>321</v>
      </c>
      <c r="AW1438">
        <v>321</v>
      </c>
      <c r="AX1438">
        <v>416</v>
      </c>
      <c r="BA1438">
        <v>1</v>
      </c>
      <c r="BC1438" t="s">
        <v>2972</v>
      </c>
      <c r="BD1438" s="4">
        <v>43283.72152777778</v>
      </c>
      <c r="BE1438" s="4">
        <v>43283.727002314816</v>
      </c>
      <c r="BF1438" s="4">
        <v>43283.727002314816</v>
      </c>
      <c r="BG1438" t="s">
        <v>83</v>
      </c>
      <c r="BH1438" t="s">
        <v>84</v>
      </c>
      <c r="BI1438" t="s">
        <v>85</v>
      </c>
    </row>
    <row r="1439" spans="1:61" x14ac:dyDescent="0.3">
      <c r="A1439" t="str">
        <f>"201102B0100"</f>
        <v>201102B0100</v>
      </c>
      <c r="B1439" t="s">
        <v>2973</v>
      </c>
      <c r="C1439">
        <v>20</v>
      </c>
      <c r="D1439" t="s">
        <v>79</v>
      </c>
      <c r="E1439">
        <v>7</v>
      </c>
      <c r="F1439" t="s">
        <v>2811</v>
      </c>
      <c r="G1439">
        <v>1102</v>
      </c>
      <c r="H1439">
        <v>1</v>
      </c>
      <c r="I1439" t="s">
        <v>81</v>
      </c>
      <c r="J1439">
        <v>0</v>
      </c>
      <c r="K1439">
        <v>2</v>
      </c>
      <c r="L1439">
        <v>2</v>
      </c>
      <c r="AX1439">
        <v>528</v>
      </c>
      <c r="AZ1439" t="s">
        <v>932</v>
      </c>
      <c r="BA1439">
        <v>0</v>
      </c>
      <c r="BC1439" t="s">
        <v>2974</v>
      </c>
      <c r="BD1439" s="4">
        <v>43283.819444444445</v>
      </c>
      <c r="BE1439" s="4">
        <v>43283.820509259262</v>
      </c>
      <c r="BF1439" s="4">
        <v>43283.820509259262</v>
      </c>
      <c r="BG1439" t="s">
        <v>83</v>
      </c>
      <c r="BH1439" t="s">
        <v>84</v>
      </c>
      <c r="BI1439" t="s">
        <v>85</v>
      </c>
    </row>
    <row r="1440" spans="1:61" x14ac:dyDescent="0.3">
      <c r="A1440" t="str">
        <f>"201102C0100"</f>
        <v>201102C0100</v>
      </c>
      <c r="B1440" t="s">
        <v>2975</v>
      </c>
      <c r="C1440">
        <v>20</v>
      </c>
      <c r="D1440" t="s">
        <v>79</v>
      </c>
      <c r="E1440">
        <v>7</v>
      </c>
      <c r="F1440" t="s">
        <v>2811</v>
      </c>
      <c r="G1440">
        <v>1102</v>
      </c>
      <c r="H1440">
        <v>1</v>
      </c>
      <c r="I1440" t="s">
        <v>89</v>
      </c>
      <c r="J1440">
        <v>0</v>
      </c>
      <c r="K1440">
        <v>2</v>
      </c>
      <c r="L1440">
        <v>2</v>
      </c>
      <c r="AX1440">
        <v>528</v>
      </c>
      <c r="AZ1440" t="s">
        <v>932</v>
      </c>
      <c r="BA1440">
        <v>0</v>
      </c>
      <c r="BC1440" t="s">
        <v>2976</v>
      </c>
      <c r="BD1440" s="4">
        <v>43283.818749999999</v>
      </c>
      <c r="BE1440" s="4">
        <v>43283.820405092592</v>
      </c>
      <c r="BF1440" s="4">
        <v>43283.820405092592</v>
      </c>
      <c r="BG1440" t="s">
        <v>83</v>
      </c>
      <c r="BH1440" t="s">
        <v>84</v>
      </c>
      <c r="BI1440" t="s">
        <v>85</v>
      </c>
    </row>
    <row r="1441" spans="1:61" x14ac:dyDescent="0.3">
      <c r="A1441" t="str">
        <f>"201103B0100"</f>
        <v>201103B0100</v>
      </c>
      <c r="B1441" t="s">
        <v>2977</v>
      </c>
      <c r="C1441">
        <v>20</v>
      </c>
      <c r="D1441" t="s">
        <v>79</v>
      </c>
      <c r="E1441">
        <v>7</v>
      </c>
      <c r="F1441" t="s">
        <v>2811</v>
      </c>
      <c r="G1441">
        <v>1103</v>
      </c>
      <c r="H1441">
        <v>1</v>
      </c>
      <c r="I1441" t="s">
        <v>81</v>
      </c>
      <c r="J1441">
        <v>0</v>
      </c>
      <c r="K1441">
        <v>2</v>
      </c>
      <c r="L1441">
        <v>2</v>
      </c>
      <c r="M1441">
        <v>171</v>
      </c>
      <c r="N1441">
        <v>392</v>
      </c>
      <c r="O1441">
        <v>1</v>
      </c>
      <c r="P1441" t="s">
        <v>100</v>
      </c>
      <c r="Q1441">
        <v>40</v>
      </c>
      <c r="R1441">
        <v>81</v>
      </c>
      <c r="S1441">
        <v>20</v>
      </c>
      <c r="T1441">
        <v>2</v>
      </c>
      <c r="U1441">
        <v>9</v>
      </c>
      <c r="V1441">
        <v>5</v>
      </c>
      <c r="W1441">
        <v>3</v>
      </c>
      <c r="X1441">
        <v>26</v>
      </c>
      <c r="Y1441">
        <v>167</v>
      </c>
      <c r="Z1441">
        <v>5</v>
      </c>
      <c r="AB1441">
        <v>1</v>
      </c>
      <c r="AC1441">
        <v>0</v>
      </c>
      <c r="AD1441">
        <v>2</v>
      </c>
      <c r="AE1441">
        <v>0</v>
      </c>
      <c r="AF1441">
        <v>0</v>
      </c>
      <c r="AK1441">
        <v>2</v>
      </c>
      <c r="AL1441">
        <v>1</v>
      </c>
      <c r="AM1441">
        <v>0</v>
      </c>
      <c r="AN1441">
        <v>1</v>
      </c>
      <c r="AQ1441">
        <v>3</v>
      </c>
      <c r="AT1441">
        <v>0</v>
      </c>
      <c r="AU1441">
        <v>15</v>
      </c>
      <c r="AV1441">
        <v>393</v>
      </c>
      <c r="AW1441">
        <v>383</v>
      </c>
      <c r="AX1441">
        <v>541</v>
      </c>
      <c r="BA1441">
        <v>1</v>
      </c>
      <c r="BC1441" t="s">
        <v>2978</v>
      </c>
      <c r="BD1441" s="4">
        <v>43283.786805555559</v>
      </c>
      <c r="BE1441" s="4">
        <v>43283.790868055556</v>
      </c>
      <c r="BF1441" s="4">
        <v>43283.790868055556</v>
      </c>
      <c r="BG1441" t="s">
        <v>83</v>
      </c>
      <c r="BH1441" t="s">
        <v>84</v>
      </c>
      <c r="BI1441" t="s">
        <v>85</v>
      </c>
    </row>
    <row r="1442" spans="1:61" x14ac:dyDescent="0.3">
      <c r="A1442" t="str">
        <f>"201104B0100"</f>
        <v>201104B0100</v>
      </c>
      <c r="B1442" t="s">
        <v>2979</v>
      </c>
      <c r="C1442">
        <v>20</v>
      </c>
      <c r="D1442" t="s">
        <v>79</v>
      </c>
      <c r="E1442">
        <v>7</v>
      </c>
      <c r="F1442" t="s">
        <v>2811</v>
      </c>
      <c r="G1442">
        <v>1104</v>
      </c>
      <c r="H1442">
        <v>1</v>
      </c>
      <c r="I1442" t="s">
        <v>81</v>
      </c>
      <c r="J1442">
        <v>0</v>
      </c>
      <c r="K1442">
        <v>2</v>
      </c>
      <c r="L1442">
        <v>2</v>
      </c>
      <c r="AX1442">
        <v>431</v>
      </c>
      <c r="AZ1442" t="s">
        <v>932</v>
      </c>
      <c r="BA1442">
        <v>0</v>
      </c>
      <c r="BC1442" t="s">
        <v>2980</v>
      </c>
      <c r="BD1442" s="4">
        <v>43283.818749999999</v>
      </c>
      <c r="BE1442" s="4">
        <v>43283.820937500001</v>
      </c>
      <c r="BF1442" s="4">
        <v>43283.820937500001</v>
      </c>
      <c r="BG1442" t="s">
        <v>83</v>
      </c>
      <c r="BH1442" t="s">
        <v>84</v>
      </c>
      <c r="BI1442" t="s">
        <v>85</v>
      </c>
    </row>
    <row r="1443" spans="1:61" x14ac:dyDescent="0.3">
      <c r="A1443" t="str">
        <f>"201105B0100"</f>
        <v>201105B0100</v>
      </c>
      <c r="B1443" t="s">
        <v>2981</v>
      </c>
      <c r="C1443">
        <v>20</v>
      </c>
      <c r="D1443" t="s">
        <v>79</v>
      </c>
      <c r="E1443">
        <v>7</v>
      </c>
      <c r="F1443" t="s">
        <v>2811</v>
      </c>
      <c r="G1443">
        <v>1105</v>
      </c>
      <c r="H1443">
        <v>1</v>
      </c>
      <c r="I1443" t="s">
        <v>81</v>
      </c>
      <c r="J1443">
        <v>0</v>
      </c>
      <c r="K1443">
        <v>2</v>
      </c>
      <c r="L1443">
        <v>2</v>
      </c>
      <c r="M1443">
        <v>123</v>
      </c>
      <c r="N1443">
        <v>261</v>
      </c>
      <c r="O1443">
        <v>0</v>
      </c>
      <c r="P1443" t="s">
        <v>315</v>
      </c>
      <c r="Q1443">
        <v>55</v>
      </c>
      <c r="R1443">
        <v>44</v>
      </c>
      <c r="S1443">
        <v>37</v>
      </c>
      <c r="T1443">
        <v>3</v>
      </c>
      <c r="U1443">
        <v>3</v>
      </c>
      <c r="V1443">
        <v>3</v>
      </c>
      <c r="W1443">
        <v>4</v>
      </c>
      <c r="X1443">
        <v>2</v>
      </c>
      <c r="Y1443">
        <v>98</v>
      </c>
      <c r="Z1443">
        <v>4</v>
      </c>
      <c r="AB1443">
        <v>1</v>
      </c>
      <c r="AC1443">
        <v>0</v>
      </c>
      <c r="AD1443">
        <v>7</v>
      </c>
      <c r="AE1443">
        <v>0</v>
      </c>
      <c r="AF1443">
        <v>0</v>
      </c>
      <c r="AK1443">
        <v>2</v>
      </c>
      <c r="AL1443">
        <v>0</v>
      </c>
      <c r="AM1443">
        <v>0</v>
      </c>
      <c r="AN1443">
        <v>3</v>
      </c>
      <c r="AQ1443">
        <v>0</v>
      </c>
      <c r="AT1443">
        <v>0</v>
      </c>
      <c r="AU1443">
        <v>10</v>
      </c>
      <c r="AV1443" t="s">
        <v>315</v>
      </c>
      <c r="AW1443">
        <v>276</v>
      </c>
      <c r="AX1443">
        <v>377</v>
      </c>
      <c r="BA1443">
        <v>1</v>
      </c>
      <c r="BC1443" t="s">
        <v>2982</v>
      </c>
      <c r="BD1443" s="4">
        <v>43283.63958333333</v>
      </c>
      <c r="BE1443" s="4">
        <v>43283.644502314812</v>
      </c>
      <c r="BF1443" s="4">
        <v>43283.644502314812</v>
      </c>
      <c r="BG1443" t="s">
        <v>83</v>
      </c>
      <c r="BH1443" t="s">
        <v>84</v>
      </c>
      <c r="BI1443" t="s">
        <v>85</v>
      </c>
    </row>
    <row r="1444" spans="1:61" x14ac:dyDescent="0.3">
      <c r="A1444" t="str">
        <f>"201193B0100"</f>
        <v>201193B0100</v>
      </c>
      <c r="B1444" t="s">
        <v>2983</v>
      </c>
      <c r="C1444">
        <v>20</v>
      </c>
      <c r="D1444" t="s">
        <v>79</v>
      </c>
      <c r="E1444">
        <v>7</v>
      </c>
      <c r="F1444" t="s">
        <v>2811</v>
      </c>
      <c r="G1444">
        <v>1193</v>
      </c>
      <c r="H1444">
        <v>1</v>
      </c>
      <c r="I1444" t="s">
        <v>81</v>
      </c>
      <c r="J1444">
        <v>0</v>
      </c>
      <c r="K1444">
        <v>1</v>
      </c>
      <c r="L1444">
        <v>2</v>
      </c>
      <c r="M1444">
        <v>235</v>
      </c>
      <c r="N1444">
        <v>249</v>
      </c>
      <c r="O1444">
        <v>3</v>
      </c>
      <c r="P1444">
        <v>249</v>
      </c>
      <c r="Q1444">
        <v>1</v>
      </c>
      <c r="R1444">
        <v>14</v>
      </c>
      <c r="S1444">
        <v>19</v>
      </c>
      <c r="T1444">
        <v>6</v>
      </c>
      <c r="U1444">
        <v>13</v>
      </c>
      <c r="V1444">
        <v>12</v>
      </c>
      <c r="W1444">
        <v>1</v>
      </c>
      <c r="X1444">
        <v>3</v>
      </c>
      <c r="Y1444">
        <v>152</v>
      </c>
      <c r="Z1444">
        <v>2</v>
      </c>
      <c r="AB1444">
        <v>4</v>
      </c>
      <c r="AC1444">
        <v>0</v>
      </c>
      <c r="AD1444">
        <v>0</v>
      </c>
      <c r="AE1444">
        <v>0</v>
      </c>
      <c r="AF1444">
        <v>0</v>
      </c>
      <c r="AK1444">
        <v>6</v>
      </c>
      <c r="AL1444">
        <v>3</v>
      </c>
      <c r="AM1444">
        <v>0</v>
      </c>
      <c r="AN1444">
        <v>1</v>
      </c>
      <c r="AQ1444">
        <v>0</v>
      </c>
      <c r="AT1444">
        <v>0</v>
      </c>
      <c r="AU1444">
        <v>12</v>
      </c>
      <c r="AV1444" t="s">
        <v>100</v>
      </c>
      <c r="AW1444">
        <v>249</v>
      </c>
      <c r="AX1444">
        <v>462</v>
      </c>
      <c r="BA1444">
        <v>1</v>
      </c>
      <c r="BC1444" t="s">
        <v>2984</v>
      </c>
      <c r="BD1444" s="4">
        <v>43283.397916666669</v>
      </c>
      <c r="BE1444" s="4">
        <v>43283.401030092595</v>
      </c>
      <c r="BF1444" s="4">
        <v>43283.401030092595</v>
      </c>
      <c r="BG1444" t="s">
        <v>83</v>
      </c>
      <c r="BH1444" t="s">
        <v>84</v>
      </c>
      <c r="BI1444" t="s">
        <v>85</v>
      </c>
    </row>
    <row r="1445" spans="1:61" x14ac:dyDescent="0.3">
      <c r="A1445" t="str">
        <f>"201194B0100"</f>
        <v>201194B0100</v>
      </c>
      <c r="B1445" t="s">
        <v>2985</v>
      </c>
      <c r="C1445">
        <v>20</v>
      </c>
      <c r="D1445" t="s">
        <v>79</v>
      </c>
      <c r="E1445">
        <v>7</v>
      </c>
      <c r="F1445" t="s">
        <v>2811</v>
      </c>
      <c r="G1445">
        <v>1194</v>
      </c>
      <c r="H1445">
        <v>1</v>
      </c>
      <c r="I1445" t="s">
        <v>81</v>
      </c>
      <c r="J1445">
        <v>0</v>
      </c>
      <c r="K1445">
        <v>2</v>
      </c>
      <c r="L1445">
        <v>2</v>
      </c>
      <c r="M1445">
        <v>320</v>
      </c>
      <c r="N1445">
        <v>340</v>
      </c>
      <c r="O1445">
        <v>0</v>
      </c>
      <c r="P1445">
        <v>339</v>
      </c>
      <c r="Q1445">
        <v>8</v>
      </c>
      <c r="R1445">
        <v>12</v>
      </c>
      <c r="S1445">
        <v>31</v>
      </c>
      <c r="T1445">
        <v>1</v>
      </c>
      <c r="U1445">
        <v>19</v>
      </c>
      <c r="V1445">
        <v>8</v>
      </c>
      <c r="W1445">
        <v>5</v>
      </c>
      <c r="X1445">
        <v>0</v>
      </c>
      <c r="Y1445">
        <v>213</v>
      </c>
      <c r="Z1445">
        <v>10</v>
      </c>
      <c r="AB1445">
        <v>3</v>
      </c>
      <c r="AC1445">
        <v>1</v>
      </c>
      <c r="AD1445">
        <v>0</v>
      </c>
      <c r="AE1445">
        <v>0</v>
      </c>
      <c r="AF1445">
        <v>0</v>
      </c>
      <c r="AK1445">
        <v>5</v>
      </c>
      <c r="AL1445">
        <v>1</v>
      </c>
      <c r="AM1445">
        <v>2</v>
      </c>
      <c r="AN1445">
        <v>0</v>
      </c>
      <c r="AQ1445">
        <v>0</v>
      </c>
      <c r="AT1445">
        <v>0</v>
      </c>
      <c r="AU1445">
        <v>21</v>
      </c>
      <c r="AV1445">
        <v>340</v>
      </c>
      <c r="AW1445">
        <v>340</v>
      </c>
      <c r="AX1445">
        <v>639</v>
      </c>
      <c r="BA1445">
        <v>1</v>
      </c>
      <c r="BC1445" t="s">
        <v>2986</v>
      </c>
      <c r="BD1445" s="4">
        <v>43283.407638888886</v>
      </c>
      <c r="BE1445" s="4">
        <v>43283.422789351855</v>
      </c>
      <c r="BF1445" s="4">
        <v>43283.422789351855</v>
      </c>
      <c r="BG1445" t="s">
        <v>83</v>
      </c>
      <c r="BH1445" t="s">
        <v>84</v>
      </c>
      <c r="BI1445" t="s">
        <v>85</v>
      </c>
    </row>
    <row r="1446" spans="1:61" x14ac:dyDescent="0.3">
      <c r="A1446" t="str">
        <f>"201195B0100"</f>
        <v>201195B0100</v>
      </c>
      <c r="B1446" t="s">
        <v>2987</v>
      </c>
      <c r="C1446">
        <v>20</v>
      </c>
      <c r="D1446" t="s">
        <v>79</v>
      </c>
      <c r="E1446">
        <v>7</v>
      </c>
      <c r="F1446" t="s">
        <v>2811</v>
      </c>
      <c r="G1446">
        <v>1195</v>
      </c>
      <c r="H1446">
        <v>1</v>
      </c>
      <c r="I1446" t="s">
        <v>81</v>
      </c>
      <c r="J1446">
        <v>0</v>
      </c>
      <c r="K1446">
        <v>2</v>
      </c>
      <c r="L1446">
        <v>2</v>
      </c>
      <c r="M1446" t="s">
        <v>100</v>
      </c>
      <c r="N1446" t="s">
        <v>100</v>
      </c>
      <c r="O1446" t="s">
        <v>100</v>
      </c>
      <c r="P1446" t="s">
        <v>100</v>
      </c>
      <c r="Q1446" t="s">
        <v>100</v>
      </c>
      <c r="R1446" t="s">
        <v>100</v>
      </c>
      <c r="S1446" t="s">
        <v>100</v>
      </c>
      <c r="T1446" t="s">
        <v>100</v>
      </c>
      <c r="U1446" t="s">
        <v>100</v>
      </c>
      <c r="V1446" t="s">
        <v>100</v>
      </c>
      <c r="W1446" t="s">
        <v>100</v>
      </c>
      <c r="X1446" t="s">
        <v>100</v>
      </c>
      <c r="Y1446" t="s">
        <v>100</v>
      </c>
      <c r="Z1446" t="s">
        <v>100</v>
      </c>
      <c r="AB1446" t="s">
        <v>100</v>
      </c>
      <c r="AC1446" t="s">
        <v>100</v>
      </c>
      <c r="AD1446" t="s">
        <v>100</v>
      </c>
      <c r="AE1446" t="s">
        <v>100</v>
      </c>
      <c r="AF1446" t="s">
        <v>100</v>
      </c>
      <c r="AK1446" t="s">
        <v>100</v>
      </c>
      <c r="AL1446" t="s">
        <v>100</v>
      </c>
      <c r="AM1446" t="s">
        <v>100</v>
      </c>
      <c r="AN1446" t="s">
        <v>100</v>
      </c>
      <c r="AQ1446" t="s">
        <v>100</v>
      </c>
      <c r="AT1446" t="s">
        <v>100</v>
      </c>
      <c r="AU1446" t="s">
        <v>100</v>
      </c>
      <c r="AX1446">
        <v>425</v>
      </c>
      <c r="AZ1446" t="s">
        <v>794</v>
      </c>
      <c r="BA1446">
        <v>0</v>
      </c>
      <c r="BC1446" t="s">
        <v>2988</v>
      </c>
      <c r="BD1446" s="4">
        <v>43283.414583333331</v>
      </c>
      <c r="BE1446" s="4">
        <v>43283.417534722219</v>
      </c>
      <c r="BF1446" s="4">
        <v>43283.417534722219</v>
      </c>
      <c r="BG1446" t="s">
        <v>83</v>
      </c>
      <c r="BH1446" t="s">
        <v>84</v>
      </c>
      <c r="BI1446" t="s">
        <v>85</v>
      </c>
    </row>
    <row r="1447" spans="1:61" x14ac:dyDescent="0.3">
      <c r="A1447" t="str">
        <f>"201195C0100"</f>
        <v>201195C0100</v>
      </c>
      <c r="B1447" t="s">
        <v>2989</v>
      </c>
      <c r="C1447">
        <v>20</v>
      </c>
      <c r="D1447" t="s">
        <v>79</v>
      </c>
      <c r="E1447">
        <v>7</v>
      </c>
      <c r="F1447" t="s">
        <v>2811</v>
      </c>
      <c r="G1447">
        <v>1195</v>
      </c>
      <c r="H1447">
        <v>1</v>
      </c>
      <c r="I1447" t="s">
        <v>89</v>
      </c>
      <c r="J1447">
        <v>0</v>
      </c>
      <c r="K1447">
        <v>2</v>
      </c>
      <c r="L1447">
        <v>2</v>
      </c>
      <c r="M1447">
        <v>179</v>
      </c>
      <c r="N1447">
        <v>267</v>
      </c>
      <c r="O1447">
        <v>3</v>
      </c>
      <c r="P1447">
        <v>267</v>
      </c>
      <c r="Q1447">
        <v>4</v>
      </c>
      <c r="R1447">
        <v>7</v>
      </c>
      <c r="S1447">
        <v>17</v>
      </c>
      <c r="T1447">
        <v>4</v>
      </c>
      <c r="U1447">
        <v>15</v>
      </c>
      <c r="V1447">
        <v>2</v>
      </c>
      <c r="W1447">
        <v>2</v>
      </c>
      <c r="X1447">
        <v>0</v>
      </c>
      <c r="Y1447">
        <v>159</v>
      </c>
      <c r="Z1447">
        <v>1</v>
      </c>
      <c r="AB1447">
        <v>2</v>
      </c>
      <c r="AC1447">
        <v>0</v>
      </c>
      <c r="AD1447">
        <v>0</v>
      </c>
      <c r="AE1447">
        <v>0</v>
      </c>
      <c r="AF1447">
        <v>0</v>
      </c>
      <c r="AK1447">
        <v>3</v>
      </c>
      <c r="AL1447">
        <v>2</v>
      </c>
      <c r="AM1447" t="s">
        <v>315</v>
      </c>
      <c r="AN1447">
        <v>3</v>
      </c>
      <c r="AQ1447">
        <v>0</v>
      </c>
      <c r="AT1447">
        <v>0</v>
      </c>
      <c r="AU1447">
        <v>45</v>
      </c>
      <c r="AV1447">
        <v>266</v>
      </c>
      <c r="AW1447">
        <v>266</v>
      </c>
      <c r="AX1447">
        <v>424</v>
      </c>
      <c r="AZ1447" t="s">
        <v>101</v>
      </c>
      <c r="BA1447">
        <v>1</v>
      </c>
      <c r="BC1447" t="s">
        <v>2990</v>
      </c>
      <c r="BD1447" s="4">
        <v>43283.427083333336</v>
      </c>
      <c r="BE1447" s="4">
        <v>43283.446030092593</v>
      </c>
      <c r="BF1447" s="4">
        <v>43283.446030092593</v>
      </c>
      <c r="BG1447" t="s">
        <v>83</v>
      </c>
      <c r="BH1447" t="s">
        <v>84</v>
      </c>
      <c r="BI1447" t="s">
        <v>85</v>
      </c>
    </row>
    <row r="1448" spans="1:61" x14ac:dyDescent="0.3">
      <c r="A1448" t="str">
        <f>"201196B0100"</f>
        <v>201196B0100</v>
      </c>
      <c r="B1448" t="s">
        <v>2991</v>
      </c>
      <c r="C1448">
        <v>20</v>
      </c>
      <c r="D1448" t="s">
        <v>79</v>
      </c>
      <c r="E1448">
        <v>7</v>
      </c>
      <c r="F1448" t="s">
        <v>2811</v>
      </c>
      <c r="G1448">
        <v>1196</v>
      </c>
      <c r="H1448">
        <v>1</v>
      </c>
      <c r="I1448" t="s">
        <v>81</v>
      </c>
      <c r="J1448">
        <v>0</v>
      </c>
      <c r="K1448">
        <v>2</v>
      </c>
      <c r="L1448">
        <v>2</v>
      </c>
      <c r="M1448">
        <v>138</v>
      </c>
      <c r="N1448">
        <v>118</v>
      </c>
      <c r="O1448">
        <v>2</v>
      </c>
      <c r="P1448">
        <v>118</v>
      </c>
      <c r="Q1448">
        <v>4</v>
      </c>
      <c r="R1448">
        <v>18</v>
      </c>
      <c r="S1448">
        <v>5</v>
      </c>
      <c r="T1448">
        <v>3</v>
      </c>
      <c r="U1448">
        <v>14</v>
      </c>
      <c r="V1448">
        <v>5</v>
      </c>
      <c r="W1448">
        <v>4</v>
      </c>
      <c r="X1448">
        <v>8</v>
      </c>
      <c r="Y1448">
        <v>38</v>
      </c>
      <c r="Z1448">
        <v>1</v>
      </c>
      <c r="AB1448">
        <v>1</v>
      </c>
      <c r="AC1448">
        <v>1</v>
      </c>
      <c r="AD1448">
        <v>0</v>
      </c>
      <c r="AE1448">
        <v>0</v>
      </c>
      <c r="AF1448">
        <v>0</v>
      </c>
      <c r="AK1448">
        <v>0</v>
      </c>
      <c r="AL1448">
        <v>0</v>
      </c>
      <c r="AM1448">
        <v>0</v>
      </c>
      <c r="AN1448">
        <v>1</v>
      </c>
      <c r="AQ1448">
        <v>0</v>
      </c>
      <c r="AT1448">
        <v>2</v>
      </c>
      <c r="AU1448">
        <v>14</v>
      </c>
      <c r="AV1448">
        <v>118</v>
      </c>
      <c r="AW1448">
        <v>119</v>
      </c>
      <c r="AX1448">
        <v>234</v>
      </c>
      <c r="BA1448">
        <v>1</v>
      </c>
      <c r="BC1448" t="s">
        <v>2992</v>
      </c>
      <c r="BD1448" s="4">
        <v>43283.386111111111</v>
      </c>
      <c r="BE1448" s="4">
        <v>43283.396898148145</v>
      </c>
      <c r="BF1448" s="4">
        <v>43283.396898148145</v>
      </c>
      <c r="BG1448" t="s">
        <v>83</v>
      </c>
      <c r="BH1448" t="s">
        <v>84</v>
      </c>
      <c r="BI1448" t="s">
        <v>85</v>
      </c>
    </row>
    <row r="1449" spans="1:61" x14ac:dyDescent="0.3">
      <c r="A1449" t="str">
        <f>"201197B0100"</f>
        <v>201197B0100</v>
      </c>
      <c r="B1449" t="s">
        <v>2993</v>
      </c>
      <c r="C1449">
        <v>20</v>
      </c>
      <c r="D1449" t="s">
        <v>79</v>
      </c>
      <c r="E1449">
        <v>7</v>
      </c>
      <c r="F1449" t="s">
        <v>2811</v>
      </c>
      <c r="G1449">
        <v>1197</v>
      </c>
      <c r="H1449">
        <v>1</v>
      </c>
      <c r="I1449" t="s">
        <v>81</v>
      </c>
      <c r="J1449">
        <v>0</v>
      </c>
      <c r="K1449">
        <v>2</v>
      </c>
      <c r="L1449">
        <v>2</v>
      </c>
      <c r="M1449">
        <v>84</v>
      </c>
      <c r="N1449">
        <v>83</v>
      </c>
      <c r="O1449">
        <v>2</v>
      </c>
      <c r="P1449">
        <v>83</v>
      </c>
      <c r="Q1449">
        <v>3</v>
      </c>
      <c r="R1449">
        <v>10</v>
      </c>
      <c r="S1449">
        <v>8</v>
      </c>
      <c r="T1449">
        <v>0</v>
      </c>
      <c r="U1449">
        <v>4</v>
      </c>
      <c r="V1449">
        <v>2</v>
      </c>
      <c r="W1449">
        <v>2</v>
      </c>
      <c r="X1449">
        <v>3</v>
      </c>
      <c r="Y1449">
        <v>44</v>
      </c>
      <c r="Z1449">
        <v>2</v>
      </c>
      <c r="AB1449">
        <v>0</v>
      </c>
      <c r="AC1449">
        <v>0</v>
      </c>
      <c r="AD1449">
        <v>0</v>
      </c>
      <c r="AE1449">
        <v>0</v>
      </c>
      <c r="AF1449">
        <v>0</v>
      </c>
      <c r="AK1449">
        <v>0</v>
      </c>
      <c r="AL1449">
        <v>2</v>
      </c>
      <c r="AM1449">
        <v>0</v>
      </c>
      <c r="AN1449">
        <v>0</v>
      </c>
      <c r="AQ1449">
        <v>0</v>
      </c>
      <c r="AT1449">
        <v>0</v>
      </c>
      <c r="AU1449">
        <v>3</v>
      </c>
      <c r="AV1449">
        <v>83</v>
      </c>
      <c r="AW1449">
        <v>83</v>
      </c>
      <c r="AX1449">
        <v>145</v>
      </c>
      <c r="BA1449">
        <v>1</v>
      </c>
      <c r="BC1449" t="s">
        <v>2994</v>
      </c>
      <c r="BD1449" s="4">
        <v>43283.38958333333</v>
      </c>
      <c r="BE1449" s="4">
        <v>43283.397083333337</v>
      </c>
      <c r="BF1449" s="4">
        <v>43283.397083333337</v>
      </c>
      <c r="BG1449" t="s">
        <v>83</v>
      </c>
      <c r="BH1449" t="s">
        <v>84</v>
      </c>
      <c r="BI1449" t="s">
        <v>548</v>
      </c>
    </row>
    <row r="1450" spans="1:61" x14ac:dyDescent="0.3">
      <c r="A1450" t="str">
        <f>"201198B0100"</f>
        <v>201198B0100</v>
      </c>
      <c r="B1450" t="s">
        <v>2995</v>
      </c>
      <c r="C1450">
        <v>20</v>
      </c>
      <c r="D1450" t="s">
        <v>79</v>
      </c>
      <c r="E1450">
        <v>7</v>
      </c>
      <c r="F1450" t="s">
        <v>2811</v>
      </c>
      <c r="G1450">
        <v>1198</v>
      </c>
      <c r="H1450">
        <v>1</v>
      </c>
      <c r="I1450" t="s">
        <v>81</v>
      </c>
      <c r="J1450">
        <v>0</v>
      </c>
      <c r="K1450">
        <v>2</v>
      </c>
      <c r="L1450">
        <v>2</v>
      </c>
      <c r="M1450">
        <v>288</v>
      </c>
      <c r="N1450" t="s">
        <v>100</v>
      </c>
      <c r="O1450" t="s">
        <v>100</v>
      </c>
      <c r="P1450">
        <v>312</v>
      </c>
      <c r="Q1450">
        <v>7</v>
      </c>
      <c r="R1450">
        <v>9</v>
      </c>
      <c r="S1450">
        <v>38</v>
      </c>
      <c r="T1450">
        <v>6</v>
      </c>
      <c r="U1450">
        <v>15</v>
      </c>
      <c r="V1450">
        <v>7</v>
      </c>
      <c r="W1450">
        <v>3</v>
      </c>
      <c r="X1450">
        <v>7</v>
      </c>
      <c r="Y1450">
        <v>172</v>
      </c>
      <c r="Z1450">
        <v>9</v>
      </c>
      <c r="AB1450">
        <v>2</v>
      </c>
      <c r="AC1450">
        <v>0</v>
      </c>
      <c r="AD1450">
        <v>0</v>
      </c>
      <c r="AE1450">
        <v>0</v>
      </c>
      <c r="AF1450">
        <v>0</v>
      </c>
      <c r="AK1450">
        <v>7</v>
      </c>
      <c r="AL1450">
        <v>6</v>
      </c>
      <c r="AM1450">
        <v>0</v>
      </c>
      <c r="AN1450">
        <v>0</v>
      </c>
      <c r="AQ1450">
        <v>0</v>
      </c>
      <c r="AT1450">
        <v>0</v>
      </c>
      <c r="AU1450">
        <v>25</v>
      </c>
      <c r="AV1450" t="s">
        <v>100</v>
      </c>
      <c r="AW1450">
        <v>313</v>
      </c>
      <c r="AX1450">
        <v>578</v>
      </c>
      <c r="BA1450">
        <v>1</v>
      </c>
      <c r="BC1450" t="s">
        <v>2996</v>
      </c>
      <c r="BD1450" s="4">
        <v>43283.395833333336</v>
      </c>
      <c r="BE1450" s="4">
        <v>43283.402916666666</v>
      </c>
      <c r="BF1450" s="4">
        <v>43283.402916666666</v>
      </c>
      <c r="BG1450" t="s">
        <v>83</v>
      </c>
      <c r="BH1450" t="s">
        <v>84</v>
      </c>
      <c r="BI1450" t="s">
        <v>85</v>
      </c>
    </row>
    <row r="1451" spans="1:61" x14ac:dyDescent="0.3">
      <c r="A1451" t="str">
        <f>"201199B0100"</f>
        <v>201199B0100</v>
      </c>
      <c r="B1451" t="s">
        <v>2997</v>
      </c>
      <c r="C1451">
        <v>20</v>
      </c>
      <c r="D1451" t="s">
        <v>79</v>
      </c>
      <c r="E1451">
        <v>7</v>
      </c>
      <c r="F1451" t="s">
        <v>2811</v>
      </c>
      <c r="G1451">
        <v>1199</v>
      </c>
      <c r="H1451">
        <v>1</v>
      </c>
      <c r="I1451" t="s">
        <v>81</v>
      </c>
      <c r="J1451">
        <v>0</v>
      </c>
      <c r="K1451">
        <v>2</v>
      </c>
      <c r="L1451">
        <v>2</v>
      </c>
      <c r="AX1451">
        <v>377</v>
      </c>
      <c r="AZ1451" t="s">
        <v>932</v>
      </c>
      <c r="BA1451">
        <v>0</v>
      </c>
      <c r="BC1451" t="s">
        <v>2998</v>
      </c>
      <c r="BD1451" s="4">
        <v>43283.818055555559</v>
      </c>
      <c r="BE1451" s="4">
        <v>43283.819803240738</v>
      </c>
      <c r="BF1451" s="4">
        <v>43283.819803240738</v>
      </c>
      <c r="BG1451" t="s">
        <v>83</v>
      </c>
      <c r="BH1451" t="s">
        <v>84</v>
      </c>
      <c r="BI1451" t="s">
        <v>85</v>
      </c>
    </row>
    <row r="1452" spans="1:61" x14ac:dyDescent="0.3">
      <c r="A1452" t="str">
        <f>"201199C0100"</f>
        <v>201199C0100</v>
      </c>
      <c r="B1452" t="s">
        <v>2999</v>
      </c>
      <c r="C1452">
        <v>20</v>
      </c>
      <c r="D1452" t="s">
        <v>79</v>
      </c>
      <c r="E1452">
        <v>7</v>
      </c>
      <c r="F1452" t="s">
        <v>2811</v>
      </c>
      <c r="G1452">
        <v>1199</v>
      </c>
      <c r="H1452">
        <v>1</v>
      </c>
      <c r="I1452" t="s">
        <v>89</v>
      </c>
      <c r="J1452">
        <v>0</v>
      </c>
      <c r="K1452">
        <v>2</v>
      </c>
      <c r="L1452">
        <v>2</v>
      </c>
      <c r="M1452">
        <v>171</v>
      </c>
      <c r="N1452">
        <v>228</v>
      </c>
      <c r="O1452">
        <v>1</v>
      </c>
      <c r="P1452">
        <v>228</v>
      </c>
      <c r="Q1452">
        <v>3</v>
      </c>
      <c r="R1452">
        <v>0</v>
      </c>
      <c r="S1452">
        <v>8</v>
      </c>
      <c r="T1452">
        <v>1</v>
      </c>
      <c r="U1452">
        <v>6</v>
      </c>
      <c r="V1452">
        <v>3</v>
      </c>
      <c r="W1452">
        <v>1</v>
      </c>
      <c r="X1452">
        <v>8</v>
      </c>
      <c r="Y1452">
        <v>165</v>
      </c>
      <c r="Z1452">
        <v>3</v>
      </c>
      <c r="AB1452">
        <v>1</v>
      </c>
      <c r="AC1452">
        <v>0</v>
      </c>
      <c r="AD1452">
        <v>0</v>
      </c>
      <c r="AE1452">
        <v>0</v>
      </c>
      <c r="AF1452">
        <v>0</v>
      </c>
      <c r="AK1452">
        <v>3</v>
      </c>
      <c r="AL1452">
        <v>2</v>
      </c>
      <c r="AM1452">
        <v>1</v>
      </c>
      <c r="AN1452">
        <v>1</v>
      </c>
      <c r="AQ1452">
        <v>0</v>
      </c>
      <c r="AT1452">
        <v>0</v>
      </c>
      <c r="AU1452">
        <v>22</v>
      </c>
      <c r="AV1452">
        <v>228</v>
      </c>
      <c r="AW1452">
        <v>228</v>
      </c>
      <c r="AX1452">
        <v>376</v>
      </c>
      <c r="BA1452">
        <v>1</v>
      </c>
      <c r="BC1452" t="s">
        <v>3000</v>
      </c>
      <c r="BD1452" s="4">
        <v>43283.415277777778</v>
      </c>
      <c r="BE1452" s="4">
        <v>43283.421412037038</v>
      </c>
      <c r="BF1452" s="4">
        <v>43283.421412037038</v>
      </c>
      <c r="BG1452" t="s">
        <v>83</v>
      </c>
      <c r="BH1452" t="s">
        <v>84</v>
      </c>
      <c r="BI1452" t="s">
        <v>85</v>
      </c>
    </row>
    <row r="1453" spans="1:61" x14ac:dyDescent="0.3">
      <c r="A1453" t="str">
        <f>"201199E0100"</f>
        <v>201199E0100</v>
      </c>
      <c r="B1453" s="2" t="s">
        <v>3001</v>
      </c>
      <c r="C1453">
        <v>20</v>
      </c>
      <c r="D1453" t="s">
        <v>79</v>
      </c>
      <c r="E1453">
        <v>7</v>
      </c>
      <c r="F1453" t="s">
        <v>2811</v>
      </c>
      <c r="G1453">
        <v>1199</v>
      </c>
      <c r="H1453">
        <v>1</v>
      </c>
      <c r="I1453" t="s">
        <v>145</v>
      </c>
      <c r="J1453">
        <v>0</v>
      </c>
      <c r="K1453">
        <v>2</v>
      </c>
      <c r="L1453">
        <v>2</v>
      </c>
      <c r="M1453">
        <v>171</v>
      </c>
      <c r="N1453">
        <v>205</v>
      </c>
      <c r="O1453">
        <v>4</v>
      </c>
      <c r="P1453">
        <v>205</v>
      </c>
      <c r="Q1453">
        <v>4</v>
      </c>
      <c r="R1453">
        <v>9</v>
      </c>
      <c r="S1453">
        <v>17</v>
      </c>
      <c r="T1453">
        <v>3</v>
      </c>
      <c r="U1453">
        <v>15</v>
      </c>
      <c r="V1453">
        <v>6</v>
      </c>
      <c r="W1453">
        <v>5</v>
      </c>
      <c r="X1453">
        <v>2</v>
      </c>
      <c r="Y1453">
        <v>99</v>
      </c>
      <c r="Z1453">
        <v>8</v>
      </c>
      <c r="AB1453">
        <v>5</v>
      </c>
      <c r="AC1453">
        <v>0</v>
      </c>
      <c r="AD1453">
        <v>0</v>
      </c>
      <c r="AE1453">
        <v>0</v>
      </c>
      <c r="AF1453">
        <v>0</v>
      </c>
      <c r="AK1453">
        <v>9</v>
      </c>
      <c r="AL1453">
        <v>2</v>
      </c>
      <c r="AM1453">
        <v>1</v>
      </c>
      <c r="AN1453">
        <v>2</v>
      </c>
      <c r="AQ1453">
        <v>0</v>
      </c>
      <c r="AT1453">
        <v>0</v>
      </c>
      <c r="AU1453">
        <v>18</v>
      </c>
      <c r="AV1453">
        <v>205</v>
      </c>
      <c r="AW1453">
        <v>205</v>
      </c>
      <c r="AX1453">
        <v>354</v>
      </c>
      <c r="BA1453">
        <v>1</v>
      </c>
      <c r="BC1453" t="s">
        <v>3002</v>
      </c>
      <c r="BD1453" s="4">
        <v>43283.419444444444</v>
      </c>
      <c r="BE1453" s="4">
        <v>43283.430347222224</v>
      </c>
      <c r="BF1453" s="4">
        <v>43283.430347222224</v>
      </c>
      <c r="BG1453" t="s">
        <v>83</v>
      </c>
      <c r="BH1453" t="s">
        <v>84</v>
      </c>
      <c r="BI1453" t="s">
        <v>85</v>
      </c>
    </row>
    <row r="1454" spans="1:61" x14ac:dyDescent="0.3">
      <c r="A1454" t="str">
        <f>"201200B0100"</f>
        <v>201200B0100</v>
      </c>
      <c r="B1454" t="s">
        <v>3003</v>
      </c>
      <c r="C1454">
        <v>20</v>
      </c>
      <c r="D1454" t="s">
        <v>79</v>
      </c>
      <c r="E1454">
        <v>7</v>
      </c>
      <c r="F1454" t="s">
        <v>2811</v>
      </c>
      <c r="G1454">
        <v>1200</v>
      </c>
      <c r="H1454">
        <v>1</v>
      </c>
      <c r="I1454" t="s">
        <v>81</v>
      </c>
      <c r="J1454">
        <v>0</v>
      </c>
      <c r="K1454">
        <v>2</v>
      </c>
      <c r="L1454">
        <v>2</v>
      </c>
      <c r="M1454">
        <v>231</v>
      </c>
      <c r="N1454">
        <v>500</v>
      </c>
      <c r="O1454">
        <v>231</v>
      </c>
      <c r="P1454">
        <v>269</v>
      </c>
      <c r="Q1454">
        <v>2</v>
      </c>
      <c r="R1454">
        <v>9</v>
      </c>
      <c r="S1454">
        <v>27</v>
      </c>
      <c r="T1454">
        <v>0</v>
      </c>
      <c r="U1454">
        <v>12</v>
      </c>
      <c r="V1454">
        <v>2</v>
      </c>
      <c r="W1454">
        <v>2</v>
      </c>
      <c r="X1454">
        <v>4</v>
      </c>
      <c r="Y1454">
        <v>190</v>
      </c>
      <c r="Z1454">
        <v>8</v>
      </c>
      <c r="AB1454">
        <v>1</v>
      </c>
      <c r="AC1454">
        <v>0</v>
      </c>
      <c r="AD1454">
        <v>1</v>
      </c>
      <c r="AE1454">
        <v>0</v>
      </c>
      <c r="AF1454">
        <v>0</v>
      </c>
      <c r="AK1454">
        <v>1</v>
      </c>
      <c r="AL1454">
        <v>0</v>
      </c>
      <c r="AM1454">
        <v>0</v>
      </c>
      <c r="AN1454">
        <v>0</v>
      </c>
      <c r="AQ1454">
        <v>0</v>
      </c>
      <c r="AT1454">
        <v>0</v>
      </c>
      <c r="AU1454">
        <v>10</v>
      </c>
      <c r="AV1454">
        <v>269</v>
      </c>
      <c r="AW1454">
        <v>269</v>
      </c>
      <c r="AX1454">
        <v>524</v>
      </c>
      <c r="BA1454">
        <v>1</v>
      </c>
      <c r="BC1454" t="s">
        <v>3004</v>
      </c>
      <c r="BD1454" s="4">
        <v>43283.4</v>
      </c>
      <c r="BE1454" s="4">
        <v>43283.404965277776</v>
      </c>
      <c r="BF1454" s="4">
        <v>43283.404965277776</v>
      </c>
      <c r="BG1454" t="s">
        <v>83</v>
      </c>
      <c r="BH1454" t="s">
        <v>84</v>
      </c>
      <c r="BI1454" t="s">
        <v>85</v>
      </c>
    </row>
    <row r="1455" spans="1:61" x14ac:dyDescent="0.3">
      <c r="A1455" t="str">
        <f>"201201B0100"</f>
        <v>201201B0100</v>
      </c>
      <c r="B1455" t="s">
        <v>3005</v>
      </c>
      <c r="C1455">
        <v>20</v>
      </c>
      <c r="D1455" t="s">
        <v>79</v>
      </c>
      <c r="E1455">
        <v>7</v>
      </c>
      <c r="F1455" t="s">
        <v>2811</v>
      </c>
      <c r="G1455">
        <v>1201</v>
      </c>
      <c r="H1455">
        <v>1</v>
      </c>
      <c r="I1455" t="s">
        <v>81</v>
      </c>
      <c r="J1455">
        <v>0</v>
      </c>
      <c r="K1455">
        <v>2</v>
      </c>
      <c r="L1455">
        <v>2</v>
      </c>
      <c r="M1455">
        <v>327</v>
      </c>
      <c r="N1455">
        <v>335</v>
      </c>
      <c r="O1455">
        <v>1</v>
      </c>
      <c r="P1455">
        <v>335</v>
      </c>
      <c r="Q1455">
        <v>4</v>
      </c>
      <c r="R1455">
        <v>11</v>
      </c>
      <c r="S1455">
        <v>18</v>
      </c>
      <c r="T1455">
        <v>2</v>
      </c>
      <c r="U1455">
        <v>7</v>
      </c>
      <c r="V1455">
        <v>6</v>
      </c>
      <c r="W1455">
        <v>5</v>
      </c>
      <c r="X1455">
        <v>7</v>
      </c>
      <c r="Y1455">
        <v>238</v>
      </c>
      <c r="Z1455">
        <v>11</v>
      </c>
      <c r="AB1455">
        <v>4</v>
      </c>
      <c r="AC1455">
        <v>0</v>
      </c>
      <c r="AD1455">
        <v>0</v>
      </c>
      <c r="AE1455">
        <v>0</v>
      </c>
      <c r="AF1455">
        <v>0</v>
      </c>
      <c r="AK1455">
        <v>3</v>
      </c>
      <c r="AL1455">
        <v>1</v>
      </c>
      <c r="AM1455">
        <v>0</v>
      </c>
      <c r="AN1455">
        <v>0</v>
      </c>
      <c r="AQ1455">
        <v>0</v>
      </c>
      <c r="AT1455">
        <v>0</v>
      </c>
      <c r="AU1455">
        <v>18</v>
      </c>
      <c r="AV1455">
        <v>335</v>
      </c>
      <c r="AW1455">
        <v>335</v>
      </c>
      <c r="AX1455">
        <v>640</v>
      </c>
      <c r="BA1455">
        <v>1</v>
      </c>
      <c r="BC1455" t="s">
        <v>3006</v>
      </c>
      <c r="BD1455" s="4">
        <v>43283.394444444442</v>
      </c>
      <c r="BE1455" s="4">
        <v>43283.420208333337</v>
      </c>
      <c r="BF1455" s="4">
        <v>43283.420208333337</v>
      </c>
      <c r="BG1455" t="s">
        <v>83</v>
      </c>
      <c r="BH1455" t="s">
        <v>84</v>
      </c>
      <c r="BI1455" t="s">
        <v>85</v>
      </c>
    </row>
    <row r="1456" spans="1:61" x14ac:dyDescent="0.3">
      <c r="A1456" t="str">
        <f>"201202B0100"</f>
        <v>201202B0100</v>
      </c>
      <c r="B1456" t="s">
        <v>3007</v>
      </c>
      <c r="C1456">
        <v>20</v>
      </c>
      <c r="D1456" t="s">
        <v>79</v>
      </c>
      <c r="E1456">
        <v>7</v>
      </c>
      <c r="F1456" t="s">
        <v>2811</v>
      </c>
      <c r="G1456">
        <v>1202</v>
      </c>
      <c r="H1456">
        <v>1</v>
      </c>
      <c r="I1456" t="s">
        <v>81</v>
      </c>
      <c r="J1456">
        <v>0</v>
      </c>
      <c r="K1456">
        <v>2</v>
      </c>
      <c r="L1456">
        <v>2</v>
      </c>
      <c r="M1456">
        <v>327</v>
      </c>
      <c r="N1456">
        <v>366</v>
      </c>
      <c r="O1456">
        <v>0</v>
      </c>
      <c r="P1456">
        <v>366</v>
      </c>
      <c r="Q1456">
        <v>3</v>
      </c>
      <c r="R1456">
        <v>16</v>
      </c>
      <c r="S1456">
        <v>56</v>
      </c>
      <c r="T1456">
        <v>4</v>
      </c>
      <c r="U1456">
        <v>11</v>
      </c>
      <c r="V1456">
        <v>2</v>
      </c>
      <c r="W1456">
        <v>8</v>
      </c>
      <c r="X1456">
        <v>6</v>
      </c>
      <c r="Y1456">
        <v>201</v>
      </c>
      <c r="Z1456">
        <v>7</v>
      </c>
      <c r="AB1456">
        <v>2</v>
      </c>
      <c r="AC1456">
        <v>0</v>
      </c>
      <c r="AD1456">
        <v>0</v>
      </c>
      <c r="AE1456">
        <v>0</v>
      </c>
      <c r="AF1456">
        <v>0</v>
      </c>
      <c r="AK1456">
        <v>2</v>
      </c>
      <c r="AL1456">
        <v>0</v>
      </c>
      <c r="AM1456">
        <v>1</v>
      </c>
      <c r="AN1456">
        <v>2</v>
      </c>
      <c r="AQ1456">
        <v>0</v>
      </c>
      <c r="AT1456">
        <v>1</v>
      </c>
      <c r="AU1456">
        <v>44</v>
      </c>
      <c r="AV1456">
        <v>366</v>
      </c>
      <c r="AW1456">
        <v>366</v>
      </c>
      <c r="AX1456">
        <v>671</v>
      </c>
      <c r="BA1456">
        <v>1</v>
      </c>
      <c r="BC1456" t="s">
        <v>3008</v>
      </c>
      <c r="BD1456" s="4">
        <v>43283.613194444442</v>
      </c>
      <c r="BE1456" s="4">
        <v>43283.62259259259</v>
      </c>
      <c r="BF1456" s="4">
        <v>43283.62259259259</v>
      </c>
      <c r="BG1456" t="s">
        <v>83</v>
      </c>
      <c r="BH1456" t="s">
        <v>84</v>
      </c>
      <c r="BI1456" t="s">
        <v>85</v>
      </c>
    </row>
    <row r="1457" spans="1:61" x14ac:dyDescent="0.3">
      <c r="A1457" t="str">
        <f>"201203B0100"</f>
        <v>201203B0100</v>
      </c>
      <c r="B1457" t="s">
        <v>3009</v>
      </c>
      <c r="C1457">
        <v>20</v>
      </c>
      <c r="D1457" t="s">
        <v>79</v>
      </c>
      <c r="E1457">
        <v>7</v>
      </c>
      <c r="F1457" t="s">
        <v>2811</v>
      </c>
      <c r="G1457">
        <v>1203</v>
      </c>
      <c r="H1457">
        <v>1</v>
      </c>
      <c r="I1457" t="s">
        <v>81</v>
      </c>
      <c r="J1457">
        <v>0</v>
      </c>
      <c r="K1457">
        <v>2</v>
      </c>
      <c r="L1457">
        <v>2</v>
      </c>
      <c r="M1457">
        <v>220</v>
      </c>
      <c r="N1457">
        <v>249</v>
      </c>
      <c r="O1457">
        <v>2</v>
      </c>
      <c r="P1457">
        <v>249</v>
      </c>
      <c r="Q1457">
        <v>10</v>
      </c>
      <c r="R1457">
        <v>57</v>
      </c>
      <c r="S1457">
        <v>22</v>
      </c>
      <c r="T1457">
        <v>3</v>
      </c>
      <c r="U1457">
        <v>5</v>
      </c>
      <c r="V1457">
        <v>5</v>
      </c>
      <c r="W1457">
        <v>9</v>
      </c>
      <c r="X1457">
        <v>6</v>
      </c>
      <c r="Y1457">
        <v>102</v>
      </c>
      <c r="Z1457">
        <v>3</v>
      </c>
      <c r="AB1457">
        <v>0</v>
      </c>
      <c r="AC1457">
        <v>0</v>
      </c>
      <c r="AD1457">
        <v>0</v>
      </c>
      <c r="AE1457">
        <v>0</v>
      </c>
      <c r="AF1457">
        <v>0</v>
      </c>
      <c r="AK1457">
        <v>2</v>
      </c>
      <c r="AL1457">
        <v>1</v>
      </c>
      <c r="AM1457">
        <v>0</v>
      </c>
      <c r="AN1457">
        <v>1</v>
      </c>
      <c r="AQ1457">
        <v>0</v>
      </c>
      <c r="AT1457">
        <v>0</v>
      </c>
      <c r="AU1457">
        <v>23</v>
      </c>
      <c r="AV1457">
        <v>249</v>
      </c>
      <c r="AW1457">
        <v>249</v>
      </c>
      <c r="AX1457">
        <v>447</v>
      </c>
      <c r="BA1457">
        <v>1</v>
      </c>
      <c r="BC1457" t="s">
        <v>3010</v>
      </c>
      <c r="BD1457" s="4">
        <v>43283.390972222223</v>
      </c>
      <c r="BE1457" s="4">
        <v>43283.396932870368</v>
      </c>
      <c r="BF1457" s="4">
        <v>43283.396932870368</v>
      </c>
      <c r="BG1457" t="s">
        <v>83</v>
      </c>
      <c r="BH1457" t="s">
        <v>84</v>
      </c>
      <c r="BI1457" t="s">
        <v>85</v>
      </c>
    </row>
    <row r="1458" spans="1:61" x14ac:dyDescent="0.3">
      <c r="A1458" t="str">
        <f>"201284B0100"</f>
        <v>201284B0100</v>
      </c>
      <c r="B1458" t="s">
        <v>3011</v>
      </c>
      <c r="C1458">
        <v>20</v>
      </c>
      <c r="D1458" t="s">
        <v>79</v>
      </c>
      <c r="E1458">
        <v>7</v>
      </c>
      <c r="F1458" t="s">
        <v>2811</v>
      </c>
      <c r="G1458">
        <v>1284</v>
      </c>
      <c r="H1458">
        <v>1</v>
      </c>
      <c r="I1458" t="s">
        <v>81</v>
      </c>
      <c r="J1458">
        <v>0</v>
      </c>
      <c r="K1458">
        <v>2</v>
      </c>
      <c r="L1458">
        <v>2</v>
      </c>
      <c r="M1458">
        <v>239</v>
      </c>
      <c r="N1458">
        <v>318</v>
      </c>
      <c r="O1458">
        <v>0</v>
      </c>
      <c r="P1458">
        <v>318</v>
      </c>
      <c r="Q1458">
        <v>5</v>
      </c>
      <c r="R1458">
        <v>73</v>
      </c>
      <c r="S1458">
        <v>28</v>
      </c>
      <c r="T1458">
        <v>2</v>
      </c>
      <c r="U1458">
        <v>13</v>
      </c>
      <c r="V1458">
        <v>1</v>
      </c>
      <c r="W1458">
        <v>1</v>
      </c>
      <c r="X1458">
        <v>3</v>
      </c>
      <c r="Y1458">
        <v>126</v>
      </c>
      <c r="Z1458">
        <v>36</v>
      </c>
      <c r="AB1458">
        <v>2</v>
      </c>
      <c r="AC1458">
        <v>0</v>
      </c>
      <c r="AD1458">
        <v>0</v>
      </c>
      <c r="AE1458">
        <v>0</v>
      </c>
      <c r="AF1458">
        <v>0</v>
      </c>
      <c r="AK1458">
        <v>6</v>
      </c>
      <c r="AL1458">
        <v>0</v>
      </c>
      <c r="AM1458">
        <v>1</v>
      </c>
      <c r="AN1458">
        <v>4</v>
      </c>
      <c r="AQ1458">
        <v>0</v>
      </c>
      <c r="AT1458">
        <v>0</v>
      </c>
      <c r="AU1458">
        <v>17</v>
      </c>
      <c r="AV1458" t="s">
        <v>100</v>
      </c>
      <c r="AW1458">
        <v>318</v>
      </c>
      <c r="AX1458">
        <v>535</v>
      </c>
      <c r="BA1458">
        <v>1</v>
      </c>
      <c r="BC1458" t="s">
        <v>3012</v>
      </c>
      <c r="BD1458" s="4">
        <v>43283.620833333334</v>
      </c>
      <c r="BE1458" s="4">
        <v>43283.625381944446</v>
      </c>
      <c r="BF1458" s="4">
        <v>43283.625381944446</v>
      </c>
      <c r="BG1458" t="s">
        <v>83</v>
      </c>
      <c r="BH1458" t="s">
        <v>84</v>
      </c>
      <c r="BI1458" t="s">
        <v>85</v>
      </c>
    </row>
    <row r="1459" spans="1:61" x14ac:dyDescent="0.3">
      <c r="A1459" t="str">
        <f>"201284C0100"</f>
        <v>201284C0100</v>
      </c>
      <c r="B1459" t="s">
        <v>3013</v>
      </c>
      <c r="C1459">
        <v>20</v>
      </c>
      <c r="D1459" t="s">
        <v>79</v>
      </c>
      <c r="E1459">
        <v>7</v>
      </c>
      <c r="F1459" t="s">
        <v>2811</v>
      </c>
      <c r="G1459">
        <v>1284</v>
      </c>
      <c r="H1459">
        <v>1</v>
      </c>
      <c r="I1459" t="s">
        <v>89</v>
      </c>
      <c r="J1459">
        <v>0</v>
      </c>
      <c r="K1459">
        <v>2</v>
      </c>
      <c r="L1459">
        <v>2</v>
      </c>
      <c r="M1459">
        <v>232</v>
      </c>
      <c r="N1459">
        <v>325</v>
      </c>
      <c r="O1459">
        <v>0</v>
      </c>
      <c r="P1459">
        <v>325</v>
      </c>
      <c r="Q1459">
        <v>1</v>
      </c>
      <c r="R1459">
        <v>75</v>
      </c>
      <c r="S1459">
        <v>27</v>
      </c>
      <c r="T1459">
        <v>1</v>
      </c>
      <c r="U1459">
        <v>12</v>
      </c>
      <c r="V1459">
        <v>3</v>
      </c>
      <c r="W1459">
        <v>1</v>
      </c>
      <c r="X1459">
        <v>0</v>
      </c>
      <c r="Y1459">
        <v>146</v>
      </c>
      <c r="Z1459">
        <v>22</v>
      </c>
      <c r="AB1459">
        <v>2</v>
      </c>
      <c r="AC1459">
        <v>0</v>
      </c>
      <c r="AD1459">
        <v>0</v>
      </c>
      <c r="AE1459">
        <v>0</v>
      </c>
      <c r="AF1459">
        <v>0</v>
      </c>
      <c r="AK1459">
        <v>6</v>
      </c>
      <c r="AL1459">
        <v>0</v>
      </c>
      <c r="AM1459">
        <v>0</v>
      </c>
      <c r="AN1459">
        <v>0</v>
      </c>
      <c r="AQ1459">
        <v>0</v>
      </c>
      <c r="AT1459">
        <v>0</v>
      </c>
      <c r="AU1459">
        <v>29</v>
      </c>
      <c r="AV1459">
        <v>325</v>
      </c>
      <c r="AW1459">
        <v>325</v>
      </c>
      <c r="AX1459">
        <v>535</v>
      </c>
      <c r="BA1459">
        <v>1</v>
      </c>
      <c r="BC1459" t="s">
        <v>3014</v>
      </c>
      <c r="BD1459" s="4">
        <v>43283.737500000003</v>
      </c>
      <c r="BE1459" s="4">
        <v>43283.743298611109</v>
      </c>
      <c r="BF1459" s="4">
        <v>43283.743298611109</v>
      </c>
      <c r="BG1459" t="s">
        <v>83</v>
      </c>
      <c r="BH1459" t="s">
        <v>84</v>
      </c>
      <c r="BI1459" t="s">
        <v>85</v>
      </c>
    </row>
    <row r="1460" spans="1:61" x14ac:dyDescent="0.3">
      <c r="A1460" t="str">
        <f>"201284E0100"</f>
        <v>201284E0100</v>
      </c>
      <c r="B1460" s="2" t="s">
        <v>3015</v>
      </c>
      <c r="C1460">
        <v>20</v>
      </c>
      <c r="D1460" t="s">
        <v>79</v>
      </c>
      <c r="E1460">
        <v>7</v>
      </c>
      <c r="F1460" t="s">
        <v>2811</v>
      </c>
      <c r="G1460">
        <v>1284</v>
      </c>
      <c r="H1460">
        <v>1</v>
      </c>
      <c r="I1460" t="s">
        <v>145</v>
      </c>
      <c r="J1460">
        <v>0</v>
      </c>
      <c r="K1460">
        <v>2</v>
      </c>
      <c r="L1460">
        <v>2</v>
      </c>
      <c r="M1460">
        <v>236</v>
      </c>
      <c r="N1460">
        <v>333</v>
      </c>
      <c r="O1460">
        <v>0</v>
      </c>
      <c r="P1460">
        <v>333</v>
      </c>
      <c r="Q1460">
        <v>4</v>
      </c>
      <c r="R1460">
        <v>8</v>
      </c>
      <c r="S1460">
        <v>30</v>
      </c>
      <c r="T1460">
        <v>1</v>
      </c>
      <c r="U1460">
        <v>34</v>
      </c>
      <c r="V1460">
        <v>8</v>
      </c>
      <c r="W1460">
        <v>4</v>
      </c>
      <c r="X1460">
        <v>0</v>
      </c>
      <c r="Y1460">
        <v>201</v>
      </c>
      <c r="Z1460">
        <v>4</v>
      </c>
      <c r="AB1460">
        <v>2</v>
      </c>
      <c r="AC1460">
        <v>0</v>
      </c>
      <c r="AD1460">
        <v>0</v>
      </c>
      <c r="AE1460">
        <v>0</v>
      </c>
      <c r="AF1460">
        <v>0</v>
      </c>
      <c r="AK1460">
        <v>7</v>
      </c>
      <c r="AL1460">
        <v>4</v>
      </c>
      <c r="AM1460">
        <v>0</v>
      </c>
      <c r="AN1460">
        <v>1</v>
      </c>
      <c r="AQ1460">
        <v>0</v>
      </c>
      <c r="AT1460">
        <v>0</v>
      </c>
      <c r="AU1460">
        <v>25</v>
      </c>
      <c r="AV1460">
        <v>333</v>
      </c>
      <c r="AW1460">
        <v>333</v>
      </c>
      <c r="AX1460">
        <v>547</v>
      </c>
      <c r="BA1460">
        <v>1</v>
      </c>
      <c r="BC1460" t="s">
        <v>3016</v>
      </c>
      <c r="BD1460" s="4">
        <v>43283.645833333336</v>
      </c>
      <c r="BE1460" s="4">
        <v>43283.651018518518</v>
      </c>
      <c r="BF1460" s="4">
        <v>43283.651018518518</v>
      </c>
      <c r="BG1460" t="s">
        <v>83</v>
      </c>
      <c r="BH1460" t="s">
        <v>84</v>
      </c>
      <c r="BI1460" t="s">
        <v>85</v>
      </c>
    </row>
    <row r="1461" spans="1:61" x14ac:dyDescent="0.3">
      <c r="A1461" t="str">
        <f>"201284E0200"</f>
        <v>201284E0200</v>
      </c>
      <c r="B1461" s="2" t="s">
        <v>3017</v>
      </c>
      <c r="C1461">
        <v>20</v>
      </c>
      <c r="D1461" t="s">
        <v>79</v>
      </c>
      <c r="E1461">
        <v>7</v>
      </c>
      <c r="F1461" t="s">
        <v>2811</v>
      </c>
      <c r="G1461">
        <v>1284</v>
      </c>
      <c r="H1461">
        <v>2</v>
      </c>
      <c r="I1461" t="s">
        <v>145</v>
      </c>
      <c r="J1461">
        <v>0</v>
      </c>
      <c r="K1461">
        <v>2</v>
      </c>
      <c r="L1461">
        <v>2</v>
      </c>
      <c r="M1461">
        <v>84</v>
      </c>
      <c r="N1461">
        <v>129</v>
      </c>
      <c r="O1461">
        <v>0</v>
      </c>
      <c r="P1461">
        <v>129</v>
      </c>
      <c r="Q1461">
        <v>4</v>
      </c>
      <c r="R1461">
        <v>2</v>
      </c>
      <c r="S1461">
        <v>1</v>
      </c>
      <c r="T1461">
        <v>0</v>
      </c>
      <c r="U1461">
        <v>7</v>
      </c>
      <c r="V1461">
        <v>2</v>
      </c>
      <c r="W1461">
        <v>0</v>
      </c>
      <c r="X1461">
        <v>0</v>
      </c>
      <c r="Y1461">
        <v>84</v>
      </c>
      <c r="Z1461">
        <v>10</v>
      </c>
      <c r="AB1461">
        <v>1</v>
      </c>
      <c r="AC1461">
        <v>0</v>
      </c>
      <c r="AD1461">
        <v>0</v>
      </c>
      <c r="AE1461">
        <v>0</v>
      </c>
      <c r="AF1461">
        <v>0</v>
      </c>
      <c r="AK1461">
        <v>3</v>
      </c>
      <c r="AL1461">
        <v>3</v>
      </c>
      <c r="AM1461">
        <v>1</v>
      </c>
      <c r="AN1461">
        <v>1</v>
      </c>
      <c r="AQ1461">
        <v>0</v>
      </c>
      <c r="AT1461">
        <v>0</v>
      </c>
      <c r="AU1461">
        <v>10</v>
      </c>
      <c r="AV1461">
        <v>129</v>
      </c>
      <c r="AW1461">
        <v>129</v>
      </c>
      <c r="AX1461">
        <v>191</v>
      </c>
      <c r="BA1461">
        <v>1</v>
      </c>
      <c r="BC1461" t="s">
        <v>3018</v>
      </c>
      <c r="BD1461" s="4">
        <v>43283.531944444447</v>
      </c>
      <c r="BE1461" s="4">
        <v>43283.536261574074</v>
      </c>
      <c r="BF1461" s="4">
        <v>43283.536261574074</v>
      </c>
      <c r="BG1461" t="s">
        <v>83</v>
      </c>
      <c r="BH1461" t="s">
        <v>84</v>
      </c>
      <c r="BI1461" t="s">
        <v>85</v>
      </c>
    </row>
    <row r="1462" spans="1:61" x14ac:dyDescent="0.3">
      <c r="A1462" t="str">
        <f>"201286B0100"</f>
        <v>201286B0100</v>
      </c>
      <c r="B1462" t="s">
        <v>3019</v>
      </c>
      <c r="C1462">
        <v>20</v>
      </c>
      <c r="D1462" t="s">
        <v>79</v>
      </c>
      <c r="E1462">
        <v>7</v>
      </c>
      <c r="F1462" t="s">
        <v>2811</v>
      </c>
      <c r="G1462">
        <v>1286</v>
      </c>
      <c r="H1462">
        <v>1</v>
      </c>
      <c r="I1462" t="s">
        <v>81</v>
      </c>
      <c r="J1462">
        <v>0</v>
      </c>
      <c r="K1462">
        <v>2</v>
      </c>
      <c r="L1462">
        <v>2</v>
      </c>
      <c r="M1462">
        <v>318</v>
      </c>
      <c r="N1462">
        <v>318</v>
      </c>
      <c r="O1462">
        <v>2</v>
      </c>
      <c r="P1462">
        <v>316</v>
      </c>
      <c r="Q1462">
        <v>13</v>
      </c>
      <c r="R1462">
        <v>19</v>
      </c>
      <c r="S1462">
        <v>20</v>
      </c>
      <c r="T1462">
        <v>5</v>
      </c>
      <c r="U1462">
        <v>33</v>
      </c>
      <c r="V1462">
        <v>8</v>
      </c>
      <c r="W1462">
        <v>8</v>
      </c>
      <c r="X1462">
        <v>8</v>
      </c>
      <c r="Y1462">
        <v>148</v>
      </c>
      <c r="Z1462">
        <v>13</v>
      </c>
      <c r="AB1462">
        <v>4</v>
      </c>
      <c r="AC1462">
        <v>0</v>
      </c>
      <c r="AD1462">
        <v>0</v>
      </c>
      <c r="AE1462">
        <v>0</v>
      </c>
      <c r="AF1462">
        <v>1</v>
      </c>
      <c r="AK1462">
        <v>1</v>
      </c>
      <c r="AL1462">
        <v>1</v>
      </c>
      <c r="AM1462">
        <v>0</v>
      </c>
      <c r="AN1462">
        <v>1</v>
      </c>
      <c r="AQ1462">
        <v>0</v>
      </c>
      <c r="AT1462">
        <v>0</v>
      </c>
      <c r="AU1462">
        <v>33</v>
      </c>
      <c r="AV1462">
        <v>316</v>
      </c>
      <c r="AW1462">
        <v>316</v>
      </c>
      <c r="AX1462">
        <v>611</v>
      </c>
      <c r="BA1462">
        <v>1</v>
      </c>
      <c r="BC1462" t="s">
        <v>3020</v>
      </c>
      <c r="BD1462" s="4">
        <v>43282.946620370371</v>
      </c>
      <c r="BE1462" s="4">
        <v>43282.95275462963</v>
      </c>
      <c r="BF1462" s="4">
        <v>43282.95275462963</v>
      </c>
      <c r="BG1462" t="s">
        <v>373</v>
      </c>
      <c r="BH1462" t="s">
        <v>374</v>
      </c>
      <c r="BI1462" t="s">
        <v>85</v>
      </c>
    </row>
    <row r="1463" spans="1:61" x14ac:dyDescent="0.3">
      <c r="A1463" t="str">
        <f>"201286C0100"</f>
        <v>201286C0100</v>
      </c>
      <c r="B1463" t="s">
        <v>3021</v>
      </c>
      <c r="C1463">
        <v>20</v>
      </c>
      <c r="D1463" t="s">
        <v>79</v>
      </c>
      <c r="E1463">
        <v>7</v>
      </c>
      <c r="F1463" t="s">
        <v>2811</v>
      </c>
      <c r="G1463">
        <v>1286</v>
      </c>
      <c r="H1463">
        <v>1</v>
      </c>
      <c r="I1463" t="s">
        <v>89</v>
      </c>
      <c r="J1463">
        <v>0</v>
      </c>
      <c r="K1463">
        <v>2</v>
      </c>
      <c r="L1463">
        <v>2</v>
      </c>
      <c r="M1463">
        <v>327</v>
      </c>
      <c r="N1463">
        <v>307</v>
      </c>
      <c r="O1463">
        <v>2</v>
      </c>
      <c r="P1463">
        <v>307</v>
      </c>
      <c r="Q1463">
        <v>19</v>
      </c>
      <c r="R1463">
        <v>10</v>
      </c>
      <c r="S1463">
        <v>17</v>
      </c>
      <c r="T1463">
        <v>6</v>
      </c>
      <c r="U1463">
        <v>34</v>
      </c>
      <c r="V1463">
        <v>6</v>
      </c>
      <c r="W1463">
        <v>5</v>
      </c>
      <c r="X1463">
        <v>7</v>
      </c>
      <c r="Y1463">
        <v>138</v>
      </c>
      <c r="Z1463">
        <v>14</v>
      </c>
      <c r="AB1463">
        <v>5</v>
      </c>
      <c r="AC1463">
        <v>0</v>
      </c>
      <c r="AD1463">
        <v>2</v>
      </c>
      <c r="AE1463">
        <v>0</v>
      </c>
      <c r="AF1463">
        <v>0</v>
      </c>
      <c r="AK1463">
        <v>7</v>
      </c>
      <c r="AL1463">
        <v>2</v>
      </c>
      <c r="AM1463">
        <v>1</v>
      </c>
      <c r="AN1463">
        <v>4</v>
      </c>
      <c r="AQ1463">
        <v>0</v>
      </c>
      <c r="AT1463">
        <v>1</v>
      </c>
      <c r="AU1463">
        <v>29</v>
      </c>
      <c r="AV1463">
        <v>307</v>
      </c>
      <c r="AW1463">
        <v>307</v>
      </c>
      <c r="AX1463">
        <v>611</v>
      </c>
      <c r="BA1463">
        <v>1</v>
      </c>
      <c r="BC1463" t="s">
        <v>3022</v>
      </c>
      <c r="BD1463" s="4">
        <v>43282.962256944447</v>
      </c>
      <c r="BE1463" s="4">
        <v>43282.969710648147</v>
      </c>
      <c r="BF1463" s="4">
        <v>43282.969710648147</v>
      </c>
      <c r="BG1463" t="s">
        <v>373</v>
      </c>
      <c r="BH1463" t="s">
        <v>374</v>
      </c>
      <c r="BI1463" t="s">
        <v>85</v>
      </c>
    </row>
    <row r="1464" spans="1:61" x14ac:dyDescent="0.3">
      <c r="A1464" t="str">
        <f>"201286C0200"</f>
        <v>201286C0200</v>
      </c>
      <c r="B1464" t="s">
        <v>3023</v>
      </c>
      <c r="C1464">
        <v>20</v>
      </c>
      <c r="D1464" t="s">
        <v>79</v>
      </c>
      <c r="E1464">
        <v>7</v>
      </c>
      <c r="F1464" t="s">
        <v>2811</v>
      </c>
      <c r="G1464">
        <v>1286</v>
      </c>
      <c r="H1464">
        <v>2</v>
      </c>
      <c r="I1464" t="s">
        <v>89</v>
      </c>
      <c r="J1464">
        <v>0</v>
      </c>
      <c r="K1464">
        <v>2</v>
      </c>
      <c r="L1464">
        <v>2</v>
      </c>
      <c r="M1464">
        <v>26</v>
      </c>
      <c r="N1464">
        <v>308</v>
      </c>
      <c r="O1464">
        <v>0</v>
      </c>
      <c r="P1464">
        <v>306</v>
      </c>
      <c r="Q1464">
        <v>8</v>
      </c>
      <c r="R1464">
        <v>11</v>
      </c>
      <c r="S1464">
        <v>17</v>
      </c>
      <c r="T1464">
        <v>15</v>
      </c>
      <c r="U1464">
        <v>37</v>
      </c>
      <c r="V1464">
        <v>15</v>
      </c>
      <c r="W1464">
        <v>2</v>
      </c>
      <c r="X1464">
        <v>6</v>
      </c>
      <c r="Y1464">
        <v>138</v>
      </c>
      <c r="Z1464">
        <v>10</v>
      </c>
      <c r="AB1464">
        <v>1</v>
      </c>
      <c r="AC1464">
        <v>0</v>
      </c>
      <c r="AD1464">
        <v>0</v>
      </c>
      <c r="AE1464">
        <v>0</v>
      </c>
      <c r="AF1464">
        <v>0</v>
      </c>
      <c r="AK1464">
        <v>4</v>
      </c>
      <c r="AL1464">
        <v>1</v>
      </c>
      <c r="AM1464">
        <v>0</v>
      </c>
      <c r="AN1464">
        <v>0</v>
      </c>
      <c r="AQ1464">
        <v>0</v>
      </c>
      <c r="AT1464">
        <v>0</v>
      </c>
      <c r="AU1464">
        <v>41</v>
      </c>
      <c r="AV1464">
        <v>306</v>
      </c>
      <c r="AW1464">
        <v>306</v>
      </c>
      <c r="AX1464">
        <v>610</v>
      </c>
      <c r="BA1464">
        <v>1</v>
      </c>
      <c r="BC1464" t="s">
        <v>3024</v>
      </c>
      <c r="BD1464" s="4">
        <v>43282.928807870368</v>
      </c>
      <c r="BE1464" s="4">
        <v>43282.936388888891</v>
      </c>
      <c r="BF1464" s="4">
        <v>43282.936388888891</v>
      </c>
      <c r="BG1464" t="s">
        <v>373</v>
      </c>
      <c r="BH1464" t="s">
        <v>374</v>
      </c>
      <c r="BI1464" t="s">
        <v>85</v>
      </c>
    </row>
    <row r="1465" spans="1:61" x14ac:dyDescent="0.3">
      <c r="A1465" t="str">
        <f>"201287B0100"</f>
        <v>201287B0100</v>
      </c>
      <c r="B1465" t="s">
        <v>3025</v>
      </c>
      <c r="C1465">
        <v>20</v>
      </c>
      <c r="D1465" t="s">
        <v>79</v>
      </c>
      <c r="E1465">
        <v>7</v>
      </c>
      <c r="F1465" t="s">
        <v>2811</v>
      </c>
      <c r="G1465">
        <v>1287</v>
      </c>
      <c r="H1465">
        <v>1</v>
      </c>
      <c r="I1465" t="s">
        <v>81</v>
      </c>
      <c r="J1465">
        <v>0</v>
      </c>
      <c r="K1465">
        <v>2</v>
      </c>
      <c r="L1465">
        <v>2</v>
      </c>
      <c r="M1465">
        <v>297</v>
      </c>
      <c r="N1465">
        <v>322</v>
      </c>
      <c r="O1465">
        <v>3</v>
      </c>
      <c r="P1465">
        <v>318</v>
      </c>
      <c r="Q1465">
        <v>19</v>
      </c>
      <c r="R1465">
        <v>12</v>
      </c>
      <c r="S1465">
        <v>25</v>
      </c>
      <c r="T1465">
        <v>6</v>
      </c>
      <c r="U1465">
        <v>30</v>
      </c>
      <c r="V1465">
        <v>6</v>
      </c>
      <c r="W1465">
        <v>3</v>
      </c>
      <c r="X1465">
        <v>12</v>
      </c>
      <c r="Y1465">
        <v>143</v>
      </c>
      <c r="Z1465">
        <v>6</v>
      </c>
      <c r="AB1465">
        <v>2</v>
      </c>
      <c r="AC1465">
        <v>0</v>
      </c>
      <c r="AD1465">
        <v>1</v>
      </c>
      <c r="AE1465">
        <v>0</v>
      </c>
      <c r="AF1465">
        <v>0</v>
      </c>
      <c r="AK1465">
        <v>2</v>
      </c>
      <c r="AL1465">
        <v>2</v>
      </c>
      <c r="AM1465">
        <v>0</v>
      </c>
      <c r="AN1465">
        <v>0</v>
      </c>
      <c r="AQ1465">
        <v>0</v>
      </c>
      <c r="AT1465">
        <v>0</v>
      </c>
      <c r="AU1465">
        <v>49</v>
      </c>
      <c r="AV1465">
        <v>318</v>
      </c>
      <c r="AW1465">
        <v>318</v>
      </c>
      <c r="AX1465">
        <v>594</v>
      </c>
      <c r="BA1465">
        <v>1</v>
      </c>
      <c r="BC1465" t="s">
        <v>3026</v>
      </c>
      <c r="BD1465" s="4">
        <v>43283.015115740738</v>
      </c>
      <c r="BE1465" s="4">
        <v>43283.023472222223</v>
      </c>
      <c r="BF1465" s="4">
        <v>43283.023472222223</v>
      </c>
      <c r="BG1465" t="s">
        <v>373</v>
      </c>
      <c r="BH1465" t="s">
        <v>374</v>
      </c>
      <c r="BI1465" t="s">
        <v>85</v>
      </c>
    </row>
    <row r="1466" spans="1:61" x14ac:dyDescent="0.3">
      <c r="A1466" t="str">
        <f>"201287C0100"</f>
        <v>201287C0100</v>
      </c>
      <c r="B1466" t="s">
        <v>3027</v>
      </c>
      <c r="C1466">
        <v>20</v>
      </c>
      <c r="D1466" t="s">
        <v>79</v>
      </c>
      <c r="E1466">
        <v>7</v>
      </c>
      <c r="F1466" t="s">
        <v>2811</v>
      </c>
      <c r="G1466">
        <v>1287</v>
      </c>
      <c r="H1466">
        <v>1</v>
      </c>
      <c r="I1466" t="s">
        <v>89</v>
      </c>
      <c r="J1466">
        <v>0</v>
      </c>
      <c r="K1466">
        <v>2</v>
      </c>
      <c r="L1466">
        <v>2</v>
      </c>
      <c r="M1466">
        <v>277</v>
      </c>
      <c r="N1466">
        <v>338</v>
      </c>
      <c r="O1466">
        <v>3</v>
      </c>
      <c r="P1466">
        <v>338</v>
      </c>
      <c r="Q1466">
        <v>19</v>
      </c>
      <c r="R1466">
        <v>16</v>
      </c>
      <c r="S1466">
        <v>32</v>
      </c>
      <c r="T1466">
        <v>11</v>
      </c>
      <c r="U1466">
        <v>41</v>
      </c>
      <c r="V1466">
        <v>10</v>
      </c>
      <c r="W1466">
        <v>1</v>
      </c>
      <c r="X1466">
        <v>11</v>
      </c>
      <c r="Y1466">
        <v>133</v>
      </c>
      <c r="Z1466">
        <v>10</v>
      </c>
      <c r="AB1466">
        <v>3</v>
      </c>
      <c r="AC1466">
        <v>0</v>
      </c>
      <c r="AD1466">
        <v>0</v>
      </c>
      <c r="AE1466">
        <v>0</v>
      </c>
      <c r="AF1466">
        <v>0</v>
      </c>
      <c r="AK1466">
        <v>3</v>
      </c>
      <c r="AL1466">
        <v>1</v>
      </c>
      <c r="AM1466">
        <v>0</v>
      </c>
      <c r="AN1466">
        <v>2</v>
      </c>
      <c r="AQ1466">
        <v>0</v>
      </c>
      <c r="AT1466">
        <v>0</v>
      </c>
      <c r="AU1466">
        <v>45</v>
      </c>
      <c r="AV1466">
        <v>338</v>
      </c>
      <c r="AW1466">
        <v>338</v>
      </c>
      <c r="AX1466">
        <v>593</v>
      </c>
      <c r="BA1466">
        <v>1</v>
      </c>
      <c r="BC1466" t="s">
        <v>3028</v>
      </c>
      <c r="BD1466" s="4">
        <v>43283.671527777777</v>
      </c>
      <c r="BE1466" s="4">
        <v>43283.676203703704</v>
      </c>
      <c r="BF1466" s="4">
        <v>43283.676203703704</v>
      </c>
      <c r="BG1466" t="s">
        <v>83</v>
      </c>
      <c r="BH1466" t="s">
        <v>84</v>
      </c>
      <c r="BI1466" t="s">
        <v>85</v>
      </c>
    </row>
    <row r="1467" spans="1:61" x14ac:dyDescent="0.3">
      <c r="A1467" t="str">
        <f>"201287C0200"</f>
        <v>201287C0200</v>
      </c>
      <c r="B1467" t="s">
        <v>3029</v>
      </c>
      <c r="C1467">
        <v>20</v>
      </c>
      <c r="D1467" t="s">
        <v>79</v>
      </c>
      <c r="E1467">
        <v>7</v>
      </c>
      <c r="F1467" t="s">
        <v>2811</v>
      </c>
      <c r="G1467">
        <v>1287</v>
      </c>
      <c r="H1467">
        <v>2</v>
      </c>
      <c r="I1467" t="s">
        <v>89</v>
      </c>
      <c r="J1467">
        <v>0</v>
      </c>
      <c r="K1467">
        <v>2</v>
      </c>
      <c r="L1467">
        <v>2</v>
      </c>
      <c r="M1467">
        <v>320</v>
      </c>
      <c r="N1467">
        <v>294</v>
      </c>
      <c r="O1467">
        <v>5</v>
      </c>
      <c r="P1467">
        <v>294</v>
      </c>
      <c r="Q1467">
        <v>14</v>
      </c>
      <c r="R1467">
        <v>13</v>
      </c>
      <c r="S1467">
        <v>22</v>
      </c>
      <c r="T1467">
        <v>10</v>
      </c>
      <c r="U1467">
        <v>26</v>
      </c>
      <c r="V1467">
        <v>13</v>
      </c>
      <c r="W1467">
        <v>5</v>
      </c>
      <c r="X1467">
        <v>7</v>
      </c>
      <c r="Y1467">
        <v>132</v>
      </c>
      <c r="Z1467">
        <v>4</v>
      </c>
      <c r="AB1467">
        <v>0</v>
      </c>
      <c r="AC1467">
        <v>1</v>
      </c>
      <c r="AD1467">
        <v>1</v>
      </c>
      <c r="AE1467">
        <v>0</v>
      </c>
      <c r="AF1467">
        <v>0</v>
      </c>
      <c r="AK1467">
        <v>6</v>
      </c>
      <c r="AL1467">
        <v>1</v>
      </c>
      <c r="AM1467">
        <v>0</v>
      </c>
      <c r="AN1467">
        <v>0</v>
      </c>
      <c r="AQ1467">
        <v>1</v>
      </c>
      <c r="AT1467" t="s">
        <v>100</v>
      </c>
      <c r="AU1467">
        <v>38</v>
      </c>
      <c r="AV1467">
        <v>294</v>
      </c>
      <c r="AW1467">
        <v>294</v>
      </c>
      <c r="AX1467">
        <v>593</v>
      </c>
      <c r="AZ1467" t="s">
        <v>101</v>
      </c>
      <c r="BA1467">
        <v>1</v>
      </c>
      <c r="BC1467" t="s">
        <v>3030</v>
      </c>
      <c r="BD1467" s="4">
        <v>43282.993587962963</v>
      </c>
      <c r="BE1467" s="4">
        <v>43282.997673611113</v>
      </c>
      <c r="BF1467" s="4">
        <v>43282.997673611113</v>
      </c>
      <c r="BG1467" t="s">
        <v>373</v>
      </c>
      <c r="BH1467" t="s">
        <v>374</v>
      </c>
      <c r="BI1467" t="s">
        <v>85</v>
      </c>
    </row>
    <row r="1468" spans="1:61" x14ac:dyDescent="0.3">
      <c r="A1468" t="str">
        <f>"201288B0100"</f>
        <v>201288B0100</v>
      </c>
      <c r="B1468" t="s">
        <v>3031</v>
      </c>
      <c r="C1468">
        <v>20</v>
      </c>
      <c r="D1468" t="s">
        <v>79</v>
      </c>
      <c r="E1468">
        <v>7</v>
      </c>
      <c r="F1468" t="s">
        <v>2811</v>
      </c>
      <c r="G1468">
        <v>1288</v>
      </c>
      <c r="H1468">
        <v>1</v>
      </c>
      <c r="I1468" t="s">
        <v>81</v>
      </c>
      <c r="J1468">
        <v>0</v>
      </c>
      <c r="K1468">
        <v>2</v>
      </c>
      <c r="L1468">
        <v>2</v>
      </c>
      <c r="M1468">
        <v>263</v>
      </c>
      <c r="N1468">
        <v>297</v>
      </c>
      <c r="O1468">
        <v>0</v>
      </c>
      <c r="P1468">
        <v>297</v>
      </c>
      <c r="Q1468">
        <v>4</v>
      </c>
      <c r="R1468">
        <v>12</v>
      </c>
      <c r="S1468">
        <v>19</v>
      </c>
      <c r="T1468">
        <v>5</v>
      </c>
      <c r="U1468">
        <v>35</v>
      </c>
      <c r="V1468">
        <v>4</v>
      </c>
      <c r="W1468">
        <v>5</v>
      </c>
      <c r="X1468">
        <v>7</v>
      </c>
      <c r="Y1468">
        <v>157</v>
      </c>
      <c r="Z1468">
        <v>14</v>
      </c>
      <c r="AB1468">
        <v>6</v>
      </c>
      <c r="AC1468">
        <v>0</v>
      </c>
      <c r="AD1468">
        <v>0</v>
      </c>
      <c r="AE1468">
        <v>0</v>
      </c>
      <c r="AF1468">
        <v>0</v>
      </c>
      <c r="AK1468">
        <v>10</v>
      </c>
      <c r="AL1468">
        <v>6</v>
      </c>
      <c r="AM1468">
        <v>1</v>
      </c>
      <c r="AN1468">
        <v>3</v>
      </c>
      <c r="AQ1468">
        <v>1</v>
      </c>
      <c r="AT1468">
        <v>0</v>
      </c>
      <c r="AU1468">
        <v>8</v>
      </c>
      <c r="AV1468">
        <v>297</v>
      </c>
      <c r="AW1468">
        <v>297</v>
      </c>
      <c r="AX1468">
        <v>538</v>
      </c>
      <c r="BA1468">
        <v>1</v>
      </c>
      <c r="BC1468" t="s">
        <v>3032</v>
      </c>
      <c r="BD1468" s="4">
        <v>43283.734027777777</v>
      </c>
      <c r="BE1468" s="4">
        <v>43283.73810185185</v>
      </c>
      <c r="BF1468" s="4">
        <v>43283.73810185185</v>
      </c>
      <c r="BG1468" t="s">
        <v>83</v>
      </c>
      <c r="BH1468" t="s">
        <v>84</v>
      </c>
      <c r="BI1468" t="s">
        <v>85</v>
      </c>
    </row>
    <row r="1469" spans="1:61" x14ac:dyDescent="0.3">
      <c r="A1469" t="str">
        <f>"201288C0100"</f>
        <v>201288C0100</v>
      </c>
      <c r="B1469" t="s">
        <v>3033</v>
      </c>
      <c r="C1469">
        <v>20</v>
      </c>
      <c r="D1469" t="s">
        <v>79</v>
      </c>
      <c r="E1469">
        <v>7</v>
      </c>
      <c r="F1469" t="s">
        <v>2811</v>
      </c>
      <c r="G1469">
        <v>1288</v>
      </c>
      <c r="H1469">
        <v>1</v>
      </c>
      <c r="I1469" t="s">
        <v>89</v>
      </c>
      <c r="J1469">
        <v>0</v>
      </c>
      <c r="K1469">
        <v>2</v>
      </c>
      <c r="L1469">
        <v>2</v>
      </c>
      <c r="M1469">
        <v>245</v>
      </c>
      <c r="N1469">
        <v>315</v>
      </c>
      <c r="O1469">
        <v>0</v>
      </c>
      <c r="P1469">
        <v>315</v>
      </c>
      <c r="Q1469">
        <v>8</v>
      </c>
      <c r="R1469">
        <v>6</v>
      </c>
      <c r="S1469">
        <v>28</v>
      </c>
      <c r="T1469">
        <v>4</v>
      </c>
      <c r="U1469">
        <v>36</v>
      </c>
      <c r="V1469">
        <v>10</v>
      </c>
      <c r="W1469">
        <v>0</v>
      </c>
      <c r="X1469">
        <v>2</v>
      </c>
      <c r="Y1469">
        <v>170</v>
      </c>
      <c r="Z1469">
        <v>12</v>
      </c>
      <c r="AB1469">
        <v>1</v>
      </c>
      <c r="AC1469">
        <v>0</v>
      </c>
      <c r="AD1469">
        <v>0</v>
      </c>
      <c r="AE1469">
        <v>0</v>
      </c>
      <c r="AF1469">
        <v>0</v>
      </c>
      <c r="AK1469">
        <v>12</v>
      </c>
      <c r="AL1469">
        <v>3</v>
      </c>
      <c r="AM1469">
        <v>1</v>
      </c>
      <c r="AN1469">
        <v>5</v>
      </c>
      <c r="AQ1469">
        <v>0</v>
      </c>
      <c r="AT1469">
        <v>0</v>
      </c>
      <c r="AU1469">
        <v>17</v>
      </c>
      <c r="AV1469">
        <v>315</v>
      </c>
      <c r="AW1469">
        <v>315</v>
      </c>
      <c r="AX1469">
        <v>538</v>
      </c>
      <c r="BA1469">
        <v>1</v>
      </c>
      <c r="BC1469" t="s">
        <v>3034</v>
      </c>
      <c r="BD1469" s="4">
        <v>43283.732638888891</v>
      </c>
      <c r="BE1469" s="4">
        <v>43283.737453703703</v>
      </c>
      <c r="BF1469" s="4">
        <v>43283.737453703703</v>
      </c>
      <c r="BG1469" t="s">
        <v>83</v>
      </c>
      <c r="BH1469" t="s">
        <v>84</v>
      </c>
      <c r="BI1469" t="s">
        <v>85</v>
      </c>
    </row>
    <row r="1470" spans="1:61" x14ac:dyDescent="0.3">
      <c r="A1470" t="str">
        <f>"201289B0100"</f>
        <v>201289B0100</v>
      </c>
      <c r="B1470" t="s">
        <v>3035</v>
      </c>
      <c r="C1470">
        <v>20</v>
      </c>
      <c r="D1470" t="s">
        <v>79</v>
      </c>
      <c r="E1470">
        <v>7</v>
      </c>
      <c r="F1470" t="s">
        <v>2811</v>
      </c>
      <c r="G1470">
        <v>1289</v>
      </c>
      <c r="H1470">
        <v>1</v>
      </c>
      <c r="I1470" t="s">
        <v>81</v>
      </c>
      <c r="J1470">
        <v>0</v>
      </c>
      <c r="K1470">
        <v>2</v>
      </c>
      <c r="L1470">
        <v>2</v>
      </c>
      <c r="M1470">
        <v>283</v>
      </c>
      <c r="N1470">
        <v>516</v>
      </c>
      <c r="O1470">
        <v>1</v>
      </c>
      <c r="P1470">
        <v>283</v>
      </c>
      <c r="Q1470">
        <v>4</v>
      </c>
      <c r="R1470">
        <v>13</v>
      </c>
      <c r="S1470">
        <v>17</v>
      </c>
      <c r="T1470">
        <v>13</v>
      </c>
      <c r="U1470">
        <v>31</v>
      </c>
      <c r="V1470">
        <v>9</v>
      </c>
      <c r="W1470">
        <v>9</v>
      </c>
      <c r="X1470">
        <v>12</v>
      </c>
      <c r="Y1470">
        <v>109</v>
      </c>
      <c r="Z1470">
        <v>4</v>
      </c>
      <c r="AB1470">
        <v>4</v>
      </c>
      <c r="AC1470">
        <v>0</v>
      </c>
      <c r="AD1470">
        <v>0</v>
      </c>
      <c r="AE1470">
        <v>0</v>
      </c>
      <c r="AF1470">
        <v>0</v>
      </c>
      <c r="AK1470">
        <v>1</v>
      </c>
      <c r="AL1470">
        <v>0</v>
      </c>
      <c r="AM1470">
        <v>0</v>
      </c>
      <c r="AN1470">
        <v>1</v>
      </c>
      <c r="AQ1470">
        <v>0</v>
      </c>
      <c r="AT1470">
        <v>12</v>
      </c>
      <c r="AU1470">
        <v>17</v>
      </c>
      <c r="AV1470">
        <v>256</v>
      </c>
      <c r="AW1470">
        <v>256</v>
      </c>
      <c r="AX1470">
        <v>520</v>
      </c>
      <c r="BA1470">
        <v>1</v>
      </c>
      <c r="BC1470" t="s">
        <v>3036</v>
      </c>
      <c r="BD1470" s="4">
        <v>43283.743055555555</v>
      </c>
      <c r="BE1470" s="4">
        <v>43283.750578703701</v>
      </c>
      <c r="BF1470" s="4">
        <v>43283.750578703701</v>
      </c>
      <c r="BG1470" t="s">
        <v>83</v>
      </c>
      <c r="BH1470" t="s">
        <v>84</v>
      </c>
      <c r="BI1470" t="s">
        <v>548</v>
      </c>
    </row>
    <row r="1471" spans="1:61" x14ac:dyDescent="0.3">
      <c r="A1471" t="str">
        <f>"201289E0100"</f>
        <v>201289E0100</v>
      </c>
      <c r="B1471" s="2" t="s">
        <v>3037</v>
      </c>
      <c r="C1471">
        <v>20</v>
      </c>
      <c r="D1471" t="s">
        <v>79</v>
      </c>
      <c r="E1471">
        <v>7</v>
      </c>
      <c r="F1471" t="s">
        <v>2811</v>
      </c>
      <c r="G1471">
        <v>1289</v>
      </c>
      <c r="H1471">
        <v>1</v>
      </c>
      <c r="I1471" t="s">
        <v>145</v>
      </c>
      <c r="J1471">
        <v>0</v>
      </c>
      <c r="K1471">
        <v>2</v>
      </c>
      <c r="L1471">
        <v>2</v>
      </c>
      <c r="M1471">
        <v>431</v>
      </c>
      <c r="N1471">
        <v>320</v>
      </c>
      <c r="O1471">
        <v>7</v>
      </c>
      <c r="P1471">
        <v>320</v>
      </c>
      <c r="Q1471">
        <v>9</v>
      </c>
      <c r="R1471">
        <v>7</v>
      </c>
      <c r="S1471">
        <v>16</v>
      </c>
      <c r="T1471">
        <v>7</v>
      </c>
      <c r="U1471">
        <v>22</v>
      </c>
      <c r="V1471">
        <v>5</v>
      </c>
      <c r="W1471">
        <v>2</v>
      </c>
      <c r="X1471">
        <v>9</v>
      </c>
      <c r="Y1471">
        <v>185</v>
      </c>
      <c r="Z1471">
        <v>8</v>
      </c>
      <c r="AB1471">
        <v>2</v>
      </c>
      <c r="AC1471" t="s">
        <v>100</v>
      </c>
      <c r="AD1471" t="s">
        <v>100</v>
      </c>
      <c r="AE1471" t="s">
        <v>100</v>
      </c>
      <c r="AF1471">
        <v>1</v>
      </c>
      <c r="AK1471">
        <v>15</v>
      </c>
      <c r="AL1471">
        <v>1</v>
      </c>
      <c r="AM1471">
        <v>2</v>
      </c>
      <c r="AN1471" t="s">
        <v>100</v>
      </c>
      <c r="AQ1471" t="s">
        <v>100</v>
      </c>
      <c r="AT1471" t="s">
        <v>100</v>
      </c>
      <c r="AU1471">
        <v>29</v>
      </c>
      <c r="AV1471" t="s">
        <v>100</v>
      </c>
      <c r="AW1471">
        <v>320</v>
      </c>
      <c r="AX1471">
        <v>729</v>
      </c>
      <c r="AZ1471" t="s">
        <v>101</v>
      </c>
      <c r="BA1471">
        <v>1</v>
      </c>
      <c r="BC1471" t="s">
        <v>3038</v>
      </c>
      <c r="BD1471" s="4">
        <v>43283.675694444442</v>
      </c>
      <c r="BE1471" s="4">
        <v>43283.684293981481</v>
      </c>
      <c r="BF1471" s="4">
        <v>43283.684293981481</v>
      </c>
      <c r="BG1471" t="s">
        <v>83</v>
      </c>
      <c r="BH1471" t="s">
        <v>84</v>
      </c>
      <c r="BI1471" t="s">
        <v>85</v>
      </c>
    </row>
    <row r="1472" spans="1:61" x14ac:dyDescent="0.3">
      <c r="A1472" t="str">
        <f>"201290B0100"</f>
        <v>201290B0100</v>
      </c>
      <c r="B1472" t="s">
        <v>3039</v>
      </c>
      <c r="C1472">
        <v>20</v>
      </c>
      <c r="D1472" t="s">
        <v>79</v>
      </c>
      <c r="E1472">
        <v>7</v>
      </c>
      <c r="F1472" t="s">
        <v>2811</v>
      </c>
      <c r="G1472">
        <v>1290</v>
      </c>
      <c r="H1472">
        <v>1</v>
      </c>
      <c r="I1472" t="s">
        <v>81</v>
      </c>
      <c r="J1472">
        <v>0</v>
      </c>
      <c r="K1472">
        <v>2</v>
      </c>
      <c r="L1472">
        <v>2</v>
      </c>
      <c r="AX1472">
        <v>479</v>
      </c>
      <c r="AZ1472" t="s">
        <v>156</v>
      </c>
      <c r="BA1472">
        <v>0</v>
      </c>
      <c r="BC1472" t="s">
        <v>3040</v>
      </c>
      <c r="BD1472" s="4">
        <v>43283.696527777778</v>
      </c>
      <c r="BE1472" s="4">
        <v>43283.700023148151</v>
      </c>
      <c r="BF1472" s="4">
        <v>43283.700023148151</v>
      </c>
      <c r="BG1472" t="s">
        <v>83</v>
      </c>
      <c r="BH1472" t="s">
        <v>84</v>
      </c>
      <c r="BI1472" t="s">
        <v>85</v>
      </c>
    </row>
    <row r="1473" spans="1:61" x14ac:dyDescent="0.3">
      <c r="A1473" t="str">
        <f>"201290C0100"</f>
        <v>201290C0100</v>
      </c>
      <c r="B1473" t="s">
        <v>3041</v>
      </c>
      <c r="C1473">
        <v>20</v>
      </c>
      <c r="D1473" t="s">
        <v>79</v>
      </c>
      <c r="E1473">
        <v>7</v>
      </c>
      <c r="F1473" t="s">
        <v>2811</v>
      </c>
      <c r="G1473">
        <v>1290</v>
      </c>
      <c r="H1473">
        <v>1</v>
      </c>
      <c r="I1473" t="s">
        <v>89</v>
      </c>
      <c r="J1473">
        <v>0</v>
      </c>
      <c r="K1473">
        <v>2</v>
      </c>
      <c r="L1473">
        <v>2</v>
      </c>
      <c r="AX1473">
        <v>479</v>
      </c>
      <c r="AZ1473" t="s">
        <v>156</v>
      </c>
      <c r="BA1473">
        <v>0</v>
      </c>
      <c r="BC1473" t="s">
        <v>3042</v>
      </c>
      <c r="BD1473" s="4">
        <v>43283.695833333331</v>
      </c>
      <c r="BE1473" s="4">
        <v>43283.699907407405</v>
      </c>
      <c r="BF1473" s="4">
        <v>43283.699907407405</v>
      </c>
      <c r="BG1473" t="s">
        <v>83</v>
      </c>
      <c r="BH1473" t="s">
        <v>84</v>
      </c>
      <c r="BI1473" t="s">
        <v>85</v>
      </c>
    </row>
    <row r="1474" spans="1:61" x14ac:dyDescent="0.3">
      <c r="A1474" t="str">
        <f>"201290E0100"</f>
        <v>201290E0100</v>
      </c>
      <c r="B1474" s="2" t="s">
        <v>3043</v>
      </c>
      <c r="C1474">
        <v>20</v>
      </c>
      <c r="D1474" t="s">
        <v>79</v>
      </c>
      <c r="E1474">
        <v>7</v>
      </c>
      <c r="F1474" t="s">
        <v>2811</v>
      </c>
      <c r="G1474">
        <v>1290</v>
      </c>
      <c r="H1474">
        <v>1</v>
      </c>
      <c r="I1474" t="s">
        <v>145</v>
      </c>
      <c r="J1474">
        <v>0</v>
      </c>
      <c r="K1474">
        <v>2</v>
      </c>
      <c r="L1474">
        <v>2</v>
      </c>
      <c r="M1474">
        <v>236</v>
      </c>
      <c r="N1474">
        <v>201</v>
      </c>
      <c r="O1474">
        <v>0</v>
      </c>
      <c r="P1474">
        <v>197</v>
      </c>
      <c r="Q1474">
        <v>7</v>
      </c>
      <c r="R1474">
        <v>37</v>
      </c>
      <c r="S1474">
        <v>14</v>
      </c>
      <c r="T1474">
        <v>10</v>
      </c>
      <c r="U1474">
        <v>16</v>
      </c>
      <c r="V1474">
        <v>11</v>
      </c>
      <c r="W1474">
        <v>7</v>
      </c>
      <c r="X1474">
        <v>3</v>
      </c>
      <c r="Y1474">
        <v>47</v>
      </c>
      <c r="Z1474">
        <v>9</v>
      </c>
      <c r="AB1474">
        <v>1</v>
      </c>
      <c r="AC1474">
        <v>1</v>
      </c>
      <c r="AD1474">
        <v>0</v>
      </c>
      <c r="AE1474">
        <v>0</v>
      </c>
      <c r="AF1474">
        <v>0</v>
      </c>
      <c r="AK1474">
        <v>0</v>
      </c>
      <c r="AL1474">
        <v>0</v>
      </c>
      <c r="AM1474">
        <v>0</v>
      </c>
      <c r="AN1474">
        <v>0</v>
      </c>
      <c r="AQ1474">
        <v>0</v>
      </c>
      <c r="AT1474">
        <v>0</v>
      </c>
      <c r="AU1474">
        <v>33</v>
      </c>
      <c r="AV1474">
        <v>197</v>
      </c>
      <c r="AW1474">
        <v>196</v>
      </c>
      <c r="AX1474">
        <v>415</v>
      </c>
      <c r="BA1474">
        <v>1</v>
      </c>
      <c r="BC1474" t="s">
        <v>3044</v>
      </c>
      <c r="BD1474" s="4">
        <v>43283.65347222222</v>
      </c>
      <c r="BE1474" s="4">
        <v>43283.658738425926</v>
      </c>
      <c r="BF1474" s="4">
        <v>43283.658738425926</v>
      </c>
      <c r="BG1474" t="s">
        <v>83</v>
      </c>
      <c r="BH1474" t="s">
        <v>84</v>
      </c>
      <c r="BI1474" t="s">
        <v>85</v>
      </c>
    </row>
    <row r="1475" spans="1:61" x14ac:dyDescent="0.3">
      <c r="A1475" t="str">
        <f>"201290E0101"</f>
        <v>201290E0101</v>
      </c>
      <c r="B1475" s="2" t="s">
        <v>3045</v>
      </c>
      <c r="C1475">
        <v>20</v>
      </c>
      <c r="D1475" t="s">
        <v>79</v>
      </c>
      <c r="E1475">
        <v>7</v>
      </c>
      <c r="F1475" t="s">
        <v>2811</v>
      </c>
      <c r="G1475">
        <v>1290</v>
      </c>
      <c r="H1475">
        <v>1</v>
      </c>
      <c r="I1475" t="s">
        <v>145</v>
      </c>
      <c r="J1475">
        <v>1</v>
      </c>
      <c r="K1475">
        <v>2</v>
      </c>
      <c r="L1475">
        <v>2</v>
      </c>
      <c r="M1475">
        <v>241</v>
      </c>
      <c r="N1475" t="s">
        <v>100</v>
      </c>
      <c r="O1475">
        <v>0</v>
      </c>
      <c r="P1475">
        <v>199</v>
      </c>
      <c r="Q1475">
        <v>11</v>
      </c>
      <c r="R1475">
        <v>38</v>
      </c>
      <c r="S1475">
        <v>12</v>
      </c>
      <c r="T1475">
        <v>14</v>
      </c>
      <c r="U1475">
        <v>14</v>
      </c>
      <c r="V1475">
        <v>6</v>
      </c>
      <c r="W1475">
        <v>3</v>
      </c>
      <c r="X1475">
        <v>5</v>
      </c>
      <c r="Y1475">
        <v>48</v>
      </c>
      <c r="Z1475">
        <v>4</v>
      </c>
      <c r="AB1475">
        <v>4</v>
      </c>
      <c r="AC1475">
        <v>0</v>
      </c>
      <c r="AD1475">
        <v>0</v>
      </c>
      <c r="AE1475">
        <v>0</v>
      </c>
      <c r="AF1475">
        <v>0</v>
      </c>
      <c r="AK1475">
        <v>4</v>
      </c>
      <c r="AL1475">
        <v>0</v>
      </c>
      <c r="AM1475">
        <v>0</v>
      </c>
      <c r="AN1475">
        <v>0</v>
      </c>
      <c r="AQ1475">
        <v>0</v>
      </c>
      <c r="AT1475">
        <v>0</v>
      </c>
      <c r="AU1475">
        <v>36</v>
      </c>
      <c r="AV1475">
        <v>199</v>
      </c>
      <c r="AW1475">
        <v>199</v>
      </c>
      <c r="AX1475">
        <v>414</v>
      </c>
      <c r="BA1475">
        <v>1</v>
      </c>
      <c r="BC1475" t="s">
        <v>3046</v>
      </c>
      <c r="BD1475" s="4">
        <v>43283.654861111114</v>
      </c>
      <c r="BE1475" s="4">
        <v>43283.664942129632</v>
      </c>
      <c r="BF1475" s="4">
        <v>43283.664942129632</v>
      </c>
      <c r="BG1475" t="s">
        <v>83</v>
      </c>
      <c r="BH1475" t="s">
        <v>84</v>
      </c>
      <c r="BI1475" t="s">
        <v>85</v>
      </c>
    </row>
    <row r="1476" spans="1:61" x14ac:dyDescent="0.3">
      <c r="A1476" t="str">
        <f>"201290E0200"</f>
        <v>201290E0200</v>
      </c>
      <c r="B1476" s="2" t="s">
        <v>3047</v>
      </c>
      <c r="C1476">
        <v>20</v>
      </c>
      <c r="D1476" t="s">
        <v>79</v>
      </c>
      <c r="E1476">
        <v>7</v>
      </c>
      <c r="F1476" t="s">
        <v>2811</v>
      </c>
      <c r="G1476">
        <v>1290</v>
      </c>
      <c r="H1476">
        <v>2</v>
      </c>
      <c r="I1476" t="s">
        <v>145</v>
      </c>
      <c r="J1476">
        <v>0</v>
      </c>
      <c r="K1476">
        <v>2</v>
      </c>
      <c r="L1476">
        <v>2</v>
      </c>
      <c r="M1476">
        <v>24</v>
      </c>
      <c r="N1476">
        <v>162</v>
      </c>
      <c r="O1476">
        <v>0</v>
      </c>
      <c r="P1476">
        <v>160</v>
      </c>
      <c r="Q1476">
        <v>1</v>
      </c>
      <c r="R1476">
        <v>2</v>
      </c>
      <c r="S1476">
        <v>7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126</v>
      </c>
      <c r="Z1476">
        <v>21</v>
      </c>
      <c r="AB1476">
        <v>0</v>
      </c>
      <c r="AC1476">
        <v>0</v>
      </c>
      <c r="AD1476">
        <v>0</v>
      </c>
      <c r="AE1476">
        <v>0</v>
      </c>
      <c r="AF1476">
        <v>0</v>
      </c>
      <c r="AK1476">
        <v>0</v>
      </c>
      <c r="AL1476">
        <v>0</v>
      </c>
      <c r="AM1476">
        <v>0</v>
      </c>
      <c r="AN1476">
        <v>0</v>
      </c>
      <c r="AQ1476">
        <v>0</v>
      </c>
      <c r="AT1476">
        <v>0</v>
      </c>
      <c r="AU1476">
        <v>2</v>
      </c>
      <c r="AV1476">
        <v>160</v>
      </c>
      <c r="AW1476">
        <v>159</v>
      </c>
      <c r="AX1476">
        <v>162</v>
      </c>
      <c r="BA1476">
        <v>1</v>
      </c>
      <c r="BC1476" t="s">
        <v>3048</v>
      </c>
      <c r="BD1476" s="4">
        <v>43283.668749999997</v>
      </c>
      <c r="BE1476" s="4">
        <v>43283.672824074078</v>
      </c>
      <c r="BF1476" s="4">
        <v>43283.672824074078</v>
      </c>
      <c r="BG1476" t="s">
        <v>83</v>
      </c>
      <c r="BH1476" t="s">
        <v>84</v>
      </c>
      <c r="BI1476" t="s">
        <v>85</v>
      </c>
    </row>
    <row r="1477" spans="1:61" x14ac:dyDescent="0.3">
      <c r="A1477" t="str">
        <f>"201449B0100"</f>
        <v>201449B0100</v>
      </c>
      <c r="B1477" t="s">
        <v>3049</v>
      </c>
      <c r="C1477">
        <v>20</v>
      </c>
      <c r="D1477" t="s">
        <v>79</v>
      </c>
      <c r="E1477">
        <v>7</v>
      </c>
      <c r="F1477" t="s">
        <v>2811</v>
      </c>
      <c r="G1477">
        <v>1449</v>
      </c>
      <c r="H1477">
        <v>1</v>
      </c>
      <c r="I1477" t="s">
        <v>81</v>
      </c>
      <c r="J1477">
        <v>0</v>
      </c>
      <c r="K1477">
        <v>2</v>
      </c>
      <c r="L1477">
        <v>2</v>
      </c>
      <c r="M1477">
        <v>221</v>
      </c>
      <c r="N1477" t="s">
        <v>100</v>
      </c>
      <c r="O1477" t="s">
        <v>100</v>
      </c>
      <c r="P1477">
        <v>519</v>
      </c>
      <c r="Q1477">
        <v>3</v>
      </c>
      <c r="R1477">
        <v>118</v>
      </c>
      <c r="S1477">
        <v>244</v>
      </c>
      <c r="T1477">
        <v>1</v>
      </c>
      <c r="U1477">
        <v>0</v>
      </c>
      <c r="V1477">
        <v>2</v>
      </c>
      <c r="W1477">
        <v>1</v>
      </c>
      <c r="X1477">
        <v>2</v>
      </c>
      <c r="Y1477">
        <v>128</v>
      </c>
      <c r="Z1477">
        <v>0</v>
      </c>
      <c r="AB1477">
        <v>1</v>
      </c>
      <c r="AC1477">
        <v>0</v>
      </c>
      <c r="AD1477">
        <v>0</v>
      </c>
      <c r="AE1477">
        <v>0</v>
      </c>
      <c r="AF1477">
        <v>0</v>
      </c>
      <c r="AK1477">
        <v>0</v>
      </c>
      <c r="AL1477">
        <v>3</v>
      </c>
      <c r="AM1477">
        <v>0</v>
      </c>
      <c r="AN1477">
        <v>2</v>
      </c>
      <c r="AQ1477">
        <v>2</v>
      </c>
      <c r="AT1477" t="s">
        <v>100</v>
      </c>
      <c r="AU1477">
        <v>12</v>
      </c>
      <c r="AV1477">
        <v>519</v>
      </c>
      <c r="AW1477">
        <v>519</v>
      </c>
      <c r="AX1477">
        <v>720</v>
      </c>
      <c r="AZ1477" t="s">
        <v>101</v>
      </c>
      <c r="BA1477">
        <v>1</v>
      </c>
      <c r="BC1477" t="s">
        <v>3050</v>
      </c>
      <c r="BD1477" s="4">
        <v>43283.421527777777</v>
      </c>
      <c r="BE1477" s="4">
        <v>43283.425821759258</v>
      </c>
      <c r="BF1477" s="4">
        <v>43283.425821759258</v>
      </c>
      <c r="BG1477" t="s">
        <v>83</v>
      </c>
      <c r="BH1477" t="s">
        <v>84</v>
      </c>
      <c r="BI1477" t="s">
        <v>85</v>
      </c>
    </row>
    <row r="1478" spans="1:61" x14ac:dyDescent="0.3">
      <c r="A1478" t="str">
        <f>"201449C0100"</f>
        <v>201449C0100</v>
      </c>
      <c r="B1478" t="s">
        <v>3051</v>
      </c>
      <c r="C1478">
        <v>20</v>
      </c>
      <c r="D1478" t="s">
        <v>79</v>
      </c>
      <c r="E1478">
        <v>7</v>
      </c>
      <c r="F1478" t="s">
        <v>2811</v>
      </c>
      <c r="G1478">
        <v>1449</v>
      </c>
      <c r="H1478">
        <v>1</v>
      </c>
      <c r="I1478" t="s">
        <v>89</v>
      </c>
      <c r="J1478">
        <v>0</v>
      </c>
      <c r="K1478">
        <v>2</v>
      </c>
      <c r="L1478">
        <v>2</v>
      </c>
      <c r="M1478">
        <v>235</v>
      </c>
      <c r="N1478">
        <v>506</v>
      </c>
      <c r="O1478">
        <v>0</v>
      </c>
      <c r="P1478" t="s">
        <v>100</v>
      </c>
      <c r="Q1478">
        <v>3</v>
      </c>
      <c r="R1478">
        <v>139</v>
      </c>
      <c r="S1478">
        <v>202</v>
      </c>
      <c r="T1478">
        <v>1</v>
      </c>
      <c r="U1478">
        <v>8</v>
      </c>
      <c r="V1478">
        <v>1</v>
      </c>
      <c r="W1478">
        <v>0</v>
      </c>
      <c r="X1478">
        <v>2</v>
      </c>
      <c r="Y1478">
        <v>138</v>
      </c>
      <c r="Z1478">
        <v>2</v>
      </c>
      <c r="AB1478">
        <v>2</v>
      </c>
      <c r="AC1478" t="s">
        <v>100</v>
      </c>
      <c r="AD1478" t="s">
        <v>100</v>
      </c>
      <c r="AE1478" t="s">
        <v>100</v>
      </c>
      <c r="AF1478" t="s">
        <v>100</v>
      </c>
      <c r="AK1478" t="s">
        <v>100</v>
      </c>
      <c r="AL1478" t="s">
        <v>100</v>
      </c>
      <c r="AM1478" t="s">
        <v>100</v>
      </c>
      <c r="AN1478" t="s">
        <v>100</v>
      </c>
      <c r="AQ1478" t="s">
        <v>100</v>
      </c>
      <c r="AT1478" t="s">
        <v>100</v>
      </c>
      <c r="AU1478" t="s">
        <v>100</v>
      </c>
      <c r="AV1478" t="s">
        <v>100</v>
      </c>
      <c r="AW1478">
        <v>498</v>
      </c>
      <c r="AX1478">
        <v>720</v>
      </c>
      <c r="AZ1478" t="s">
        <v>101</v>
      </c>
      <c r="BA1478">
        <v>1</v>
      </c>
      <c r="BC1478" t="s">
        <v>3052</v>
      </c>
      <c r="BD1478" s="4">
        <v>43283.720833333333</v>
      </c>
      <c r="BE1478" s="4">
        <v>43283.727384259262</v>
      </c>
      <c r="BF1478" s="4">
        <v>43283.727384259262</v>
      </c>
      <c r="BG1478" t="s">
        <v>83</v>
      </c>
      <c r="BH1478" t="s">
        <v>84</v>
      </c>
      <c r="BI1478" t="s">
        <v>85</v>
      </c>
    </row>
    <row r="1479" spans="1:61" x14ac:dyDescent="0.3">
      <c r="A1479" t="str">
        <f>"201449E0100"</f>
        <v>201449E0100</v>
      </c>
      <c r="B1479" s="2" t="s">
        <v>3053</v>
      </c>
      <c r="C1479">
        <v>20</v>
      </c>
      <c r="D1479" t="s">
        <v>79</v>
      </c>
      <c r="E1479">
        <v>7</v>
      </c>
      <c r="F1479" t="s">
        <v>2811</v>
      </c>
      <c r="G1479">
        <v>1449</v>
      </c>
      <c r="H1479">
        <v>1</v>
      </c>
      <c r="I1479" t="s">
        <v>145</v>
      </c>
      <c r="J1479">
        <v>0</v>
      </c>
      <c r="K1479">
        <v>2</v>
      </c>
      <c r="L1479">
        <v>2</v>
      </c>
      <c r="M1479">
        <v>187</v>
      </c>
      <c r="N1479">
        <v>466</v>
      </c>
      <c r="O1479">
        <v>0</v>
      </c>
      <c r="P1479">
        <v>466</v>
      </c>
      <c r="Q1479">
        <v>2</v>
      </c>
      <c r="R1479">
        <v>182</v>
      </c>
      <c r="S1479">
        <v>167</v>
      </c>
      <c r="T1479">
        <v>0</v>
      </c>
      <c r="U1479">
        <v>2</v>
      </c>
      <c r="V1479">
        <v>2</v>
      </c>
      <c r="W1479">
        <v>0</v>
      </c>
      <c r="X1479">
        <v>0</v>
      </c>
      <c r="Y1479">
        <v>96</v>
      </c>
      <c r="Z1479">
        <v>2</v>
      </c>
      <c r="AB1479">
        <v>0</v>
      </c>
      <c r="AC1479">
        <v>0</v>
      </c>
      <c r="AD1479">
        <v>0</v>
      </c>
      <c r="AE1479">
        <v>0</v>
      </c>
      <c r="AF1479">
        <v>0</v>
      </c>
      <c r="AK1479">
        <v>0</v>
      </c>
      <c r="AL1479">
        <v>0</v>
      </c>
      <c r="AM1479">
        <v>0</v>
      </c>
      <c r="AN1479">
        <v>0</v>
      </c>
      <c r="AQ1479">
        <v>0</v>
      </c>
      <c r="AT1479">
        <v>0</v>
      </c>
      <c r="AU1479">
        <v>13</v>
      </c>
      <c r="AV1479">
        <v>466</v>
      </c>
      <c r="AW1479">
        <v>466</v>
      </c>
      <c r="AX1479">
        <v>748</v>
      </c>
      <c r="BA1479">
        <v>1</v>
      </c>
      <c r="BC1479" t="s">
        <v>3054</v>
      </c>
      <c r="BD1479" s="4">
        <v>43283.725694444445</v>
      </c>
      <c r="BE1479" s="4">
        <v>43283.736284722225</v>
      </c>
      <c r="BF1479" s="4">
        <v>43283.736284722225</v>
      </c>
      <c r="BG1479" t="s">
        <v>83</v>
      </c>
      <c r="BH1479" t="s">
        <v>84</v>
      </c>
      <c r="BI1479" t="s">
        <v>85</v>
      </c>
    </row>
    <row r="1480" spans="1:61" x14ac:dyDescent="0.3">
      <c r="A1480" t="str">
        <f>"201450B0100"</f>
        <v>201450B0100</v>
      </c>
      <c r="B1480" t="s">
        <v>3055</v>
      </c>
      <c r="C1480">
        <v>20</v>
      </c>
      <c r="D1480" t="s">
        <v>79</v>
      </c>
      <c r="E1480">
        <v>7</v>
      </c>
      <c r="F1480" t="s">
        <v>2811</v>
      </c>
      <c r="G1480">
        <v>1450</v>
      </c>
      <c r="H1480">
        <v>1</v>
      </c>
      <c r="I1480" t="s">
        <v>81</v>
      </c>
      <c r="J1480">
        <v>0</v>
      </c>
      <c r="K1480">
        <v>1</v>
      </c>
      <c r="L1480">
        <v>2</v>
      </c>
      <c r="M1480">
        <v>190</v>
      </c>
      <c r="N1480">
        <v>462</v>
      </c>
      <c r="O1480">
        <v>0</v>
      </c>
      <c r="P1480" t="s">
        <v>315</v>
      </c>
      <c r="Q1480">
        <v>5</v>
      </c>
      <c r="R1480">
        <v>166</v>
      </c>
      <c r="S1480">
        <v>183</v>
      </c>
      <c r="T1480" t="s">
        <v>100</v>
      </c>
      <c r="U1480">
        <v>3</v>
      </c>
      <c r="V1480" t="s">
        <v>100</v>
      </c>
      <c r="W1480" t="s">
        <v>100</v>
      </c>
      <c r="X1480">
        <v>1</v>
      </c>
      <c r="Y1480">
        <v>91</v>
      </c>
      <c r="Z1480">
        <v>2</v>
      </c>
      <c r="AB1480" t="s">
        <v>100</v>
      </c>
      <c r="AC1480" t="s">
        <v>100</v>
      </c>
      <c r="AD1480" t="s">
        <v>100</v>
      </c>
      <c r="AE1480" t="s">
        <v>100</v>
      </c>
      <c r="AF1480" t="s">
        <v>100</v>
      </c>
      <c r="AK1480" t="s">
        <v>100</v>
      </c>
      <c r="AL1480" t="s">
        <v>100</v>
      </c>
      <c r="AM1480" t="s">
        <v>100</v>
      </c>
      <c r="AN1480" t="s">
        <v>100</v>
      </c>
      <c r="AQ1480" t="s">
        <v>100</v>
      </c>
      <c r="AT1480" t="s">
        <v>315</v>
      </c>
      <c r="AU1480">
        <v>11</v>
      </c>
      <c r="AV1480" t="s">
        <v>100</v>
      </c>
      <c r="AW1480">
        <v>462</v>
      </c>
      <c r="AX1480">
        <v>605</v>
      </c>
      <c r="AZ1480" t="s">
        <v>101</v>
      </c>
      <c r="BA1480">
        <v>1</v>
      </c>
      <c r="BC1480" t="s">
        <v>3056</v>
      </c>
      <c r="BD1480" s="4">
        <v>43283.616666666669</v>
      </c>
      <c r="BE1480" s="4">
        <v>43283.629861111112</v>
      </c>
      <c r="BF1480" s="4">
        <v>43283.629861111112</v>
      </c>
      <c r="BG1480" t="s">
        <v>83</v>
      </c>
      <c r="BH1480" t="s">
        <v>84</v>
      </c>
      <c r="BI1480" t="s">
        <v>85</v>
      </c>
    </row>
    <row r="1481" spans="1:61" x14ac:dyDescent="0.3">
      <c r="A1481" t="str">
        <f>"201450C0100"</f>
        <v>201450C0100</v>
      </c>
      <c r="B1481" t="s">
        <v>3057</v>
      </c>
      <c r="C1481">
        <v>20</v>
      </c>
      <c r="D1481" t="s">
        <v>79</v>
      </c>
      <c r="E1481">
        <v>7</v>
      </c>
      <c r="F1481" t="s">
        <v>2811</v>
      </c>
      <c r="G1481">
        <v>1450</v>
      </c>
      <c r="H1481">
        <v>1</v>
      </c>
      <c r="I1481" t="s">
        <v>89</v>
      </c>
      <c r="J1481">
        <v>0</v>
      </c>
      <c r="K1481">
        <v>1</v>
      </c>
      <c r="L1481">
        <v>2</v>
      </c>
      <c r="M1481">
        <v>200</v>
      </c>
      <c r="N1481">
        <v>427</v>
      </c>
      <c r="O1481" t="s">
        <v>100</v>
      </c>
      <c r="P1481" t="s">
        <v>100</v>
      </c>
      <c r="Q1481">
        <v>2</v>
      </c>
      <c r="R1481">
        <v>118</v>
      </c>
      <c r="S1481">
        <v>168</v>
      </c>
      <c r="T1481">
        <v>1</v>
      </c>
      <c r="U1481">
        <v>4</v>
      </c>
      <c r="V1481">
        <v>1</v>
      </c>
      <c r="W1481">
        <v>1</v>
      </c>
      <c r="X1481">
        <v>0</v>
      </c>
      <c r="Y1481">
        <v>111</v>
      </c>
      <c r="Z1481">
        <v>3</v>
      </c>
      <c r="AB1481">
        <v>3</v>
      </c>
      <c r="AC1481">
        <v>0</v>
      </c>
      <c r="AD1481">
        <v>0</v>
      </c>
      <c r="AE1481">
        <v>0</v>
      </c>
      <c r="AF1481">
        <v>2</v>
      </c>
      <c r="AK1481">
        <v>0</v>
      </c>
      <c r="AL1481">
        <v>0</v>
      </c>
      <c r="AM1481">
        <v>0</v>
      </c>
      <c r="AN1481">
        <v>0</v>
      </c>
      <c r="AQ1481">
        <v>0</v>
      </c>
      <c r="AT1481">
        <v>0</v>
      </c>
      <c r="AU1481">
        <v>12</v>
      </c>
      <c r="AV1481">
        <v>427</v>
      </c>
      <c r="AW1481">
        <v>426</v>
      </c>
      <c r="AX1481">
        <v>605</v>
      </c>
      <c r="BA1481">
        <v>1</v>
      </c>
      <c r="BC1481" t="s">
        <v>3058</v>
      </c>
      <c r="BD1481" s="4">
        <v>43283.619444444441</v>
      </c>
      <c r="BE1481" s="4">
        <v>43283.628912037035</v>
      </c>
      <c r="BF1481" s="4">
        <v>43283.628912037035</v>
      </c>
      <c r="BG1481" t="s">
        <v>83</v>
      </c>
      <c r="BH1481" t="s">
        <v>84</v>
      </c>
      <c r="BI1481" t="s">
        <v>85</v>
      </c>
    </row>
    <row r="1482" spans="1:61" x14ac:dyDescent="0.3">
      <c r="A1482" t="str">
        <f>"201451B0100"</f>
        <v>201451B0100</v>
      </c>
      <c r="B1482" t="s">
        <v>3059</v>
      </c>
      <c r="C1482">
        <v>20</v>
      </c>
      <c r="D1482" t="s">
        <v>79</v>
      </c>
      <c r="E1482">
        <v>7</v>
      </c>
      <c r="F1482" t="s">
        <v>2811</v>
      </c>
      <c r="G1482">
        <v>1451</v>
      </c>
      <c r="H1482">
        <v>1</v>
      </c>
      <c r="I1482" t="s">
        <v>81</v>
      </c>
      <c r="J1482">
        <v>0</v>
      </c>
      <c r="K1482">
        <v>2</v>
      </c>
      <c r="L1482">
        <v>2</v>
      </c>
      <c r="M1482">
        <v>179</v>
      </c>
      <c r="N1482">
        <v>448</v>
      </c>
      <c r="O1482">
        <v>0</v>
      </c>
      <c r="P1482">
        <v>452</v>
      </c>
      <c r="Q1482">
        <v>2</v>
      </c>
      <c r="R1482">
        <v>150</v>
      </c>
      <c r="S1482">
        <v>203</v>
      </c>
      <c r="T1482">
        <v>1</v>
      </c>
      <c r="U1482">
        <v>3</v>
      </c>
      <c r="V1482">
        <v>6</v>
      </c>
      <c r="W1482">
        <v>4</v>
      </c>
      <c r="X1482">
        <v>0</v>
      </c>
      <c r="Y1482">
        <v>73</v>
      </c>
      <c r="Z1482">
        <v>4</v>
      </c>
      <c r="AB1482">
        <v>0</v>
      </c>
      <c r="AC1482">
        <v>0</v>
      </c>
      <c r="AD1482">
        <v>0</v>
      </c>
      <c r="AE1482">
        <v>0</v>
      </c>
      <c r="AF1482">
        <v>0</v>
      </c>
      <c r="AK1482">
        <v>0</v>
      </c>
      <c r="AL1482">
        <v>0</v>
      </c>
      <c r="AM1482">
        <v>0</v>
      </c>
      <c r="AN1482">
        <v>0</v>
      </c>
      <c r="AQ1482">
        <v>0</v>
      </c>
      <c r="AT1482">
        <v>0</v>
      </c>
      <c r="AU1482">
        <v>6</v>
      </c>
      <c r="AV1482">
        <v>452</v>
      </c>
      <c r="AW1482">
        <v>452</v>
      </c>
      <c r="AX1482">
        <v>631</v>
      </c>
      <c r="BA1482">
        <v>1</v>
      </c>
      <c r="BC1482" t="s">
        <v>3060</v>
      </c>
      <c r="BD1482" s="4">
        <v>43283.624305555553</v>
      </c>
      <c r="BE1482" s="4">
        <v>43283.64162037037</v>
      </c>
      <c r="BF1482" s="4">
        <v>43283.64162037037</v>
      </c>
      <c r="BG1482" t="s">
        <v>83</v>
      </c>
      <c r="BH1482" t="s">
        <v>84</v>
      </c>
      <c r="BI1482" t="s">
        <v>85</v>
      </c>
    </row>
    <row r="1483" spans="1:61" x14ac:dyDescent="0.3">
      <c r="A1483" t="str">
        <f>"201451C0100"</f>
        <v>201451C0100</v>
      </c>
      <c r="B1483" t="s">
        <v>3061</v>
      </c>
      <c r="C1483">
        <v>20</v>
      </c>
      <c r="D1483" t="s">
        <v>79</v>
      </c>
      <c r="E1483">
        <v>7</v>
      </c>
      <c r="F1483" t="s">
        <v>2811</v>
      </c>
      <c r="G1483">
        <v>1451</v>
      </c>
      <c r="H1483">
        <v>1</v>
      </c>
      <c r="I1483" t="s">
        <v>89</v>
      </c>
      <c r="J1483">
        <v>0</v>
      </c>
      <c r="K1483">
        <v>2</v>
      </c>
      <c r="L1483">
        <v>2</v>
      </c>
      <c r="M1483" t="s">
        <v>315</v>
      </c>
      <c r="N1483" t="s">
        <v>315</v>
      </c>
      <c r="O1483">
        <v>4</v>
      </c>
      <c r="P1483" t="s">
        <v>315</v>
      </c>
      <c r="Q1483">
        <v>1</v>
      </c>
      <c r="R1483">
        <v>268</v>
      </c>
      <c r="S1483">
        <v>237</v>
      </c>
      <c r="T1483">
        <v>1</v>
      </c>
      <c r="U1483">
        <v>0</v>
      </c>
      <c r="V1483">
        <v>0</v>
      </c>
      <c r="W1483">
        <v>0</v>
      </c>
      <c r="X1483">
        <v>1</v>
      </c>
      <c r="Y1483">
        <v>54</v>
      </c>
      <c r="Z1483" t="s">
        <v>315</v>
      </c>
      <c r="AB1483">
        <v>1</v>
      </c>
      <c r="AC1483">
        <v>0</v>
      </c>
      <c r="AD1483">
        <v>0</v>
      </c>
      <c r="AE1483">
        <v>0</v>
      </c>
      <c r="AF1483">
        <v>0</v>
      </c>
      <c r="AK1483">
        <v>0</v>
      </c>
      <c r="AL1483">
        <v>0</v>
      </c>
      <c r="AM1483">
        <v>0</v>
      </c>
      <c r="AN1483">
        <v>0</v>
      </c>
      <c r="AQ1483">
        <v>0</v>
      </c>
      <c r="AT1483">
        <v>0</v>
      </c>
      <c r="AU1483">
        <v>12</v>
      </c>
      <c r="AV1483">
        <v>575</v>
      </c>
      <c r="AW1483">
        <v>575</v>
      </c>
      <c r="AX1483">
        <v>631</v>
      </c>
      <c r="AZ1483" t="s">
        <v>101</v>
      </c>
      <c r="BA1483">
        <v>1</v>
      </c>
      <c r="BC1483" t="s">
        <v>3062</v>
      </c>
      <c r="BD1483" s="4">
        <v>43283.670138888891</v>
      </c>
      <c r="BE1483" s="4">
        <v>43283.679629629631</v>
      </c>
      <c r="BF1483" s="4">
        <v>43283.679629629631</v>
      </c>
      <c r="BG1483" t="s">
        <v>83</v>
      </c>
      <c r="BH1483" t="s">
        <v>84</v>
      </c>
      <c r="BI1483" t="s">
        <v>85</v>
      </c>
    </row>
    <row r="1484" spans="1:61" x14ac:dyDescent="0.3">
      <c r="A1484" t="str">
        <f>"201617B0100"</f>
        <v>201617B0100</v>
      </c>
      <c r="B1484" t="s">
        <v>3063</v>
      </c>
      <c r="C1484">
        <v>20</v>
      </c>
      <c r="D1484" t="s">
        <v>79</v>
      </c>
      <c r="E1484">
        <v>7</v>
      </c>
      <c r="F1484" t="s">
        <v>2811</v>
      </c>
      <c r="G1484">
        <v>1617</v>
      </c>
      <c r="H1484">
        <v>1</v>
      </c>
      <c r="I1484" t="s">
        <v>81</v>
      </c>
      <c r="J1484">
        <v>0</v>
      </c>
      <c r="K1484">
        <v>2</v>
      </c>
      <c r="L1484">
        <v>2</v>
      </c>
      <c r="M1484">
        <v>383</v>
      </c>
      <c r="N1484">
        <v>354</v>
      </c>
      <c r="O1484">
        <v>1</v>
      </c>
      <c r="P1484">
        <v>354</v>
      </c>
      <c r="Q1484">
        <v>20</v>
      </c>
      <c r="R1484">
        <v>42</v>
      </c>
      <c r="S1484">
        <v>10</v>
      </c>
      <c r="T1484">
        <v>12</v>
      </c>
      <c r="U1484">
        <v>10</v>
      </c>
      <c r="V1484">
        <v>5</v>
      </c>
      <c r="W1484">
        <v>5</v>
      </c>
      <c r="X1484">
        <v>1</v>
      </c>
      <c r="Y1484">
        <v>202</v>
      </c>
      <c r="Z1484">
        <v>14</v>
      </c>
      <c r="AB1484">
        <v>6</v>
      </c>
      <c r="AC1484">
        <v>1</v>
      </c>
      <c r="AD1484">
        <v>1</v>
      </c>
      <c r="AE1484">
        <v>0</v>
      </c>
      <c r="AF1484">
        <v>0</v>
      </c>
      <c r="AK1484">
        <v>6</v>
      </c>
      <c r="AL1484">
        <v>2</v>
      </c>
      <c r="AM1484">
        <v>0</v>
      </c>
      <c r="AN1484">
        <v>4</v>
      </c>
      <c r="AQ1484">
        <v>1</v>
      </c>
      <c r="AT1484">
        <v>0</v>
      </c>
      <c r="AU1484">
        <v>12</v>
      </c>
      <c r="AV1484">
        <v>354</v>
      </c>
      <c r="AW1484">
        <v>354</v>
      </c>
      <c r="AX1484">
        <v>714</v>
      </c>
      <c r="BA1484">
        <v>1</v>
      </c>
      <c r="BC1484" t="s">
        <v>3064</v>
      </c>
      <c r="BD1484" s="4">
        <v>43283.563888888886</v>
      </c>
      <c r="BE1484" s="4">
        <v>43283.568668981483</v>
      </c>
      <c r="BF1484" s="4">
        <v>43283.568668981483</v>
      </c>
      <c r="BG1484" t="s">
        <v>83</v>
      </c>
      <c r="BH1484" t="s">
        <v>84</v>
      </c>
      <c r="BI1484" t="s">
        <v>85</v>
      </c>
    </row>
    <row r="1485" spans="1:61" x14ac:dyDescent="0.3">
      <c r="A1485" t="str">
        <f>"201617C0100"</f>
        <v>201617C0100</v>
      </c>
      <c r="B1485" t="s">
        <v>3065</v>
      </c>
      <c r="C1485">
        <v>20</v>
      </c>
      <c r="D1485" t="s">
        <v>79</v>
      </c>
      <c r="E1485">
        <v>7</v>
      </c>
      <c r="F1485" t="s">
        <v>2811</v>
      </c>
      <c r="G1485">
        <v>1617</v>
      </c>
      <c r="H1485">
        <v>1</v>
      </c>
      <c r="I1485" t="s">
        <v>89</v>
      </c>
      <c r="J1485">
        <v>0</v>
      </c>
      <c r="K1485">
        <v>2</v>
      </c>
      <c r="L1485">
        <v>2</v>
      </c>
      <c r="M1485" t="s">
        <v>315</v>
      </c>
      <c r="N1485" t="s">
        <v>315</v>
      </c>
      <c r="O1485" t="s">
        <v>315</v>
      </c>
      <c r="P1485" t="s">
        <v>315</v>
      </c>
      <c r="Q1485" t="s">
        <v>315</v>
      </c>
      <c r="R1485" t="s">
        <v>315</v>
      </c>
      <c r="S1485" t="s">
        <v>315</v>
      </c>
      <c r="T1485" t="s">
        <v>315</v>
      </c>
      <c r="U1485" t="s">
        <v>315</v>
      </c>
      <c r="V1485" t="s">
        <v>315</v>
      </c>
      <c r="W1485" t="s">
        <v>315</v>
      </c>
      <c r="X1485" t="s">
        <v>315</v>
      </c>
      <c r="Y1485" t="s">
        <v>315</v>
      </c>
      <c r="Z1485" t="s">
        <v>315</v>
      </c>
      <c r="AB1485" t="s">
        <v>315</v>
      </c>
      <c r="AC1485" t="s">
        <v>315</v>
      </c>
      <c r="AD1485" t="s">
        <v>315</v>
      </c>
      <c r="AE1485" t="s">
        <v>315</v>
      </c>
      <c r="AF1485" t="s">
        <v>315</v>
      </c>
      <c r="AK1485" t="s">
        <v>315</v>
      </c>
      <c r="AL1485" t="s">
        <v>315</v>
      </c>
      <c r="AM1485" t="s">
        <v>315</v>
      </c>
      <c r="AN1485" t="s">
        <v>315</v>
      </c>
      <c r="AQ1485" t="s">
        <v>315</v>
      </c>
      <c r="AT1485" t="s">
        <v>315</v>
      </c>
      <c r="AU1485" t="s">
        <v>315</v>
      </c>
      <c r="AX1485">
        <v>714</v>
      </c>
      <c r="AZ1485" t="s">
        <v>794</v>
      </c>
      <c r="BA1485">
        <v>0</v>
      </c>
      <c r="BC1485" t="s">
        <v>3066</v>
      </c>
      <c r="BD1485" s="4">
        <v>43283.556250000001</v>
      </c>
      <c r="BE1485" s="4">
        <v>43283.561585648145</v>
      </c>
      <c r="BF1485" s="4">
        <v>43283.561585648145</v>
      </c>
      <c r="BG1485" t="s">
        <v>83</v>
      </c>
      <c r="BH1485" t="s">
        <v>84</v>
      </c>
      <c r="BI1485" t="s">
        <v>85</v>
      </c>
    </row>
    <row r="1486" spans="1:61" x14ac:dyDescent="0.3">
      <c r="A1486" t="str">
        <f>"201618B0100"</f>
        <v>201618B0100</v>
      </c>
      <c r="B1486" t="s">
        <v>3067</v>
      </c>
      <c r="C1486">
        <v>20</v>
      </c>
      <c r="D1486" t="s">
        <v>79</v>
      </c>
      <c r="E1486">
        <v>7</v>
      </c>
      <c r="F1486" t="s">
        <v>2811</v>
      </c>
      <c r="G1486">
        <v>1618</v>
      </c>
      <c r="H1486">
        <v>1</v>
      </c>
      <c r="I1486" t="s">
        <v>81</v>
      </c>
      <c r="J1486">
        <v>0</v>
      </c>
      <c r="K1486">
        <v>2</v>
      </c>
      <c r="L1486">
        <v>2</v>
      </c>
      <c r="M1486">
        <v>231</v>
      </c>
      <c r="N1486" t="s">
        <v>100</v>
      </c>
      <c r="O1486" t="s">
        <v>100</v>
      </c>
      <c r="P1486" t="s">
        <v>100</v>
      </c>
      <c r="Q1486">
        <v>18</v>
      </c>
      <c r="R1486">
        <v>54</v>
      </c>
      <c r="S1486">
        <v>9</v>
      </c>
      <c r="T1486">
        <v>18</v>
      </c>
      <c r="U1486">
        <v>19</v>
      </c>
      <c r="V1486">
        <v>4</v>
      </c>
      <c r="W1486">
        <v>3</v>
      </c>
      <c r="X1486">
        <v>6</v>
      </c>
      <c r="Y1486">
        <v>165</v>
      </c>
      <c r="Z1486">
        <v>25</v>
      </c>
      <c r="AB1486">
        <v>4</v>
      </c>
      <c r="AC1486">
        <v>1</v>
      </c>
      <c r="AD1486">
        <v>0</v>
      </c>
      <c r="AE1486">
        <v>0</v>
      </c>
      <c r="AF1486">
        <v>0</v>
      </c>
      <c r="AK1486">
        <v>8</v>
      </c>
      <c r="AL1486">
        <v>0</v>
      </c>
      <c r="AM1486">
        <v>1</v>
      </c>
      <c r="AN1486">
        <v>2</v>
      </c>
      <c r="AQ1486">
        <v>0</v>
      </c>
      <c r="AT1486">
        <v>1</v>
      </c>
      <c r="AU1486">
        <v>18</v>
      </c>
      <c r="AV1486">
        <v>362</v>
      </c>
      <c r="AW1486">
        <v>356</v>
      </c>
      <c r="AX1486">
        <v>594</v>
      </c>
      <c r="BA1486">
        <v>1</v>
      </c>
      <c r="BC1486" t="s">
        <v>3068</v>
      </c>
      <c r="BD1486" s="4">
        <v>43283.554861111108</v>
      </c>
      <c r="BE1486" s="4">
        <v>43283.563194444447</v>
      </c>
      <c r="BF1486" s="4">
        <v>43283.563194444447</v>
      </c>
      <c r="BG1486" t="s">
        <v>83</v>
      </c>
      <c r="BH1486" t="s">
        <v>84</v>
      </c>
      <c r="BI1486" t="s">
        <v>85</v>
      </c>
    </row>
    <row r="1487" spans="1:61" x14ac:dyDescent="0.3">
      <c r="A1487" t="str">
        <f>"201618C0100"</f>
        <v>201618C0100</v>
      </c>
      <c r="B1487" t="s">
        <v>3069</v>
      </c>
      <c r="C1487">
        <v>20</v>
      </c>
      <c r="D1487" t="s">
        <v>79</v>
      </c>
      <c r="E1487">
        <v>7</v>
      </c>
      <c r="F1487" t="s">
        <v>2811</v>
      </c>
      <c r="G1487">
        <v>1618</v>
      </c>
      <c r="H1487">
        <v>1</v>
      </c>
      <c r="I1487" t="s">
        <v>89</v>
      </c>
      <c r="J1487">
        <v>0</v>
      </c>
      <c r="K1487">
        <v>2</v>
      </c>
      <c r="L1487">
        <v>2</v>
      </c>
      <c r="M1487">
        <v>248</v>
      </c>
      <c r="N1487">
        <v>367</v>
      </c>
      <c r="O1487">
        <v>6</v>
      </c>
      <c r="P1487">
        <v>367</v>
      </c>
      <c r="Q1487">
        <v>25</v>
      </c>
      <c r="R1487">
        <v>55</v>
      </c>
      <c r="S1487">
        <v>9</v>
      </c>
      <c r="T1487">
        <v>10</v>
      </c>
      <c r="U1487">
        <v>22</v>
      </c>
      <c r="V1487">
        <v>4</v>
      </c>
      <c r="W1487">
        <v>6</v>
      </c>
      <c r="X1487">
        <v>3</v>
      </c>
      <c r="Y1487">
        <v>160</v>
      </c>
      <c r="Z1487">
        <v>28</v>
      </c>
      <c r="AB1487">
        <v>9</v>
      </c>
      <c r="AC1487">
        <v>0</v>
      </c>
      <c r="AD1487">
        <v>0</v>
      </c>
      <c r="AE1487">
        <v>2</v>
      </c>
      <c r="AF1487">
        <v>0</v>
      </c>
      <c r="AK1487">
        <v>10</v>
      </c>
      <c r="AL1487">
        <v>0</v>
      </c>
      <c r="AM1487">
        <v>0</v>
      </c>
      <c r="AN1487">
        <v>4</v>
      </c>
      <c r="AQ1487">
        <v>0</v>
      </c>
      <c r="AT1487">
        <v>0</v>
      </c>
      <c r="AU1487">
        <v>20</v>
      </c>
      <c r="AV1487">
        <v>367</v>
      </c>
      <c r="AW1487">
        <v>367</v>
      </c>
      <c r="AX1487">
        <v>593</v>
      </c>
      <c r="BA1487">
        <v>1</v>
      </c>
      <c r="BC1487" t="s">
        <v>3070</v>
      </c>
      <c r="BD1487" s="4">
        <v>43283.644444444442</v>
      </c>
      <c r="BE1487" s="4">
        <v>43283.649872685186</v>
      </c>
      <c r="BF1487" s="4">
        <v>43283.649872685186</v>
      </c>
      <c r="BG1487" t="s">
        <v>83</v>
      </c>
      <c r="BH1487" t="s">
        <v>84</v>
      </c>
      <c r="BI1487" t="s">
        <v>85</v>
      </c>
    </row>
    <row r="1488" spans="1:61" x14ac:dyDescent="0.3">
      <c r="A1488" t="str">
        <f>"201619B0100"</f>
        <v>201619B0100</v>
      </c>
      <c r="B1488" t="s">
        <v>3071</v>
      </c>
      <c r="C1488">
        <v>20</v>
      </c>
      <c r="D1488" t="s">
        <v>79</v>
      </c>
      <c r="E1488">
        <v>7</v>
      </c>
      <c r="F1488" t="s">
        <v>2811</v>
      </c>
      <c r="G1488">
        <v>1619</v>
      </c>
      <c r="H1488">
        <v>1</v>
      </c>
      <c r="I1488" t="s">
        <v>81</v>
      </c>
      <c r="J1488">
        <v>0</v>
      </c>
      <c r="K1488">
        <v>2</v>
      </c>
      <c r="L1488">
        <v>2</v>
      </c>
      <c r="M1488">
        <v>449</v>
      </c>
      <c r="N1488">
        <v>308</v>
      </c>
      <c r="O1488">
        <v>5</v>
      </c>
      <c r="P1488">
        <v>308</v>
      </c>
      <c r="Q1488">
        <v>26</v>
      </c>
      <c r="R1488">
        <v>43</v>
      </c>
      <c r="S1488">
        <v>17</v>
      </c>
      <c r="T1488">
        <v>12</v>
      </c>
      <c r="U1488">
        <v>15</v>
      </c>
      <c r="V1488">
        <v>1</v>
      </c>
      <c r="W1488">
        <v>5</v>
      </c>
      <c r="X1488">
        <v>3</v>
      </c>
      <c r="Y1488">
        <v>126</v>
      </c>
      <c r="Z1488">
        <v>15</v>
      </c>
      <c r="AB1488">
        <v>3</v>
      </c>
      <c r="AC1488">
        <v>3</v>
      </c>
      <c r="AD1488">
        <v>3</v>
      </c>
      <c r="AE1488">
        <v>0</v>
      </c>
      <c r="AF1488">
        <v>0</v>
      </c>
      <c r="AK1488">
        <v>5</v>
      </c>
      <c r="AL1488">
        <v>1</v>
      </c>
      <c r="AM1488">
        <v>1</v>
      </c>
      <c r="AN1488">
        <v>1</v>
      </c>
      <c r="AQ1488">
        <v>0</v>
      </c>
      <c r="AT1488">
        <v>0</v>
      </c>
      <c r="AU1488">
        <v>28</v>
      </c>
      <c r="AV1488" t="s">
        <v>100</v>
      </c>
      <c r="AW1488">
        <v>308</v>
      </c>
      <c r="AX1488">
        <v>735</v>
      </c>
      <c r="BA1488">
        <v>1</v>
      </c>
      <c r="BC1488" t="s">
        <v>3072</v>
      </c>
      <c r="BD1488" s="4">
        <v>43283.541666666664</v>
      </c>
      <c r="BE1488" s="4">
        <v>43283.553726851853</v>
      </c>
      <c r="BF1488" s="4">
        <v>43283.553726851853</v>
      </c>
      <c r="BG1488" t="s">
        <v>83</v>
      </c>
      <c r="BH1488" t="s">
        <v>84</v>
      </c>
      <c r="BI1488" t="s">
        <v>85</v>
      </c>
    </row>
    <row r="1489" spans="1:61" x14ac:dyDescent="0.3">
      <c r="A1489" t="str">
        <f>"201620B0100"</f>
        <v>201620B0100</v>
      </c>
      <c r="B1489" t="s">
        <v>3073</v>
      </c>
      <c r="C1489">
        <v>20</v>
      </c>
      <c r="D1489" t="s">
        <v>79</v>
      </c>
      <c r="E1489">
        <v>7</v>
      </c>
      <c r="F1489" t="s">
        <v>2811</v>
      </c>
      <c r="G1489">
        <v>1620</v>
      </c>
      <c r="H1489">
        <v>1</v>
      </c>
      <c r="I1489" t="s">
        <v>81</v>
      </c>
      <c r="J1489">
        <v>0</v>
      </c>
      <c r="K1489">
        <v>2</v>
      </c>
      <c r="L1489">
        <v>2</v>
      </c>
      <c r="M1489">
        <v>205</v>
      </c>
      <c r="N1489">
        <v>157</v>
      </c>
      <c r="O1489">
        <v>5</v>
      </c>
      <c r="P1489">
        <v>154</v>
      </c>
      <c r="Q1489">
        <v>3</v>
      </c>
      <c r="R1489">
        <v>11</v>
      </c>
      <c r="S1489">
        <v>4</v>
      </c>
      <c r="T1489">
        <v>2</v>
      </c>
      <c r="U1489">
        <v>5</v>
      </c>
      <c r="V1489">
        <v>1</v>
      </c>
      <c r="W1489">
        <v>4</v>
      </c>
      <c r="X1489">
        <v>0</v>
      </c>
      <c r="Y1489">
        <v>97</v>
      </c>
      <c r="Z1489">
        <v>8</v>
      </c>
      <c r="AB1489">
        <v>4</v>
      </c>
      <c r="AC1489">
        <v>0</v>
      </c>
      <c r="AD1489">
        <v>0</v>
      </c>
      <c r="AE1489">
        <v>0</v>
      </c>
      <c r="AF1489">
        <v>0</v>
      </c>
      <c r="AK1489">
        <v>4</v>
      </c>
      <c r="AL1489">
        <v>0</v>
      </c>
      <c r="AM1489">
        <v>0</v>
      </c>
      <c r="AN1489">
        <v>4</v>
      </c>
      <c r="AQ1489">
        <v>0</v>
      </c>
      <c r="AT1489">
        <v>0</v>
      </c>
      <c r="AU1489">
        <v>7</v>
      </c>
      <c r="AV1489">
        <v>152</v>
      </c>
      <c r="AW1489">
        <v>154</v>
      </c>
      <c r="AX1489">
        <v>337</v>
      </c>
      <c r="BA1489">
        <v>1</v>
      </c>
      <c r="BC1489" t="s">
        <v>3074</v>
      </c>
      <c r="BD1489" s="4">
        <v>43283.692361111112</v>
      </c>
      <c r="BE1489" s="4">
        <v>43283.703969907408</v>
      </c>
      <c r="BF1489" s="4">
        <v>43283.703969907408</v>
      </c>
      <c r="BG1489" t="s">
        <v>83</v>
      </c>
      <c r="BH1489" t="s">
        <v>84</v>
      </c>
      <c r="BI1489" t="s">
        <v>85</v>
      </c>
    </row>
    <row r="1490" spans="1:61" x14ac:dyDescent="0.3">
      <c r="A1490" t="str">
        <f>"201621B0100"</f>
        <v>201621B0100</v>
      </c>
      <c r="B1490" t="s">
        <v>3075</v>
      </c>
      <c r="C1490">
        <v>20</v>
      </c>
      <c r="D1490" t="s">
        <v>79</v>
      </c>
      <c r="E1490">
        <v>7</v>
      </c>
      <c r="F1490" t="s">
        <v>2811</v>
      </c>
      <c r="G1490">
        <v>1621</v>
      </c>
      <c r="H1490">
        <v>1</v>
      </c>
      <c r="I1490" t="s">
        <v>81</v>
      </c>
      <c r="J1490">
        <v>0</v>
      </c>
      <c r="K1490">
        <v>2</v>
      </c>
      <c r="L1490">
        <v>2</v>
      </c>
      <c r="M1490">
        <v>233</v>
      </c>
      <c r="N1490" t="s">
        <v>100</v>
      </c>
      <c r="O1490">
        <v>2</v>
      </c>
      <c r="P1490">
        <v>211</v>
      </c>
      <c r="Q1490">
        <v>6</v>
      </c>
      <c r="R1490">
        <v>27</v>
      </c>
      <c r="S1490">
        <v>7</v>
      </c>
      <c r="T1490">
        <v>8</v>
      </c>
      <c r="U1490">
        <v>14</v>
      </c>
      <c r="V1490">
        <v>3</v>
      </c>
      <c r="W1490">
        <v>3</v>
      </c>
      <c r="X1490">
        <v>3</v>
      </c>
      <c r="Y1490">
        <v>104</v>
      </c>
      <c r="Z1490">
        <v>9</v>
      </c>
      <c r="AB1490">
        <v>6</v>
      </c>
      <c r="AC1490">
        <v>2</v>
      </c>
      <c r="AD1490">
        <v>0</v>
      </c>
      <c r="AE1490">
        <v>0</v>
      </c>
      <c r="AF1490">
        <v>0</v>
      </c>
      <c r="AK1490">
        <v>2</v>
      </c>
      <c r="AL1490">
        <v>0</v>
      </c>
      <c r="AM1490">
        <v>0</v>
      </c>
      <c r="AN1490">
        <v>2</v>
      </c>
      <c r="AQ1490">
        <v>0</v>
      </c>
      <c r="AT1490">
        <v>0</v>
      </c>
      <c r="AU1490">
        <v>15</v>
      </c>
      <c r="AV1490" t="s">
        <v>100</v>
      </c>
      <c r="AW1490">
        <v>211</v>
      </c>
      <c r="AX1490">
        <v>423</v>
      </c>
      <c r="BA1490">
        <v>1</v>
      </c>
      <c r="BC1490" t="s">
        <v>3076</v>
      </c>
      <c r="BD1490" s="4">
        <v>43283.538888888892</v>
      </c>
      <c r="BE1490" s="4">
        <v>43283.543576388889</v>
      </c>
      <c r="BF1490" s="4">
        <v>43283.543576388889</v>
      </c>
      <c r="BG1490" t="s">
        <v>83</v>
      </c>
      <c r="BH1490" t="s">
        <v>84</v>
      </c>
      <c r="BI1490" t="s">
        <v>85</v>
      </c>
    </row>
    <row r="1491" spans="1:61" x14ac:dyDescent="0.3">
      <c r="A1491" t="str">
        <f>"201622B0100"</f>
        <v>201622B0100</v>
      </c>
      <c r="B1491" t="s">
        <v>3077</v>
      </c>
      <c r="C1491">
        <v>20</v>
      </c>
      <c r="D1491" t="s">
        <v>79</v>
      </c>
      <c r="E1491">
        <v>7</v>
      </c>
      <c r="F1491" t="s">
        <v>2811</v>
      </c>
      <c r="G1491">
        <v>1622</v>
      </c>
      <c r="H1491">
        <v>1</v>
      </c>
      <c r="I1491" t="s">
        <v>81</v>
      </c>
      <c r="J1491">
        <v>0</v>
      </c>
      <c r="K1491">
        <v>2</v>
      </c>
      <c r="L1491">
        <v>2</v>
      </c>
      <c r="M1491">
        <v>137</v>
      </c>
      <c r="N1491">
        <v>95</v>
      </c>
      <c r="O1491">
        <v>1</v>
      </c>
      <c r="P1491">
        <v>95</v>
      </c>
      <c r="Q1491">
        <v>4</v>
      </c>
      <c r="R1491">
        <v>16</v>
      </c>
      <c r="S1491">
        <v>7</v>
      </c>
      <c r="T1491">
        <v>9</v>
      </c>
      <c r="U1491">
        <v>4</v>
      </c>
      <c r="V1491">
        <v>3</v>
      </c>
      <c r="W1491">
        <v>1</v>
      </c>
      <c r="X1491">
        <v>3</v>
      </c>
      <c r="Y1491">
        <v>26</v>
      </c>
      <c r="Z1491">
        <v>4</v>
      </c>
      <c r="AB1491">
        <v>0</v>
      </c>
      <c r="AC1491">
        <v>0</v>
      </c>
      <c r="AD1491">
        <v>0</v>
      </c>
      <c r="AE1491">
        <v>0</v>
      </c>
      <c r="AF1491">
        <v>0</v>
      </c>
      <c r="AK1491">
        <v>1</v>
      </c>
      <c r="AL1491">
        <v>0</v>
      </c>
      <c r="AM1491">
        <v>0</v>
      </c>
      <c r="AN1491">
        <v>3</v>
      </c>
      <c r="AQ1491">
        <v>0</v>
      </c>
      <c r="AT1491">
        <v>0</v>
      </c>
      <c r="AU1491">
        <v>14</v>
      </c>
      <c r="AV1491">
        <v>95</v>
      </c>
      <c r="AW1491">
        <v>95</v>
      </c>
      <c r="AX1491">
        <v>210</v>
      </c>
      <c r="BA1491">
        <v>1</v>
      </c>
      <c r="BC1491" t="s">
        <v>3078</v>
      </c>
      <c r="BD1491" s="4">
        <v>43283.627083333333</v>
      </c>
      <c r="BE1491" s="4">
        <v>43283.630335648151</v>
      </c>
      <c r="BF1491" s="4">
        <v>43283.630335648151</v>
      </c>
      <c r="BG1491" t="s">
        <v>83</v>
      </c>
      <c r="BH1491" t="s">
        <v>84</v>
      </c>
      <c r="BI1491" t="s">
        <v>85</v>
      </c>
    </row>
    <row r="1492" spans="1:61" x14ac:dyDescent="0.3">
      <c r="A1492" t="str">
        <f>"201623B0100"</f>
        <v>201623B0100</v>
      </c>
      <c r="B1492" t="s">
        <v>3079</v>
      </c>
      <c r="C1492">
        <v>20</v>
      </c>
      <c r="D1492" t="s">
        <v>79</v>
      </c>
      <c r="E1492">
        <v>7</v>
      </c>
      <c r="F1492" t="s">
        <v>2811</v>
      </c>
      <c r="G1492">
        <v>1623</v>
      </c>
      <c r="H1492">
        <v>1</v>
      </c>
      <c r="I1492" t="s">
        <v>81</v>
      </c>
      <c r="J1492">
        <v>0</v>
      </c>
      <c r="K1492">
        <v>2</v>
      </c>
      <c r="L1492">
        <v>2</v>
      </c>
      <c r="M1492">
        <v>127</v>
      </c>
      <c r="N1492">
        <v>234</v>
      </c>
      <c r="O1492">
        <v>0</v>
      </c>
      <c r="P1492">
        <v>234</v>
      </c>
      <c r="Q1492">
        <v>4</v>
      </c>
      <c r="R1492">
        <v>21</v>
      </c>
      <c r="S1492">
        <v>30</v>
      </c>
      <c r="T1492">
        <v>3</v>
      </c>
      <c r="U1492">
        <v>7</v>
      </c>
      <c r="V1492">
        <v>1</v>
      </c>
      <c r="W1492">
        <v>1</v>
      </c>
      <c r="X1492">
        <v>6</v>
      </c>
      <c r="Y1492">
        <v>138</v>
      </c>
      <c r="Z1492">
        <v>5</v>
      </c>
      <c r="AB1492">
        <v>1</v>
      </c>
      <c r="AC1492">
        <v>0</v>
      </c>
      <c r="AD1492">
        <v>0</v>
      </c>
      <c r="AE1492">
        <v>0</v>
      </c>
      <c r="AF1492">
        <v>0</v>
      </c>
      <c r="AK1492">
        <v>1</v>
      </c>
      <c r="AL1492">
        <v>0</v>
      </c>
      <c r="AM1492">
        <v>0</v>
      </c>
      <c r="AN1492">
        <v>1</v>
      </c>
      <c r="AQ1492">
        <v>0</v>
      </c>
      <c r="AT1492">
        <v>0</v>
      </c>
      <c r="AU1492">
        <v>15</v>
      </c>
      <c r="AV1492">
        <v>234</v>
      </c>
      <c r="AW1492">
        <v>234</v>
      </c>
      <c r="AX1492">
        <v>339</v>
      </c>
      <c r="BA1492">
        <v>1</v>
      </c>
      <c r="BC1492" t="s">
        <v>3080</v>
      </c>
      <c r="BD1492" s="4">
        <v>43283.723611111112</v>
      </c>
      <c r="BE1492" s="4">
        <v>43283.72896990741</v>
      </c>
      <c r="BF1492" s="4">
        <v>43283.72896990741</v>
      </c>
      <c r="BG1492" t="s">
        <v>83</v>
      </c>
      <c r="BH1492" t="s">
        <v>84</v>
      </c>
      <c r="BI1492" t="s">
        <v>85</v>
      </c>
    </row>
    <row r="1493" spans="1:61" x14ac:dyDescent="0.3">
      <c r="A1493" t="str">
        <f>"201624B0100"</f>
        <v>201624B0100</v>
      </c>
      <c r="B1493" t="s">
        <v>3081</v>
      </c>
      <c r="C1493">
        <v>20</v>
      </c>
      <c r="D1493" t="s">
        <v>79</v>
      </c>
      <c r="E1493">
        <v>7</v>
      </c>
      <c r="F1493" t="s">
        <v>2811</v>
      </c>
      <c r="G1493">
        <v>1624</v>
      </c>
      <c r="H1493">
        <v>1</v>
      </c>
      <c r="I1493" t="s">
        <v>81</v>
      </c>
      <c r="J1493">
        <v>0</v>
      </c>
      <c r="K1493">
        <v>2</v>
      </c>
      <c r="L1493">
        <v>2</v>
      </c>
      <c r="M1493">
        <v>283</v>
      </c>
      <c r="N1493">
        <v>295</v>
      </c>
      <c r="O1493">
        <v>4</v>
      </c>
      <c r="P1493">
        <v>295</v>
      </c>
      <c r="Q1493">
        <v>2</v>
      </c>
      <c r="R1493">
        <v>17</v>
      </c>
      <c r="S1493">
        <v>15</v>
      </c>
      <c r="T1493">
        <v>2</v>
      </c>
      <c r="U1493">
        <v>13</v>
      </c>
      <c r="V1493">
        <v>3</v>
      </c>
      <c r="W1493">
        <v>1</v>
      </c>
      <c r="X1493">
        <v>5</v>
      </c>
      <c r="Y1493">
        <v>200</v>
      </c>
      <c r="Z1493">
        <v>8</v>
      </c>
      <c r="AB1493">
        <v>0</v>
      </c>
      <c r="AC1493">
        <v>0</v>
      </c>
      <c r="AD1493">
        <v>0</v>
      </c>
      <c r="AE1493">
        <v>0</v>
      </c>
      <c r="AF1493">
        <v>0</v>
      </c>
      <c r="AK1493">
        <v>10</v>
      </c>
      <c r="AL1493">
        <v>0</v>
      </c>
      <c r="AM1493">
        <v>0</v>
      </c>
      <c r="AN1493">
        <v>0</v>
      </c>
      <c r="AQ1493">
        <v>0</v>
      </c>
      <c r="AT1493">
        <v>0</v>
      </c>
      <c r="AU1493">
        <v>19</v>
      </c>
      <c r="AV1493">
        <v>295</v>
      </c>
      <c r="AW1493">
        <v>295</v>
      </c>
      <c r="AX1493">
        <v>556</v>
      </c>
      <c r="BA1493">
        <v>1</v>
      </c>
      <c r="BC1493" t="s">
        <v>3082</v>
      </c>
      <c r="BD1493" s="4">
        <v>43283.618055555555</v>
      </c>
      <c r="BE1493" s="4">
        <v>43283.623124999998</v>
      </c>
      <c r="BF1493" s="4">
        <v>43283.623124999998</v>
      </c>
      <c r="BG1493" t="s">
        <v>83</v>
      </c>
      <c r="BH1493" t="s">
        <v>84</v>
      </c>
      <c r="BI1493" t="s">
        <v>85</v>
      </c>
    </row>
    <row r="1494" spans="1:61" x14ac:dyDescent="0.3">
      <c r="A1494" t="str">
        <f>"201624C0100"</f>
        <v>201624C0100</v>
      </c>
      <c r="B1494" t="s">
        <v>3083</v>
      </c>
      <c r="C1494">
        <v>20</v>
      </c>
      <c r="D1494" t="s">
        <v>79</v>
      </c>
      <c r="E1494">
        <v>7</v>
      </c>
      <c r="F1494" t="s">
        <v>2811</v>
      </c>
      <c r="G1494">
        <v>1624</v>
      </c>
      <c r="H1494">
        <v>1</v>
      </c>
      <c r="I1494" t="s">
        <v>89</v>
      </c>
      <c r="J1494">
        <v>0</v>
      </c>
      <c r="K1494">
        <v>2</v>
      </c>
      <c r="L1494">
        <v>2</v>
      </c>
      <c r="M1494">
        <v>299</v>
      </c>
      <c r="N1494">
        <v>278</v>
      </c>
      <c r="O1494">
        <v>4</v>
      </c>
      <c r="P1494">
        <v>278</v>
      </c>
      <c r="Q1494">
        <v>3</v>
      </c>
      <c r="R1494">
        <v>12</v>
      </c>
      <c r="S1494">
        <v>22</v>
      </c>
      <c r="T1494">
        <v>4</v>
      </c>
      <c r="U1494">
        <v>13</v>
      </c>
      <c r="V1494">
        <v>1</v>
      </c>
      <c r="W1494">
        <v>5</v>
      </c>
      <c r="X1494">
        <v>6</v>
      </c>
      <c r="Y1494">
        <v>183</v>
      </c>
      <c r="Z1494">
        <v>7</v>
      </c>
      <c r="AB1494">
        <v>1</v>
      </c>
      <c r="AC1494" t="s">
        <v>100</v>
      </c>
      <c r="AD1494" t="s">
        <v>100</v>
      </c>
      <c r="AE1494" t="s">
        <v>100</v>
      </c>
      <c r="AF1494" t="s">
        <v>100</v>
      </c>
      <c r="AK1494">
        <v>6</v>
      </c>
      <c r="AL1494">
        <v>2</v>
      </c>
      <c r="AM1494" t="s">
        <v>100</v>
      </c>
      <c r="AN1494">
        <v>4</v>
      </c>
      <c r="AQ1494">
        <v>1</v>
      </c>
      <c r="AT1494" t="s">
        <v>100</v>
      </c>
      <c r="AU1494">
        <v>8</v>
      </c>
      <c r="AV1494">
        <v>278</v>
      </c>
      <c r="AW1494">
        <v>278</v>
      </c>
      <c r="AX1494">
        <v>556</v>
      </c>
      <c r="AZ1494" t="s">
        <v>101</v>
      </c>
      <c r="BA1494">
        <v>1</v>
      </c>
      <c r="BC1494" t="s">
        <v>3084</v>
      </c>
      <c r="BD1494" s="4">
        <v>43283.603472222225</v>
      </c>
      <c r="BE1494" s="4">
        <v>43283.608541666668</v>
      </c>
      <c r="BF1494" s="4">
        <v>43283.608541666668</v>
      </c>
      <c r="BG1494" t="s">
        <v>83</v>
      </c>
      <c r="BH1494" t="s">
        <v>84</v>
      </c>
      <c r="BI1494" t="s">
        <v>85</v>
      </c>
    </row>
    <row r="1495" spans="1:61" x14ac:dyDescent="0.3">
      <c r="A1495" t="str">
        <f>"201625B0100"</f>
        <v>201625B0100</v>
      </c>
      <c r="B1495" t="s">
        <v>3085</v>
      </c>
      <c r="C1495">
        <v>20</v>
      </c>
      <c r="D1495" t="s">
        <v>79</v>
      </c>
      <c r="E1495">
        <v>7</v>
      </c>
      <c r="F1495" t="s">
        <v>2811</v>
      </c>
      <c r="G1495">
        <v>1625</v>
      </c>
      <c r="H1495">
        <v>1</v>
      </c>
      <c r="I1495" t="s">
        <v>81</v>
      </c>
      <c r="J1495">
        <v>0</v>
      </c>
      <c r="K1495">
        <v>2</v>
      </c>
      <c r="L1495">
        <v>2</v>
      </c>
      <c r="M1495">
        <v>144</v>
      </c>
      <c r="N1495">
        <v>209</v>
      </c>
      <c r="O1495">
        <v>0</v>
      </c>
      <c r="P1495">
        <v>209</v>
      </c>
      <c r="Q1495">
        <v>1</v>
      </c>
      <c r="R1495">
        <v>3</v>
      </c>
      <c r="S1495">
        <v>6</v>
      </c>
      <c r="T1495">
        <v>3</v>
      </c>
      <c r="U1495">
        <v>11</v>
      </c>
      <c r="V1495">
        <v>2</v>
      </c>
      <c r="W1495">
        <v>2</v>
      </c>
      <c r="X1495">
        <v>5</v>
      </c>
      <c r="Y1495">
        <v>147</v>
      </c>
      <c r="Z1495">
        <v>3</v>
      </c>
      <c r="AB1495">
        <v>4</v>
      </c>
      <c r="AC1495">
        <v>0</v>
      </c>
      <c r="AD1495">
        <v>0</v>
      </c>
      <c r="AE1495">
        <v>0</v>
      </c>
      <c r="AF1495">
        <v>0</v>
      </c>
      <c r="AK1495">
        <v>0</v>
      </c>
      <c r="AL1495">
        <v>0</v>
      </c>
      <c r="AM1495">
        <v>1</v>
      </c>
      <c r="AN1495">
        <v>1</v>
      </c>
      <c r="AQ1495">
        <v>0</v>
      </c>
      <c r="AT1495">
        <v>2</v>
      </c>
      <c r="AU1495">
        <v>18</v>
      </c>
      <c r="AV1495">
        <v>209</v>
      </c>
      <c r="AW1495">
        <v>209</v>
      </c>
      <c r="AX1495">
        <v>333</v>
      </c>
      <c r="BA1495">
        <v>1</v>
      </c>
      <c r="BC1495" t="s">
        <v>3086</v>
      </c>
      <c r="BD1495" s="4">
        <v>43283.5625</v>
      </c>
      <c r="BE1495" s="4">
        <v>43283.571793981479</v>
      </c>
      <c r="BF1495" s="4">
        <v>43283.571793981479</v>
      </c>
      <c r="BG1495" t="s">
        <v>83</v>
      </c>
      <c r="BH1495" t="s">
        <v>84</v>
      </c>
      <c r="BI1495" t="s">
        <v>85</v>
      </c>
    </row>
    <row r="1496" spans="1:61" x14ac:dyDescent="0.3">
      <c r="A1496" t="str">
        <f>"201691B0100"</f>
        <v>201691B0100</v>
      </c>
      <c r="B1496" t="s">
        <v>3087</v>
      </c>
      <c r="C1496">
        <v>20</v>
      </c>
      <c r="D1496" t="s">
        <v>79</v>
      </c>
      <c r="E1496">
        <v>7</v>
      </c>
      <c r="F1496" t="s">
        <v>2811</v>
      </c>
      <c r="G1496">
        <v>1691</v>
      </c>
      <c r="H1496">
        <v>1</v>
      </c>
      <c r="I1496" t="s">
        <v>81</v>
      </c>
      <c r="J1496">
        <v>0</v>
      </c>
      <c r="K1496">
        <v>2</v>
      </c>
      <c r="L1496">
        <v>2</v>
      </c>
      <c r="M1496">
        <v>134</v>
      </c>
      <c r="N1496">
        <v>421</v>
      </c>
      <c r="O1496">
        <v>0</v>
      </c>
      <c r="P1496">
        <v>421</v>
      </c>
      <c r="Q1496">
        <v>1</v>
      </c>
      <c r="R1496">
        <v>143</v>
      </c>
      <c r="S1496">
        <v>64</v>
      </c>
      <c r="T1496">
        <v>9</v>
      </c>
      <c r="U1496">
        <v>6</v>
      </c>
      <c r="V1496">
        <v>1</v>
      </c>
      <c r="W1496">
        <v>1</v>
      </c>
      <c r="X1496">
        <v>1</v>
      </c>
      <c r="Y1496">
        <v>67</v>
      </c>
      <c r="Z1496">
        <v>4</v>
      </c>
      <c r="AB1496">
        <v>79</v>
      </c>
      <c r="AC1496">
        <v>1</v>
      </c>
      <c r="AD1496">
        <v>1</v>
      </c>
      <c r="AE1496">
        <v>0</v>
      </c>
      <c r="AF1496">
        <v>1</v>
      </c>
      <c r="AK1496">
        <v>1</v>
      </c>
      <c r="AL1496">
        <v>0</v>
      </c>
      <c r="AM1496">
        <v>0</v>
      </c>
      <c r="AN1496">
        <v>1</v>
      </c>
      <c r="AQ1496">
        <v>0</v>
      </c>
      <c r="AT1496">
        <v>0</v>
      </c>
      <c r="AU1496">
        <v>40</v>
      </c>
      <c r="AV1496">
        <v>421</v>
      </c>
      <c r="AW1496">
        <v>421</v>
      </c>
      <c r="AX1496">
        <v>533</v>
      </c>
      <c r="BA1496">
        <v>1</v>
      </c>
      <c r="BC1496" t="s">
        <v>3088</v>
      </c>
      <c r="BD1496" s="4">
        <v>43283.790277777778</v>
      </c>
      <c r="BE1496" s="4">
        <v>43283.795034722221</v>
      </c>
      <c r="BF1496" s="4">
        <v>43283.795034722221</v>
      </c>
      <c r="BG1496" t="s">
        <v>83</v>
      </c>
      <c r="BH1496" t="s">
        <v>84</v>
      </c>
      <c r="BI1496" t="s">
        <v>85</v>
      </c>
    </row>
    <row r="1497" spans="1:61" x14ac:dyDescent="0.3">
      <c r="A1497" t="str">
        <f>"201691C0100"</f>
        <v>201691C0100</v>
      </c>
      <c r="B1497" t="s">
        <v>3089</v>
      </c>
      <c r="C1497">
        <v>20</v>
      </c>
      <c r="D1497" t="s">
        <v>79</v>
      </c>
      <c r="E1497">
        <v>7</v>
      </c>
      <c r="F1497" t="s">
        <v>2811</v>
      </c>
      <c r="G1497">
        <v>1691</v>
      </c>
      <c r="H1497">
        <v>1</v>
      </c>
      <c r="I1497" t="s">
        <v>89</v>
      </c>
      <c r="J1497">
        <v>0</v>
      </c>
      <c r="K1497">
        <v>2</v>
      </c>
      <c r="L1497">
        <v>2</v>
      </c>
      <c r="M1497">
        <v>112</v>
      </c>
      <c r="N1497">
        <v>443</v>
      </c>
      <c r="O1497">
        <v>0</v>
      </c>
      <c r="P1497">
        <v>443</v>
      </c>
      <c r="Q1497">
        <v>0</v>
      </c>
      <c r="R1497">
        <v>124</v>
      </c>
      <c r="S1497">
        <v>93</v>
      </c>
      <c r="T1497">
        <v>10</v>
      </c>
      <c r="U1497">
        <v>19</v>
      </c>
      <c r="V1497">
        <v>1</v>
      </c>
      <c r="W1497">
        <v>1</v>
      </c>
      <c r="X1497">
        <v>2</v>
      </c>
      <c r="Y1497">
        <v>89</v>
      </c>
      <c r="Z1497">
        <v>5</v>
      </c>
      <c r="AB1497">
        <v>64</v>
      </c>
      <c r="AC1497">
        <v>0</v>
      </c>
      <c r="AD1497">
        <v>0</v>
      </c>
      <c r="AE1497">
        <v>0</v>
      </c>
      <c r="AF1497">
        <v>0</v>
      </c>
      <c r="AK1497">
        <v>0</v>
      </c>
      <c r="AL1497">
        <v>2</v>
      </c>
      <c r="AM1497">
        <v>0</v>
      </c>
      <c r="AN1497">
        <v>0</v>
      </c>
      <c r="AQ1497">
        <v>0</v>
      </c>
      <c r="AT1497">
        <v>0</v>
      </c>
      <c r="AU1497">
        <v>33</v>
      </c>
      <c r="AV1497">
        <v>443</v>
      </c>
      <c r="AW1497">
        <v>443</v>
      </c>
      <c r="AX1497">
        <v>533</v>
      </c>
      <c r="BA1497">
        <v>1</v>
      </c>
      <c r="BC1497" t="s">
        <v>3090</v>
      </c>
      <c r="BD1497" s="4">
        <v>43283.784722222219</v>
      </c>
      <c r="BE1497" s="4">
        <v>43283.787812499999</v>
      </c>
      <c r="BF1497" s="4">
        <v>43283.787812499999</v>
      </c>
      <c r="BG1497" t="s">
        <v>83</v>
      </c>
      <c r="BH1497" t="s">
        <v>84</v>
      </c>
      <c r="BI1497" t="s">
        <v>85</v>
      </c>
    </row>
    <row r="1498" spans="1:61" x14ac:dyDescent="0.3">
      <c r="A1498" t="str">
        <f>"201692B0100"</f>
        <v>201692B0100</v>
      </c>
      <c r="B1498" t="s">
        <v>3091</v>
      </c>
      <c r="C1498">
        <v>20</v>
      </c>
      <c r="D1498" t="s">
        <v>79</v>
      </c>
      <c r="E1498">
        <v>7</v>
      </c>
      <c r="F1498" t="s">
        <v>2811</v>
      </c>
      <c r="G1498">
        <v>1692</v>
      </c>
      <c r="H1498">
        <v>1</v>
      </c>
      <c r="I1498" t="s">
        <v>81</v>
      </c>
      <c r="J1498">
        <v>0</v>
      </c>
      <c r="K1498">
        <v>2</v>
      </c>
      <c r="L1498">
        <v>2</v>
      </c>
      <c r="M1498">
        <v>117</v>
      </c>
      <c r="N1498">
        <v>437</v>
      </c>
      <c r="O1498">
        <v>0</v>
      </c>
      <c r="P1498">
        <v>437</v>
      </c>
      <c r="Q1498">
        <v>2</v>
      </c>
      <c r="R1498">
        <v>145</v>
      </c>
      <c r="S1498">
        <v>146</v>
      </c>
      <c r="T1498">
        <v>8</v>
      </c>
      <c r="U1498">
        <v>9</v>
      </c>
      <c r="V1498">
        <v>2</v>
      </c>
      <c r="W1498">
        <v>1</v>
      </c>
      <c r="X1498" t="s">
        <v>100</v>
      </c>
      <c r="Y1498">
        <v>49</v>
      </c>
      <c r="Z1498">
        <v>1</v>
      </c>
      <c r="AB1498">
        <v>36</v>
      </c>
      <c r="AC1498" t="s">
        <v>100</v>
      </c>
      <c r="AD1498" t="s">
        <v>100</v>
      </c>
      <c r="AE1498" t="s">
        <v>100</v>
      </c>
      <c r="AF1498">
        <v>1</v>
      </c>
      <c r="AK1498" t="s">
        <v>100</v>
      </c>
      <c r="AL1498">
        <v>1</v>
      </c>
      <c r="AM1498" t="s">
        <v>100</v>
      </c>
      <c r="AN1498" t="s">
        <v>100</v>
      </c>
      <c r="AQ1498" t="s">
        <v>100</v>
      </c>
      <c r="AT1498" t="s">
        <v>100</v>
      </c>
      <c r="AU1498">
        <v>37</v>
      </c>
      <c r="AV1498">
        <v>437</v>
      </c>
      <c r="AW1498">
        <v>438</v>
      </c>
      <c r="AX1498">
        <v>532</v>
      </c>
      <c r="AZ1498" t="s">
        <v>101</v>
      </c>
      <c r="BA1498">
        <v>1</v>
      </c>
      <c r="BC1498" t="s">
        <v>3092</v>
      </c>
      <c r="BD1498" s="4">
        <v>43283.793055555558</v>
      </c>
      <c r="BE1498" s="4">
        <v>43283.800196759257</v>
      </c>
      <c r="BF1498" s="4">
        <v>43283.800196759257</v>
      </c>
      <c r="BG1498" t="s">
        <v>83</v>
      </c>
      <c r="BH1498" t="s">
        <v>84</v>
      </c>
      <c r="BI1498" t="s">
        <v>85</v>
      </c>
    </row>
    <row r="1499" spans="1:61" x14ac:dyDescent="0.3">
      <c r="A1499" t="str">
        <f>"201693B0100"</f>
        <v>201693B0100</v>
      </c>
      <c r="B1499" t="s">
        <v>3093</v>
      </c>
      <c r="C1499">
        <v>20</v>
      </c>
      <c r="D1499" t="s">
        <v>79</v>
      </c>
      <c r="E1499">
        <v>7</v>
      </c>
      <c r="F1499" t="s">
        <v>2811</v>
      </c>
      <c r="G1499">
        <v>1693</v>
      </c>
      <c r="H1499">
        <v>1</v>
      </c>
      <c r="I1499" t="s">
        <v>81</v>
      </c>
      <c r="J1499">
        <v>0</v>
      </c>
      <c r="K1499">
        <v>2</v>
      </c>
      <c r="L1499">
        <v>2</v>
      </c>
      <c r="M1499">
        <v>146</v>
      </c>
      <c r="N1499">
        <v>437</v>
      </c>
      <c r="O1499">
        <v>2</v>
      </c>
      <c r="P1499">
        <v>437</v>
      </c>
      <c r="Q1499">
        <v>1</v>
      </c>
      <c r="R1499">
        <v>32</v>
      </c>
      <c r="S1499">
        <v>135</v>
      </c>
      <c r="T1499">
        <v>3</v>
      </c>
      <c r="U1499">
        <v>11</v>
      </c>
      <c r="V1499">
        <v>2</v>
      </c>
      <c r="W1499">
        <v>1</v>
      </c>
      <c r="X1499">
        <v>1</v>
      </c>
      <c r="Y1499">
        <v>123</v>
      </c>
      <c r="Z1499">
        <v>8</v>
      </c>
      <c r="AB1499">
        <v>84</v>
      </c>
      <c r="AC1499">
        <v>0</v>
      </c>
      <c r="AD1499">
        <v>0</v>
      </c>
      <c r="AE1499">
        <v>0</v>
      </c>
      <c r="AF1499">
        <v>2</v>
      </c>
      <c r="AK1499">
        <v>0</v>
      </c>
      <c r="AL1499">
        <v>0</v>
      </c>
      <c r="AM1499">
        <v>0</v>
      </c>
      <c r="AN1499">
        <v>2</v>
      </c>
      <c r="AQ1499">
        <v>0</v>
      </c>
      <c r="AT1499" t="s">
        <v>100</v>
      </c>
      <c r="AU1499">
        <v>32</v>
      </c>
      <c r="AV1499">
        <v>437</v>
      </c>
      <c r="AW1499">
        <v>437</v>
      </c>
      <c r="AX1499">
        <v>563</v>
      </c>
      <c r="AZ1499" t="s">
        <v>101</v>
      </c>
      <c r="BA1499">
        <v>1</v>
      </c>
      <c r="BC1499" t="s">
        <v>3094</v>
      </c>
      <c r="BD1499" s="4">
        <v>43283.781944444447</v>
      </c>
      <c r="BE1499" s="4">
        <v>43283.786527777775</v>
      </c>
      <c r="BF1499" s="4">
        <v>43283.786527777775</v>
      </c>
      <c r="BG1499" t="s">
        <v>83</v>
      </c>
      <c r="BH1499" t="s">
        <v>84</v>
      </c>
      <c r="BI1499" t="s">
        <v>85</v>
      </c>
    </row>
    <row r="1500" spans="1:61" x14ac:dyDescent="0.3">
      <c r="A1500" t="str">
        <f>"201693E0100"</f>
        <v>201693E0100</v>
      </c>
      <c r="B1500" s="2" t="s">
        <v>3095</v>
      </c>
      <c r="C1500">
        <v>20</v>
      </c>
      <c r="D1500" t="s">
        <v>79</v>
      </c>
      <c r="E1500">
        <v>7</v>
      </c>
      <c r="F1500" t="s">
        <v>2811</v>
      </c>
      <c r="G1500">
        <v>1693</v>
      </c>
      <c r="H1500">
        <v>1</v>
      </c>
      <c r="I1500" t="s">
        <v>145</v>
      </c>
      <c r="J1500">
        <v>0</v>
      </c>
      <c r="K1500">
        <v>2</v>
      </c>
      <c r="L1500">
        <v>2</v>
      </c>
      <c r="M1500">
        <v>218</v>
      </c>
      <c r="N1500">
        <v>496</v>
      </c>
      <c r="O1500">
        <v>0</v>
      </c>
      <c r="P1500">
        <v>496</v>
      </c>
      <c r="Q1500">
        <v>4</v>
      </c>
      <c r="R1500">
        <v>58</v>
      </c>
      <c r="S1500">
        <v>249</v>
      </c>
      <c r="T1500">
        <v>4</v>
      </c>
      <c r="U1500">
        <v>15</v>
      </c>
      <c r="V1500">
        <v>3</v>
      </c>
      <c r="W1500">
        <v>2</v>
      </c>
      <c r="X1500">
        <v>0</v>
      </c>
      <c r="Y1500">
        <v>71</v>
      </c>
      <c r="Z1500">
        <v>2</v>
      </c>
      <c r="AB1500">
        <v>48</v>
      </c>
      <c r="AC1500">
        <v>0</v>
      </c>
      <c r="AD1500">
        <v>0</v>
      </c>
      <c r="AE1500">
        <v>0</v>
      </c>
      <c r="AF1500">
        <v>1</v>
      </c>
      <c r="AK1500">
        <v>3</v>
      </c>
      <c r="AL1500">
        <v>0</v>
      </c>
      <c r="AM1500">
        <v>1</v>
      </c>
      <c r="AN1500">
        <v>0</v>
      </c>
      <c r="AQ1500">
        <v>1</v>
      </c>
      <c r="AT1500">
        <v>0</v>
      </c>
      <c r="AU1500">
        <v>34</v>
      </c>
      <c r="AV1500">
        <v>496</v>
      </c>
      <c r="AW1500">
        <v>496</v>
      </c>
      <c r="AX1500">
        <v>692</v>
      </c>
      <c r="BA1500">
        <v>1</v>
      </c>
      <c r="BC1500" t="s">
        <v>3096</v>
      </c>
      <c r="BD1500" s="4">
        <v>43283.801388888889</v>
      </c>
      <c r="BE1500" s="4">
        <v>43283.806180555555</v>
      </c>
      <c r="BF1500" s="4">
        <v>43283.806180555555</v>
      </c>
      <c r="BG1500" t="s">
        <v>83</v>
      </c>
      <c r="BH1500" t="s">
        <v>84</v>
      </c>
      <c r="BI1500" t="s">
        <v>85</v>
      </c>
    </row>
    <row r="1501" spans="1:61" x14ac:dyDescent="0.3">
      <c r="A1501" t="str">
        <f>"201694B0100"</f>
        <v>201694B0100</v>
      </c>
      <c r="B1501" t="s">
        <v>3097</v>
      </c>
      <c r="C1501">
        <v>20</v>
      </c>
      <c r="D1501" t="s">
        <v>79</v>
      </c>
      <c r="E1501">
        <v>7</v>
      </c>
      <c r="F1501" t="s">
        <v>2811</v>
      </c>
      <c r="G1501">
        <v>1694</v>
      </c>
      <c r="H1501">
        <v>1</v>
      </c>
      <c r="I1501" t="s">
        <v>81</v>
      </c>
      <c r="J1501">
        <v>0</v>
      </c>
      <c r="K1501">
        <v>2</v>
      </c>
      <c r="L1501">
        <v>2</v>
      </c>
      <c r="M1501">
        <v>132</v>
      </c>
      <c r="N1501">
        <v>324</v>
      </c>
      <c r="O1501">
        <v>0</v>
      </c>
      <c r="P1501">
        <v>324</v>
      </c>
      <c r="Q1501">
        <v>5</v>
      </c>
      <c r="R1501">
        <v>123</v>
      </c>
      <c r="S1501">
        <v>40</v>
      </c>
      <c r="T1501">
        <v>6</v>
      </c>
      <c r="U1501">
        <v>13</v>
      </c>
      <c r="V1501">
        <v>1</v>
      </c>
      <c r="W1501">
        <v>1</v>
      </c>
      <c r="X1501">
        <v>4</v>
      </c>
      <c r="Y1501">
        <v>26</v>
      </c>
      <c r="Z1501">
        <v>2</v>
      </c>
      <c r="AB1501">
        <v>75</v>
      </c>
      <c r="AC1501">
        <v>0</v>
      </c>
      <c r="AD1501">
        <v>0</v>
      </c>
      <c r="AE1501">
        <v>0</v>
      </c>
      <c r="AF1501">
        <v>0</v>
      </c>
      <c r="AK1501">
        <v>0</v>
      </c>
      <c r="AL1501">
        <v>0</v>
      </c>
      <c r="AM1501">
        <v>0</v>
      </c>
      <c r="AN1501">
        <v>0</v>
      </c>
      <c r="AQ1501">
        <v>0</v>
      </c>
      <c r="AT1501">
        <v>0</v>
      </c>
      <c r="AU1501">
        <v>28</v>
      </c>
      <c r="AV1501">
        <v>324</v>
      </c>
      <c r="AW1501">
        <v>324</v>
      </c>
      <c r="AX1501">
        <v>434</v>
      </c>
      <c r="BA1501">
        <v>1</v>
      </c>
      <c r="BC1501" t="s">
        <v>3098</v>
      </c>
      <c r="BD1501" s="4">
        <v>43283.78402777778</v>
      </c>
      <c r="BE1501" s="4">
        <v>43283.793171296296</v>
      </c>
      <c r="BF1501" s="4">
        <v>43283.793171296296</v>
      </c>
      <c r="BG1501" t="s">
        <v>83</v>
      </c>
      <c r="BH1501" t="s">
        <v>84</v>
      </c>
      <c r="BI1501" t="s">
        <v>85</v>
      </c>
    </row>
    <row r="1502" spans="1:61" x14ac:dyDescent="0.3">
      <c r="A1502" t="str">
        <f>"201694C0100"</f>
        <v>201694C0100</v>
      </c>
      <c r="B1502" t="s">
        <v>3099</v>
      </c>
      <c r="C1502">
        <v>20</v>
      </c>
      <c r="D1502" t="s">
        <v>79</v>
      </c>
      <c r="E1502">
        <v>7</v>
      </c>
      <c r="F1502" t="s">
        <v>2811</v>
      </c>
      <c r="G1502">
        <v>1694</v>
      </c>
      <c r="H1502">
        <v>1</v>
      </c>
      <c r="I1502" t="s">
        <v>89</v>
      </c>
      <c r="J1502">
        <v>0</v>
      </c>
      <c r="K1502">
        <v>2</v>
      </c>
      <c r="L1502">
        <v>2</v>
      </c>
      <c r="M1502">
        <v>111</v>
      </c>
      <c r="N1502">
        <v>345</v>
      </c>
      <c r="O1502">
        <v>2</v>
      </c>
      <c r="P1502">
        <v>345</v>
      </c>
      <c r="Q1502">
        <v>3</v>
      </c>
      <c r="R1502">
        <v>105</v>
      </c>
      <c r="S1502">
        <v>58</v>
      </c>
      <c r="T1502">
        <v>6</v>
      </c>
      <c r="U1502">
        <v>9</v>
      </c>
      <c r="V1502">
        <v>0</v>
      </c>
      <c r="W1502">
        <v>5</v>
      </c>
      <c r="X1502">
        <v>1</v>
      </c>
      <c r="Y1502">
        <v>41</v>
      </c>
      <c r="Z1502">
        <v>7</v>
      </c>
      <c r="AB1502">
        <v>89</v>
      </c>
      <c r="AC1502">
        <v>0</v>
      </c>
      <c r="AD1502">
        <v>1</v>
      </c>
      <c r="AE1502">
        <v>0</v>
      </c>
      <c r="AF1502">
        <v>0</v>
      </c>
      <c r="AK1502">
        <v>0</v>
      </c>
      <c r="AL1502">
        <v>0</v>
      </c>
      <c r="AM1502">
        <v>0</v>
      </c>
      <c r="AN1502">
        <v>0</v>
      </c>
      <c r="AQ1502">
        <v>0</v>
      </c>
      <c r="AT1502">
        <v>0</v>
      </c>
      <c r="AU1502">
        <v>20</v>
      </c>
      <c r="AV1502">
        <v>345</v>
      </c>
      <c r="AW1502">
        <v>345</v>
      </c>
      <c r="AX1502">
        <v>434</v>
      </c>
      <c r="BA1502">
        <v>1</v>
      </c>
      <c r="BC1502" t="s">
        <v>3100</v>
      </c>
      <c r="BD1502" s="4">
        <v>43283.769444444442</v>
      </c>
      <c r="BE1502" s="4">
        <v>43283.774513888886</v>
      </c>
      <c r="BF1502" s="4">
        <v>43283.774513888886</v>
      </c>
      <c r="BG1502" t="s">
        <v>83</v>
      </c>
      <c r="BH1502" t="s">
        <v>84</v>
      </c>
      <c r="BI1502" t="s">
        <v>85</v>
      </c>
    </row>
    <row r="1503" spans="1:61" x14ac:dyDescent="0.3">
      <c r="A1503" t="str">
        <f>"201695B0100"</f>
        <v>201695B0100</v>
      </c>
      <c r="B1503" t="s">
        <v>3101</v>
      </c>
      <c r="C1503">
        <v>20</v>
      </c>
      <c r="D1503" t="s">
        <v>79</v>
      </c>
      <c r="E1503">
        <v>7</v>
      </c>
      <c r="F1503" t="s">
        <v>2811</v>
      </c>
      <c r="G1503">
        <v>1695</v>
      </c>
      <c r="H1503">
        <v>1</v>
      </c>
      <c r="I1503" t="s">
        <v>81</v>
      </c>
      <c r="J1503">
        <v>0</v>
      </c>
      <c r="K1503">
        <v>2</v>
      </c>
      <c r="L1503">
        <v>2</v>
      </c>
      <c r="M1503">
        <v>154</v>
      </c>
      <c r="N1503">
        <v>489</v>
      </c>
      <c r="O1503">
        <v>7</v>
      </c>
      <c r="P1503">
        <v>1</v>
      </c>
      <c r="Q1503">
        <v>5</v>
      </c>
      <c r="R1503">
        <v>177</v>
      </c>
      <c r="S1503">
        <v>150</v>
      </c>
      <c r="T1503">
        <v>8</v>
      </c>
      <c r="U1503">
        <v>21</v>
      </c>
      <c r="V1503">
        <v>2</v>
      </c>
      <c r="W1503">
        <v>2</v>
      </c>
      <c r="X1503">
        <v>3</v>
      </c>
      <c r="Y1503">
        <v>69</v>
      </c>
      <c r="Z1503">
        <v>3</v>
      </c>
      <c r="AB1503">
        <v>10</v>
      </c>
      <c r="AC1503">
        <v>1</v>
      </c>
      <c r="AD1503">
        <v>0</v>
      </c>
      <c r="AE1503">
        <v>0</v>
      </c>
      <c r="AF1503">
        <v>0</v>
      </c>
      <c r="AK1503">
        <v>0</v>
      </c>
      <c r="AL1503">
        <v>1</v>
      </c>
      <c r="AM1503">
        <v>0</v>
      </c>
      <c r="AN1503">
        <v>0</v>
      </c>
      <c r="AQ1503">
        <v>1</v>
      </c>
      <c r="AT1503">
        <v>0</v>
      </c>
      <c r="AU1503">
        <v>35</v>
      </c>
      <c r="AV1503">
        <v>489</v>
      </c>
      <c r="AW1503">
        <v>488</v>
      </c>
      <c r="AX1503">
        <v>621</v>
      </c>
      <c r="BA1503">
        <v>1</v>
      </c>
      <c r="BC1503" t="s">
        <v>3102</v>
      </c>
      <c r="BD1503" s="4">
        <v>43283.779861111114</v>
      </c>
      <c r="BE1503" s="4">
        <v>43283.78628472222</v>
      </c>
      <c r="BF1503" s="4">
        <v>43283.78628472222</v>
      </c>
      <c r="BG1503" t="s">
        <v>83</v>
      </c>
      <c r="BH1503" t="s">
        <v>84</v>
      </c>
      <c r="BI1503" t="s">
        <v>85</v>
      </c>
    </row>
    <row r="1504" spans="1:61" x14ac:dyDescent="0.3">
      <c r="A1504" t="str">
        <f>"201695E0100"</f>
        <v>201695E0100</v>
      </c>
      <c r="B1504" s="2" t="s">
        <v>3103</v>
      </c>
      <c r="C1504">
        <v>20</v>
      </c>
      <c r="D1504" t="s">
        <v>79</v>
      </c>
      <c r="E1504">
        <v>7</v>
      </c>
      <c r="F1504" t="s">
        <v>2811</v>
      </c>
      <c r="G1504">
        <v>1695</v>
      </c>
      <c r="H1504">
        <v>1</v>
      </c>
      <c r="I1504" t="s">
        <v>145</v>
      </c>
      <c r="J1504">
        <v>0</v>
      </c>
      <c r="K1504">
        <v>2</v>
      </c>
      <c r="L1504">
        <v>2</v>
      </c>
      <c r="M1504">
        <v>59</v>
      </c>
      <c r="N1504">
        <v>221</v>
      </c>
      <c r="O1504">
        <v>4</v>
      </c>
      <c r="P1504">
        <v>221</v>
      </c>
      <c r="Q1504">
        <v>1</v>
      </c>
      <c r="R1504">
        <v>112</v>
      </c>
      <c r="S1504">
        <v>9</v>
      </c>
      <c r="T1504">
        <v>5</v>
      </c>
      <c r="U1504">
        <v>8</v>
      </c>
      <c r="V1504">
        <v>0</v>
      </c>
      <c r="W1504">
        <v>1</v>
      </c>
      <c r="X1504">
        <v>0</v>
      </c>
      <c r="Y1504">
        <v>8</v>
      </c>
      <c r="Z1504">
        <v>1</v>
      </c>
      <c r="AB1504">
        <v>63</v>
      </c>
      <c r="AC1504">
        <v>0</v>
      </c>
      <c r="AD1504">
        <v>0</v>
      </c>
      <c r="AE1504">
        <v>0</v>
      </c>
      <c r="AF1504">
        <v>0</v>
      </c>
      <c r="AK1504">
        <v>0</v>
      </c>
      <c r="AL1504">
        <v>0</v>
      </c>
      <c r="AM1504">
        <v>0</v>
      </c>
      <c r="AN1504">
        <v>0</v>
      </c>
      <c r="AQ1504">
        <v>0</v>
      </c>
      <c r="AT1504">
        <v>0</v>
      </c>
      <c r="AU1504">
        <v>13</v>
      </c>
      <c r="AV1504">
        <v>221</v>
      </c>
      <c r="AW1504">
        <v>221</v>
      </c>
      <c r="AX1504">
        <v>258</v>
      </c>
      <c r="BA1504">
        <v>1</v>
      </c>
      <c r="BC1504" t="s">
        <v>3104</v>
      </c>
      <c r="BD1504" s="4">
        <v>43283.775000000001</v>
      </c>
      <c r="BE1504" s="4">
        <v>43283.782789351855</v>
      </c>
      <c r="BF1504" s="4">
        <v>43283.782789351855</v>
      </c>
      <c r="BG1504" t="s">
        <v>83</v>
      </c>
      <c r="BH1504" t="s">
        <v>84</v>
      </c>
      <c r="BI1504" t="s">
        <v>85</v>
      </c>
    </row>
    <row r="1505" spans="1:61" x14ac:dyDescent="0.3">
      <c r="A1505" t="str">
        <f>"201696B0100"</f>
        <v>201696B0100</v>
      </c>
      <c r="B1505" t="s">
        <v>3105</v>
      </c>
      <c r="C1505">
        <v>20</v>
      </c>
      <c r="D1505" t="s">
        <v>79</v>
      </c>
      <c r="E1505">
        <v>7</v>
      </c>
      <c r="F1505" t="s">
        <v>2811</v>
      </c>
      <c r="G1505">
        <v>1696</v>
      </c>
      <c r="H1505">
        <v>1</v>
      </c>
      <c r="I1505" t="s">
        <v>81</v>
      </c>
      <c r="J1505">
        <v>0</v>
      </c>
      <c r="K1505">
        <v>2</v>
      </c>
      <c r="L1505">
        <v>2</v>
      </c>
      <c r="M1505">
        <v>83</v>
      </c>
      <c r="N1505">
        <v>246</v>
      </c>
      <c r="O1505">
        <v>5</v>
      </c>
      <c r="P1505">
        <v>246</v>
      </c>
      <c r="Q1505">
        <v>0</v>
      </c>
      <c r="R1505">
        <v>52</v>
      </c>
      <c r="S1505">
        <v>70</v>
      </c>
      <c r="T1505">
        <v>4</v>
      </c>
      <c r="U1505">
        <v>2</v>
      </c>
      <c r="V1505">
        <v>0</v>
      </c>
      <c r="W1505">
        <v>4</v>
      </c>
      <c r="X1505">
        <v>0</v>
      </c>
      <c r="Y1505">
        <v>19</v>
      </c>
      <c r="Z1505">
        <v>1</v>
      </c>
      <c r="AB1505">
        <v>65</v>
      </c>
      <c r="AC1505">
        <v>0</v>
      </c>
      <c r="AD1505">
        <v>0</v>
      </c>
      <c r="AE1505">
        <v>0</v>
      </c>
      <c r="AF1505">
        <v>0</v>
      </c>
      <c r="AK1505">
        <v>0</v>
      </c>
      <c r="AL1505">
        <v>0</v>
      </c>
      <c r="AM1505">
        <v>0</v>
      </c>
      <c r="AN1505">
        <v>1</v>
      </c>
      <c r="AQ1505">
        <v>0</v>
      </c>
      <c r="AT1505">
        <v>0</v>
      </c>
      <c r="AU1505">
        <v>28</v>
      </c>
      <c r="AV1505" t="s">
        <v>100</v>
      </c>
      <c r="AW1505">
        <v>246</v>
      </c>
      <c r="AX1505">
        <v>306</v>
      </c>
      <c r="BA1505">
        <v>1</v>
      </c>
      <c r="BC1505" t="s">
        <v>3106</v>
      </c>
      <c r="BD1505" s="4">
        <v>43283.78125</v>
      </c>
      <c r="BE1505" s="4">
        <v>43283.785462962966</v>
      </c>
      <c r="BF1505" s="4">
        <v>43283.785462962966</v>
      </c>
      <c r="BG1505" t="s">
        <v>83</v>
      </c>
      <c r="BH1505" t="s">
        <v>84</v>
      </c>
      <c r="BI1505" t="s">
        <v>85</v>
      </c>
    </row>
    <row r="1506" spans="1:61" x14ac:dyDescent="0.3">
      <c r="A1506" t="str">
        <f>"201696E0100"</f>
        <v>201696E0100</v>
      </c>
      <c r="B1506" s="2" t="s">
        <v>3107</v>
      </c>
      <c r="C1506">
        <v>20</v>
      </c>
      <c r="D1506" t="s">
        <v>79</v>
      </c>
      <c r="E1506">
        <v>7</v>
      </c>
      <c r="F1506" t="s">
        <v>2811</v>
      </c>
      <c r="G1506">
        <v>1696</v>
      </c>
      <c r="H1506">
        <v>1</v>
      </c>
      <c r="I1506" t="s">
        <v>145</v>
      </c>
      <c r="J1506">
        <v>0</v>
      </c>
      <c r="K1506">
        <v>2</v>
      </c>
      <c r="L1506">
        <v>2</v>
      </c>
      <c r="M1506">
        <v>60</v>
      </c>
      <c r="N1506">
        <v>230</v>
      </c>
      <c r="O1506">
        <v>2</v>
      </c>
      <c r="P1506">
        <v>230</v>
      </c>
      <c r="Q1506">
        <v>13</v>
      </c>
      <c r="R1506">
        <v>45</v>
      </c>
      <c r="S1506">
        <v>96</v>
      </c>
      <c r="T1506">
        <v>11</v>
      </c>
      <c r="U1506">
        <v>7</v>
      </c>
      <c r="V1506">
        <v>2</v>
      </c>
      <c r="W1506">
        <v>1</v>
      </c>
      <c r="X1506">
        <v>5</v>
      </c>
      <c r="Y1506">
        <v>30</v>
      </c>
      <c r="Z1506">
        <v>0</v>
      </c>
      <c r="AB1506">
        <v>4</v>
      </c>
      <c r="AC1506">
        <v>0</v>
      </c>
      <c r="AD1506">
        <v>0</v>
      </c>
      <c r="AE1506">
        <v>0</v>
      </c>
      <c r="AF1506">
        <v>0</v>
      </c>
      <c r="AK1506">
        <v>0</v>
      </c>
      <c r="AL1506">
        <v>1</v>
      </c>
      <c r="AM1506">
        <v>0</v>
      </c>
      <c r="AN1506">
        <v>0</v>
      </c>
      <c r="AQ1506">
        <v>0</v>
      </c>
      <c r="AT1506">
        <v>0</v>
      </c>
      <c r="AU1506">
        <v>15</v>
      </c>
      <c r="AV1506">
        <v>230</v>
      </c>
      <c r="AW1506">
        <v>230</v>
      </c>
      <c r="AX1506">
        <v>268</v>
      </c>
      <c r="BA1506">
        <v>1</v>
      </c>
      <c r="BC1506" t="s">
        <v>3108</v>
      </c>
      <c r="BD1506" s="4">
        <v>43283.777777777781</v>
      </c>
      <c r="BE1506" s="4">
        <v>43283.783738425926</v>
      </c>
      <c r="BF1506" s="4">
        <v>43283.783738425926</v>
      </c>
      <c r="BG1506" t="s">
        <v>83</v>
      </c>
      <c r="BH1506" t="s">
        <v>84</v>
      </c>
      <c r="BI1506" t="s">
        <v>85</v>
      </c>
    </row>
    <row r="1507" spans="1:61" x14ac:dyDescent="0.3">
      <c r="A1507" t="str">
        <f>"201697B0100"</f>
        <v>201697B0100</v>
      </c>
      <c r="B1507" t="s">
        <v>3109</v>
      </c>
      <c r="C1507">
        <v>20</v>
      </c>
      <c r="D1507" t="s">
        <v>79</v>
      </c>
      <c r="E1507">
        <v>7</v>
      </c>
      <c r="F1507" t="s">
        <v>2811</v>
      </c>
      <c r="G1507">
        <v>1697</v>
      </c>
      <c r="H1507">
        <v>1</v>
      </c>
      <c r="I1507" t="s">
        <v>81</v>
      </c>
      <c r="J1507">
        <v>0</v>
      </c>
      <c r="K1507">
        <v>2</v>
      </c>
      <c r="L1507">
        <v>2</v>
      </c>
      <c r="M1507">
        <v>170</v>
      </c>
      <c r="N1507" t="s">
        <v>100</v>
      </c>
      <c r="O1507">
        <v>1</v>
      </c>
      <c r="P1507">
        <v>290</v>
      </c>
      <c r="Q1507">
        <v>1</v>
      </c>
      <c r="R1507">
        <v>19</v>
      </c>
      <c r="S1507">
        <v>119</v>
      </c>
      <c r="T1507">
        <v>4</v>
      </c>
      <c r="U1507">
        <v>9</v>
      </c>
      <c r="V1507">
        <v>1</v>
      </c>
      <c r="W1507">
        <v>0</v>
      </c>
      <c r="X1507">
        <v>1</v>
      </c>
      <c r="Y1507">
        <v>26</v>
      </c>
      <c r="Z1507">
        <v>3</v>
      </c>
      <c r="AB1507">
        <v>85</v>
      </c>
      <c r="AC1507">
        <v>0</v>
      </c>
      <c r="AD1507">
        <v>0</v>
      </c>
      <c r="AE1507">
        <v>0</v>
      </c>
      <c r="AF1507">
        <v>0</v>
      </c>
      <c r="AK1507">
        <v>0</v>
      </c>
      <c r="AL1507">
        <v>0</v>
      </c>
      <c r="AM1507">
        <v>0</v>
      </c>
      <c r="AN1507">
        <v>0</v>
      </c>
      <c r="AQ1507">
        <v>0</v>
      </c>
      <c r="AT1507">
        <v>0</v>
      </c>
      <c r="AU1507">
        <v>31</v>
      </c>
      <c r="AV1507">
        <v>291</v>
      </c>
      <c r="AW1507">
        <v>299</v>
      </c>
      <c r="AX1507">
        <v>438</v>
      </c>
      <c r="BA1507">
        <v>1</v>
      </c>
      <c r="BC1507" t="s">
        <v>3110</v>
      </c>
      <c r="BD1507" s="4">
        <v>43283.8</v>
      </c>
      <c r="BE1507" s="4">
        <v>43283.805011574077</v>
      </c>
      <c r="BF1507" s="4">
        <v>43283.805011574077</v>
      </c>
      <c r="BG1507" t="s">
        <v>83</v>
      </c>
      <c r="BH1507" t="s">
        <v>84</v>
      </c>
      <c r="BI1507" t="s">
        <v>85</v>
      </c>
    </row>
    <row r="1508" spans="1:61" x14ac:dyDescent="0.3">
      <c r="A1508" t="str">
        <f>"201697C0100"</f>
        <v>201697C0100</v>
      </c>
      <c r="B1508" t="s">
        <v>3111</v>
      </c>
      <c r="C1508">
        <v>20</v>
      </c>
      <c r="D1508" t="s">
        <v>79</v>
      </c>
      <c r="E1508">
        <v>7</v>
      </c>
      <c r="F1508" t="s">
        <v>2811</v>
      </c>
      <c r="G1508">
        <v>1697</v>
      </c>
      <c r="H1508">
        <v>1</v>
      </c>
      <c r="I1508" t="s">
        <v>89</v>
      </c>
      <c r="J1508">
        <v>0</v>
      </c>
      <c r="K1508">
        <v>2</v>
      </c>
      <c r="L1508">
        <v>2</v>
      </c>
      <c r="M1508">
        <v>147</v>
      </c>
      <c r="N1508">
        <v>311</v>
      </c>
      <c r="O1508">
        <v>1</v>
      </c>
      <c r="P1508">
        <v>313</v>
      </c>
      <c r="Q1508">
        <v>1</v>
      </c>
      <c r="R1508">
        <v>19</v>
      </c>
      <c r="S1508">
        <v>112</v>
      </c>
      <c r="T1508">
        <v>6</v>
      </c>
      <c r="U1508">
        <v>3</v>
      </c>
      <c r="V1508">
        <v>1</v>
      </c>
      <c r="W1508">
        <v>2</v>
      </c>
      <c r="X1508">
        <v>2</v>
      </c>
      <c r="Y1508">
        <v>51</v>
      </c>
      <c r="Z1508">
        <v>0</v>
      </c>
      <c r="AB1508">
        <v>75</v>
      </c>
      <c r="AC1508">
        <v>1</v>
      </c>
      <c r="AD1508">
        <v>0</v>
      </c>
      <c r="AE1508">
        <v>0</v>
      </c>
      <c r="AF1508">
        <v>1</v>
      </c>
      <c r="AK1508">
        <v>0</v>
      </c>
      <c r="AL1508">
        <v>0</v>
      </c>
      <c r="AM1508">
        <v>0</v>
      </c>
      <c r="AN1508">
        <v>0</v>
      </c>
      <c r="AQ1508">
        <v>0</v>
      </c>
      <c r="AT1508">
        <v>18</v>
      </c>
      <c r="AU1508">
        <v>21</v>
      </c>
      <c r="AV1508">
        <v>313</v>
      </c>
      <c r="AW1508">
        <v>313</v>
      </c>
      <c r="AX1508">
        <v>438</v>
      </c>
      <c r="BA1508">
        <v>1</v>
      </c>
      <c r="BC1508" t="s">
        <v>3112</v>
      </c>
      <c r="BD1508" s="4">
        <v>43283.79583333333</v>
      </c>
      <c r="BE1508" s="4">
        <v>43283.799837962964</v>
      </c>
      <c r="BF1508" s="4">
        <v>43283.799837962964</v>
      </c>
      <c r="BG1508" t="s">
        <v>83</v>
      </c>
      <c r="BH1508" t="s">
        <v>84</v>
      </c>
      <c r="BI1508" t="s">
        <v>85</v>
      </c>
    </row>
    <row r="1509" spans="1:61" x14ac:dyDescent="0.3">
      <c r="A1509" t="str">
        <f>"201698B0100"</f>
        <v>201698B0100</v>
      </c>
      <c r="B1509" t="s">
        <v>3113</v>
      </c>
      <c r="C1509">
        <v>20</v>
      </c>
      <c r="D1509" t="s">
        <v>79</v>
      </c>
      <c r="E1509">
        <v>7</v>
      </c>
      <c r="F1509" t="s">
        <v>2811</v>
      </c>
      <c r="G1509">
        <v>1698</v>
      </c>
      <c r="H1509">
        <v>1</v>
      </c>
      <c r="I1509" t="s">
        <v>81</v>
      </c>
      <c r="J1509">
        <v>0</v>
      </c>
      <c r="K1509">
        <v>2</v>
      </c>
      <c r="L1509">
        <v>2</v>
      </c>
      <c r="M1509">
        <v>171</v>
      </c>
      <c r="N1509" t="s">
        <v>100</v>
      </c>
      <c r="O1509" t="s">
        <v>100</v>
      </c>
      <c r="P1509" t="s">
        <v>100</v>
      </c>
      <c r="Q1509">
        <v>6</v>
      </c>
      <c r="R1509">
        <v>133</v>
      </c>
      <c r="S1509">
        <v>134</v>
      </c>
      <c r="T1509">
        <v>5</v>
      </c>
      <c r="U1509">
        <v>9</v>
      </c>
      <c r="V1509">
        <v>3</v>
      </c>
      <c r="W1509">
        <v>2</v>
      </c>
      <c r="X1509">
        <v>0</v>
      </c>
      <c r="Y1509">
        <v>139</v>
      </c>
      <c r="Z1509">
        <v>4</v>
      </c>
      <c r="AB1509">
        <v>12</v>
      </c>
      <c r="AC1509">
        <v>1</v>
      </c>
      <c r="AD1509">
        <v>2</v>
      </c>
      <c r="AE1509">
        <v>0</v>
      </c>
      <c r="AF1509">
        <v>0</v>
      </c>
      <c r="AK1509">
        <v>4</v>
      </c>
      <c r="AL1509">
        <v>2</v>
      </c>
      <c r="AM1509">
        <v>1</v>
      </c>
      <c r="AN1509">
        <v>0</v>
      </c>
      <c r="AQ1509">
        <v>0</v>
      </c>
      <c r="AT1509">
        <v>0</v>
      </c>
      <c r="AU1509">
        <v>22</v>
      </c>
      <c r="AV1509">
        <v>479</v>
      </c>
      <c r="AW1509">
        <v>479</v>
      </c>
      <c r="AX1509">
        <v>630</v>
      </c>
      <c r="BA1509">
        <v>1</v>
      </c>
      <c r="BC1509" t="s">
        <v>3114</v>
      </c>
      <c r="BD1509" s="4">
        <v>43283.777777777781</v>
      </c>
      <c r="BE1509" s="4">
        <v>43283.782384259262</v>
      </c>
      <c r="BF1509" s="4">
        <v>43283.782384259262</v>
      </c>
      <c r="BG1509" t="s">
        <v>83</v>
      </c>
      <c r="BH1509" t="s">
        <v>84</v>
      </c>
      <c r="BI1509" t="s">
        <v>85</v>
      </c>
    </row>
    <row r="1510" spans="1:61" x14ac:dyDescent="0.3">
      <c r="A1510" t="str">
        <f>"201698C0100"</f>
        <v>201698C0100</v>
      </c>
      <c r="B1510" t="s">
        <v>3115</v>
      </c>
      <c r="C1510">
        <v>20</v>
      </c>
      <c r="D1510" t="s">
        <v>79</v>
      </c>
      <c r="E1510">
        <v>7</v>
      </c>
      <c r="F1510" t="s">
        <v>2811</v>
      </c>
      <c r="G1510">
        <v>1698</v>
      </c>
      <c r="H1510">
        <v>1</v>
      </c>
      <c r="I1510" t="s">
        <v>89</v>
      </c>
      <c r="J1510">
        <v>0</v>
      </c>
      <c r="K1510">
        <v>2</v>
      </c>
      <c r="L1510">
        <v>2</v>
      </c>
      <c r="M1510">
        <v>185</v>
      </c>
      <c r="N1510">
        <v>652</v>
      </c>
      <c r="O1510">
        <v>0</v>
      </c>
      <c r="P1510">
        <v>0</v>
      </c>
      <c r="Q1510">
        <v>4</v>
      </c>
      <c r="R1510">
        <v>146</v>
      </c>
      <c r="S1510">
        <v>134</v>
      </c>
      <c r="T1510">
        <v>3</v>
      </c>
      <c r="U1510">
        <v>11</v>
      </c>
      <c r="V1510">
        <v>1</v>
      </c>
      <c r="W1510">
        <v>2</v>
      </c>
      <c r="X1510">
        <v>4</v>
      </c>
      <c r="Y1510">
        <v>123</v>
      </c>
      <c r="Z1510">
        <v>5</v>
      </c>
      <c r="AB1510">
        <v>7</v>
      </c>
      <c r="AC1510">
        <v>2</v>
      </c>
      <c r="AD1510">
        <v>0</v>
      </c>
      <c r="AE1510">
        <v>0</v>
      </c>
      <c r="AF1510">
        <v>0</v>
      </c>
      <c r="AK1510">
        <v>1</v>
      </c>
      <c r="AL1510">
        <v>2</v>
      </c>
      <c r="AM1510">
        <v>0</v>
      </c>
      <c r="AN1510">
        <v>2</v>
      </c>
      <c r="AQ1510">
        <v>0</v>
      </c>
      <c r="AT1510">
        <v>0</v>
      </c>
      <c r="AU1510">
        <v>21</v>
      </c>
      <c r="AV1510">
        <v>468</v>
      </c>
      <c r="AW1510">
        <v>468</v>
      </c>
      <c r="AX1510">
        <v>629</v>
      </c>
      <c r="BA1510">
        <v>1</v>
      </c>
      <c r="BC1510" t="s">
        <v>3116</v>
      </c>
      <c r="BD1510" s="4">
        <v>43283.76666666667</v>
      </c>
      <c r="BE1510" s="4">
        <v>43283.772164351853</v>
      </c>
      <c r="BF1510" s="4">
        <v>43283.772164351853</v>
      </c>
      <c r="BG1510" t="s">
        <v>83</v>
      </c>
      <c r="BH1510" t="s">
        <v>84</v>
      </c>
      <c r="BI1510" t="s">
        <v>85</v>
      </c>
    </row>
    <row r="1511" spans="1:61" x14ac:dyDescent="0.3">
      <c r="A1511" t="str">
        <f>"201698E0100"</f>
        <v>201698E0100</v>
      </c>
      <c r="B1511" s="2" t="s">
        <v>3117</v>
      </c>
      <c r="C1511">
        <v>20</v>
      </c>
      <c r="D1511" t="s">
        <v>79</v>
      </c>
      <c r="E1511">
        <v>7</v>
      </c>
      <c r="F1511" t="s">
        <v>2811</v>
      </c>
      <c r="G1511">
        <v>1698</v>
      </c>
      <c r="H1511">
        <v>1</v>
      </c>
      <c r="I1511" t="s">
        <v>145</v>
      </c>
      <c r="J1511">
        <v>0</v>
      </c>
      <c r="K1511">
        <v>2</v>
      </c>
      <c r="L1511">
        <v>2</v>
      </c>
      <c r="M1511">
        <v>106</v>
      </c>
      <c r="N1511">
        <v>178</v>
      </c>
      <c r="O1511">
        <v>0</v>
      </c>
      <c r="P1511">
        <v>178</v>
      </c>
      <c r="Q1511">
        <v>0</v>
      </c>
      <c r="R1511">
        <v>31</v>
      </c>
      <c r="S1511">
        <v>67</v>
      </c>
      <c r="T1511">
        <v>0</v>
      </c>
      <c r="U1511">
        <v>4</v>
      </c>
      <c r="V1511">
        <v>1</v>
      </c>
      <c r="W1511">
        <v>1</v>
      </c>
      <c r="X1511">
        <v>0</v>
      </c>
      <c r="Y1511">
        <v>56</v>
      </c>
      <c r="Z1511">
        <v>0</v>
      </c>
      <c r="AB1511">
        <v>7</v>
      </c>
      <c r="AC1511">
        <v>0</v>
      </c>
      <c r="AD1511">
        <v>0</v>
      </c>
      <c r="AE1511">
        <v>0</v>
      </c>
      <c r="AF1511">
        <v>0</v>
      </c>
      <c r="AK1511">
        <v>0</v>
      </c>
      <c r="AL1511">
        <v>0</v>
      </c>
      <c r="AM1511">
        <v>0</v>
      </c>
      <c r="AN1511">
        <v>1</v>
      </c>
      <c r="AQ1511">
        <v>0</v>
      </c>
      <c r="AT1511">
        <v>0</v>
      </c>
      <c r="AU1511">
        <v>9</v>
      </c>
      <c r="AV1511">
        <v>178</v>
      </c>
      <c r="AW1511">
        <v>177</v>
      </c>
      <c r="AX1511">
        <v>262</v>
      </c>
      <c r="BA1511">
        <v>1</v>
      </c>
      <c r="BC1511" t="s">
        <v>3118</v>
      </c>
      <c r="BD1511" s="4">
        <v>43283.770833333336</v>
      </c>
      <c r="BE1511" s="4">
        <v>43283.77449074074</v>
      </c>
      <c r="BF1511" s="4">
        <v>43283.77449074074</v>
      </c>
      <c r="BG1511" t="s">
        <v>83</v>
      </c>
      <c r="BH1511" t="s">
        <v>84</v>
      </c>
      <c r="BI1511" t="s">
        <v>85</v>
      </c>
    </row>
    <row r="1512" spans="1:61" x14ac:dyDescent="0.3">
      <c r="A1512" t="str">
        <f>"201856B0100"</f>
        <v>201856B0100</v>
      </c>
      <c r="B1512" t="s">
        <v>3119</v>
      </c>
      <c r="C1512">
        <v>20</v>
      </c>
      <c r="D1512" t="s">
        <v>79</v>
      </c>
      <c r="E1512">
        <v>7</v>
      </c>
      <c r="F1512" t="s">
        <v>2811</v>
      </c>
      <c r="G1512">
        <v>1856</v>
      </c>
      <c r="H1512">
        <v>1</v>
      </c>
      <c r="I1512" t="s">
        <v>81</v>
      </c>
      <c r="J1512">
        <v>0</v>
      </c>
      <c r="K1512">
        <v>2</v>
      </c>
      <c r="L1512">
        <v>2</v>
      </c>
      <c r="M1512">
        <v>137</v>
      </c>
      <c r="N1512">
        <v>403</v>
      </c>
      <c r="O1512" t="s">
        <v>100</v>
      </c>
      <c r="P1512">
        <v>403</v>
      </c>
      <c r="Q1512">
        <v>4</v>
      </c>
      <c r="R1512">
        <v>86</v>
      </c>
      <c r="S1512">
        <v>106</v>
      </c>
      <c r="T1512">
        <v>4</v>
      </c>
      <c r="U1512">
        <v>2</v>
      </c>
      <c r="V1512">
        <v>1</v>
      </c>
      <c r="W1512">
        <v>125</v>
      </c>
      <c r="X1512">
        <v>1</v>
      </c>
      <c r="Y1512">
        <v>46</v>
      </c>
      <c r="Z1512">
        <v>2</v>
      </c>
      <c r="AB1512">
        <v>1</v>
      </c>
      <c r="AC1512" t="s">
        <v>100</v>
      </c>
      <c r="AD1512">
        <v>1</v>
      </c>
      <c r="AE1512" t="s">
        <v>100</v>
      </c>
      <c r="AF1512" t="s">
        <v>100</v>
      </c>
      <c r="AK1512">
        <v>1</v>
      </c>
      <c r="AL1512" t="s">
        <v>100</v>
      </c>
      <c r="AM1512" t="s">
        <v>100</v>
      </c>
      <c r="AN1512" t="s">
        <v>100</v>
      </c>
      <c r="AQ1512" t="s">
        <v>100</v>
      </c>
      <c r="AT1512" t="s">
        <v>100</v>
      </c>
      <c r="AU1512">
        <v>23</v>
      </c>
      <c r="AV1512">
        <v>403</v>
      </c>
      <c r="AW1512">
        <v>403</v>
      </c>
      <c r="AX1512">
        <v>518</v>
      </c>
      <c r="AZ1512" t="s">
        <v>101</v>
      </c>
      <c r="BA1512">
        <v>1</v>
      </c>
      <c r="BC1512" t="s">
        <v>3120</v>
      </c>
      <c r="BD1512" s="4">
        <v>43283.431250000001</v>
      </c>
      <c r="BE1512" s="4">
        <v>43283.43550925926</v>
      </c>
      <c r="BF1512" s="4">
        <v>43283.43550925926</v>
      </c>
      <c r="BG1512" t="s">
        <v>83</v>
      </c>
      <c r="BH1512" t="s">
        <v>84</v>
      </c>
      <c r="BI1512" t="s">
        <v>85</v>
      </c>
    </row>
    <row r="1513" spans="1:61" x14ac:dyDescent="0.3">
      <c r="A1513" t="str">
        <f>"201856C0100"</f>
        <v>201856C0100</v>
      </c>
      <c r="B1513" t="s">
        <v>3121</v>
      </c>
      <c r="C1513">
        <v>20</v>
      </c>
      <c r="D1513" t="s">
        <v>79</v>
      </c>
      <c r="E1513">
        <v>7</v>
      </c>
      <c r="F1513" t="s">
        <v>2811</v>
      </c>
      <c r="G1513">
        <v>1856</v>
      </c>
      <c r="H1513">
        <v>1</v>
      </c>
      <c r="I1513" t="s">
        <v>89</v>
      </c>
      <c r="J1513">
        <v>0</v>
      </c>
      <c r="K1513">
        <v>2</v>
      </c>
      <c r="L1513">
        <v>2</v>
      </c>
      <c r="M1513">
        <v>131</v>
      </c>
      <c r="N1513">
        <v>409</v>
      </c>
      <c r="O1513">
        <v>2</v>
      </c>
      <c r="P1513">
        <v>410</v>
      </c>
      <c r="Q1513">
        <v>4</v>
      </c>
      <c r="R1513">
        <v>80</v>
      </c>
      <c r="S1513">
        <v>149</v>
      </c>
      <c r="T1513">
        <v>1</v>
      </c>
      <c r="U1513">
        <v>2</v>
      </c>
      <c r="V1513">
        <v>1</v>
      </c>
      <c r="W1513">
        <v>100</v>
      </c>
      <c r="X1513">
        <v>2</v>
      </c>
      <c r="Y1513">
        <v>41</v>
      </c>
      <c r="Z1513">
        <v>1</v>
      </c>
      <c r="AB1513" t="s">
        <v>100</v>
      </c>
      <c r="AC1513">
        <v>1</v>
      </c>
      <c r="AD1513">
        <v>2</v>
      </c>
      <c r="AE1513" t="s">
        <v>100</v>
      </c>
      <c r="AF1513">
        <v>1</v>
      </c>
      <c r="AK1513">
        <v>2</v>
      </c>
      <c r="AL1513" t="s">
        <v>100</v>
      </c>
      <c r="AM1513" t="s">
        <v>100</v>
      </c>
      <c r="AN1513" t="s">
        <v>100</v>
      </c>
      <c r="AQ1513" t="s">
        <v>100</v>
      </c>
      <c r="AT1513" t="s">
        <v>100</v>
      </c>
      <c r="AU1513">
        <v>26</v>
      </c>
      <c r="AV1513">
        <v>410</v>
      </c>
      <c r="AW1513">
        <v>413</v>
      </c>
      <c r="AX1513">
        <v>518</v>
      </c>
      <c r="AZ1513" t="s">
        <v>101</v>
      </c>
      <c r="BA1513">
        <v>1</v>
      </c>
      <c r="BC1513" t="s">
        <v>3122</v>
      </c>
      <c r="BD1513" s="4">
        <v>43283.423611111109</v>
      </c>
      <c r="BE1513" s="4">
        <v>43283.428981481484</v>
      </c>
      <c r="BF1513" s="4">
        <v>43283.428981481484</v>
      </c>
      <c r="BG1513" t="s">
        <v>83</v>
      </c>
      <c r="BH1513" t="s">
        <v>84</v>
      </c>
      <c r="BI1513" t="s">
        <v>85</v>
      </c>
    </row>
    <row r="1514" spans="1:61" x14ac:dyDescent="0.3">
      <c r="A1514" t="str">
        <f>"201856C0200"</f>
        <v>201856C0200</v>
      </c>
      <c r="B1514" t="s">
        <v>3123</v>
      </c>
      <c r="C1514">
        <v>20</v>
      </c>
      <c r="D1514" t="s">
        <v>79</v>
      </c>
      <c r="E1514">
        <v>7</v>
      </c>
      <c r="F1514" t="s">
        <v>2811</v>
      </c>
      <c r="G1514">
        <v>1856</v>
      </c>
      <c r="H1514">
        <v>2</v>
      </c>
      <c r="I1514" t="s">
        <v>89</v>
      </c>
      <c r="J1514">
        <v>0</v>
      </c>
      <c r="K1514">
        <v>2</v>
      </c>
      <c r="L1514">
        <v>2</v>
      </c>
      <c r="M1514">
        <v>620</v>
      </c>
      <c r="N1514">
        <v>416</v>
      </c>
      <c r="O1514">
        <v>0</v>
      </c>
      <c r="P1514">
        <v>414</v>
      </c>
      <c r="Q1514">
        <v>6</v>
      </c>
      <c r="R1514">
        <v>90</v>
      </c>
      <c r="S1514">
        <v>131</v>
      </c>
      <c r="T1514">
        <v>5</v>
      </c>
      <c r="U1514">
        <v>1</v>
      </c>
      <c r="V1514">
        <v>1</v>
      </c>
      <c r="W1514">
        <v>94</v>
      </c>
      <c r="X1514">
        <v>1</v>
      </c>
      <c r="Y1514">
        <v>36</v>
      </c>
      <c r="Z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K1514">
        <v>1</v>
      </c>
      <c r="AL1514">
        <v>0</v>
      </c>
      <c r="AM1514">
        <v>0</v>
      </c>
      <c r="AN1514">
        <v>0</v>
      </c>
      <c r="AQ1514">
        <v>0</v>
      </c>
      <c r="AT1514">
        <v>0</v>
      </c>
      <c r="AU1514">
        <v>24</v>
      </c>
      <c r="AV1514">
        <v>300</v>
      </c>
      <c r="AW1514">
        <v>390</v>
      </c>
      <c r="AX1514">
        <v>517</v>
      </c>
      <c r="BA1514">
        <v>1</v>
      </c>
      <c r="BC1514" t="s">
        <v>3124</v>
      </c>
      <c r="BD1514" s="4">
        <v>43283.416666666664</v>
      </c>
      <c r="BE1514" s="4">
        <v>43283.42260416667</v>
      </c>
      <c r="BF1514" s="4">
        <v>43283.42260416667</v>
      </c>
      <c r="BG1514" t="s">
        <v>83</v>
      </c>
      <c r="BH1514" t="s">
        <v>84</v>
      </c>
      <c r="BI1514" t="s">
        <v>85</v>
      </c>
    </row>
    <row r="1515" spans="1:61" x14ac:dyDescent="0.3">
      <c r="A1515" t="str">
        <f>"201857B0100"</f>
        <v>201857B0100</v>
      </c>
      <c r="B1515" t="s">
        <v>3125</v>
      </c>
      <c r="C1515">
        <v>20</v>
      </c>
      <c r="D1515" t="s">
        <v>79</v>
      </c>
      <c r="E1515">
        <v>7</v>
      </c>
      <c r="F1515" t="s">
        <v>2811</v>
      </c>
      <c r="G1515">
        <v>1857</v>
      </c>
      <c r="H1515">
        <v>1</v>
      </c>
      <c r="I1515" t="s">
        <v>81</v>
      </c>
      <c r="J1515">
        <v>0</v>
      </c>
      <c r="K1515">
        <v>2</v>
      </c>
      <c r="L1515">
        <v>2</v>
      </c>
      <c r="AX1515">
        <v>421</v>
      </c>
      <c r="AZ1515" t="s">
        <v>932</v>
      </c>
      <c r="BA1515">
        <v>0</v>
      </c>
      <c r="BC1515" t="s">
        <v>3126</v>
      </c>
      <c r="BD1515" s="4">
        <v>43283.818749999999</v>
      </c>
      <c r="BE1515" s="4">
        <v>43283.820289351854</v>
      </c>
      <c r="BF1515" s="4">
        <v>43283.820289351854</v>
      </c>
      <c r="BG1515" t="s">
        <v>83</v>
      </c>
      <c r="BH1515" t="s">
        <v>84</v>
      </c>
      <c r="BI1515" t="s">
        <v>85</v>
      </c>
    </row>
    <row r="1516" spans="1:61" x14ac:dyDescent="0.3">
      <c r="A1516" t="str">
        <f>"201857C0100"</f>
        <v>201857C0100</v>
      </c>
      <c r="B1516" t="s">
        <v>3127</v>
      </c>
      <c r="C1516">
        <v>20</v>
      </c>
      <c r="D1516" t="s">
        <v>79</v>
      </c>
      <c r="E1516">
        <v>7</v>
      </c>
      <c r="F1516" t="s">
        <v>2811</v>
      </c>
      <c r="G1516">
        <v>1857</v>
      </c>
      <c r="H1516">
        <v>1</v>
      </c>
      <c r="I1516" t="s">
        <v>89</v>
      </c>
      <c r="J1516">
        <v>0</v>
      </c>
      <c r="K1516">
        <v>2</v>
      </c>
      <c r="L1516">
        <v>2</v>
      </c>
      <c r="M1516">
        <v>158</v>
      </c>
      <c r="N1516">
        <v>284</v>
      </c>
      <c r="O1516">
        <v>0</v>
      </c>
      <c r="P1516">
        <v>284</v>
      </c>
      <c r="Q1516">
        <v>1</v>
      </c>
      <c r="R1516">
        <v>29</v>
      </c>
      <c r="S1516">
        <v>95</v>
      </c>
      <c r="T1516">
        <v>2</v>
      </c>
      <c r="U1516">
        <v>7</v>
      </c>
      <c r="V1516">
        <v>5</v>
      </c>
      <c r="W1516">
        <v>22</v>
      </c>
      <c r="X1516">
        <v>1</v>
      </c>
      <c r="Y1516">
        <v>102</v>
      </c>
      <c r="Z1516">
        <v>3</v>
      </c>
      <c r="AB1516">
        <v>1</v>
      </c>
      <c r="AC1516" t="s">
        <v>100</v>
      </c>
      <c r="AD1516" t="s">
        <v>100</v>
      </c>
      <c r="AE1516" t="s">
        <v>100</v>
      </c>
      <c r="AF1516" t="s">
        <v>100</v>
      </c>
      <c r="AK1516">
        <v>1</v>
      </c>
      <c r="AL1516" t="s">
        <v>100</v>
      </c>
      <c r="AM1516" t="s">
        <v>100</v>
      </c>
      <c r="AN1516">
        <v>1</v>
      </c>
      <c r="AQ1516" t="s">
        <v>100</v>
      </c>
      <c r="AT1516" t="s">
        <v>100</v>
      </c>
      <c r="AU1516">
        <v>14</v>
      </c>
      <c r="AV1516">
        <v>284</v>
      </c>
      <c r="AW1516">
        <v>284</v>
      </c>
      <c r="AX1516">
        <v>420</v>
      </c>
      <c r="AZ1516" t="s">
        <v>101</v>
      </c>
      <c r="BA1516">
        <v>1</v>
      </c>
      <c r="BC1516" t="s">
        <v>3128</v>
      </c>
      <c r="BD1516" s="4">
        <v>43283.401388888888</v>
      </c>
      <c r="BE1516" s="4">
        <v>43283.407326388886</v>
      </c>
      <c r="BF1516" s="4">
        <v>43283.407326388886</v>
      </c>
      <c r="BG1516" t="s">
        <v>83</v>
      </c>
      <c r="BH1516" t="s">
        <v>84</v>
      </c>
      <c r="BI1516" t="s">
        <v>85</v>
      </c>
    </row>
    <row r="1517" spans="1:61" x14ac:dyDescent="0.3">
      <c r="A1517" t="str">
        <f>"201857E0100"</f>
        <v>201857E0100</v>
      </c>
      <c r="B1517" s="2" t="s">
        <v>3129</v>
      </c>
      <c r="C1517">
        <v>20</v>
      </c>
      <c r="D1517" t="s">
        <v>79</v>
      </c>
      <c r="E1517">
        <v>7</v>
      </c>
      <c r="F1517" t="s">
        <v>2811</v>
      </c>
      <c r="G1517">
        <v>1857</v>
      </c>
      <c r="H1517">
        <v>1</v>
      </c>
      <c r="I1517" t="s">
        <v>145</v>
      </c>
      <c r="J1517">
        <v>0</v>
      </c>
      <c r="K1517">
        <v>2</v>
      </c>
      <c r="L1517">
        <v>2</v>
      </c>
      <c r="M1517">
        <v>37</v>
      </c>
      <c r="N1517">
        <v>79</v>
      </c>
      <c r="O1517">
        <v>7</v>
      </c>
      <c r="P1517">
        <v>79</v>
      </c>
      <c r="Q1517">
        <v>0</v>
      </c>
      <c r="R1517">
        <v>24</v>
      </c>
      <c r="S1517">
        <v>32</v>
      </c>
      <c r="T1517">
        <v>0</v>
      </c>
      <c r="U1517">
        <v>0</v>
      </c>
      <c r="V1517">
        <v>0</v>
      </c>
      <c r="W1517">
        <v>13</v>
      </c>
      <c r="X1517">
        <v>0</v>
      </c>
      <c r="Y1517">
        <v>4</v>
      </c>
      <c r="Z1517">
        <v>0</v>
      </c>
      <c r="AB1517">
        <v>0</v>
      </c>
      <c r="AC1517">
        <v>0</v>
      </c>
      <c r="AD1517">
        <v>1</v>
      </c>
      <c r="AE1517">
        <v>0</v>
      </c>
      <c r="AF1517">
        <v>0</v>
      </c>
      <c r="AK1517">
        <v>0</v>
      </c>
      <c r="AL1517">
        <v>0</v>
      </c>
      <c r="AM1517">
        <v>0</v>
      </c>
      <c r="AN1517">
        <v>0</v>
      </c>
      <c r="AQ1517">
        <v>1</v>
      </c>
      <c r="AT1517">
        <v>0</v>
      </c>
      <c r="AU1517">
        <v>4</v>
      </c>
      <c r="AV1517">
        <v>79</v>
      </c>
      <c r="AW1517">
        <v>79</v>
      </c>
      <c r="AX1517">
        <v>94</v>
      </c>
      <c r="BA1517">
        <v>1</v>
      </c>
      <c r="BC1517" t="s">
        <v>3130</v>
      </c>
      <c r="BD1517" s="4">
        <v>43283.29583333333</v>
      </c>
      <c r="BE1517" s="4">
        <v>43283.326064814813</v>
      </c>
      <c r="BF1517" s="4">
        <v>43283.326064814813</v>
      </c>
      <c r="BG1517" t="s">
        <v>83</v>
      </c>
      <c r="BH1517" t="s">
        <v>84</v>
      </c>
      <c r="BI1517" t="s">
        <v>85</v>
      </c>
    </row>
    <row r="1518" spans="1:61" x14ac:dyDescent="0.3">
      <c r="A1518" t="str">
        <f>"201858B0100"</f>
        <v>201858B0100</v>
      </c>
      <c r="B1518" t="s">
        <v>3131</v>
      </c>
      <c r="C1518">
        <v>20</v>
      </c>
      <c r="D1518" t="s">
        <v>79</v>
      </c>
      <c r="E1518">
        <v>7</v>
      </c>
      <c r="F1518" t="s">
        <v>2811</v>
      </c>
      <c r="G1518">
        <v>1858</v>
      </c>
      <c r="H1518">
        <v>1</v>
      </c>
      <c r="I1518" t="s">
        <v>81</v>
      </c>
      <c r="J1518">
        <v>0</v>
      </c>
      <c r="K1518">
        <v>2</v>
      </c>
      <c r="L1518">
        <v>2</v>
      </c>
      <c r="M1518">
        <v>185</v>
      </c>
      <c r="N1518">
        <v>346</v>
      </c>
      <c r="O1518">
        <v>0</v>
      </c>
      <c r="P1518">
        <v>345</v>
      </c>
      <c r="Q1518">
        <v>3</v>
      </c>
      <c r="R1518">
        <v>70</v>
      </c>
      <c r="S1518">
        <v>135</v>
      </c>
      <c r="T1518">
        <v>1</v>
      </c>
      <c r="U1518">
        <v>6</v>
      </c>
      <c r="V1518">
        <v>2</v>
      </c>
      <c r="W1518">
        <v>41</v>
      </c>
      <c r="X1518">
        <v>1</v>
      </c>
      <c r="Y1518">
        <v>63</v>
      </c>
      <c r="Z1518" t="s">
        <v>100</v>
      </c>
      <c r="AB1518" t="s">
        <v>100</v>
      </c>
      <c r="AC1518">
        <v>3</v>
      </c>
      <c r="AD1518">
        <v>1</v>
      </c>
      <c r="AE1518" t="s">
        <v>100</v>
      </c>
      <c r="AF1518">
        <v>2</v>
      </c>
      <c r="AK1518">
        <v>1</v>
      </c>
      <c r="AL1518">
        <v>1</v>
      </c>
      <c r="AM1518" t="s">
        <v>100</v>
      </c>
      <c r="AN1518" t="s">
        <v>100</v>
      </c>
      <c r="AQ1518" t="s">
        <v>100</v>
      </c>
      <c r="AT1518" t="s">
        <v>100</v>
      </c>
      <c r="AU1518">
        <v>15</v>
      </c>
      <c r="AV1518">
        <v>345</v>
      </c>
      <c r="AW1518">
        <v>345</v>
      </c>
      <c r="AX1518">
        <v>509</v>
      </c>
      <c r="AZ1518" t="s">
        <v>101</v>
      </c>
      <c r="BA1518">
        <v>1</v>
      </c>
      <c r="BC1518" t="s">
        <v>3132</v>
      </c>
      <c r="BD1518" s="4">
        <v>43283.40902777778</v>
      </c>
      <c r="BE1518" s="4">
        <v>43283.413668981484</v>
      </c>
      <c r="BF1518" s="4">
        <v>43283.413668981484</v>
      </c>
      <c r="BG1518" t="s">
        <v>83</v>
      </c>
      <c r="BH1518" t="s">
        <v>84</v>
      </c>
      <c r="BI1518" t="s">
        <v>85</v>
      </c>
    </row>
    <row r="1519" spans="1:61" x14ac:dyDescent="0.3">
      <c r="A1519" t="str">
        <f>"201858C0100"</f>
        <v>201858C0100</v>
      </c>
      <c r="B1519" t="s">
        <v>3133</v>
      </c>
      <c r="C1519">
        <v>20</v>
      </c>
      <c r="D1519" t="s">
        <v>79</v>
      </c>
      <c r="E1519">
        <v>7</v>
      </c>
      <c r="F1519" t="s">
        <v>2811</v>
      </c>
      <c r="G1519">
        <v>1858</v>
      </c>
      <c r="H1519">
        <v>1</v>
      </c>
      <c r="I1519" t="s">
        <v>89</v>
      </c>
      <c r="J1519">
        <v>0</v>
      </c>
      <c r="K1519">
        <v>2</v>
      </c>
      <c r="L1519">
        <v>2</v>
      </c>
      <c r="M1519">
        <v>171</v>
      </c>
      <c r="N1519">
        <v>357</v>
      </c>
      <c r="O1519">
        <v>8</v>
      </c>
      <c r="P1519">
        <v>357</v>
      </c>
      <c r="Q1519">
        <v>4</v>
      </c>
      <c r="R1519">
        <v>87</v>
      </c>
      <c r="S1519">
        <v>123</v>
      </c>
      <c r="T1519">
        <v>3</v>
      </c>
      <c r="U1519">
        <v>5</v>
      </c>
      <c r="V1519">
        <v>0</v>
      </c>
      <c r="W1519">
        <v>46</v>
      </c>
      <c r="X1519">
        <v>1</v>
      </c>
      <c r="Y1519">
        <v>59</v>
      </c>
      <c r="Z1519">
        <v>7</v>
      </c>
      <c r="AB1519">
        <v>0</v>
      </c>
      <c r="AC1519">
        <v>1</v>
      </c>
      <c r="AD1519">
        <v>1</v>
      </c>
      <c r="AE1519">
        <v>0</v>
      </c>
      <c r="AF1519">
        <v>0</v>
      </c>
      <c r="AK1519">
        <v>1</v>
      </c>
      <c r="AL1519">
        <v>0</v>
      </c>
      <c r="AM1519">
        <v>0</v>
      </c>
      <c r="AN1519">
        <v>0</v>
      </c>
      <c r="AQ1519">
        <v>0</v>
      </c>
      <c r="AT1519">
        <v>0</v>
      </c>
      <c r="AU1519">
        <v>19</v>
      </c>
      <c r="AV1519">
        <v>357</v>
      </c>
      <c r="AW1519">
        <v>357</v>
      </c>
      <c r="AX1519">
        <v>508</v>
      </c>
      <c r="BA1519">
        <v>1</v>
      </c>
      <c r="BC1519" t="s">
        <v>3134</v>
      </c>
      <c r="BD1519" s="4">
        <v>43283.411805555559</v>
      </c>
      <c r="BE1519" s="4">
        <v>43283.416504629633</v>
      </c>
      <c r="BF1519" s="4">
        <v>43283.416504629633</v>
      </c>
      <c r="BG1519" t="s">
        <v>83</v>
      </c>
      <c r="BH1519" t="s">
        <v>84</v>
      </c>
      <c r="BI1519" t="s">
        <v>85</v>
      </c>
    </row>
    <row r="1520" spans="1:61" x14ac:dyDescent="0.3">
      <c r="A1520" t="str">
        <f>"201940B0100"</f>
        <v>201940B0100</v>
      </c>
      <c r="B1520" t="s">
        <v>3135</v>
      </c>
      <c r="C1520">
        <v>20</v>
      </c>
      <c r="D1520" t="s">
        <v>79</v>
      </c>
      <c r="E1520">
        <v>7</v>
      </c>
      <c r="F1520" t="s">
        <v>2811</v>
      </c>
      <c r="G1520">
        <v>1940</v>
      </c>
      <c r="H1520">
        <v>1</v>
      </c>
      <c r="I1520" t="s">
        <v>81</v>
      </c>
      <c r="J1520">
        <v>0</v>
      </c>
      <c r="K1520">
        <v>2</v>
      </c>
      <c r="L1520">
        <v>2</v>
      </c>
      <c r="M1520">
        <v>162</v>
      </c>
      <c r="N1520">
        <v>389</v>
      </c>
      <c r="O1520">
        <v>2</v>
      </c>
      <c r="P1520">
        <v>388</v>
      </c>
      <c r="Q1520">
        <v>4</v>
      </c>
      <c r="R1520">
        <v>64</v>
      </c>
      <c r="S1520">
        <v>67</v>
      </c>
      <c r="T1520">
        <v>7</v>
      </c>
      <c r="U1520">
        <v>7</v>
      </c>
      <c r="V1520">
        <v>3</v>
      </c>
      <c r="W1520">
        <v>2</v>
      </c>
      <c r="X1520">
        <v>1</v>
      </c>
      <c r="Y1520">
        <v>196</v>
      </c>
      <c r="Z1520">
        <v>8</v>
      </c>
      <c r="AB1520">
        <v>2</v>
      </c>
      <c r="AC1520">
        <v>1</v>
      </c>
      <c r="AD1520">
        <v>0</v>
      </c>
      <c r="AE1520">
        <v>0</v>
      </c>
      <c r="AF1520">
        <v>0</v>
      </c>
      <c r="AK1520">
        <v>2</v>
      </c>
      <c r="AL1520">
        <v>2</v>
      </c>
      <c r="AM1520">
        <v>0</v>
      </c>
      <c r="AN1520">
        <v>1</v>
      </c>
      <c r="AQ1520">
        <v>0</v>
      </c>
      <c r="AT1520">
        <v>0</v>
      </c>
      <c r="AU1520">
        <v>21</v>
      </c>
      <c r="AV1520">
        <v>388</v>
      </c>
      <c r="AW1520">
        <v>388</v>
      </c>
      <c r="AX1520">
        <v>529</v>
      </c>
      <c r="BA1520">
        <v>1</v>
      </c>
      <c r="BC1520" t="s">
        <v>3136</v>
      </c>
      <c r="BD1520" s="4">
        <v>43283.651388888888</v>
      </c>
      <c r="BE1520" s="4">
        <v>43283.656574074077</v>
      </c>
      <c r="BF1520" s="4">
        <v>43283.656574074077</v>
      </c>
      <c r="BG1520" t="s">
        <v>83</v>
      </c>
      <c r="BH1520" t="s">
        <v>84</v>
      </c>
      <c r="BI1520" t="s">
        <v>85</v>
      </c>
    </row>
    <row r="1521" spans="1:61" x14ac:dyDescent="0.3">
      <c r="A1521" t="str">
        <f>"201940C0100"</f>
        <v>201940C0100</v>
      </c>
      <c r="B1521" t="s">
        <v>3137</v>
      </c>
      <c r="C1521">
        <v>20</v>
      </c>
      <c r="D1521" t="s">
        <v>79</v>
      </c>
      <c r="E1521">
        <v>7</v>
      </c>
      <c r="F1521" t="s">
        <v>2811</v>
      </c>
      <c r="G1521">
        <v>1940</v>
      </c>
      <c r="H1521">
        <v>1</v>
      </c>
      <c r="I1521" t="s">
        <v>89</v>
      </c>
      <c r="J1521">
        <v>0</v>
      </c>
      <c r="K1521">
        <v>2</v>
      </c>
      <c r="L1521">
        <v>2</v>
      </c>
      <c r="M1521">
        <v>174</v>
      </c>
      <c r="N1521">
        <v>376</v>
      </c>
      <c r="O1521">
        <v>1</v>
      </c>
      <c r="P1521">
        <v>376</v>
      </c>
      <c r="Q1521">
        <v>5</v>
      </c>
      <c r="R1521">
        <v>98</v>
      </c>
      <c r="S1521">
        <v>45</v>
      </c>
      <c r="T1521">
        <v>4</v>
      </c>
      <c r="U1521">
        <v>12</v>
      </c>
      <c r="V1521">
        <v>4</v>
      </c>
      <c r="W1521">
        <v>5</v>
      </c>
      <c r="X1521">
        <v>4</v>
      </c>
      <c r="Y1521">
        <v>171</v>
      </c>
      <c r="Z1521">
        <v>1</v>
      </c>
      <c r="AB1521">
        <v>0</v>
      </c>
      <c r="AC1521">
        <v>0</v>
      </c>
      <c r="AD1521">
        <v>0</v>
      </c>
      <c r="AE1521">
        <v>0</v>
      </c>
      <c r="AF1521">
        <v>0</v>
      </c>
      <c r="AK1521">
        <v>5</v>
      </c>
      <c r="AL1521">
        <v>1</v>
      </c>
      <c r="AM1521">
        <v>0</v>
      </c>
      <c r="AN1521">
        <v>1</v>
      </c>
      <c r="AQ1521">
        <v>2</v>
      </c>
      <c r="AT1521">
        <v>0</v>
      </c>
      <c r="AU1521">
        <v>23</v>
      </c>
      <c r="AV1521">
        <v>385</v>
      </c>
      <c r="AW1521">
        <v>381</v>
      </c>
      <c r="AX1521">
        <v>528</v>
      </c>
      <c r="BA1521">
        <v>1</v>
      </c>
      <c r="BC1521" t="s">
        <v>3138</v>
      </c>
      <c r="BD1521" s="4">
        <v>43283.688888888886</v>
      </c>
      <c r="BE1521" s="4">
        <v>43283.695706018516</v>
      </c>
      <c r="BF1521" s="4">
        <v>43283.695706018516</v>
      </c>
      <c r="BG1521" t="s">
        <v>83</v>
      </c>
      <c r="BH1521" t="s">
        <v>84</v>
      </c>
      <c r="BI1521" t="s">
        <v>85</v>
      </c>
    </row>
    <row r="1522" spans="1:61" x14ac:dyDescent="0.3">
      <c r="A1522" t="str">
        <f>"201940C0200"</f>
        <v>201940C0200</v>
      </c>
      <c r="B1522" t="s">
        <v>3139</v>
      </c>
      <c r="C1522">
        <v>20</v>
      </c>
      <c r="D1522" t="s">
        <v>79</v>
      </c>
      <c r="E1522">
        <v>7</v>
      </c>
      <c r="F1522" t="s">
        <v>2811</v>
      </c>
      <c r="G1522">
        <v>1940</v>
      </c>
      <c r="H1522">
        <v>2</v>
      </c>
      <c r="I1522" t="s">
        <v>89</v>
      </c>
      <c r="J1522">
        <v>0</v>
      </c>
      <c r="K1522">
        <v>2</v>
      </c>
      <c r="L1522">
        <v>2</v>
      </c>
      <c r="M1522">
        <v>175</v>
      </c>
      <c r="N1522">
        <v>375</v>
      </c>
      <c r="O1522">
        <v>4</v>
      </c>
      <c r="P1522">
        <v>370</v>
      </c>
      <c r="Q1522">
        <v>0</v>
      </c>
      <c r="R1522">
        <v>71</v>
      </c>
      <c r="S1522">
        <v>67</v>
      </c>
      <c r="T1522">
        <v>8</v>
      </c>
      <c r="U1522">
        <v>9</v>
      </c>
      <c r="V1522">
        <v>5</v>
      </c>
      <c r="W1522">
        <v>3</v>
      </c>
      <c r="X1522">
        <v>4</v>
      </c>
      <c r="Y1522">
        <v>176</v>
      </c>
      <c r="Z1522">
        <v>1</v>
      </c>
      <c r="AB1522">
        <v>2</v>
      </c>
      <c r="AC1522">
        <v>0</v>
      </c>
      <c r="AD1522">
        <v>0</v>
      </c>
      <c r="AE1522">
        <v>0</v>
      </c>
      <c r="AF1522">
        <v>0</v>
      </c>
      <c r="AK1522">
        <v>2</v>
      </c>
      <c r="AL1522">
        <v>1</v>
      </c>
      <c r="AM1522">
        <v>0</v>
      </c>
      <c r="AN1522">
        <v>2</v>
      </c>
      <c r="AQ1522">
        <v>0</v>
      </c>
      <c r="AT1522" t="s">
        <v>315</v>
      </c>
      <c r="AU1522">
        <v>20</v>
      </c>
      <c r="AV1522">
        <v>370</v>
      </c>
      <c r="AW1522">
        <v>371</v>
      </c>
      <c r="AX1522">
        <v>528</v>
      </c>
      <c r="AZ1522" t="s">
        <v>101</v>
      </c>
      <c r="BA1522">
        <v>1</v>
      </c>
      <c r="BC1522" t="s">
        <v>3140</v>
      </c>
      <c r="BD1522" s="4">
        <v>43283.663888888892</v>
      </c>
      <c r="BE1522" s="4">
        <v>43283.669918981483</v>
      </c>
      <c r="BF1522" s="4">
        <v>43283.669918981483</v>
      </c>
      <c r="BG1522" t="s">
        <v>83</v>
      </c>
      <c r="BH1522" t="s">
        <v>84</v>
      </c>
      <c r="BI1522" t="s">
        <v>85</v>
      </c>
    </row>
    <row r="1523" spans="1:61" x14ac:dyDescent="0.3">
      <c r="A1523" t="str">
        <f>"201941B0100"</f>
        <v>201941B0100</v>
      </c>
      <c r="B1523" t="s">
        <v>3141</v>
      </c>
      <c r="C1523">
        <v>20</v>
      </c>
      <c r="D1523" t="s">
        <v>79</v>
      </c>
      <c r="E1523">
        <v>7</v>
      </c>
      <c r="F1523" t="s">
        <v>2811</v>
      </c>
      <c r="G1523">
        <v>1941</v>
      </c>
      <c r="H1523">
        <v>1</v>
      </c>
      <c r="I1523" t="s">
        <v>81</v>
      </c>
      <c r="J1523">
        <v>0</v>
      </c>
      <c r="K1523">
        <v>2</v>
      </c>
      <c r="L1523">
        <v>2</v>
      </c>
      <c r="M1523">
        <v>178</v>
      </c>
      <c r="N1523">
        <v>386</v>
      </c>
      <c r="O1523">
        <v>0</v>
      </c>
      <c r="P1523">
        <v>386</v>
      </c>
      <c r="Q1523">
        <v>3</v>
      </c>
      <c r="R1523">
        <v>95</v>
      </c>
      <c r="S1523">
        <v>85</v>
      </c>
      <c r="T1523">
        <v>10</v>
      </c>
      <c r="U1523">
        <v>6</v>
      </c>
      <c r="V1523">
        <v>2</v>
      </c>
      <c r="W1523">
        <v>1</v>
      </c>
      <c r="X1523">
        <v>1</v>
      </c>
      <c r="Y1523">
        <v>155</v>
      </c>
      <c r="Z1523">
        <v>5</v>
      </c>
      <c r="AB1523">
        <v>1</v>
      </c>
      <c r="AC1523">
        <v>1</v>
      </c>
      <c r="AD1523">
        <v>0</v>
      </c>
      <c r="AE1523">
        <v>0</v>
      </c>
      <c r="AF1523">
        <v>0</v>
      </c>
      <c r="AK1523">
        <v>2</v>
      </c>
      <c r="AL1523">
        <v>2</v>
      </c>
      <c r="AM1523">
        <v>0</v>
      </c>
      <c r="AN1523">
        <v>6</v>
      </c>
      <c r="AQ1523">
        <v>0</v>
      </c>
      <c r="AT1523">
        <v>0</v>
      </c>
      <c r="AU1523">
        <v>11</v>
      </c>
      <c r="AV1523">
        <v>386</v>
      </c>
      <c r="AW1523">
        <v>386</v>
      </c>
      <c r="AX1523">
        <v>542</v>
      </c>
      <c r="BA1523">
        <v>1</v>
      </c>
      <c r="BC1523" t="s">
        <v>3142</v>
      </c>
      <c r="BD1523" s="4">
        <v>43283.706944444442</v>
      </c>
      <c r="BE1523" s="4">
        <v>43283.712002314816</v>
      </c>
      <c r="BF1523" s="4">
        <v>43283.712002314816</v>
      </c>
      <c r="BG1523" t="s">
        <v>83</v>
      </c>
      <c r="BH1523" t="s">
        <v>84</v>
      </c>
      <c r="BI1523" t="s">
        <v>85</v>
      </c>
    </row>
    <row r="1524" spans="1:61" x14ac:dyDescent="0.3">
      <c r="A1524" t="str">
        <f>"201941C0100"</f>
        <v>201941C0100</v>
      </c>
      <c r="B1524" t="s">
        <v>3143</v>
      </c>
      <c r="C1524">
        <v>20</v>
      </c>
      <c r="D1524" t="s">
        <v>79</v>
      </c>
      <c r="E1524">
        <v>7</v>
      </c>
      <c r="F1524" t="s">
        <v>2811</v>
      </c>
      <c r="G1524">
        <v>1941</v>
      </c>
      <c r="H1524">
        <v>1</v>
      </c>
      <c r="I1524" t="s">
        <v>89</v>
      </c>
      <c r="J1524">
        <v>0</v>
      </c>
      <c r="K1524">
        <v>2</v>
      </c>
      <c r="L1524">
        <v>2</v>
      </c>
      <c r="M1524">
        <v>204</v>
      </c>
      <c r="N1524">
        <v>360</v>
      </c>
      <c r="O1524">
        <v>0</v>
      </c>
      <c r="P1524">
        <v>359</v>
      </c>
      <c r="Q1524">
        <v>7</v>
      </c>
      <c r="R1524">
        <v>110</v>
      </c>
      <c r="S1524">
        <v>57</v>
      </c>
      <c r="T1524">
        <v>7</v>
      </c>
      <c r="U1524">
        <v>9</v>
      </c>
      <c r="V1524">
        <v>2</v>
      </c>
      <c r="W1524">
        <v>0</v>
      </c>
      <c r="X1524">
        <v>1</v>
      </c>
      <c r="Y1524">
        <v>124</v>
      </c>
      <c r="Z1524">
        <v>4</v>
      </c>
      <c r="AB1524">
        <v>2</v>
      </c>
      <c r="AC1524">
        <v>1</v>
      </c>
      <c r="AD1524">
        <v>0</v>
      </c>
      <c r="AE1524">
        <v>0</v>
      </c>
      <c r="AF1524">
        <v>0</v>
      </c>
      <c r="AK1524">
        <v>3</v>
      </c>
      <c r="AL1524">
        <v>0</v>
      </c>
      <c r="AM1524">
        <v>1</v>
      </c>
      <c r="AN1524">
        <v>0</v>
      </c>
      <c r="AQ1524">
        <v>0</v>
      </c>
      <c r="AT1524">
        <v>0</v>
      </c>
      <c r="AU1524">
        <v>31</v>
      </c>
      <c r="AV1524">
        <v>359</v>
      </c>
      <c r="AW1524">
        <v>359</v>
      </c>
      <c r="AX1524">
        <v>542</v>
      </c>
      <c r="BA1524">
        <v>1</v>
      </c>
      <c r="BC1524" t="s">
        <v>3144</v>
      </c>
      <c r="BD1524" s="4">
        <v>43283.661805555559</v>
      </c>
      <c r="BE1524" s="4">
        <v>43283.670439814814</v>
      </c>
      <c r="BF1524" s="4">
        <v>43283.670439814814</v>
      </c>
      <c r="BG1524" t="s">
        <v>83</v>
      </c>
      <c r="BH1524" t="s">
        <v>84</v>
      </c>
      <c r="BI1524" t="s">
        <v>85</v>
      </c>
    </row>
    <row r="1525" spans="1:61" x14ac:dyDescent="0.3">
      <c r="A1525" t="str">
        <f>"201941C0200"</f>
        <v>201941C0200</v>
      </c>
      <c r="B1525" t="s">
        <v>3145</v>
      </c>
      <c r="C1525">
        <v>20</v>
      </c>
      <c r="D1525" t="s">
        <v>79</v>
      </c>
      <c r="E1525">
        <v>7</v>
      </c>
      <c r="F1525" t="s">
        <v>2811</v>
      </c>
      <c r="G1525">
        <v>1941</v>
      </c>
      <c r="H1525">
        <v>2</v>
      </c>
      <c r="I1525" t="s">
        <v>89</v>
      </c>
      <c r="J1525">
        <v>0</v>
      </c>
      <c r="K1525">
        <v>2</v>
      </c>
      <c r="L1525">
        <v>2</v>
      </c>
      <c r="M1525">
        <v>209</v>
      </c>
      <c r="N1525">
        <v>356</v>
      </c>
      <c r="O1525">
        <v>2</v>
      </c>
      <c r="P1525">
        <v>356</v>
      </c>
      <c r="Q1525">
        <v>2</v>
      </c>
      <c r="R1525">
        <v>95</v>
      </c>
      <c r="S1525">
        <v>70</v>
      </c>
      <c r="T1525">
        <v>11</v>
      </c>
      <c r="U1525">
        <v>5</v>
      </c>
      <c r="V1525">
        <v>0</v>
      </c>
      <c r="W1525">
        <v>1</v>
      </c>
      <c r="X1525">
        <v>2</v>
      </c>
      <c r="Y1525">
        <v>136</v>
      </c>
      <c r="Z1525">
        <v>3</v>
      </c>
      <c r="AB1525">
        <v>0</v>
      </c>
      <c r="AC1525">
        <v>1</v>
      </c>
      <c r="AD1525">
        <v>0</v>
      </c>
      <c r="AE1525">
        <v>0</v>
      </c>
      <c r="AF1525">
        <v>1</v>
      </c>
      <c r="AK1525">
        <v>4</v>
      </c>
      <c r="AL1525">
        <v>0</v>
      </c>
      <c r="AM1525">
        <v>0</v>
      </c>
      <c r="AN1525">
        <v>0</v>
      </c>
      <c r="AQ1525">
        <v>1</v>
      </c>
      <c r="AT1525">
        <v>0</v>
      </c>
      <c r="AU1525">
        <v>24</v>
      </c>
      <c r="AV1525">
        <v>356</v>
      </c>
      <c r="AW1525">
        <v>356</v>
      </c>
      <c r="AX1525">
        <v>542</v>
      </c>
      <c r="BA1525">
        <v>1</v>
      </c>
      <c r="BC1525" t="s">
        <v>3146</v>
      </c>
      <c r="BD1525" s="4">
        <v>43283.722916666666</v>
      </c>
      <c r="BE1525" s="4">
        <v>43283.732222222221</v>
      </c>
      <c r="BF1525" s="4">
        <v>43283.732222222221</v>
      </c>
      <c r="BG1525" t="s">
        <v>83</v>
      </c>
      <c r="BH1525" t="s">
        <v>84</v>
      </c>
      <c r="BI1525" t="s">
        <v>85</v>
      </c>
    </row>
    <row r="1526" spans="1:61" x14ac:dyDescent="0.3">
      <c r="A1526" t="str">
        <f>"201942B0100"</f>
        <v>201942B0100</v>
      </c>
      <c r="B1526" t="s">
        <v>3147</v>
      </c>
      <c r="C1526">
        <v>20</v>
      </c>
      <c r="D1526" t="s">
        <v>79</v>
      </c>
      <c r="E1526">
        <v>7</v>
      </c>
      <c r="F1526" t="s">
        <v>2811</v>
      </c>
      <c r="G1526">
        <v>1942</v>
      </c>
      <c r="H1526">
        <v>1</v>
      </c>
      <c r="I1526" t="s">
        <v>81</v>
      </c>
      <c r="J1526">
        <v>0</v>
      </c>
      <c r="K1526">
        <v>2</v>
      </c>
      <c r="L1526">
        <v>2</v>
      </c>
      <c r="M1526">
        <v>215</v>
      </c>
      <c r="N1526">
        <v>205</v>
      </c>
      <c r="O1526">
        <v>6</v>
      </c>
      <c r="P1526">
        <v>415</v>
      </c>
      <c r="Q1526">
        <v>2</v>
      </c>
      <c r="R1526">
        <v>111</v>
      </c>
      <c r="S1526">
        <v>63</v>
      </c>
      <c r="T1526">
        <v>8</v>
      </c>
      <c r="U1526">
        <v>11</v>
      </c>
      <c r="V1526">
        <v>4</v>
      </c>
      <c r="W1526">
        <v>3</v>
      </c>
      <c r="X1526">
        <v>1</v>
      </c>
      <c r="Y1526">
        <v>175</v>
      </c>
      <c r="Z1526">
        <v>4</v>
      </c>
      <c r="AB1526">
        <v>1</v>
      </c>
      <c r="AC1526">
        <v>1</v>
      </c>
      <c r="AD1526" t="s">
        <v>100</v>
      </c>
      <c r="AE1526" t="s">
        <v>100</v>
      </c>
      <c r="AF1526" t="s">
        <v>100</v>
      </c>
      <c r="AK1526">
        <v>5</v>
      </c>
      <c r="AL1526">
        <v>1</v>
      </c>
      <c r="AM1526" t="s">
        <v>100</v>
      </c>
      <c r="AN1526" t="s">
        <v>100</v>
      </c>
      <c r="AQ1526">
        <v>1</v>
      </c>
      <c r="AT1526" t="s">
        <v>100</v>
      </c>
      <c r="AU1526">
        <v>24</v>
      </c>
      <c r="AV1526">
        <v>415</v>
      </c>
      <c r="AW1526">
        <v>415</v>
      </c>
      <c r="AX1526">
        <v>611</v>
      </c>
      <c r="AZ1526" t="s">
        <v>101</v>
      </c>
      <c r="BA1526">
        <v>1</v>
      </c>
      <c r="BC1526" t="s">
        <v>3148</v>
      </c>
      <c r="BD1526" s="4">
        <v>43283.647916666669</v>
      </c>
      <c r="BE1526" s="4">
        <v>43283.651354166665</v>
      </c>
      <c r="BF1526" s="4">
        <v>43283.651354166665</v>
      </c>
      <c r="BG1526" t="s">
        <v>83</v>
      </c>
      <c r="BH1526" t="s">
        <v>84</v>
      </c>
      <c r="BI1526" t="s">
        <v>85</v>
      </c>
    </row>
    <row r="1527" spans="1:61" x14ac:dyDescent="0.3">
      <c r="A1527" t="str">
        <f>"201942C0100"</f>
        <v>201942C0100</v>
      </c>
      <c r="B1527" t="s">
        <v>3149</v>
      </c>
      <c r="C1527">
        <v>20</v>
      </c>
      <c r="D1527" t="s">
        <v>79</v>
      </c>
      <c r="E1527">
        <v>7</v>
      </c>
      <c r="F1527" t="s">
        <v>2811</v>
      </c>
      <c r="G1527">
        <v>1942</v>
      </c>
      <c r="H1527">
        <v>1</v>
      </c>
      <c r="I1527" t="s">
        <v>89</v>
      </c>
      <c r="J1527">
        <v>0</v>
      </c>
      <c r="K1527">
        <v>2</v>
      </c>
      <c r="L1527">
        <v>2</v>
      </c>
      <c r="M1527">
        <v>203</v>
      </c>
      <c r="N1527">
        <v>429</v>
      </c>
      <c r="O1527">
        <v>0</v>
      </c>
      <c r="P1527">
        <v>429</v>
      </c>
      <c r="Q1527">
        <v>1</v>
      </c>
      <c r="R1527">
        <v>125</v>
      </c>
      <c r="S1527">
        <v>84</v>
      </c>
      <c r="T1527">
        <v>4</v>
      </c>
      <c r="U1527">
        <v>12</v>
      </c>
      <c r="V1527">
        <v>8</v>
      </c>
      <c r="W1527">
        <v>2</v>
      </c>
      <c r="X1527">
        <v>4</v>
      </c>
      <c r="Y1527">
        <v>153</v>
      </c>
      <c r="Z1527">
        <v>4</v>
      </c>
      <c r="AB1527">
        <v>1</v>
      </c>
      <c r="AC1527">
        <v>0</v>
      </c>
      <c r="AD1527">
        <v>0</v>
      </c>
      <c r="AE1527">
        <v>0</v>
      </c>
      <c r="AF1527">
        <v>2</v>
      </c>
      <c r="AK1527">
        <v>3</v>
      </c>
      <c r="AL1527">
        <v>1</v>
      </c>
      <c r="AM1527">
        <v>0</v>
      </c>
      <c r="AN1527">
        <v>3</v>
      </c>
      <c r="AQ1527">
        <v>0</v>
      </c>
      <c r="AT1527">
        <v>0</v>
      </c>
      <c r="AU1527">
        <v>24</v>
      </c>
      <c r="AV1527">
        <v>431</v>
      </c>
      <c r="AW1527">
        <v>431</v>
      </c>
      <c r="AX1527">
        <v>611</v>
      </c>
      <c r="BA1527">
        <v>1</v>
      </c>
      <c r="BC1527" t="s">
        <v>3150</v>
      </c>
      <c r="BD1527" s="4">
        <v>43283.660416666666</v>
      </c>
      <c r="BE1527" s="4">
        <v>43283.670648148145</v>
      </c>
      <c r="BF1527" s="4">
        <v>43283.670648148145</v>
      </c>
      <c r="BG1527" t="s">
        <v>83</v>
      </c>
      <c r="BH1527" t="s">
        <v>84</v>
      </c>
      <c r="BI1527" t="s">
        <v>85</v>
      </c>
    </row>
    <row r="1528" spans="1:61" x14ac:dyDescent="0.3">
      <c r="A1528" t="str">
        <f>"201942C0200"</f>
        <v>201942C0200</v>
      </c>
      <c r="B1528" t="s">
        <v>3151</v>
      </c>
      <c r="C1528">
        <v>20</v>
      </c>
      <c r="D1528" t="s">
        <v>79</v>
      </c>
      <c r="E1528">
        <v>7</v>
      </c>
      <c r="F1528" t="s">
        <v>2811</v>
      </c>
      <c r="G1528">
        <v>1942</v>
      </c>
      <c r="H1528">
        <v>2</v>
      </c>
      <c r="I1528" t="s">
        <v>89</v>
      </c>
      <c r="J1528">
        <v>0</v>
      </c>
      <c r="K1528">
        <v>2</v>
      </c>
      <c r="L1528">
        <v>2</v>
      </c>
      <c r="M1528">
        <v>208</v>
      </c>
      <c r="N1528">
        <v>425</v>
      </c>
      <c r="O1528">
        <v>2</v>
      </c>
      <c r="P1528">
        <v>425</v>
      </c>
      <c r="Q1528">
        <v>6</v>
      </c>
      <c r="R1528">
        <v>109</v>
      </c>
      <c r="S1528">
        <v>73</v>
      </c>
      <c r="T1528">
        <v>9</v>
      </c>
      <c r="U1528">
        <v>12</v>
      </c>
      <c r="V1528">
        <v>3</v>
      </c>
      <c r="W1528">
        <v>2</v>
      </c>
      <c r="X1528">
        <v>0</v>
      </c>
      <c r="Y1528">
        <v>181</v>
      </c>
      <c r="Z1528">
        <v>2</v>
      </c>
      <c r="AB1528">
        <v>0</v>
      </c>
      <c r="AC1528">
        <v>1</v>
      </c>
      <c r="AD1528">
        <v>0</v>
      </c>
      <c r="AE1528">
        <v>0</v>
      </c>
      <c r="AF1528">
        <v>0</v>
      </c>
      <c r="AK1528">
        <v>2</v>
      </c>
      <c r="AL1528">
        <v>0</v>
      </c>
      <c r="AM1528">
        <v>0</v>
      </c>
      <c r="AN1528">
        <v>5</v>
      </c>
      <c r="AQ1528">
        <v>0</v>
      </c>
      <c r="AT1528">
        <v>0</v>
      </c>
      <c r="AU1528">
        <v>20</v>
      </c>
      <c r="AV1528">
        <v>425</v>
      </c>
      <c r="AW1528">
        <v>425</v>
      </c>
      <c r="AX1528">
        <v>610</v>
      </c>
      <c r="BA1528">
        <v>1</v>
      </c>
      <c r="BC1528" t="s">
        <v>3152</v>
      </c>
      <c r="BD1528" s="4">
        <v>43283.665972222225</v>
      </c>
      <c r="BE1528" s="4">
        <v>43283.674456018518</v>
      </c>
      <c r="BF1528" s="4">
        <v>43283.674456018518</v>
      </c>
      <c r="BG1528" t="s">
        <v>83</v>
      </c>
      <c r="BH1528" t="s">
        <v>84</v>
      </c>
      <c r="BI1528" t="s">
        <v>85</v>
      </c>
    </row>
    <row r="1529" spans="1:61" x14ac:dyDescent="0.3">
      <c r="A1529" t="str">
        <f>"201943B0100"</f>
        <v>201943B0100</v>
      </c>
      <c r="B1529" t="s">
        <v>3153</v>
      </c>
      <c r="C1529">
        <v>20</v>
      </c>
      <c r="D1529" t="s">
        <v>79</v>
      </c>
      <c r="E1529">
        <v>7</v>
      </c>
      <c r="F1529" t="s">
        <v>2811</v>
      </c>
      <c r="G1529">
        <v>1943</v>
      </c>
      <c r="H1529">
        <v>1</v>
      </c>
      <c r="I1529" t="s">
        <v>81</v>
      </c>
      <c r="J1529">
        <v>0</v>
      </c>
      <c r="K1529">
        <v>2</v>
      </c>
      <c r="L1529">
        <v>2</v>
      </c>
      <c r="AX1529">
        <v>594</v>
      </c>
      <c r="AZ1529" t="s">
        <v>932</v>
      </c>
      <c r="BA1529">
        <v>0</v>
      </c>
      <c r="BC1529" t="s">
        <v>3154</v>
      </c>
      <c r="BD1529" s="4">
        <v>43283.817361111112</v>
      </c>
      <c r="BE1529" s="4">
        <v>43283.820196759261</v>
      </c>
      <c r="BF1529" s="4">
        <v>43283.820196759261</v>
      </c>
      <c r="BG1529" t="s">
        <v>83</v>
      </c>
      <c r="BH1529" t="s">
        <v>84</v>
      </c>
      <c r="BI1529" t="s">
        <v>85</v>
      </c>
    </row>
    <row r="1530" spans="1:61" x14ac:dyDescent="0.3">
      <c r="A1530" t="str">
        <f>"201943E0100"</f>
        <v>201943E0100</v>
      </c>
      <c r="B1530" s="2" t="s">
        <v>3155</v>
      </c>
      <c r="C1530">
        <v>20</v>
      </c>
      <c r="D1530" t="s">
        <v>79</v>
      </c>
      <c r="E1530">
        <v>7</v>
      </c>
      <c r="F1530" t="s">
        <v>2811</v>
      </c>
      <c r="G1530">
        <v>1943</v>
      </c>
      <c r="H1530">
        <v>1</v>
      </c>
      <c r="I1530" t="s">
        <v>145</v>
      </c>
      <c r="J1530">
        <v>0</v>
      </c>
      <c r="K1530">
        <v>2</v>
      </c>
      <c r="L1530">
        <v>2</v>
      </c>
      <c r="M1530">
        <v>200</v>
      </c>
      <c r="N1530">
        <v>397</v>
      </c>
      <c r="O1530" t="s">
        <v>100</v>
      </c>
      <c r="P1530">
        <v>376</v>
      </c>
      <c r="Q1530">
        <v>5</v>
      </c>
      <c r="R1530">
        <v>24</v>
      </c>
      <c r="S1530">
        <v>131</v>
      </c>
      <c r="T1530">
        <v>4</v>
      </c>
      <c r="U1530">
        <v>11</v>
      </c>
      <c r="V1530">
        <v>1</v>
      </c>
      <c r="W1530">
        <v>2</v>
      </c>
      <c r="X1530">
        <v>9</v>
      </c>
      <c r="Y1530">
        <v>161</v>
      </c>
      <c r="Z1530">
        <v>8</v>
      </c>
      <c r="AB1530">
        <v>4</v>
      </c>
      <c r="AC1530" t="s">
        <v>100</v>
      </c>
      <c r="AD1530" t="s">
        <v>100</v>
      </c>
      <c r="AE1530" t="s">
        <v>100</v>
      </c>
      <c r="AF1530" t="s">
        <v>100</v>
      </c>
      <c r="AK1530" t="s">
        <v>100</v>
      </c>
      <c r="AL1530">
        <v>3</v>
      </c>
      <c r="AM1530" t="s">
        <v>100</v>
      </c>
      <c r="AN1530">
        <v>5</v>
      </c>
      <c r="AQ1530" t="s">
        <v>100</v>
      </c>
      <c r="AT1530" t="s">
        <v>100</v>
      </c>
      <c r="AU1530">
        <v>8</v>
      </c>
      <c r="AV1530">
        <v>376</v>
      </c>
      <c r="AW1530">
        <v>376</v>
      </c>
      <c r="AX1530">
        <v>575</v>
      </c>
      <c r="AZ1530" t="s">
        <v>101</v>
      </c>
      <c r="BA1530">
        <v>1</v>
      </c>
      <c r="BC1530" t="s">
        <v>3156</v>
      </c>
      <c r="BD1530" s="4">
        <v>43283.676388888889</v>
      </c>
      <c r="BE1530" s="4">
        <v>43283.682210648149</v>
      </c>
      <c r="BF1530" s="4">
        <v>43283.682210648149</v>
      </c>
      <c r="BG1530" t="s">
        <v>83</v>
      </c>
      <c r="BH1530" t="s">
        <v>84</v>
      </c>
      <c r="BI1530" t="s">
        <v>85</v>
      </c>
    </row>
    <row r="1531" spans="1:61" x14ac:dyDescent="0.3">
      <c r="A1531" t="str">
        <f>"201944B0100"</f>
        <v>201944B0100</v>
      </c>
      <c r="B1531" t="s">
        <v>3157</v>
      </c>
      <c r="C1531">
        <v>20</v>
      </c>
      <c r="D1531" t="s">
        <v>79</v>
      </c>
      <c r="E1531">
        <v>7</v>
      </c>
      <c r="F1531" t="s">
        <v>2811</v>
      </c>
      <c r="G1531">
        <v>1944</v>
      </c>
      <c r="H1531">
        <v>1</v>
      </c>
      <c r="I1531" t="s">
        <v>81</v>
      </c>
      <c r="J1531">
        <v>0</v>
      </c>
      <c r="K1531">
        <v>2</v>
      </c>
      <c r="L1531">
        <v>2</v>
      </c>
      <c r="M1531">
        <v>184</v>
      </c>
      <c r="N1531">
        <v>771</v>
      </c>
      <c r="O1531">
        <v>387</v>
      </c>
      <c r="P1531">
        <v>378</v>
      </c>
      <c r="Q1531">
        <v>3</v>
      </c>
      <c r="R1531">
        <v>81</v>
      </c>
      <c r="S1531">
        <v>32</v>
      </c>
      <c r="T1531">
        <v>17</v>
      </c>
      <c r="U1531">
        <v>10</v>
      </c>
      <c r="V1531">
        <v>2</v>
      </c>
      <c r="W1531">
        <v>8</v>
      </c>
      <c r="X1531">
        <v>13</v>
      </c>
      <c r="Y1531">
        <v>195</v>
      </c>
      <c r="Z1531">
        <v>2</v>
      </c>
      <c r="AB1531">
        <v>4</v>
      </c>
      <c r="AC1531" t="s">
        <v>100</v>
      </c>
      <c r="AD1531" t="s">
        <v>100</v>
      </c>
      <c r="AE1531" t="s">
        <v>100</v>
      </c>
      <c r="AF1531" t="s">
        <v>100</v>
      </c>
      <c r="AK1531">
        <v>1</v>
      </c>
      <c r="AL1531" t="s">
        <v>100</v>
      </c>
      <c r="AM1531" t="s">
        <v>100</v>
      </c>
      <c r="AN1531">
        <v>1</v>
      </c>
      <c r="AQ1531" t="s">
        <v>100</v>
      </c>
      <c r="AT1531" t="s">
        <v>100</v>
      </c>
      <c r="AU1531">
        <v>9</v>
      </c>
      <c r="AV1531" t="s">
        <v>100</v>
      </c>
      <c r="AW1531">
        <v>378</v>
      </c>
      <c r="AX1531">
        <v>549</v>
      </c>
      <c r="AZ1531" t="s">
        <v>101</v>
      </c>
      <c r="BA1531">
        <v>1</v>
      </c>
      <c r="BC1531" t="s">
        <v>3158</v>
      </c>
      <c r="BD1531" s="4">
        <v>43283.710416666669</v>
      </c>
      <c r="BE1531" s="4">
        <v>43283.71502314815</v>
      </c>
      <c r="BF1531" s="4">
        <v>43283.71502314815</v>
      </c>
      <c r="BG1531" t="s">
        <v>83</v>
      </c>
      <c r="BH1531" t="s">
        <v>84</v>
      </c>
      <c r="BI1531" t="s">
        <v>85</v>
      </c>
    </row>
    <row r="1532" spans="1:61" x14ac:dyDescent="0.3">
      <c r="A1532" t="str">
        <f>"201944C0100"</f>
        <v>201944C0100</v>
      </c>
      <c r="B1532" t="s">
        <v>3159</v>
      </c>
      <c r="C1532">
        <v>20</v>
      </c>
      <c r="D1532" t="s">
        <v>79</v>
      </c>
      <c r="E1532">
        <v>7</v>
      </c>
      <c r="F1532" t="s">
        <v>2811</v>
      </c>
      <c r="G1532">
        <v>1944</v>
      </c>
      <c r="H1532">
        <v>1</v>
      </c>
      <c r="I1532" t="s">
        <v>89</v>
      </c>
      <c r="J1532">
        <v>0</v>
      </c>
      <c r="K1532">
        <v>2</v>
      </c>
      <c r="L1532">
        <v>2</v>
      </c>
      <c r="M1532">
        <v>194</v>
      </c>
      <c r="N1532">
        <v>376</v>
      </c>
      <c r="O1532">
        <v>2</v>
      </c>
      <c r="P1532">
        <v>374</v>
      </c>
      <c r="Q1532">
        <v>4</v>
      </c>
      <c r="R1532">
        <v>67</v>
      </c>
      <c r="S1532">
        <v>50</v>
      </c>
      <c r="T1532">
        <v>31</v>
      </c>
      <c r="U1532">
        <v>11</v>
      </c>
      <c r="V1532">
        <v>1</v>
      </c>
      <c r="W1532">
        <v>5</v>
      </c>
      <c r="X1532">
        <v>12</v>
      </c>
      <c r="Y1532">
        <v>163</v>
      </c>
      <c r="Z1532">
        <v>8</v>
      </c>
      <c r="AB1532">
        <v>1</v>
      </c>
      <c r="AC1532">
        <v>1</v>
      </c>
      <c r="AD1532">
        <v>1</v>
      </c>
      <c r="AE1532">
        <v>0</v>
      </c>
      <c r="AF1532">
        <v>0</v>
      </c>
      <c r="AK1532">
        <v>5</v>
      </c>
      <c r="AL1532">
        <v>1</v>
      </c>
      <c r="AM1532">
        <v>0</v>
      </c>
      <c r="AN1532">
        <v>1</v>
      </c>
      <c r="AQ1532">
        <v>0</v>
      </c>
      <c r="AT1532">
        <v>0</v>
      </c>
      <c r="AU1532">
        <v>15</v>
      </c>
      <c r="AV1532">
        <v>374</v>
      </c>
      <c r="AW1532">
        <v>377</v>
      </c>
      <c r="AX1532">
        <v>548</v>
      </c>
      <c r="BA1532">
        <v>1</v>
      </c>
      <c r="BC1532" t="s">
        <v>3160</v>
      </c>
      <c r="BD1532" s="4">
        <v>43283.648611111108</v>
      </c>
      <c r="BE1532" s="4">
        <v>43283.651932870373</v>
      </c>
      <c r="BF1532" s="4">
        <v>43283.651932870373</v>
      </c>
      <c r="BG1532" t="s">
        <v>83</v>
      </c>
      <c r="BH1532" t="s">
        <v>84</v>
      </c>
      <c r="BI1532" t="s">
        <v>85</v>
      </c>
    </row>
    <row r="1533" spans="1:61" x14ac:dyDescent="0.3">
      <c r="A1533" t="str">
        <f>"201945B0100"</f>
        <v>201945B0100</v>
      </c>
      <c r="B1533" t="s">
        <v>3161</v>
      </c>
      <c r="C1533">
        <v>20</v>
      </c>
      <c r="D1533" t="s">
        <v>79</v>
      </c>
      <c r="E1533">
        <v>7</v>
      </c>
      <c r="F1533" t="s">
        <v>2811</v>
      </c>
      <c r="G1533">
        <v>1945</v>
      </c>
      <c r="H1533">
        <v>1</v>
      </c>
      <c r="I1533" t="s">
        <v>81</v>
      </c>
      <c r="J1533">
        <v>0</v>
      </c>
      <c r="K1533">
        <v>2</v>
      </c>
      <c r="L1533">
        <v>2</v>
      </c>
      <c r="M1533">
        <v>251</v>
      </c>
      <c r="N1533">
        <v>483</v>
      </c>
      <c r="O1533">
        <v>0</v>
      </c>
      <c r="P1533">
        <v>483</v>
      </c>
      <c r="Q1533">
        <v>4</v>
      </c>
      <c r="R1533">
        <v>80</v>
      </c>
      <c r="S1533">
        <v>66</v>
      </c>
      <c r="T1533">
        <v>51</v>
      </c>
      <c r="U1533">
        <v>22</v>
      </c>
      <c r="V1533">
        <v>7</v>
      </c>
      <c r="W1533">
        <v>6</v>
      </c>
      <c r="X1533">
        <v>2</v>
      </c>
      <c r="Y1533">
        <v>208</v>
      </c>
      <c r="Z1533">
        <v>4</v>
      </c>
      <c r="AB1533" t="s">
        <v>100</v>
      </c>
      <c r="AC1533" t="s">
        <v>100</v>
      </c>
      <c r="AD1533" t="s">
        <v>100</v>
      </c>
      <c r="AE1533" t="s">
        <v>100</v>
      </c>
      <c r="AF1533">
        <v>1</v>
      </c>
      <c r="AK1533">
        <v>2</v>
      </c>
      <c r="AL1533">
        <v>2</v>
      </c>
      <c r="AM1533">
        <v>1</v>
      </c>
      <c r="AN1533">
        <v>2</v>
      </c>
      <c r="AQ1533">
        <v>1</v>
      </c>
      <c r="AT1533" t="s">
        <v>100</v>
      </c>
      <c r="AU1533">
        <v>24</v>
      </c>
      <c r="AV1533">
        <v>483</v>
      </c>
      <c r="AW1533">
        <v>483</v>
      </c>
      <c r="AX1533">
        <v>712</v>
      </c>
      <c r="AZ1533" t="s">
        <v>101</v>
      </c>
      <c r="BA1533">
        <v>1</v>
      </c>
      <c r="BC1533" t="s">
        <v>3162</v>
      </c>
      <c r="BD1533" s="4">
        <v>43283.65902777778</v>
      </c>
      <c r="BE1533" s="4">
        <v>43283.663634259261</v>
      </c>
      <c r="BF1533" s="4">
        <v>43283.663634259261</v>
      </c>
      <c r="BG1533" t="s">
        <v>83</v>
      </c>
      <c r="BH1533" t="s">
        <v>84</v>
      </c>
      <c r="BI1533" t="s">
        <v>85</v>
      </c>
    </row>
    <row r="1534" spans="1:61" x14ac:dyDescent="0.3">
      <c r="A1534" t="str">
        <f>"201946B0100"</f>
        <v>201946B0100</v>
      </c>
      <c r="B1534" t="s">
        <v>3163</v>
      </c>
      <c r="C1534">
        <v>20</v>
      </c>
      <c r="D1534" t="s">
        <v>79</v>
      </c>
      <c r="E1534">
        <v>7</v>
      </c>
      <c r="F1534" t="s">
        <v>2811</v>
      </c>
      <c r="G1534">
        <v>1946</v>
      </c>
      <c r="H1534">
        <v>1</v>
      </c>
      <c r="I1534" t="s">
        <v>81</v>
      </c>
      <c r="J1534">
        <v>0</v>
      </c>
      <c r="K1534">
        <v>2</v>
      </c>
      <c r="L1534">
        <v>2</v>
      </c>
      <c r="M1534">
        <v>222</v>
      </c>
      <c r="N1534">
        <v>425</v>
      </c>
      <c r="O1534">
        <v>1</v>
      </c>
      <c r="P1534">
        <v>424</v>
      </c>
      <c r="Q1534">
        <v>2</v>
      </c>
      <c r="R1534">
        <v>83</v>
      </c>
      <c r="S1534">
        <v>118</v>
      </c>
      <c r="T1534">
        <v>25</v>
      </c>
      <c r="U1534">
        <v>14</v>
      </c>
      <c r="V1534">
        <v>3</v>
      </c>
      <c r="W1534">
        <v>3</v>
      </c>
      <c r="X1534">
        <v>3</v>
      </c>
      <c r="Y1534">
        <v>141</v>
      </c>
      <c r="Z1534">
        <v>2</v>
      </c>
      <c r="AB1534">
        <v>0</v>
      </c>
      <c r="AC1534">
        <v>0</v>
      </c>
      <c r="AD1534">
        <v>3</v>
      </c>
      <c r="AE1534">
        <v>0</v>
      </c>
      <c r="AF1534">
        <v>0</v>
      </c>
      <c r="AK1534">
        <v>3</v>
      </c>
      <c r="AL1534">
        <v>0</v>
      </c>
      <c r="AM1534">
        <v>0</v>
      </c>
      <c r="AN1534">
        <v>0</v>
      </c>
      <c r="AQ1534">
        <v>0</v>
      </c>
      <c r="AT1534">
        <v>0</v>
      </c>
      <c r="AU1534">
        <v>24</v>
      </c>
      <c r="AV1534">
        <v>424</v>
      </c>
      <c r="AW1534">
        <v>424</v>
      </c>
      <c r="AX1534">
        <v>625</v>
      </c>
      <c r="BA1534">
        <v>1</v>
      </c>
      <c r="BC1534" t="s">
        <v>3164</v>
      </c>
      <c r="BD1534" s="4">
        <v>43283.682638888888</v>
      </c>
      <c r="BE1534" s="4">
        <v>43283.688657407409</v>
      </c>
      <c r="BF1534" s="4">
        <v>43283.688657407409</v>
      </c>
      <c r="BG1534" t="s">
        <v>83</v>
      </c>
      <c r="BH1534" t="s">
        <v>84</v>
      </c>
      <c r="BI1534" t="s">
        <v>85</v>
      </c>
    </row>
    <row r="1535" spans="1:61" x14ac:dyDescent="0.3">
      <c r="A1535" t="str">
        <f>"201946C0100"</f>
        <v>201946C0100</v>
      </c>
      <c r="B1535" t="s">
        <v>3165</v>
      </c>
      <c r="C1535">
        <v>20</v>
      </c>
      <c r="D1535" t="s">
        <v>79</v>
      </c>
      <c r="E1535">
        <v>7</v>
      </c>
      <c r="F1535" t="s">
        <v>2811</v>
      </c>
      <c r="G1535">
        <v>1946</v>
      </c>
      <c r="H1535">
        <v>1</v>
      </c>
      <c r="I1535" t="s">
        <v>89</v>
      </c>
      <c r="J1535">
        <v>0</v>
      </c>
      <c r="K1535">
        <v>2</v>
      </c>
      <c r="L1535">
        <v>2</v>
      </c>
      <c r="M1535">
        <v>215</v>
      </c>
      <c r="N1535">
        <v>430</v>
      </c>
      <c r="O1535">
        <v>1</v>
      </c>
      <c r="P1535">
        <v>429</v>
      </c>
      <c r="Q1535">
        <v>4</v>
      </c>
      <c r="R1535">
        <v>47</v>
      </c>
      <c r="S1535">
        <v>116</v>
      </c>
      <c r="T1535">
        <v>38</v>
      </c>
      <c r="U1535">
        <v>8</v>
      </c>
      <c r="V1535">
        <v>8</v>
      </c>
      <c r="W1535">
        <v>6</v>
      </c>
      <c r="X1535">
        <v>2</v>
      </c>
      <c r="Y1535">
        <v>169</v>
      </c>
      <c r="Z1535">
        <v>2</v>
      </c>
      <c r="AB1535">
        <v>0</v>
      </c>
      <c r="AC1535">
        <v>1</v>
      </c>
      <c r="AD1535">
        <v>1</v>
      </c>
      <c r="AE1535">
        <v>0</v>
      </c>
      <c r="AF1535">
        <v>0</v>
      </c>
      <c r="AK1535">
        <v>6</v>
      </c>
      <c r="AL1535">
        <v>3</v>
      </c>
      <c r="AM1535">
        <v>1</v>
      </c>
      <c r="AN1535">
        <v>0</v>
      </c>
      <c r="AQ1535">
        <v>0</v>
      </c>
      <c r="AT1535">
        <v>0</v>
      </c>
      <c r="AU1535">
        <v>18</v>
      </c>
      <c r="AV1535">
        <v>429</v>
      </c>
      <c r="AW1535">
        <v>430</v>
      </c>
      <c r="AX1535">
        <v>624</v>
      </c>
      <c r="BA1535">
        <v>1</v>
      </c>
      <c r="BC1535" t="s">
        <v>3166</v>
      </c>
      <c r="BD1535" s="4">
        <v>43283.69027777778</v>
      </c>
      <c r="BE1535" s="4">
        <v>43283.693703703706</v>
      </c>
      <c r="BF1535" s="4">
        <v>43283.693703703706</v>
      </c>
      <c r="BG1535" t="s">
        <v>83</v>
      </c>
      <c r="BH1535" t="s">
        <v>84</v>
      </c>
      <c r="BI1535" t="s">
        <v>85</v>
      </c>
    </row>
    <row r="1536" spans="1:61" x14ac:dyDescent="0.3">
      <c r="A1536" t="str">
        <f>"201947B0100"</f>
        <v>201947B0100</v>
      </c>
      <c r="B1536" t="s">
        <v>3167</v>
      </c>
      <c r="C1536">
        <v>20</v>
      </c>
      <c r="D1536" t="s">
        <v>79</v>
      </c>
      <c r="E1536">
        <v>7</v>
      </c>
      <c r="F1536" t="s">
        <v>2811</v>
      </c>
      <c r="G1536">
        <v>1947</v>
      </c>
      <c r="H1536">
        <v>1</v>
      </c>
      <c r="I1536" t="s">
        <v>81</v>
      </c>
      <c r="J1536">
        <v>0</v>
      </c>
      <c r="K1536">
        <v>2</v>
      </c>
      <c r="L1536">
        <v>2</v>
      </c>
      <c r="M1536">
        <v>290</v>
      </c>
      <c r="N1536">
        <v>306</v>
      </c>
      <c r="O1536">
        <v>0</v>
      </c>
      <c r="P1536">
        <v>308</v>
      </c>
      <c r="Q1536">
        <v>2</v>
      </c>
      <c r="R1536">
        <v>11</v>
      </c>
      <c r="S1536">
        <v>21</v>
      </c>
      <c r="T1536">
        <v>7</v>
      </c>
      <c r="U1536">
        <v>12</v>
      </c>
      <c r="V1536">
        <v>5</v>
      </c>
      <c r="W1536">
        <v>90</v>
      </c>
      <c r="X1536">
        <v>3</v>
      </c>
      <c r="Y1536">
        <v>96</v>
      </c>
      <c r="Z1536">
        <v>3</v>
      </c>
      <c r="AB1536">
        <v>4</v>
      </c>
      <c r="AC1536">
        <v>1</v>
      </c>
      <c r="AD1536">
        <v>0</v>
      </c>
      <c r="AE1536">
        <v>0</v>
      </c>
      <c r="AF1536">
        <v>0</v>
      </c>
      <c r="AK1536">
        <v>0</v>
      </c>
      <c r="AL1536">
        <v>0</v>
      </c>
      <c r="AM1536">
        <v>0</v>
      </c>
      <c r="AN1536">
        <v>0</v>
      </c>
      <c r="AQ1536">
        <v>0</v>
      </c>
      <c r="AT1536">
        <v>0</v>
      </c>
      <c r="AU1536">
        <v>53</v>
      </c>
      <c r="AV1536">
        <v>308</v>
      </c>
      <c r="AW1536">
        <v>308</v>
      </c>
      <c r="AX1536">
        <v>574</v>
      </c>
      <c r="BA1536">
        <v>1</v>
      </c>
      <c r="BC1536" t="s">
        <v>3168</v>
      </c>
      <c r="BD1536" s="4">
        <v>43283.686805555553</v>
      </c>
      <c r="BE1536" s="4">
        <v>43283.692175925928</v>
      </c>
      <c r="BF1536" s="4">
        <v>43283.692175925928</v>
      </c>
      <c r="BG1536" t="s">
        <v>83</v>
      </c>
      <c r="BH1536" t="s">
        <v>84</v>
      </c>
      <c r="BI1536" t="s">
        <v>85</v>
      </c>
    </row>
    <row r="1537" spans="1:61" x14ac:dyDescent="0.3">
      <c r="A1537" t="str">
        <f>"201947C0100"</f>
        <v>201947C0100</v>
      </c>
      <c r="B1537" t="s">
        <v>3169</v>
      </c>
      <c r="C1537">
        <v>20</v>
      </c>
      <c r="D1537" t="s">
        <v>79</v>
      </c>
      <c r="E1537">
        <v>7</v>
      </c>
      <c r="F1537" t="s">
        <v>2811</v>
      </c>
      <c r="G1537">
        <v>1947</v>
      </c>
      <c r="H1537">
        <v>1</v>
      </c>
      <c r="I1537" t="s">
        <v>89</v>
      </c>
      <c r="J1537">
        <v>0</v>
      </c>
      <c r="K1537">
        <v>2</v>
      </c>
      <c r="L1537">
        <v>2</v>
      </c>
      <c r="M1537">
        <v>304</v>
      </c>
      <c r="N1537">
        <v>291</v>
      </c>
      <c r="O1537">
        <v>0</v>
      </c>
      <c r="P1537">
        <v>291</v>
      </c>
      <c r="Q1537">
        <v>3</v>
      </c>
      <c r="R1537">
        <v>10</v>
      </c>
      <c r="S1537">
        <v>27</v>
      </c>
      <c r="T1537">
        <v>4</v>
      </c>
      <c r="U1537">
        <v>9</v>
      </c>
      <c r="V1537">
        <v>2</v>
      </c>
      <c r="W1537">
        <v>118</v>
      </c>
      <c r="X1537">
        <v>2</v>
      </c>
      <c r="Y1537">
        <v>67</v>
      </c>
      <c r="Z1537">
        <v>3</v>
      </c>
      <c r="AB1537">
        <v>3</v>
      </c>
      <c r="AC1537">
        <v>0</v>
      </c>
      <c r="AD1537">
        <v>1</v>
      </c>
      <c r="AE1537">
        <v>0</v>
      </c>
      <c r="AF1537">
        <v>0</v>
      </c>
      <c r="AK1537">
        <v>1</v>
      </c>
      <c r="AL1537">
        <v>0</v>
      </c>
      <c r="AM1537">
        <v>0</v>
      </c>
      <c r="AN1537">
        <v>2</v>
      </c>
      <c r="AQ1537">
        <v>0</v>
      </c>
      <c r="AT1537">
        <v>0</v>
      </c>
      <c r="AU1537">
        <v>39</v>
      </c>
      <c r="AV1537">
        <v>291</v>
      </c>
      <c r="AW1537">
        <v>291</v>
      </c>
      <c r="AX1537">
        <v>573</v>
      </c>
      <c r="BA1537">
        <v>1</v>
      </c>
      <c r="BC1537" t="s">
        <v>3170</v>
      </c>
      <c r="BD1537" s="4">
        <v>43283.685416666667</v>
      </c>
      <c r="BE1537" s="4">
        <v>43283.689814814818</v>
      </c>
      <c r="BF1537" s="4">
        <v>43283.689814814818</v>
      </c>
      <c r="BG1537" t="s">
        <v>83</v>
      </c>
      <c r="BH1537" t="s">
        <v>84</v>
      </c>
      <c r="BI1537" t="s">
        <v>85</v>
      </c>
    </row>
    <row r="1538" spans="1:61" x14ac:dyDescent="0.3">
      <c r="A1538" t="str">
        <f>"201948B0100"</f>
        <v>201948B0100</v>
      </c>
      <c r="B1538" t="s">
        <v>3171</v>
      </c>
      <c r="C1538">
        <v>20</v>
      </c>
      <c r="D1538" t="s">
        <v>79</v>
      </c>
      <c r="E1538">
        <v>7</v>
      </c>
      <c r="F1538" t="s">
        <v>2811</v>
      </c>
      <c r="G1538">
        <v>1948</v>
      </c>
      <c r="H1538">
        <v>1</v>
      </c>
      <c r="I1538" t="s">
        <v>81</v>
      </c>
      <c r="J1538">
        <v>0</v>
      </c>
      <c r="K1538">
        <v>2</v>
      </c>
      <c r="L1538">
        <v>2</v>
      </c>
      <c r="M1538">
        <v>125</v>
      </c>
      <c r="N1538">
        <v>364</v>
      </c>
      <c r="O1538">
        <v>0</v>
      </c>
      <c r="P1538">
        <v>364</v>
      </c>
      <c r="Q1538">
        <v>0</v>
      </c>
      <c r="R1538">
        <v>127</v>
      </c>
      <c r="S1538">
        <v>51</v>
      </c>
      <c r="T1538">
        <v>0</v>
      </c>
      <c r="U1538">
        <v>0</v>
      </c>
      <c r="V1538">
        <v>0</v>
      </c>
      <c r="W1538">
        <v>4</v>
      </c>
      <c r="X1538">
        <v>0</v>
      </c>
      <c r="Y1538">
        <v>166</v>
      </c>
      <c r="Z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K1538">
        <v>0</v>
      </c>
      <c r="AL1538">
        <v>0</v>
      </c>
      <c r="AM1538">
        <v>0</v>
      </c>
      <c r="AN1538">
        <v>0</v>
      </c>
      <c r="AQ1538">
        <v>0</v>
      </c>
      <c r="AT1538">
        <v>0</v>
      </c>
      <c r="AU1538">
        <v>16</v>
      </c>
      <c r="AV1538">
        <v>364</v>
      </c>
      <c r="AW1538">
        <v>364</v>
      </c>
      <c r="AX1538">
        <v>467</v>
      </c>
      <c r="BA1538">
        <v>1</v>
      </c>
      <c r="BC1538" t="s">
        <v>3172</v>
      </c>
      <c r="BD1538" s="4">
        <v>43283.679861111108</v>
      </c>
      <c r="BE1538" s="4">
        <v>43283.683923611112</v>
      </c>
      <c r="BF1538" s="4">
        <v>43283.683923611112</v>
      </c>
      <c r="BG1538" t="s">
        <v>83</v>
      </c>
      <c r="BH1538" t="s">
        <v>84</v>
      </c>
      <c r="BI1538" t="s">
        <v>85</v>
      </c>
    </row>
    <row r="1539" spans="1:61" x14ac:dyDescent="0.3">
      <c r="A1539" t="str">
        <f>"201948E0100"</f>
        <v>201948E0100</v>
      </c>
      <c r="B1539" s="2" t="s">
        <v>3173</v>
      </c>
      <c r="C1539">
        <v>20</v>
      </c>
      <c r="D1539" t="s">
        <v>79</v>
      </c>
      <c r="E1539">
        <v>7</v>
      </c>
      <c r="F1539" t="s">
        <v>2811</v>
      </c>
      <c r="G1539">
        <v>1948</v>
      </c>
      <c r="H1539">
        <v>1</v>
      </c>
      <c r="I1539" t="s">
        <v>145</v>
      </c>
      <c r="J1539">
        <v>0</v>
      </c>
      <c r="K1539">
        <v>2</v>
      </c>
      <c r="L1539">
        <v>2</v>
      </c>
      <c r="M1539" t="s">
        <v>100</v>
      </c>
      <c r="N1539">
        <v>139</v>
      </c>
      <c r="O1539">
        <v>0</v>
      </c>
      <c r="P1539">
        <v>139</v>
      </c>
      <c r="Q1539">
        <v>0</v>
      </c>
      <c r="R1539">
        <v>70</v>
      </c>
      <c r="S1539">
        <v>23</v>
      </c>
      <c r="T1539">
        <v>2</v>
      </c>
      <c r="U1539">
        <v>1</v>
      </c>
      <c r="V1539">
        <v>0</v>
      </c>
      <c r="W1539">
        <v>1</v>
      </c>
      <c r="X1539">
        <v>0</v>
      </c>
      <c r="Y1539">
        <v>33</v>
      </c>
      <c r="Z1539">
        <v>1</v>
      </c>
      <c r="AB1539">
        <v>1</v>
      </c>
      <c r="AC1539">
        <v>0</v>
      </c>
      <c r="AD1539">
        <v>0</v>
      </c>
      <c r="AE1539">
        <v>0</v>
      </c>
      <c r="AF1539">
        <v>0</v>
      </c>
      <c r="AK1539">
        <v>1</v>
      </c>
      <c r="AL1539">
        <v>0</v>
      </c>
      <c r="AM1539">
        <v>0</v>
      </c>
      <c r="AN1539">
        <v>0</v>
      </c>
      <c r="AQ1539">
        <v>0</v>
      </c>
      <c r="AT1539">
        <v>0</v>
      </c>
      <c r="AU1539">
        <v>6</v>
      </c>
      <c r="AV1539">
        <v>139</v>
      </c>
      <c r="AW1539">
        <v>139</v>
      </c>
      <c r="AX1539">
        <v>200</v>
      </c>
      <c r="BA1539">
        <v>1</v>
      </c>
      <c r="BC1539" t="s">
        <v>3174</v>
      </c>
      <c r="BD1539" s="4">
        <v>43283.664583333331</v>
      </c>
      <c r="BE1539" s="4">
        <v>43283.672893518517</v>
      </c>
      <c r="BF1539" s="4">
        <v>43283.672893518517</v>
      </c>
      <c r="BG1539" t="s">
        <v>83</v>
      </c>
      <c r="BH1539" t="s">
        <v>84</v>
      </c>
      <c r="BI1539" t="s">
        <v>85</v>
      </c>
    </row>
    <row r="1540" spans="1:61" x14ac:dyDescent="0.3">
      <c r="A1540" t="str">
        <f>"201949B0100"</f>
        <v>201949B0100</v>
      </c>
      <c r="B1540" t="s">
        <v>3175</v>
      </c>
      <c r="C1540">
        <v>20</v>
      </c>
      <c r="D1540" t="s">
        <v>79</v>
      </c>
      <c r="E1540">
        <v>7</v>
      </c>
      <c r="F1540" t="s">
        <v>2811</v>
      </c>
      <c r="G1540">
        <v>1949</v>
      </c>
      <c r="H1540">
        <v>1</v>
      </c>
      <c r="I1540" t="s">
        <v>81</v>
      </c>
      <c r="J1540">
        <v>0</v>
      </c>
      <c r="K1540">
        <v>2</v>
      </c>
      <c r="L1540">
        <v>2</v>
      </c>
      <c r="M1540">
        <v>244</v>
      </c>
      <c r="N1540" t="s">
        <v>100</v>
      </c>
      <c r="O1540" t="s">
        <v>100</v>
      </c>
      <c r="P1540" t="s">
        <v>100</v>
      </c>
      <c r="Q1540">
        <v>9</v>
      </c>
      <c r="R1540">
        <v>184</v>
      </c>
      <c r="S1540">
        <v>71</v>
      </c>
      <c r="T1540">
        <v>4</v>
      </c>
      <c r="U1540">
        <v>5</v>
      </c>
      <c r="V1540">
        <v>8</v>
      </c>
      <c r="W1540">
        <v>3</v>
      </c>
      <c r="X1540">
        <v>3</v>
      </c>
      <c r="Y1540">
        <v>96</v>
      </c>
      <c r="Z1540">
        <v>5</v>
      </c>
      <c r="AB1540">
        <v>1</v>
      </c>
      <c r="AC1540">
        <v>0</v>
      </c>
      <c r="AD1540">
        <v>1</v>
      </c>
      <c r="AE1540">
        <v>0</v>
      </c>
      <c r="AF1540">
        <v>0</v>
      </c>
      <c r="AK1540">
        <v>1</v>
      </c>
      <c r="AL1540">
        <v>0</v>
      </c>
      <c r="AM1540">
        <v>0</v>
      </c>
      <c r="AN1540">
        <v>0</v>
      </c>
      <c r="AQ1540">
        <v>1</v>
      </c>
      <c r="AT1540">
        <v>16</v>
      </c>
      <c r="AU1540">
        <v>16</v>
      </c>
      <c r="AV1540">
        <v>391</v>
      </c>
      <c r="AW1540">
        <v>424</v>
      </c>
      <c r="AX1540">
        <v>628</v>
      </c>
      <c r="BA1540">
        <v>1</v>
      </c>
      <c r="BC1540" t="s">
        <v>3176</v>
      </c>
      <c r="BD1540" s="4">
        <v>43283.681250000001</v>
      </c>
      <c r="BE1540" s="4">
        <v>43283.685856481483</v>
      </c>
      <c r="BF1540" s="4">
        <v>43283.685856481483</v>
      </c>
      <c r="BG1540" t="s">
        <v>83</v>
      </c>
      <c r="BH1540" t="s">
        <v>84</v>
      </c>
      <c r="BI1540" t="s">
        <v>85</v>
      </c>
    </row>
    <row r="1541" spans="1:61" x14ac:dyDescent="0.3">
      <c r="A1541" t="str">
        <f>"202033B0100"</f>
        <v>202033B0100</v>
      </c>
      <c r="B1541" t="s">
        <v>3177</v>
      </c>
      <c r="C1541">
        <v>20</v>
      </c>
      <c r="D1541" t="s">
        <v>79</v>
      </c>
      <c r="E1541">
        <v>7</v>
      </c>
      <c r="F1541" t="s">
        <v>2811</v>
      </c>
      <c r="G1541">
        <v>2033</v>
      </c>
      <c r="H1541">
        <v>1</v>
      </c>
      <c r="I1541" t="s">
        <v>81</v>
      </c>
      <c r="J1541">
        <v>0</v>
      </c>
      <c r="K1541">
        <v>1</v>
      </c>
      <c r="L1541">
        <v>2</v>
      </c>
      <c r="M1541">
        <v>217</v>
      </c>
      <c r="N1541">
        <v>367</v>
      </c>
      <c r="O1541">
        <v>3</v>
      </c>
      <c r="P1541">
        <v>367</v>
      </c>
      <c r="Q1541">
        <v>18</v>
      </c>
      <c r="R1541">
        <v>63</v>
      </c>
      <c r="S1541">
        <v>32</v>
      </c>
      <c r="T1541">
        <v>7</v>
      </c>
      <c r="U1541">
        <v>17</v>
      </c>
      <c r="V1541">
        <v>7</v>
      </c>
      <c r="W1541">
        <v>6</v>
      </c>
      <c r="X1541">
        <v>7</v>
      </c>
      <c r="Y1541">
        <v>132</v>
      </c>
      <c r="Z1541">
        <v>47</v>
      </c>
      <c r="AB1541">
        <v>11</v>
      </c>
      <c r="AC1541">
        <v>0</v>
      </c>
      <c r="AD1541">
        <v>0</v>
      </c>
      <c r="AE1541">
        <v>0</v>
      </c>
      <c r="AF1541">
        <v>0</v>
      </c>
      <c r="AK1541">
        <v>0</v>
      </c>
      <c r="AL1541">
        <v>1</v>
      </c>
      <c r="AM1541">
        <v>2</v>
      </c>
      <c r="AN1541">
        <v>2</v>
      </c>
      <c r="AQ1541">
        <v>0</v>
      </c>
      <c r="AT1541">
        <v>0</v>
      </c>
      <c r="AU1541">
        <v>15</v>
      </c>
      <c r="AV1541">
        <v>367</v>
      </c>
      <c r="AW1541">
        <v>367</v>
      </c>
      <c r="AX1541">
        <v>562</v>
      </c>
      <c r="BA1541">
        <v>1</v>
      </c>
      <c r="BC1541" t="s">
        <v>3178</v>
      </c>
      <c r="BD1541" s="4">
        <v>43283.749305555553</v>
      </c>
      <c r="BE1541" s="4">
        <v>43283.753344907411</v>
      </c>
      <c r="BF1541" s="4">
        <v>43283.753344907411</v>
      </c>
      <c r="BG1541" t="s">
        <v>83</v>
      </c>
      <c r="BH1541" t="s">
        <v>84</v>
      </c>
      <c r="BI1541" t="s">
        <v>85</v>
      </c>
    </row>
    <row r="1542" spans="1:61" x14ac:dyDescent="0.3">
      <c r="A1542" t="str">
        <f>"202033C0100"</f>
        <v>202033C0100</v>
      </c>
      <c r="B1542" t="s">
        <v>3179</v>
      </c>
      <c r="C1542">
        <v>20</v>
      </c>
      <c r="D1542" t="s">
        <v>79</v>
      </c>
      <c r="E1542">
        <v>7</v>
      </c>
      <c r="F1542" t="s">
        <v>2811</v>
      </c>
      <c r="G1542">
        <v>2033</v>
      </c>
      <c r="H1542">
        <v>1</v>
      </c>
      <c r="I1542" t="s">
        <v>89</v>
      </c>
      <c r="J1542">
        <v>0</v>
      </c>
      <c r="K1542">
        <v>1</v>
      </c>
      <c r="L1542">
        <v>2</v>
      </c>
      <c r="M1542">
        <v>230</v>
      </c>
      <c r="N1542">
        <v>353</v>
      </c>
      <c r="O1542">
        <v>7</v>
      </c>
      <c r="P1542">
        <v>353</v>
      </c>
      <c r="Q1542">
        <v>9</v>
      </c>
      <c r="R1542">
        <v>77</v>
      </c>
      <c r="S1542">
        <v>30</v>
      </c>
      <c r="T1542">
        <v>9</v>
      </c>
      <c r="U1542">
        <v>13</v>
      </c>
      <c r="V1542">
        <v>4</v>
      </c>
      <c r="W1542">
        <v>5</v>
      </c>
      <c r="X1542">
        <v>5</v>
      </c>
      <c r="Y1542">
        <v>125</v>
      </c>
      <c r="Z1542">
        <v>48</v>
      </c>
      <c r="AB1542">
        <v>7</v>
      </c>
      <c r="AC1542">
        <v>0</v>
      </c>
      <c r="AD1542">
        <v>0</v>
      </c>
      <c r="AE1542">
        <v>0</v>
      </c>
      <c r="AF1542">
        <v>0</v>
      </c>
      <c r="AK1542">
        <v>0</v>
      </c>
      <c r="AL1542">
        <v>0</v>
      </c>
      <c r="AM1542">
        <v>0</v>
      </c>
      <c r="AN1542">
        <v>6</v>
      </c>
      <c r="AQ1542">
        <v>0</v>
      </c>
      <c r="AT1542">
        <v>0</v>
      </c>
      <c r="AU1542">
        <v>15</v>
      </c>
      <c r="AV1542">
        <v>353</v>
      </c>
      <c r="AW1542">
        <v>353</v>
      </c>
      <c r="AX1542">
        <v>561</v>
      </c>
      <c r="BA1542">
        <v>1</v>
      </c>
      <c r="BC1542" t="s">
        <v>3180</v>
      </c>
      <c r="BD1542" s="4">
        <v>43283.696527777778</v>
      </c>
      <c r="BE1542" s="4">
        <v>43283.704479166663</v>
      </c>
      <c r="BF1542" s="4">
        <v>43283.704479166663</v>
      </c>
      <c r="BG1542" t="s">
        <v>83</v>
      </c>
      <c r="BH1542" t="s">
        <v>84</v>
      </c>
      <c r="BI1542" t="s">
        <v>85</v>
      </c>
    </row>
    <row r="1543" spans="1:61" x14ac:dyDescent="0.3">
      <c r="A1543" t="str">
        <f>"202033C0200"</f>
        <v>202033C0200</v>
      </c>
      <c r="B1543" t="s">
        <v>3181</v>
      </c>
      <c r="C1543">
        <v>20</v>
      </c>
      <c r="D1543" t="s">
        <v>79</v>
      </c>
      <c r="E1543">
        <v>7</v>
      </c>
      <c r="F1543" t="s">
        <v>2811</v>
      </c>
      <c r="G1543">
        <v>2033</v>
      </c>
      <c r="H1543">
        <v>2</v>
      </c>
      <c r="I1543" t="s">
        <v>89</v>
      </c>
      <c r="J1543">
        <v>0</v>
      </c>
      <c r="K1543">
        <v>1</v>
      </c>
      <c r="L1543">
        <v>2</v>
      </c>
      <c r="M1543">
        <v>250</v>
      </c>
      <c r="N1543">
        <v>333</v>
      </c>
      <c r="O1543">
        <v>2</v>
      </c>
      <c r="P1543">
        <v>333</v>
      </c>
      <c r="Q1543">
        <v>14</v>
      </c>
      <c r="R1543">
        <v>70</v>
      </c>
      <c r="S1543">
        <v>17</v>
      </c>
      <c r="T1543">
        <v>10</v>
      </c>
      <c r="U1543">
        <v>12</v>
      </c>
      <c r="V1543">
        <v>8</v>
      </c>
      <c r="W1543">
        <v>2</v>
      </c>
      <c r="X1543">
        <v>9</v>
      </c>
      <c r="Y1543">
        <v>110</v>
      </c>
      <c r="Z1543">
        <v>44</v>
      </c>
      <c r="AB1543">
        <v>16</v>
      </c>
      <c r="AC1543">
        <v>0</v>
      </c>
      <c r="AD1543">
        <v>0</v>
      </c>
      <c r="AE1543">
        <v>0</v>
      </c>
      <c r="AF1543">
        <v>0</v>
      </c>
      <c r="AK1543">
        <v>3</v>
      </c>
      <c r="AL1543">
        <v>0</v>
      </c>
      <c r="AM1543">
        <v>0</v>
      </c>
      <c r="AN1543">
        <v>1</v>
      </c>
      <c r="AQ1543">
        <v>1</v>
      </c>
      <c r="AT1543">
        <v>0</v>
      </c>
      <c r="AU1543">
        <v>16</v>
      </c>
      <c r="AV1543">
        <v>333</v>
      </c>
      <c r="AW1543">
        <v>333</v>
      </c>
      <c r="AX1543">
        <v>561</v>
      </c>
      <c r="BA1543">
        <v>1</v>
      </c>
      <c r="BC1543" t="s">
        <v>3182</v>
      </c>
      <c r="BD1543" s="4">
        <v>43283.691666666666</v>
      </c>
      <c r="BE1543" s="4">
        <v>43283.701597222222</v>
      </c>
      <c r="BF1543" s="4">
        <v>43283.701597222222</v>
      </c>
      <c r="BG1543" t="s">
        <v>83</v>
      </c>
      <c r="BH1543" t="s">
        <v>84</v>
      </c>
      <c r="BI1543" t="s">
        <v>85</v>
      </c>
    </row>
    <row r="1544" spans="1:61" x14ac:dyDescent="0.3">
      <c r="A1544" t="str">
        <f>"202033S0100"</f>
        <v>202033S0100</v>
      </c>
      <c r="B1544" t="s">
        <v>3183</v>
      </c>
      <c r="C1544">
        <v>20</v>
      </c>
      <c r="D1544" t="s">
        <v>79</v>
      </c>
      <c r="E1544">
        <v>7</v>
      </c>
      <c r="F1544" t="s">
        <v>2811</v>
      </c>
      <c r="G1544">
        <v>2033</v>
      </c>
      <c r="H1544">
        <v>1</v>
      </c>
      <c r="I1544" t="s">
        <v>104</v>
      </c>
      <c r="J1544">
        <v>0</v>
      </c>
      <c r="K1544">
        <v>1</v>
      </c>
      <c r="L1544">
        <v>3</v>
      </c>
      <c r="M1544">
        <v>471</v>
      </c>
      <c r="N1544">
        <v>113</v>
      </c>
      <c r="O1544">
        <v>0</v>
      </c>
      <c r="P1544">
        <v>113</v>
      </c>
      <c r="Q1544">
        <v>1</v>
      </c>
      <c r="R1544">
        <v>11</v>
      </c>
      <c r="S1544">
        <v>7</v>
      </c>
      <c r="T1544">
        <v>4</v>
      </c>
      <c r="U1544">
        <v>6</v>
      </c>
      <c r="V1544">
        <v>2</v>
      </c>
      <c r="W1544">
        <v>2</v>
      </c>
      <c r="X1544">
        <v>1</v>
      </c>
      <c r="Y1544">
        <v>67</v>
      </c>
      <c r="Z1544">
        <v>3</v>
      </c>
      <c r="AB1544">
        <v>4</v>
      </c>
      <c r="AC1544" t="s">
        <v>100</v>
      </c>
      <c r="AD1544" t="s">
        <v>100</v>
      </c>
      <c r="AE1544" t="s">
        <v>100</v>
      </c>
      <c r="AF1544" t="s">
        <v>100</v>
      </c>
      <c r="AK1544">
        <v>1</v>
      </c>
      <c r="AL1544" t="s">
        <v>100</v>
      </c>
      <c r="AM1544" t="s">
        <v>100</v>
      </c>
      <c r="AN1544">
        <v>1</v>
      </c>
      <c r="AQ1544" t="s">
        <v>100</v>
      </c>
      <c r="AT1544" t="s">
        <v>100</v>
      </c>
      <c r="AU1544">
        <v>3</v>
      </c>
      <c r="AV1544">
        <v>113</v>
      </c>
      <c r="AW1544">
        <v>113</v>
      </c>
      <c r="AX1544">
        <v>0</v>
      </c>
      <c r="AZ1544" t="s">
        <v>101</v>
      </c>
      <c r="BA1544">
        <v>1</v>
      </c>
      <c r="BC1544" t="s">
        <v>3184</v>
      </c>
      <c r="BD1544" s="4">
        <v>43283.534722222219</v>
      </c>
      <c r="BE1544" s="4">
        <v>43283.539722222224</v>
      </c>
      <c r="BF1544" s="4">
        <v>43283.539722222224</v>
      </c>
      <c r="BG1544" t="s">
        <v>83</v>
      </c>
      <c r="BH1544" t="s">
        <v>84</v>
      </c>
      <c r="BI1544" t="s">
        <v>85</v>
      </c>
    </row>
    <row r="1545" spans="1:61" x14ac:dyDescent="0.3">
      <c r="A1545" t="str">
        <f>"202033S0200"</f>
        <v>202033S0200</v>
      </c>
      <c r="B1545" t="s">
        <v>3185</v>
      </c>
      <c r="C1545">
        <v>20</v>
      </c>
      <c r="D1545" t="s">
        <v>79</v>
      </c>
      <c r="E1545">
        <v>7</v>
      </c>
      <c r="F1545" t="s">
        <v>2811</v>
      </c>
      <c r="G1545">
        <v>2033</v>
      </c>
      <c r="H1545">
        <v>2</v>
      </c>
      <c r="I1545" t="s">
        <v>104</v>
      </c>
      <c r="J1545">
        <v>0</v>
      </c>
      <c r="K1545">
        <v>1</v>
      </c>
      <c r="L1545">
        <v>3</v>
      </c>
      <c r="M1545">
        <v>466</v>
      </c>
      <c r="N1545">
        <v>103</v>
      </c>
      <c r="O1545">
        <v>0</v>
      </c>
      <c r="P1545">
        <v>103</v>
      </c>
      <c r="Q1545">
        <v>7</v>
      </c>
      <c r="R1545">
        <v>17</v>
      </c>
      <c r="S1545">
        <v>6</v>
      </c>
      <c r="T1545">
        <v>2</v>
      </c>
      <c r="U1545">
        <v>3</v>
      </c>
      <c r="V1545">
        <v>0</v>
      </c>
      <c r="W1545">
        <v>3</v>
      </c>
      <c r="X1545">
        <v>2</v>
      </c>
      <c r="Y1545">
        <v>51</v>
      </c>
      <c r="Z1545">
        <v>3</v>
      </c>
      <c r="AB1545">
        <v>1</v>
      </c>
      <c r="AC1545" t="s">
        <v>100</v>
      </c>
      <c r="AD1545" t="s">
        <v>100</v>
      </c>
      <c r="AE1545" t="s">
        <v>100</v>
      </c>
      <c r="AF1545" t="s">
        <v>100</v>
      </c>
      <c r="AK1545">
        <v>2</v>
      </c>
      <c r="AL1545" t="s">
        <v>100</v>
      </c>
      <c r="AM1545" t="s">
        <v>100</v>
      </c>
      <c r="AN1545" t="s">
        <v>100</v>
      </c>
      <c r="AQ1545" t="s">
        <v>100</v>
      </c>
      <c r="AT1545" t="s">
        <v>100</v>
      </c>
      <c r="AU1545">
        <v>6</v>
      </c>
      <c r="AV1545">
        <v>103</v>
      </c>
      <c r="AW1545">
        <v>103</v>
      </c>
      <c r="AX1545">
        <v>0</v>
      </c>
      <c r="AZ1545" t="s">
        <v>101</v>
      </c>
      <c r="BA1545">
        <v>1</v>
      </c>
      <c r="BC1545" t="s">
        <v>3186</v>
      </c>
      <c r="BD1545" s="4">
        <v>43283.751388888886</v>
      </c>
      <c r="BE1545" s="4">
        <v>43283.75503472222</v>
      </c>
      <c r="BF1545" s="4">
        <v>43283.75503472222</v>
      </c>
      <c r="BG1545" t="s">
        <v>83</v>
      </c>
      <c r="BH1545" t="s">
        <v>84</v>
      </c>
      <c r="BI1545" t="s">
        <v>85</v>
      </c>
    </row>
    <row r="1546" spans="1:61" x14ac:dyDescent="0.3">
      <c r="A1546" t="str">
        <f>"202034B0100"</f>
        <v>202034B0100</v>
      </c>
      <c r="B1546" t="s">
        <v>3187</v>
      </c>
      <c r="C1546">
        <v>20</v>
      </c>
      <c r="D1546" t="s">
        <v>79</v>
      </c>
      <c r="E1546">
        <v>7</v>
      </c>
      <c r="F1546" t="s">
        <v>2811</v>
      </c>
      <c r="G1546">
        <v>2034</v>
      </c>
      <c r="H1546">
        <v>1</v>
      </c>
      <c r="I1546" t="s">
        <v>81</v>
      </c>
      <c r="J1546">
        <v>0</v>
      </c>
      <c r="K1546">
        <v>1</v>
      </c>
      <c r="L1546">
        <v>2</v>
      </c>
      <c r="M1546">
        <v>237</v>
      </c>
      <c r="N1546">
        <v>390</v>
      </c>
      <c r="O1546">
        <v>1</v>
      </c>
      <c r="P1546">
        <v>389</v>
      </c>
      <c r="Q1546">
        <v>19</v>
      </c>
      <c r="R1546">
        <v>89</v>
      </c>
      <c r="S1546">
        <v>27</v>
      </c>
      <c r="T1546">
        <v>10</v>
      </c>
      <c r="U1546">
        <v>9</v>
      </c>
      <c r="V1546">
        <v>10</v>
      </c>
      <c r="W1546">
        <v>4</v>
      </c>
      <c r="X1546">
        <v>6</v>
      </c>
      <c r="Y1546">
        <v>129</v>
      </c>
      <c r="Z1546">
        <v>36</v>
      </c>
      <c r="AB1546">
        <v>13</v>
      </c>
      <c r="AC1546">
        <v>0</v>
      </c>
      <c r="AD1546">
        <v>1</v>
      </c>
      <c r="AE1546">
        <v>0</v>
      </c>
      <c r="AF1546">
        <v>0</v>
      </c>
      <c r="AK1546">
        <v>4</v>
      </c>
      <c r="AL1546">
        <v>3</v>
      </c>
      <c r="AM1546">
        <v>0</v>
      </c>
      <c r="AN1546">
        <v>0</v>
      </c>
      <c r="AQ1546">
        <v>0</v>
      </c>
      <c r="AT1546">
        <v>0</v>
      </c>
      <c r="AU1546">
        <v>29</v>
      </c>
      <c r="AV1546">
        <v>389</v>
      </c>
      <c r="AW1546">
        <v>389</v>
      </c>
      <c r="AX1546">
        <v>605</v>
      </c>
      <c r="BA1546">
        <v>1</v>
      </c>
      <c r="BC1546" t="s">
        <v>3188</v>
      </c>
      <c r="BD1546" s="4">
        <v>43283.765972222223</v>
      </c>
      <c r="BE1546" s="4">
        <v>43283.772141203706</v>
      </c>
      <c r="BF1546" s="4">
        <v>43283.772141203706</v>
      </c>
      <c r="BG1546" t="s">
        <v>83</v>
      </c>
      <c r="BH1546" t="s">
        <v>84</v>
      </c>
      <c r="BI1546" t="s">
        <v>85</v>
      </c>
    </row>
    <row r="1547" spans="1:61" x14ac:dyDescent="0.3">
      <c r="A1547" t="str">
        <f>"202034C0100"</f>
        <v>202034C0100</v>
      </c>
      <c r="B1547" t="s">
        <v>3189</v>
      </c>
      <c r="C1547">
        <v>20</v>
      </c>
      <c r="D1547" t="s">
        <v>79</v>
      </c>
      <c r="E1547">
        <v>7</v>
      </c>
      <c r="F1547" t="s">
        <v>2811</v>
      </c>
      <c r="G1547">
        <v>2034</v>
      </c>
      <c r="H1547">
        <v>1</v>
      </c>
      <c r="I1547" t="s">
        <v>89</v>
      </c>
      <c r="J1547">
        <v>0</v>
      </c>
      <c r="K1547">
        <v>1</v>
      </c>
      <c r="L1547">
        <v>2</v>
      </c>
      <c r="M1547">
        <v>264</v>
      </c>
      <c r="N1547">
        <v>360</v>
      </c>
      <c r="O1547">
        <v>4</v>
      </c>
      <c r="P1547">
        <v>362</v>
      </c>
      <c r="Q1547">
        <v>10</v>
      </c>
      <c r="R1547">
        <v>85</v>
      </c>
      <c r="S1547">
        <v>30</v>
      </c>
      <c r="T1547">
        <v>11</v>
      </c>
      <c r="U1547">
        <v>17</v>
      </c>
      <c r="V1547">
        <v>6</v>
      </c>
      <c r="W1547">
        <v>1</v>
      </c>
      <c r="X1547">
        <v>3</v>
      </c>
      <c r="Y1547">
        <v>135</v>
      </c>
      <c r="Z1547">
        <v>25</v>
      </c>
      <c r="AB1547">
        <v>5</v>
      </c>
      <c r="AC1547">
        <v>2</v>
      </c>
      <c r="AD1547">
        <v>0</v>
      </c>
      <c r="AE1547">
        <v>0</v>
      </c>
      <c r="AF1547">
        <v>0</v>
      </c>
      <c r="AK1547">
        <v>2</v>
      </c>
      <c r="AL1547">
        <v>2</v>
      </c>
      <c r="AM1547">
        <v>0</v>
      </c>
      <c r="AN1547">
        <v>1</v>
      </c>
      <c r="AQ1547">
        <v>1</v>
      </c>
      <c r="AT1547">
        <v>0</v>
      </c>
      <c r="AU1547">
        <v>26</v>
      </c>
      <c r="AV1547">
        <v>362</v>
      </c>
      <c r="AW1547">
        <v>362</v>
      </c>
      <c r="AX1547">
        <v>604</v>
      </c>
      <c r="BA1547">
        <v>1</v>
      </c>
      <c r="BC1547" t="s">
        <v>3190</v>
      </c>
      <c r="BD1547" s="4">
        <v>43283.787499999999</v>
      </c>
      <c r="BE1547" s="4">
        <v>43283.791597222225</v>
      </c>
      <c r="BF1547" s="4">
        <v>43283.791597222225</v>
      </c>
      <c r="BG1547" t="s">
        <v>83</v>
      </c>
      <c r="BH1547" t="s">
        <v>84</v>
      </c>
      <c r="BI1547" t="s">
        <v>85</v>
      </c>
    </row>
    <row r="1548" spans="1:61" x14ac:dyDescent="0.3">
      <c r="A1548" t="str">
        <f>"202034C0200"</f>
        <v>202034C0200</v>
      </c>
      <c r="B1548" t="s">
        <v>3191</v>
      </c>
      <c r="C1548">
        <v>20</v>
      </c>
      <c r="D1548" t="s">
        <v>79</v>
      </c>
      <c r="E1548">
        <v>7</v>
      </c>
      <c r="F1548" t="s">
        <v>2811</v>
      </c>
      <c r="G1548">
        <v>2034</v>
      </c>
      <c r="H1548">
        <v>2</v>
      </c>
      <c r="I1548" t="s">
        <v>89</v>
      </c>
      <c r="J1548">
        <v>0</v>
      </c>
      <c r="K1548">
        <v>1</v>
      </c>
      <c r="L1548">
        <v>2</v>
      </c>
      <c r="M1548">
        <v>274</v>
      </c>
      <c r="N1548">
        <v>352</v>
      </c>
      <c r="O1548">
        <v>5</v>
      </c>
      <c r="P1548">
        <v>347</v>
      </c>
      <c r="Q1548">
        <v>11</v>
      </c>
      <c r="R1548">
        <v>78</v>
      </c>
      <c r="S1548">
        <v>27</v>
      </c>
      <c r="T1548">
        <v>8</v>
      </c>
      <c r="U1548">
        <v>12</v>
      </c>
      <c r="V1548">
        <v>5</v>
      </c>
      <c r="W1548">
        <v>4</v>
      </c>
      <c r="X1548">
        <v>3</v>
      </c>
      <c r="Y1548">
        <v>130</v>
      </c>
      <c r="Z1548">
        <v>33</v>
      </c>
      <c r="AB1548">
        <v>10</v>
      </c>
      <c r="AC1548">
        <v>0</v>
      </c>
      <c r="AD1548">
        <v>0</v>
      </c>
      <c r="AE1548">
        <v>0</v>
      </c>
      <c r="AF1548">
        <v>0</v>
      </c>
      <c r="AK1548">
        <v>1</v>
      </c>
      <c r="AL1548">
        <v>1</v>
      </c>
      <c r="AM1548">
        <v>0</v>
      </c>
      <c r="AN1548">
        <v>0</v>
      </c>
      <c r="AQ1548">
        <v>0</v>
      </c>
      <c r="AT1548">
        <v>0</v>
      </c>
      <c r="AU1548">
        <v>27</v>
      </c>
      <c r="AV1548">
        <v>300</v>
      </c>
      <c r="AW1548">
        <v>350</v>
      </c>
      <c r="AX1548">
        <v>604</v>
      </c>
      <c r="BA1548">
        <v>1</v>
      </c>
      <c r="BC1548" t="s">
        <v>3192</v>
      </c>
      <c r="BD1548" s="4">
        <v>43283.699305555558</v>
      </c>
      <c r="BE1548" s="4">
        <v>43283.705868055556</v>
      </c>
      <c r="BF1548" s="4">
        <v>43283.705868055556</v>
      </c>
      <c r="BG1548" t="s">
        <v>83</v>
      </c>
      <c r="BH1548" t="s">
        <v>84</v>
      </c>
      <c r="BI1548" t="s">
        <v>85</v>
      </c>
    </row>
    <row r="1549" spans="1:61" x14ac:dyDescent="0.3">
      <c r="A1549" t="str">
        <f>"202034C0300"</f>
        <v>202034C0300</v>
      </c>
      <c r="B1549" t="s">
        <v>3193</v>
      </c>
      <c r="C1549">
        <v>20</v>
      </c>
      <c r="D1549" t="s">
        <v>79</v>
      </c>
      <c r="E1549">
        <v>7</v>
      </c>
      <c r="F1549" t="s">
        <v>2811</v>
      </c>
      <c r="G1549">
        <v>2034</v>
      </c>
      <c r="H1549">
        <v>3</v>
      </c>
      <c r="I1549" t="s">
        <v>89</v>
      </c>
      <c r="J1549">
        <v>0</v>
      </c>
      <c r="K1549">
        <v>1</v>
      </c>
      <c r="L1549">
        <v>2</v>
      </c>
      <c r="M1549">
        <v>264</v>
      </c>
      <c r="N1549">
        <v>362</v>
      </c>
      <c r="O1549">
        <v>4</v>
      </c>
      <c r="P1549">
        <v>362</v>
      </c>
      <c r="Q1549">
        <v>15</v>
      </c>
      <c r="R1549">
        <v>59</v>
      </c>
      <c r="S1549">
        <v>31</v>
      </c>
      <c r="T1549">
        <v>4</v>
      </c>
      <c r="U1549">
        <v>15</v>
      </c>
      <c r="V1549">
        <v>11</v>
      </c>
      <c r="W1549">
        <v>10</v>
      </c>
      <c r="X1549">
        <v>3</v>
      </c>
      <c r="Y1549">
        <v>141</v>
      </c>
      <c r="Z1549">
        <v>44</v>
      </c>
      <c r="AB1549">
        <v>7</v>
      </c>
      <c r="AC1549">
        <v>0</v>
      </c>
      <c r="AD1549">
        <v>0</v>
      </c>
      <c r="AE1549">
        <v>0</v>
      </c>
      <c r="AF1549">
        <v>0</v>
      </c>
      <c r="AK1549">
        <v>2</v>
      </c>
      <c r="AL1549">
        <v>0</v>
      </c>
      <c r="AM1549">
        <v>0</v>
      </c>
      <c r="AN1549">
        <v>0</v>
      </c>
      <c r="AQ1549">
        <v>1</v>
      </c>
      <c r="AT1549">
        <v>0</v>
      </c>
      <c r="AU1549">
        <v>19</v>
      </c>
      <c r="AV1549">
        <v>362</v>
      </c>
      <c r="AW1549">
        <v>362</v>
      </c>
      <c r="AX1549">
        <v>604</v>
      </c>
      <c r="BA1549">
        <v>1</v>
      </c>
      <c r="BC1549" t="s">
        <v>3194</v>
      </c>
      <c r="BD1549" s="4">
        <v>43283.793749999997</v>
      </c>
      <c r="BE1549" s="4">
        <v>43283.801215277781</v>
      </c>
      <c r="BF1549" s="4">
        <v>43283.801215277781</v>
      </c>
      <c r="BG1549" t="s">
        <v>83</v>
      </c>
      <c r="BH1549" t="s">
        <v>84</v>
      </c>
      <c r="BI1549" t="s">
        <v>85</v>
      </c>
    </row>
    <row r="1550" spans="1:61" x14ac:dyDescent="0.3">
      <c r="A1550" t="str">
        <f>"202035B0100"</f>
        <v>202035B0100</v>
      </c>
      <c r="B1550" t="s">
        <v>3195</v>
      </c>
      <c r="C1550">
        <v>20</v>
      </c>
      <c r="D1550" t="s">
        <v>79</v>
      </c>
      <c r="E1550">
        <v>7</v>
      </c>
      <c r="F1550" t="s">
        <v>2811</v>
      </c>
      <c r="G1550">
        <v>2035</v>
      </c>
      <c r="H1550">
        <v>1</v>
      </c>
      <c r="I1550" t="s">
        <v>81</v>
      </c>
      <c r="J1550">
        <v>0</v>
      </c>
      <c r="K1550">
        <v>2</v>
      </c>
      <c r="L1550">
        <v>2</v>
      </c>
      <c r="M1550">
        <v>216</v>
      </c>
      <c r="N1550">
        <v>444</v>
      </c>
      <c r="O1550">
        <v>4</v>
      </c>
      <c r="P1550">
        <v>447</v>
      </c>
      <c r="Q1550">
        <v>10</v>
      </c>
      <c r="R1550">
        <v>88</v>
      </c>
      <c r="S1550">
        <v>21</v>
      </c>
      <c r="T1550">
        <v>12</v>
      </c>
      <c r="U1550">
        <v>7</v>
      </c>
      <c r="V1550">
        <v>6</v>
      </c>
      <c r="W1550">
        <v>2</v>
      </c>
      <c r="X1550">
        <v>5</v>
      </c>
      <c r="Y1550">
        <v>169</v>
      </c>
      <c r="Z1550">
        <v>74</v>
      </c>
      <c r="AB1550">
        <v>9</v>
      </c>
      <c r="AC1550">
        <v>1</v>
      </c>
      <c r="AD1550" t="s">
        <v>100</v>
      </c>
      <c r="AE1550" t="s">
        <v>100</v>
      </c>
      <c r="AF1550">
        <v>2</v>
      </c>
      <c r="AK1550">
        <v>5</v>
      </c>
      <c r="AL1550" t="s">
        <v>100</v>
      </c>
      <c r="AM1550" t="s">
        <v>100</v>
      </c>
      <c r="AN1550">
        <v>3</v>
      </c>
      <c r="AQ1550">
        <v>1</v>
      </c>
      <c r="AT1550" t="s">
        <v>100</v>
      </c>
      <c r="AU1550">
        <v>32</v>
      </c>
      <c r="AV1550">
        <v>447</v>
      </c>
      <c r="AW1550">
        <v>447</v>
      </c>
      <c r="AX1550">
        <v>639</v>
      </c>
      <c r="AZ1550" t="s">
        <v>101</v>
      </c>
      <c r="BA1550">
        <v>1</v>
      </c>
      <c r="BC1550" t="s">
        <v>3196</v>
      </c>
      <c r="BD1550" s="4">
        <v>43283.566666666666</v>
      </c>
      <c r="BE1550" s="4">
        <v>43283.570937500001</v>
      </c>
      <c r="BF1550" s="4">
        <v>43283.570937500001</v>
      </c>
      <c r="BG1550" t="s">
        <v>83</v>
      </c>
      <c r="BH1550" t="s">
        <v>84</v>
      </c>
      <c r="BI1550" t="s">
        <v>85</v>
      </c>
    </row>
    <row r="1551" spans="1:61" x14ac:dyDescent="0.3">
      <c r="A1551" t="str">
        <f>"202035C0100"</f>
        <v>202035C0100</v>
      </c>
      <c r="B1551" t="s">
        <v>3197</v>
      </c>
      <c r="C1551">
        <v>20</v>
      </c>
      <c r="D1551" t="s">
        <v>79</v>
      </c>
      <c r="E1551">
        <v>7</v>
      </c>
      <c r="F1551" t="s">
        <v>2811</v>
      </c>
      <c r="G1551">
        <v>2035</v>
      </c>
      <c r="H1551">
        <v>1</v>
      </c>
      <c r="I1551" t="s">
        <v>89</v>
      </c>
      <c r="J1551">
        <v>0</v>
      </c>
      <c r="K1551">
        <v>2</v>
      </c>
      <c r="L1551">
        <v>2</v>
      </c>
      <c r="M1551">
        <v>249</v>
      </c>
      <c r="N1551">
        <v>413</v>
      </c>
      <c r="O1551">
        <v>1</v>
      </c>
      <c r="P1551" t="s">
        <v>100</v>
      </c>
      <c r="Q1551">
        <v>8</v>
      </c>
      <c r="R1551">
        <v>68</v>
      </c>
      <c r="S1551">
        <v>27</v>
      </c>
      <c r="T1551">
        <v>9</v>
      </c>
      <c r="U1551">
        <v>16</v>
      </c>
      <c r="V1551">
        <v>6</v>
      </c>
      <c r="W1551">
        <v>1</v>
      </c>
      <c r="X1551">
        <v>8</v>
      </c>
      <c r="Y1551">
        <v>148</v>
      </c>
      <c r="Z1551">
        <v>71</v>
      </c>
      <c r="AB1551">
        <v>13</v>
      </c>
      <c r="AC1551">
        <v>0</v>
      </c>
      <c r="AD1551">
        <v>1</v>
      </c>
      <c r="AE1551">
        <v>0</v>
      </c>
      <c r="AF1551">
        <v>0</v>
      </c>
      <c r="AK1551">
        <v>2</v>
      </c>
      <c r="AL1551">
        <v>1</v>
      </c>
      <c r="AM1551">
        <v>0</v>
      </c>
      <c r="AN1551">
        <v>2</v>
      </c>
      <c r="AQ1551">
        <v>0</v>
      </c>
      <c r="AT1551">
        <v>0</v>
      </c>
      <c r="AU1551">
        <v>26</v>
      </c>
      <c r="AV1551">
        <v>408</v>
      </c>
      <c r="AW1551">
        <v>407</v>
      </c>
      <c r="AX1551">
        <v>639</v>
      </c>
      <c r="BA1551">
        <v>1</v>
      </c>
      <c r="BC1551" t="s">
        <v>3198</v>
      </c>
      <c r="BD1551" s="4">
        <v>43283.569444444445</v>
      </c>
      <c r="BE1551" s="4">
        <v>43283.574675925927</v>
      </c>
      <c r="BF1551" s="4">
        <v>43283.574675925927</v>
      </c>
      <c r="BG1551" t="s">
        <v>83</v>
      </c>
      <c r="BH1551" t="s">
        <v>84</v>
      </c>
      <c r="BI1551" t="s">
        <v>85</v>
      </c>
    </row>
    <row r="1552" spans="1:61" x14ac:dyDescent="0.3">
      <c r="A1552" t="str">
        <f>"202035C0200"</f>
        <v>202035C0200</v>
      </c>
      <c r="B1552" t="s">
        <v>3199</v>
      </c>
      <c r="C1552">
        <v>20</v>
      </c>
      <c r="D1552" t="s">
        <v>79</v>
      </c>
      <c r="E1552">
        <v>7</v>
      </c>
      <c r="F1552" t="s">
        <v>2811</v>
      </c>
      <c r="G1552">
        <v>2035</v>
      </c>
      <c r="H1552">
        <v>2</v>
      </c>
      <c r="I1552" t="s">
        <v>89</v>
      </c>
      <c r="J1552">
        <v>0</v>
      </c>
      <c r="K1552">
        <v>2</v>
      </c>
      <c r="L1552">
        <v>2</v>
      </c>
      <c r="M1552">
        <v>238</v>
      </c>
      <c r="N1552">
        <v>423</v>
      </c>
      <c r="O1552">
        <v>3</v>
      </c>
      <c r="P1552">
        <v>425</v>
      </c>
      <c r="Q1552">
        <v>10</v>
      </c>
      <c r="R1552">
        <v>74</v>
      </c>
      <c r="S1552">
        <v>35</v>
      </c>
      <c r="T1552">
        <v>6</v>
      </c>
      <c r="U1552">
        <v>11</v>
      </c>
      <c r="V1552">
        <v>14</v>
      </c>
      <c r="W1552">
        <v>7</v>
      </c>
      <c r="X1552">
        <v>0</v>
      </c>
      <c r="Y1552">
        <v>152</v>
      </c>
      <c r="Z1552">
        <v>68</v>
      </c>
      <c r="AB1552">
        <v>10</v>
      </c>
      <c r="AC1552">
        <v>1</v>
      </c>
      <c r="AD1552">
        <v>0</v>
      </c>
      <c r="AE1552">
        <v>0</v>
      </c>
      <c r="AF1552">
        <v>0</v>
      </c>
      <c r="AK1552">
        <v>2</v>
      </c>
      <c r="AL1552">
        <v>2</v>
      </c>
      <c r="AM1552">
        <v>0</v>
      </c>
      <c r="AN1552">
        <v>6</v>
      </c>
      <c r="AQ1552">
        <v>1</v>
      </c>
      <c r="AT1552">
        <v>1</v>
      </c>
      <c r="AU1552">
        <v>27</v>
      </c>
      <c r="AV1552">
        <v>427</v>
      </c>
      <c r="AW1552">
        <v>427</v>
      </c>
      <c r="AX1552">
        <v>639</v>
      </c>
      <c r="BA1552">
        <v>1</v>
      </c>
      <c r="BC1552" t="s">
        <v>3200</v>
      </c>
      <c r="BD1552" s="4">
        <v>43283.754861111112</v>
      </c>
      <c r="BE1552" s="4">
        <v>43283.75917824074</v>
      </c>
      <c r="BF1552" s="4">
        <v>43283.75917824074</v>
      </c>
      <c r="BG1552" t="s">
        <v>83</v>
      </c>
      <c r="BH1552" t="s">
        <v>84</v>
      </c>
      <c r="BI1552" t="s">
        <v>85</v>
      </c>
    </row>
    <row r="1553" spans="1:61" x14ac:dyDescent="0.3">
      <c r="A1553" t="str">
        <f>"202036B0100"</f>
        <v>202036B0100</v>
      </c>
      <c r="B1553" t="s">
        <v>3201</v>
      </c>
      <c r="C1553">
        <v>20</v>
      </c>
      <c r="D1553" t="s">
        <v>79</v>
      </c>
      <c r="E1553">
        <v>7</v>
      </c>
      <c r="F1553" t="s">
        <v>2811</v>
      </c>
      <c r="G1553">
        <v>2036</v>
      </c>
      <c r="H1553">
        <v>1</v>
      </c>
      <c r="I1553" t="s">
        <v>81</v>
      </c>
      <c r="J1553">
        <v>0</v>
      </c>
      <c r="K1553">
        <v>2</v>
      </c>
      <c r="L1553">
        <v>2</v>
      </c>
      <c r="M1553">
        <v>248</v>
      </c>
      <c r="N1553">
        <v>450</v>
      </c>
      <c r="O1553">
        <v>3</v>
      </c>
      <c r="P1553" t="s">
        <v>100</v>
      </c>
      <c r="Q1553">
        <v>20</v>
      </c>
      <c r="R1553">
        <v>104</v>
      </c>
      <c r="S1553">
        <v>31</v>
      </c>
      <c r="T1553">
        <v>10</v>
      </c>
      <c r="U1553">
        <v>8</v>
      </c>
      <c r="V1553">
        <v>10</v>
      </c>
      <c r="W1553">
        <v>5</v>
      </c>
      <c r="X1553">
        <v>9</v>
      </c>
      <c r="Y1553">
        <v>125</v>
      </c>
      <c r="Z1553">
        <v>79</v>
      </c>
      <c r="AB1553">
        <v>12</v>
      </c>
      <c r="AC1553" t="s">
        <v>100</v>
      </c>
      <c r="AD1553" t="s">
        <v>100</v>
      </c>
      <c r="AE1553" t="s">
        <v>100</v>
      </c>
      <c r="AF1553" t="s">
        <v>100</v>
      </c>
      <c r="AK1553" t="s">
        <v>100</v>
      </c>
      <c r="AL1553">
        <v>1</v>
      </c>
      <c r="AM1553">
        <v>1</v>
      </c>
      <c r="AN1553">
        <v>1</v>
      </c>
      <c r="AQ1553" t="s">
        <v>100</v>
      </c>
      <c r="AT1553" t="s">
        <v>100</v>
      </c>
      <c r="AU1553">
        <v>33</v>
      </c>
      <c r="AV1553">
        <v>449</v>
      </c>
      <c r="AW1553">
        <v>449</v>
      </c>
      <c r="AX1553">
        <v>676</v>
      </c>
      <c r="AZ1553" t="s">
        <v>101</v>
      </c>
      <c r="BA1553">
        <v>1</v>
      </c>
      <c r="BC1553" t="s">
        <v>3202</v>
      </c>
      <c r="BD1553" s="4">
        <v>43283.684027777781</v>
      </c>
      <c r="BE1553" s="4">
        <v>43283.690104166664</v>
      </c>
      <c r="BF1553" s="4">
        <v>43283.690104166664</v>
      </c>
      <c r="BG1553" t="s">
        <v>83</v>
      </c>
      <c r="BH1553" t="s">
        <v>84</v>
      </c>
      <c r="BI1553" t="s">
        <v>85</v>
      </c>
    </row>
    <row r="1554" spans="1:61" x14ac:dyDescent="0.3">
      <c r="A1554" t="str">
        <f>"202036C0100"</f>
        <v>202036C0100</v>
      </c>
      <c r="B1554" t="s">
        <v>3203</v>
      </c>
      <c r="C1554">
        <v>20</v>
      </c>
      <c r="D1554" t="s">
        <v>79</v>
      </c>
      <c r="E1554">
        <v>7</v>
      </c>
      <c r="F1554" t="s">
        <v>2811</v>
      </c>
      <c r="G1554">
        <v>2036</v>
      </c>
      <c r="H1554">
        <v>1</v>
      </c>
      <c r="I1554" t="s">
        <v>89</v>
      </c>
      <c r="J1554">
        <v>0</v>
      </c>
      <c r="K1554">
        <v>2</v>
      </c>
      <c r="L1554">
        <v>2</v>
      </c>
      <c r="M1554">
        <v>277</v>
      </c>
      <c r="N1554">
        <v>420</v>
      </c>
      <c r="O1554">
        <v>1</v>
      </c>
      <c r="P1554">
        <v>419</v>
      </c>
      <c r="Q1554">
        <v>9</v>
      </c>
      <c r="R1554">
        <v>89</v>
      </c>
      <c r="S1554">
        <v>33</v>
      </c>
      <c r="T1554">
        <v>13</v>
      </c>
      <c r="U1554">
        <v>14</v>
      </c>
      <c r="V1554">
        <v>4</v>
      </c>
      <c r="W1554">
        <v>11</v>
      </c>
      <c r="X1554">
        <v>6</v>
      </c>
      <c r="Y1554">
        <v>154</v>
      </c>
      <c r="Z1554">
        <v>52</v>
      </c>
      <c r="AB1554">
        <v>13</v>
      </c>
      <c r="AC1554">
        <v>0</v>
      </c>
      <c r="AD1554">
        <v>0</v>
      </c>
      <c r="AE1554">
        <v>0</v>
      </c>
      <c r="AF1554">
        <v>1</v>
      </c>
      <c r="AK1554">
        <v>1</v>
      </c>
      <c r="AL1554">
        <v>1</v>
      </c>
      <c r="AM1554">
        <v>1</v>
      </c>
      <c r="AN1554">
        <v>2</v>
      </c>
      <c r="AQ1554">
        <v>0</v>
      </c>
      <c r="AT1554">
        <v>0</v>
      </c>
      <c r="AU1554">
        <v>15</v>
      </c>
      <c r="AV1554">
        <v>419</v>
      </c>
      <c r="AW1554">
        <v>419</v>
      </c>
      <c r="AX1554">
        <v>675</v>
      </c>
      <c r="BA1554">
        <v>1</v>
      </c>
      <c r="BC1554" t="s">
        <v>3204</v>
      </c>
      <c r="BD1554" s="4">
        <v>43283.611111111109</v>
      </c>
      <c r="BE1554" s="4">
        <v>43283.616030092591</v>
      </c>
      <c r="BF1554" s="4">
        <v>43283.616030092591</v>
      </c>
      <c r="BG1554" t="s">
        <v>83</v>
      </c>
      <c r="BH1554" t="s">
        <v>84</v>
      </c>
      <c r="BI1554" t="s">
        <v>85</v>
      </c>
    </row>
    <row r="1555" spans="1:61" x14ac:dyDescent="0.3">
      <c r="A1555" t="str">
        <f>"202036C0200"</f>
        <v>202036C0200</v>
      </c>
      <c r="B1555" t="s">
        <v>3205</v>
      </c>
      <c r="C1555">
        <v>20</v>
      </c>
      <c r="D1555" t="s">
        <v>79</v>
      </c>
      <c r="E1555">
        <v>7</v>
      </c>
      <c r="F1555" t="s">
        <v>2811</v>
      </c>
      <c r="G1555">
        <v>2036</v>
      </c>
      <c r="H1555">
        <v>2</v>
      </c>
      <c r="I1555" t="s">
        <v>89</v>
      </c>
      <c r="J1555">
        <v>0</v>
      </c>
      <c r="K1555">
        <v>2</v>
      </c>
      <c r="L1555">
        <v>2</v>
      </c>
      <c r="M1555">
        <v>294</v>
      </c>
      <c r="N1555">
        <v>402</v>
      </c>
      <c r="O1555">
        <v>7</v>
      </c>
      <c r="P1555">
        <v>401</v>
      </c>
      <c r="Q1555">
        <v>12</v>
      </c>
      <c r="R1555">
        <v>98</v>
      </c>
      <c r="S1555">
        <v>26</v>
      </c>
      <c r="T1555">
        <v>12</v>
      </c>
      <c r="U1555">
        <v>9</v>
      </c>
      <c r="V1555">
        <v>6</v>
      </c>
      <c r="W1555">
        <v>5</v>
      </c>
      <c r="X1555">
        <v>1</v>
      </c>
      <c r="Y1555">
        <v>138</v>
      </c>
      <c r="Z1555">
        <v>49</v>
      </c>
      <c r="AB1555">
        <v>14</v>
      </c>
      <c r="AC1555">
        <v>0</v>
      </c>
      <c r="AD1555">
        <v>0</v>
      </c>
      <c r="AE1555">
        <v>0</v>
      </c>
      <c r="AF1555">
        <v>0</v>
      </c>
      <c r="AK1555">
        <v>3</v>
      </c>
      <c r="AL1555">
        <v>0</v>
      </c>
      <c r="AM1555">
        <v>1</v>
      </c>
      <c r="AN1555">
        <v>4</v>
      </c>
      <c r="AQ1555">
        <v>0</v>
      </c>
      <c r="AT1555">
        <v>0</v>
      </c>
      <c r="AU1555">
        <v>23</v>
      </c>
      <c r="AV1555">
        <v>401</v>
      </c>
      <c r="AW1555">
        <v>401</v>
      </c>
      <c r="AX1555">
        <v>675</v>
      </c>
      <c r="BA1555">
        <v>1</v>
      </c>
      <c r="BC1555" t="s">
        <v>3206</v>
      </c>
      <c r="BD1555" s="4">
        <v>43283.739583333336</v>
      </c>
      <c r="BE1555" s="4">
        <v>43283.751516203702</v>
      </c>
      <c r="BF1555" s="4">
        <v>43283.751516203702</v>
      </c>
      <c r="BG1555" t="s">
        <v>83</v>
      </c>
      <c r="BH1555" t="s">
        <v>84</v>
      </c>
      <c r="BI1555" t="s">
        <v>85</v>
      </c>
    </row>
    <row r="1556" spans="1:61" x14ac:dyDescent="0.3">
      <c r="A1556" t="str">
        <f>"202037B0100"</f>
        <v>202037B0100</v>
      </c>
      <c r="B1556" t="s">
        <v>3207</v>
      </c>
      <c r="C1556">
        <v>20</v>
      </c>
      <c r="D1556" t="s">
        <v>79</v>
      </c>
      <c r="E1556">
        <v>7</v>
      </c>
      <c r="F1556" t="s">
        <v>2811</v>
      </c>
      <c r="G1556">
        <v>2037</v>
      </c>
      <c r="H1556">
        <v>1</v>
      </c>
      <c r="I1556" t="s">
        <v>81</v>
      </c>
      <c r="J1556">
        <v>0</v>
      </c>
      <c r="K1556">
        <v>2</v>
      </c>
      <c r="L1556">
        <v>2</v>
      </c>
      <c r="M1556">
        <v>259</v>
      </c>
      <c r="N1556">
        <v>254</v>
      </c>
      <c r="O1556">
        <v>0</v>
      </c>
      <c r="P1556">
        <v>256</v>
      </c>
      <c r="Q1556">
        <v>13</v>
      </c>
      <c r="R1556">
        <v>36</v>
      </c>
      <c r="S1556">
        <v>16</v>
      </c>
      <c r="T1556">
        <v>8</v>
      </c>
      <c r="U1556">
        <v>4</v>
      </c>
      <c r="V1556">
        <v>3</v>
      </c>
      <c r="W1556">
        <v>9</v>
      </c>
      <c r="X1556">
        <v>7</v>
      </c>
      <c r="Y1556">
        <v>94</v>
      </c>
      <c r="Z1556">
        <v>31</v>
      </c>
      <c r="AB1556">
        <v>4</v>
      </c>
      <c r="AC1556">
        <v>0</v>
      </c>
      <c r="AD1556">
        <v>0</v>
      </c>
      <c r="AE1556">
        <v>1</v>
      </c>
      <c r="AF1556">
        <v>0</v>
      </c>
      <c r="AK1556">
        <v>2</v>
      </c>
      <c r="AL1556">
        <v>2</v>
      </c>
      <c r="AM1556">
        <v>0</v>
      </c>
      <c r="AN1556">
        <v>1</v>
      </c>
      <c r="AQ1556">
        <v>0</v>
      </c>
      <c r="AT1556">
        <v>0</v>
      </c>
      <c r="AU1556">
        <v>25</v>
      </c>
      <c r="AV1556">
        <v>256</v>
      </c>
      <c r="AW1556">
        <v>256</v>
      </c>
      <c r="AX1556">
        <v>493</v>
      </c>
      <c r="BA1556">
        <v>1</v>
      </c>
      <c r="BC1556" t="s">
        <v>3208</v>
      </c>
      <c r="BD1556" s="4">
        <v>43283.75277777778</v>
      </c>
      <c r="BE1556" s="4">
        <v>43283.759895833333</v>
      </c>
      <c r="BF1556" s="4">
        <v>43283.759895833333</v>
      </c>
      <c r="BG1556" t="s">
        <v>83</v>
      </c>
      <c r="BH1556" t="s">
        <v>84</v>
      </c>
      <c r="BI1556" t="s">
        <v>85</v>
      </c>
    </row>
    <row r="1557" spans="1:61" x14ac:dyDescent="0.3">
      <c r="A1557" t="str">
        <f>"202037C0100"</f>
        <v>202037C0100</v>
      </c>
      <c r="B1557" t="s">
        <v>3209</v>
      </c>
      <c r="C1557">
        <v>20</v>
      </c>
      <c r="D1557" t="s">
        <v>79</v>
      </c>
      <c r="E1557">
        <v>7</v>
      </c>
      <c r="F1557" t="s">
        <v>2811</v>
      </c>
      <c r="G1557">
        <v>2037</v>
      </c>
      <c r="H1557">
        <v>1</v>
      </c>
      <c r="I1557" t="s">
        <v>89</v>
      </c>
      <c r="J1557">
        <v>0</v>
      </c>
      <c r="K1557">
        <v>2</v>
      </c>
      <c r="L1557">
        <v>2</v>
      </c>
      <c r="AX1557">
        <v>493</v>
      </c>
      <c r="AZ1557" t="s">
        <v>932</v>
      </c>
      <c r="BA1557">
        <v>0</v>
      </c>
      <c r="BC1557" t="s">
        <v>3210</v>
      </c>
      <c r="BD1557" s="4">
        <v>43283.818055555559</v>
      </c>
      <c r="BE1557" s="4">
        <v>43283.820127314815</v>
      </c>
      <c r="BF1557" s="4">
        <v>43283.820127314815</v>
      </c>
      <c r="BG1557" t="s">
        <v>83</v>
      </c>
      <c r="BH1557" t="s">
        <v>84</v>
      </c>
      <c r="BI1557" t="s">
        <v>85</v>
      </c>
    </row>
    <row r="1558" spans="1:61" x14ac:dyDescent="0.3">
      <c r="A1558" t="str">
        <f>"202038B0100"</f>
        <v>202038B0100</v>
      </c>
      <c r="B1558" t="s">
        <v>3211</v>
      </c>
      <c r="C1558">
        <v>20</v>
      </c>
      <c r="D1558" t="s">
        <v>79</v>
      </c>
      <c r="E1558">
        <v>7</v>
      </c>
      <c r="F1558" t="s">
        <v>2811</v>
      </c>
      <c r="G1558">
        <v>2038</v>
      </c>
      <c r="H1558">
        <v>1</v>
      </c>
      <c r="I1558" t="s">
        <v>81</v>
      </c>
      <c r="J1558">
        <v>0</v>
      </c>
      <c r="K1558">
        <v>2</v>
      </c>
      <c r="L1558">
        <v>2</v>
      </c>
      <c r="M1558">
        <v>361</v>
      </c>
      <c r="N1558">
        <v>249</v>
      </c>
      <c r="O1558">
        <v>4</v>
      </c>
      <c r="P1558">
        <v>241</v>
      </c>
      <c r="Q1558">
        <v>6</v>
      </c>
      <c r="R1558">
        <v>30</v>
      </c>
      <c r="S1558">
        <v>11</v>
      </c>
      <c r="T1558">
        <v>9</v>
      </c>
      <c r="U1558">
        <v>17</v>
      </c>
      <c r="V1558">
        <v>2</v>
      </c>
      <c r="W1558">
        <v>3</v>
      </c>
      <c r="X1558">
        <v>3</v>
      </c>
      <c r="Y1558">
        <v>126</v>
      </c>
      <c r="Z1558">
        <v>13</v>
      </c>
      <c r="AB1558">
        <v>3</v>
      </c>
      <c r="AC1558">
        <v>0</v>
      </c>
      <c r="AD1558">
        <v>0</v>
      </c>
      <c r="AE1558">
        <v>0</v>
      </c>
      <c r="AF1558">
        <v>0</v>
      </c>
      <c r="AK1558">
        <v>3</v>
      </c>
      <c r="AL1558">
        <v>0</v>
      </c>
      <c r="AM1558">
        <v>0</v>
      </c>
      <c r="AN1558">
        <v>0</v>
      </c>
      <c r="AQ1558">
        <v>0</v>
      </c>
      <c r="AT1558">
        <v>0</v>
      </c>
      <c r="AU1558">
        <v>24</v>
      </c>
      <c r="AV1558">
        <v>241</v>
      </c>
      <c r="AW1558">
        <v>250</v>
      </c>
      <c r="AX1558">
        <v>593</v>
      </c>
      <c r="BA1558">
        <v>1</v>
      </c>
      <c r="BC1558" t="s">
        <v>3212</v>
      </c>
      <c r="BD1558" s="4">
        <v>43283.578472222223</v>
      </c>
      <c r="BE1558" s="4">
        <v>43283.583310185182</v>
      </c>
      <c r="BF1558" s="4">
        <v>43283.583310185182</v>
      </c>
      <c r="BG1558" t="s">
        <v>83</v>
      </c>
      <c r="BH1558" t="s">
        <v>84</v>
      </c>
      <c r="BI1558" t="s">
        <v>85</v>
      </c>
    </row>
    <row r="1559" spans="1:61" x14ac:dyDescent="0.3">
      <c r="A1559" t="str">
        <f>"202039B0100"</f>
        <v>202039B0100</v>
      </c>
      <c r="B1559" t="s">
        <v>3213</v>
      </c>
      <c r="C1559">
        <v>20</v>
      </c>
      <c r="D1559" t="s">
        <v>79</v>
      </c>
      <c r="E1559">
        <v>7</v>
      </c>
      <c r="F1559" t="s">
        <v>2811</v>
      </c>
      <c r="G1559">
        <v>2039</v>
      </c>
      <c r="H1559">
        <v>1</v>
      </c>
      <c r="I1559" t="s">
        <v>81</v>
      </c>
      <c r="J1559">
        <v>0</v>
      </c>
      <c r="K1559">
        <v>2</v>
      </c>
      <c r="L1559">
        <v>2</v>
      </c>
      <c r="AX1559">
        <v>674</v>
      </c>
      <c r="AZ1559" t="s">
        <v>156</v>
      </c>
      <c r="BA1559">
        <v>0</v>
      </c>
      <c r="BC1559" t="s">
        <v>3214</v>
      </c>
      <c r="BD1559" s="4">
        <v>43283.695138888892</v>
      </c>
      <c r="BE1559" s="4">
        <v>43283.699814814812</v>
      </c>
      <c r="BF1559" s="4">
        <v>43283.699814814812</v>
      </c>
      <c r="BG1559" t="s">
        <v>83</v>
      </c>
      <c r="BH1559" t="s">
        <v>84</v>
      </c>
      <c r="BI1559" t="s">
        <v>85</v>
      </c>
    </row>
    <row r="1560" spans="1:61" x14ac:dyDescent="0.3">
      <c r="A1560" t="str">
        <f>"202039E0100"</f>
        <v>202039E0100</v>
      </c>
      <c r="B1560" s="2" t="s">
        <v>3215</v>
      </c>
      <c r="C1560">
        <v>20</v>
      </c>
      <c r="D1560" t="s">
        <v>79</v>
      </c>
      <c r="E1560">
        <v>7</v>
      </c>
      <c r="F1560" t="s">
        <v>2811</v>
      </c>
      <c r="G1560">
        <v>2039</v>
      </c>
      <c r="H1560">
        <v>1</v>
      </c>
      <c r="I1560" t="s">
        <v>145</v>
      </c>
      <c r="J1560">
        <v>0</v>
      </c>
      <c r="K1560">
        <v>2</v>
      </c>
      <c r="L1560">
        <v>2</v>
      </c>
      <c r="M1560">
        <v>257</v>
      </c>
      <c r="N1560">
        <v>299</v>
      </c>
      <c r="O1560">
        <v>4</v>
      </c>
      <c r="P1560">
        <v>299</v>
      </c>
      <c r="Q1560">
        <v>13</v>
      </c>
      <c r="R1560">
        <v>45</v>
      </c>
      <c r="S1560">
        <v>10</v>
      </c>
      <c r="T1560">
        <v>12</v>
      </c>
      <c r="U1560">
        <v>7</v>
      </c>
      <c r="V1560">
        <v>2</v>
      </c>
      <c r="W1560">
        <v>3</v>
      </c>
      <c r="X1560">
        <v>1</v>
      </c>
      <c r="Y1560">
        <v>134</v>
      </c>
      <c r="Z1560">
        <v>35</v>
      </c>
      <c r="AB1560">
        <v>5</v>
      </c>
      <c r="AC1560">
        <v>0</v>
      </c>
      <c r="AD1560">
        <v>1</v>
      </c>
      <c r="AE1560">
        <v>0</v>
      </c>
      <c r="AF1560">
        <v>6</v>
      </c>
      <c r="AK1560">
        <v>1</v>
      </c>
      <c r="AL1560">
        <v>1</v>
      </c>
      <c r="AM1560">
        <v>3</v>
      </c>
      <c r="AN1560">
        <v>5</v>
      </c>
      <c r="AQ1560">
        <v>0</v>
      </c>
      <c r="AT1560">
        <v>0</v>
      </c>
      <c r="AU1560">
        <v>15</v>
      </c>
      <c r="AV1560">
        <v>299</v>
      </c>
      <c r="AW1560">
        <v>299</v>
      </c>
      <c r="AX1560">
        <v>534</v>
      </c>
      <c r="BA1560">
        <v>1</v>
      </c>
      <c r="BC1560" t="s">
        <v>3216</v>
      </c>
      <c r="BD1560" s="4">
        <v>43283.7</v>
      </c>
      <c r="BE1560" s="4">
        <v>43283.70553240741</v>
      </c>
      <c r="BF1560" s="4">
        <v>43283.70553240741</v>
      </c>
      <c r="BG1560" t="s">
        <v>83</v>
      </c>
      <c r="BH1560" t="s">
        <v>84</v>
      </c>
      <c r="BI1560" t="s">
        <v>85</v>
      </c>
    </row>
    <row r="1561" spans="1:61" x14ac:dyDescent="0.3">
      <c r="A1561" t="str">
        <f>"202039E0200"</f>
        <v>202039E0200</v>
      </c>
      <c r="B1561" s="2" t="s">
        <v>3217</v>
      </c>
      <c r="C1561">
        <v>20</v>
      </c>
      <c r="D1561" t="s">
        <v>79</v>
      </c>
      <c r="E1561">
        <v>7</v>
      </c>
      <c r="F1561" t="s">
        <v>2811</v>
      </c>
      <c r="G1561">
        <v>2039</v>
      </c>
      <c r="H1561">
        <v>2</v>
      </c>
      <c r="I1561" t="s">
        <v>145</v>
      </c>
      <c r="J1561">
        <v>0</v>
      </c>
      <c r="K1561">
        <v>2</v>
      </c>
      <c r="L1561">
        <v>2</v>
      </c>
      <c r="M1561">
        <v>32</v>
      </c>
      <c r="N1561">
        <v>104</v>
      </c>
      <c r="O1561">
        <v>0</v>
      </c>
      <c r="P1561">
        <v>104</v>
      </c>
      <c r="Q1561">
        <v>9</v>
      </c>
      <c r="R1561">
        <v>14</v>
      </c>
      <c r="S1561">
        <v>63</v>
      </c>
      <c r="T1561">
        <v>0</v>
      </c>
      <c r="U1561">
        <v>1</v>
      </c>
      <c r="V1561">
        <v>0</v>
      </c>
      <c r="W1561">
        <v>0</v>
      </c>
      <c r="X1561">
        <v>0</v>
      </c>
      <c r="Y1561">
        <v>4</v>
      </c>
      <c r="Z1561">
        <v>0</v>
      </c>
      <c r="AB1561">
        <v>0</v>
      </c>
      <c r="AC1561">
        <v>0</v>
      </c>
      <c r="AD1561">
        <v>1</v>
      </c>
      <c r="AE1561">
        <v>0</v>
      </c>
      <c r="AF1561">
        <v>0</v>
      </c>
      <c r="AK1561">
        <v>0</v>
      </c>
      <c r="AL1561">
        <v>0</v>
      </c>
      <c r="AM1561">
        <v>0</v>
      </c>
      <c r="AN1561">
        <v>0</v>
      </c>
      <c r="AQ1561">
        <v>0</v>
      </c>
      <c r="AT1561">
        <v>0</v>
      </c>
      <c r="AU1561">
        <v>12</v>
      </c>
      <c r="AV1561">
        <v>104</v>
      </c>
      <c r="AW1561">
        <v>104</v>
      </c>
      <c r="AX1561">
        <v>114</v>
      </c>
      <c r="BA1561">
        <v>1</v>
      </c>
      <c r="BC1561" t="s">
        <v>3218</v>
      </c>
      <c r="BD1561" s="4">
        <v>43283.746527777781</v>
      </c>
      <c r="BE1561" s="4">
        <v>43283.75136574074</v>
      </c>
      <c r="BF1561" s="4">
        <v>43283.75136574074</v>
      </c>
      <c r="BG1561" t="s">
        <v>83</v>
      </c>
      <c r="BH1561" t="s">
        <v>84</v>
      </c>
      <c r="BI1561" t="s">
        <v>85</v>
      </c>
    </row>
    <row r="1562" spans="1:61" x14ac:dyDescent="0.3">
      <c r="A1562" t="str">
        <f>"202040B0100"</f>
        <v>202040B0100</v>
      </c>
      <c r="B1562" t="s">
        <v>3219</v>
      </c>
      <c r="C1562">
        <v>20</v>
      </c>
      <c r="D1562" t="s">
        <v>79</v>
      </c>
      <c r="E1562">
        <v>7</v>
      </c>
      <c r="F1562" t="s">
        <v>2811</v>
      </c>
      <c r="G1562">
        <v>2040</v>
      </c>
      <c r="H1562">
        <v>1</v>
      </c>
      <c r="I1562" t="s">
        <v>81</v>
      </c>
      <c r="J1562">
        <v>0</v>
      </c>
      <c r="K1562">
        <v>2</v>
      </c>
      <c r="L1562">
        <v>2</v>
      </c>
      <c r="M1562">
        <v>332</v>
      </c>
      <c r="N1562">
        <v>401</v>
      </c>
      <c r="O1562">
        <v>3</v>
      </c>
      <c r="P1562">
        <v>401</v>
      </c>
      <c r="Q1562">
        <v>12</v>
      </c>
      <c r="R1562">
        <v>37</v>
      </c>
      <c r="S1562">
        <v>14</v>
      </c>
      <c r="T1562">
        <v>7</v>
      </c>
      <c r="U1562">
        <v>12</v>
      </c>
      <c r="V1562">
        <v>5</v>
      </c>
      <c r="W1562">
        <v>5</v>
      </c>
      <c r="X1562">
        <v>7</v>
      </c>
      <c r="Y1562">
        <v>222</v>
      </c>
      <c r="Z1562">
        <v>46</v>
      </c>
      <c r="AB1562">
        <v>4</v>
      </c>
      <c r="AC1562">
        <v>0</v>
      </c>
      <c r="AD1562">
        <v>0</v>
      </c>
      <c r="AE1562">
        <v>0</v>
      </c>
      <c r="AF1562">
        <v>0</v>
      </c>
      <c r="AK1562">
        <v>4</v>
      </c>
      <c r="AL1562">
        <v>0</v>
      </c>
      <c r="AM1562">
        <v>0</v>
      </c>
      <c r="AN1562">
        <v>11</v>
      </c>
      <c r="AQ1562">
        <v>0</v>
      </c>
      <c r="AT1562">
        <v>0</v>
      </c>
      <c r="AU1562">
        <v>15</v>
      </c>
      <c r="AV1562">
        <v>401</v>
      </c>
      <c r="AW1562">
        <v>401</v>
      </c>
      <c r="AX1562">
        <v>711</v>
      </c>
      <c r="BA1562">
        <v>1</v>
      </c>
      <c r="BC1562" t="s">
        <v>3220</v>
      </c>
      <c r="BD1562" s="4">
        <v>43283.583333333336</v>
      </c>
      <c r="BE1562" s="4">
        <v>43283.588414351849</v>
      </c>
      <c r="BF1562" s="4">
        <v>43283.588414351849</v>
      </c>
      <c r="BG1562" t="s">
        <v>83</v>
      </c>
      <c r="BH1562" t="s">
        <v>84</v>
      </c>
      <c r="BI1562" t="s">
        <v>85</v>
      </c>
    </row>
    <row r="1563" spans="1:61" x14ac:dyDescent="0.3">
      <c r="A1563" t="str">
        <f>"202041B0100"</f>
        <v>202041B0100</v>
      </c>
      <c r="B1563" t="s">
        <v>3221</v>
      </c>
      <c r="C1563">
        <v>20</v>
      </c>
      <c r="D1563" t="s">
        <v>79</v>
      </c>
      <c r="E1563">
        <v>7</v>
      </c>
      <c r="F1563" t="s">
        <v>2811</v>
      </c>
      <c r="G1563">
        <v>2041</v>
      </c>
      <c r="H1563">
        <v>1</v>
      </c>
      <c r="I1563" t="s">
        <v>81</v>
      </c>
      <c r="J1563">
        <v>0</v>
      </c>
      <c r="K1563">
        <v>2</v>
      </c>
      <c r="L1563">
        <v>2</v>
      </c>
      <c r="M1563">
        <v>204</v>
      </c>
      <c r="N1563">
        <v>201</v>
      </c>
      <c r="O1563">
        <v>3</v>
      </c>
      <c r="P1563">
        <v>201</v>
      </c>
      <c r="Q1563">
        <v>14</v>
      </c>
      <c r="R1563">
        <v>41</v>
      </c>
      <c r="S1563">
        <v>12</v>
      </c>
      <c r="T1563">
        <v>3</v>
      </c>
      <c r="U1563">
        <v>10</v>
      </c>
      <c r="V1563">
        <v>3</v>
      </c>
      <c r="W1563">
        <v>7</v>
      </c>
      <c r="X1563">
        <v>2</v>
      </c>
      <c r="Y1563">
        <v>41</v>
      </c>
      <c r="Z1563">
        <v>25</v>
      </c>
      <c r="AB1563">
        <v>2</v>
      </c>
      <c r="AC1563">
        <v>0</v>
      </c>
      <c r="AD1563">
        <v>0</v>
      </c>
      <c r="AE1563">
        <v>0</v>
      </c>
      <c r="AF1563">
        <v>0</v>
      </c>
      <c r="AK1563">
        <v>3</v>
      </c>
      <c r="AL1563">
        <v>0</v>
      </c>
      <c r="AM1563">
        <v>0</v>
      </c>
      <c r="AN1563">
        <v>0</v>
      </c>
      <c r="AQ1563">
        <v>0</v>
      </c>
      <c r="AT1563">
        <v>0</v>
      </c>
      <c r="AU1563">
        <v>38</v>
      </c>
      <c r="AV1563">
        <v>202</v>
      </c>
      <c r="AW1563">
        <v>201</v>
      </c>
      <c r="AX1563">
        <v>384</v>
      </c>
      <c r="BA1563">
        <v>1</v>
      </c>
      <c r="BC1563" t="s">
        <v>3222</v>
      </c>
      <c r="BD1563" s="4">
        <v>43283.772222222222</v>
      </c>
      <c r="BE1563" s="4">
        <v>43283.776539351849</v>
      </c>
      <c r="BF1563" s="4">
        <v>43283.776539351849</v>
      </c>
      <c r="BG1563" t="s">
        <v>83</v>
      </c>
      <c r="BH1563" t="s">
        <v>84</v>
      </c>
      <c r="BI1563" t="s">
        <v>85</v>
      </c>
    </row>
    <row r="1564" spans="1:61" x14ac:dyDescent="0.3">
      <c r="A1564" t="str">
        <f>"202041C0100"</f>
        <v>202041C0100</v>
      </c>
      <c r="B1564" t="s">
        <v>3223</v>
      </c>
      <c r="C1564">
        <v>20</v>
      </c>
      <c r="D1564" t="s">
        <v>79</v>
      </c>
      <c r="E1564">
        <v>7</v>
      </c>
      <c r="F1564" t="s">
        <v>2811</v>
      </c>
      <c r="G1564">
        <v>2041</v>
      </c>
      <c r="H1564">
        <v>1</v>
      </c>
      <c r="I1564" t="s">
        <v>89</v>
      </c>
      <c r="J1564">
        <v>0</v>
      </c>
      <c r="K1564">
        <v>2</v>
      </c>
      <c r="L1564">
        <v>2</v>
      </c>
      <c r="M1564">
        <v>209</v>
      </c>
      <c r="N1564">
        <v>197</v>
      </c>
      <c r="O1564">
        <v>3</v>
      </c>
      <c r="P1564" t="s">
        <v>100</v>
      </c>
      <c r="Q1564">
        <v>7</v>
      </c>
      <c r="R1564">
        <v>53</v>
      </c>
      <c r="S1564">
        <v>20</v>
      </c>
      <c r="T1564">
        <v>3</v>
      </c>
      <c r="U1564">
        <v>7</v>
      </c>
      <c r="V1564">
        <v>5</v>
      </c>
      <c r="W1564">
        <v>1</v>
      </c>
      <c r="X1564">
        <v>4</v>
      </c>
      <c r="Y1564">
        <v>43</v>
      </c>
      <c r="Z1564">
        <v>18</v>
      </c>
      <c r="AB1564">
        <v>1</v>
      </c>
      <c r="AC1564">
        <v>0</v>
      </c>
      <c r="AD1564">
        <v>0</v>
      </c>
      <c r="AE1564">
        <v>0</v>
      </c>
      <c r="AF1564">
        <v>0</v>
      </c>
      <c r="AK1564">
        <v>5</v>
      </c>
      <c r="AL1564">
        <v>0</v>
      </c>
      <c r="AM1564">
        <v>0</v>
      </c>
      <c r="AN1564">
        <v>0</v>
      </c>
      <c r="AQ1564">
        <v>0</v>
      </c>
      <c r="AT1564">
        <v>0</v>
      </c>
      <c r="AU1564">
        <v>28</v>
      </c>
      <c r="AV1564" t="s">
        <v>100</v>
      </c>
      <c r="AW1564">
        <v>195</v>
      </c>
      <c r="AX1564">
        <v>384</v>
      </c>
      <c r="BA1564">
        <v>1</v>
      </c>
      <c r="BC1564" t="s">
        <v>3224</v>
      </c>
      <c r="BD1564" s="4">
        <v>43283.606249999997</v>
      </c>
      <c r="BE1564" s="4">
        <v>43283.613055555557</v>
      </c>
      <c r="BF1564" s="4">
        <v>43283.613055555557</v>
      </c>
      <c r="BG1564" t="s">
        <v>83</v>
      </c>
      <c r="BH1564" t="s">
        <v>84</v>
      </c>
      <c r="BI1564" t="s">
        <v>85</v>
      </c>
    </row>
    <row r="1565" spans="1:61" x14ac:dyDescent="0.3">
      <c r="A1565" t="str">
        <f>"202042B0100"</f>
        <v>202042B0100</v>
      </c>
      <c r="B1565" t="s">
        <v>3225</v>
      </c>
      <c r="C1565">
        <v>20</v>
      </c>
      <c r="D1565" t="s">
        <v>79</v>
      </c>
      <c r="E1565">
        <v>7</v>
      </c>
      <c r="F1565" t="s">
        <v>2811</v>
      </c>
      <c r="G1565">
        <v>2042</v>
      </c>
      <c r="H1565">
        <v>1</v>
      </c>
      <c r="I1565" t="s">
        <v>81</v>
      </c>
      <c r="J1565">
        <v>0</v>
      </c>
      <c r="K1565">
        <v>2</v>
      </c>
      <c r="L1565">
        <v>2</v>
      </c>
      <c r="AX1565">
        <v>588</v>
      </c>
      <c r="AZ1565" t="s">
        <v>156</v>
      </c>
      <c r="BA1565">
        <v>0</v>
      </c>
      <c r="BC1565" t="s">
        <v>3226</v>
      </c>
      <c r="BD1565" s="4">
        <v>43283.697222222225</v>
      </c>
      <c r="BE1565" s="4">
        <v>43283.700185185182</v>
      </c>
      <c r="BF1565" s="4">
        <v>43283.700185185182</v>
      </c>
      <c r="BG1565" t="s">
        <v>83</v>
      </c>
      <c r="BH1565" t="s">
        <v>84</v>
      </c>
      <c r="BI1565" t="s">
        <v>85</v>
      </c>
    </row>
    <row r="1566" spans="1:61" x14ac:dyDescent="0.3">
      <c r="A1566" t="str">
        <f>"202042C0100"</f>
        <v>202042C0100</v>
      </c>
      <c r="B1566" t="s">
        <v>3227</v>
      </c>
      <c r="C1566">
        <v>20</v>
      </c>
      <c r="D1566" t="s">
        <v>79</v>
      </c>
      <c r="E1566">
        <v>7</v>
      </c>
      <c r="F1566" t="s">
        <v>2811</v>
      </c>
      <c r="G1566">
        <v>2042</v>
      </c>
      <c r="H1566">
        <v>1</v>
      </c>
      <c r="I1566" t="s">
        <v>89</v>
      </c>
      <c r="J1566">
        <v>0</v>
      </c>
      <c r="K1566">
        <v>2</v>
      </c>
      <c r="L1566">
        <v>2</v>
      </c>
      <c r="M1566">
        <v>268</v>
      </c>
      <c r="N1566">
        <v>369</v>
      </c>
      <c r="O1566">
        <v>3</v>
      </c>
      <c r="P1566">
        <v>369</v>
      </c>
      <c r="Q1566">
        <v>23</v>
      </c>
      <c r="R1566">
        <v>101</v>
      </c>
      <c r="S1566">
        <v>120</v>
      </c>
      <c r="T1566">
        <v>0</v>
      </c>
      <c r="U1566">
        <v>12</v>
      </c>
      <c r="V1566">
        <v>0</v>
      </c>
      <c r="W1566">
        <v>0</v>
      </c>
      <c r="X1566">
        <v>8</v>
      </c>
      <c r="Y1566">
        <v>71</v>
      </c>
      <c r="Z1566">
        <v>9</v>
      </c>
      <c r="AB1566">
        <v>0</v>
      </c>
      <c r="AC1566" t="s">
        <v>100</v>
      </c>
      <c r="AD1566" t="s">
        <v>100</v>
      </c>
      <c r="AE1566" t="s">
        <v>100</v>
      </c>
      <c r="AF1566" t="s">
        <v>100</v>
      </c>
      <c r="AK1566" t="s">
        <v>100</v>
      </c>
      <c r="AL1566" t="s">
        <v>100</v>
      </c>
      <c r="AM1566" t="s">
        <v>100</v>
      </c>
      <c r="AN1566" t="s">
        <v>100</v>
      </c>
      <c r="AQ1566" t="s">
        <v>100</v>
      </c>
      <c r="AT1566" t="s">
        <v>100</v>
      </c>
      <c r="AU1566">
        <v>25</v>
      </c>
      <c r="AV1566">
        <v>369</v>
      </c>
      <c r="AW1566">
        <v>369</v>
      </c>
      <c r="AX1566">
        <v>587</v>
      </c>
      <c r="AZ1566" t="s">
        <v>101</v>
      </c>
      <c r="BA1566">
        <v>1</v>
      </c>
      <c r="BC1566" t="s">
        <v>3228</v>
      </c>
      <c r="BD1566" s="4">
        <v>43283.557638888888</v>
      </c>
      <c r="BE1566" s="4">
        <v>43283.56150462963</v>
      </c>
      <c r="BF1566" s="4">
        <v>43283.56150462963</v>
      </c>
      <c r="BG1566" t="s">
        <v>83</v>
      </c>
      <c r="BH1566" t="s">
        <v>84</v>
      </c>
      <c r="BI1566" t="s">
        <v>85</v>
      </c>
    </row>
    <row r="1567" spans="1:61" x14ac:dyDescent="0.3">
      <c r="A1567" t="str">
        <f>"202042E0100"</f>
        <v>202042E0100</v>
      </c>
      <c r="B1567" s="2" t="s">
        <v>3229</v>
      </c>
      <c r="C1567">
        <v>20</v>
      </c>
      <c r="D1567" t="s">
        <v>79</v>
      </c>
      <c r="E1567">
        <v>7</v>
      </c>
      <c r="F1567" t="s">
        <v>2811</v>
      </c>
      <c r="G1567">
        <v>2042</v>
      </c>
      <c r="H1567">
        <v>1</v>
      </c>
      <c r="I1567" t="s">
        <v>145</v>
      </c>
      <c r="J1567">
        <v>0</v>
      </c>
      <c r="K1567">
        <v>2</v>
      </c>
      <c r="L1567">
        <v>2</v>
      </c>
      <c r="M1567">
        <v>134</v>
      </c>
      <c r="N1567">
        <v>274</v>
      </c>
      <c r="O1567">
        <v>1</v>
      </c>
      <c r="P1567">
        <v>274</v>
      </c>
      <c r="Q1567">
        <v>4</v>
      </c>
      <c r="R1567">
        <v>106</v>
      </c>
      <c r="S1567">
        <v>29</v>
      </c>
      <c r="T1567">
        <v>4</v>
      </c>
      <c r="U1567">
        <v>11</v>
      </c>
      <c r="V1567">
        <v>0</v>
      </c>
      <c r="W1567">
        <v>6</v>
      </c>
      <c r="X1567">
        <v>4</v>
      </c>
      <c r="Y1567">
        <v>74</v>
      </c>
      <c r="Z1567">
        <v>9</v>
      </c>
      <c r="AB1567">
        <v>0</v>
      </c>
      <c r="AC1567">
        <v>0</v>
      </c>
      <c r="AD1567">
        <v>1</v>
      </c>
      <c r="AE1567">
        <v>0</v>
      </c>
      <c r="AF1567">
        <v>0</v>
      </c>
      <c r="AK1567">
        <v>1</v>
      </c>
      <c r="AL1567">
        <v>0</v>
      </c>
      <c r="AM1567">
        <v>0</v>
      </c>
      <c r="AN1567">
        <v>1</v>
      </c>
      <c r="AQ1567">
        <v>0</v>
      </c>
      <c r="AT1567">
        <v>0</v>
      </c>
      <c r="AU1567">
        <v>24</v>
      </c>
      <c r="AV1567">
        <v>274</v>
      </c>
      <c r="AW1567">
        <v>274</v>
      </c>
      <c r="AX1567">
        <v>386</v>
      </c>
      <c r="BA1567">
        <v>1</v>
      </c>
      <c r="BC1567" t="s">
        <v>3230</v>
      </c>
      <c r="BD1567" s="4">
        <v>43283.635416666664</v>
      </c>
      <c r="BE1567" s="4">
        <v>43283.641377314816</v>
      </c>
      <c r="BF1567" s="4">
        <v>43283.641377314816</v>
      </c>
      <c r="BG1567" t="s">
        <v>83</v>
      </c>
      <c r="BH1567" t="s">
        <v>84</v>
      </c>
      <c r="BI1567" t="s">
        <v>85</v>
      </c>
    </row>
    <row r="1568" spans="1:61" x14ac:dyDescent="0.3">
      <c r="A1568" t="str">
        <f>"202042E0101"</f>
        <v>202042E0101</v>
      </c>
      <c r="B1568" s="2" t="s">
        <v>3231</v>
      </c>
      <c r="C1568">
        <v>20</v>
      </c>
      <c r="D1568" t="s">
        <v>79</v>
      </c>
      <c r="E1568">
        <v>7</v>
      </c>
      <c r="F1568" t="s">
        <v>2811</v>
      </c>
      <c r="G1568">
        <v>2042</v>
      </c>
      <c r="H1568">
        <v>1</v>
      </c>
      <c r="I1568" t="s">
        <v>145</v>
      </c>
      <c r="J1568">
        <v>1</v>
      </c>
      <c r="K1568">
        <v>2</v>
      </c>
      <c r="L1568">
        <v>2</v>
      </c>
      <c r="M1568">
        <v>127</v>
      </c>
      <c r="N1568">
        <v>406</v>
      </c>
      <c r="O1568">
        <v>1</v>
      </c>
      <c r="P1568" t="s">
        <v>100</v>
      </c>
      <c r="Q1568">
        <v>3</v>
      </c>
      <c r="R1568">
        <v>119</v>
      </c>
      <c r="S1568">
        <v>27</v>
      </c>
      <c r="T1568">
        <v>10</v>
      </c>
      <c r="U1568">
        <v>4</v>
      </c>
      <c r="V1568">
        <v>1</v>
      </c>
      <c r="W1568">
        <v>3</v>
      </c>
      <c r="X1568">
        <v>3</v>
      </c>
      <c r="Y1568">
        <v>65</v>
      </c>
      <c r="Z1568">
        <v>10</v>
      </c>
      <c r="AB1568">
        <v>0</v>
      </c>
      <c r="AC1568">
        <v>0</v>
      </c>
      <c r="AD1568">
        <v>0</v>
      </c>
      <c r="AE1568">
        <v>0</v>
      </c>
      <c r="AF1568">
        <v>0</v>
      </c>
      <c r="AK1568">
        <v>1</v>
      </c>
      <c r="AL1568">
        <v>1</v>
      </c>
      <c r="AM1568">
        <v>0</v>
      </c>
      <c r="AN1568">
        <v>0</v>
      </c>
      <c r="AQ1568">
        <v>0</v>
      </c>
      <c r="AT1568">
        <v>0</v>
      </c>
      <c r="AU1568">
        <v>34</v>
      </c>
      <c r="AV1568">
        <v>281</v>
      </c>
      <c r="AW1568">
        <v>281</v>
      </c>
      <c r="AX1568">
        <v>386</v>
      </c>
      <c r="BA1568">
        <v>1</v>
      </c>
      <c r="BC1568" t="s">
        <v>3232</v>
      </c>
      <c r="BD1568" s="4">
        <v>43283.551388888889</v>
      </c>
      <c r="BE1568" s="4">
        <v>43283.559305555558</v>
      </c>
      <c r="BF1568" s="4">
        <v>43283.559305555558</v>
      </c>
      <c r="BG1568" t="s">
        <v>83</v>
      </c>
      <c r="BH1568" t="s">
        <v>84</v>
      </c>
      <c r="BI1568" t="s">
        <v>85</v>
      </c>
    </row>
    <row r="1569" spans="1:61" x14ac:dyDescent="0.3">
      <c r="A1569" t="str">
        <f>"202043B0100"</f>
        <v>202043B0100</v>
      </c>
      <c r="B1569" t="s">
        <v>3233</v>
      </c>
      <c r="C1569">
        <v>20</v>
      </c>
      <c r="D1569" t="s">
        <v>79</v>
      </c>
      <c r="E1569">
        <v>7</v>
      </c>
      <c r="F1569" t="s">
        <v>2811</v>
      </c>
      <c r="G1569">
        <v>2043</v>
      </c>
      <c r="H1569">
        <v>1</v>
      </c>
      <c r="I1569" t="s">
        <v>81</v>
      </c>
      <c r="J1569">
        <v>0</v>
      </c>
      <c r="K1569">
        <v>2</v>
      </c>
      <c r="L1569">
        <v>2</v>
      </c>
      <c r="M1569">
        <v>342</v>
      </c>
      <c r="N1569">
        <v>397</v>
      </c>
      <c r="O1569">
        <v>0</v>
      </c>
      <c r="P1569">
        <v>397</v>
      </c>
      <c r="Q1569">
        <v>9</v>
      </c>
      <c r="R1569">
        <v>40</v>
      </c>
      <c r="S1569">
        <v>11</v>
      </c>
      <c r="T1569">
        <v>3</v>
      </c>
      <c r="U1569">
        <v>20</v>
      </c>
      <c r="V1569">
        <v>4</v>
      </c>
      <c r="W1569">
        <v>9</v>
      </c>
      <c r="X1569">
        <v>7</v>
      </c>
      <c r="Y1569">
        <v>244</v>
      </c>
      <c r="Z1569">
        <v>2</v>
      </c>
      <c r="AB1569">
        <v>2</v>
      </c>
      <c r="AC1569">
        <v>0</v>
      </c>
      <c r="AD1569">
        <v>0</v>
      </c>
      <c r="AE1569">
        <v>0</v>
      </c>
      <c r="AF1569">
        <v>0</v>
      </c>
      <c r="AK1569">
        <v>0</v>
      </c>
      <c r="AL1569">
        <v>0</v>
      </c>
      <c r="AM1569">
        <v>0</v>
      </c>
      <c r="AN1569">
        <v>0</v>
      </c>
      <c r="AQ1569">
        <v>0</v>
      </c>
      <c r="AT1569">
        <v>0</v>
      </c>
      <c r="AU1569">
        <v>46</v>
      </c>
      <c r="AV1569">
        <v>397</v>
      </c>
      <c r="AW1569">
        <v>397</v>
      </c>
      <c r="AX1569">
        <v>717</v>
      </c>
      <c r="BA1569">
        <v>1</v>
      </c>
      <c r="BC1569" t="s">
        <v>3234</v>
      </c>
      <c r="BD1569" s="4">
        <v>43283.536111111112</v>
      </c>
      <c r="BE1569" s="4">
        <v>43283.542766203704</v>
      </c>
      <c r="BF1569" s="4">
        <v>43283.542766203704</v>
      </c>
      <c r="BG1569" t="s">
        <v>83</v>
      </c>
      <c r="BH1569" t="s">
        <v>84</v>
      </c>
      <c r="BI1569" t="s">
        <v>85</v>
      </c>
    </row>
    <row r="1570" spans="1:61" x14ac:dyDescent="0.3">
      <c r="A1570" t="str">
        <f>"202043E0100"</f>
        <v>202043E0100</v>
      </c>
      <c r="B1570" s="2" t="s">
        <v>3235</v>
      </c>
      <c r="C1570">
        <v>20</v>
      </c>
      <c r="D1570" t="s">
        <v>79</v>
      </c>
      <c r="E1570">
        <v>7</v>
      </c>
      <c r="F1570" t="s">
        <v>2811</v>
      </c>
      <c r="G1570">
        <v>2043</v>
      </c>
      <c r="H1570">
        <v>1</v>
      </c>
      <c r="I1570" t="s">
        <v>145</v>
      </c>
      <c r="J1570">
        <v>0</v>
      </c>
      <c r="K1570">
        <v>2</v>
      </c>
      <c r="L1570">
        <v>2</v>
      </c>
      <c r="M1570">
        <v>432</v>
      </c>
      <c r="N1570">
        <v>733</v>
      </c>
      <c r="O1570">
        <v>3</v>
      </c>
      <c r="P1570" t="s">
        <v>100</v>
      </c>
      <c r="Q1570">
        <v>7</v>
      </c>
      <c r="R1570">
        <v>79</v>
      </c>
      <c r="S1570">
        <v>16</v>
      </c>
      <c r="T1570">
        <v>5</v>
      </c>
      <c r="U1570">
        <v>5</v>
      </c>
      <c r="V1570">
        <v>6</v>
      </c>
      <c r="W1570">
        <v>10</v>
      </c>
      <c r="X1570">
        <v>2</v>
      </c>
      <c r="Y1570">
        <v>144</v>
      </c>
      <c r="Z1570">
        <v>4</v>
      </c>
      <c r="AB1570">
        <v>2</v>
      </c>
      <c r="AC1570" t="s">
        <v>100</v>
      </c>
      <c r="AD1570" t="s">
        <v>100</v>
      </c>
      <c r="AE1570" t="s">
        <v>100</v>
      </c>
      <c r="AF1570">
        <v>1</v>
      </c>
      <c r="AK1570" t="s">
        <v>100</v>
      </c>
      <c r="AL1570">
        <v>1</v>
      </c>
      <c r="AM1570" t="s">
        <v>100</v>
      </c>
      <c r="AN1570">
        <v>1</v>
      </c>
      <c r="AQ1570" t="s">
        <v>100</v>
      </c>
      <c r="AT1570">
        <v>1</v>
      </c>
      <c r="AU1570">
        <v>14</v>
      </c>
      <c r="AV1570">
        <v>298</v>
      </c>
      <c r="AW1570">
        <v>298</v>
      </c>
      <c r="AX1570">
        <v>711</v>
      </c>
      <c r="AZ1570" t="s">
        <v>101</v>
      </c>
      <c r="BA1570">
        <v>1</v>
      </c>
      <c r="BC1570" t="s">
        <v>3236</v>
      </c>
      <c r="BD1570" s="4">
        <v>43283.548611111109</v>
      </c>
      <c r="BE1570" s="4">
        <v>43283.556192129632</v>
      </c>
      <c r="BF1570" s="4">
        <v>43283.556192129632</v>
      </c>
      <c r="BG1570" t="s">
        <v>83</v>
      </c>
      <c r="BH1570" t="s">
        <v>84</v>
      </c>
      <c r="BI1570" t="s">
        <v>85</v>
      </c>
    </row>
    <row r="1571" spans="1:61" x14ac:dyDescent="0.3">
      <c r="A1571" t="str">
        <f>"202044B0100"</f>
        <v>202044B0100</v>
      </c>
      <c r="B1571" t="s">
        <v>3237</v>
      </c>
      <c r="C1571">
        <v>20</v>
      </c>
      <c r="D1571" t="s">
        <v>79</v>
      </c>
      <c r="E1571">
        <v>7</v>
      </c>
      <c r="F1571" t="s">
        <v>2811</v>
      </c>
      <c r="G1571">
        <v>2044</v>
      </c>
      <c r="H1571">
        <v>1</v>
      </c>
      <c r="I1571" t="s">
        <v>81</v>
      </c>
      <c r="J1571">
        <v>0</v>
      </c>
      <c r="K1571">
        <v>2</v>
      </c>
      <c r="L1571">
        <v>2</v>
      </c>
      <c r="M1571">
        <v>261</v>
      </c>
      <c r="N1571">
        <v>380</v>
      </c>
      <c r="O1571">
        <v>4</v>
      </c>
      <c r="P1571">
        <v>380</v>
      </c>
      <c r="Q1571">
        <v>3</v>
      </c>
      <c r="R1571">
        <v>55</v>
      </c>
      <c r="S1571">
        <v>10</v>
      </c>
      <c r="T1571">
        <v>7</v>
      </c>
      <c r="U1571">
        <v>16</v>
      </c>
      <c r="V1571">
        <v>4</v>
      </c>
      <c r="W1571">
        <v>4</v>
      </c>
      <c r="X1571">
        <v>5</v>
      </c>
      <c r="Y1571">
        <v>183</v>
      </c>
      <c r="Z1571">
        <v>51</v>
      </c>
      <c r="AB1571">
        <v>5</v>
      </c>
      <c r="AC1571">
        <v>0</v>
      </c>
      <c r="AD1571">
        <v>0</v>
      </c>
      <c r="AE1571">
        <v>0</v>
      </c>
      <c r="AF1571">
        <v>0</v>
      </c>
      <c r="AK1571">
        <v>16</v>
      </c>
      <c r="AL1571">
        <v>0</v>
      </c>
      <c r="AM1571">
        <v>0</v>
      </c>
      <c r="AN1571">
        <v>8</v>
      </c>
      <c r="AQ1571">
        <v>0</v>
      </c>
      <c r="AT1571">
        <v>0</v>
      </c>
      <c r="AU1571">
        <v>13</v>
      </c>
      <c r="AV1571">
        <v>380</v>
      </c>
      <c r="AW1571">
        <v>380</v>
      </c>
      <c r="AX1571">
        <v>619</v>
      </c>
      <c r="BA1571">
        <v>1</v>
      </c>
      <c r="BC1571" t="s">
        <v>3238</v>
      </c>
      <c r="BD1571" s="4">
        <v>43283.727083333331</v>
      </c>
      <c r="BE1571" s="4">
        <v>43283.732604166667</v>
      </c>
      <c r="BF1571" s="4">
        <v>43283.732604166667</v>
      </c>
      <c r="BG1571" t="s">
        <v>83</v>
      </c>
      <c r="BH1571" t="s">
        <v>84</v>
      </c>
      <c r="BI1571" t="s">
        <v>85</v>
      </c>
    </row>
    <row r="1572" spans="1:61" x14ac:dyDescent="0.3">
      <c r="A1572" t="str">
        <f>"202045B0100"</f>
        <v>202045B0100</v>
      </c>
      <c r="B1572" t="s">
        <v>3239</v>
      </c>
      <c r="C1572">
        <v>20</v>
      </c>
      <c r="D1572" t="s">
        <v>79</v>
      </c>
      <c r="E1572">
        <v>7</v>
      </c>
      <c r="F1572" t="s">
        <v>2811</v>
      </c>
      <c r="G1572">
        <v>2045</v>
      </c>
      <c r="H1572">
        <v>1</v>
      </c>
      <c r="I1572" t="s">
        <v>81</v>
      </c>
      <c r="J1572">
        <v>0</v>
      </c>
      <c r="K1572">
        <v>2</v>
      </c>
      <c r="L1572">
        <v>2</v>
      </c>
      <c r="M1572">
        <v>274</v>
      </c>
      <c r="N1572">
        <v>445</v>
      </c>
      <c r="O1572">
        <v>1</v>
      </c>
      <c r="P1572">
        <v>445</v>
      </c>
      <c r="Q1572">
        <v>0</v>
      </c>
      <c r="R1572">
        <v>153</v>
      </c>
      <c r="S1572">
        <v>51</v>
      </c>
      <c r="T1572">
        <v>6</v>
      </c>
      <c r="U1572">
        <v>6</v>
      </c>
      <c r="V1572">
        <v>1</v>
      </c>
      <c r="W1572">
        <v>3</v>
      </c>
      <c r="X1572">
        <v>4</v>
      </c>
      <c r="Y1572">
        <v>175</v>
      </c>
      <c r="Z1572">
        <v>8</v>
      </c>
      <c r="AB1572">
        <v>3</v>
      </c>
      <c r="AC1572">
        <v>0</v>
      </c>
      <c r="AD1572">
        <v>0</v>
      </c>
      <c r="AE1572">
        <v>0</v>
      </c>
      <c r="AF1572">
        <v>0</v>
      </c>
      <c r="AK1572">
        <v>1</v>
      </c>
      <c r="AL1572">
        <v>1</v>
      </c>
      <c r="AM1572">
        <v>0</v>
      </c>
      <c r="AN1572">
        <v>0</v>
      </c>
      <c r="AQ1572">
        <v>1</v>
      </c>
      <c r="AT1572">
        <v>0</v>
      </c>
      <c r="AU1572">
        <v>32</v>
      </c>
      <c r="AV1572">
        <v>445</v>
      </c>
      <c r="AW1572">
        <v>445</v>
      </c>
      <c r="AX1572">
        <v>697</v>
      </c>
      <c r="BA1572">
        <v>1</v>
      </c>
      <c r="BC1572" t="s">
        <v>3240</v>
      </c>
      <c r="BD1572" s="4">
        <v>43283.643055555556</v>
      </c>
      <c r="BE1572" s="4">
        <v>43283.648981481485</v>
      </c>
      <c r="BF1572" s="4">
        <v>43283.648981481485</v>
      </c>
      <c r="BG1572" t="s">
        <v>83</v>
      </c>
      <c r="BH1572" t="s">
        <v>84</v>
      </c>
      <c r="BI1572" t="s">
        <v>85</v>
      </c>
    </row>
    <row r="1573" spans="1:61" x14ac:dyDescent="0.3">
      <c r="A1573" t="str">
        <f>"202045E0100"</f>
        <v>202045E0100</v>
      </c>
      <c r="B1573" s="2" t="s">
        <v>3241</v>
      </c>
      <c r="C1573">
        <v>20</v>
      </c>
      <c r="D1573" t="s">
        <v>79</v>
      </c>
      <c r="E1573">
        <v>7</v>
      </c>
      <c r="F1573" t="s">
        <v>2811</v>
      </c>
      <c r="G1573">
        <v>2045</v>
      </c>
      <c r="H1573">
        <v>1</v>
      </c>
      <c r="I1573" t="s">
        <v>145</v>
      </c>
      <c r="J1573">
        <v>0</v>
      </c>
      <c r="K1573">
        <v>2</v>
      </c>
      <c r="L1573">
        <v>2</v>
      </c>
      <c r="M1573">
        <v>38</v>
      </c>
      <c r="N1573">
        <v>244</v>
      </c>
      <c r="O1573">
        <v>6</v>
      </c>
      <c r="P1573">
        <v>2</v>
      </c>
      <c r="Q1573">
        <v>2</v>
      </c>
      <c r="R1573">
        <v>49</v>
      </c>
      <c r="S1573">
        <v>5</v>
      </c>
      <c r="T1573">
        <v>2</v>
      </c>
      <c r="U1573">
        <v>10</v>
      </c>
      <c r="V1573">
        <v>3</v>
      </c>
      <c r="W1573">
        <v>6</v>
      </c>
      <c r="X1573">
        <v>4</v>
      </c>
      <c r="Y1573">
        <v>120</v>
      </c>
      <c r="Z1573">
        <v>4</v>
      </c>
      <c r="AB1573">
        <v>4</v>
      </c>
      <c r="AC1573" t="s">
        <v>100</v>
      </c>
      <c r="AD1573" t="s">
        <v>100</v>
      </c>
      <c r="AE1573" t="s">
        <v>100</v>
      </c>
      <c r="AF1573" t="s">
        <v>100</v>
      </c>
      <c r="AK1573" t="s">
        <v>100</v>
      </c>
      <c r="AL1573" t="s">
        <v>100</v>
      </c>
      <c r="AM1573" t="s">
        <v>100</v>
      </c>
      <c r="AN1573">
        <v>4</v>
      </c>
      <c r="AQ1573" t="s">
        <v>100</v>
      </c>
      <c r="AT1573" t="s">
        <v>100</v>
      </c>
      <c r="AU1573">
        <v>18</v>
      </c>
      <c r="AV1573" t="s">
        <v>100</v>
      </c>
      <c r="AW1573">
        <v>231</v>
      </c>
      <c r="AX1573">
        <v>354</v>
      </c>
      <c r="AZ1573" t="s">
        <v>101</v>
      </c>
      <c r="BA1573">
        <v>1</v>
      </c>
      <c r="BC1573" t="s">
        <v>3242</v>
      </c>
      <c r="BD1573" s="4">
        <v>43283.588888888888</v>
      </c>
      <c r="BE1573" s="4">
        <v>43283.599212962959</v>
      </c>
      <c r="BF1573" s="4">
        <v>43283.599212962959</v>
      </c>
      <c r="BG1573" t="s">
        <v>83</v>
      </c>
      <c r="BH1573" t="s">
        <v>84</v>
      </c>
      <c r="BI1573" t="s">
        <v>85</v>
      </c>
    </row>
    <row r="1574" spans="1:61" x14ac:dyDescent="0.3">
      <c r="A1574" t="str">
        <f>"202046B0100"</f>
        <v>202046B0100</v>
      </c>
      <c r="B1574" t="s">
        <v>3243</v>
      </c>
      <c r="C1574">
        <v>20</v>
      </c>
      <c r="D1574" t="s">
        <v>79</v>
      </c>
      <c r="E1574">
        <v>7</v>
      </c>
      <c r="F1574" t="s">
        <v>2811</v>
      </c>
      <c r="G1574">
        <v>2046</v>
      </c>
      <c r="H1574">
        <v>1</v>
      </c>
      <c r="I1574" t="s">
        <v>81</v>
      </c>
      <c r="J1574">
        <v>0</v>
      </c>
      <c r="K1574">
        <v>2</v>
      </c>
      <c r="L1574">
        <v>2</v>
      </c>
      <c r="M1574">
        <v>113</v>
      </c>
      <c r="N1574">
        <v>318</v>
      </c>
      <c r="O1574">
        <v>3</v>
      </c>
      <c r="P1574">
        <v>196</v>
      </c>
      <c r="Q1574">
        <v>2</v>
      </c>
      <c r="R1574">
        <v>0</v>
      </c>
      <c r="S1574">
        <v>2</v>
      </c>
      <c r="T1574">
        <v>0</v>
      </c>
      <c r="U1574">
        <v>2</v>
      </c>
      <c r="V1574">
        <v>0</v>
      </c>
      <c r="W1574">
        <v>4</v>
      </c>
      <c r="X1574">
        <v>3</v>
      </c>
      <c r="Y1574">
        <v>179</v>
      </c>
      <c r="Z1574">
        <v>4</v>
      </c>
      <c r="AB1574">
        <v>0</v>
      </c>
      <c r="AC1574">
        <v>0</v>
      </c>
      <c r="AD1574">
        <v>0</v>
      </c>
      <c r="AE1574">
        <v>0</v>
      </c>
      <c r="AF1574">
        <v>0</v>
      </c>
      <c r="AK1574">
        <v>0</v>
      </c>
      <c r="AL1574">
        <v>0</v>
      </c>
      <c r="AM1574">
        <v>0</v>
      </c>
      <c r="AN1574">
        <v>0</v>
      </c>
      <c r="AQ1574">
        <v>0</v>
      </c>
      <c r="AT1574">
        <v>0</v>
      </c>
      <c r="AU1574">
        <v>9</v>
      </c>
      <c r="AV1574">
        <v>205</v>
      </c>
      <c r="AW1574">
        <v>205</v>
      </c>
      <c r="AX1574">
        <v>296</v>
      </c>
      <c r="BA1574">
        <v>1</v>
      </c>
      <c r="BC1574" t="s">
        <v>3244</v>
      </c>
      <c r="BD1574" s="4">
        <v>43283.546527777777</v>
      </c>
      <c r="BE1574" s="4">
        <v>43283.551793981482</v>
      </c>
      <c r="BF1574" s="4">
        <v>43283.551793981482</v>
      </c>
      <c r="BG1574" t="s">
        <v>83</v>
      </c>
      <c r="BH1574" t="s">
        <v>84</v>
      </c>
      <c r="BI1574" t="s">
        <v>85</v>
      </c>
    </row>
    <row r="1575" spans="1:61" x14ac:dyDescent="0.3">
      <c r="A1575" t="str">
        <f>"202046E0100"</f>
        <v>202046E0100</v>
      </c>
      <c r="B1575" s="2" t="s">
        <v>3245</v>
      </c>
      <c r="C1575">
        <v>20</v>
      </c>
      <c r="D1575" t="s">
        <v>79</v>
      </c>
      <c r="E1575">
        <v>7</v>
      </c>
      <c r="F1575" t="s">
        <v>2811</v>
      </c>
      <c r="G1575">
        <v>2046</v>
      </c>
      <c r="H1575">
        <v>1</v>
      </c>
      <c r="I1575" t="s">
        <v>145</v>
      </c>
      <c r="J1575">
        <v>0</v>
      </c>
      <c r="K1575">
        <v>2</v>
      </c>
      <c r="L1575">
        <v>2</v>
      </c>
      <c r="M1575" t="s">
        <v>315</v>
      </c>
      <c r="N1575" t="s">
        <v>315</v>
      </c>
      <c r="O1575">
        <v>1</v>
      </c>
      <c r="P1575" t="s">
        <v>315</v>
      </c>
      <c r="Q1575">
        <v>0</v>
      </c>
      <c r="R1575">
        <v>2</v>
      </c>
      <c r="S1575">
        <v>0</v>
      </c>
      <c r="T1575">
        <v>0</v>
      </c>
      <c r="U1575">
        <v>2</v>
      </c>
      <c r="V1575">
        <v>0</v>
      </c>
      <c r="W1575">
        <v>1</v>
      </c>
      <c r="X1575">
        <v>0</v>
      </c>
      <c r="Y1575">
        <v>417</v>
      </c>
      <c r="Z1575">
        <v>0</v>
      </c>
      <c r="AB1575">
        <v>1</v>
      </c>
      <c r="AC1575">
        <v>0</v>
      </c>
      <c r="AD1575">
        <v>0</v>
      </c>
      <c r="AE1575">
        <v>0</v>
      </c>
      <c r="AF1575">
        <v>0</v>
      </c>
      <c r="AK1575">
        <v>3</v>
      </c>
      <c r="AL1575">
        <v>0</v>
      </c>
      <c r="AM1575">
        <v>0</v>
      </c>
      <c r="AN1575">
        <v>0</v>
      </c>
      <c r="AQ1575">
        <v>0</v>
      </c>
      <c r="AT1575">
        <v>0</v>
      </c>
      <c r="AU1575">
        <v>3</v>
      </c>
      <c r="AV1575">
        <v>429</v>
      </c>
      <c r="AW1575">
        <v>429</v>
      </c>
      <c r="AX1575">
        <v>441</v>
      </c>
      <c r="BA1575">
        <v>1</v>
      </c>
      <c r="BC1575" t="s">
        <v>3246</v>
      </c>
      <c r="BD1575" s="4">
        <v>43283.543749999997</v>
      </c>
      <c r="BE1575" s="4">
        <v>43283.549537037034</v>
      </c>
      <c r="BF1575" s="4">
        <v>43283.549537037034</v>
      </c>
      <c r="BG1575" t="s">
        <v>83</v>
      </c>
      <c r="BH1575" t="s">
        <v>84</v>
      </c>
      <c r="BI1575" t="s">
        <v>85</v>
      </c>
    </row>
    <row r="1576" spans="1:61" x14ac:dyDescent="0.3">
      <c r="A1576" t="str">
        <f>"202046E0200"</f>
        <v>202046E0200</v>
      </c>
      <c r="B1576" s="2" t="s">
        <v>3247</v>
      </c>
      <c r="C1576">
        <v>20</v>
      </c>
      <c r="D1576" t="s">
        <v>79</v>
      </c>
      <c r="E1576">
        <v>7</v>
      </c>
      <c r="F1576" t="s">
        <v>2811</v>
      </c>
      <c r="G1576">
        <v>2046</v>
      </c>
      <c r="H1576">
        <v>2</v>
      </c>
      <c r="I1576" t="s">
        <v>145</v>
      </c>
      <c r="J1576">
        <v>0</v>
      </c>
      <c r="K1576">
        <v>2</v>
      </c>
      <c r="L1576">
        <v>2</v>
      </c>
      <c r="M1576">
        <v>59</v>
      </c>
      <c r="N1576" t="s">
        <v>100</v>
      </c>
      <c r="O1576">
        <v>0</v>
      </c>
      <c r="P1576">
        <v>511</v>
      </c>
      <c r="Q1576">
        <v>4</v>
      </c>
      <c r="R1576">
        <v>275</v>
      </c>
      <c r="S1576">
        <v>18</v>
      </c>
      <c r="T1576">
        <v>1</v>
      </c>
      <c r="U1576">
        <v>4</v>
      </c>
      <c r="V1576">
        <v>1</v>
      </c>
      <c r="W1576">
        <v>36</v>
      </c>
      <c r="X1576">
        <v>0</v>
      </c>
      <c r="Y1576">
        <v>23</v>
      </c>
      <c r="Z1576">
        <v>3</v>
      </c>
      <c r="AB1576">
        <v>0</v>
      </c>
      <c r="AC1576">
        <v>0</v>
      </c>
      <c r="AD1576">
        <v>0</v>
      </c>
      <c r="AE1576">
        <v>0</v>
      </c>
      <c r="AF1576">
        <v>1</v>
      </c>
      <c r="AK1576">
        <v>1</v>
      </c>
      <c r="AL1576">
        <v>0</v>
      </c>
      <c r="AM1576">
        <v>0</v>
      </c>
      <c r="AN1576">
        <v>0</v>
      </c>
      <c r="AQ1576">
        <v>1</v>
      </c>
      <c r="AT1576">
        <v>0</v>
      </c>
      <c r="AU1576">
        <v>144</v>
      </c>
      <c r="AV1576">
        <v>511</v>
      </c>
      <c r="AW1576">
        <v>512</v>
      </c>
      <c r="AX1576">
        <v>548</v>
      </c>
      <c r="BA1576">
        <v>1</v>
      </c>
      <c r="BC1576" t="s">
        <v>3248</v>
      </c>
      <c r="BD1576" s="4">
        <v>43283.702777777777</v>
      </c>
      <c r="BE1576" s="4">
        <v>43283.708483796298</v>
      </c>
      <c r="BF1576" s="4">
        <v>43283.708483796298</v>
      </c>
      <c r="BG1576" t="s">
        <v>83</v>
      </c>
      <c r="BH1576" t="s">
        <v>84</v>
      </c>
      <c r="BI1576" t="s">
        <v>85</v>
      </c>
    </row>
    <row r="1577" spans="1:61" x14ac:dyDescent="0.3">
      <c r="A1577" t="str">
        <f>"202047B0100"</f>
        <v>202047B0100</v>
      </c>
      <c r="B1577" t="s">
        <v>3249</v>
      </c>
      <c r="C1577">
        <v>20</v>
      </c>
      <c r="D1577" t="s">
        <v>79</v>
      </c>
      <c r="E1577">
        <v>7</v>
      </c>
      <c r="F1577" t="s">
        <v>2811</v>
      </c>
      <c r="G1577">
        <v>2047</v>
      </c>
      <c r="H1577">
        <v>1</v>
      </c>
      <c r="I1577" t="s">
        <v>81</v>
      </c>
      <c r="J1577">
        <v>0</v>
      </c>
      <c r="K1577">
        <v>2</v>
      </c>
      <c r="L1577">
        <v>2</v>
      </c>
      <c r="M1577">
        <v>179</v>
      </c>
      <c r="N1577">
        <v>225</v>
      </c>
      <c r="O1577">
        <v>3</v>
      </c>
      <c r="P1577">
        <v>225</v>
      </c>
      <c r="Q1577">
        <v>3</v>
      </c>
      <c r="R1577">
        <v>197</v>
      </c>
      <c r="S1577">
        <v>2</v>
      </c>
      <c r="T1577">
        <v>10</v>
      </c>
      <c r="U1577">
        <v>1</v>
      </c>
      <c r="V1577">
        <v>1</v>
      </c>
      <c r="W1577">
        <v>0</v>
      </c>
      <c r="X1577">
        <v>1</v>
      </c>
      <c r="Y1577">
        <v>0</v>
      </c>
      <c r="Z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K1577">
        <v>0</v>
      </c>
      <c r="AL1577">
        <v>0</v>
      </c>
      <c r="AM1577">
        <v>0</v>
      </c>
      <c r="AN1577">
        <v>0</v>
      </c>
      <c r="AQ1577">
        <v>1</v>
      </c>
      <c r="AT1577">
        <v>3</v>
      </c>
      <c r="AU1577">
        <v>26</v>
      </c>
      <c r="AV1577">
        <v>245</v>
      </c>
      <c r="AW1577">
        <v>245</v>
      </c>
      <c r="AX1577">
        <v>399</v>
      </c>
      <c r="BA1577">
        <v>1</v>
      </c>
      <c r="BC1577" t="s">
        <v>3250</v>
      </c>
      <c r="BD1577" s="4">
        <v>43283.60833333333</v>
      </c>
      <c r="BE1577" s="4">
        <v>43283.612083333333</v>
      </c>
      <c r="BF1577" s="4">
        <v>43283.612083333333</v>
      </c>
      <c r="BG1577" t="s">
        <v>83</v>
      </c>
      <c r="BH1577" t="s">
        <v>84</v>
      </c>
      <c r="BI1577" t="s">
        <v>85</v>
      </c>
    </row>
    <row r="1578" spans="1:61" x14ac:dyDescent="0.3">
      <c r="A1578" t="str">
        <f>"202047C0100"</f>
        <v>202047C0100</v>
      </c>
      <c r="B1578" t="s">
        <v>3251</v>
      </c>
      <c r="C1578">
        <v>20</v>
      </c>
      <c r="D1578" t="s">
        <v>79</v>
      </c>
      <c r="E1578">
        <v>7</v>
      </c>
      <c r="F1578" t="s">
        <v>2811</v>
      </c>
      <c r="G1578">
        <v>2047</v>
      </c>
      <c r="H1578">
        <v>1</v>
      </c>
      <c r="I1578" t="s">
        <v>89</v>
      </c>
      <c r="J1578">
        <v>0</v>
      </c>
      <c r="K1578">
        <v>2</v>
      </c>
      <c r="L1578">
        <v>2</v>
      </c>
      <c r="M1578">
        <v>190</v>
      </c>
      <c r="N1578">
        <v>233</v>
      </c>
      <c r="O1578">
        <v>2</v>
      </c>
      <c r="P1578">
        <v>235</v>
      </c>
      <c r="Q1578">
        <v>1</v>
      </c>
      <c r="R1578">
        <v>167</v>
      </c>
      <c r="S1578">
        <v>1</v>
      </c>
      <c r="T1578">
        <v>10</v>
      </c>
      <c r="U1578">
        <v>0</v>
      </c>
      <c r="V1578">
        <v>0</v>
      </c>
      <c r="W1578">
        <v>0</v>
      </c>
      <c r="X1578">
        <v>3</v>
      </c>
      <c r="Y1578">
        <v>29</v>
      </c>
      <c r="Z1578">
        <v>2</v>
      </c>
      <c r="AB1578">
        <v>0</v>
      </c>
      <c r="AC1578">
        <v>0</v>
      </c>
      <c r="AD1578">
        <v>0</v>
      </c>
      <c r="AE1578">
        <v>0</v>
      </c>
      <c r="AF1578">
        <v>0</v>
      </c>
      <c r="AK1578">
        <v>0</v>
      </c>
      <c r="AL1578">
        <v>0</v>
      </c>
      <c r="AM1578">
        <v>0</v>
      </c>
      <c r="AN1578">
        <v>0</v>
      </c>
      <c r="AQ1578">
        <v>0</v>
      </c>
      <c r="AT1578">
        <v>0</v>
      </c>
      <c r="AU1578" t="s">
        <v>315</v>
      </c>
      <c r="AV1578">
        <v>235</v>
      </c>
      <c r="AW1578">
        <v>213</v>
      </c>
      <c r="AX1578">
        <v>398</v>
      </c>
      <c r="AZ1578" t="s">
        <v>101</v>
      </c>
      <c r="BA1578">
        <v>1</v>
      </c>
      <c r="BC1578" t="s">
        <v>3252</v>
      </c>
      <c r="BD1578" s="4">
        <v>43283.64166666667</v>
      </c>
      <c r="BE1578" s="4">
        <v>43283.646851851852</v>
      </c>
      <c r="BF1578" s="4">
        <v>43283.646851851852</v>
      </c>
      <c r="BG1578" t="s">
        <v>83</v>
      </c>
      <c r="BH1578" t="s">
        <v>84</v>
      </c>
      <c r="BI1578" t="s">
        <v>85</v>
      </c>
    </row>
    <row r="1579" spans="1:61" x14ac:dyDescent="0.3">
      <c r="A1579" t="str">
        <f>"202047E0100"</f>
        <v>202047E0100</v>
      </c>
      <c r="B1579" s="2" t="s">
        <v>3253</v>
      </c>
      <c r="C1579">
        <v>20</v>
      </c>
      <c r="D1579" t="s">
        <v>79</v>
      </c>
      <c r="E1579">
        <v>7</v>
      </c>
      <c r="F1579" t="s">
        <v>2811</v>
      </c>
      <c r="G1579">
        <v>2047</v>
      </c>
      <c r="H1579">
        <v>1</v>
      </c>
      <c r="I1579" t="s">
        <v>145</v>
      </c>
      <c r="J1579">
        <v>0</v>
      </c>
      <c r="K1579">
        <v>2</v>
      </c>
      <c r="L1579">
        <v>2</v>
      </c>
      <c r="M1579">
        <v>171</v>
      </c>
      <c r="N1579">
        <v>367</v>
      </c>
      <c r="O1579">
        <v>0</v>
      </c>
      <c r="P1579">
        <v>367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1</v>
      </c>
      <c r="X1579">
        <v>1</v>
      </c>
      <c r="Y1579">
        <v>360</v>
      </c>
      <c r="Z1579">
        <v>3</v>
      </c>
      <c r="AB1579">
        <v>0</v>
      </c>
      <c r="AC1579">
        <v>0</v>
      </c>
      <c r="AD1579">
        <v>1</v>
      </c>
      <c r="AE1579">
        <v>0</v>
      </c>
      <c r="AF1579">
        <v>0</v>
      </c>
      <c r="AK1579">
        <v>0</v>
      </c>
      <c r="AL1579">
        <v>0</v>
      </c>
      <c r="AM1579">
        <v>0</v>
      </c>
      <c r="AN1579">
        <v>0</v>
      </c>
      <c r="AQ1579">
        <v>0</v>
      </c>
      <c r="AT1579">
        <v>0</v>
      </c>
      <c r="AU1579">
        <v>1</v>
      </c>
      <c r="AV1579">
        <v>367</v>
      </c>
      <c r="AW1579">
        <v>367</v>
      </c>
      <c r="AX1579">
        <v>517</v>
      </c>
      <c r="BA1579">
        <v>1</v>
      </c>
      <c r="BC1579" t="s">
        <v>3254</v>
      </c>
      <c r="BD1579" s="4">
        <v>43283.304166666669</v>
      </c>
      <c r="BE1579" s="4">
        <v>43283.329722222225</v>
      </c>
      <c r="BF1579" s="4">
        <v>43283.329722222225</v>
      </c>
      <c r="BG1579" t="s">
        <v>83</v>
      </c>
      <c r="BH1579" t="s">
        <v>84</v>
      </c>
      <c r="BI1579" t="s">
        <v>85</v>
      </c>
    </row>
    <row r="1580" spans="1:61" x14ac:dyDescent="0.3">
      <c r="A1580" t="str">
        <f>"202048B0100"</f>
        <v>202048B0100</v>
      </c>
      <c r="B1580" t="s">
        <v>3255</v>
      </c>
      <c r="C1580">
        <v>20</v>
      </c>
      <c r="D1580" t="s">
        <v>79</v>
      </c>
      <c r="E1580">
        <v>7</v>
      </c>
      <c r="F1580" t="s">
        <v>2811</v>
      </c>
      <c r="G1580">
        <v>2048</v>
      </c>
      <c r="H1580">
        <v>1</v>
      </c>
      <c r="I1580" t="s">
        <v>81</v>
      </c>
      <c r="J1580">
        <v>0</v>
      </c>
      <c r="K1580">
        <v>2</v>
      </c>
      <c r="L1580">
        <v>2</v>
      </c>
      <c r="M1580">
        <v>144</v>
      </c>
      <c r="N1580">
        <v>288</v>
      </c>
      <c r="O1580">
        <v>3</v>
      </c>
      <c r="P1580">
        <v>285</v>
      </c>
      <c r="Q1580">
        <v>0</v>
      </c>
      <c r="R1580">
        <v>1</v>
      </c>
      <c r="S1580">
        <v>0</v>
      </c>
      <c r="T1580">
        <v>0</v>
      </c>
      <c r="U1580">
        <v>2</v>
      </c>
      <c r="V1580">
        <v>2</v>
      </c>
      <c r="W1580">
        <v>1</v>
      </c>
      <c r="X1580">
        <v>0</v>
      </c>
      <c r="Y1580">
        <v>270</v>
      </c>
      <c r="Z1580">
        <v>3</v>
      </c>
      <c r="AB1580">
        <v>0</v>
      </c>
      <c r="AC1580" t="s">
        <v>100</v>
      </c>
      <c r="AD1580" t="s">
        <v>100</v>
      </c>
      <c r="AE1580" t="s">
        <v>100</v>
      </c>
      <c r="AF1580" t="s">
        <v>100</v>
      </c>
      <c r="AK1580" t="s">
        <v>100</v>
      </c>
      <c r="AL1580" t="s">
        <v>100</v>
      </c>
      <c r="AM1580" t="s">
        <v>100</v>
      </c>
      <c r="AN1580" t="s">
        <v>100</v>
      </c>
      <c r="AQ1580" t="s">
        <v>100</v>
      </c>
      <c r="AT1580" t="s">
        <v>100</v>
      </c>
      <c r="AU1580">
        <v>5</v>
      </c>
      <c r="AV1580">
        <v>285</v>
      </c>
      <c r="AW1580">
        <v>284</v>
      </c>
      <c r="AX1580">
        <v>406</v>
      </c>
      <c r="AZ1580" t="s">
        <v>101</v>
      </c>
      <c r="BA1580">
        <v>1</v>
      </c>
      <c r="BC1580" t="s">
        <v>3256</v>
      </c>
      <c r="BD1580" s="4">
        <v>43283.32708333333</v>
      </c>
      <c r="BE1580" s="4">
        <v>43283.350960648146</v>
      </c>
      <c r="BF1580" s="4">
        <v>43283.350960648146</v>
      </c>
      <c r="BG1580" t="s">
        <v>83</v>
      </c>
      <c r="BH1580" t="s">
        <v>84</v>
      </c>
      <c r="BI1580" t="s">
        <v>85</v>
      </c>
    </row>
    <row r="1581" spans="1:61" x14ac:dyDescent="0.3">
      <c r="A1581" t="str">
        <f>"202048C0100"</f>
        <v>202048C0100</v>
      </c>
      <c r="B1581" t="s">
        <v>3257</v>
      </c>
      <c r="C1581">
        <v>20</v>
      </c>
      <c r="D1581" t="s">
        <v>79</v>
      </c>
      <c r="E1581">
        <v>7</v>
      </c>
      <c r="F1581" t="s">
        <v>2811</v>
      </c>
      <c r="G1581">
        <v>2048</v>
      </c>
      <c r="H1581">
        <v>1</v>
      </c>
      <c r="I1581" t="s">
        <v>89</v>
      </c>
      <c r="J1581">
        <v>0</v>
      </c>
      <c r="K1581">
        <v>2</v>
      </c>
      <c r="L1581">
        <v>2</v>
      </c>
      <c r="M1581">
        <v>186</v>
      </c>
      <c r="N1581">
        <v>243</v>
      </c>
      <c r="O1581">
        <v>2</v>
      </c>
      <c r="P1581">
        <v>243</v>
      </c>
      <c r="Q1581">
        <v>0</v>
      </c>
      <c r="R1581">
        <v>3</v>
      </c>
      <c r="S1581">
        <v>0</v>
      </c>
      <c r="T1581">
        <v>0</v>
      </c>
      <c r="U1581">
        <v>2</v>
      </c>
      <c r="V1581">
        <v>0</v>
      </c>
      <c r="W1581">
        <v>1</v>
      </c>
      <c r="X1581">
        <v>2</v>
      </c>
      <c r="Y1581">
        <v>229</v>
      </c>
      <c r="Z1581">
        <v>1</v>
      </c>
      <c r="AB1581">
        <v>0</v>
      </c>
      <c r="AC1581" t="s">
        <v>100</v>
      </c>
      <c r="AD1581" t="s">
        <v>100</v>
      </c>
      <c r="AE1581" t="s">
        <v>100</v>
      </c>
      <c r="AF1581" t="s">
        <v>100</v>
      </c>
      <c r="AK1581" t="s">
        <v>100</v>
      </c>
      <c r="AL1581" t="s">
        <v>100</v>
      </c>
      <c r="AM1581" t="s">
        <v>100</v>
      </c>
      <c r="AN1581" t="s">
        <v>100</v>
      </c>
      <c r="AQ1581" t="s">
        <v>100</v>
      </c>
      <c r="AT1581" t="s">
        <v>100</v>
      </c>
      <c r="AU1581">
        <v>3</v>
      </c>
      <c r="AV1581">
        <v>241</v>
      </c>
      <c r="AW1581">
        <v>241</v>
      </c>
      <c r="AX1581">
        <v>405</v>
      </c>
      <c r="AZ1581" t="s">
        <v>101</v>
      </c>
      <c r="BA1581">
        <v>1</v>
      </c>
      <c r="BC1581" s="2" t="s">
        <v>3258</v>
      </c>
      <c r="BD1581" s="4">
        <v>43283.330555555556</v>
      </c>
      <c r="BE1581" s="4">
        <v>43283.351030092592</v>
      </c>
      <c r="BF1581" s="4">
        <v>43283.351030092592</v>
      </c>
      <c r="BG1581" t="s">
        <v>83</v>
      </c>
      <c r="BH1581" t="s">
        <v>84</v>
      </c>
      <c r="BI1581" t="s">
        <v>85</v>
      </c>
    </row>
    <row r="1582" spans="1:61" x14ac:dyDescent="0.3">
      <c r="A1582" t="str">
        <f>"202048E0100"</f>
        <v>202048E0100</v>
      </c>
      <c r="B1582" s="2" t="s">
        <v>3259</v>
      </c>
      <c r="C1582">
        <v>20</v>
      </c>
      <c r="D1582" t="s">
        <v>79</v>
      </c>
      <c r="E1582">
        <v>7</v>
      </c>
      <c r="F1582" t="s">
        <v>2811</v>
      </c>
      <c r="G1582">
        <v>2048</v>
      </c>
      <c r="H1582">
        <v>1</v>
      </c>
      <c r="I1582" t="s">
        <v>145</v>
      </c>
      <c r="J1582">
        <v>0</v>
      </c>
      <c r="K1582">
        <v>2</v>
      </c>
      <c r="L1582">
        <v>2</v>
      </c>
      <c r="M1582">
        <v>50</v>
      </c>
      <c r="N1582">
        <v>522</v>
      </c>
      <c r="O1582">
        <v>0</v>
      </c>
      <c r="P1582">
        <v>522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1</v>
      </c>
      <c r="Y1582">
        <v>515</v>
      </c>
      <c r="Z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K1582">
        <v>4</v>
      </c>
      <c r="AL1582">
        <v>0</v>
      </c>
      <c r="AM1582">
        <v>0</v>
      </c>
      <c r="AN1582">
        <v>0</v>
      </c>
      <c r="AQ1582">
        <v>0</v>
      </c>
      <c r="AT1582">
        <v>0</v>
      </c>
      <c r="AU1582">
        <v>2</v>
      </c>
      <c r="AV1582">
        <v>522</v>
      </c>
      <c r="AW1582">
        <v>522</v>
      </c>
      <c r="AX1582">
        <v>550</v>
      </c>
      <c r="BA1582">
        <v>1</v>
      </c>
      <c r="BC1582" t="s">
        <v>3260</v>
      </c>
      <c r="BD1582" s="4">
        <v>43283.297222222223</v>
      </c>
      <c r="BE1582" s="4">
        <v>43283.344664351855</v>
      </c>
      <c r="BF1582" s="4">
        <v>43283.344664351855</v>
      </c>
      <c r="BG1582" t="s">
        <v>83</v>
      </c>
      <c r="BH1582" t="s">
        <v>84</v>
      </c>
      <c r="BI1582" t="s">
        <v>85</v>
      </c>
    </row>
    <row r="1583" spans="1:61" x14ac:dyDescent="0.3">
      <c r="A1583" t="str">
        <f>"202049B0100"</f>
        <v>202049B0100</v>
      </c>
      <c r="B1583" t="s">
        <v>3261</v>
      </c>
      <c r="C1583">
        <v>20</v>
      </c>
      <c r="D1583" t="s">
        <v>79</v>
      </c>
      <c r="E1583">
        <v>7</v>
      </c>
      <c r="F1583" t="s">
        <v>2811</v>
      </c>
      <c r="G1583">
        <v>2049</v>
      </c>
      <c r="H1583">
        <v>1</v>
      </c>
      <c r="I1583" t="s">
        <v>81</v>
      </c>
      <c r="J1583">
        <v>0</v>
      </c>
      <c r="K1583">
        <v>2</v>
      </c>
      <c r="L1583">
        <v>2</v>
      </c>
      <c r="M1583">
        <v>309</v>
      </c>
      <c r="N1583">
        <v>415</v>
      </c>
      <c r="O1583">
        <v>4</v>
      </c>
      <c r="P1583">
        <v>414</v>
      </c>
      <c r="Q1583">
        <v>0</v>
      </c>
      <c r="R1583">
        <v>4</v>
      </c>
      <c r="S1583">
        <v>0</v>
      </c>
      <c r="T1583">
        <v>0</v>
      </c>
      <c r="U1583">
        <v>0</v>
      </c>
      <c r="V1583">
        <v>1</v>
      </c>
      <c r="W1583">
        <v>2</v>
      </c>
      <c r="X1583">
        <v>0</v>
      </c>
      <c r="Y1583">
        <v>399</v>
      </c>
      <c r="Z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K1583">
        <v>0</v>
      </c>
      <c r="AL1583">
        <v>0</v>
      </c>
      <c r="AM1583">
        <v>0</v>
      </c>
      <c r="AN1583">
        <v>0</v>
      </c>
      <c r="AQ1583">
        <v>0</v>
      </c>
      <c r="AT1583">
        <v>0</v>
      </c>
      <c r="AU1583">
        <v>6</v>
      </c>
      <c r="AV1583">
        <v>412</v>
      </c>
      <c r="AW1583">
        <v>412</v>
      </c>
      <c r="AX1583">
        <v>702</v>
      </c>
      <c r="BA1583">
        <v>1</v>
      </c>
      <c r="BC1583" t="s">
        <v>3262</v>
      </c>
      <c r="BD1583" s="4">
        <v>43283.307638888888</v>
      </c>
      <c r="BE1583" s="4">
        <v>43283.333749999998</v>
      </c>
      <c r="BF1583" s="4">
        <v>43283.333749999998</v>
      </c>
      <c r="BG1583" t="s">
        <v>83</v>
      </c>
      <c r="BH1583" t="s">
        <v>84</v>
      </c>
      <c r="BI1583" t="s">
        <v>85</v>
      </c>
    </row>
    <row r="1584" spans="1:61" x14ac:dyDescent="0.3">
      <c r="A1584" t="str">
        <f>"202453B0100"</f>
        <v>202453B0100</v>
      </c>
      <c r="B1584" t="s">
        <v>3263</v>
      </c>
      <c r="C1584">
        <v>20</v>
      </c>
      <c r="D1584" t="s">
        <v>79</v>
      </c>
      <c r="E1584">
        <v>7</v>
      </c>
      <c r="F1584" t="s">
        <v>2811</v>
      </c>
      <c r="G1584">
        <v>2453</v>
      </c>
      <c r="H1584">
        <v>1</v>
      </c>
      <c r="I1584" t="s">
        <v>81</v>
      </c>
      <c r="J1584">
        <v>0</v>
      </c>
      <c r="K1584">
        <v>2</v>
      </c>
      <c r="L1584">
        <v>2</v>
      </c>
      <c r="M1584">
        <v>70</v>
      </c>
      <c r="N1584">
        <v>164</v>
      </c>
      <c r="O1584">
        <v>5</v>
      </c>
      <c r="P1584" t="s">
        <v>100</v>
      </c>
      <c r="Q1584">
        <v>0</v>
      </c>
      <c r="R1584">
        <v>35</v>
      </c>
      <c r="S1584">
        <v>34</v>
      </c>
      <c r="T1584">
        <v>4</v>
      </c>
      <c r="U1584">
        <v>2</v>
      </c>
      <c r="V1584">
        <v>0</v>
      </c>
      <c r="W1584">
        <v>1</v>
      </c>
      <c r="X1584">
        <v>0</v>
      </c>
      <c r="Y1584">
        <v>50</v>
      </c>
      <c r="Z1584">
        <v>9</v>
      </c>
      <c r="AB1584">
        <v>3</v>
      </c>
      <c r="AC1584">
        <v>1</v>
      </c>
      <c r="AD1584">
        <v>0</v>
      </c>
      <c r="AE1584">
        <v>0</v>
      </c>
      <c r="AF1584">
        <v>0</v>
      </c>
      <c r="AK1584">
        <v>0</v>
      </c>
      <c r="AL1584">
        <v>0</v>
      </c>
      <c r="AM1584">
        <v>0</v>
      </c>
      <c r="AN1584">
        <v>0</v>
      </c>
      <c r="AQ1584">
        <v>0</v>
      </c>
      <c r="AT1584">
        <v>0</v>
      </c>
      <c r="AU1584">
        <v>25</v>
      </c>
      <c r="AV1584">
        <v>164</v>
      </c>
      <c r="AW1584">
        <v>164</v>
      </c>
      <c r="AX1584">
        <v>211</v>
      </c>
      <c r="BA1584">
        <v>1</v>
      </c>
      <c r="BC1584" t="s">
        <v>3264</v>
      </c>
      <c r="BD1584" s="4">
        <v>43283.428472222222</v>
      </c>
      <c r="BE1584" s="4">
        <v>43283.441064814811</v>
      </c>
      <c r="BF1584" s="4">
        <v>43283.441064814811</v>
      </c>
      <c r="BG1584" t="s">
        <v>83</v>
      </c>
      <c r="BH1584" t="s">
        <v>84</v>
      </c>
      <c r="BI1584" t="s">
        <v>85</v>
      </c>
    </row>
    <row r="1585" spans="1:61" x14ac:dyDescent="0.3">
      <c r="A1585" t="str">
        <f>"200104B0100"</f>
        <v>200104B0100</v>
      </c>
      <c r="B1585" t="s">
        <v>3265</v>
      </c>
      <c r="C1585">
        <v>20</v>
      </c>
      <c r="D1585" t="s">
        <v>79</v>
      </c>
      <c r="E1585">
        <v>8</v>
      </c>
      <c r="F1585" t="s">
        <v>3266</v>
      </c>
      <c r="G1585">
        <v>104</v>
      </c>
      <c r="H1585">
        <v>1</v>
      </c>
      <c r="I1585" t="s">
        <v>81</v>
      </c>
      <c r="J1585">
        <v>0</v>
      </c>
      <c r="K1585">
        <v>1</v>
      </c>
      <c r="L1585">
        <v>2</v>
      </c>
      <c r="M1585">
        <v>165</v>
      </c>
      <c r="N1585">
        <v>360</v>
      </c>
      <c r="O1585">
        <v>8</v>
      </c>
      <c r="P1585">
        <v>360</v>
      </c>
      <c r="Q1585">
        <v>9</v>
      </c>
      <c r="R1585">
        <v>34</v>
      </c>
      <c r="S1585">
        <v>79</v>
      </c>
      <c r="T1585">
        <v>22</v>
      </c>
      <c r="U1585">
        <v>15</v>
      </c>
      <c r="V1585">
        <v>3</v>
      </c>
      <c r="W1585">
        <v>19</v>
      </c>
      <c r="X1585">
        <v>12</v>
      </c>
      <c r="Y1585">
        <v>130</v>
      </c>
      <c r="Z1585">
        <v>5</v>
      </c>
      <c r="AA1585">
        <v>1</v>
      </c>
      <c r="AB1585">
        <v>1</v>
      </c>
      <c r="AC1585">
        <v>1</v>
      </c>
      <c r="AD1585">
        <v>0</v>
      </c>
      <c r="AE1585">
        <v>0</v>
      </c>
      <c r="AF1585">
        <v>0</v>
      </c>
      <c r="AG1585">
        <v>0</v>
      </c>
      <c r="AH1585">
        <v>1</v>
      </c>
      <c r="AI1585">
        <v>0</v>
      </c>
      <c r="AJ1585">
        <v>1</v>
      </c>
      <c r="AK1585">
        <v>1</v>
      </c>
      <c r="AL1585">
        <v>2</v>
      </c>
      <c r="AM1585">
        <v>0</v>
      </c>
      <c r="AN1585">
        <v>0</v>
      </c>
      <c r="AT1585">
        <v>0</v>
      </c>
      <c r="AU1585">
        <v>25</v>
      </c>
      <c r="AV1585">
        <v>360</v>
      </c>
      <c r="AW1585">
        <v>361</v>
      </c>
      <c r="AX1585">
        <v>503</v>
      </c>
      <c r="BA1585">
        <v>1</v>
      </c>
      <c r="BC1585" t="s">
        <v>3267</v>
      </c>
      <c r="BD1585" s="4">
        <v>43283.468055555553</v>
      </c>
      <c r="BE1585" s="4">
        <v>43283.472743055558</v>
      </c>
      <c r="BF1585" s="4">
        <v>43283.472743055558</v>
      </c>
      <c r="BG1585" t="s">
        <v>83</v>
      </c>
      <c r="BH1585" t="s">
        <v>84</v>
      </c>
      <c r="BI1585" t="s">
        <v>85</v>
      </c>
    </row>
    <row r="1586" spans="1:61" x14ac:dyDescent="0.3">
      <c r="A1586" t="str">
        <f>"200104C0100"</f>
        <v>200104C0100</v>
      </c>
      <c r="B1586" t="s">
        <v>3268</v>
      </c>
      <c r="C1586">
        <v>20</v>
      </c>
      <c r="D1586" t="s">
        <v>79</v>
      </c>
      <c r="E1586">
        <v>8</v>
      </c>
      <c r="F1586" t="s">
        <v>3266</v>
      </c>
      <c r="G1586">
        <v>104</v>
      </c>
      <c r="H1586">
        <v>1</v>
      </c>
      <c r="I1586" t="s">
        <v>89</v>
      </c>
      <c r="J1586">
        <v>0</v>
      </c>
      <c r="K1586">
        <v>1</v>
      </c>
      <c r="L1586">
        <v>2</v>
      </c>
      <c r="M1586">
        <v>143</v>
      </c>
      <c r="N1586">
        <v>525</v>
      </c>
      <c r="O1586">
        <v>2</v>
      </c>
      <c r="P1586" t="s">
        <v>100</v>
      </c>
      <c r="Q1586">
        <v>5</v>
      </c>
      <c r="R1586">
        <v>39</v>
      </c>
      <c r="S1586">
        <v>98</v>
      </c>
      <c r="T1586">
        <v>17</v>
      </c>
      <c r="U1586">
        <v>8</v>
      </c>
      <c r="V1586">
        <v>4</v>
      </c>
      <c r="W1586">
        <v>28</v>
      </c>
      <c r="X1586">
        <v>13</v>
      </c>
      <c r="Y1586">
        <v>117</v>
      </c>
      <c r="Z1586">
        <v>8</v>
      </c>
      <c r="AA1586">
        <v>2</v>
      </c>
      <c r="AB1586">
        <v>9</v>
      </c>
      <c r="AC1586">
        <v>2</v>
      </c>
      <c r="AD1586">
        <v>0</v>
      </c>
      <c r="AE1586">
        <v>0</v>
      </c>
      <c r="AF1586">
        <v>1</v>
      </c>
      <c r="AG1586">
        <v>2</v>
      </c>
      <c r="AH1586">
        <v>0</v>
      </c>
      <c r="AI1586">
        <v>0</v>
      </c>
      <c r="AJ1586">
        <v>0</v>
      </c>
      <c r="AK1586">
        <v>3</v>
      </c>
      <c r="AL1586">
        <v>0</v>
      </c>
      <c r="AM1586">
        <v>0</v>
      </c>
      <c r="AN1586">
        <v>0</v>
      </c>
      <c r="AT1586">
        <v>0</v>
      </c>
      <c r="AU1586">
        <v>26</v>
      </c>
      <c r="AV1586">
        <v>382</v>
      </c>
      <c r="AW1586">
        <v>382</v>
      </c>
      <c r="AX1586">
        <v>503</v>
      </c>
      <c r="BA1586">
        <v>1</v>
      </c>
      <c r="BC1586" t="s">
        <v>3269</v>
      </c>
      <c r="BD1586" s="4">
        <v>43283.470833333333</v>
      </c>
      <c r="BE1586" s="4">
        <v>43283.479027777779</v>
      </c>
      <c r="BF1586" s="4">
        <v>43283.479027777779</v>
      </c>
      <c r="BG1586" t="s">
        <v>83</v>
      </c>
      <c r="BH1586" t="s">
        <v>84</v>
      </c>
      <c r="BI1586" t="s">
        <v>85</v>
      </c>
    </row>
    <row r="1587" spans="1:61" x14ac:dyDescent="0.3">
      <c r="A1587" t="str">
        <f>"200105B0100"</f>
        <v>200105B0100</v>
      </c>
      <c r="B1587" t="s">
        <v>3270</v>
      </c>
      <c r="C1587">
        <v>20</v>
      </c>
      <c r="D1587" t="s">
        <v>79</v>
      </c>
      <c r="E1587">
        <v>8</v>
      </c>
      <c r="F1587" t="s">
        <v>3266</v>
      </c>
      <c r="G1587">
        <v>105</v>
      </c>
      <c r="H1587">
        <v>1</v>
      </c>
      <c r="I1587" t="s">
        <v>81</v>
      </c>
      <c r="J1587">
        <v>0</v>
      </c>
      <c r="K1587">
        <v>2</v>
      </c>
      <c r="L1587">
        <v>2</v>
      </c>
      <c r="M1587">
        <v>216</v>
      </c>
      <c r="N1587">
        <v>411</v>
      </c>
      <c r="O1587">
        <v>3</v>
      </c>
      <c r="P1587">
        <v>411</v>
      </c>
      <c r="Q1587">
        <v>3</v>
      </c>
      <c r="R1587">
        <v>37</v>
      </c>
      <c r="S1587">
        <v>104</v>
      </c>
      <c r="T1587">
        <v>11</v>
      </c>
      <c r="U1587">
        <v>12</v>
      </c>
      <c r="V1587">
        <v>5</v>
      </c>
      <c r="W1587">
        <v>41</v>
      </c>
      <c r="X1587">
        <v>18</v>
      </c>
      <c r="Y1587">
        <v>120</v>
      </c>
      <c r="Z1587">
        <v>6</v>
      </c>
      <c r="AA1587">
        <v>2</v>
      </c>
      <c r="AB1587">
        <v>3</v>
      </c>
      <c r="AC1587">
        <v>1</v>
      </c>
      <c r="AD1587">
        <v>2</v>
      </c>
      <c r="AE1587">
        <v>0</v>
      </c>
      <c r="AF1587">
        <v>0</v>
      </c>
      <c r="AG1587">
        <v>1</v>
      </c>
      <c r="AH1587">
        <v>0</v>
      </c>
      <c r="AI1587">
        <v>0</v>
      </c>
      <c r="AJ1587">
        <v>0</v>
      </c>
      <c r="AK1587">
        <v>2</v>
      </c>
      <c r="AL1587">
        <v>0</v>
      </c>
      <c r="AM1587">
        <v>0</v>
      </c>
      <c r="AN1587">
        <v>2</v>
      </c>
      <c r="AT1587">
        <v>0</v>
      </c>
      <c r="AU1587">
        <v>41</v>
      </c>
      <c r="AV1587">
        <v>411</v>
      </c>
      <c r="AW1587">
        <v>411</v>
      </c>
      <c r="AX1587">
        <v>605</v>
      </c>
      <c r="BA1587">
        <v>1</v>
      </c>
      <c r="BC1587" t="s">
        <v>3271</v>
      </c>
      <c r="BD1587" s="4">
        <v>43283.465277777781</v>
      </c>
      <c r="BE1587" s="4">
        <v>43283.468726851854</v>
      </c>
      <c r="BF1587" s="4">
        <v>43283.468726851854</v>
      </c>
      <c r="BG1587" t="s">
        <v>83</v>
      </c>
      <c r="BH1587" t="s">
        <v>84</v>
      </c>
      <c r="BI1587" t="s">
        <v>85</v>
      </c>
    </row>
    <row r="1588" spans="1:61" x14ac:dyDescent="0.3">
      <c r="A1588" t="str">
        <f>"200105C0100"</f>
        <v>200105C0100</v>
      </c>
      <c r="B1588" t="s">
        <v>3272</v>
      </c>
      <c r="C1588">
        <v>20</v>
      </c>
      <c r="D1588" t="s">
        <v>79</v>
      </c>
      <c r="E1588">
        <v>8</v>
      </c>
      <c r="F1588" t="s">
        <v>3266</v>
      </c>
      <c r="G1588">
        <v>105</v>
      </c>
      <c r="H1588">
        <v>1</v>
      </c>
      <c r="I1588" t="s">
        <v>89</v>
      </c>
      <c r="J1588">
        <v>0</v>
      </c>
      <c r="K1588">
        <v>2</v>
      </c>
      <c r="L1588">
        <v>2</v>
      </c>
      <c r="M1588">
        <v>202</v>
      </c>
      <c r="N1588">
        <v>425</v>
      </c>
      <c r="O1588">
        <v>1</v>
      </c>
      <c r="P1588">
        <v>425</v>
      </c>
      <c r="Q1588">
        <v>7</v>
      </c>
      <c r="R1588">
        <v>73</v>
      </c>
      <c r="S1588">
        <v>82</v>
      </c>
      <c r="T1588">
        <v>18</v>
      </c>
      <c r="U1588">
        <v>10</v>
      </c>
      <c r="V1588">
        <v>5</v>
      </c>
      <c r="W1588">
        <v>33</v>
      </c>
      <c r="X1588">
        <v>22</v>
      </c>
      <c r="Y1588">
        <v>122</v>
      </c>
      <c r="Z1588">
        <v>9</v>
      </c>
      <c r="AA1588">
        <v>1</v>
      </c>
      <c r="AB1588">
        <v>3</v>
      </c>
      <c r="AC1588">
        <v>2</v>
      </c>
      <c r="AD1588">
        <v>0</v>
      </c>
      <c r="AE1588">
        <v>0</v>
      </c>
      <c r="AF1588">
        <v>1</v>
      </c>
      <c r="AG1588">
        <v>0</v>
      </c>
      <c r="AH1588">
        <v>1</v>
      </c>
      <c r="AI1588">
        <v>0</v>
      </c>
      <c r="AJ1588">
        <v>0</v>
      </c>
      <c r="AK1588">
        <v>2</v>
      </c>
      <c r="AL1588">
        <v>0</v>
      </c>
      <c r="AM1588">
        <v>0</v>
      </c>
      <c r="AN1588">
        <v>0</v>
      </c>
      <c r="AT1588">
        <v>0</v>
      </c>
      <c r="AU1588">
        <v>35</v>
      </c>
      <c r="AV1588">
        <v>425</v>
      </c>
      <c r="AW1588">
        <v>426</v>
      </c>
      <c r="AX1588">
        <v>604</v>
      </c>
      <c r="BA1588">
        <v>1</v>
      </c>
      <c r="BC1588" t="s">
        <v>3273</v>
      </c>
      <c r="BD1588" s="4">
        <v>43283.466666666667</v>
      </c>
      <c r="BE1588" s="4">
        <v>43283.472303240742</v>
      </c>
      <c r="BF1588" s="4">
        <v>43283.472303240742</v>
      </c>
      <c r="BG1588" t="s">
        <v>83</v>
      </c>
      <c r="BH1588" t="s">
        <v>84</v>
      </c>
      <c r="BI1588" t="s">
        <v>85</v>
      </c>
    </row>
    <row r="1589" spans="1:61" x14ac:dyDescent="0.3">
      <c r="A1589" t="str">
        <f>"200106B0100"</f>
        <v>200106B0100</v>
      </c>
      <c r="B1589" t="s">
        <v>3274</v>
      </c>
      <c r="C1589">
        <v>20</v>
      </c>
      <c r="D1589" t="s">
        <v>79</v>
      </c>
      <c r="E1589">
        <v>8</v>
      </c>
      <c r="F1589" t="s">
        <v>3266</v>
      </c>
      <c r="G1589">
        <v>106</v>
      </c>
      <c r="H1589">
        <v>1</v>
      </c>
      <c r="I1589" t="s">
        <v>81</v>
      </c>
      <c r="J1589">
        <v>0</v>
      </c>
      <c r="K1589">
        <v>2</v>
      </c>
      <c r="L1589">
        <v>2</v>
      </c>
      <c r="M1589">
        <v>177</v>
      </c>
      <c r="N1589">
        <v>511</v>
      </c>
      <c r="O1589">
        <v>0</v>
      </c>
      <c r="P1589">
        <v>334</v>
      </c>
      <c r="Q1589">
        <v>6</v>
      </c>
      <c r="R1589">
        <v>28</v>
      </c>
      <c r="S1589">
        <v>117</v>
      </c>
      <c r="T1589">
        <v>16</v>
      </c>
      <c r="U1589">
        <v>11</v>
      </c>
      <c r="V1589">
        <v>5</v>
      </c>
      <c r="W1589">
        <v>12</v>
      </c>
      <c r="X1589">
        <v>8</v>
      </c>
      <c r="Y1589">
        <v>83</v>
      </c>
      <c r="Z1589">
        <v>8</v>
      </c>
      <c r="AA1589">
        <v>0</v>
      </c>
      <c r="AB1589">
        <v>4</v>
      </c>
      <c r="AC1589">
        <v>4</v>
      </c>
      <c r="AD1589">
        <v>1</v>
      </c>
      <c r="AE1589">
        <v>0</v>
      </c>
      <c r="AF1589">
        <v>1</v>
      </c>
      <c r="AG1589">
        <v>0</v>
      </c>
      <c r="AH1589">
        <v>0</v>
      </c>
      <c r="AI1589">
        <v>1</v>
      </c>
      <c r="AJ1589">
        <v>0</v>
      </c>
      <c r="AK1589">
        <v>2</v>
      </c>
      <c r="AL1589">
        <v>0</v>
      </c>
      <c r="AM1589">
        <v>0</v>
      </c>
      <c r="AN1589">
        <v>0</v>
      </c>
      <c r="AT1589">
        <v>0</v>
      </c>
      <c r="AU1589">
        <v>27</v>
      </c>
      <c r="AV1589">
        <v>334</v>
      </c>
      <c r="AW1589">
        <v>334</v>
      </c>
      <c r="AX1589">
        <v>489</v>
      </c>
      <c r="BA1589">
        <v>1</v>
      </c>
      <c r="BC1589" t="s">
        <v>3275</v>
      </c>
      <c r="BD1589" s="4">
        <v>43283.472222222219</v>
      </c>
      <c r="BE1589" s="4">
        <v>43283.475474537037</v>
      </c>
      <c r="BF1589" s="4">
        <v>43283.475474537037</v>
      </c>
      <c r="BG1589" t="s">
        <v>83</v>
      </c>
      <c r="BH1589" t="s">
        <v>84</v>
      </c>
      <c r="BI1589" t="s">
        <v>85</v>
      </c>
    </row>
    <row r="1590" spans="1:61" x14ac:dyDescent="0.3">
      <c r="A1590" t="str">
        <f>"200106C0100"</f>
        <v>200106C0100</v>
      </c>
      <c r="B1590" t="s">
        <v>3276</v>
      </c>
      <c r="C1590">
        <v>20</v>
      </c>
      <c r="D1590" t="s">
        <v>79</v>
      </c>
      <c r="E1590">
        <v>8</v>
      </c>
      <c r="F1590" t="s">
        <v>3266</v>
      </c>
      <c r="G1590">
        <v>106</v>
      </c>
      <c r="H1590">
        <v>1</v>
      </c>
      <c r="I1590" t="s">
        <v>89</v>
      </c>
      <c r="J1590">
        <v>0</v>
      </c>
      <c r="K1590">
        <v>2</v>
      </c>
      <c r="L1590">
        <v>2</v>
      </c>
      <c r="M1590">
        <v>186</v>
      </c>
      <c r="N1590">
        <v>325</v>
      </c>
      <c r="O1590">
        <v>0</v>
      </c>
      <c r="P1590">
        <v>325</v>
      </c>
      <c r="Q1590">
        <v>4</v>
      </c>
      <c r="R1590">
        <v>25</v>
      </c>
      <c r="S1590">
        <v>88</v>
      </c>
      <c r="T1590">
        <v>23</v>
      </c>
      <c r="U1590">
        <v>11</v>
      </c>
      <c r="V1590">
        <v>8</v>
      </c>
      <c r="W1590">
        <v>17</v>
      </c>
      <c r="X1590">
        <v>10</v>
      </c>
      <c r="Y1590">
        <v>87</v>
      </c>
      <c r="Z1590">
        <v>10</v>
      </c>
      <c r="AA1590">
        <v>0</v>
      </c>
      <c r="AB1590">
        <v>5</v>
      </c>
      <c r="AC1590">
        <v>0</v>
      </c>
      <c r="AD1590">
        <v>0</v>
      </c>
      <c r="AE1590">
        <v>0</v>
      </c>
      <c r="AF1590">
        <v>1</v>
      </c>
      <c r="AG1590">
        <v>0</v>
      </c>
      <c r="AH1590">
        <v>0</v>
      </c>
      <c r="AI1590">
        <v>0</v>
      </c>
      <c r="AJ1590">
        <v>0</v>
      </c>
      <c r="AK1590">
        <v>3</v>
      </c>
      <c r="AL1590">
        <v>1</v>
      </c>
      <c r="AM1590">
        <v>0</v>
      </c>
      <c r="AN1590">
        <v>1</v>
      </c>
      <c r="AT1590">
        <v>0</v>
      </c>
      <c r="AU1590">
        <v>31</v>
      </c>
      <c r="AV1590">
        <v>325</v>
      </c>
      <c r="AW1590">
        <v>325</v>
      </c>
      <c r="AX1590">
        <v>489</v>
      </c>
      <c r="BA1590">
        <v>1</v>
      </c>
      <c r="BC1590" t="s">
        <v>3277</v>
      </c>
      <c r="BD1590" s="4">
        <v>43283.472916666666</v>
      </c>
      <c r="BE1590" s="4">
        <v>43283.47934027778</v>
      </c>
      <c r="BF1590" s="4">
        <v>43283.47934027778</v>
      </c>
      <c r="BG1590" t="s">
        <v>83</v>
      </c>
      <c r="BH1590" t="s">
        <v>84</v>
      </c>
      <c r="BI1590" t="s">
        <v>85</v>
      </c>
    </row>
    <row r="1591" spans="1:61" x14ac:dyDescent="0.3">
      <c r="A1591" t="str">
        <f>"200106S0100"</f>
        <v>200106S0100</v>
      </c>
      <c r="B1591" t="s">
        <v>3278</v>
      </c>
      <c r="C1591">
        <v>20</v>
      </c>
      <c r="D1591" t="s">
        <v>79</v>
      </c>
      <c r="E1591">
        <v>8</v>
      </c>
      <c r="F1591" t="s">
        <v>3266</v>
      </c>
      <c r="G1591">
        <v>106</v>
      </c>
      <c r="H1591">
        <v>1</v>
      </c>
      <c r="I1591" t="s">
        <v>104</v>
      </c>
      <c r="J1591">
        <v>0</v>
      </c>
      <c r="K1591">
        <v>2</v>
      </c>
      <c r="L1591">
        <v>3</v>
      </c>
      <c r="M1591">
        <v>337</v>
      </c>
      <c r="N1591">
        <v>146</v>
      </c>
      <c r="O1591">
        <v>0</v>
      </c>
      <c r="P1591">
        <v>146</v>
      </c>
      <c r="Q1591">
        <v>4</v>
      </c>
      <c r="R1591">
        <v>4</v>
      </c>
      <c r="S1591">
        <v>31</v>
      </c>
      <c r="T1591">
        <v>9</v>
      </c>
      <c r="U1591">
        <v>9</v>
      </c>
      <c r="V1591">
        <v>2</v>
      </c>
      <c r="W1591">
        <v>4</v>
      </c>
      <c r="X1591">
        <v>5</v>
      </c>
      <c r="Y1591">
        <v>63</v>
      </c>
      <c r="Z1591">
        <v>1</v>
      </c>
      <c r="AA1591">
        <v>0</v>
      </c>
      <c r="AB1591">
        <v>2</v>
      </c>
      <c r="AC1591">
        <v>2</v>
      </c>
      <c r="AD1591">
        <v>0</v>
      </c>
      <c r="AE1591">
        <v>0</v>
      </c>
      <c r="AF1591">
        <v>0</v>
      </c>
      <c r="AG1591">
        <v>1</v>
      </c>
      <c r="AH1591">
        <v>0</v>
      </c>
      <c r="AI1591">
        <v>0</v>
      </c>
      <c r="AJ1591">
        <v>0</v>
      </c>
      <c r="AK1591">
        <v>0</v>
      </c>
      <c r="AL1591">
        <v>1</v>
      </c>
      <c r="AM1591">
        <v>0</v>
      </c>
      <c r="AN1591">
        <v>0</v>
      </c>
      <c r="AT1591">
        <v>0</v>
      </c>
      <c r="AU1591">
        <v>9</v>
      </c>
      <c r="AV1591">
        <v>146</v>
      </c>
      <c r="AW1591">
        <v>147</v>
      </c>
      <c r="AX1591">
        <v>0</v>
      </c>
      <c r="BA1591">
        <v>1</v>
      </c>
      <c r="BC1591" t="s">
        <v>3279</v>
      </c>
      <c r="BD1591" s="4">
        <v>43283.477083333331</v>
      </c>
      <c r="BE1591" s="4">
        <v>43283.479884259257</v>
      </c>
      <c r="BF1591" s="4">
        <v>43283.479884259257</v>
      </c>
      <c r="BG1591" t="s">
        <v>83</v>
      </c>
      <c r="BH1591" t="s">
        <v>84</v>
      </c>
      <c r="BI1591" t="s">
        <v>85</v>
      </c>
    </row>
    <row r="1592" spans="1:61" x14ac:dyDescent="0.3">
      <c r="A1592" t="str">
        <f>"200107B0100"</f>
        <v>200107B0100</v>
      </c>
      <c r="B1592" t="s">
        <v>3280</v>
      </c>
      <c r="C1592">
        <v>20</v>
      </c>
      <c r="D1592" t="s">
        <v>79</v>
      </c>
      <c r="E1592">
        <v>8</v>
      </c>
      <c r="F1592" t="s">
        <v>3266</v>
      </c>
      <c r="G1592">
        <v>107</v>
      </c>
      <c r="H1592">
        <v>1</v>
      </c>
      <c r="I1592" t="s">
        <v>81</v>
      </c>
      <c r="J1592">
        <v>0</v>
      </c>
      <c r="K1592">
        <v>2</v>
      </c>
      <c r="L1592">
        <v>2</v>
      </c>
      <c r="M1592">
        <v>212</v>
      </c>
      <c r="N1592">
        <v>433</v>
      </c>
      <c r="O1592">
        <v>3</v>
      </c>
      <c r="P1592">
        <v>433</v>
      </c>
      <c r="Q1592">
        <v>5</v>
      </c>
      <c r="R1592">
        <v>40</v>
      </c>
      <c r="S1592">
        <v>103</v>
      </c>
      <c r="T1592">
        <v>31</v>
      </c>
      <c r="U1592">
        <v>19</v>
      </c>
      <c r="V1592">
        <v>5</v>
      </c>
      <c r="W1592">
        <v>19</v>
      </c>
      <c r="X1592">
        <v>15</v>
      </c>
      <c r="Y1592">
        <v>141</v>
      </c>
      <c r="Z1592">
        <v>6</v>
      </c>
      <c r="AA1592">
        <v>1</v>
      </c>
      <c r="AB1592">
        <v>2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1</v>
      </c>
      <c r="AI1592">
        <v>1</v>
      </c>
      <c r="AJ1592">
        <v>0</v>
      </c>
      <c r="AK1592">
        <v>4</v>
      </c>
      <c r="AL1592">
        <v>1</v>
      </c>
      <c r="AM1592">
        <v>0</v>
      </c>
      <c r="AN1592">
        <v>1</v>
      </c>
      <c r="AT1592">
        <v>0</v>
      </c>
      <c r="AU1592">
        <v>38</v>
      </c>
      <c r="AV1592">
        <v>433</v>
      </c>
      <c r="AW1592">
        <v>433</v>
      </c>
      <c r="AX1592">
        <v>623</v>
      </c>
      <c r="BA1592">
        <v>1</v>
      </c>
      <c r="BC1592" t="s">
        <v>3281</v>
      </c>
      <c r="BD1592" s="4">
        <v>43283.474305555559</v>
      </c>
      <c r="BE1592" s="4">
        <v>43283.478472222225</v>
      </c>
      <c r="BF1592" s="4">
        <v>43283.478472222225</v>
      </c>
      <c r="BG1592" t="s">
        <v>83</v>
      </c>
      <c r="BH1592" t="s">
        <v>84</v>
      </c>
      <c r="BI1592" t="s">
        <v>85</v>
      </c>
    </row>
    <row r="1593" spans="1:61" x14ac:dyDescent="0.3">
      <c r="A1593" t="str">
        <f>"200107E0100"</f>
        <v>200107E0100</v>
      </c>
      <c r="B1593" s="2" t="s">
        <v>3282</v>
      </c>
      <c r="C1593">
        <v>20</v>
      </c>
      <c r="D1593" t="s">
        <v>79</v>
      </c>
      <c r="E1593">
        <v>8</v>
      </c>
      <c r="F1593" t="s">
        <v>3266</v>
      </c>
      <c r="G1593">
        <v>107</v>
      </c>
      <c r="H1593">
        <v>1</v>
      </c>
      <c r="I1593" t="s">
        <v>145</v>
      </c>
      <c r="J1593">
        <v>0</v>
      </c>
      <c r="K1593">
        <v>2</v>
      </c>
      <c r="L1593">
        <v>2</v>
      </c>
      <c r="M1593">
        <v>147</v>
      </c>
      <c r="N1593">
        <v>336</v>
      </c>
      <c r="O1593">
        <v>1</v>
      </c>
      <c r="P1593">
        <v>336</v>
      </c>
      <c r="Q1593">
        <v>1</v>
      </c>
      <c r="R1593">
        <v>42</v>
      </c>
      <c r="S1593">
        <v>73</v>
      </c>
      <c r="T1593">
        <v>39</v>
      </c>
      <c r="U1593">
        <v>13</v>
      </c>
      <c r="V1593">
        <v>5</v>
      </c>
      <c r="W1593">
        <v>17</v>
      </c>
      <c r="X1593">
        <v>10</v>
      </c>
      <c r="Y1593">
        <v>82</v>
      </c>
      <c r="Z1593">
        <v>4</v>
      </c>
      <c r="AA1593">
        <v>1</v>
      </c>
      <c r="AB1593">
        <v>4</v>
      </c>
      <c r="AC1593">
        <v>0</v>
      </c>
      <c r="AD1593">
        <v>0</v>
      </c>
      <c r="AE1593">
        <v>0</v>
      </c>
      <c r="AF1593">
        <v>0</v>
      </c>
      <c r="AG1593">
        <v>1</v>
      </c>
      <c r="AH1593">
        <v>3</v>
      </c>
      <c r="AI1593">
        <v>1</v>
      </c>
      <c r="AJ1593">
        <v>2</v>
      </c>
      <c r="AK1593">
        <v>2</v>
      </c>
      <c r="AL1593">
        <v>0</v>
      </c>
      <c r="AM1593">
        <v>1</v>
      </c>
      <c r="AN1593">
        <v>0</v>
      </c>
      <c r="AT1593">
        <v>0</v>
      </c>
      <c r="AU1593">
        <v>35</v>
      </c>
      <c r="AV1593" t="s">
        <v>100</v>
      </c>
      <c r="AW1593">
        <v>336</v>
      </c>
      <c r="AX1593">
        <v>460</v>
      </c>
      <c r="BA1593">
        <v>1</v>
      </c>
      <c r="BC1593" t="s">
        <v>3283</v>
      </c>
      <c r="BD1593" s="4">
        <v>43283.475694444445</v>
      </c>
      <c r="BE1593" s="4">
        <v>43283.480474537035</v>
      </c>
      <c r="BF1593" s="4">
        <v>43283.480474537035</v>
      </c>
      <c r="BG1593" t="s">
        <v>83</v>
      </c>
      <c r="BH1593" t="s">
        <v>84</v>
      </c>
      <c r="BI1593" t="s">
        <v>85</v>
      </c>
    </row>
    <row r="1594" spans="1:61" x14ac:dyDescent="0.3">
      <c r="A1594" t="str">
        <f>"200108B0100"</f>
        <v>200108B0100</v>
      </c>
      <c r="B1594" t="s">
        <v>3284</v>
      </c>
      <c r="C1594">
        <v>20</v>
      </c>
      <c r="D1594" t="s">
        <v>79</v>
      </c>
      <c r="E1594">
        <v>8</v>
      </c>
      <c r="F1594" t="s">
        <v>3266</v>
      </c>
      <c r="G1594">
        <v>108</v>
      </c>
      <c r="H1594">
        <v>1</v>
      </c>
      <c r="I1594" t="s">
        <v>81</v>
      </c>
      <c r="J1594">
        <v>0</v>
      </c>
      <c r="K1594">
        <v>2</v>
      </c>
      <c r="L1594">
        <v>2</v>
      </c>
      <c r="M1594">
        <v>194</v>
      </c>
      <c r="N1594">
        <v>358</v>
      </c>
      <c r="O1594">
        <v>2</v>
      </c>
      <c r="P1594">
        <v>358</v>
      </c>
      <c r="Q1594">
        <v>4</v>
      </c>
      <c r="R1594">
        <v>15</v>
      </c>
      <c r="S1594">
        <v>133</v>
      </c>
      <c r="T1594">
        <v>11</v>
      </c>
      <c r="U1594">
        <v>15</v>
      </c>
      <c r="V1594">
        <v>2</v>
      </c>
      <c r="W1594">
        <v>25</v>
      </c>
      <c r="X1594">
        <v>8</v>
      </c>
      <c r="Y1594">
        <v>79</v>
      </c>
      <c r="Z1594">
        <v>5</v>
      </c>
      <c r="AA1594">
        <v>2</v>
      </c>
      <c r="AB1594">
        <v>3</v>
      </c>
      <c r="AC1594">
        <v>3</v>
      </c>
      <c r="AD1594">
        <v>1</v>
      </c>
      <c r="AE1594">
        <v>0</v>
      </c>
      <c r="AF1594">
        <v>0</v>
      </c>
      <c r="AG1594">
        <v>1</v>
      </c>
      <c r="AH1594">
        <v>0</v>
      </c>
      <c r="AI1594">
        <v>0</v>
      </c>
      <c r="AJ1594">
        <v>0</v>
      </c>
      <c r="AK1594">
        <v>1</v>
      </c>
      <c r="AL1594">
        <v>0</v>
      </c>
      <c r="AM1594">
        <v>0</v>
      </c>
      <c r="AN1594">
        <v>3</v>
      </c>
      <c r="AT1594">
        <v>1</v>
      </c>
      <c r="AU1594">
        <v>46</v>
      </c>
      <c r="AV1594">
        <v>358</v>
      </c>
      <c r="AW1594">
        <v>358</v>
      </c>
      <c r="AX1594">
        <v>531</v>
      </c>
      <c r="BA1594">
        <v>1</v>
      </c>
      <c r="BC1594" t="s">
        <v>3285</v>
      </c>
      <c r="BD1594" s="4">
        <v>43283.474999999999</v>
      </c>
      <c r="BE1594" s="4">
        <v>43283.479097222225</v>
      </c>
      <c r="BF1594" s="4">
        <v>43283.479097222225</v>
      </c>
      <c r="BG1594" t="s">
        <v>83</v>
      </c>
      <c r="BH1594" t="s">
        <v>84</v>
      </c>
      <c r="BI1594" t="s">
        <v>85</v>
      </c>
    </row>
    <row r="1595" spans="1:61" x14ac:dyDescent="0.3">
      <c r="A1595" t="str">
        <f>"200109B0100"</f>
        <v>200109B0100</v>
      </c>
      <c r="B1595" t="s">
        <v>3286</v>
      </c>
      <c r="C1595">
        <v>20</v>
      </c>
      <c r="D1595" t="s">
        <v>79</v>
      </c>
      <c r="E1595">
        <v>8</v>
      </c>
      <c r="F1595" t="s">
        <v>3266</v>
      </c>
      <c r="G1595">
        <v>109</v>
      </c>
      <c r="H1595">
        <v>1</v>
      </c>
      <c r="I1595" t="s">
        <v>81</v>
      </c>
      <c r="J1595">
        <v>0</v>
      </c>
      <c r="K1595">
        <v>2</v>
      </c>
      <c r="L1595">
        <v>2</v>
      </c>
      <c r="M1595" t="s">
        <v>100</v>
      </c>
      <c r="N1595" t="s">
        <v>100</v>
      </c>
      <c r="O1595">
        <v>2</v>
      </c>
      <c r="P1595">
        <v>304</v>
      </c>
      <c r="Q1595">
        <v>7</v>
      </c>
      <c r="R1595">
        <v>40</v>
      </c>
      <c r="S1595">
        <v>62</v>
      </c>
      <c r="T1595">
        <v>40</v>
      </c>
      <c r="U1595">
        <v>12</v>
      </c>
      <c r="V1595">
        <v>4</v>
      </c>
      <c r="W1595">
        <v>9</v>
      </c>
      <c r="X1595">
        <v>9</v>
      </c>
      <c r="Y1595">
        <v>64</v>
      </c>
      <c r="Z1595">
        <v>6</v>
      </c>
      <c r="AA1595">
        <v>1</v>
      </c>
      <c r="AB1595">
        <v>2</v>
      </c>
      <c r="AC1595">
        <v>0</v>
      </c>
      <c r="AD1595">
        <v>2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5</v>
      </c>
      <c r="AL1595">
        <v>0</v>
      </c>
      <c r="AM1595">
        <v>0</v>
      </c>
      <c r="AN1595">
        <v>0</v>
      </c>
      <c r="AT1595">
        <v>0</v>
      </c>
      <c r="AU1595">
        <v>43</v>
      </c>
      <c r="AV1595" t="s">
        <v>100</v>
      </c>
      <c r="AW1595">
        <v>306</v>
      </c>
      <c r="AX1595">
        <v>428</v>
      </c>
      <c r="BA1595">
        <v>1</v>
      </c>
      <c r="BC1595" t="s">
        <v>3287</v>
      </c>
      <c r="BD1595" s="4">
        <v>43283.484722222223</v>
      </c>
      <c r="BE1595" s="4">
        <v>43283.490104166667</v>
      </c>
      <c r="BF1595" s="4">
        <v>43283.490104166667</v>
      </c>
      <c r="BG1595" t="s">
        <v>83</v>
      </c>
      <c r="BH1595" t="s">
        <v>84</v>
      </c>
      <c r="BI1595" t="s">
        <v>85</v>
      </c>
    </row>
    <row r="1596" spans="1:61" x14ac:dyDescent="0.3">
      <c r="A1596" t="str">
        <f>"200109E0100"</f>
        <v>200109E0100</v>
      </c>
      <c r="B1596" s="2" t="s">
        <v>3288</v>
      </c>
      <c r="C1596">
        <v>20</v>
      </c>
      <c r="D1596" t="s">
        <v>79</v>
      </c>
      <c r="E1596">
        <v>8</v>
      </c>
      <c r="F1596" t="s">
        <v>3266</v>
      </c>
      <c r="G1596">
        <v>109</v>
      </c>
      <c r="H1596">
        <v>1</v>
      </c>
      <c r="I1596" t="s">
        <v>145</v>
      </c>
      <c r="J1596">
        <v>0</v>
      </c>
      <c r="K1596">
        <v>2</v>
      </c>
      <c r="L1596">
        <v>2</v>
      </c>
      <c r="M1596">
        <v>100</v>
      </c>
      <c r="N1596">
        <v>260</v>
      </c>
      <c r="O1596">
        <v>4</v>
      </c>
      <c r="P1596">
        <v>0</v>
      </c>
      <c r="Q1596">
        <v>3</v>
      </c>
      <c r="R1596">
        <v>14</v>
      </c>
      <c r="S1596">
        <v>106</v>
      </c>
      <c r="T1596">
        <v>30</v>
      </c>
      <c r="U1596">
        <v>5</v>
      </c>
      <c r="V1596">
        <v>2</v>
      </c>
      <c r="W1596">
        <v>19</v>
      </c>
      <c r="X1596">
        <v>10</v>
      </c>
      <c r="Y1596">
        <v>36</v>
      </c>
      <c r="Z1596">
        <v>2</v>
      </c>
      <c r="AA1596">
        <v>0</v>
      </c>
      <c r="AB1596">
        <v>3</v>
      </c>
      <c r="AC1596">
        <v>0</v>
      </c>
      <c r="AD1596">
        <v>1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T1596">
        <v>0</v>
      </c>
      <c r="AU1596">
        <v>29</v>
      </c>
      <c r="AV1596">
        <v>260</v>
      </c>
      <c r="AW1596">
        <v>260</v>
      </c>
      <c r="AX1596">
        <v>338</v>
      </c>
      <c r="BA1596">
        <v>1</v>
      </c>
      <c r="BC1596" t="s">
        <v>3289</v>
      </c>
      <c r="BD1596" s="4">
        <v>43283.481944444444</v>
      </c>
      <c r="BE1596" s="4">
        <v>43283.488842592589</v>
      </c>
      <c r="BF1596" s="4">
        <v>43283.488842592589</v>
      </c>
      <c r="BG1596" t="s">
        <v>83</v>
      </c>
      <c r="BH1596" t="s">
        <v>84</v>
      </c>
      <c r="BI1596" t="s">
        <v>85</v>
      </c>
    </row>
    <row r="1597" spans="1:61" x14ac:dyDescent="0.3">
      <c r="A1597" t="str">
        <f>"200110B0100"</f>
        <v>200110B0100</v>
      </c>
      <c r="B1597" t="s">
        <v>3290</v>
      </c>
      <c r="C1597">
        <v>20</v>
      </c>
      <c r="D1597" t="s">
        <v>79</v>
      </c>
      <c r="E1597">
        <v>8</v>
      </c>
      <c r="F1597" t="s">
        <v>3266</v>
      </c>
      <c r="G1597">
        <v>110</v>
      </c>
      <c r="H1597">
        <v>1</v>
      </c>
      <c r="I1597" t="s">
        <v>81</v>
      </c>
      <c r="J1597">
        <v>0</v>
      </c>
      <c r="K1597">
        <v>2</v>
      </c>
      <c r="L1597">
        <v>2</v>
      </c>
      <c r="M1597">
        <v>207</v>
      </c>
      <c r="N1597" t="s">
        <v>100</v>
      </c>
      <c r="O1597" t="s">
        <v>100</v>
      </c>
      <c r="P1597" t="s">
        <v>100</v>
      </c>
      <c r="Q1597">
        <v>2</v>
      </c>
      <c r="R1597">
        <v>14</v>
      </c>
      <c r="S1597">
        <v>160</v>
      </c>
      <c r="T1597">
        <v>28</v>
      </c>
      <c r="U1597">
        <v>6</v>
      </c>
      <c r="V1597">
        <v>1</v>
      </c>
      <c r="W1597">
        <v>2</v>
      </c>
      <c r="X1597">
        <v>27</v>
      </c>
      <c r="Y1597">
        <v>45</v>
      </c>
      <c r="Z1597">
        <v>3</v>
      </c>
      <c r="AA1597">
        <v>0</v>
      </c>
      <c r="AB1597">
        <v>1</v>
      </c>
      <c r="AC1597">
        <v>0</v>
      </c>
      <c r="AD1597">
        <v>2</v>
      </c>
      <c r="AE1597">
        <v>0</v>
      </c>
      <c r="AF1597">
        <v>2</v>
      </c>
      <c r="AG1597">
        <v>0</v>
      </c>
      <c r="AH1597">
        <v>0</v>
      </c>
      <c r="AI1597">
        <v>0</v>
      </c>
      <c r="AJ1597">
        <v>1</v>
      </c>
      <c r="AK1597">
        <v>1</v>
      </c>
      <c r="AL1597">
        <v>0</v>
      </c>
      <c r="AM1597">
        <v>0</v>
      </c>
      <c r="AN1597">
        <v>0</v>
      </c>
      <c r="AT1597">
        <v>0</v>
      </c>
      <c r="AU1597">
        <v>38</v>
      </c>
      <c r="AV1597">
        <v>333</v>
      </c>
      <c r="AW1597">
        <v>333</v>
      </c>
      <c r="AX1597">
        <v>518</v>
      </c>
      <c r="BA1597">
        <v>1</v>
      </c>
      <c r="BC1597" t="s">
        <v>3291</v>
      </c>
      <c r="BD1597" s="4">
        <v>43283.47152777778</v>
      </c>
      <c r="BE1597" s="4">
        <v>43283.474976851852</v>
      </c>
      <c r="BF1597" s="4">
        <v>43283.474976851852</v>
      </c>
      <c r="BG1597" t="s">
        <v>83</v>
      </c>
      <c r="BH1597" t="s">
        <v>84</v>
      </c>
      <c r="BI1597" t="s">
        <v>85</v>
      </c>
    </row>
    <row r="1598" spans="1:61" x14ac:dyDescent="0.3">
      <c r="A1598" t="str">
        <f>"200110E0100"</f>
        <v>200110E0100</v>
      </c>
      <c r="B1598" s="2" t="s">
        <v>3292</v>
      </c>
      <c r="C1598">
        <v>20</v>
      </c>
      <c r="D1598" t="s">
        <v>79</v>
      </c>
      <c r="E1598">
        <v>8</v>
      </c>
      <c r="F1598" t="s">
        <v>3266</v>
      </c>
      <c r="G1598">
        <v>110</v>
      </c>
      <c r="H1598">
        <v>1</v>
      </c>
      <c r="I1598" t="s">
        <v>145</v>
      </c>
      <c r="J1598">
        <v>0</v>
      </c>
      <c r="K1598">
        <v>2</v>
      </c>
      <c r="L1598">
        <v>2</v>
      </c>
      <c r="M1598">
        <v>124</v>
      </c>
      <c r="N1598">
        <v>180</v>
      </c>
      <c r="O1598">
        <v>9</v>
      </c>
      <c r="P1598">
        <v>180</v>
      </c>
      <c r="Q1598">
        <v>3</v>
      </c>
      <c r="R1598">
        <v>17</v>
      </c>
      <c r="S1598">
        <v>64</v>
      </c>
      <c r="T1598">
        <v>24</v>
      </c>
      <c r="U1598">
        <v>3</v>
      </c>
      <c r="V1598">
        <v>3</v>
      </c>
      <c r="W1598">
        <v>5</v>
      </c>
      <c r="X1598">
        <v>4</v>
      </c>
      <c r="Y1598">
        <v>37</v>
      </c>
      <c r="Z1598">
        <v>0</v>
      </c>
      <c r="AA1598">
        <v>0</v>
      </c>
      <c r="AB1598">
        <v>1</v>
      </c>
      <c r="AC1598">
        <v>1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1</v>
      </c>
      <c r="AL1598">
        <v>0</v>
      </c>
      <c r="AM1598">
        <v>0</v>
      </c>
      <c r="AN1598">
        <v>0</v>
      </c>
      <c r="AT1598">
        <v>0</v>
      </c>
      <c r="AU1598">
        <v>17</v>
      </c>
      <c r="AV1598">
        <v>180</v>
      </c>
      <c r="AW1598">
        <v>180</v>
      </c>
      <c r="AX1598">
        <v>282</v>
      </c>
      <c r="BA1598">
        <v>1</v>
      </c>
      <c r="BC1598" t="s">
        <v>3293</v>
      </c>
      <c r="BD1598" s="4">
        <v>43283.47152777778</v>
      </c>
      <c r="BE1598" s="4">
        <v>43283.475601851853</v>
      </c>
      <c r="BF1598" s="4">
        <v>43283.475601851853</v>
      </c>
      <c r="BG1598" t="s">
        <v>83</v>
      </c>
      <c r="BH1598" t="s">
        <v>84</v>
      </c>
      <c r="BI1598" t="s">
        <v>85</v>
      </c>
    </row>
    <row r="1599" spans="1:61" x14ac:dyDescent="0.3">
      <c r="A1599" t="str">
        <f>"200255B0100"</f>
        <v>200255B0100</v>
      </c>
      <c r="B1599" t="s">
        <v>3294</v>
      </c>
      <c r="C1599">
        <v>20</v>
      </c>
      <c r="D1599" t="s">
        <v>79</v>
      </c>
      <c r="E1599">
        <v>8</v>
      </c>
      <c r="F1599" t="s">
        <v>3266</v>
      </c>
      <c r="G1599">
        <v>255</v>
      </c>
      <c r="H1599">
        <v>1</v>
      </c>
      <c r="I1599" t="s">
        <v>81</v>
      </c>
      <c r="J1599">
        <v>0</v>
      </c>
      <c r="K1599">
        <v>2</v>
      </c>
      <c r="L1599">
        <v>2</v>
      </c>
      <c r="M1599" t="s">
        <v>100</v>
      </c>
      <c r="N1599" t="s">
        <v>100</v>
      </c>
      <c r="O1599" t="s">
        <v>100</v>
      </c>
      <c r="P1599" t="s">
        <v>100</v>
      </c>
      <c r="Q1599">
        <v>7</v>
      </c>
      <c r="R1599">
        <v>10</v>
      </c>
      <c r="S1599">
        <v>18</v>
      </c>
      <c r="T1599">
        <v>3</v>
      </c>
      <c r="U1599">
        <v>5</v>
      </c>
      <c r="V1599">
        <v>1</v>
      </c>
      <c r="W1599">
        <v>4</v>
      </c>
      <c r="X1599">
        <v>1</v>
      </c>
      <c r="Y1599">
        <v>90</v>
      </c>
      <c r="Z1599">
        <v>3</v>
      </c>
      <c r="AA1599">
        <v>1</v>
      </c>
      <c r="AB1599">
        <v>1</v>
      </c>
      <c r="AC1599" t="s">
        <v>100</v>
      </c>
      <c r="AD1599" t="s">
        <v>100</v>
      </c>
      <c r="AE1599" t="s">
        <v>100</v>
      </c>
      <c r="AF1599" t="s">
        <v>100</v>
      </c>
      <c r="AG1599" t="s">
        <v>100</v>
      </c>
      <c r="AH1599" t="s">
        <v>100</v>
      </c>
      <c r="AI1599" t="s">
        <v>100</v>
      </c>
      <c r="AJ1599" t="s">
        <v>100</v>
      </c>
      <c r="AK1599">
        <v>4</v>
      </c>
      <c r="AL1599" t="s">
        <v>100</v>
      </c>
      <c r="AM1599" t="s">
        <v>100</v>
      </c>
      <c r="AN1599" t="s">
        <v>100</v>
      </c>
      <c r="AT1599" t="s">
        <v>100</v>
      </c>
      <c r="AU1599">
        <v>5</v>
      </c>
      <c r="AV1599">
        <v>153</v>
      </c>
      <c r="AW1599">
        <v>153</v>
      </c>
      <c r="AX1599">
        <v>390</v>
      </c>
      <c r="AZ1599" t="s">
        <v>101</v>
      </c>
      <c r="BA1599">
        <v>1</v>
      </c>
      <c r="BC1599" t="s">
        <v>3295</v>
      </c>
      <c r="BD1599" s="4">
        <v>43283.574999999997</v>
      </c>
      <c r="BE1599" s="4">
        <v>43283.578726851854</v>
      </c>
      <c r="BF1599" s="4">
        <v>43283.578726851854</v>
      </c>
      <c r="BG1599" t="s">
        <v>83</v>
      </c>
      <c r="BH1599" t="s">
        <v>84</v>
      </c>
      <c r="BI1599" t="s">
        <v>85</v>
      </c>
    </row>
    <row r="1600" spans="1:61" x14ac:dyDescent="0.3">
      <c r="A1600" t="str">
        <f>"200255C0100"</f>
        <v>200255C0100</v>
      </c>
      <c r="B1600" t="s">
        <v>3296</v>
      </c>
      <c r="C1600">
        <v>20</v>
      </c>
      <c r="D1600" t="s">
        <v>79</v>
      </c>
      <c r="E1600">
        <v>8</v>
      </c>
      <c r="F1600" t="s">
        <v>3266</v>
      </c>
      <c r="G1600">
        <v>255</v>
      </c>
      <c r="H1600">
        <v>1</v>
      </c>
      <c r="I1600" t="s">
        <v>89</v>
      </c>
      <c r="J1600">
        <v>0</v>
      </c>
      <c r="K1600">
        <v>2</v>
      </c>
      <c r="L1600">
        <v>2</v>
      </c>
      <c r="M1600">
        <v>283</v>
      </c>
      <c r="N1600">
        <v>128</v>
      </c>
      <c r="O1600">
        <v>1</v>
      </c>
      <c r="P1600">
        <v>128</v>
      </c>
      <c r="Q1600">
        <v>6</v>
      </c>
      <c r="R1600">
        <v>8</v>
      </c>
      <c r="S1600">
        <v>19</v>
      </c>
      <c r="T1600">
        <v>2</v>
      </c>
      <c r="U1600">
        <v>8</v>
      </c>
      <c r="V1600">
        <v>6</v>
      </c>
      <c r="W1600">
        <v>0</v>
      </c>
      <c r="X1600">
        <v>4</v>
      </c>
      <c r="Y1600">
        <v>59</v>
      </c>
      <c r="Z1600">
        <v>3</v>
      </c>
      <c r="AA1600">
        <v>1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4</v>
      </c>
      <c r="AL1600">
        <v>0</v>
      </c>
      <c r="AM1600">
        <v>1</v>
      </c>
      <c r="AN1600">
        <v>1</v>
      </c>
      <c r="AT1600">
        <v>0</v>
      </c>
      <c r="AU1600">
        <v>6</v>
      </c>
      <c r="AV1600">
        <v>128</v>
      </c>
      <c r="AW1600">
        <v>128</v>
      </c>
      <c r="AX1600">
        <v>389</v>
      </c>
      <c r="BA1600">
        <v>1</v>
      </c>
      <c r="BC1600" t="s">
        <v>3297</v>
      </c>
      <c r="BD1600" s="4">
        <v>43283.574305555558</v>
      </c>
      <c r="BE1600" s="4">
        <v>43283.579837962963</v>
      </c>
      <c r="BF1600" s="4">
        <v>43283.579837962963</v>
      </c>
      <c r="BG1600" t="s">
        <v>83</v>
      </c>
      <c r="BH1600" t="s">
        <v>84</v>
      </c>
      <c r="BI1600" t="s">
        <v>85</v>
      </c>
    </row>
    <row r="1601" spans="1:61" x14ac:dyDescent="0.3">
      <c r="A1601" t="str">
        <f>"200256B0100"</f>
        <v>200256B0100</v>
      </c>
      <c r="B1601" t="s">
        <v>3298</v>
      </c>
      <c r="C1601">
        <v>20</v>
      </c>
      <c r="D1601" t="s">
        <v>79</v>
      </c>
      <c r="E1601">
        <v>8</v>
      </c>
      <c r="F1601" t="s">
        <v>3266</v>
      </c>
      <c r="G1601">
        <v>256</v>
      </c>
      <c r="H1601">
        <v>1</v>
      </c>
      <c r="I1601" t="s">
        <v>81</v>
      </c>
      <c r="J1601">
        <v>0</v>
      </c>
      <c r="K1601">
        <v>2</v>
      </c>
      <c r="L1601">
        <v>2</v>
      </c>
      <c r="M1601">
        <v>87</v>
      </c>
      <c r="N1601">
        <v>81</v>
      </c>
      <c r="O1601">
        <v>2</v>
      </c>
      <c r="P1601">
        <v>81</v>
      </c>
      <c r="Q1601">
        <v>3</v>
      </c>
      <c r="R1601">
        <v>1</v>
      </c>
      <c r="S1601">
        <v>3</v>
      </c>
      <c r="T1601">
        <v>3</v>
      </c>
      <c r="U1601">
        <v>2</v>
      </c>
      <c r="V1601">
        <v>0</v>
      </c>
      <c r="W1601">
        <v>0</v>
      </c>
      <c r="X1601">
        <v>0</v>
      </c>
      <c r="Y1601">
        <v>68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1</v>
      </c>
      <c r="AL1601">
        <v>0</v>
      </c>
      <c r="AM1601">
        <v>0</v>
      </c>
      <c r="AN1601">
        <v>0</v>
      </c>
      <c r="AT1601">
        <v>0</v>
      </c>
      <c r="AU1601">
        <v>0</v>
      </c>
      <c r="AV1601">
        <v>81</v>
      </c>
      <c r="AW1601">
        <v>81</v>
      </c>
      <c r="AX1601">
        <v>145</v>
      </c>
      <c r="BA1601">
        <v>1</v>
      </c>
      <c r="BC1601" t="s">
        <v>3299</v>
      </c>
      <c r="BD1601" s="4">
        <v>43283.573611111111</v>
      </c>
      <c r="BE1601" s="4">
        <v>43283.579340277778</v>
      </c>
      <c r="BF1601" s="4">
        <v>43283.579340277778</v>
      </c>
      <c r="BG1601" t="s">
        <v>83</v>
      </c>
      <c r="BH1601" t="s">
        <v>84</v>
      </c>
      <c r="BI1601" t="s">
        <v>85</v>
      </c>
    </row>
    <row r="1602" spans="1:61" x14ac:dyDescent="0.3">
      <c r="A1602" t="str">
        <f>"200257B0100"</f>
        <v>200257B0100</v>
      </c>
      <c r="B1602" t="s">
        <v>3300</v>
      </c>
      <c r="C1602">
        <v>20</v>
      </c>
      <c r="D1602" t="s">
        <v>79</v>
      </c>
      <c r="E1602">
        <v>8</v>
      </c>
      <c r="F1602" t="s">
        <v>3266</v>
      </c>
      <c r="G1602">
        <v>257</v>
      </c>
      <c r="H1602">
        <v>1</v>
      </c>
      <c r="I1602" t="s">
        <v>81</v>
      </c>
      <c r="J1602">
        <v>0</v>
      </c>
      <c r="K1602">
        <v>2</v>
      </c>
      <c r="L1602">
        <v>2</v>
      </c>
      <c r="M1602">
        <v>94</v>
      </c>
      <c r="N1602">
        <v>73</v>
      </c>
      <c r="O1602">
        <v>1</v>
      </c>
      <c r="P1602">
        <v>73</v>
      </c>
      <c r="Q1602">
        <v>3</v>
      </c>
      <c r="R1602">
        <v>23</v>
      </c>
      <c r="S1602">
        <v>6</v>
      </c>
      <c r="T1602">
        <v>0</v>
      </c>
      <c r="U1602">
        <v>4</v>
      </c>
      <c r="V1602">
        <v>1</v>
      </c>
      <c r="W1602">
        <v>1</v>
      </c>
      <c r="X1602">
        <v>0</v>
      </c>
      <c r="Y1602">
        <v>31</v>
      </c>
      <c r="Z1602">
        <v>1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1</v>
      </c>
      <c r="AL1602">
        <v>0</v>
      </c>
      <c r="AM1602">
        <v>0</v>
      </c>
      <c r="AN1602">
        <v>0</v>
      </c>
      <c r="AT1602">
        <v>0</v>
      </c>
      <c r="AU1602">
        <v>2</v>
      </c>
      <c r="AV1602">
        <v>73</v>
      </c>
      <c r="AW1602">
        <v>73</v>
      </c>
      <c r="AX1602">
        <v>145</v>
      </c>
      <c r="BA1602">
        <v>1</v>
      </c>
      <c r="BC1602" t="s">
        <v>3301</v>
      </c>
      <c r="BD1602" s="4">
        <v>43283.572916666664</v>
      </c>
      <c r="BE1602" s="4">
        <v>43283.578449074077</v>
      </c>
      <c r="BF1602" s="4">
        <v>43283.578449074077</v>
      </c>
      <c r="BG1602" t="s">
        <v>83</v>
      </c>
      <c r="BH1602" t="s">
        <v>84</v>
      </c>
      <c r="BI1602" t="s">
        <v>85</v>
      </c>
    </row>
    <row r="1603" spans="1:61" x14ac:dyDescent="0.3">
      <c r="A1603" t="str">
        <f>"200375B0100"</f>
        <v>200375B0100</v>
      </c>
      <c r="B1603" t="s">
        <v>3302</v>
      </c>
      <c r="C1603">
        <v>20</v>
      </c>
      <c r="D1603" t="s">
        <v>79</v>
      </c>
      <c r="E1603">
        <v>8</v>
      </c>
      <c r="F1603" t="s">
        <v>3266</v>
      </c>
      <c r="G1603">
        <v>375</v>
      </c>
      <c r="H1603">
        <v>1</v>
      </c>
      <c r="I1603" t="s">
        <v>81</v>
      </c>
      <c r="J1603">
        <v>0</v>
      </c>
      <c r="K1603">
        <v>2</v>
      </c>
      <c r="L1603">
        <v>2</v>
      </c>
      <c r="M1603">
        <v>222</v>
      </c>
      <c r="N1603">
        <v>376</v>
      </c>
      <c r="O1603">
        <v>4</v>
      </c>
      <c r="P1603">
        <v>375</v>
      </c>
      <c r="Q1603">
        <v>4</v>
      </c>
      <c r="R1603">
        <v>53</v>
      </c>
      <c r="S1603">
        <v>52</v>
      </c>
      <c r="T1603">
        <v>8</v>
      </c>
      <c r="U1603">
        <v>31</v>
      </c>
      <c r="V1603">
        <v>7</v>
      </c>
      <c r="W1603">
        <v>1</v>
      </c>
      <c r="X1603">
        <v>7</v>
      </c>
      <c r="Y1603">
        <v>162</v>
      </c>
      <c r="Z1603">
        <v>5</v>
      </c>
      <c r="AA1603">
        <v>2</v>
      </c>
      <c r="AB1603">
        <v>3</v>
      </c>
      <c r="AC1603">
        <v>1</v>
      </c>
      <c r="AD1603">
        <v>0</v>
      </c>
      <c r="AE1603">
        <v>0</v>
      </c>
      <c r="AF1603">
        <v>1</v>
      </c>
      <c r="AG1603">
        <v>0</v>
      </c>
      <c r="AH1603">
        <v>0</v>
      </c>
      <c r="AI1603">
        <v>0</v>
      </c>
      <c r="AJ1603">
        <v>0</v>
      </c>
      <c r="AK1603">
        <v>7</v>
      </c>
      <c r="AL1603">
        <v>1</v>
      </c>
      <c r="AM1603">
        <v>0</v>
      </c>
      <c r="AN1603">
        <v>1</v>
      </c>
      <c r="AT1603">
        <v>0</v>
      </c>
      <c r="AU1603">
        <v>29</v>
      </c>
      <c r="AV1603">
        <v>375</v>
      </c>
      <c r="AW1603">
        <v>375</v>
      </c>
      <c r="AX1603">
        <v>575</v>
      </c>
      <c r="BA1603">
        <v>1</v>
      </c>
      <c r="BC1603" t="s">
        <v>3303</v>
      </c>
      <c r="BD1603" s="4">
        <v>43283.151388888888</v>
      </c>
      <c r="BE1603" s="4">
        <v>43283.160520833335</v>
      </c>
      <c r="BF1603" s="4">
        <v>43283.160520833335</v>
      </c>
      <c r="BG1603" t="s">
        <v>83</v>
      </c>
      <c r="BH1603" t="s">
        <v>84</v>
      </c>
      <c r="BI1603" t="s">
        <v>85</v>
      </c>
    </row>
    <row r="1604" spans="1:61" x14ac:dyDescent="0.3">
      <c r="A1604" t="str">
        <f>"200375E0100"</f>
        <v>200375E0100</v>
      </c>
      <c r="B1604" s="2" t="s">
        <v>3304</v>
      </c>
      <c r="C1604">
        <v>20</v>
      </c>
      <c r="D1604" t="s">
        <v>79</v>
      </c>
      <c r="E1604">
        <v>8</v>
      </c>
      <c r="F1604" t="s">
        <v>3266</v>
      </c>
      <c r="G1604">
        <v>375</v>
      </c>
      <c r="H1604">
        <v>1</v>
      </c>
      <c r="I1604" t="s">
        <v>145</v>
      </c>
      <c r="J1604">
        <v>0</v>
      </c>
      <c r="K1604">
        <v>2</v>
      </c>
      <c r="L1604">
        <v>2</v>
      </c>
      <c r="M1604">
        <v>122</v>
      </c>
      <c r="N1604">
        <v>254</v>
      </c>
      <c r="O1604">
        <v>4</v>
      </c>
      <c r="P1604">
        <v>254</v>
      </c>
      <c r="Q1604">
        <v>11</v>
      </c>
      <c r="R1604">
        <v>10</v>
      </c>
      <c r="S1604">
        <v>107</v>
      </c>
      <c r="T1604">
        <v>4</v>
      </c>
      <c r="U1604">
        <v>14</v>
      </c>
      <c r="V1604">
        <v>6</v>
      </c>
      <c r="W1604">
        <v>2</v>
      </c>
      <c r="X1604">
        <v>4</v>
      </c>
      <c r="Y1604">
        <v>59</v>
      </c>
      <c r="Z1604">
        <v>3</v>
      </c>
      <c r="AA1604">
        <v>4</v>
      </c>
      <c r="AB1604">
        <v>6</v>
      </c>
      <c r="AC1604">
        <v>1</v>
      </c>
      <c r="AD1604">
        <v>0</v>
      </c>
      <c r="AE1604">
        <v>0</v>
      </c>
      <c r="AF1604">
        <v>1</v>
      </c>
      <c r="AG1604">
        <v>0</v>
      </c>
      <c r="AH1604">
        <v>0</v>
      </c>
      <c r="AI1604">
        <v>0</v>
      </c>
      <c r="AJ1604">
        <v>0</v>
      </c>
      <c r="AK1604">
        <v>2</v>
      </c>
      <c r="AL1604">
        <v>1</v>
      </c>
      <c r="AM1604">
        <v>0</v>
      </c>
      <c r="AN1604">
        <v>1</v>
      </c>
      <c r="AT1604">
        <v>0</v>
      </c>
      <c r="AU1604">
        <v>18</v>
      </c>
      <c r="AV1604" t="s">
        <v>100</v>
      </c>
      <c r="AW1604">
        <v>254</v>
      </c>
      <c r="AX1604">
        <v>354</v>
      </c>
      <c r="BA1604">
        <v>1</v>
      </c>
      <c r="BC1604" t="s">
        <v>3305</v>
      </c>
      <c r="BD1604" s="4">
        <v>43283.15902777778</v>
      </c>
      <c r="BE1604" s="4">
        <v>43283.169062499997</v>
      </c>
      <c r="BF1604" s="4">
        <v>43283.169062499997</v>
      </c>
      <c r="BG1604" t="s">
        <v>83</v>
      </c>
      <c r="BH1604" t="s">
        <v>84</v>
      </c>
      <c r="BI1604" t="s">
        <v>85</v>
      </c>
    </row>
    <row r="1605" spans="1:61" x14ac:dyDescent="0.3">
      <c r="A1605" t="str">
        <f>"200376B0100"</f>
        <v>200376B0100</v>
      </c>
      <c r="B1605" t="s">
        <v>3306</v>
      </c>
      <c r="C1605">
        <v>20</v>
      </c>
      <c r="D1605" t="s">
        <v>79</v>
      </c>
      <c r="E1605">
        <v>8</v>
      </c>
      <c r="F1605" t="s">
        <v>3266</v>
      </c>
      <c r="G1605">
        <v>376</v>
      </c>
      <c r="H1605">
        <v>1</v>
      </c>
      <c r="I1605" t="s">
        <v>81</v>
      </c>
      <c r="J1605">
        <v>0</v>
      </c>
      <c r="K1605">
        <v>2</v>
      </c>
      <c r="L1605">
        <v>2</v>
      </c>
      <c r="M1605">
        <v>189</v>
      </c>
      <c r="N1605">
        <v>242</v>
      </c>
      <c r="O1605">
        <v>2</v>
      </c>
      <c r="P1605">
        <v>242</v>
      </c>
      <c r="Q1605">
        <v>3</v>
      </c>
      <c r="R1605">
        <v>17</v>
      </c>
      <c r="S1605">
        <v>43</v>
      </c>
      <c r="T1605">
        <v>4</v>
      </c>
      <c r="U1605">
        <v>16</v>
      </c>
      <c r="V1605">
        <v>2</v>
      </c>
      <c r="W1605">
        <v>5</v>
      </c>
      <c r="X1605">
        <v>7</v>
      </c>
      <c r="Y1605">
        <v>120</v>
      </c>
      <c r="Z1605">
        <v>3</v>
      </c>
      <c r="AA1605">
        <v>0</v>
      </c>
      <c r="AB1605">
        <v>1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5</v>
      </c>
      <c r="AL1605">
        <v>0</v>
      </c>
      <c r="AM1605">
        <v>0</v>
      </c>
      <c r="AN1605">
        <v>0</v>
      </c>
      <c r="AT1605">
        <v>0</v>
      </c>
      <c r="AU1605">
        <v>16</v>
      </c>
      <c r="AV1605">
        <v>242</v>
      </c>
      <c r="AW1605">
        <v>242</v>
      </c>
      <c r="AX1605">
        <v>409</v>
      </c>
      <c r="BA1605">
        <v>1</v>
      </c>
      <c r="BC1605" t="s">
        <v>3307</v>
      </c>
      <c r="BD1605" s="4">
        <v>43283.15</v>
      </c>
      <c r="BE1605" s="4">
        <v>43283.157372685186</v>
      </c>
      <c r="BF1605" s="4">
        <v>43283.157372685186</v>
      </c>
      <c r="BG1605" t="s">
        <v>83</v>
      </c>
      <c r="BH1605" t="s">
        <v>84</v>
      </c>
      <c r="BI1605" t="s">
        <v>85</v>
      </c>
    </row>
    <row r="1606" spans="1:61" x14ac:dyDescent="0.3">
      <c r="A1606" t="str">
        <f>"200376C0100"</f>
        <v>200376C0100</v>
      </c>
      <c r="B1606" t="s">
        <v>3308</v>
      </c>
      <c r="C1606">
        <v>20</v>
      </c>
      <c r="D1606" t="s">
        <v>79</v>
      </c>
      <c r="E1606">
        <v>8</v>
      </c>
      <c r="F1606" t="s">
        <v>3266</v>
      </c>
      <c r="G1606">
        <v>376</v>
      </c>
      <c r="H1606">
        <v>1</v>
      </c>
      <c r="I1606" t="s">
        <v>89</v>
      </c>
      <c r="J1606">
        <v>0</v>
      </c>
      <c r="K1606">
        <v>2</v>
      </c>
      <c r="L1606">
        <v>2</v>
      </c>
      <c r="M1606">
        <v>176</v>
      </c>
      <c r="N1606">
        <v>255</v>
      </c>
      <c r="O1606">
        <v>2</v>
      </c>
      <c r="P1606">
        <v>255</v>
      </c>
      <c r="Q1606">
        <v>6</v>
      </c>
      <c r="R1606">
        <v>15</v>
      </c>
      <c r="S1606">
        <v>36</v>
      </c>
      <c r="T1606">
        <v>3</v>
      </c>
      <c r="U1606">
        <v>17</v>
      </c>
      <c r="V1606">
        <v>2</v>
      </c>
      <c r="W1606">
        <v>3</v>
      </c>
      <c r="X1606">
        <v>2</v>
      </c>
      <c r="Y1606">
        <v>140</v>
      </c>
      <c r="Z1606">
        <v>5</v>
      </c>
      <c r="AA1606">
        <v>2</v>
      </c>
      <c r="AB1606">
        <v>2</v>
      </c>
      <c r="AC1606">
        <v>1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3</v>
      </c>
      <c r="AL1606">
        <v>1</v>
      </c>
      <c r="AM1606">
        <v>1</v>
      </c>
      <c r="AN1606">
        <v>3</v>
      </c>
      <c r="AT1606">
        <v>0</v>
      </c>
      <c r="AU1606">
        <v>13</v>
      </c>
      <c r="AV1606">
        <v>255</v>
      </c>
      <c r="AW1606">
        <v>255</v>
      </c>
      <c r="AX1606">
        <v>409</v>
      </c>
      <c r="BA1606">
        <v>1</v>
      </c>
      <c r="BC1606" t="s">
        <v>3309</v>
      </c>
      <c r="BD1606" s="4">
        <v>43283.15625</v>
      </c>
      <c r="BE1606" s="4">
        <v>43283.171296296299</v>
      </c>
      <c r="BF1606" s="4">
        <v>43283.171296296299</v>
      </c>
      <c r="BG1606" t="s">
        <v>83</v>
      </c>
      <c r="BH1606" t="s">
        <v>84</v>
      </c>
      <c r="BI1606" t="s">
        <v>85</v>
      </c>
    </row>
    <row r="1607" spans="1:61" x14ac:dyDescent="0.3">
      <c r="A1607" t="str">
        <f>"200377B0100"</f>
        <v>200377B0100</v>
      </c>
      <c r="B1607" t="s">
        <v>3310</v>
      </c>
      <c r="C1607">
        <v>20</v>
      </c>
      <c r="D1607" t="s">
        <v>79</v>
      </c>
      <c r="E1607">
        <v>8</v>
      </c>
      <c r="F1607" t="s">
        <v>3266</v>
      </c>
      <c r="G1607">
        <v>377</v>
      </c>
      <c r="H1607">
        <v>1</v>
      </c>
      <c r="I1607" t="s">
        <v>81</v>
      </c>
      <c r="J1607">
        <v>0</v>
      </c>
      <c r="K1607">
        <v>2</v>
      </c>
      <c r="L1607">
        <v>2</v>
      </c>
      <c r="M1607">
        <v>196</v>
      </c>
      <c r="N1607">
        <v>269</v>
      </c>
      <c r="O1607">
        <v>6</v>
      </c>
      <c r="P1607">
        <v>269</v>
      </c>
      <c r="Q1607">
        <v>4</v>
      </c>
      <c r="R1607">
        <v>6</v>
      </c>
      <c r="S1607">
        <v>114</v>
      </c>
      <c r="T1607">
        <v>4</v>
      </c>
      <c r="U1607">
        <v>13</v>
      </c>
      <c r="V1607">
        <v>5</v>
      </c>
      <c r="W1607">
        <v>4</v>
      </c>
      <c r="X1607">
        <v>1</v>
      </c>
      <c r="Y1607">
        <v>91</v>
      </c>
      <c r="Z1607">
        <v>2</v>
      </c>
      <c r="AA1607">
        <v>0</v>
      </c>
      <c r="AB1607">
        <v>2</v>
      </c>
      <c r="AC1607">
        <v>1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7</v>
      </c>
      <c r="AL1607">
        <v>1</v>
      </c>
      <c r="AM1607">
        <v>0</v>
      </c>
      <c r="AN1607">
        <v>0</v>
      </c>
      <c r="AT1607">
        <v>0</v>
      </c>
      <c r="AU1607">
        <v>14</v>
      </c>
      <c r="AV1607">
        <v>269</v>
      </c>
      <c r="AW1607">
        <v>269</v>
      </c>
      <c r="AX1607">
        <v>433</v>
      </c>
      <c r="BA1607">
        <v>1</v>
      </c>
      <c r="BC1607" t="s">
        <v>3311</v>
      </c>
      <c r="BD1607" s="4">
        <v>43283.150694444441</v>
      </c>
      <c r="BE1607" s="4">
        <v>43283.160231481481</v>
      </c>
      <c r="BF1607" s="4">
        <v>43283.160231481481</v>
      </c>
      <c r="BG1607" t="s">
        <v>83</v>
      </c>
      <c r="BH1607" t="s">
        <v>84</v>
      </c>
      <c r="BI1607" t="s">
        <v>85</v>
      </c>
    </row>
    <row r="1608" spans="1:61" x14ac:dyDescent="0.3">
      <c r="A1608" t="str">
        <f>"200377C0100"</f>
        <v>200377C0100</v>
      </c>
      <c r="B1608" t="s">
        <v>3312</v>
      </c>
      <c r="C1608">
        <v>20</v>
      </c>
      <c r="D1608" t="s">
        <v>79</v>
      </c>
      <c r="E1608">
        <v>8</v>
      </c>
      <c r="F1608" t="s">
        <v>3266</v>
      </c>
      <c r="G1608">
        <v>377</v>
      </c>
      <c r="H1608">
        <v>1</v>
      </c>
      <c r="I1608" t="s">
        <v>89</v>
      </c>
      <c r="J1608">
        <v>0</v>
      </c>
      <c r="K1608">
        <v>2</v>
      </c>
      <c r="L1608">
        <v>2</v>
      </c>
      <c r="M1608">
        <v>195</v>
      </c>
      <c r="N1608">
        <v>259</v>
      </c>
      <c r="O1608">
        <v>2</v>
      </c>
      <c r="P1608">
        <v>259</v>
      </c>
      <c r="Q1608">
        <v>6</v>
      </c>
      <c r="R1608">
        <v>5</v>
      </c>
      <c r="S1608">
        <v>84</v>
      </c>
      <c r="T1608">
        <v>6</v>
      </c>
      <c r="U1608">
        <v>13</v>
      </c>
      <c r="V1608">
        <v>5</v>
      </c>
      <c r="W1608">
        <v>3</v>
      </c>
      <c r="X1608">
        <v>5</v>
      </c>
      <c r="Y1608">
        <v>106</v>
      </c>
      <c r="Z1608">
        <v>2</v>
      </c>
      <c r="AA1608">
        <v>1</v>
      </c>
      <c r="AB1608">
        <v>0</v>
      </c>
      <c r="AC1608">
        <v>0</v>
      </c>
      <c r="AD1608">
        <v>1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1</v>
      </c>
      <c r="AL1608">
        <v>2</v>
      </c>
      <c r="AM1608">
        <v>0</v>
      </c>
      <c r="AN1608">
        <v>0</v>
      </c>
      <c r="AT1608">
        <v>0</v>
      </c>
      <c r="AU1608">
        <v>19</v>
      </c>
      <c r="AV1608">
        <v>259</v>
      </c>
      <c r="AW1608">
        <v>259</v>
      </c>
      <c r="AX1608">
        <v>432</v>
      </c>
      <c r="BA1608">
        <v>1</v>
      </c>
      <c r="BC1608" t="s">
        <v>3313</v>
      </c>
      <c r="BD1608" s="4">
        <v>43283.154861111114</v>
      </c>
      <c r="BE1608" s="4">
        <v>43283.168888888889</v>
      </c>
      <c r="BF1608" s="4">
        <v>43283.168888888889</v>
      </c>
      <c r="BG1608" t="s">
        <v>83</v>
      </c>
      <c r="BH1608" t="s">
        <v>84</v>
      </c>
      <c r="BI1608" t="s">
        <v>85</v>
      </c>
    </row>
    <row r="1609" spans="1:61" x14ac:dyDescent="0.3">
      <c r="A1609" t="str">
        <f>"200712B0100"</f>
        <v>200712B0100</v>
      </c>
      <c r="B1609" t="s">
        <v>3314</v>
      </c>
      <c r="C1609">
        <v>20</v>
      </c>
      <c r="D1609" t="s">
        <v>79</v>
      </c>
      <c r="E1609">
        <v>8</v>
      </c>
      <c r="F1609" t="s">
        <v>3266</v>
      </c>
      <c r="G1609">
        <v>712</v>
      </c>
      <c r="H1609">
        <v>1</v>
      </c>
      <c r="I1609" t="s">
        <v>81</v>
      </c>
      <c r="J1609">
        <v>0</v>
      </c>
      <c r="K1609">
        <v>2</v>
      </c>
      <c r="L1609">
        <v>2</v>
      </c>
      <c r="M1609" t="s">
        <v>100</v>
      </c>
      <c r="N1609" t="s">
        <v>100</v>
      </c>
      <c r="O1609" t="s">
        <v>100</v>
      </c>
      <c r="P1609" t="s">
        <v>100</v>
      </c>
      <c r="Q1609">
        <v>3</v>
      </c>
      <c r="R1609">
        <v>107</v>
      </c>
      <c r="S1609">
        <v>68</v>
      </c>
      <c r="T1609">
        <v>2</v>
      </c>
      <c r="U1609">
        <v>14</v>
      </c>
      <c r="V1609">
        <v>3</v>
      </c>
      <c r="W1609">
        <v>1</v>
      </c>
      <c r="X1609">
        <v>0</v>
      </c>
      <c r="Y1609">
        <v>109</v>
      </c>
      <c r="Z1609">
        <v>3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9</v>
      </c>
      <c r="AG1609">
        <v>1</v>
      </c>
      <c r="AH1609">
        <v>1</v>
      </c>
      <c r="AI1609">
        <v>0</v>
      </c>
      <c r="AJ1609">
        <v>0</v>
      </c>
      <c r="AK1609">
        <v>0</v>
      </c>
      <c r="AL1609">
        <v>2</v>
      </c>
      <c r="AM1609">
        <v>0</v>
      </c>
      <c r="AN1609">
        <v>0</v>
      </c>
      <c r="AT1609">
        <v>0</v>
      </c>
      <c r="AU1609">
        <v>16</v>
      </c>
      <c r="AV1609">
        <v>333</v>
      </c>
      <c r="AW1609">
        <v>339</v>
      </c>
      <c r="AX1609">
        <v>587</v>
      </c>
      <c r="BA1609">
        <v>1</v>
      </c>
      <c r="BC1609" t="s">
        <v>3315</v>
      </c>
      <c r="BD1609" s="4">
        <v>43283.524305555555</v>
      </c>
      <c r="BE1609" s="4">
        <v>43283.529606481483</v>
      </c>
      <c r="BF1609" s="4">
        <v>43283.529606481483</v>
      </c>
      <c r="BG1609" t="s">
        <v>83</v>
      </c>
      <c r="BH1609" t="s">
        <v>84</v>
      </c>
      <c r="BI1609" t="s">
        <v>85</v>
      </c>
    </row>
    <row r="1610" spans="1:61" x14ac:dyDescent="0.3">
      <c r="A1610" t="str">
        <f>"200712C0100"</f>
        <v>200712C0100</v>
      </c>
      <c r="B1610" t="s">
        <v>3316</v>
      </c>
      <c r="C1610">
        <v>20</v>
      </c>
      <c r="D1610" t="s">
        <v>79</v>
      </c>
      <c r="E1610">
        <v>8</v>
      </c>
      <c r="F1610" t="s">
        <v>3266</v>
      </c>
      <c r="G1610">
        <v>712</v>
      </c>
      <c r="H1610">
        <v>1</v>
      </c>
      <c r="I1610" t="s">
        <v>89</v>
      </c>
      <c r="J1610">
        <v>0</v>
      </c>
      <c r="K1610">
        <v>2</v>
      </c>
      <c r="L1610">
        <v>2</v>
      </c>
      <c r="AX1610">
        <v>586</v>
      </c>
      <c r="AZ1610" t="s">
        <v>932</v>
      </c>
      <c r="BA1610">
        <v>0</v>
      </c>
      <c r="BC1610" t="s">
        <v>3317</v>
      </c>
      <c r="BD1610" s="4">
        <v>43283.280555555553</v>
      </c>
      <c r="BE1610" s="4">
        <v>43283.789525462962</v>
      </c>
      <c r="BF1610" s="4">
        <v>43283.789525462962</v>
      </c>
      <c r="BG1610" t="s">
        <v>83</v>
      </c>
      <c r="BH1610" t="s">
        <v>84</v>
      </c>
      <c r="BI1610" t="s">
        <v>85</v>
      </c>
    </row>
    <row r="1611" spans="1:61" x14ac:dyDescent="0.3">
      <c r="A1611" t="str">
        <f>"200713B0100"</f>
        <v>200713B0100</v>
      </c>
      <c r="B1611" t="s">
        <v>3318</v>
      </c>
      <c r="C1611">
        <v>20</v>
      </c>
      <c r="D1611" t="s">
        <v>79</v>
      </c>
      <c r="E1611">
        <v>8</v>
      </c>
      <c r="F1611" t="s">
        <v>3266</v>
      </c>
      <c r="G1611">
        <v>713</v>
      </c>
      <c r="H1611">
        <v>1</v>
      </c>
      <c r="I1611" t="s">
        <v>81</v>
      </c>
      <c r="J1611">
        <v>0</v>
      </c>
      <c r="K1611">
        <v>2</v>
      </c>
      <c r="L1611">
        <v>2</v>
      </c>
      <c r="M1611">
        <v>143</v>
      </c>
      <c r="N1611">
        <v>238</v>
      </c>
      <c r="O1611">
        <v>1</v>
      </c>
      <c r="P1611" t="s">
        <v>100</v>
      </c>
      <c r="Q1611">
        <v>2</v>
      </c>
      <c r="R1611">
        <v>32</v>
      </c>
      <c r="S1611">
        <v>78</v>
      </c>
      <c r="T1611">
        <v>0</v>
      </c>
      <c r="U1611">
        <v>14</v>
      </c>
      <c r="V1611">
        <v>0</v>
      </c>
      <c r="W1611">
        <v>0</v>
      </c>
      <c r="X1611">
        <v>1</v>
      </c>
      <c r="Y1611">
        <v>84</v>
      </c>
      <c r="Z1611">
        <v>5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5</v>
      </c>
      <c r="AL1611">
        <v>3</v>
      </c>
      <c r="AM1611">
        <v>3</v>
      </c>
      <c r="AN1611">
        <v>0</v>
      </c>
      <c r="AT1611">
        <v>0</v>
      </c>
      <c r="AU1611">
        <v>7</v>
      </c>
      <c r="AV1611">
        <v>234</v>
      </c>
      <c r="AW1611">
        <v>234</v>
      </c>
      <c r="AX1611">
        <v>357</v>
      </c>
      <c r="BA1611">
        <v>1</v>
      </c>
      <c r="BC1611" t="s">
        <v>3319</v>
      </c>
      <c r="BD1611" s="4">
        <v>43283.527777777781</v>
      </c>
      <c r="BE1611" s="4">
        <v>43283.531585648147</v>
      </c>
      <c r="BF1611" s="4">
        <v>43283.531585648147</v>
      </c>
      <c r="BG1611" t="s">
        <v>83</v>
      </c>
      <c r="BH1611" t="s">
        <v>84</v>
      </c>
      <c r="BI1611" t="s">
        <v>85</v>
      </c>
    </row>
    <row r="1612" spans="1:61" x14ac:dyDescent="0.3">
      <c r="A1612" t="str">
        <f>"200734B0100"</f>
        <v>200734B0100</v>
      </c>
      <c r="B1612" t="s">
        <v>3320</v>
      </c>
      <c r="C1612">
        <v>20</v>
      </c>
      <c r="D1612" t="s">
        <v>79</v>
      </c>
      <c r="E1612">
        <v>8</v>
      </c>
      <c r="F1612" t="s">
        <v>3266</v>
      </c>
      <c r="G1612">
        <v>734</v>
      </c>
      <c r="H1612">
        <v>1</v>
      </c>
      <c r="I1612" t="s">
        <v>81</v>
      </c>
      <c r="J1612">
        <v>0</v>
      </c>
      <c r="K1612">
        <v>2</v>
      </c>
      <c r="L1612">
        <v>2</v>
      </c>
      <c r="M1612">
        <v>121</v>
      </c>
      <c r="N1612">
        <v>173</v>
      </c>
      <c r="O1612">
        <v>3</v>
      </c>
      <c r="P1612">
        <v>173</v>
      </c>
      <c r="Q1612">
        <v>3</v>
      </c>
      <c r="R1612">
        <v>4</v>
      </c>
      <c r="S1612">
        <v>47</v>
      </c>
      <c r="T1612">
        <v>0</v>
      </c>
      <c r="U1612">
        <v>7</v>
      </c>
      <c r="V1612">
        <v>3</v>
      </c>
      <c r="W1612">
        <v>62</v>
      </c>
      <c r="X1612">
        <v>1</v>
      </c>
      <c r="Y1612">
        <v>30</v>
      </c>
      <c r="Z1612">
        <v>2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T1612">
        <v>0</v>
      </c>
      <c r="AU1612">
        <v>14</v>
      </c>
      <c r="AV1612">
        <v>173</v>
      </c>
      <c r="AW1612">
        <v>173</v>
      </c>
      <c r="AX1612">
        <v>272</v>
      </c>
      <c r="BA1612">
        <v>1</v>
      </c>
      <c r="BC1612" t="s">
        <v>3321</v>
      </c>
      <c r="BD1612" s="4">
        <v>43283.155555555553</v>
      </c>
      <c r="BE1612" s="4">
        <v>43283.165879629632</v>
      </c>
      <c r="BF1612" s="4">
        <v>43283.165879629632</v>
      </c>
      <c r="BG1612" t="s">
        <v>83</v>
      </c>
      <c r="BH1612" t="s">
        <v>84</v>
      </c>
      <c r="BI1612" t="s">
        <v>85</v>
      </c>
    </row>
    <row r="1613" spans="1:61" x14ac:dyDescent="0.3">
      <c r="A1613" t="str">
        <f>"200735B0100"</f>
        <v>200735B0100</v>
      </c>
      <c r="B1613" t="s">
        <v>3322</v>
      </c>
      <c r="C1613">
        <v>20</v>
      </c>
      <c r="D1613" t="s">
        <v>79</v>
      </c>
      <c r="E1613">
        <v>8</v>
      </c>
      <c r="F1613" t="s">
        <v>3266</v>
      </c>
      <c r="G1613">
        <v>735</v>
      </c>
      <c r="H1613">
        <v>1</v>
      </c>
      <c r="I1613" t="s">
        <v>81</v>
      </c>
      <c r="J1613">
        <v>0</v>
      </c>
      <c r="K1613">
        <v>2</v>
      </c>
      <c r="L1613">
        <v>2</v>
      </c>
      <c r="M1613" t="s">
        <v>100</v>
      </c>
      <c r="N1613">
        <v>227</v>
      </c>
      <c r="O1613">
        <v>1</v>
      </c>
      <c r="P1613">
        <v>227</v>
      </c>
      <c r="Q1613">
        <v>4</v>
      </c>
      <c r="R1613">
        <v>13</v>
      </c>
      <c r="S1613">
        <v>76</v>
      </c>
      <c r="T1613">
        <v>2</v>
      </c>
      <c r="U1613">
        <v>7</v>
      </c>
      <c r="V1613" t="s">
        <v>100</v>
      </c>
      <c r="W1613">
        <v>47</v>
      </c>
      <c r="X1613">
        <v>1</v>
      </c>
      <c r="Y1613">
        <v>54</v>
      </c>
      <c r="Z1613">
        <v>4</v>
      </c>
      <c r="AA1613" t="s">
        <v>100</v>
      </c>
      <c r="AB1613" t="s">
        <v>100</v>
      </c>
      <c r="AC1613">
        <v>1</v>
      </c>
      <c r="AD1613" t="s">
        <v>100</v>
      </c>
      <c r="AE1613" t="s">
        <v>100</v>
      </c>
      <c r="AF1613" t="s">
        <v>100</v>
      </c>
      <c r="AG1613" t="s">
        <v>100</v>
      </c>
      <c r="AH1613" t="s">
        <v>100</v>
      </c>
      <c r="AI1613" t="s">
        <v>100</v>
      </c>
      <c r="AJ1613" t="s">
        <v>100</v>
      </c>
      <c r="AK1613">
        <v>1</v>
      </c>
      <c r="AL1613" t="s">
        <v>100</v>
      </c>
      <c r="AM1613" t="s">
        <v>100</v>
      </c>
      <c r="AN1613" t="s">
        <v>100</v>
      </c>
      <c r="AT1613" t="s">
        <v>100</v>
      </c>
      <c r="AU1613">
        <v>13</v>
      </c>
      <c r="AV1613">
        <v>227</v>
      </c>
      <c r="AW1613">
        <v>223</v>
      </c>
      <c r="AX1613">
        <v>394</v>
      </c>
      <c r="AZ1613" t="s">
        <v>101</v>
      </c>
      <c r="BA1613">
        <v>1</v>
      </c>
      <c r="BC1613" t="s">
        <v>3323</v>
      </c>
      <c r="BD1613" s="4">
        <v>43283.150694444441</v>
      </c>
      <c r="BE1613" s="4">
        <v>43283.158877314818</v>
      </c>
      <c r="BF1613" s="4">
        <v>43283.158877314818</v>
      </c>
      <c r="BG1613" t="s">
        <v>83</v>
      </c>
      <c r="BH1613" t="s">
        <v>84</v>
      </c>
      <c r="BI1613" t="s">
        <v>85</v>
      </c>
    </row>
    <row r="1614" spans="1:61" x14ac:dyDescent="0.3">
      <c r="A1614" t="str">
        <f>"200772B0100"</f>
        <v>200772B0100</v>
      </c>
      <c r="B1614" t="s">
        <v>3324</v>
      </c>
      <c r="C1614">
        <v>20</v>
      </c>
      <c r="D1614" t="s">
        <v>79</v>
      </c>
      <c r="E1614">
        <v>8</v>
      </c>
      <c r="F1614" t="s">
        <v>3266</v>
      </c>
      <c r="G1614">
        <v>772</v>
      </c>
      <c r="H1614">
        <v>1</v>
      </c>
      <c r="I1614" t="s">
        <v>81</v>
      </c>
      <c r="J1614">
        <v>0</v>
      </c>
      <c r="K1614">
        <v>2</v>
      </c>
      <c r="L1614">
        <v>2</v>
      </c>
      <c r="M1614">
        <v>298</v>
      </c>
      <c r="N1614">
        <v>262</v>
      </c>
      <c r="O1614">
        <v>0</v>
      </c>
      <c r="P1614">
        <v>262</v>
      </c>
      <c r="Q1614">
        <v>9</v>
      </c>
      <c r="R1614">
        <v>22</v>
      </c>
      <c r="S1614">
        <v>20</v>
      </c>
      <c r="T1614">
        <v>5</v>
      </c>
      <c r="U1614">
        <v>18</v>
      </c>
      <c r="V1614">
        <v>8</v>
      </c>
      <c r="W1614">
        <v>0</v>
      </c>
      <c r="X1614">
        <v>4</v>
      </c>
      <c r="Y1614">
        <v>143</v>
      </c>
      <c r="Z1614">
        <v>7</v>
      </c>
      <c r="AA1614">
        <v>1</v>
      </c>
      <c r="AB1614">
        <v>3</v>
      </c>
      <c r="AC1614">
        <v>0</v>
      </c>
      <c r="AD1614">
        <v>1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6</v>
      </c>
      <c r="AL1614">
        <v>0</v>
      </c>
      <c r="AM1614">
        <v>0</v>
      </c>
      <c r="AN1614">
        <v>2</v>
      </c>
      <c r="AT1614" t="s">
        <v>100</v>
      </c>
      <c r="AU1614">
        <v>13</v>
      </c>
      <c r="AV1614">
        <v>262</v>
      </c>
      <c r="AW1614">
        <v>262</v>
      </c>
      <c r="AX1614">
        <v>538</v>
      </c>
      <c r="AZ1614" t="s">
        <v>101</v>
      </c>
      <c r="BA1614">
        <v>1</v>
      </c>
      <c r="BC1614" t="s">
        <v>3325</v>
      </c>
      <c r="BD1614" s="4">
        <v>43283.336111111108</v>
      </c>
      <c r="BE1614" s="4">
        <v>43283.353032407409</v>
      </c>
      <c r="BF1614" s="4">
        <v>43283.353032407409</v>
      </c>
      <c r="BG1614" t="s">
        <v>83</v>
      </c>
      <c r="BH1614" t="s">
        <v>84</v>
      </c>
      <c r="BI1614" t="s">
        <v>85</v>
      </c>
    </row>
    <row r="1615" spans="1:61" x14ac:dyDescent="0.3">
      <c r="A1615" t="str">
        <f>"200772C0100"</f>
        <v>200772C0100</v>
      </c>
      <c r="B1615" t="s">
        <v>3326</v>
      </c>
      <c r="C1615">
        <v>20</v>
      </c>
      <c r="D1615" t="s">
        <v>79</v>
      </c>
      <c r="E1615">
        <v>8</v>
      </c>
      <c r="F1615" t="s">
        <v>3266</v>
      </c>
      <c r="G1615">
        <v>772</v>
      </c>
      <c r="H1615">
        <v>1</v>
      </c>
      <c r="I1615" t="s">
        <v>89</v>
      </c>
      <c r="J1615">
        <v>0</v>
      </c>
      <c r="K1615">
        <v>2</v>
      </c>
      <c r="L1615">
        <v>2</v>
      </c>
      <c r="M1615">
        <v>264</v>
      </c>
      <c r="N1615">
        <v>295</v>
      </c>
      <c r="O1615">
        <v>0</v>
      </c>
      <c r="P1615">
        <v>295</v>
      </c>
      <c r="Q1615">
        <v>8</v>
      </c>
      <c r="R1615">
        <v>23</v>
      </c>
      <c r="S1615">
        <v>43</v>
      </c>
      <c r="T1615">
        <v>6</v>
      </c>
      <c r="U1615">
        <v>10</v>
      </c>
      <c r="V1615">
        <v>3</v>
      </c>
      <c r="W1615">
        <v>1</v>
      </c>
      <c r="X1615">
        <v>1</v>
      </c>
      <c r="Y1615">
        <v>166</v>
      </c>
      <c r="Z1615">
        <v>3</v>
      </c>
      <c r="AA1615">
        <v>1</v>
      </c>
      <c r="AB1615">
        <v>2</v>
      </c>
      <c r="AC1615">
        <v>2</v>
      </c>
      <c r="AD1615">
        <v>1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4</v>
      </c>
      <c r="AL1615">
        <v>2</v>
      </c>
      <c r="AM1615">
        <v>0</v>
      </c>
      <c r="AN1615">
        <v>1</v>
      </c>
      <c r="AT1615" t="s">
        <v>100</v>
      </c>
      <c r="AU1615">
        <v>18</v>
      </c>
      <c r="AV1615" t="s">
        <v>100</v>
      </c>
      <c r="AW1615">
        <v>295</v>
      </c>
      <c r="AX1615">
        <v>537</v>
      </c>
      <c r="AZ1615" t="s">
        <v>101</v>
      </c>
      <c r="BA1615">
        <v>1</v>
      </c>
      <c r="BC1615" t="s">
        <v>3327</v>
      </c>
      <c r="BD1615" s="4">
        <v>43283.335416666669</v>
      </c>
      <c r="BE1615" s="4">
        <v>43283.352847222224</v>
      </c>
      <c r="BF1615" s="4">
        <v>43283.352847222224</v>
      </c>
      <c r="BG1615" t="s">
        <v>83</v>
      </c>
      <c r="BH1615" t="s">
        <v>84</v>
      </c>
      <c r="BI1615" t="s">
        <v>85</v>
      </c>
    </row>
    <row r="1616" spans="1:61" x14ac:dyDescent="0.3">
      <c r="A1616" t="str">
        <f>"200772E0100"</f>
        <v>200772E0100</v>
      </c>
      <c r="B1616" s="2" t="s">
        <v>3328</v>
      </c>
      <c r="C1616">
        <v>20</v>
      </c>
      <c r="D1616" t="s">
        <v>79</v>
      </c>
      <c r="E1616">
        <v>8</v>
      </c>
      <c r="F1616" t="s">
        <v>3266</v>
      </c>
      <c r="G1616">
        <v>772</v>
      </c>
      <c r="H1616">
        <v>1</v>
      </c>
      <c r="I1616" t="s">
        <v>145</v>
      </c>
      <c r="J1616">
        <v>0</v>
      </c>
      <c r="K1616">
        <v>2</v>
      </c>
      <c r="L1616">
        <v>2</v>
      </c>
      <c r="M1616">
        <v>275</v>
      </c>
      <c r="N1616">
        <v>428</v>
      </c>
      <c r="O1616">
        <v>1</v>
      </c>
      <c r="P1616">
        <v>425</v>
      </c>
      <c r="Q1616">
        <v>11</v>
      </c>
      <c r="R1616">
        <v>33</v>
      </c>
      <c r="S1616">
        <v>37</v>
      </c>
      <c r="T1616">
        <v>7</v>
      </c>
      <c r="U1616">
        <v>41</v>
      </c>
      <c r="V1616">
        <v>8</v>
      </c>
      <c r="W1616">
        <v>5</v>
      </c>
      <c r="X1616">
        <v>9</v>
      </c>
      <c r="Y1616">
        <v>222</v>
      </c>
      <c r="Z1616">
        <v>4</v>
      </c>
      <c r="AA1616">
        <v>0</v>
      </c>
      <c r="AB1616">
        <v>2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1</v>
      </c>
      <c r="AI1616">
        <v>0</v>
      </c>
      <c r="AJ1616">
        <v>0</v>
      </c>
      <c r="AK1616">
        <v>4</v>
      </c>
      <c r="AL1616">
        <v>2</v>
      </c>
      <c r="AM1616">
        <v>0</v>
      </c>
      <c r="AN1616">
        <v>4</v>
      </c>
      <c r="AT1616">
        <v>0</v>
      </c>
      <c r="AU1616">
        <v>35</v>
      </c>
      <c r="AV1616">
        <v>425</v>
      </c>
      <c r="AW1616">
        <v>425</v>
      </c>
      <c r="AX1616">
        <v>680</v>
      </c>
      <c r="BA1616">
        <v>1</v>
      </c>
      <c r="BC1616" t="s">
        <v>3329</v>
      </c>
      <c r="BD1616" s="4">
        <v>43283.334027777775</v>
      </c>
      <c r="BE1616" s="4">
        <v>43283.352905092594</v>
      </c>
      <c r="BF1616" s="4">
        <v>43283.352905092594</v>
      </c>
      <c r="BG1616" t="s">
        <v>83</v>
      </c>
      <c r="BH1616" t="s">
        <v>84</v>
      </c>
      <c r="BI1616" t="s">
        <v>85</v>
      </c>
    </row>
    <row r="1617" spans="1:61" x14ac:dyDescent="0.3">
      <c r="A1617" t="str">
        <f>"200773B0100"</f>
        <v>200773B0100</v>
      </c>
      <c r="B1617" t="s">
        <v>3330</v>
      </c>
      <c r="C1617">
        <v>20</v>
      </c>
      <c r="D1617" t="s">
        <v>79</v>
      </c>
      <c r="E1617">
        <v>8</v>
      </c>
      <c r="F1617" t="s">
        <v>3266</v>
      </c>
      <c r="G1617">
        <v>773</v>
      </c>
      <c r="H1617">
        <v>1</v>
      </c>
      <c r="I1617" t="s">
        <v>81</v>
      </c>
      <c r="J1617">
        <v>0</v>
      </c>
      <c r="K1617">
        <v>2</v>
      </c>
      <c r="L1617">
        <v>2</v>
      </c>
      <c r="M1617">
        <v>292</v>
      </c>
      <c r="N1617">
        <v>342</v>
      </c>
      <c r="O1617">
        <v>3</v>
      </c>
      <c r="P1617">
        <v>342</v>
      </c>
      <c r="Q1617">
        <v>5</v>
      </c>
      <c r="R1617">
        <v>63</v>
      </c>
      <c r="S1617">
        <v>23</v>
      </c>
      <c r="T1617">
        <v>3</v>
      </c>
      <c r="U1617">
        <v>18</v>
      </c>
      <c r="V1617">
        <v>2</v>
      </c>
      <c r="W1617">
        <v>5</v>
      </c>
      <c r="X1617">
        <v>5</v>
      </c>
      <c r="Y1617">
        <v>184</v>
      </c>
      <c r="Z1617">
        <v>3</v>
      </c>
      <c r="AA1617">
        <v>0</v>
      </c>
      <c r="AB1617">
        <v>3</v>
      </c>
      <c r="AC1617">
        <v>0</v>
      </c>
      <c r="AD1617">
        <v>0</v>
      </c>
      <c r="AE1617">
        <v>0</v>
      </c>
      <c r="AF1617">
        <v>0</v>
      </c>
      <c r="AG1617">
        <v>1</v>
      </c>
      <c r="AH1617">
        <v>1</v>
      </c>
      <c r="AI1617">
        <v>0</v>
      </c>
      <c r="AJ1617">
        <v>0</v>
      </c>
      <c r="AK1617">
        <v>5</v>
      </c>
      <c r="AL1617">
        <v>2</v>
      </c>
      <c r="AM1617">
        <v>0</v>
      </c>
      <c r="AN1617">
        <v>1</v>
      </c>
      <c r="AT1617">
        <v>1</v>
      </c>
      <c r="AU1617">
        <v>17</v>
      </c>
      <c r="AV1617">
        <v>342</v>
      </c>
      <c r="AW1617">
        <v>342</v>
      </c>
      <c r="AX1617">
        <v>612</v>
      </c>
      <c r="BA1617">
        <v>1</v>
      </c>
      <c r="BC1617" t="s">
        <v>3331</v>
      </c>
      <c r="BD1617" s="4">
        <v>43283.327777777777</v>
      </c>
      <c r="BE1617" s="4">
        <v>43283.35365740741</v>
      </c>
      <c r="BF1617" s="4">
        <v>43283.35365740741</v>
      </c>
      <c r="BG1617" t="s">
        <v>83</v>
      </c>
      <c r="BH1617" t="s">
        <v>84</v>
      </c>
      <c r="BI1617" t="s">
        <v>85</v>
      </c>
    </row>
    <row r="1618" spans="1:61" x14ac:dyDescent="0.3">
      <c r="A1618" t="str">
        <f>"200774B0100"</f>
        <v>200774B0100</v>
      </c>
      <c r="B1618" t="s">
        <v>3332</v>
      </c>
      <c r="C1618">
        <v>20</v>
      </c>
      <c r="D1618" t="s">
        <v>79</v>
      </c>
      <c r="E1618">
        <v>8</v>
      </c>
      <c r="F1618" t="s">
        <v>3266</v>
      </c>
      <c r="G1618">
        <v>774</v>
      </c>
      <c r="H1618">
        <v>1</v>
      </c>
      <c r="I1618" t="s">
        <v>81</v>
      </c>
      <c r="J1618">
        <v>0</v>
      </c>
      <c r="K1618">
        <v>2</v>
      </c>
      <c r="L1618">
        <v>2</v>
      </c>
      <c r="M1618">
        <v>239</v>
      </c>
      <c r="N1618">
        <v>409</v>
      </c>
      <c r="O1618">
        <v>2</v>
      </c>
      <c r="P1618">
        <v>409</v>
      </c>
      <c r="Q1618">
        <v>3</v>
      </c>
      <c r="R1618">
        <v>350</v>
      </c>
      <c r="S1618">
        <v>4</v>
      </c>
      <c r="T1618">
        <v>5</v>
      </c>
      <c r="U1618">
        <v>4</v>
      </c>
      <c r="V1618">
        <v>3</v>
      </c>
      <c r="W1618">
        <v>0</v>
      </c>
      <c r="X1618">
        <v>2</v>
      </c>
      <c r="Y1618">
        <v>14</v>
      </c>
      <c r="Z1618">
        <v>1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5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T1618">
        <v>0</v>
      </c>
      <c r="AU1618">
        <v>19</v>
      </c>
      <c r="AV1618">
        <v>409</v>
      </c>
      <c r="AW1618">
        <v>410</v>
      </c>
      <c r="AX1618">
        <v>626</v>
      </c>
      <c r="BA1618">
        <v>1</v>
      </c>
      <c r="BC1618" t="s">
        <v>3333</v>
      </c>
      <c r="BD1618" s="4">
        <v>43283.32916666667</v>
      </c>
      <c r="BE1618" s="4">
        <v>43283.348877314813</v>
      </c>
      <c r="BF1618" s="4">
        <v>43283.348877314813</v>
      </c>
      <c r="BG1618" t="s">
        <v>83</v>
      </c>
      <c r="BH1618" t="s">
        <v>84</v>
      </c>
      <c r="BI1618" t="s">
        <v>85</v>
      </c>
    </row>
    <row r="1619" spans="1:61" x14ac:dyDescent="0.3">
      <c r="A1619" t="str">
        <f>"200774C0100"</f>
        <v>200774C0100</v>
      </c>
      <c r="B1619" t="s">
        <v>3334</v>
      </c>
      <c r="C1619">
        <v>20</v>
      </c>
      <c r="D1619" t="s">
        <v>79</v>
      </c>
      <c r="E1619">
        <v>8</v>
      </c>
      <c r="F1619" t="s">
        <v>3266</v>
      </c>
      <c r="G1619">
        <v>774</v>
      </c>
      <c r="H1619">
        <v>1</v>
      </c>
      <c r="I1619" t="s">
        <v>89</v>
      </c>
      <c r="J1619">
        <v>0</v>
      </c>
      <c r="K1619">
        <v>2</v>
      </c>
      <c r="L1619">
        <v>2</v>
      </c>
      <c r="M1619">
        <v>227</v>
      </c>
      <c r="N1619">
        <v>420</v>
      </c>
      <c r="O1619">
        <v>1</v>
      </c>
      <c r="P1619">
        <v>420</v>
      </c>
      <c r="Q1619">
        <v>2</v>
      </c>
      <c r="R1619">
        <v>381</v>
      </c>
      <c r="S1619">
        <v>0</v>
      </c>
      <c r="T1619">
        <v>5</v>
      </c>
      <c r="U1619">
        <v>1</v>
      </c>
      <c r="V1619">
        <v>3</v>
      </c>
      <c r="W1619">
        <v>0</v>
      </c>
      <c r="X1619">
        <v>0</v>
      </c>
      <c r="Y1619">
        <v>12</v>
      </c>
      <c r="Z1619">
        <v>1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4</v>
      </c>
      <c r="AH1619">
        <v>3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T1619">
        <v>0</v>
      </c>
      <c r="AU1619">
        <v>8</v>
      </c>
      <c r="AV1619" t="s">
        <v>100</v>
      </c>
      <c r="AW1619">
        <v>420</v>
      </c>
      <c r="AX1619">
        <v>625</v>
      </c>
      <c r="BA1619">
        <v>1</v>
      </c>
      <c r="BC1619" t="s">
        <v>3335</v>
      </c>
      <c r="BD1619" s="4">
        <v>43283.332638888889</v>
      </c>
      <c r="BE1619" s="4">
        <v>43283.352314814816</v>
      </c>
      <c r="BF1619" s="4">
        <v>43283.352314814816</v>
      </c>
      <c r="BG1619" t="s">
        <v>83</v>
      </c>
      <c r="BH1619" t="s">
        <v>84</v>
      </c>
      <c r="BI1619" t="s">
        <v>85</v>
      </c>
    </row>
    <row r="1620" spans="1:61" x14ac:dyDescent="0.3">
      <c r="A1620" t="str">
        <f>"200774E0100"</f>
        <v>200774E0100</v>
      </c>
      <c r="B1620" s="2" t="s">
        <v>3336</v>
      </c>
      <c r="C1620">
        <v>20</v>
      </c>
      <c r="D1620" t="s">
        <v>79</v>
      </c>
      <c r="E1620">
        <v>8</v>
      </c>
      <c r="F1620" t="s">
        <v>3266</v>
      </c>
      <c r="G1620">
        <v>774</v>
      </c>
      <c r="H1620">
        <v>1</v>
      </c>
      <c r="I1620" t="s">
        <v>145</v>
      </c>
      <c r="J1620">
        <v>0</v>
      </c>
      <c r="K1620">
        <v>2</v>
      </c>
      <c r="L1620">
        <v>2</v>
      </c>
      <c r="M1620">
        <v>93</v>
      </c>
      <c r="N1620">
        <v>150</v>
      </c>
      <c r="O1620">
        <v>1</v>
      </c>
      <c r="P1620">
        <v>150</v>
      </c>
      <c r="Q1620">
        <v>9</v>
      </c>
      <c r="R1620">
        <v>10</v>
      </c>
      <c r="S1620">
        <v>73</v>
      </c>
      <c r="T1620">
        <v>2</v>
      </c>
      <c r="U1620">
        <v>10</v>
      </c>
      <c r="V1620">
        <v>5</v>
      </c>
      <c r="W1620">
        <v>1</v>
      </c>
      <c r="X1620">
        <v>1</v>
      </c>
      <c r="Y1620">
        <v>13</v>
      </c>
      <c r="Z1620">
        <v>0</v>
      </c>
      <c r="AA1620">
        <v>0</v>
      </c>
      <c r="AB1620">
        <v>1</v>
      </c>
      <c r="AC1620">
        <v>1</v>
      </c>
      <c r="AD1620">
        <v>1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T1620">
        <v>0</v>
      </c>
      <c r="AU1620">
        <v>23</v>
      </c>
      <c r="AV1620">
        <v>150</v>
      </c>
      <c r="AW1620">
        <v>150</v>
      </c>
      <c r="AX1620">
        <v>222</v>
      </c>
      <c r="BA1620">
        <v>1</v>
      </c>
      <c r="BC1620" t="s">
        <v>3337</v>
      </c>
      <c r="BD1620" s="4">
        <v>43283.329861111109</v>
      </c>
      <c r="BE1620" s="4">
        <v>43283.349976851852</v>
      </c>
      <c r="BF1620" s="4">
        <v>43283.349976851852</v>
      </c>
      <c r="BG1620" t="s">
        <v>83</v>
      </c>
      <c r="BH1620" t="s">
        <v>84</v>
      </c>
      <c r="BI1620" t="s">
        <v>85</v>
      </c>
    </row>
    <row r="1621" spans="1:61" x14ac:dyDescent="0.3">
      <c r="A1621" t="str">
        <f>"200775B0100"</f>
        <v>200775B0100</v>
      </c>
      <c r="B1621" t="s">
        <v>3338</v>
      </c>
      <c r="C1621">
        <v>20</v>
      </c>
      <c r="D1621" t="s">
        <v>79</v>
      </c>
      <c r="E1621">
        <v>8</v>
      </c>
      <c r="F1621" t="s">
        <v>3266</v>
      </c>
      <c r="G1621">
        <v>775</v>
      </c>
      <c r="H1621">
        <v>1</v>
      </c>
      <c r="I1621" t="s">
        <v>81</v>
      </c>
      <c r="J1621">
        <v>0</v>
      </c>
      <c r="K1621">
        <v>2</v>
      </c>
      <c r="L1621">
        <v>2</v>
      </c>
      <c r="M1621">
        <v>276</v>
      </c>
      <c r="N1621">
        <v>419</v>
      </c>
      <c r="O1621">
        <v>1</v>
      </c>
      <c r="P1621">
        <v>419</v>
      </c>
      <c r="Q1621">
        <v>7</v>
      </c>
      <c r="R1621">
        <v>141</v>
      </c>
      <c r="S1621">
        <v>63</v>
      </c>
      <c r="T1621">
        <v>9</v>
      </c>
      <c r="U1621">
        <v>26</v>
      </c>
      <c r="V1621">
        <v>4</v>
      </c>
      <c r="W1621">
        <v>3</v>
      </c>
      <c r="X1621">
        <v>5</v>
      </c>
      <c r="Y1621">
        <v>96</v>
      </c>
      <c r="Z1621">
        <v>3</v>
      </c>
      <c r="AA1621">
        <v>1</v>
      </c>
      <c r="AB1621">
        <v>2</v>
      </c>
      <c r="AC1621">
        <v>1</v>
      </c>
      <c r="AD1621">
        <v>1</v>
      </c>
      <c r="AE1621">
        <v>0</v>
      </c>
      <c r="AF1621">
        <v>2</v>
      </c>
      <c r="AG1621">
        <v>1</v>
      </c>
      <c r="AH1621">
        <v>1</v>
      </c>
      <c r="AI1621">
        <v>0</v>
      </c>
      <c r="AJ1621">
        <v>0</v>
      </c>
      <c r="AK1621">
        <v>7</v>
      </c>
      <c r="AL1621">
        <v>1</v>
      </c>
      <c r="AM1621">
        <v>0</v>
      </c>
      <c r="AN1621">
        <v>2</v>
      </c>
      <c r="AT1621">
        <v>0</v>
      </c>
      <c r="AU1621">
        <v>43</v>
      </c>
      <c r="AV1621">
        <v>419</v>
      </c>
      <c r="AW1621">
        <v>419</v>
      </c>
      <c r="AX1621">
        <v>673</v>
      </c>
      <c r="BA1621">
        <v>1</v>
      </c>
      <c r="BC1621" t="s">
        <v>3339</v>
      </c>
      <c r="BD1621" s="4">
        <v>43283.328472222223</v>
      </c>
      <c r="BE1621" s="4">
        <v>43283.359398148146</v>
      </c>
      <c r="BF1621" s="4">
        <v>43283.359398148146</v>
      </c>
      <c r="BG1621" t="s">
        <v>83</v>
      </c>
      <c r="BH1621" t="s">
        <v>84</v>
      </c>
      <c r="BI1621" t="s">
        <v>85</v>
      </c>
    </row>
    <row r="1622" spans="1:61" x14ac:dyDescent="0.3">
      <c r="A1622" t="str">
        <f>"200775E0100"</f>
        <v>200775E0100</v>
      </c>
      <c r="B1622" s="2" t="s">
        <v>3340</v>
      </c>
      <c r="C1622">
        <v>20</v>
      </c>
      <c r="D1622" t="s">
        <v>79</v>
      </c>
      <c r="E1622">
        <v>8</v>
      </c>
      <c r="F1622" t="s">
        <v>3266</v>
      </c>
      <c r="G1622">
        <v>775</v>
      </c>
      <c r="H1622">
        <v>1</v>
      </c>
      <c r="I1622" t="s">
        <v>145</v>
      </c>
      <c r="J1622">
        <v>0</v>
      </c>
      <c r="K1622">
        <v>2</v>
      </c>
      <c r="L1622">
        <v>2</v>
      </c>
      <c r="M1622">
        <v>205</v>
      </c>
      <c r="N1622">
        <v>372</v>
      </c>
      <c r="O1622">
        <v>1</v>
      </c>
      <c r="P1622">
        <v>372</v>
      </c>
      <c r="Q1622">
        <v>23</v>
      </c>
      <c r="R1622">
        <v>106</v>
      </c>
      <c r="S1622">
        <v>117</v>
      </c>
      <c r="T1622">
        <v>4</v>
      </c>
      <c r="U1622">
        <v>16</v>
      </c>
      <c r="V1622">
        <v>9</v>
      </c>
      <c r="W1622">
        <v>2</v>
      </c>
      <c r="X1622">
        <v>1</v>
      </c>
      <c r="Y1622">
        <v>36</v>
      </c>
      <c r="Z1622">
        <v>2</v>
      </c>
      <c r="AA1622">
        <v>0</v>
      </c>
      <c r="AB1622">
        <v>1</v>
      </c>
      <c r="AC1622">
        <v>6</v>
      </c>
      <c r="AD1622">
        <v>5</v>
      </c>
      <c r="AE1622">
        <v>0</v>
      </c>
      <c r="AF1622">
        <v>5</v>
      </c>
      <c r="AG1622">
        <v>0</v>
      </c>
      <c r="AH1622">
        <v>1</v>
      </c>
      <c r="AI1622">
        <v>0</v>
      </c>
      <c r="AJ1622">
        <v>0</v>
      </c>
      <c r="AK1622">
        <v>0</v>
      </c>
      <c r="AL1622">
        <v>1</v>
      </c>
      <c r="AM1622">
        <v>0</v>
      </c>
      <c r="AN1622">
        <v>1</v>
      </c>
      <c r="AT1622">
        <v>0</v>
      </c>
      <c r="AU1622">
        <v>37</v>
      </c>
      <c r="AV1622">
        <v>372</v>
      </c>
      <c r="AW1622">
        <v>373</v>
      </c>
      <c r="AX1622">
        <v>555</v>
      </c>
      <c r="BA1622">
        <v>1</v>
      </c>
      <c r="BC1622" t="s">
        <v>3341</v>
      </c>
      <c r="BD1622" s="4">
        <v>43283.331944444442</v>
      </c>
      <c r="BE1622" s="4">
        <v>43283.354039351849</v>
      </c>
      <c r="BF1622" s="4">
        <v>43283.354039351849</v>
      </c>
      <c r="BG1622" t="s">
        <v>83</v>
      </c>
      <c r="BH1622" t="s">
        <v>84</v>
      </c>
      <c r="BI1622" t="s">
        <v>85</v>
      </c>
    </row>
    <row r="1623" spans="1:61" x14ac:dyDescent="0.3">
      <c r="A1623" t="str">
        <f>"200789B0100"</f>
        <v>200789B0100</v>
      </c>
      <c r="B1623" t="s">
        <v>3342</v>
      </c>
      <c r="C1623">
        <v>20</v>
      </c>
      <c r="D1623" t="s">
        <v>79</v>
      </c>
      <c r="E1623">
        <v>8</v>
      </c>
      <c r="F1623" t="s">
        <v>3266</v>
      </c>
      <c r="G1623">
        <v>789</v>
      </c>
      <c r="H1623">
        <v>1</v>
      </c>
      <c r="I1623" t="s">
        <v>81</v>
      </c>
      <c r="J1623">
        <v>0</v>
      </c>
      <c r="K1623">
        <v>2</v>
      </c>
      <c r="L1623">
        <v>2</v>
      </c>
      <c r="M1623">
        <v>175</v>
      </c>
      <c r="N1623">
        <v>242</v>
      </c>
      <c r="O1623">
        <v>3</v>
      </c>
      <c r="P1623">
        <v>239</v>
      </c>
      <c r="Q1623">
        <v>3</v>
      </c>
      <c r="R1623">
        <v>42</v>
      </c>
      <c r="S1623">
        <v>37</v>
      </c>
      <c r="T1623">
        <v>6</v>
      </c>
      <c r="U1623">
        <v>14</v>
      </c>
      <c r="V1623">
        <v>6</v>
      </c>
      <c r="W1623">
        <v>1</v>
      </c>
      <c r="X1623">
        <v>6</v>
      </c>
      <c r="Y1623">
        <v>82</v>
      </c>
      <c r="Z1623">
        <v>2</v>
      </c>
      <c r="AA1623">
        <v>1</v>
      </c>
      <c r="AB1623">
        <v>2</v>
      </c>
      <c r="AC1623">
        <v>1</v>
      </c>
      <c r="AD1623">
        <v>0</v>
      </c>
      <c r="AE1623">
        <v>0</v>
      </c>
      <c r="AF1623">
        <v>0</v>
      </c>
      <c r="AG1623">
        <v>0</v>
      </c>
      <c r="AH1623">
        <v>2</v>
      </c>
      <c r="AI1623">
        <v>0</v>
      </c>
      <c r="AJ1623">
        <v>0</v>
      </c>
      <c r="AK1623">
        <v>2</v>
      </c>
      <c r="AL1623">
        <v>0</v>
      </c>
      <c r="AM1623">
        <v>0</v>
      </c>
      <c r="AN1623">
        <v>2</v>
      </c>
      <c r="AT1623">
        <v>0</v>
      </c>
      <c r="AU1623">
        <v>29</v>
      </c>
      <c r="AV1623">
        <v>239</v>
      </c>
      <c r="AW1623">
        <v>238</v>
      </c>
      <c r="AX1623">
        <v>392</v>
      </c>
      <c r="BA1623">
        <v>1</v>
      </c>
      <c r="BC1623" t="s">
        <v>3343</v>
      </c>
      <c r="BD1623" s="4">
        <v>43283.074999999997</v>
      </c>
      <c r="BE1623" s="4">
        <v>43283.084398148145</v>
      </c>
      <c r="BF1623" s="4">
        <v>43283.084398148145</v>
      </c>
      <c r="BG1623" t="s">
        <v>83</v>
      </c>
      <c r="BH1623" t="s">
        <v>84</v>
      </c>
      <c r="BI1623" t="s">
        <v>85</v>
      </c>
    </row>
    <row r="1624" spans="1:61" x14ac:dyDescent="0.3">
      <c r="A1624" t="str">
        <f>"200789C0100"</f>
        <v>200789C0100</v>
      </c>
      <c r="B1624" t="s">
        <v>3344</v>
      </c>
      <c r="C1624">
        <v>20</v>
      </c>
      <c r="D1624" t="s">
        <v>79</v>
      </c>
      <c r="E1624">
        <v>8</v>
      </c>
      <c r="F1624" t="s">
        <v>3266</v>
      </c>
      <c r="G1624">
        <v>789</v>
      </c>
      <c r="H1624">
        <v>1</v>
      </c>
      <c r="I1624" t="s">
        <v>89</v>
      </c>
      <c r="J1624">
        <v>0</v>
      </c>
      <c r="K1624">
        <v>2</v>
      </c>
      <c r="L1624">
        <v>2</v>
      </c>
      <c r="M1624" t="s">
        <v>100</v>
      </c>
      <c r="N1624" t="s">
        <v>100</v>
      </c>
      <c r="O1624" t="s">
        <v>100</v>
      </c>
      <c r="P1624" t="s">
        <v>100</v>
      </c>
      <c r="Q1624">
        <v>3</v>
      </c>
      <c r="R1624">
        <v>55</v>
      </c>
      <c r="S1624">
        <v>24</v>
      </c>
      <c r="T1624">
        <v>9</v>
      </c>
      <c r="U1624">
        <v>11</v>
      </c>
      <c r="V1624">
        <v>1</v>
      </c>
      <c r="W1624">
        <v>1</v>
      </c>
      <c r="X1624">
        <v>9</v>
      </c>
      <c r="Y1624">
        <v>84</v>
      </c>
      <c r="Z1624">
        <v>2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1</v>
      </c>
      <c r="AK1624">
        <v>1</v>
      </c>
      <c r="AL1624">
        <v>2</v>
      </c>
      <c r="AM1624">
        <v>2</v>
      </c>
      <c r="AN1624">
        <v>3</v>
      </c>
      <c r="AT1624">
        <v>0</v>
      </c>
      <c r="AU1624">
        <v>25</v>
      </c>
      <c r="AV1624">
        <v>233</v>
      </c>
      <c r="AW1624">
        <v>233</v>
      </c>
      <c r="AX1624">
        <v>391</v>
      </c>
      <c r="BA1624">
        <v>1</v>
      </c>
      <c r="BC1624" t="s">
        <v>3345</v>
      </c>
      <c r="BD1624" s="4">
        <v>43283.068055555559</v>
      </c>
      <c r="BE1624" s="4">
        <v>43283.072118055556</v>
      </c>
      <c r="BF1624" s="4">
        <v>43283.072118055556</v>
      </c>
      <c r="BG1624" t="s">
        <v>83</v>
      </c>
      <c r="BH1624" t="s">
        <v>84</v>
      </c>
      <c r="BI1624" t="s">
        <v>85</v>
      </c>
    </row>
    <row r="1625" spans="1:61" x14ac:dyDescent="0.3">
      <c r="A1625" t="str">
        <f>"200789E0100"</f>
        <v>200789E0100</v>
      </c>
      <c r="B1625" s="2" t="s">
        <v>3346</v>
      </c>
      <c r="C1625">
        <v>20</v>
      </c>
      <c r="D1625" t="s">
        <v>79</v>
      </c>
      <c r="E1625">
        <v>8</v>
      </c>
      <c r="F1625" t="s">
        <v>3266</v>
      </c>
      <c r="G1625">
        <v>789</v>
      </c>
      <c r="H1625">
        <v>1</v>
      </c>
      <c r="I1625" t="s">
        <v>145</v>
      </c>
      <c r="J1625">
        <v>0</v>
      </c>
      <c r="K1625">
        <v>2</v>
      </c>
      <c r="L1625">
        <v>2</v>
      </c>
      <c r="M1625">
        <v>52</v>
      </c>
      <c r="N1625">
        <v>84</v>
      </c>
      <c r="O1625">
        <v>2</v>
      </c>
      <c r="P1625">
        <v>84</v>
      </c>
      <c r="Q1625">
        <v>2</v>
      </c>
      <c r="R1625">
        <v>4</v>
      </c>
      <c r="S1625">
        <v>25</v>
      </c>
      <c r="T1625">
        <v>1</v>
      </c>
      <c r="U1625">
        <v>5</v>
      </c>
      <c r="V1625">
        <v>3</v>
      </c>
      <c r="W1625">
        <v>1</v>
      </c>
      <c r="X1625">
        <v>1</v>
      </c>
      <c r="Y1625">
        <v>30</v>
      </c>
      <c r="Z1625">
        <v>2</v>
      </c>
      <c r="AA1625">
        <v>1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3</v>
      </c>
      <c r="AL1625">
        <v>0</v>
      </c>
      <c r="AM1625">
        <v>0</v>
      </c>
      <c r="AN1625">
        <v>1</v>
      </c>
      <c r="AT1625">
        <v>0</v>
      </c>
      <c r="AU1625">
        <v>5</v>
      </c>
      <c r="AV1625">
        <v>84</v>
      </c>
      <c r="AW1625">
        <v>84</v>
      </c>
      <c r="AX1625">
        <v>114</v>
      </c>
      <c r="BA1625">
        <v>1</v>
      </c>
      <c r="BC1625" t="s">
        <v>3347</v>
      </c>
      <c r="BD1625" s="4">
        <v>43283.070833333331</v>
      </c>
      <c r="BE1625" s="4">
        <v>43283.075428240743</v>
      </c>
      <c r="BF1625" s="4">
        <v>43283.075428240743</v>
      </c>
      <c r="BG1625" t="s">
        <v>83</v>
      </c>
      <c r="BH1625" t="s">
        <v>84</v>
      </c>
      <c r="BI1625" t="s">
        <v>85</v>
      </c>
    </row>
    <row r="1626" spans="1:61" x14ac:dyDescent="0.3">
      <c r="A1626" t="str">
        <f>"200789E0200"</f>
        <v>200789E0200</v>
      </c>
      <c r="B1626" s="2" t="s">
        <v>3348</v>
      </c>
      <c r="C1626">
        <v>20</v>
      </c>
      <c r="D1626" t="s">
        <v>79</v>
      </c>
      <c r="E1626">
        <v>8</v>
      </c>
      <c r="F1626" t="s">
        <v>3266</v>
      </c>
      <c r="G1626">
        <v>789</v>
      </c>
      <c r="H1626">
        <v>2</v>
      </c>
      <c r="I1626" t="s">
        <v>145</v>
      </c>
      <c r="J1626">
        <v>0</v>
      </c>
      <c r="K1626">
        <v>2</v>
      </c>
      <c r="L1626">
        <v>2</v>
      </c>
      <c r="M1626">
        <v>66</v>
      </c>
      <c r="N1626">
        <v>86</v>
      </c>
      <c r="O1626">
        <v>3</v>
      </c>
      <c r="P1626">
        <v>86</v>
      </c>
      <c r="Q1626">
        <v>4</v>
      </c>
      <c r="R1626">
        <v>3</v>
      </c>
      <c r="S1626">
        <v>15</v>
      </c>
      <c r="T1626">
        <v>1</v>
      </c>
      <c r="U1626">
        <v>10</v>
      </c>
      <c r="V1626">
        <v>0</v>
      </c>
      <c r="W1626">
        <v>0</v>
      </c>
      <c r="X1626">
        <v>6</v>
      </c>
      <c r="Y1626">
        <v>32</v>
      </c>
      <c r="Z1626">
        <v>2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1</v>
      </c>
      <c r="AT1626">
        <v>0</v>
      </c>
      <c r="AU1626">
        <v>12</v>
      </c>
      <c r="AV1626">
        <v>86</v>
      </c>
      <c r="AW1626">
        <v>86</v>
      </c>
      <c r="AX1626">
        <v>130</v>
      </c>
      <c r="BA1626">
        <v>1</v>
      </c>
      <c r="BC1626" t="s">
        <v>3349</v>
      </c>
      <c r="BD1626" s="4">
        <v>43283.073611111111</v>
      </c>
      <c r="BE1626" s="4">
        <v>43283.076018518521</v>
      </c>
      <c r="BF1626" s="4">
        <v>43283.076018518521</v>
      </c>
      <c r="BG1626" t="s">
        <v>83</v>
      </c>
      <c r="BH1626" t="s">
        <v>84</v>
      </c>
      <c r="BI1626" t="s">
        <v>85</v>
      </c>
    </row>
    <row r="1627" spans="1:61" x14ac:dyDescent="0.3">
      <c r="A1627" t="str">
        <f>"200810B0100"</f>
        <v>200810B0100</v>
      </c>
      <c r="B1627" t="s">
        <v>3350</v>
      </c>
      <c r="C1627">
        <v>20</v>
      </c>
      <c r="D1627" t="s">
        <v>79</v>
      </c>
      <c r="E1627">
        <v>8</v>
      </c>
      <c r="F1627" t="s">
        <v>3266</v>
      </c>
      <c r="G1627">
        <v>810</v>
      </c>
      <c r="H1627">
        <v>1</v>
      </c>
      <c r="I1627" t="s">
        <v>81</v>
      </c>
      <c r="J1627">
        <v>0</v>
      </c>
      <c r="K1627">
        <v>1</v>
      </c>
      <c r="L1627">
        <v>2</v>
      </c>
      <c r="M1627">
        <v>128</v>
      </c>
      <c r="N1627">
        <v>172</v>
      </c>
      <c r="O1627">
        <v>0</v>
      </c>
      <c r="P1627" t="s">
        <v>315</v>
      </c>
      <c r="Q1627">
        <v>4</v>
      </c>
      <c r="R1627">
        <v>64</v>
      </c>
      <c r="S1627">
        <v>11</v>
      </c>
      <c r="T1627">
        <v>4</v>
      </c>
      <c r="U1627">
        <v>14</v>
      </c>
      <c r="V1627">
        <v>1</v>
      </c>
      <c r="W1627">
        <v>1</v>
      </c>
      <c r="X1627">
        <v>0</v>
      </c>
      <c r="Y1627">
        <v>59</v>
      </c>
      <c r="Z1627">
        <v>1</v>
      </c>
      <c r="AA1627">
        <v>0</v>
      </c>
      <c r="AB1627">
        <v>1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1</v>
      </c>
      <c r="AI1627">
        <v>0</v>
      </c>
      <c r="AJ1627">
        <v>0</v>
      </c>
      <c r="AK1627">
        <v>1</v>
      </c>
      <c r="AL1627">
        <v>0</v>
      </c>
      <c r="AM1627">
        <v>0</v>
      </c>
      <c r="AN1627">
        <v>1</v>
      </c>
      <c r="AT1627">
        <v>0</v>
      </c>
      <c r="AU1627">
        <v>9</v>
      </c>
      <c r="AV1627">
        <v>172</v>
      </c>
      <c r="AW1627">
        <v>172</v>
      </c>
      <c r="AX1627">
        <v>278</v>
      </c>
      <c r="BA1627">
        <v>1</v>
      </c>
      <c r="BC1627" t="s">
        <v>3351</v>
      </c>
      <c r="BD1627" s="4">
        <v>43283.147222222222</v>
      </c>
      <c r="BE1627" s="4">
        <v>43283.154004629629</v>
      </c>
      <c r="BF1627" s="4">
        <v>43283.154004629629</v>
      </c>
      <c r="BG1627" t="s">
        <v>83</v>
      </c>
      <c r="BH1627" t="s">
        <v>84</v>
      </c>
      <c r="BI1627" t="s">
        <v>85</v>
      </c>
    </row>
    <row r="1628" spans="1:61" x14ac:dyDescent="0.3">
      <c r="A1628" t="str">
        <f>"200835B0100"</f>
        <v>200835B0100</v>
      </c>
      <c r="B1628" t="s">
        <v>3352</v>
      </c>
      <c r="C1628">
        <v>20</v>
      </c>
      <c r="D1628" t="s">
        <v>79</v>
      </c>
      <c r="E1628">
        <v>8</v>
      </c>
      <c r="F1628" t="s">
        <v>3266</v>
      </c>
      <c r="G1628">
        <v>835</v>
      </c>
      <c r="H1628">
        <v>1</v>
      </c>
      <c r="I1628" t="s">
        <v>81</v>
      </c>
      <c r="J1628">
        <v>0</v>
      </c>
      <c r="K1628">
        <v>2</v>
      </c>
      <c r="L1628">
        <v>2</v>
      </c>
      <c r="M1628">
        <v>233</v>
      </c>
      <c r="N1628">
        <v>210</v>
      </c>
      <c r="O1628">
        <v>0</v>
      </c>
      <c r="P1628">
        <v>210</v>
      </c>
      <c r="Q1628">
        <v>4</v>
      </c>
      <c r="R1628">
        <v>9</v>
      </c>
      <c r="S1628">
        <v>24</v>
      </c>
      <c r="T1628">
        <v>3</v>
      </c>
      <c r="U1628">
        <v>23</v>
      </c>
      <c r="V1628">
        <v>6</v>
      </c>
      <c r="W1628">
        <v>0</v>
      </c>
      <c r="X1628">
        <v>6</v>
      </c>
      <c r="Y1628">
        <v>107</v>
      </c>
      <c r="Z1628">
        <v>3</v>
      </c>
      <c r="AA1628">
        <v>2</v>
      </c>
      <c r="AB1628">
        <v>0</v>
      </c>
      <c r="AC1628">
        <v>1</v>
      </c>
      <c r="AD1628">
        <v>1</v>
      </c>
      <c r="AE1628">
        <v>0</v>
      </c>
      <c r="AF1628">
        <v>0</v>
      </c>
      <c r="AG1628">
        <v>1</v>
      </c>
      <c r="AH1628">
        <v>0</v>
      </c>
      <c r="AI1628">
        <v>0</v>
      </c>
      <c r="AJ1628">
        <v>0</v>
      </c>
      <c r="AK1628">
        <v>4</v>
      </c>
      <c r="AL1628">
        <v>0</v>
      </c>
      <c r="AM1628">
        <v>0</v>
      </c>
      <c r="AN1628">
        <v>3</v>
      </c>
      <c r="AT1628">
        <v>0</v>
      </c>
      <c r="AU1628">
        <v>13</v>
      </c>
      <c r="AV1628">
        <v>210</v>
      </c>
      <c r="AW1628">
        <v>210</v>
      </c>
      <c r="AX1628">
        <v>422</v>
      </c>
      <c r="BA1628">
        <v>1</v>
      </c>
      <c r="BC1628" t="s">
        <v>3353</v>
      </c>
      <c r="BD1628" s="4">
        <v>43283.158333333333</v>
      </c>
      <c r="BE1628" s="4">
        <v>43283.180324074077</v>
      </c>
      <c r="BF1628" s="4">
        <v>43283.180324074077</v>
      </c>
      <c r="BG1628" t="s">
        <v>83</v>
      </c>
      <c r="BH1628" t="s">
        <v>84</v>
      </c>
      <c r="BI1628" t="s">
        <v>85</v>
      </c>
    </row>
    <row r="1629" spans="1:61" x14ac:dyDescent="0.3">
      <c r="A1629" t="str">
        <f>"200835C0100"</f>
        <v>200835C0100</v>
      </c>
      <c r="B1629" t="s">
        <v>3354</v>
      </c>
      <c r="C1629">
        <v>20</v>
      </c>
      <c r="D1629" t="s">
        <v>79</v>
      </c>
      <c r="E1629">
        <v>8</v>
      </c>
      <c r="F1629" t="s">
        <v>3266</v>
      </c>
      <c r="G1629">
        <v>835</v>
      </c>
      <c r="H1629">
        <v>1</v>
      </c>
      <c r="I1629" t="s">
        <v>89</v>
      </c>
      <c r="J1629">
        <v>0</v>
      </c>
      <c r="K1629">
        <v>2</v>
      </c>
      <c r="L1629">
        <v>2</v>
      </c>
      <c r="M1629">
        <v>202</v>
      </c>
      <c r="N1629">
        <v>443</v>
      </c>
      <c r="O1629">
        <v>0</v>
      </c>
      <c r="P1629">
        <v>241</v>
      </c>
      <c r="Q1629">
        <v>2</v>
      </c>
      <c r="R1629">
        <v>8</v>
      </c>
      <c r="S1629">
        <v>25</v>
      </c>
      <c r="T1629">
        <v>7</v>
      </c>
      <c r="U1629">
        <v>20</v>
      </c>
      <c r="V1629">
        <v>0</v>
      </c>
      <c r="W1629">
        <v>3</v>
      </c>
      <c r="X1629">
        <v>2</v>
      </c>
      <c r="Y1629">
        <v>136</v>
      </c>
      <c r="Z1629">
        <v>2</v>
      </c>
      <c r="AA1629">
        <v>2</v>
      </c>
      <c r="AB1629">
        <v>2</v>
      </c>
      <c r="AC1629">
        <v>1</v>
      </c>
      <c r="AD1629">
        <v>0</v>
      </c>
      <c r="AE1629">
        <v>0</v>
      </c>
      <c r="AF1629">
        <v>0</v>
      </c>
      <c r="AG1629">
        <v>0</v>
      </c>
      <c r="AH1629">
        <v>1</v>
      </c>
      <c r="AI1629">
        <v>0</v>
      </c>
      <c r="AJ1629">
        <v>0</v>
      </c>
      <c r="AK1629">
        <v>3</v>
      </c>
      <c r="AL1629">
        <v>4</v>
      </c>
      <c r="AM1629">
        <v>0</v>
      </c>
      <c r="AN1629">
        <v>2</v>
      </c>
      <c r="AT1629">
        <v>0</v>
      </c>
      <c r="AU1629">
        <v>14</v>
      </c>
      <c r="AV1629">
        <v>241</v>
      </c>
      <c r="AW1629">
        <v>234</v>
      </c>
      <c r="AX1629">
        <v>421</v>
      </c>
      <c r="BA1629">
        <v>1</v>
      </c>
      <c r="BC1629" t="s">
        <v>3355</v>
      </c>
      <c r="BD1629" s="4">
        <v>43283.156944444447</v>
      </c>
      <c r="BE1629" s="4">
        <v>43283.167754629627</v>
      </c>
      <c r="BF1629" s="4">
        <v>43283.167754629627</v>
      </c>
      <c r="BG1629" t="s">
        <v>83</v>
      </c>
      <c r="BH1629" t="s">
        <v>84</v>
      </c>
      <c r="BI1629" t="s">
        <v>85</v>
      </c>
    </row>
    <row r="1630" spans="1:61" x14ac:dyDescent="0.3">
      <c r="A1630" t="str">
        <f>"200847B0100"</f>
        <v>200847B0100</v>
      </c>
      <c r="B1630" t="s">
        <v>3356</v>
      </c>
      <c r="C1630">
        <v>20</v>
      </c>
      <c r="D1630" t="s">
        <v>79</v>
      </c>
      <c r="E1630">
        <v>8</v>
      </c>
      <c r="F1630" t="s">
        <v>3266</v>
      </c>
      <c r="G1630">
        <v>847</v>
      </c>
      <c r="H1630">
        <v>1</v>
      </c>
      <c r="I1630" t="s">
        <v>81</v>
      </c>
      <c r="J1630">
        <v>0</v>
      </c>
      <c r="K1630">
        <v>2</v>
      </c>
      <c r="L1630">
        <v>2</v>
      </c>
      <c r="M1630">
        <v>152</v>
      </c>
      <c r="N1630">
        <v>313</v>
      </c>
      <c r="O1630">
        <v>0</v>
      </c>
      <c r="P1630">
        <v>313</v>
      </c>
      <c r="Q1630">
        <v>2</v>
      </c>
      <c r="R1630">
        <v>8</v>
      </c>
      <c r="S1630">
        <v>66</v>
      </c>
      <c r="T1630">
        <v>3</v>
      </c>
      <c r="U1630">
        <v>12</v>
      </c>
      <c r="V1630">
        <v>1</v>
      </c>
      <c r="W1630">
        <v>26</v>
      </c>
      <c r="X1630">
        <v>5</v>
      </c>
      <c r="Y1630">
        <v>149</v>
      </c>
      <c r="Z1630">
        <v>4</v>
      </c>
      <c r="AA1630">
        <v>1</v>
      </c>
      <c r="AB1630">
        <v>1</v>
      </c>
      <c r="AC1630">
        <v>0</v>
      </c>
      <c r="AD1630">
        <v>2</v>
      </c>
      <c r="AE1630">
        <v>0</v>
      </c>
      <c r="AF1630">
        <v>1</v>
      </c>
      <c r="AG1630">
        <v>0</v>
      </c>
      <c r="AH1630">
        <v>0</v>
      </c>
      <c r="AI1630">
        <v>0</v>
      </c>
      <c r="AJ1630">
        <v>0</v>
      </c>
      <c r="AK1630">
        <v>4</v>
      </c>
      <c r="AL1630">
        <v>2</v>
      </c>
      <c r="AM1630">
        <v>1</v>
      </c>
      <c r="AN1630">
        <v>1</v>
      </c>
      <c r="AT1630">
        <v>0</v>
      </c>
      <c r="AU1630">
        <v>24</v>
      </c>
      <c r="AV1630">
        <v>313</v>
      </c>
      <c r="AW1630">
        <v>313</v>
      </c>
      <c r="AX1630">
        <v>443</v>
      </c>
      <c r="BA1630">
        <v>1</v>
      </c>
      <c r="BC1630" t="s">
        <v>3357</v>
      </c>
      <c r="BD1630" s="4">
        <v>43283.197916666664</v>
      </c>
      <c r="BE1630" s="4">
        <v>43283.218506944446</v>
      </c>
      <c r="BF1630" s="4">
        <v>43283.218506944446</v>
      </c>
      <c r="BG1630" t="s">
        <v>83</v>
      </c>
      <c r="BH1630" t="s">
        <v>84</v>
      </c>
      <c r="BI1630" t="s">
        <v>85</v>
      </c>
    </row>
    <row r="1631" spans="1:61" x14ac:dyDescent="0.3">
      <c r="A1631" t="str">
        <f>"200847C0100"</f>
        <v>200847C0100</v>
      </c>
      <c r="B1631" t="s">
        <v>3358</v>
      </c>
      <c r="C1631">
        <v>20</v>
      </c>
      <c r="D1631" t="s">
        <v>79</v>
      </c>
      <c r="E1631">
        <v>8</v>
      </c>
      <c r="F1631" t="s">
        <v>3266</v>
      </c>
      <c r="G1631">
        <v>847</v>
      </c>
      <c r="H1631">
        <v>1</v>
      </c>
      <c r="I1631" t="s">
        <v>89</v>
      </c>
      <c r="J1631">
        <v>0</v>
      </c>
      <c r="K1631">
        <v>2</v>
      </c>
      <c r="L1631">
        <v>2</v>
      </c>
      <c r="M1631">
        <v>131</v>
      </c>
      <c r="N1631">
        <v>333</v>
      </c>
      <c r="O1631">
        <v>0</v>
      </c>
      <c r="P1631">
        <v>333</v>
      </c>
      <c r="Q1631">
        <v>5</v>
      </c>
      <c r="R1631">
        <v>16</v>
      </c>
      <c r="S1631">
        <v>87</v>
      </c>
      <c r="T1631">
        <v>3</v>
      </c>
      <c r="U1631">
        <v>19</v>
      </c>
      <c r="V1631">
        <v>4</v>
      </c>
      <c r="W1631">
        <v>27</v>
      </c>
      <c r="X1631">
        <v>1</v>
      </c>
      <c r="Y1631">
        <v>128</v>
      </c>
      <c r="Z1631">
        <v>5</v>
      </c>
      <c r="AA1631">
        <v>1</v>
      </c>
      <c r="AB1631">
        <v>3</v>
      </c>
      <c r="AC1631">
        <v>2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10</v>
      </c>
      <c r="AL1631">
        <v>3</v>
      </c>
      <c r="AM1631">
        <v>0</v>
      </c>
      <c r="AN1631">
        <v>3</v>
      </c>
      <c r="AT1631">
        <v>0</v>
      </c>
      <c r="AU1631">
        <v>16</v>
      </c>
      <c r="AV1631">
        <v>333</v>
      </c>
      <c r="AW1631">
        <v>333</v>
      </c>
      <c r="AX1631">
        <v>442</v>
      </c>
      <c r="BA1631">
        <v>1</v>
      </c>
      <c r="BC1631" t="s">
        <v>3359</v>
      </c>
      <c r="BD1631" s="4">
        <v>43283.198611111111</v>
      </c>
      <c r="BE1631" s="4">
        <v>43283.22011574074</v>
      </c>
      <c r="BF1631" s="4">
        <v>43283.22011574074</v>
      </c>
      <c r="BG1631" t="s">
        <v>83</v>
      </c>
      <c r="BH1631" t="s">
        <v>84</v>
      </c>
      <c r="BI1631" t="s">
        <v>85</v>
      </c>
    </row>
    <row r="1632" spans="1:61" x14ac:dyDescent="0.3">
      <c r="A1632" t="str">
        <f>"200848B0100"</f>
        <v>200848B0100</v>
      </c>
      <c r="B1632" t="s">
        <v>3360</v>
      </c>
      <c r="C1632">
        <v>20</v>
      </c>
      <c r="D1632" t="s">
        <v>79</v>
      </c>
      <c r="E1632">
        <v>8</v>
      </c>
      <c r="F1632" t="s">
        <v>3266</v>
      </c>
      <c r="G1632">
        <v>848</v>
      </c>
      <c r="H1632">
        <v>1</v>
      </c>
      <c r="I1632" t="s">
        <v>81</v>
      </c>
      <c r="J1632">
        <v>0</v>
      </c>
      <c r="K1632">
        <v>2</v>
      </c>
      <c r="L1632">
        <v>2</v>
      </c>
      <c r="M1632">
        <v>176</v>
      </c>
      <c r="N1632">
        <v>395</v>
      </c>
      <c r="O1632">
        <v>4</v>
      </c>
      <c r="P1632">
        <v>395</v>
      </c>
      <c r="Q1632">
        <v>6</v>
      </c>
      <c r="R1632">
        <v>47</v>
      </c>
      <c r="S1632">
        <v>158</v>
      </c>
      <c r="T1632">
        <v>11</v>
      </c>
      <c r="U1632">
        <v>21</v>
      </c>
      <c r="V1632">
        <v>13</v>
      </c>
      <c r="W1632">
        <v>5</v>
      </c>
      <c r="X1632">
        <v>7</v>
      </c>
      <c r="Y1632">
        <v>77</v>
      </c>
      <c r="Z1632">
        <v>5</v>
      </c>
      <c r="AA1632">
        <v>0</v>
      </c>
      <c r="AB1632">
        <v>1</v>
      </c>
      <c r="AC1632">
        <v>2</v>
      </c>
      <c r="AD1632">
        <v>1</v>
      </c>
      <c r="AE1632">
        <v>0</v>
      </c>
      <c r="AF1632">
        <v>3</v>
      </c>
      <c r="AG1632">
        <v>1</v>
      </c>
      <c r="AH1632">
        <v>0</v>
      </c>
      <c r="AI1632">
        <v>0</v>
      </c>
      <c r="AJ1632">
        <v>0</v>
      </c>
      <c r="AK1632">
        <v>3</v>
      </c>
      <c r="AL1632">
        <v>3</v>
      </c>
      <c r="AM1632">
        <v>0</v>
      </c>
      <c r="AN1632">
        <v>1</v>
      </c>
      <c r="AT1632">
        <v>1</v>
      </c>
      <c r="AU1632">
        <v>29</v>
      </c>
      <c r="AV1632">
        <v>395</v>
      </c>
      <c r="AW1632">
        <v>395</v>
      </c>
      <c r="AX1632">
        <v>535</v>
      </c>
      <c r="BA1632">
        <v>1</v>
      </c>
      <c r="BC1632" t="s">
        <v>3361</v>
      </c>
      <c r="BD1632" s="4">
        <v>43283.135416666664</v>
      </c>
      <c r="BE1632" s="4">
        <v>43283.142557870371</v>
      </c>
      <c r="BF1632" s="4">
        <v>43283.142557870371</v>
      </c>
      <c r="BG1632" t="s">
        <v>83</v>
      </c>
      <c r="BH1632" t="s">
        <v>84</v>
      </c>
      <c r="BI1632" t="s">
        <v>85</v>
      </c>
    </row>
    <row r="1633" spans="1:61" x14ac:dyDescent="0.3">
      <c r="A1633" t="str">
        <f>"200849B0100"</f>
        <v>200849B0100</v>
      </c>
      <c r="B1633" t="s">
        <v>3362</v>
      </c>
      <c r="C1633">
        <v>20</v>
      </c>
      <c r="D1633" t="s">
        <v>79</v>
      </c>
      <c r="E1633">
        <v>8</v>
      </c>
      <c r="F1633" t="s">
        <v>3266</v>
      </c>
      <c r="G1633">
        <v>849</v>
      </c>
      <c r="H1633">
        <v>1</v>
      </c>
      <c r="I1633" t="s">
        <v>81</v>
      </c>
      <c r="J1633">
        <v>0</v>
      </c>
      <c r="K1633">
        <v>2</v>
      </c>
      <c r="L1633">
        <v>2</v>
      </c>
      <c r="M1633">
        <v>82</v>
      </c>
      <c r="N1633">
        <v>241</v>
      </c>
      <c r="O1633">
        <v>1</v>
      </c>
      <c r="P1633">
        <v>241</v>
      </c>
      <c r="Q1633">
        <v>4</v>
      </c>
      <c r="R1633">
        <v>114</v>
      </c>
      <c r="S1633">
        <v>28</v>
      </c>
      <c r="T1633">
        <v>7</v>
      </c>
      <c r="U1633">
        <v>7</v>
      </c>
      <c r="V1633">
        <v>2</v>
      </c>
      <c r="W1633">
        <v>4</v>
      </c>
      <c r="X1633">
        <v>7</v>
      </c>
      <c r="Y1633">
        <v>34</v>
      </c>
      <c r="Z1633">
        <v>0</v>
      </c>
      <c r="AA1633">
        <v>1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1</v>
      </c>
      <c r="AH1633">
        <v>2</v>
      </c>
      <c r="AI1633">
        <v>1</v>
      </c>
      <c r="AJ1633">
        <v>0</v>
      </c>
      <c r="AK1633">
        <v>3</v>
      </c>
      <c r="AL1633">
        <v>0</v>
      </c>
      <c r="AM1633">
        <v>0</v>
      </c>
      <c r="AN1633">
        <v>0</v>
      </c>
      <c r="AT1633">
        <v>0</v>
      </c>
      <c r="AU1633">
        <v>26</v>
      </c>
      <c r="AV1633">
        <v>241</v>
      </c>
      <c r="AW1633">
        <v>241</v>
      </c>
      <c r="AX1633">
        <v>302</v>
      </c>
      <c r="BA1633">
        <v>1</v>
      </c>
      <c r="BC1633" t="s">
        <v>3363</v>
      </c>
      <c r="BD1633" s="4">
        <v>43283.124305555553</v>
      </c>
      <c r="BE1633" s="4">
        <v>43283.129224537035</v>
      </c>
      <c r="BF1633" s="4">
        <v>43283.129224537035</v>
      </c>
      <c r="BG1633" t="s">
        <v>83</v>
      </c>
      <c r="BH1633" t="s">
        <v>84</v>
      </c>
      <c r="BI1633" t="s">
        <v>85</v>
      </c>
    </row>
    <row r="1634" spans="1:61" x14ac:dyDescent="0.3">
      <c r="A1634" t="str">
        <f>"200849E0100"</f>
        <v>200849E0100</v>
      </c>
      <c r="B1634" s="2" t="s">
        <v>3364</v>
      </c>
      <c r="C1634">
        <v>20</v>
      </c>
      <c r="D1634" t="s">
        <v>79</v>
      </c>
      <c r="E1634">
        <v>8</v>
      </c>
      <c r="F1634" t="s">
        <v>3266</v>
      </c>
      <c r="G1634">
        <v>849</v>
      </c>
      <c r="H1634">
        <v>1</v>
      </c>
      <c r="I1634" t="s">
        <v>145</v>
      </c>
      <c r="J1634">
        <v>0</v>
      </c>
      <c r="K1634">
        <v>2</v>
      </c>
      <c r="L1634">
        <v>2</v>
      </c>
      <c r="M1634">
        <v>106</v>
      </c>
      <c r="N1634">
        <v>228</v>
      </c>
      <c r="O1634">
        <v>6</v>
      </c>
      <c r="P1634">
        <v>228</v>
      </c>
      <c r="Q1634">
        <v>4</v>
      </c>
      <c r="R1634">
        <v>8</v>
      </c>
      <c r="S1634">
        <v>57</v>
      </c>
      <c r="T1634">
        <v>3</v>
      </c>
      <c r="U1634">
        <v>13</v>
      </c>
      <c r="V1634">
        <v>7</v>
      </c>
      <c r="W1634">
        <v>20</v>
      </c>
      <c r="X1634">
        <v>2</v>
      </c>
      <c r="Y1634">
        <v>85</v>
      </c>
      <c r="Z1634">
        <v>7</v>
      </c>
      <c r="AA1634">
        <v>1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T1634">
        <v>0</v>
      </c>
      <c r="AU1634">
        <v>21</v>
      </c>
      <c r="AV1634" t="s">
        <v>100</v>
      </c>
      <c r="AW1634">
        <v>228</v>
      </c>
      <c r="AX1634">
        <v>312</v>
      </c>
      <c r="BA1634">
        <v>1</v>
      </c>
      <c r="BC1634" t="s">
        <v>3365</v>
      </c>
      <c r="BD1634" s="4">
        <v>43283.127083333333</v>
      </c>
      <c r="BE1634" s="4">
        <v>43283.130659722221</v>
      </c>
      <c r="BF1634" s="4">
        <v>43283.130659722221</v>
      </c>
      <c r="BG1634" t="s">
        <v>83</v>
      </c>
      <c r="BH1634" t="s">
        <v>84</v>
      </c>
      <c r="BI1634" t="s">
        <v>85</v>
      </c>
    </row>
    <row r="1635" spans="1:61" x14ac:dyDescent="0.3">
      <c r="A1635" t="str">
        <f>"200849E0200"</f>
        <v>200849E0200</v>
      </c>
      <c r="B1635" s="2" t="s">
        <v>3366</v>
      </c>
      <c r="C1635">
        <v>20</v>
      </c>
      <c r="D1635" t="s">
        <v>79</v>
      </c>
      <c r="E1635">
        <v>8</v>
      </c>
      <c r="F1635" t="s">
        <v>3266</v>
      </c>
      <c r="G1635">
        <v>849</v>
      </c>
      <c r="H1635">
        <v>2</v>
      </c>
      <c r="I1635" t="s">
        <v>145</v>
      </c>
      <c r="J1635">
        <v>0</v>
      </c>
      <c r="K1635">
        <v>2</v>
      </c>
      <c r="L1635">
        <v>2</v>
      </c>
      <c r="M1635">
        <v>60</v>
      </c>
      <c r="N1635">
        <v>141</v>
      </c>
      <c r="O1635">
        <v>0</v>
      </c>
      <c r="P1635">
        <v>141</v>
      </c>
      <c r="Q1635">
        <v>0</v>
      </c>
      <c r="R1635">
        <v>24</v>
      </c>
      <c r="S1635">
        <v>49</v>
      </c>
      <c r="T1635">
        <v>3</v>
      </c>
      <c r="U1635">
        <v>5</v>
      </c>
      <c r="V1635">
        <v>3</v>
      </c>
      <c r="W1635">
        <v>3</v>
      </c>
      <c r="X1635">
        <v>2</v>
      </c>
      <c r="Y1635">
        <v>34</v>
      </c>
      <c r="Z1635">
        <v>3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1</v>
      </c>
      <c r="AT1635">
        <v>0</v>
      </c>
      <c r="AU1635">
        <v>14</v>
      </c>
      <c r="AV1635">
        <v>141</v>
      </c>
      <c r="AW1635">
        <v>141</v>
      </c>
      <c r="AX1635">
        <v>179</v>
      </c>
      <c r="BA1635">
        <v>1</v>
      </c>
      <c r="BC1635" t="s">
        <v>3367</v>
      </c>
      <c r="BD1635" s="4">
        <v>43283.188888888886</v>
      </c>
      <c r="BE1635" s="4">
        <v>43283.208020833335</v>
      </c>
      <c r="BF1635" s="4">
        <v>43283.208020833335</v>
      </c>
      <c r="BG1635" t="s">
        <v>83</v>
      </c>
      <c r="BH1635" t="s">
        <v>84</v>
      </c>
      <c r="BI1635" t="s">
        <v>85</v>
      </c>
    </row>
    <row r="1636" spans="1:61" x14ac:dyDescent="0.3">
      <c r="A1636" t="str">
        <f>"200850B0100"</f>
        <v>200850B0100</v>
      </c>
      <c r="B1636" t="s">
        <v>3368</v>
      </c>
      <c r="C1636">
        <v>20</v>
      </c>
      <c r="D1636" t="s">
        <v>79</v>
      </c>
      <c r="E1636">
        <v>8</v>
      </c>
      <c r="F1636" t="s">
        <v>3266</v>
      </c>
      <c r="G1636">
        <v>850</v>
      </c>
      <c r="H1636">
        <v>1</v>
      </c>
      <c r="I1636" t="s">
        <v>81</v>
      </c>
      <c r="J1636">
        <v>0</v>
      </c>
      <c r="K1636">
        <v>2</v>
      </c>
      <c r="L1636">
        <v>2</v>
      </c>
      <c r="M1636">
        <v>84</v>
      </c>
      <c r="N1636">
        <v>203</v>
      </c>
      <c r="O1636">
        <v>2</v>
      </c>
      <c r="P1636">
        <v>203</v>
      </c>
      <c r="Q1636">
        <v>0</v>
      </c>
      <c r="R1636">
        <v>2</v>
      </c>
      <c r="S1636">
        <v>21</v>
      </c>
      <c r="T1636">
        <v>2</v>
      </c>
      <c r="U1636">
        <v>14</v>
      </c>
      <c r="V1636">
        <v>0</v>
      </c>
      <c r="W1636">
        <v>6</v>
      </c>
      <c r="X1636">
        <v>0</v>
      </c>
      <c r="Y1636">
        <v>147</v>
      </c>
      <c r="Z1636">
        <v>3</v>
      </c>
      <c r="AA1636">
        <v>0</v>
      </c>
      <c r="AB1636">
        <v>2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T1636">
        <v>0</v>
      </c>
      <c r="AU1636">
        <v>0</v>
      </c>
      <c r="AV1636">
        <v>203</v>
      </c>
      <c r="AW1636">
        <v>197</v>
      </c>
      <c r="AX1636">
        <v>264</v>
      </c>
      <c r="BA1636">
        <v>1</v>
      </c>
      <c r="BC1636" t="s">
        <v>3369</v>
      </c>
      <c r="BD1636" s="4">
        <v>43283.198611111111</v>
      </c>
      <c r="BE1636" s="4">
        <v>43283.215949074074</v>
      </c>
      <c r="BF1636" s="4">
        <v>43283.215949074074</v>
      </c>
      <c r="BG1636" t="s">
        <v>83</v>
      </c>
      <c r="BH1636" t="s">
        <v>84</v>
      </c>
      <c r="BI1636" t="s">
        <v>85</v>
      </c>
    </row>
    <row r="1637" spans="1:61" x14ac:dyDescent="0.3">
      <c r="A1637" t="str">
        <f>"200850E0100"</f>
        <v>200850E0100</v>
      </c>
      <c r="B1637" s="2" t="s">
        <v>3370</v>
      </c>
      <c r="C1637">
        <v>20</v>
      </c>
      <c r="D1637" t="s">
        <v>79</v>
      </c>
      <c r="E1637">
        <v>8</v>
      </c>
      <c r="F1637" t="s">
        <v>3266</v>
      </c>
      <c r="G1637">
        <v>850</v>
      </c>
      <c r="H1637">
        <v>1</v>
      </c>
      <c r="I1637" t="s">
        <v>145</v>
      </c>
      <c r="J1637">
        <v>0</v>
      </c>
      <c r="K1637">
        <v>2</v>
      </c>
      <c r="L1637">
        <v>2</v>
      </c>
      <c r="M1637">
        <v>85</v>
      </c>
      <c r="N1637">
        <v>209</v>
      </c>
      <c r="O1637">
        <v>3</v>
      </c>
      <c r="P1637">
        <v>209</v>
      </c>
      <c r="Q1637">
        <v>1</v>
      </c>
      <c r="R1637">
        <v>49</v>
      </c>
      <c r="S1637">
        <v>16</v>
      </c>
      <c r="T1637">
        <v>4</v>
      </c>
      <c r="U1637">
        <v>13</v>
      </c>
      <c r="V1637">
        <v>1</v>
      </c>
      <c r="W1637">
        <v>3</v>
      </c>
      <c r="X1637">
        <v>4</v>
      </c>
      <c r="Y1637">
        <v>74</v>
      </c>
      <c r="Z1637">
        <v>3</v>
      </c>
      <c r="AA1637">
        <v>1</v>
      </c>
      <c r="AB1637">
        <v>2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1</v>
      </c>
      <c r="AJ1637">
        <v>0</v>
      </c>
      <c r="AK1637">
        <v>8</v>
      </c>
      <c r="AL1637">
        <v>2</v>
      </c>
      <c r="AM1637">
        <v>1</v>
      </c>
      <c r="AN1637">
        <v>2</v>
      </c>
      <c r="AT1637">
        <v>0</v>
      </c>
      <c r="AU1637">
        <v>24</v>
      </c>
      <c r="AV1637">
        <v>209</v>
      </c>
      <c r="AW1637">
        <v>209</v>
      </c>
      <c r="AX1637">
        <v>272</v>
      </c>
      <c r="BA1637">
        <v>1</v>
      </c>
      <c r="BC1637" t="s">
        <v>3371</v>
      </c>
      <c r="BD1637" s="4">
        <v>43283.198611111111</v>
      </c>
      <c r="BE1637" s="4">
        <v>43283.215590277781</v>
      </c>
      <c r="BF1637" s="4">
        <v>43283.215590277781</v>
      </c>
      <c r="BG1637" t="s">
        <v>83</v>
      </c>
      <c r="BH1637" t="s">
        <v>84</v>
      </c>
      <c r="BI1637" t="s">
        <v>85</v>
      </c>
    </row>
    <row r="1638" spans="1:61" x14ac:dyDescent="0.3">
      <c r="A1638" t="str">
        <f>"200978B0100"</f>
        <v>200978B0100</v>
      </c>
      <c r="B1638" t="s">
        <v>3372</v>
      </c>
      <c r="C1638">
        <v>20</v>
      </c>
      <c r="D1638" t="s">
        <v>79</v>
      </c>
      <c r="E1638">
        <v>8</v>
      </c>
      <c r="F1638" t="s">
        <v>3266</v>
      </c>
      <c r="G1638">
        <v>978</v>
      </c>
      <c r="H1638">
        <v>1</v>
      </c>
      <c r="I1638" t="s">
        <v>81</v>
      </c>
      <c r="J1638">
        <v>0</v>
      </c>
      <c r="K1638">
        <v>2</v>
      </c>
      <c r="L1638">
        <v>2</v>
      </c>
      <c r="M1638">
        <v>139</v>
      </c>
      <c r="N1638">
        <v>234</v>
      </c>
      <c r="O1638">
        <v>6</v>
      </c>
      <c r="P1638">
        <v>234</v>
      </c>
      <c r="Q1638">
        <v>5</v>
      </c>
      <c r="R1638">
        <v>40</v>
      </c>
      <c r="S1638">
        <v>7</v>
      </c>
      <c r="T1638">
        <v>6</v>
      </c>
      <c r="U1638">
        <v>16</v>
      </c>
      <c r="V1638">
        <v>7</v>
      </c>
      <c r="W1638">
        <v>4</v>
      </c>
      <c r="X1638">
        <v>3</v>
      </c>
      <c r="Y1638">
        <v>116</v>
      </c>
      <c r="Z1638">
        <v>7</v>
      </c>
      <c r="AA1638">
        <v>4</v>
      </c>
      <c r="AB1638">
        <v>1</v>
      </c>
      <c r="AC1638">
        <v>0</v>
      </c>
      <c r="AD1638">
        <v>0</v>
      </c>
      <c r="AE1638">
        <v>0</v>
      </c>
      <c r="AF1638">
        <v>1</v>
      </c>
      <c r="AG1638">
        <v>0</v>
      </c>
      <c r="AH1638">
        <v>1</v>
      </c>
      <c r="AI1638">
        <v>0</v>
      </c>
      <c r="AJ1638">
        <v>0</v>
      </c>
      <c r="AK1638">
        <v>0</v>
      </c>
      <c r="AL1638">
        <v>1</v>
      </c>
      <c r="AM1638">
        <v>0</v>
      </c>
      <c r="AN1638">
        <v>1</v>
      </c>
      <c r="AT1638" t="s">
        <v>100</v>
      </c>
      <c r="AU1638" t="s">
        <v>100</v>
      </c>
      <c r="AV1638" t="s">
        <v>100</v>
      </c>
      <c r="AW1638">
        <v>220</v>
      </c>
      <c r="AX1638">
        <v>351</v>
      </c>
      <c r="AZ1638" t="s">
        <v>101</v>
      </c>
      <c r="BA1638">
        <v>1</v>
      </c>
      <c r="BC1638" t="s">
        <v>3373</v>
      </c>
      <c r="BD1638" s="4">
        <v>43283.143750000003</v>
      </c>
      <c r="BE1638" s="4">
        <v>43283.15693287037</v>
      </c>
      <c r="BF1638" s="4">
        <v>43283.15693287037</v>
      </c>
      <c r="BG1638" t="s">
        <v>83</v>
      </c>
      <c r="BH1638" t="s">
        <v>84</v>
      </c>
      <c r="BI1638" t="s">
        <v>85</v>
      </c>
    </row>
    <row r="1639" spans="1:61" x14ac:dyDescent="0.3">
      <c r="A1639" t="str">
        <f>"201205B0100"</f>
        <v>201205B0100</v>
      </c>
      <c r="B1639" t="s">
        <v>3374</v>
      </c>
      <c r="C1639">
        <v>20</v>
      </c>
      <c r="D1639" t="s">
        <v>79</v>
      </c>
      <c r="E1639">
        <v>8</v>
      </c>
      <c r="F1639" t="s">
        <v>3266</v>
      </c>
      <c r="G1639">
        <v>1205</v>
      </c>
      <c r="H1639">
        <v>1</v>
      </c>
      <c r="I1639" t="s">
        <v>81</v>
      </c>
      <c r="J1639">
        <v>0</v>
      </c>
      <c r="K1639">
        <v>2</v>
      </c>
      <c r="L1639">
        <v>2</v>
      </c>
      <c r="M1639">
        <v>271</v>
      </c>
      <c r="N1639">
        <v>364</v>
      </c>
      <c r="O1639">
        <v>9</v>
      </c>
      <c r="P1639">
        <v>364</v>
      </c>
      <c r="Q1639">
        <v>3</v>
      </c>
      <c r="R1639">
        <v>88</v>
      </c>
      <c r="S1639">
        <v>132</v>
      </c>
      <c r="T1639">
        <v>5</v>
      </c>
      <c r="U1639">
        <v>9</v>
      </c>
      <c r="V1639">
        <v>3</v>
      </c>
      <c r="W1639">
        <v>6</v>
      </c>
      <c r="X1639">
        <v>7</v>
      </c>
      <c r="Y1639">
        <v>64</v>
      </c>
      <c r="Z1639">
        <v>2</v>
      </c>
      <c r="AA1639">
        <v>2</v>
      </c>
      <c r="AB1639">
        <v>1</v>
      </c>
      <c r="AC1639">
        <v>0</v>
      </c>
      <c r="AD1639">
        <v>1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1</v>
      </c>
      <c r="AL1639">
        <v>0</v>
      </c>
      <c r="AM1639">
        <v>0</v>
      </c>
      <c r="AN1639">
        <v>0</v>
      </c>
      <c r="AT1639">
        <v>0</v>
      </c>
      <c r="AU1639">
        <v>40</v>
      </c>
      <c r="AV1639">
        <v>364</v>
      </c>
      <c r="AW1639">
        <v>364</v>
      </c>
      <c r="AX1639">
        <v>613</v>
      </c>
      <c r="BA1639">
        <v>1</v>
      </c>
      <c r="BC1639" t="s">
        <v>3375</v>
      </c>
      <c r="BD1639" s="4">
        <v>43283.172222222223</v>
      </c>
      <c r="BE1639" s="4">
        <v>43283.190046296295</v>
      </c>
      <c r="BF1639" s="4">
        <v>43283.190046296295</v>
      </c>
      <c r="BG1639" t="s">
        <v>83</v>
      </c>
      <c r="BH1639" t="s">
        <v>84</v>
      </c>
      <c r="BI1639" t="s">
        <v>85</v>
      </c>
    </row>
    <row r="1640" spans="1:61" x14ac:dyDescent="0.3">
      <c r="A1640" t="str">
        <f>"201205C0100"</f>
        <v>201205C0100</v>
      </c>
      <c r="B1640" t="s">
        <v>3376</v>
      </c>
      <c r="C1640">
        <v>20</v>
      </c>
      <c r="D1640" t="s">
        <v>79</v>
      </c>
      <c r="E1640">
        <v>8</v>
      </c>
      <c r="F1640" t="s">
        <v>3266</v>
      </c>
      <c r="G1640">
        <v>1205</v>
      </c>
      <c r="H1640">
        <v>1</v>
      </c>
      <c r="I1640" t="s">
        <v>89</v>
      </c>
      <c r="J1640">
        <v>0</v>
      </c>
      <c r="K1640">
        <v>2</v>
      </c>
      <c r="L1640">
        <v>2</v>
      </c>
      <c r="M1640">
        <v>280</v>
      </c>
      <c r="N1640">
        <v>355</v>
      </c>
      <c r="O1640">
        <v>7</v>
      </c>
      <c r="P1640">
        <v>355</v>
      </c>
      <c r="Q1640">
        <v>8</v>
      </c>
      <c r="R1640">
        <v>91</v>
      </c>
      <c r="S1640">
        <v>105</v>
      </c>
      <c r="T1640">
        <v>12</v>
      </c>
      <c r="U1640">
        <v>11</v>
      </c>
      <c r="V1640">
        <v>8</v>
      </c>
      <c r="W1640">
        <v>2</v>
      </c>
      <c r="X1640">
        <v>3</v>
      </c>
      <c r="Y1640">
        <v>71</v>
      </c>
      <c r="Z1640">
        <v>3</v>
      </c>
      <c r="AA1640">
        <v>0</v>
      </c>
      <c r="AB1640">
        <v>0</v>
      </c>
      <c r="AC1640">
        <v>1</v>
      </c>
      <c r="AD1640">
        <v>2</v>
      </c>
      <c r="AE1640">
        <v>0</v>
      </c>
      <c r="AF1640">
        <v>2</v>
      </c>
      <c r="AG1640">
        <v>0</v>
      </c>
      <c r="AH1640">
        <v>4</v>
      </c>
      <c r="AI1640">
        <v>2</v>
      </c>
      <c r="AJ1640">
        <v>1</v>
      </c>
      <c r="AK1640">
        <v>2</v>
      </c>
      <c r="AL1640">
        <v>1</v>
      </c>
      <c r="AM1640">
        <v>0</v>
      </c>
      <c r="AN1640">
        <v>0</v>
      </c>
      <c r="AT1640">
        <v>0</v>
      </c>
      <c r="AU1640">
        <v>26</v>
      </c>
      <c r="AV1640">
        <v>355</v>
      </c>
      <c r="AW1640">
        <v>355</v>
      </c>
      <c r="AX1640">
        <v>613</v>
      </c>
      <c r="BA1640">
        <v>1</v>
      </c>
      <c r="BC1640" t="s">
        <v>3377</v>
      </c>
      <c r="BD1640" s="4">
        <v>43283.17291666667</v>
      </c>
      <c r="BE1640" s="4">
        <v>43283.192048611112</v>
      </c>
      <c r="BF1640" s="4">
        <v>43283.192048611112</v>
      </c>
      <c r="BG1640" t="s">
        <v>83</v>
      </c>
      <c r="BH1640" t="s">
        <v>84</v>
      </c>
      <c r="BI1640" t="s">
        <v>85</v>
      </c>
    </row>
    <row r="1641" spans="1:61" x14ac:dyDescent="0.3">
      <c r="A1641" t="str">
        <f>"201206B0100"</f>
        <v>201206B0100</v>
      </c>
      <c r="B1641" t="s">
        <v>3378</v>
      </c>
      <c r="C1641">
        <v>20</v>
      </c>
      <c r="D1641" t="s">
        <v>79</v>
      </c>
      <c r="E1641">
        <v>8</v>
      </c>
      <c r="F1641" t="s">
        <v>3266</v>
      </c>
      <c r="G1641">
        <v>1206</v>
      </c>
      <c r="H1641">
        <v>1</v>
      </c>
      <c r="I1641" t="s">
        <v>81</v>
      </c>
      <c r="J1641">
        <v>0</v>
      </c>
      <c r="K1641">
        <v>2</v>
      </c>
      <c r="L1641">
        <v>2</v>
      </c>
      <c r="AX1641">
        <v>456</v>
      </c>
      <c r="AZ1641" t="s">
        <v>1868</v>
      </c>
      <c r="BA1641">
        <v>0</v>
      </c>
      <c r="BC1641" t="s">
        <v>3379</v>
      </c>
      <c r="BD1641" s="4">
        <v>43283.17083333333</v>
      </c>
      <c r="BE1641" s="4">
        <v>43283.186365740738</v>
      </c>
      <c r="BF1641" s="4">
        <v>43283.186365740738</v>
      </c>
      <c r="BG1641" t="s">
        <v>83</v>
      </c>
      <c r="BH1641" t="s">
        <v>84</v>
      </c>
      <c r="BI1641" t="s">
        <v>85</v>
      </c>
    </row>
    <row r="1642" spans="1:61" x14ac:dyDescent="0.3">
      <c r="A1642" t="str">
        <f>"201206E0100"</f>
        <v>201206E0100</v>
      </c>
      <c r="B1642" s="2" t="s">
        <v>3380</v>
      </c>
      <c r="C1642">
        <v>20</v>
      </c>
      <c r="D1642" t="s">
        <v>79</v>
      </c>
      <c r="E1642">
        <v>8</v>
      </c>
      <c r="F1642" t="s">
        <v>3266</v>
      </c>
      <c r="G1642">
        <v>1206</v>
      </c>
      <c r="H1642">
        <v>1</v>
      </c>
      <c r="I1642" t="s">
        <v>145</v>
      </c>
      <c r="J1642">
        <v>0</v>
      </c>
      <c r="K1642">
        <v>2</v>
      </c>
      <c r="L1642">
        <v>2</v>
      </c>
      <c r="M1642">
        <v>422</v>
      </c>
      <c r="N1642">
        <v>343</v>
      </c>
      <c r="O1642">
        <v>6</v>
      </c>
      <c r="P1642">
        <v>343</v>
      </c>
      <c r="Q1642">
        <v>7</v>
      </c>
      <c r="R1642">
        <v>169</v>
      </c>
      <c r="S1642">
        <v>18</v>
      </c>
      <c r="T1642">
        <v>11</v>
      </c>
      <c r="U1642">
        <v>22</v>
      </c>
      <c r="V1642">
        <v>7</v>
      </c>
      <c r="W1642">
        <v>5</v>
      </c>
      <c r="X1642">
        <v>10</v>
      </c>
      <c r="Y1642">
        <v>67</v>
      </c>
      <c r="Z1642">
        <v>5</v>
      </c>
      <c r="AA1642">
        <v>0</v>
      </c>
      <c r="AB1642">
        <v>7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3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T1642">
        <v>0</v>
      </c>
      <c r="AU1642">
        <v>21</v>
      </c>
      <c r="AV1642" t="s">
        <v>100</v>
      </c>
      <c r="AW1642">
        <v>352</v>
      </c>
      <c r="AX1642">
        <v>743</v>
      </c>
      <c r="BA1642">
        <v>1</v>
      </c>
      <c r="BC1642" t="s">
        <v>3381</v>
      </c>
      <c r="BD1642" s="4">
        <v>43283.168749999997</v>
      </c>
      <c r="BE1642" s="4">
        <v>43283.192384259259</v>
      </c>
      <c r="BF1642" s="4">
        <v>43283.192384259259</v>
      </c>
      <c r="BG1642" t="s">
        <v>83</v>
      </c>
      <c r="BH1642" t="s">
        <v>84</v>
      </c>
      <c r="BI1642" t="s">
        <v>85</v>
      </c>
    </row>
    <row r="1643" spans="1:61" x14ac:dyDescent="0.3">
      <c r="A1643" t="str">
        <f>"201207B0100"</f>
        <v>201207B0100</v>
      </c>
      <c r="B1643" t="s">
        <v>3382</v>
      </c>
      <c r="C1643">
        <v>20</v>
      </c>
      <c r="D1643" t="s">
        <v>79</v>
      </c>
      <c r="E1643">
        <v>8</v>
      </c>
      <c r="F1643" t="s">
        <v>3266</v>
      </c>
      <c r="G1643">
        <v>1207</v>
      </c>
      <c r="H1643">
        <v>1</v>
      </c>
      <c r="I1643" t="s">
        <v>81</v>
      </c>
      <c r="J1643">
        <v>0</v>
      </c>
      <c r="K1643">
        <v>2</v>
      </c>
      <c r="L1643">
        <v>2</v>
      </c>
      <c r="M1643">
        <v>225</v>
      </c>
      <c r="N1643">
        <v>275</v>
      </c>
      <c r="O1643">
        <v>4</v>
      </c>
      <c r="P1643">
        <v>275</v>
      </c>
      <c r="Q1643">
        <v>4</v>
      </c>
      <c r="R1643">
        <v>59</v>
      </c>
      <c r="S1643">
        <v>52</v>
      </c>
      <c r="T1643">
        <v>5</v>
      </c>
      <c r="U1643">
        <v>20</v>
      </c>
      <c r="V1643">
        <v>9</v>
      </c>
      <c r="W1643">
        <v>2</v>
      </c>
      <c r="X1643">
        <v>6</v>
      </c>
      <c r="Y1643">
        <v>93</v>
      </c>
      <c r="Z1643">
        <v>4</v>
      </c>
      <c r="AA1643">
        <v>0</v>
      </c>
      <c r="AB1643">
        <v>1</v>
      </c>
      <c r="AC1643">
        <v>1</v>
      </c>
      <c r="AD1643" t="s">
        <v>100</v>
      </c>
      <c r="AE1643" t="s">
        <v>100</v>
      </c>
      <c r="AF1643" t="s">
        <v>100</v>
      </c>
      <c r="AG1643" t="s">
        <v>100</v>
      </c>
      <c r="AH1643" t="s">
        <v>100</v>
      </c>
      <c r="AI1643" t="s">
        <v>100</v>
      </c>
      <c r="AJ1643" t="s">
        <v>100</v>
      </c>
      <c r="AK1643" t="s">
        <v>100</v>
      </c>
      <c r="AL1643" t="s">
        <v>100</v>
      </c>
      <c r="AM1643" t="s">
        <v>100</v>
      </c>
      <c r="AN1643" t="s">
        <v>100</v>
      </c>
      <c r="AT1643">
        <v>4</v>
      </c>
      <c r="AU1643">
        <v>20</v>
      </c>
      <c r="AV1643">
        <v>275</v>
      </c>
      <c r="AW1643">
        <v>280</v>
      </c>
      <c r="AX1643">
        <v>478</v>
      </c>
      <c r="AZ1643" t="s">
        <v>101</v>
      </c>
      <c r="BA1643">
        <v>1</v>
      </c>
      <c r="BC1643" t="s">
        <v>3383</v>
      </c>
      <c r="BD1643" s="4">
        <v>43283.170138888891</v>
      </c>
      <c r="BE1643" s="4">
        <v>43283.188564814816</v>
      </c>
      <c r="BF1643" s="4">
        <v>43283.188564814816</v>
      </c>
      <c r="BG1643" t="s">
        <v>83</v>
      </c>
      <c r="BH1643" t="s">
        <v>84</v>
      </c>
      <c r="BI1643" t="s">
        <v>85</v>
      </c>
    </row>
    <row r="1644" spans="1:61" x14ac:dyDescent="0.3">
      <c r="A1644" t="str">
        <f>"201207C0100"</f>
        <v>201207C0100</v>
      </c>
      <c r="B1644" t="s">
        <v>3384</v>
      </c>
      <c r="C1644">
        <v>20</v>
      </c>
      <c r="D1644" t="s">
        <v>79</v>
      </c>
      <c r="E1644">
        <v>8</v>
      </c>
      <c r="F1644" t="s">
        <v>3266</v>
      </c>
      <c r="G1644">
        <v>1207</v>
      </c>
      <c r="H1644">
        <v>1</v>
      </c>
      <c r="I1644" t="s">
        <v>89</v>
      </c>
      <c r="J1644">
        <v>0</v>
      </c>
      <c r="K1644">
        <v>2</v>
      </c>
      <c r="L1644">
        <v>2</v>
      </c>
      <c r="M1644">
        <v>267</v>
      </c>
      <c r="N1644" t="s">
        <v>100</v>
      </c>
      <c r="O1644">
        <v>1</v>
      </c>
      <c r="P1644">
        <v>0</v>
      </c>
      <c r="Q1644">
        <v>4</v>
      </c>
      <c r="R1644">
        <v>30</v>
      </c>
      <c r="S1644">
        <v>50</v>
      </c>
      <c r="T1644">
        <v>0</v>
      </c>
      <c r="U1644">
        <v>12</v>
      </c>
      <c r="V1644">
        <v>7</v>
      </c>
      <c r="W1644">
        <v>5</v>
      </c>
      <c r="X1644">
        <v>3</v>
      </c>
      <c r="Y1644">
        <v>91</v>
      </c>
      <c r="Z1644">
        <v>1</v>
      </c>
      <c r="AA1644">
        <v>1</v>
      </c>
      <c r="AB1644">
        <v>1</v>
      </c>
      <c r="AC1644" t="s">
        <v>100</v>
      </c>
      <c r="AD1644" t="s">
        <v>100</v>
      </c>
      <c r="AE1644">
        <v>1</v>
      </c>
      <c r="AF1644" t="s">
        <v>100</v>
      </c>
      <c r="AG1644" t="s">
        <v>100</v>
      </c>
      <c r="AH1644">
        <v>1</v>
      </c>
      <c r="AI1644" t="s">
        <v>100</v>
      </c>
      <c r="AJ1644" t="s">
        <v>100</v>
      </c>
      <c r="AK1644" t="s">
        <v>100</v>
      </c>
      <c r="AL1644">
        <v>1</v>
      </c>
      <c r="AM1644" t="s">
        <v>100</v>
      </c>
      <c r="AN1644" t="s">
        <v>100</v>
      </c>
      <c r="AT1644" t="s">
        <v>100</v>
      </c>
      <c r="AU1644">
        <v>11</v>
      </c>
      <c r="AV1644">
        <v>220</v>
      </c>
      <c r="AW1644">
        <v>219</v>
      </c>
      <c r="AX1644">
        <v>477</v>
      </c>
      <c r="AZ1644" t="s">
        <v>101</v>
      </c>
      <c r="BA1644">
        <v>1</v>
      </c>
      <c r="BC1644" t="s">
        <v>3385</v>
      </c>
      <c r="BD1644" s="4">
        <v>43283.170138888891</v>
      </c>
      <c r="BE1644" s="4">
        <v>43283.183692129627</v>
      </c>
      <c r="BF1644" s="4">
        <v>43283.183692129627</v>
      </c>
      <c r="BG1644" t="s">
        <v>83</v>
      </c>
      <c r="BH1644" t="s">
        <v>84</v>
      </c>
      <c r="BI1644" t="s">
        <v>85</v>
      </c>
    </row>
    <row r="1645" spans="1:61" x14ac:dyDescent="0.3">
      <c r="A1645" t="str">
        <f>"201208B0100"</f>
        <v>201208B0100</v>
      </c>
      <c r="B1645" t="s">
        <v>3386</v>
      </c>
      <c r="C1645">
        <v>20</v>
      </c>
      <c r="D1645" t="s">
        <v>79</v>
      </c>
      <c r="E1645">
        <v>8</v>
      </c>
      <c r="F1645" t="s">
        <v>3266</v>
      </c>
      <c r="G1645">
        <v>1208</v>
      </c>
      <c r="H1645">
        <v>1</v>
      </c>
      <c r="I1645" t="s">
        <v>81</v>
      </c>
      <c r="J1645">
        <v>0</v>
      </c>
      <c r="K1645">
        <v>2</v>
      </c>
      <c r="L1645">
        <v>2</v>
      </c>
      <c r="M1645">
        <v>218</v>
      </c>
      <c r="N1645">
        <v>382</v>
      </c>
      <c r="O1645">
        <v>5</v>
      </c>
      <c r="P1645">
        <v>382</v>
      </c>
      <c r="Q1645">
        <v>1</v>
      </c>
      <c r="R1645">
        <v>26</v>
      </c>
      <c r="S1645">
        <v>57</v>
      </c>
      <c r="T1645">
        <v>2</v>
      </c>
      <c r="U1645">
        <v>18</v>
      </c>
      <c r="V1645">
        <v>4</v>
      </c>
      <c r="W1645">
        <v>10</v>
      </c>
      <c r="X1645">
        <v>7</v>
      </c>
      <c r="Y1645">
        <v>198</v>
      </c>
      <c r="Z1645">
        <v>6</v>
      </c>
      <c r="AA1645">
        <v>1</v>
      </c>
      <c r="AB1645">
        <v>0</v>
      </c>
      <c r="AC1645">
        <v>2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2</v>
      </c>
      <c r="AL1645">
        <v>2</v>
      </c>
      <c r="AM1645">
        <v>0</v>
      </c>
      <c r="AN1645">
        <v>1</v>
      </c>
      <c r="AT1645">
        <v>0</v>
      </c>
      <c r="AU1645">
        <v>45</v>
      </c>
      <c r="AV1645">
        <v>382</v>
      </c>
      <c r="AW1645">
        <v>382</v>
      </c>
      <c r="AX1645">
        <v>578</v>
      </c>
      <c r="BA1645">
        <v>1</v>
      </c>
      <c r="BC1645" t="s">
        <v>3387</v>
      </c>
      <c r="BD1645" s="4">
        <v>43283.17291666667</v>
      </c>
      <c r="BE1645" s="4">
        <v>43283.187314814815</v>
      </c>
      <c r="BF1645" s="4">
        <v>43283.187314814815</v>
      </c>
      <c r="BG1645" t="s">
        <v>83</v>
      </c>
      <c r="BH1645" t="s">
        <v>84</v>
      </c>
      <c r="BI1645" t="s">
        <v>85</v>
      </c>
    </row>
    <row r="1646" spans="1:61" x14ac:dyDescent="0.3">
      <c r="A1646" t="str">
        <f>"201208E0100"</f>
        <v>201208E0100</v>
      </c>
      <c r="B1646" s="2" t="s">
        <v>3388</v>
      </c>
      <c r="C1646">
        <v>20</v>
      </c>
      <c r="D1646" t="s">
        <v>79</v>
      </c>
      <c r="E1646">
        <v>8</v>
      </c>
      <c r="F1646" t="s">
        <v>3266</v>
      </c>
      <c r="G1646">
        <v>1208</v>
      </c>
      <c r="H1646">
        <v>1</v>
      </c>
      <c r="I1646" t="s">
        <v>145</v>
      </c>
      <c r="J1646">
        <v>0</v>
      </c>
      <c r="K1646">
        <v>2</v>
      </c>
      <c r="L1646">
        <v>2</v>
      </c>
      <c r="M1646">
        <v>163</v>
      </c>
      <c r="N1646">
        <v>253</v>
      </c>
      <c r="O1646">
        <v>3</v>
      </c>
      <c r="P1646" t="s">
        <v>100</v>
      </c>
      <c r="Q1646">
        <v>8</v>
      </c>
      <c r="R1646">
        <v>17</v>
      </c>
      <c r="S1646">
        <v>25</v>
      </c>
      <c r="T1646">
        <v>8</v>
      </c>
      <c r="U1646">
        <v>13</v>
      </c>
      <c r="V1646">
        <v>1</v>
      </c>
      <c r="W1646">
        <v>0</v>
      </c>
      <c r="X1646">
        <v>7</v>
      </c>
      <c r="Y1646">
        <v>138</v>
      </c>
      <c r="Z1646">
        <v>4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2</v>
      </c>
      <c r="AI1646">
        <v>0</v>
      </c>
      <c r="AJ1646">
        <v>0</v>
      </c>
      <c r="AK1646">
        <v>2</v>
      </c>
      <c r="AL1646">
        <v>0</v>
      </c>
      <c r="AM1646">
        <v>0</v>
      </c>
      <c r="AN1646">
        <v>0</v>
      </c>
      <c r="AT1646">
        <v>0</v>
      </c>
      <c r="AU1646">
        <v>28</v>
      </c>
      <c r="AV1646">
        <v>253</v>
      </c>
      <c r="AW1646">
        <v>253</v>
      </c>
      <c r="AX1646">
        <v>394</v>
      </c>
      <c r="BA1646">
        <v>1</v>
      </c>
      <c r="BC1646" t="s">
        <v>3389</v>
      </c>
      <c r="BD1646" s="4">
        <v>43283.175000000003</v>
      </c>
      <c r="BE1646" s="4">
        <v>43283.19153935185</v>
      </c>
      <c r="BF1646" s="4">
        <v>43283.19153935185</v>
      </c>
      <c r="BG1646" t="s">
        <v>83</v>
      </c>
      <c r="BH1646" t="s">
        <v>84</v>
      </c>
      <c r="BI1646" t="s">
        <v>85</v>
      </c>
    </row>
    <row r="1647" spans="1:61" x14ac:dyDescent="0.3">
      <c r="A1647" t="str">
        <f>"201209B0100"</f>
        <v>201209B0100</v>
      </c>
      <c r="B1647" t="s">
        <v>3390</v>
      </c>
      <c r="C1647">
        <v>20</v>
      </c>
      <c r="D1647" t="s">
        <v>79</v>
      </c>
      <c r="E1647">
        <v>8</v>
      </c>
      <c r="F1647" t="s">
        <v>3266</v>
      </c>
      <c r="G1647">
        <v>1209</v>
      </c>
      <c r="H1647">
        <v>1</v>
      </c>
      <c r="I1647" t="s">
        <v>81</v>
      </c>
      <c r="J1647">
        <v>0</v>
      </c>
      <c r="K1647">
        <v>2</v>
      </c>
      <c r="L1647">
        <v>2</v>
      </c>
      <c r="M1647">
        <v>227</v>
      </c>
      <c r="N1647">
        <v>313</v>
      </c>
      <c r="O1647">
        <v>0</v>
      </c>
      <c r="P1647">
        <v>313</v>
      </c>
      <c r="Q1647">
        <v>9</v>
      </c>
      <c r="R1647">
        <v>40</v>
      </c>
      <c r="S1647">
        <v>153</v>
      </c>
      <c r="T1647">
        <v>6</v>
      </c>
      <c r="U1647">
        <v>14</v>
      </c>
      <c r="V1647">
        <v>2</v>
      </c>
      <c r="W1647">
        <v>5</v>
      </c>
      <c r="X1647">
        <v>2</v>
      </c>
      <c r="Y1647">
        <v>59</v>
      </c>
      <c r="Z1647">
        <v>4</v>
      </c>
      <c r="AA1647">
        <v>0</v>
      </c>
      <c r="AB1647">
        <v>1</v>
      </c>
      <c r="AC1647">
        <v>1</v>
      </c>
      <c r="AD1647">
        <v>1</v>
      </c>
      <c r="AE1647">
        <v>0</v>
      </c>
      <c r="AF1647">
        <v>0</v>
      </c>
      <c r="AG1647">
        <v>0</v>
      </c>
      <c r="AH1647">
        <v>1</v>
      </c>
      <c r="AI1647">
        <v>0</v>
      </c>
      <c r="AJ1647">
        <v>0</v>
      </c>
      <c r="AK1647">
        <v>2</v>
      </c>
      <c r="AL1647">
        <v>0</v>
      </c>
      <c r="AM1647">
        <v>0</v>
      </c>
      <c r="AN1647">
        <v>1</v>
      </c>
      <c r="AT1647">
        <v>0</v>
      </c>
      <c r="AU1647">
        <v>12</v>
      </c>
      <c r="AV1647">
        <v>313</v>
      </c>
      <c r="AW1647">
        <v>313</v>
      </c>
      <c r="AX1647">
        <v>518</v>
      </c>
      <c r="BA1647">
        <v>1</v>
      </c>
      <c r="BC1647" t="s">
        <v>3391</v>
      </c>
      <c r="BD1647" s="4">
        <v>43283.176388888889</v>
      </c>
      <c r="BE1647" s="4">
        <v>43283.194340277776</v>
      </c>
      <c r="BF1647" s="4">
        <v>43283.194340277776</v>
      </c>
      <c r="BG1647" t="s">
        <v>83</v>
      </c>
      <c r="BH1647" t="s">
        <v>84</v>
      </c>
      <c r="BI1647" t="s">
        <v>85</v>
      </c>
    </row>
    <row r="1648" spans="1:61" x14ac:dyDescent="0.3">
      <c r="A1648" t="str">
        <f>"201225B0100"</f>
        <v>201225B0100</v>
      </c>
      <c r="B1648" t="s">
        <v>3392</v>
      </c>
      <c r="C1648">
        <v>20</v>
      </c>
      <c r="D1648" t="s">
        <v>79</v>
      </c>
      <c r="E1648">
        <v>8</v>
      </c>
      <c r="F1648" t="s">
        <v>3266</v>
      </c>
      <c r="G1648">
        <v>1225</v>
      </c>
      <c r="H1648">
        <v>1</v>
      </c>
      <c r="I1648" t="s">
        <v>81</v>
      </c>
      <c r="J1648">
        <v>0</v>
      </c>
      <c r="K1648">
        <v>1</v>
      </c>
      <c r="L1648">
        <v>2</v>
      </c>
      <c r="M1648">
        <v>223</v>
      </c>
      <c r="N1648">
        <v>221</v>
      </c>
      <c r="O1648">
        <v>1</v>
      </c>
      <c r="P1648">
        <v>221</v>
      </c>
      <c r="Q1648">
        <v>3</v>
      </c>
      <c r="R1648">
        <v>38</v>
      </c>
      <c r="S1648">
        <v>5</v>
      </c>
      <c r="T1648">
        <v>11</v>
      </c>
      <c r="U1648">
        <v>19</v>
      </c>
      <c r="V1648">
        <v>4</v>
      </c>
      <c r="W1648">
        <v>0</v>
      </c>
      <c r="X1648">
        <v>4</v>
      </c>
      <c r="Y1648">
        <v>121</v>
      </c>
      <c r="Z1648">
        <v>1</v>
      </c>
      <c r="AA1648">
        <v>0</v>
      </c>
      <c r="AB1648">
        <v>0</v>
      </c>
      <c r="AC1648" t="s">
        <v>100</v>
      </c>
      <c r="AD1648" t="s">
        <v>100</v>
      </c>
      <c r="AE1648" t="s">
        <v>100</v>
      </c>
      <c r="AF1648" t="s">
        <v>100</v>
      </c>
      <c r="AG1648" t="s">
        <v>100</v>
      </c>
      <c r="AH1648">
        <v>2</v>
      </c>
      <c r="AI1648" t="s">
        <v>100</v>
      </c>
      <c r="AJ1648" t="s">
        <v>100</v>
      </c>
      <c r="AK1648" t="s">
        <v>100</v>
      </c>
      <c r="AL1648" t="s">
        <v>100</v>
      </c>
      <c r="AM1648" t="s">
        <v>100</v>
      </c>
      <c r="AN1648" t="s">
        <v>100</v>
      </c>
      <c r="AT1648" t="s">
        <v>100</v>
      </c>
      <c r="AU1648">
        <v>11</v>
      </c>
      <c r="AV1648">
        <v>221</v>
      </c>
      <c r="AW1648">
        <v>219</v>
      </c>
      <c r="AX1648">
        <v>422</v>
      </c>
      <c r="AZ1648" t="s">
        <v>101</v>
      </c>
      <c r="BA1648">
        <v>1</v>
      </c>
      <c r="BC1648" t="s">
        <v>3393</v>
      </c>
      <c r="BD1648" s="4">
        <v>43283.148611111108</v>
      </c>
      <c r="BE1648" s="4">
        <v>43283.157187500001</v>
      </c>
      <c r="BF1648" s="4">
        <v>43283.157187500001</v>
      </c>
      <c r="BG1648" t="s">
        <v>83</v>
      </c>
      <c r="BH1648" t="s">
        <v>84</v>
      </c>
      <c r="BI1648" t="s">
        <v>85</v>
      </c>
    </row>
    <row r="1649" spans="1:61" x14ac:dyDescent="0.3">
      <c r="A1649" t="str">
        <f>"201283B0100"</f>
        <v>201283B0100</v>
      </c>
      <c r="B1649" t="s">
        <v>3394</v>
      </c>
      <c r="C1649">
        <v>20</v>
      </c>
      <c r="D1649" t="s">
        <v>79</v>
      </c>
      <c r="E1649">
        <v>8</v>
      </c>
      <c r="F1649" t="s">
        <v>3266</v>
      </c>
      <c r="G1649">
        <v>1283</v>
      </c>
      <c r="H1649">
        <v>1</v>
      </c>
      <c r="I1649" t="s">
        <v>81</v>
      </c>
      <c r="J1649">
        <v>0</v>
      </c>
      <c r="K1649">
        <v>2</v>
      </c>
      <c r="L1649">
        <v>2</v>
      </c>
      <c r="M1649">
        <v>233</v>
      </c>
      <c r="N1649">
        <v>342</v>
      </c>
      <c r="O1649">
        <v>1</v>
      </c>
      <c r="P1649">
        <v>341</v>
      </c>
      <c r="Q1649">
        <v>5</v>
      </c>
      <c r="R1649">
        <v>29</v>
      </c>
      <c r="S1649">
        <v>21</v>
      </c>
      <c r="T1649">
        <v>7</v>
      </c>
      <c r="U1649">
        <v>16</v>
      </c>
      <c r="V1649">
        <v>2</v>
      </c>
      <c r="W1649">
        <v>7</v>
      </c>
      <c r="X1649">
        <v>7</v>
      </c>
      <c r="Y1649">
        <v>212</v>
      </c>
      <c r="Z1649">
        <v>10</v>
      </c>
      <c r="AA1649">
        <v>0</v>
      </c>
      <c r="AB1649">
        <v>2</v>
      </c>
      <c r="AC1649">
        <v>1</v>
      </c>
      <c r="AD1649">
        <v>0</v>
      </c>
      <c r="AE1649">
        <v>0</v>
      </c>
      <c r="AF1649">
        <v>0</v>
      </c>
      <c r="AG1649">
        <v>2</v>
      </c>
      <c r="AH1649">
        <v>1</v>
      </c>
      <c r="AI1649">
        <v>0</v>
      </c>
      <c r="AJ1649">
        <v>0</v>
      </c>
      <c r="AK1649">
        <v>8</v>
      </c>
      <c r="AL1649">
        <v>1</v>
      </c>
      <c r="AM1649">
        <v>1</v>
      </c>
      <c r="AN1649">
        <v>2</v>
      </c>
      <c r="AT1649">
        <v>0</v>
      </c>
      <c r="AU1649">
        <v>8</v>
      </c>
      <c r="AV1649">
        <v>342</v>
      </c>
      <c r="AW1649">
        <v>342</v>
      </c>
      <c r="AX1649">
        <v>553</v>
      </c>
      <c r="BA1649">
        <v>1</v>
      </c>
      <c r="BC1649" t="s">
        <v>3395</v>
      </c>
      <c r="BD1649" s="4">
        <v>43283.129861111112</v>
      </c>
      <c r="BE1649" s="4">
        <v>43283.133703703701</v>
      </c>
      <c r="BF1649" s="4">
        <v>43283.133703703701</v>
      </c>
      <c r="BG1649" t="s">
        <v>83</v>
      </c>
      <c r="BH1649" t="s">
        <v>84</v>
      </c>
      <c r="BI1649" t="s">
        <v>85</v>
      </c>
    </row>
    <row r="1650" spans="1:61" x14ac:dyDescent="0.3">
      <c r="A1650" t="str">
        <f>"201283E0100"</f>
        <v>201283E0100</v>
      </c>
      <c r="B1650" s="2" t="s">
        <v>3396</v>
      </c>
      <c r="C1650">
        <v>20</v>
      </c>
      <c r="D1650" t="s">
        <v>79</v>
      </c>
      <c r="E1650">
        <v>8</v>
      </c>
      <c r="F1650" t="s">
        <v>3266</v>
      </c>
      <c r="G1650">
        <v>1283</v>
      </c>
      <c r="H1650">
        <v>1</v>
      </c>
      <c r="I1650" t="s">
        <v>145</v>
      </c>
      <c r="J1650">
        <v>0</v>
      </c>
      <c r="K1650">
        <v>2</v>
      </c>
      <c r="L1650">
        <v>2</v>
      </c>
      <c r="M1650">
        <v>122</v>
      </c>
      <c r="N1650">
        <v>123</v>
      </c>
      <c r="O1650">
        <v>7</v>
      </c>
      <c r="P1650">
        <v>123</v>
      </c>
      <c r="Q1650">
        <v>2</v>
      </c>
      <c r="R1650">
        <v>29</v>
      </c>
      <c r="S1650">
        <v>3</v>
      </c>
      <c r="T1650">
        <v>3</v>
      </c>
      <c r="U1650">
        <v>6</v>
      </c>
      <c r="V1650">
        <v>0</v>
      </c>
      <c r="W1650">
        <v>1</v>
      </c>
      <c r="X1650">
        <v>1</v>
      </c>
      <c r="Y1650">
        <v>51</v>
      </c>
      <c r="Z1650">
        <v>2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2</v>
      </c>
      <c r="AH1650">
        <v>3</v>
      </c>
      <c r="AI1650">
        <v>0</v>
      </c>
      <c r="AJ1650">
        <v>0</v>
      </c>
      <c r="AK1650">
        <v>2</v>
      </c>
      <c r="AL1650">
        <v>2</v>
      </c>
      <c r="AM1650">
        <v>0</v>
      </c>
      <c r="AN1650">
        <v>3</v>
      </c>
      <c r="AT1650">
        <v>0</v>
      </c>
      <c r="AU1650">
        <v>13</v>
      </c>
      <c r="AV1650">
        <v>123</v>
      </c>
      <c r="AW1650">
        <v>123</v>
      </c>
      <c r="AX1650">
        <v>223</v>
      </c>
      <c r="BA1650">
        <v>1</v>
      </c>
      <c r="BC1650" t="s">
        <v>3397</v>
      </c>
      <c r="BD1650" s="4">
        <v>43283.131249999999</v>
      </c>
      <c r="BE1650" s="4">
        <v>43283.134988425925</v>
      </c>
      <c r="BF1650" s="4">
        <v>43283.134988425925</v>
      </c>
      <c r="BG1650" t="s">
        <v>83</v>
      </c>
      <c r="BH1650" t="s">
        <v>84</v>
      </c>
      <c r="BI1650" t="s">
        <v>85</v>
      </c>
    </row>
    <row r="1651" spans="1:61" x14ac:dyDescent="0.3">
      <c r="A1651" t="str">
        <f>"201304B0100"</f>
        <v>201304B0100</v>
      </c>
      <c r="B1651" t="s">
        <v>3398</v>
      </c>
      <c r="C1651">
        <v>20</v>
      </c>
      <c r="D1651" t="s">
        <v>79</v>
      </c>
      <c r="E1651">
        <v>8</v>
      </c>
      <c r="F1651" t="s">
        <v>3266</v>
      </c>
      <c r="G1651">
        <v>1304</v>
      </c>
      <c r="H1651">
        <v>1</v>
      </c>
      <c r="I1651" t="s">
        <v>81</v>
      </c>
      <c r="J1651">
        <v>0</v>
      </c>
      <c r="K1651">
        <v>2</v>
      </c>
      <c r="L1651">
        <v>2</v>
      </c>
      <c r="M1651">
        <v>233</v>
      </c>
      <c r="N1651">
        <v>282</v>
      </c>
      <c r="O1651">
        <v>1</v>
      </c>
      <c r="P1651">
        <v>282</v>
      </c>
      <c r="Q1651">
        <v>2</v>
      </c>
      <c r="R1651">
        <v>48</v>
      </c>
      <c r="S1651">
        <v>87</v>
      </c>
      <c r="T1651">
        <v>2</v>
      </c>
      <c r="U1651">
        <v>15</v>
      </c>
      <c r="V1651">
        <v>2</v>
      </c>
      <c r="W1651">
        <v>2</v>
      </c>
      <c r="X1651">
        <v>5</v>
      </c>
      <c r="Y1651">
        <v>84</v>
      </c>
      <c r="Z1651">
        <v>4</v>
      </c>
      <c r="AA1651">
        <v>3</v>
      </c>
      <c r="AB1651">
        <v>3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1</v>
      </c>
      <c r="AM1651">
        <v>1</v>
      </c>
      <c r="AN1651">
        <v>0</v>
      </c>
      <c r="AT1651" t="s">
        <v>100</v>
      </c>
      <c r="AU1651">
        <v>23</v>
      </c>
      <c r="AV1651">
        <v>282</v>
      </c>
      <c r="AW1651">
        <v>282</v>
      </c>
      <c r="AX1651">
        <v>493</v>
      </c>
      <c r="AZ1651" t="s">
        <v>101</v>
      </c>
      <c r="BA1651">
        <v>1</v>
      </c>
      <c r="BC1651" t="s">
        <v>3399</v>
      </c>
      <c r="BD1651" s="4">
        <v>43283.185416666667</v>
      </c>
      <c r="BE1651" s="4">
        <v>43283.2033912037</v>
      </c>
      <c r="BF1651" s="4">
        <v>43283.2033912037</v>
      </c>
      <c r="BG1651" t="s">
        <v>83</v>
      </c>
      <c r="BH1651" t="s">
        <v>84</v>
      </c>
      <c r="BI1651" t="s">
        <v>85</v>
      </c>
    </row>
    <row r="1652" spans="1:61" x14ac:dyDescent="0.3">
      <c r="A1652" t="str">
        <f>"201304C0100"</f>
        <v>201304C0100</v>
      </c>
      <c r="B1652" t="s">
        <v>3400</v>
      </c>
      <c r="C1652">
        <v>20</v>
      </c>
      <c r="D1652" t="s">
        <v>79</v>
      </c>
      <c r="E1652">
        <v>8</v>
      </c>
      <c r="F1652" t="s">
        <v>3266</v>
      </c>
      <c r="G1652">
        <v>1304</v>
      </c>
      <c r="H1652">
        <v>1</v>
      </c>
      <c r="I1652" t="s">
        <v>89</v>
      </c>
      <c r="J1652">
        <v>0</v>
      </c>
      <c r="K1652">
        <v>2</v>
      </c>
      <c r="L1652">
        <v>2</v>
      </c>
      <c r="M1652">
        <v>233</v>
      </c>
      <c r="N1652">
        <v>515</v>
      </c>
      <c r="O1652">
        <v>0</v>
      </c>
      <c r="P1652">
        <v>282</v>
      </c>
      <c r="Q1652">
        <v>5</v>
      </c>
      <c r="R1652">
        <v>31</v>
      </c>
      <c r="S1652">
        <v>78</v>
      </c>
      <c r="T1652">
        <v>4</v>
      </c>
      <c r="U1652">
        <v>15</v>
      </c>
      <c r="V1652">
        <v>1</v>
      </c>
      <c r="W1652">
        <v>6</v>
      </c>
      <c r="X1652">
        <v>7</v>
      </c>
      <c r="Y1652">
        <v>95</v>
      </c>
      <c r="Z1652">
        <v>3</v>
      </c>
      <c r="AA1652">
        <v>1</v>
      </c>
      <c r="AB1652">
        <v>0</v>
      </c>
      <c r="AC1652">
        <v>1</v>
      </c>
      <c r="AD1652">
        <v>0</v>
      </c>
      <c r="AE1652">
        <v>0</v>
      </c>
      <c r="AF1652">
        <v>2</v>
      </c>
      <c r="AG1652">
        <v>2</v>
      </c>
      <c r="AH1652">
        <v>2</v>
      </c>
      <c r="AI1652">
        <v>0</v>
      </c>
      <c r="AJ1652">
        <v>0</v>
      </c>
      <c r="AK1652">
        <v>2</v>
      </c>
      <c r="AL1652">
        <v>0</v>
      </c>
      <c r="AM1652">
        <v>1</v>
      </c>
      <c r="AN1652">
        <v>0</v>
      </c>
      <c r="AT1652">
        <v>0</v>
      </c>
      <c r="AU1652">
        <v>26</v>
      </c>
      <c r="AV1652">
        <v>282</v>
      </c>
      <c r="AW1652">
        <v>282</v>
      </c>
      <c r="AX1652">
        <v>493</v>
      </c>
      <c r="BA1652">
        <v>1</v>
      </c>
      <c r="BC1652" t="s">
        <v>3401</v>
      </c>
      <c r="BD1652" s="4">
        <v>43283.184027777781</v>
      </c>
      <c r="BE1652" s="4">
        <v>43283.205150462964</v>
      </c>
      <c r="BF1652" s="4">
        <v>43283.205150462964</v>
      </c>
      <c r="BG1652" t="s">
        <v>83</v>
      </c>
      <c r="BH1652" t="s">
        <v>84</v>
      </c>
      <c r="BI1652" t="s">
        <v>85</v>
      </c>
    </row>
    <row r="1653" spans="1:61" x14ac:dyDescent="0.3">
      <c r="A1653" t="str">
        <f>"201305B0100"</f>
        <v>201305B0100</v>
      </c>
      <c r="B1653" t="s">
        <v>3402</v>
      </c>
      <c r="C1653">
        <v>20</v>
      </c>
      <c r="D1653" t="s">
        <v>79</v>
      </c>
      <c r="E1653">
        <v>8</v>
      </c>
      <c r="F1653" t="s">
        <v>3266</v>
      </c>
      <c r="G1653">
        <v>1305</v>
      </c>
      <c r="H1653">
        <v>1</v>
      </c>
      <c r="I1653" t="s">
        <v>81</v>
      </c>
      <c r="J1653">
        <v>0</v>
      </c>
      <c r="K1653">
        <v>2</v>
      </c>
      <c r="L1653">
        <v>2</v>
      </c>
      <c r="M1653">
        <v>267</v>
      </c>
      <c r="N1653">
        <v>283</v>
      </c>
      <c r="O1653">
        <v>1</v>
      </c>
      <c r="P1653">
        <v>283</v>
      </c>
      <c r="Q1653">
        <v>8</v>
      </c>
      <c r="R1653">
        <v>8</v>
      </c>
      <c r="S1653">
        <v>32</v>
      </c>
      <c r="T1653">
        <v>6</v>
      </c>
      <c r="U1653">
        <v>36</v>
      </c>
      <c r="V1653">
        <v>12</v>
      </c>
      <c r="W1653">
        <v>4</v>
      </c>
      <c r="X1653">
        <v>12</v>
      </c>
      <c r="Y1653">
        <v>127</v>
      </c>
      <c r="Z1653">
        <v>5</v>
      </c>
      <c r="AA1653">
        <v>1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6</v>
      </c>
      <c r="AL1653">
        <v>5</v>
      </c>
      <c r="AM1653">
        <v>0</v>
      </c>
      <c r="AN1653">
        <v>2</v>
      </c>
      <c r="AT1653">
        <v>0</v>
      </c>
      <c r="AU1653">
        <v>19</v>
      </c>
      <c r="AV1653">
        <v>283</v>
      </c>
      <c r="AW1653">
        <v>283</v>
      </c>
      <c r="AX1653">
        <v>528</v>
      </c>
      <c r="BA1653">
        <v>1</v>
      </c>
      <c r="BC1653" t="s">
        <v>3403</v>
      </c>
      <c r="BD1653" s="4">
        <v>43283.375</v>
      </c>
      <c r="BE1653" s="4">
        <v>43283.383611111109</v>
      </c>
      <c r="BF1653" s="4">
        <v>43283.383611111109</v>
      </c>
      <c r="BG1653" t="s">
        <v>83</v>
      </c>
      <c r="BH1653" t="s">
        <v>84</v>
      </c>
      <c r="BI1653" t="s">
        <v>85</v>
      </c>
    </row>
    <row r="1654" spans="1:61" x14ac:dyDescent="0.3">
      <c r="A1654" t="str">
        <f>"201314B0100"</f>
        <v>201314B0100</v>
      </c>
      <c r="B1654" t="s">
        <v>3404</v>
      </c>
      <c r="C1654">
        <v>20</v>
      </c>
      <c r="D1654" t="s">
        <v>79</v>
      </c>
      <c r="E1654">
        <v>8</v>
      </c>
      <c r="F1654" t="s">
        <v>3266</v>
      </c>
      <c r="G1654">
        <v>1314</v>
      </c>
      <c r="H1654">
        <v>1</v>
      </c>
      <c r="I1654" t="s">
        <v>81</v>
      </c>
      <c r="J1654">
        <v>0</v>
      </c>
      <c r="K1654">
        <v>2</v>
      </c>
      <c r="L1654">
        <v>2</v>
      </c>
      <c r="M1654">
        <v>311</v>
      </c>
      <c r="N1654">
        <v>225</v>
      </c>
      <c r="O1654">
        <v>1</v>
      </c>
      <c r="P1654">
        <v>225</v>
      </c>
      <c r="Q1654">
        <v>8</v>
      </c>
      <c r="R1654">
        <v>9</v>
      </c>
      <c r="S1654">
        <v>14</v>
      </c>
      <c r="T1654">
        <v>2</v>
      </c>
      <c r="U1654">
        <v>43</v>
      </c>
      <c r="V1654">
        <v>11</v>
      </c>
      <c r="W1654">
        <v>23</v>
      </c>
      <c r="X1654">
        <v>2</v>
      </c>
      <c r="Y1654">
        <v>66</v>
      </c>
      <c r="Z1654">
        <v>12</v>
      </c>
      <c r="AA1654">
        <v>0</v>
      </c>
      <c r="AB1654">
        <v>0</v>
      </c>
      <c r="AC1654">
        <v>2</v>
      </c>
      <c r="AD1654">
        <v>0</v>
      </c>
      <c r="AE1654">
        <v>0</v>
      </c>
      <c r="AF1654">
        <v>0</v>
      </c>
      <c r="AG1654">
        <v>3</v>
      </c>
      <c r="AH1654">
        <v>1</v>
      </c>
      <c r="AI1654">
        <v>0</v>
      </c>
      <c r="AJ1654">
        <v>0</v>
      </c>
      <c r="AK1654">
        <v>11</v>
      </c>
      <c r="AL1654">
        <v>2</v>
      </c>
      <c r="AM1654">
        <v>0</v>
      </c>
      <c r="AN1654">
        <v>1</v>
      </c>
      <c r="AT1654">
        <v>0</v>
      </c>
      <c r="AU1654">
        <v>15</v>
      </c>
      <c r="AV1654">
        <v>225</v>
      </c>
      <c r="AW1654">
        <v>225</v>
      </c>
      <c r="AX1654">
        <v>514</v>
      </c>
      <c r="BA1654">
        <v>1</v>
      </c>
      <c r="BC1654" t="s">
        <v>3405</v>
      </c>
      <c r="BD1654" s="4">
        <v>43283.313194444447</v>
      </c>
      <c r="BE1654" s="4">
        <v>43283.357418981483</v>
      </c>
      <c r="BF1654" s="4">
        <v>43283.357418981483</v>
      </c>
      <c r="BG1654" t="s">
        <v>83</v>
      </c>
      <c r="BH1654" t="s">
        <v>84</v>
      </c>
      <c r="BI1654" t="s">
        <v>85</v>
      </c>
    </row>
    <row r="1655" spans="1:61" x14ac:dyDescent="0.3">
      <c r="A1655" t="str">
        <f>"201314C0100"</f>
        <v>201314C0100</v>
      </c>
      <c r="B1655" t="s">
        <v>3406</v>
      </c>
      <c r="C1655">
        <v>20</v>
      </c>
      <c r="D1655" t="s">
        <v>79</v>
      </c>
      <c r="E1655">
        <v>8</v>
      </c>
      <c r="F1655" t="s">
        <v>3266</v>
      </c>
      <c r="G1655">
        <v>1314</v>
      </c>
      <c r="H1655">
        <v>1</v>
      </c>
      <c r="I1655" t="s">
        <v>89</v>
      </c>
      <c r="J1655">
        <v>0</v>
      </c>
      <c r="K1655">
        <v>2</v>
      </c>
      <c r="L1655">
        <v>2</v>
      </c>
      <c r="M1655">
        <v>321</v>
      </c>
      <c r="N1655">
        <v>214</v>
      </c>
      <c r="O1655">
        <v>0</v>
      </c>
      <c r="P1655">
        <v>214</v>
      </c>
      <c r="Q1655">
        <v>13</v>
      </c>
      <c r="R1655">
        <v>15</v>
      </c>
      <c r="S1655">
        <v>22</v>
      </c>
      <c r="T1655">
        <v>4</v>
      </c>
      <c r="U1655">
        <v>28</v>
      </c>
      <c r="V1655">
        <v>3</v>
      </c>
      <c r="W1655">
        <v>18</v>
      </c>
      <c r="X1655">
        <v>2</v>
      </c>
      <c r="Y1655">
        <v>66</v>
      </c>
      <c r="Z1655">
        <v>9</v>
      </c>
      <c r="AA1655">
        <v>1</v>
      </c>
      <c r="AB1655">
        <v>0</v>
      </c>
      <c r="AC1655">
        <v>2</v>
      </c>
      <c r="AD1655">
        <v>0</v>
      </c>
      <c r="AE1655">
        <v>0</v>
      </c>
      <c r="AF1655">
        <v>0</v>
      </c>
      <c r="AG1655">
        <v>2</v>
      </c>
      <c r="AH1655">
        <v>1</v>
      </c>
      <c r="AI1655">
        <v>0</v>
      </c>
      <c r="AJ1655">
        <v>0</v>
      </c>
      <c r="AK1655">
        <v>6</v>
      </c>
      <c r="AL1655">
        <v>1</v>
      </c>
      <c r="AM1655">
        <v>1</v>
      </c>
      <c r="AN1655">
        <v>0</v>
      </c>
      <c r="AT1655">
        <v>0</v>
      </c>
      <c r="AU1655">
        <v>20</v>
      </c>
      <c r="AV1655">
        <v>214</v>
      </c>
      <c r="AW1655">
        <v>214</v>
      </c>
      <c r="AX1655">
        <v>513</v>
      </c>
      <c r="BA1655">
        <v>1</v>
      </c>
      <c r="BC1655" t="s">
        <v>3407</v>
      </c>
      <c r="BD1655" s="4">
        <v>43283.3125</v>
      </c>
      <c r="BE1655" s="4">
        <v>43283.358206018522</v>
      </c>
      <c r="BF1655" s="4">
        <v>43283.358206018522</v>
      </c>
      <c r="BG1655" t="s">
        <v>83</v>
      </c>
      <c r="BH1655" t="s">
        <v>84</v>
      </c>
      <c r="BI1655" t="s">
        <v>85</v>
      </c>
    </row>
    <row r="1656" spans="1:61" x14ac:dyDescent="0.3">
      <c r="A1656" t="str">
        <f>"201314C0200"</f>
        <v>201314C0200</v>
      </c>
      <c r="B1656" t="s">
        <v>3408</v>
      </c>
      <c r="C1656">
        <v>20</v>
      </c>
      <c r="D1656" t="s">
        <v>79</v>
      </c>
      <c r="E1656">
        <v>8</v>
      </c>
      <c r="F1656" t="s">
        <v>3266</v>
      </c>
      <c r="G1656">
        <v>1314</v>
      </c>
      <c r="H1656">
        <v>2</v>
      </c>
      <c r="I1656" t="s">
        <v>89</v>
      </c>
      <c r="J1656">
        <v>0</v>
      </c>
      <c r="K1656">
        <v>2</v>
      </c>
      <c r="L1656">
        <v>2</v>
      </c>
      <c r="M1656">
        <v>321</v>
      </c>
      <c r="N1656">
        <v>214</v>
      </c>
      <c r="O1656">
        <v>0</v>
      </c>
      <c r="P1656">
        <v>214</v>
      </c>
      <c r="Q1656">
        <v>8</v>
      </c>
      <c r="R1656">
        <v>7</v>
      </c>
      <c r="S1656">
        <v>11</v>
      </c>
      <c r="T1656">
        <v>1</v>
      </c>
      <c r="U1656">
        <v>32</v>
      </c>
      <c r="V1656">
        <v>5</v>
      </c>
      <c r="W1656">
        <v>26</v>
      </c>
      <c r="X1656">
        <v>5</v>
      </c>
      <c r="Y1656">
        <v>68</v>
      </c>
      <c r="Z1656">
        <v>8</v>
      </c>
      <c r="AA1656">
        <v>0</v>
      </c>
      <c r="AB1656">
        <v>2</v>
      </c>
      <c r="AC1656">
        <v>2</v>
      </c>
      <c r="AD1656">
        <v>0</v>
      </c>
      <c r="AE1656">
        <v>0</v>
      </c>
      <c r="AF1656">
        <v>0</v>
      </c>
      <c r="AG1656">
        <v>2</v>
      </c>
      <c r="AH1656">
        <v>1</v>
      </c>
      <c r="AI1656">
        <v>1</v>
      </c>
      <c r="AJ1656">
        <v>0</v>
      </c>
      <c r="AK1656">
        <v>8</v>
      </c>
      <c r="AL1656">
        <v>2</v>
      </c>
      <c r="AM1656">
        <v>0</v>
      </c>
      <c r="AN1656">
        <v>1</v>
      </c>
      <c r="AT1656">
        <v>0</v>
      </c>
      <c r="AU1656">
        <v>24</v>
      </c>
      <c r="AV1656">
        <v>214</v>
      </c>
      <c r="AW1656">
        <v>214</v>
      </c>
      <c r="AX1656">
        <v>513</v>
      </c>
      <c r="BA1656">
        <v>1</v>
      </c>
      <c r="BC1656" t="s">
        <v>3409</v>
      </c>
      <c r="BD1656" s="4">
        <v>43283.3125</v>
      </c>
      <c r="BE1656" s="4">
        <v>43283.33834490741</v>
      </c>
      <c r="BF1656" s="4">
        <v>43283.33834490741</v>
      </c>
      <c r="BG1656" t="s">
        <v>83</v>
      </c>
      <c r="BH1656" t="s">
        <v>84</v>
      </c>
      <c r="BI1656" t="s">
        <v>85</v>
      </c>
    </row>
    <row r="1657" spans="1:61" x14ac:dyDescent="0.3">
      <c r="A1657" t="str">
        <f>"201319B0100"</f>
        <v>201319B0100</v>
      </c>
      <c r="B1657" t="s">
        <v>3410</v>
      </c>
      <c r="C1657">
        <v>20</v>
      </c>
      <c r="D1657" t="s">
        <v>79</v>
      </c>
      <c r="E1657">
        <v>8</v>
      </c>
      <c r="F1657" t="s">
        <v>3266</v>
      </c>
      <c r="G1657">
        <v>1319</v>
      </c>
      <c r="H1657">
        <v>1</v>
      </c>
      <c r="I1657" t="s">
        <v>81</v>
      </c>
      <c r="J1657">
        <v>0</v>
      </c>
      <c r="K1657">
        <v>2</v>
      </c>
      <c r="L1657">
        <v>2</v>
      </c>
      <c r="M1657">
        <v>290</v>
      </c>
      <c r="N1657">
        <v>269</v>
      </c>
      <c r="O1657">
        <v>3</v>
      </c>
      <c r="P1657">
        <v>268</v>
      </c>
      <c r="Q1657">
        <v>5</v>
      </c>
      <c r="R1657">
        <v>83</v>
      </c>
      <c r="S1657">
        <v>10</v>
      </c>
      <c r="T1657">
        <v>9</v>
      </c>
      <c r="U1657">
        <v>6</v>
      </c>
      <c r="V1657">
        <v>4</v>
      </c>
      <c r="W1657">
        <v>1</v>
      </c>
      <c r="X1657">
        <v>3</v>
      </c>
      <c r="Y1657">
        <v>112</v>
      </c>
      <c r="Z1657">
        <v>3</v>
      </c>
      <c r="AA1657">
        <v>1</v>
      </c>
      <c r="AB1657">
        <v>2</v>
      </c>
      <c r="AC1657" t="s">
        <v>100</v>
      </c>
      <c r="AD1657" t="s">
        <v>100</v>
      </c>
      <c r="AE1657" t="s">
        <v>100</v>
      </c>
      <c r="AF1657" t="s">
        <v>100</v>
      </c>
      <c r="AG1657">
        <v>1</v>
      </c>
      <c r="AH1657">
        <v>4</v>
      </c>
      <c r="AI1657" t="s">
        <v>100</v>
      </c>
      <c r="AJ1657" t="s">
        <v>100</v>
      </c>
      <c r="AK1657" t="s">
        <v>100</v>
      </c>
      <c r="AL1657">
        <v>5</v>
      </c>
      <c r="AM1657">
        <v>1</v>
      </c>
      <c r="AN1657">
        <v>1</v>
      </c>
      <c r="AT1657">
        <v>18</v>
      </c>
      <c r="AU1657">
        <v>18</v>
      </c>
      <c r="AV1657" t="s">
        <v>100</v>
      </c>
      <c r="AW1657">
        <v>287</v>
      </c>
      <c r="AX1657">
        <v>537</v>
      </c>
      <c r="AZ1657" t="s">
        <v>101</v>
      </c>
      <c r="BA1657">
        <v>1</v>
      </c>
      <c r="BC1657" t="s">
        <v>3411</v>
      </c>
      <c r="BD1657" s="4">
        <v>43283.147916666669</v>
      </c>
      <c r="BE1657" s="4">
        <v>43283.216504629629</v>
      </c>
      <c r="BF1657" s="4">
        <v>43283.216504629629</v>
      </c>
      <c r="BG1657" t="s">
        <v>83</v>
      </c>
      <c r="BH1657" t="s">
        <v>84</v>
      </c>
      <c r="BI1657" t="s">
        <v>85</v>
      </c>
    </row>
    <row r="1658" spans="1:61" x14ac:dyDescent="0.3">
      <c r="A1658" t="str">
        <f>"201354B0100"</f>
        <v>201354B0100</v>
      </c>
      <c r="B1658" t="s">
        <v>3412</v>
      </c>
      <c r="C1658">
        <v>20</v>
      </c>
      <c r="D1658" t="s">
        <v>79</v>
      </c>
      <c r="E1658">
        <v>8</v>
      </c>
      <c r="F1658" t="s">
        <v>3266</v>
      </c>
      <c r="G1658">
        <v>1354</v>
      </c>
      <c r="H1658">
        <v>1</v>
      </c>
      <c r="I1658" t="s">
        <v>81</v>
      </c>
      <c r="J1658">
        <v>0</v>
      </c>
      <c r="K1658">
        <v>2</v>
      </c>
      <c r="L1658">
        <v>2</v>
      </c>
      <c r="M1658">
        <v>155</v>
      </c>
      <c r="N1658">
        <v>373</v>
      </c>
      <c r="O1658">
        <v>0</v>
      </c>
      <c r="P1658">
        <v>373</v>
      </c>
      <c r="Q1658">
        <v>6</v>
      </c>
      <c r="R1658">
        <v>36</v>
      </c>
      <c r="S1658">
        <v>96</v>
      </c>
      <c r="T1658">
        <v>2</v>
      </c>
      <c r="U1658">
        <v>14</v>
      </c>
      <c r="V1658">
        <v>4</v>
      </c>
      <c r="W1658">
        <v>7</v>
      </c>
      <c r="X1658">
        <v>3</v>
      </c>
      <c r="Y1658">
        <v>173</v>
      </c>
      <c r="Z1658">
        <v>6</v>
      </c>
      <c r="AA1658">
        <v>0</v>
      </c>
      <c r="AB1658">
        <v>3</v>
      </c>
      <c r="AC1658">
        <v>1</v>
      </c>
      <c r="AD1658" t="s">
        <v>100</v>
      </c>
      <c r="AE1658" t="s">
        <v>100</v>
      </c>
      <c r="AF1658" t="s">
        <v>100</v>
      </c>
      <c r="AG1658" t="s">
        <v>100</v>
      </c>
      <c r="AH1658" t="s">
        <v>100</v>
      </c>
      <c r="AI1658" t="s">
        <v>100</v>
      </c>
      <c r="AJ1658" t="s">
        <v>100</v>
      </c>
      <c r="AK1658">
        <v>3</v>
      </c>
      <c r="AL1658" t="s">
        <v>100</v>
      </c>
      <c r="AM1658" t="s">
        <v>315</v>
      </c>
      <c r="AN1658">
        <v>1</v>
      </c>
      <c r="AT1658" t="s">
        <v>100</v>
      </c>
      <c r="AU1658">
        <v>17</v>
      </c>
      <c r="AV1658">
        <v>373</v>
      </c>
      <c r="AW1658">
        <v>372</v>
      </c>
      <c r="AX1658">
        <v>506</v>
      </c>
      <c r="AZ1658" t="s">
        <v>101</v>
      </c>
      <c r="BA1658">
        <v>1</v>
      </c>
      <c r="BC1658" s="2" t="s">
        <v>3413</v>
      </c>
      <c r="BD1658" s="4">
        <v>43283.486805555556</v>
      </c>
      <c r="BE1658" s="4">
        <v>43283.502395833333</v>
      </c>
      <c r="BF1658" s="4">
        <v>43283.502395833333</v>
      </c>
      <c r="BG1658" t="s">
        <v>83</v>
      </c>
      <c r="BH1658" t="s">
        <v>84</v>
      </c>
      <c r="BI1658" t="s">
        <v>85</v>
      </c>
    </row>
    <row r="1659" spans="1:61" x14ac:dyDescent="0.3">
      <c r="A1659" t="str">
        <f>"201355B0100"</f>
        <v>201355B0100</v>
      </c>
      <c r="B1659" t="s">
        <v>3414</v>
      </c>
      <c r="C1659">
        <v>20</v>
      </c>
      <c r="D1659" t="s">
        <v>79</v>
      </c>
      <c r="E1659">
        <v>8</v>
      </c>
      <c r="F1659" t="s">
        <v>3266</v>
      </c>
      <c r="G1659">
        <v>1355</v>
      </c>
      <c r="H1659">
        <v>1</v>
      </c>
      <c r="I1659" t="s">
        <v>81</v>
      </c>
      <c r="J1659">
        <v>0</v>
      </c>
      <c r="K1659">
        <v>2</v>
      </c>
      <c r="L1659">
        <v>2</v>
      </c>
      <c r="M1659">
        <v>210</v>
      </c>
      <c r="N1659">
        <v>699</v>
      </c>
      <c r="O1659">
        <v>3</v>
      </c>
      <c r="P1659">
        <v>489</v>
      </c>
      <c r="Q1659">
        <v>5</v>
      </c>
      <c r="R1659">
        <v>33</v>
      </c>
      <c r="S1659">
        <v>130</v>
      </c>
      <c r="T1659">
        <v>6</v>
      </c>
      <c r="U1659">
        <v>20</v>
      </c>
      <c r="V1659">
        <v>4</v>
      </c>
      <c r="W1659">
        <v>4</v>
      </c>
      <c r="X1659">
        <v>8</v>
      </c>
      <c r="Y1659">
        <v>241</v>
      </c>
      <c r="Z1659">
        <v>7</v>
      </c>
      <c r="AA1659">
        <v>1</v>
      </c>
      <c r="AB1659">
        <v>1</v>
      </c>
      <c r="AC1659">
        <v>0</v>
      </c>
      <c r="AD1659">
        <v>2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8</v>
      </c>
      <c r="AL1659">
        <v>0</v>
      </c>
      <c r="AM1659">
        <v>0</v>
      </c>
      <c r="AN1659">
        <v>0</v>
      </c>
      <c r="AT1659">
        <v>0</v>
      </c>
      <c r="AU1659">
        <v>17</v>
      </c>
      <c r="AV1659" t="s">
        <v>100</v>
      </c>
      <c r="AW1659">
        <v>487</v>
      </c>
      <c r="AX1659">
        <v>676</v>
      </c>
      <c r="BA1659">
        <v>1</v>
      </c>
      <c r="BC1659" t="s">
        <v>3415</v>
      </c>
      <c r="BD1659" s="4">
        <v>43283.477777777778</v>
      </c>
      <c r="BE1659" s="4">
        <v>43283.481840277775</v>
      </c>
      <c r="BF1659" s="4">
        <v>43283.481840277775</v>
      </c>
      <c r="BG1659" t="s">
        <v>83</v>
      </c>
      <c r="BH1659" t="s">
        <v>84</v>
      </c>
      <c r="BI1659" t="s">
        <v>85</v>
      </c>
    </row>
    <row r="1660" spans="1:61" x14ac:dyDescent="0.3">
      <c r="A1660" t="str">
        <f>"201356B0100"</f>
        <v>201356B0100</v>
      </c>
      <c r="B1660" t="s">
        <v>3416</v>
      </c>
      <c r="C1660">
        <v>20</v>
      </c>
      <c r="D1660" t="s">
        <v>79</v>
      </c>
      <c r="E1660">
        <v>8</v>
      </c>
      <c r="F1660" t="s">
        <v>3266</v>
      </c>
      <c r="G1660">
        <v>1356</v>
      </c>
      <c r="H1660">
        <v>1</v>
      </c>
      <c r="I1660" t="s">
        <v>81</v>
      </c>
      <c r="J1660">
        <v>0</v>
      </c>
      <c r="K1660">
        <v>2</v>
      </c>
      <c r="L1660">
        <v>2</v>
      </c>
      <c r="M1660" t="s">
        <v>315</v>
      </c>
      <c r="N1660" t="s">
        <v>315</v>
      </c>
      <c r="O1660">
        <v>5</v>
      </c>
      <c r="P1660" t="s">
        <v>315</v>
      </c>
      <c r="Q1660">
        <v>2</v>
      </c>
      <c r="R1660">
        <v>8</v>
      </c>
      <c r="S1660">
        <v>119</v>
      </c>
      <c r="T1660">
        <v>1</v>
      </c>
      <c r="U1660">
        <v>29</v>
      </c>
      <c r="V1660">
        <v>6</v>
      </c>
      <c r="W1660">
        <v>3</v>
      </c>
      <c r="X1660">
        <v>0</v>
      </c>
      <c r="Y1660">
        <v>171</v>
      </c>
      <c r="Z1660">
        <v>8</v>
      </c>
      <c r="AA1660">
        <v>1</v>
      </c>
      <c r="AB1660">
        <v>0</v>
      </c>
      <c r="AC1660">
        <v>1</v>
      </c>
      <c r="AD1660">
        <v>1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T1660">
        <v>0</v>
      </c>
      <c r="AU1660">
        <v>39</v>
      </c>
      <c r="AV1660">
        <v>388</v>
      </c>
      <c r="AW1660">
        <v>389</v>
      </c>
      <c r="AX1660">
        <v>520</v>
      </c>
      <c r="BA1660">
        <v>1</v>
      </c>
      <c r="BC1660" t="s">
        <v>3417</v>
      </c>
      <c r="BD1660" s="4">
        <v>43283.478472222225</v>
      </c>
      <c r="BE1660" s="4">
        <v>43283.493055555555</v>
      </c>
      <c r="BF1660" s="4">
        <v>43283.493055555555</v>
      </c>
      <c r="BG1660" t="s">
        <v>83</v>
      </c>
      <c r="BH1660" t="s">
        <v>84</v>
      </c>
      <c r="BI1660" t="s">
        <v>85</v>
      </c>
    </row>
    <row r="1661" spans="1:61" x14ac:dyDescent="0.3">
      <c r="A1661" t="str">
        <f>"201357B0100"</f>
        <v>201357B0100</v>
      </c>
      <c r="B1661" t="s">
        <v>3418</v>
      </c>
      <c r="C1661">
        <v>20</v>
      </c>
      <c r="D1661" t="s">
        <v>79</v>
      </c>
      <c r="E1661">
        <v>8</v>
      </c>
      <c r="F1661" t="s">
        <v>3266</v>
      </c>
      <c r="G1661">
        <v>1357</v>
      </c>
      <c r="H1661">
        <v>1</v>
      </c>
      <c r="I1661" t="s">
        <v>81</v>
      </c>
      <c r="J1661">
        <v>0</v>
      </c>
      <c r="K1661">
        <v>2</v>
      </c>
      <c r="L1661">
        <v>2</v>
      </c>
      <c r="M1661">
        <v>200</v>
      </c>
      <c r="N1661">
        <v>325</v>
      </c>
      <c r="O1661">
        <v>3</v>
      </c>
      <c r="P1661">
        <v>325</v>
      </c>
      <c r="Q1661">
        <v>5</v>
      </c>
      <c r="R1661">
        <v>11</v>
      </c>
      <c r="S1661">
        <v>75</v>
      </c>
      <c r="T1661">
        <v>1</v>
      </c>
      <c r="U1661">
        <v>22</v>
      </c>
      <c r="V1661">
        <v>1</v>
      </c>
      <c r="W1661">
        <v>3</v>
      </c>
      <c r="X1661">
        <v>1</v>
      </c>
      <c r="Y1661">
        <v>170</v>
      </c>
      <c r="Z1661">
        <v>6</v>
      </c>
      <c r="AA1661">
        <v>1</v>
      </c>
      <c r="AB1661">
        <v>3</v>
      </c>
      <c r="AC1661">
        <v>0</v>
      </c>
      <c r="AD1661">
        <v>0</v>
      </c>
      <c r="AE1661">
        <v>0</v>
      </c>
      <c r="AF1661">
        <v>2</v>
      </c>
      <c r="AG1661">
        <v>0</v>
      </c>
      <c r="AH1661">
        <v>0</v>
      </c>
      <c r="AI1661">
        <v>0</v>
      </c>
      <c r="AJ1661">
        <v>0</v>
      </c>
      <c r="AK1661">
        <v>2</v>
      </c>
      <c r="AL1661">
        <v>0</v>
      </c>
      <c r="AM1661">
        <v>0</v>
      </c>
      <c r="AN1661">
        <v>1</v>
      </c>
      <c r="AT1661">
        <v>0</v>
      </c>
      <c r="AU1661">
        <v>21</v>
      </c>
      <c r="AV1661">
        <v>325</v>
      </c>
      <c r="AW1661">
        <v>325</v>
      </c>
      <c r="AX1661">
        <v>505</v>
      </c>
      <c r="BA1661">
        <v>1</v>
      </c>
      <c r="BC1661" t="s">
        <v>3419</v>
      </c>
      <c r="BD1661" s="4">
        <v>43283.486805555556</v>
      </c>
      <c r="BE1661" s="4">
        <v>43283.489537037036</v>
      </c>
      <c r="BF1661" s="4">
        <v>43283.489537037036</v>
      </c>
      <c r="BG1661" t="s">
        <v>83</v>
      </c>
      <c r="BH1661" t="s">
        <v>84</v>
      </c>
      <c r="BI1661" t="s">
        <v>85</v>
      </c>
    </row>
    <row r="1662" spans="1:61" x14ac:dyDescent="0.3">
      <c r="A1662" t="str">
        <f>"201358B0100"</f>
        <v>201358B0100</v>
      </c>
      <c r="B1662" t="s">
        <v>3420</v>
      </c>
      <c r="C1662">
        <v>20</v>
      </c>
      <c r="D1662" t="s">
        <v>79</v>
      </c>
      <c r="E1662">
        <v>8</v>
      </c>
      <c r="F1662" t="s">
        <v>3266</v>
      </c>
      <c r="G1662">
        <v>1358</v>
      </c>
      <c r="H1662">
        <v>1</v>
      </c>
      <c r="I1662" t="s">
        <v>81</v>
      </c>
      <c r="J1662">
        <v>0</v>
      </c>
      <c r="K1662">
        <v>2</v>
      </c>
      <c r="L1662">
        <v>2</v>
      </c>
      <c r="M1662">
        <v>142</v>
      </c>
      <c r="N1662">
        <v>417</v>
      </c>
      <c r="O1662">
        <v>0</v>
      </c>
      <c r="P1662">
        <v>417</v>
      </c>
      <c r="Q1662">
        <v>3</v>
      </c>
      <c r="R1662">
        <v>21</v>
      </c>
      <c r="S1662">
        <v>98</v>
      </c>
      <c r="T1662">
        <v>4</v>
      </c>
      <c r="U1662">
        <v>23</v>
      </c>
      <c r="V1662">
        <v>6</v>
      </c>
      <c r="W1662">
        <v>6</v>
      </c>
      <c r="X1662">
        <v>3</v>
      </c>
      <c r="Y1662">
        <v>217</v>
      </c>
      <c r="Z1662">
        <v>2</v>
      </c>
      <c r="AA1662">
        <v>0</v>
      </c>
      <c r="AB1662">
        <v>1</v>
      </c>
      <c r="AC1662">
        <v>2</v>
      </c>
      <c r="AD1662">
        <v>0</v>
      </c>
      <c r="AE1662">
        <v>0</v>
      </c>
      <c r="AF1662">
        <v>0</v>
      </c>
      <c r="AG1662">
        <v>0</v>
      </c>
      <c r="AH1662">
        <v>1</v>
      </c>
      <c r="AI1662">
        <v>0</v>
      </c>
      <c r="AJ1662">
        <v>0</v>
      </c>
      <c r="AK1662">
        <v>2</v>
      </c>
      <c r="AL1662">
        <v>4</v>
      </c>
      <c r="AM1662">
        <v>2</v>
      </c>
      <c r="AN1662">
        <v>0</v>
      </c>
      <c r="AT1662">
        <v>0</v>
      </c>
      <c r="AU1662">
        <v>22</v>
      </c>
      <c r="AV1662">
        <v>417</v>
      </c>
      <c r="AW1662">
        <v>417</v>
      </c>
      <c r="AX1662">
        <v>537</v>
      </c>
      <c r="BA1662">
        <v>1</v>
      </c>
      <c r="BC1662" t="s">
        <v>3421</v>
      </c>
      <c r="BD1662" s="4">
        <v>43283.477083333331</v>
      </c>
      <c r="BE1662" s="4">
        <v>43283.481539351851</v>
      </c>
      <c r="BF1662" s="4">
        <v>43283.481539351851</v>
      </c>
      <c r="BG1662" t="s">
        <v>83</v>
      </c>
      <c r="BH1662" t="s">
        <v>84</v>
      </c>
      <c r="BI1662" t="s">
        <v>85</v>
      </c>
    </row>
    <row r="1663" spans="1:61" x14ac:dyDescent="0.3">
      <c r="A1663" t="str">
        <f>"201411B0100"</f>
        <v>201411B0100</v>
      </c>
      <c r="B1663" t="s">
        <v>3422</v>
      </c>
      <c r="C1663">
        <v>20</v>
      </c>
      <c r="D1663" t="s">
        <v>79</v>
      </c>
      <c r="E1663">
        <v>8</v>
      </c>
      <c r="F1663" t="s">
        <v>3266</v>
      </c>
      <c r="G1663">
        <v>1411</v>
      </c>
      <c r="H1663">
        <v>1</v>
      </c>
      <c r="I1663" t="s">
        <v>81</v>
      </c>
      <c r="J1663">
        <v>0</v>
      </c>
      <c r="K1663">
        <v>2</v>
      </c>
      <c r="L1663">
        <v>2</v>
      </c>
      <c r="M1663">
        <v>234</v>
      </c>
      <c r="N1663">
        <v>226</v>
      </c>
      <c r="O1663">
        <v>2</v>
      </c>
      <c r="P1663" t="s">
        <v>100</v>
      </c>
      <c r="Q1663">
        <v>13</v>
      </c>
      <c r="R1663">
        <v>16</v>
      </c>
      <c r="S1663">
        <v>25</v>
      </c>
      <c r="T1663">
        <v>2</v>
      </c>
      <c r="U1663">
        <v>7</v>
      </c>
      <c r="V1663">
        <v>1</v>
      </c>
      <c r="W1663">
        <v>0</v>
      </c>
      <c r="X1663">
        <v>5</v>
      </c>
      <c r="Y1663">
        <v>124</v>
      </c>
      <c r="Z1663">
        <v>3</v>
      </c>
      <c r="AA1663">
        <v>0</v>
      </c>
      <c r="AB1663">
        <v>2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4</v>
      </c>
      <c r="AL1663">
        <v>2</v>
      </c>
      <c r="AM1663">
        <v>0</v>
      </c>
      <c r="AN1663">
        <v>0</v>
      </c>
      <c r="AT1663">
        <v>0</v>
      </c>
      <c r="AU1663">
        <v>20</v>
      </c>
      <c r="AV1663">
        <v>224</v>
      </c>
      <c r="AW1663">
        <v>224</v>
      </c>
      <c r="AX1663">
        <v>437</v>
      </c>
      <c r="BA1663">
        <v>1</v>
      </c>
      <c r="BC1663" t="s">
        <v>3423</v>
      </c>
      <c r="BD1663" s="4">
        <v>43283.428472222222</v>
      </c>
      <c r="BE1663" s="4">
        <v>43283.432986111111</v>
      </c>
      <c r="BF1663" s="4">
        <v>43283.432986111111</v>
      </c>
      <c r="BG1663" t="s">
        <v>83</v>
      </c>
      <c r="BH1663" t="s">
        <v>84</v>
      </c>
      <c r="BI1663" t="s">
        <v>85</v>
      </c>
    </row>
    <row r="1664" spans="1:61" x14ac:dyDescent="0.3">
      <c r="A1664" t="str">
        <f>"201411C0100"</f>
        <v>201411C0100</v>
      </c>
      <c r="B1664" t="s">
        <v>3424</v>
      </c>
      <c r="C1664">
        <v>20</v>
      </c>
      <c r="D1664" t="s">
        <v>79</v>
      </c>
      <c r="E1664">
        <v>8</v>
      </c>
      <c r="F1664" t="s">
        <v>3266</v>
      </c>
      <c r="G1664">
        <v>1411</v>
      </c>
      <c r="H1664">
        <v>1</v>
      </c>
      <c r="I1664" t="s">
        <v>89</v>
      </c>
      <c r="J1664">
        <v>0</v>
      </c>
      <c r="K1664">
        <v>2</v>
      </c>
      <c r="L1664">
        <v>2</v>
      </c>
      <c r="M1664">
        <v>216</v>
      </c>
      <c r="N1664">
        <v>243</v>
      </c>
      <c r="O1664">
        <v>3</v>
      </c>
      <c r="P1664">
        <v>0</v>
      </c>
      <c r="Q1664">
        <v>9</v>
      </c>
      <c r="R1664">
        <v>18</v>
      </c>
      <c r="S1664">
        <v>23</v>
      </c>
      <c r="T1664">
        <v>4</v>
      </c>
      <c r="U1664">
        <v>22</v>
      </c>
      <c r="V1664">
        <v>6</v>
      </c>
      <c r="W1664">
        <v>4</v>
      </c>
      <c r="X1664">
        <v>2</v>
      </c>
      <c r="Y1664">
        <v>124</v>
      </c>
      <c r="Z1664">
        <v>7</v>
      </c>
      <c r="AA1664">
        <v>9</v>
      </c>
      <c r="AB1664">
        <v>0</v>
      </c>
      <c r="AC1664">
        <v>0</v>
      </c>
      <c r="AD1664">
        <v>2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3</v>
      </c>
      <c r="AK1664">
        <v>3</v>
      </c>
      <c r="AL1664">
        <v>0</v>
      </c>
      <c r="AM1664">
        <v>0</v>
      </c>
      <c r="AN1664">
        <v>1</v>
      </c>
      <c r="AT1664">
        <v>0</v>
      </c>
      <c r="AU1664">
        <v>14</v>
      </c>
      <c r="AV1664">
        <v>242</v>
      </c>
      <c r="AW1664">
        <v>251</v>
      </c>
      <c r="AX1664">
        <v>436</v>
      </c>
      <c r="BA1664">
        <v>1</v>
      </c>
      <c r="BC1664" t="s">
        <v>3425</v>
      </c>
      <c r="BD1664" s="4">
        <v>43283.427777777775</v>
      </c>
      <c r="BE1664" s="4">
        <v>43283.43172453704</v>
      </c>
      <c r="BF1664" s="4">
        <v>43283.43172453704</v>
      </c>
      <c r="BG1664" t="s">
        <v>83</v>
      </c>
      <c r="BH1664" t="s">
        <v>84</v>
      </c>
      <c r="BI1664" t="s">
        <v>85</v>
      </c>
    </row>
    <row r="1665" spans="1:61" x14ac:dyDescent="0.3">
      <c r="A1665" t="str">
        <f>"201412B0100"</f>
        <v>201412B0100</v>
      </c>
      <c r="B1665" t="s">
        <v>3426</v>
      </c>
      <c r="C1665">
        <v>20</v>
      </c>
      <c r="D1665" t="s">
        <v>79</v>
      </c>
      <c r="E1665">
        <v>8</v>
      </c>
      <c r="F1665" t="s">
        <v>3266</v>
      </c>
      <c r="G1665">
        <v>1412</v>
      </c>
      <c r="H1665">
        <v>1</v>
      </c>
      <c r="I1665" t="s">
        <v>81</v>
      </c>
      <c r="J1665">
        <v>0</v>
      </c>
      <c r="K1665">
        <v>1</v>
      </c>
      <c r="L1665">
        <v>2</v>
      </c>
      <c r="M1665">
        <v>371</v>
      </c>
      <c r="N1665">
        <v>372</v>
      </c>
      <c r="O1665">
        <v>7</v>
      </c>
      <c r="P1665">
        <v>372</v>
      </c>
      <c r="Q1665">
        <v>34</v>
      </c>
      <c r="R1665">
        <v>36</v>
      </c>
      <c r="S1665">
        <v>41</v>
      </c>
      <c r="T1665">
        <v>11</v>
      </c>
      <c r="U1665">
        <v>19</v>
      </c>
      <c r="V1665">
        <v>4</v>
      </c>
      <c r="W1665">
        <v>3</v>
      </c>
      <c r="X1665">
        <v>8</v>
      </c>
      <c r="Y1665">
        <v>159</v>
      </c>
      <c r="Z1665">
        <v>9</v>
      </c>
      <c r="AA1665">
        <v>2</v>
      </c>
      <c r="AB1665">
        <v>6</v>
      </c>
      <c r="AC1665">
        <v>0</v>
      </c>
      <c r="AD1665">
        <v>0</v>
      </c>
      <c r="AE1665">
        <v>0</v>
      </c>
      <c r="AF1665">
        <v>0</v>
      </c>
      <c r="AG1665">
        <v>1</v>
      </c>
      <c r="AH1665">
        <v>0</v>
      </c>
      <c r="AI1665">
        <v>1</v>
      </c>
      <c r="AJ1665">
        <v>0</v>
      </c>
      <c r="AK1665">
        <v>5</v>
      </c>
      <c r="AL1665">
        <v>3</v>
      </c>
      <c r="AM1665">
        <v>0</v>
      </c>
      <c r="AN1665">
        <v>1</v>
      </c>
      <c r="AT1665">
        <v>1</v>
      </c>
      <c r="AU1665">
        <v>28</v>
      </c>
      <c r="AV1665">
        <v>372</v>
      </c>
      <c r="AW1665">
        <v>372</v>
      </c>
      <c r="AX1665">
        <v>721</v>
      </c>
      <c r="BA1665">
        <v>1</v>
      </c>
      <c r="BC1665" t="s">
        <v>3427</v>
      </c>
      <c r="BD1665" s="4">
        <v>43283.427083333336</v>
      </c>
      <c r="BE1665" s="4">
        <v>43283.433749999997</v>
      </c>
      <c r="BF1665" s="4">
        <v>43283.433749999997</v>
      </c>
      <c r="BG1665" t="s">
        <v>83</v>
      </c>
      <c r="BH1665" t="s">
        <v>84</v>
      </c>
      <c r="BI1665" t="s">
        <v>85</v>
      </c>
    </row>
    <row r="1666" spans="1:61" x14ac:dyDescent="0.3">
      <c r="A1666" t="str">
        <f>"201413B0100"</f>
        <v>201413B0100</v>
      </c>
      <c r="B1666" t="s">
        <v>3428</v>
      </c>
      <c r="C1666">
        <v>20</v>
      </c>
      <c r="D1666" t="s">
        <v>79</v>
      </c>
      <c r="E1666">
        <v>8</v>
      </c>
      <c r="F1666" t="s">
        <v>3266</v>
      </c>
      <c r="G1666">
        <v>1413</v>
      </c>
      <c r="H1666">
        <v>1</v>
      </c>
      <c r="I1666" t="s">
        <v>81</v>
      </c>
      <c r="J1666">
        <v>0</v>
      </c>
      <c r="K1666">
        <v>2</v>
      </c>
      <c r="L1666">
        <v>2</v>
      </c>
      <c r="M1666">
        <v>164</v>
      </c>
      <c r="N1666">
        <v>168</v>
      </c>
      <c r="O1666">
        <v>3</v>
      </c>
      <c r="P1666">
        <v>168</v>
      </c>
      <c r="Q1666">
        <v>1</v>
      </c>
      <c r="R1666">
        <v>32</v>
      </c>
      <c r="S1666">
        <v>3</v>
      </c>
      <c r="T1666">
        <v>4</v>
      </c>
      <c r="U1666">
        <v>6</v>
      </c>
      <c r="V1666">
        <v>4</v>
      </c>
      <c r="W1666">
        <v>2</v>
      </c>
      <c r="X1666">
        <v>2</v>
      </c>
      <c r="Y1666">
        <v>98</v>
      </c>
      <c r="Z1666">
        <v>6</v>
      </c>
      <c r="AA1666">
        <v>1</v>
      </c>
      <c r="AB1666">
        <v>3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1</v>
      </c>
      <c r="AL1666">
        <v>1</v>
      </c>
      <c r="AM1666">
        <v>0</v>
      </c>
      <c r="AN1666">
        <v>0</v>
      </c>
      <c r="AT1666">
        <v>1</v>
      </c>
      <c r="AU1666">
        <v>3</v>
      </c>
      <c r="AV1666" t="s">
        <v>100</v>
      </c>
      <c r="AW1666">
        <v>168</v>
      </c>
      <c r="AX1666">
        <v>310</v>
      </c>
      <c r="BA1666">
        <v>1</v>
      </c>
      <c r="BC1666" t="s">
        <v>3429</v>
      </c>
      <c r="BD1666" s="4">
        <v>43283.427777777775</v>
      </c>
      <c r="BE1666" s="4">
        <v>43283.441458333335</v>
      </c>
      <c r="BF1666" s="4">
        <v>43283.441458333335</v>
      </c>
      <c r="BG1666" t="s">
        <v>83</v>
      </c>
      <c r="BH1666" t="s">
        <v>84</v>
      </c>
      <c r="BI1666" t="s">
        <v>85</v>
      </c>
    </row>
    <row r="1667" spans="1:61" x14ac:dyDescent="0.3">
      <c r="A1667" t="str">
        <f>"201414B0100"</f>
        <v>201414B0100</v>
      </c>
      <c r="B1667" t="s">
        <v>3430</v>
      </c>
      <c r="C1667">
        <v>20</v>
      </c>
      <c r="D1667" t="s">
        <v>79</v>
      </c>
      <c r="E1667">
        <v>8</v>
      </c>
      <c r="F1667" t="s">
        <v>3266</v>
      </c>
      <c r="G1667">
        <v>1414</v>
      </c>
      <c r="H1667">
        <v>1</v>
      </c>
      <c r="I1667" t="s">
        <v>81</v>
      </c>
      <c r="J1667">
        <v>0</v>
      </c>
      <c r="K1667">
        <v>2</v>
      </c>
      <c r="L1667">
        <v>2</v>
      </c>
      <c r="M1667">
        <v>349</v>
      </c>
      <c r="N1667">
        <v>175</v>
      </c>
      <c r="O1667">
        <v>3</v>
      </c>
      <c r="P1667">
        <v>175</v>
      </c>
      <c r="Q1667">
        <v>16</v>
      </c>
      <c r="R1667">
        <v>5</v>
      </c>
      <c r="S1667">
        <v>43</v>
      </c>
      <c r="T1667">
        <v>3</v>
      </c>
      <c r="U1667">
        <v>14</v>
      </c>
      <c r="V1667">
        <v>2</v>
      </c>
      <c r="W1667">
        <v>1</v>
      </c>
      <c r="X1667">
        <v>2</v>
      </c>
      <c r="Y1667">
        <v>63</v>
      </c>
      <c r="Z1667">
        <v>6</v>
      </c>
      <c r="AA1667">
        <v>0</v>
      </c>
      <c r="AB1667">
        <v>2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T1667">
        <v>0</v>
      </c>
      <c r="AU1667">
        <v>18</v>
      </c>
      <c r="AV1667">
        <v>175</v>
      </c>
      <c r="AW1667">
        <v>175</v>
      </c>
      <c r="AX1667">
        <v>502</v>
      </c>
      <c r="BA1667">
        <v>1</v>
      </c>
      <c r="BC1667" t="s">
        <v>3431</v>
      </c>
      <c r="BD1667" s="4">
        <v>43283.427777777775</v>
      </c>
      <c r="BE1667" s="4">
        <v>43283.440775462965</v>
      </c>
      <c r="BF1667" s="4">
        <v>43283.440775462965</v>
      </c>
      <c r="BG1667" t="s">
        <v>83</v>
      </c>
      <c r="BH1667" t="s">
        <v>84</v>
      </c>
      <c r="BI1667" t="s">
        <v>85</v>
      </c>
    </row>
    <row r="1668" spans="1:61" x14ac:dyDescent="0.3">
      <c r="A1668" t="str">
        <f>"201438B0100"</f>
        <v>201438B0100</v>
      </c>
      <c r="B1668" t="s">
        <v>3432</v>
      </c>
      <c r="C1668">
        <v>20</v>
      </c>
      <c r="D1668" t="s">
        <v>79</v>
      </c>
      <c r="E1668">
        <v>8</v>
      </c>
      <c r="F1668" t="s">
        <v>3266</v>
      </c>
      <c r="G1668">
        <v>1438</v>
      </c>
      <c r="H1668">
        <v>1</v>
      </c>
      <c r="I1668" t="s">
        <v>81</v>
      </c>
      <c r="J1668">
        <v>0</v>
      </c>
      <c r="K1668">
        <v>2</v>
      </c>
      <c r="L1668">
        <v>2</v>
      </c>
      <c r="M1668">
        <v>79</v>
      </c>
      <c r="N1668">
        <v>105</v>
      </c>
      <c r="O1668">
        <v>1</v>
      </c>
      <c r="P1668">
        <v>105</v>
      </c>
      <c r="Q1668">
        <v>3</v>
      </c>
      <c r="R1668">
        <v>4</v>
      </c>
      <c r="S1668">
        <v>23</v>
      </c>
      <c r="T1668">
        <v>3</v>
      </c>
      <c r="U1668">
        <v>10</v>
      </c>
      <c r="V1668">
        <v>3</v>
      </c>
      <c r="W1668">
        <v>3</v>
      </c>
      <c r="X1668">
        <v>1</v>
      </c>
      <c r="Y1668">
        <v>44</v>
      </c>
      <c r="Z1668">
        <v>3</v>
      </c>
      <c r="AA1668">
        <v>0</v>
      </c>
      <c r="AB1668">
        <v>1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T1668">
        <v>0</v>
      </c>
      <c r="AU1668">
        <v>7</v>
      </c>
      <c r="AV1668">
        <v>105</v>
      </c>
      <c r="AW1668">
        <v>105</v>
      </c>
      <c r="AX1668">
        <v>162</v>
      </c>
      <c r="BA1668">
        <v>1</v>
      </c>
      <c r="BC1668" t="s">
        <v>3433</v>
      </c>
      <c r="BD1668" s="4">
        <v>43283.490277777775</v>
      </c>
      <c r="BE1668" s="4">
        <v>43283.497118055559</v>
      </c>
      <c r="BF1668" s="4">
        <v>43283.497118055559</v>
      </c>
      <c r="BG1668" t="s">
        <v>83</v>
      </c>
      <c r="BH1668" t="s">
        <v>84</v>
      </c>
      <c r="BI1668" t="s">
        <v>85</v>
      </c>
    </row>
    <row r="1669" spans="1:61" x14ac:dyDescent="0.3">
      <c r="A1669" t="str">
        <f>"201438E0100"</f>
        <v>201438E0100</v>
      </c>
      <c r="B1669" s="2" t="s">
        <v>3434</v>
      </c>
      <c r="C1669">
        <v>20</v>
      </c>
      <c r="D1669" t="s">
        <v>79</v>
      </c>
      <c r="E1669">
        <v>8</v>
      </c>
      <c r="F1669" t="s">
        <v>3266</v>
      </c>
      <c r="G1669">
        <v>1438</v>
      </c>
      <c r="H1669">
        <v>1</v>
      </c>
      <c r="I1669" t="s">
        <v>145</v>
      </c>
      <c r="J1669">
        <v>0</v>
      </c>
      <c r="K1669">
        <v>2</v>
      </c>
      <c r="L1669">
        <v>2</v>
      </c>
      <c r="M1669">
        <v>292</v>
      </c>
      <c r="N1669">
        <v>352</v>
      </c>
      <c r="O1669">
        <v>0</v>
      </c>
      <c r="P1669">
        <v>352</v>
      </c>
      <c r="Q1669">
        <v>4</v>
      </c>
      <c r="R1669">
        <v>58</v>
      </c>
      <c r="S1669">
        <v>85</v>
      </c>
      <c r="T1669">
        <v>7</v>
      </c>
      <c r="U1669">
        <v>13</v>
      </c>
      <c r="V1669">
        <v>6</v>
      </c>
      <c r="W1669">
        <v>10</v>
      </c>
      <c r="X1669">
        <v>5</v>
      </c>
      <c r="Y1669">
        <v>124</v>
      </c>
      <c r="Z1669">
        <v>4</v>
      </c>
      <c r="AA1669">
        <v>0</v>
      </c>
      <c r="AB1669">
        <v>1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1</v>
      </c>
      <c r="AI1669">
        <v>0</v>
      </c>
      <c r="AJ1669">
        <v>0</v>
      </c>
      <c r="AK1669">
        <v>1</v>
      </c>
      <c r="AL1669">
        <v>0</v>
      </c>
      <c r="AM1669">
        <v>0</v>
      </c>
      <c r="AN1669">
        <v>0</v>
      </c>
      <c r="AT1669">
        <v>0</v>
      </c>
      <c r="AU1669">
        <v>33</v>
      </c>
      <c r="AV1669">
        <v>352</v>
      </c>
      <c r="AW1669">
        <v>352</v>
      </c>
      <c r="AX1669">
        <v>622</v>
      </c>
      <c r="BA1669">
        <v>1</v>
      </c>
      <c r="BC1669" t="s">
        <v>3435</v>
      </c>
      <c r="BD1669" s="4">
        <v>43283.490972222222</v>
      </c>
      <c r="BE1669" s="4">
        <v>43283.49591435185</v>
      </c>
      <c r="BF1669" s="4">
        <v>43283.49591435185</v>
      </c>
      <c r="BG1669" t="s">
        <v>83</v>
      </c>
      <c r="BH1669" t="s">
        <v>84</v>
      </c>
      <c r="BI1669" t="s">
        <v>85</v>
      </c>
    </row>
    <row r="1670" spans="1:61" x14ac:dyDescent="0.3">
      <c r="A1670" t="str">
        <f>"201439B0100"</f>
        <v>201439B0100</v>
      </c>
      <c r="B1670" t="s">
        <v>3436</v>
      </c>
      <c r="C1670">
        <v>20</v>
      </c>
      <c r="D1670" t="s">
        <v>79</v>
      </c>
      <c r="E1670">
        <v>8</v>
      </c>
      <c r="F1670" t="s">
        <v>3266</v>
      </c>
      <c r="G1670">
        <v>1439</v>
      </c>
      <c r="H1670">
        <v>1</v>
      </c>
      <c r="I1670" t="s">
        <v>81</v>
      </c>
      <c r="J1670">
        <v>0</v>
      </c>
      <c r="K1670">
        <v>2</v>
      </c>
      <c r="L1670">
        <v>2</v>
      </c>
      <c r="M1670">
        <v>324</v>
      </c>
      <c r="N1670">
        <v>439</v>
      </c>
      <c r="O1670">
        <v>0</v>
      </c>
      <c r="P1670">
        <v>439</v>
      </c>
      <c r="Q1670">
        <v>10</v>
      </c>
      <c r="R1670">
        <v>37</v>
      </c>
      <c r="S1670">
        <v>124</v>
      </c>
      <c r="T1670">
        <v>10</v>
      </c>
      <c r="U1670">
        <v>26</v>
      </c>
      <c r="V1670">
        <v>8</v>
      </c>
      <c r="W1670">
        <v>3</v>
      </c>
      <c r="X1670">
        <v>7</v>
      </c>
      <c r="Y1670">
        <v>135</v>
      </c>
      <c r="Z1670">
        <v>8</v>
      </c>
      <c r="AA1670">
        <v>0</v>
      </c>
      <c r="AB1670">
        <v>2</v>
      </c>
      <c r="AC1670">
        <v>0</v>
      </c>
      <c r="AD1670">
        <v>0</v>
      </c>
      <c r="AE1670">
        <v>0</v>
      </c>
      <c r="AF1670">
        <v>2</v>
      </c>
      <c r="AG1670">
        <v>0</v>
      </c>
      <c r="AH1670">
        <v>1</v>
      </c>
      <c r="AI1670">
        <v>0</v>
      </c>
      <c r="AJ1670">
        <v>1</v>
      </c>
      <c r="AK1670">
        <v>3</v>
      </c>
      <c r="AL1670">
        <v>1</v>
      </c>
      <c r="AM1670">
        <v>0</v>
      </c>
      <c r="AN1670">
        <v>0</v>
      </c>
      <c r="AT1670">
        <v>0</v>
      </c>
      <c r="AU1670">
        <v>60</v>
      </c>
      <c r="AV1670">
        <v>439</v>
      </c>
      <c r="AW1670">
        <v>438</v>
      </c>
      <c r="AX1670">
        <v>741</v>
      </c>
      <c r="BA1670">
        <v>1</v>
      </c>
      <c r="BC1670" t="s">
        <v>3437</v>
      </c>
      <c r="BD1670" s="4">
        <v>43283.491666666669</v>
      </c>
      <c r="BE1670" s="4">
        <v>43283.499826388892</v>
      </c>
      <c r="BF1670" s="4">
        <v>43283.499826388892</v>
      </c>
      <c r="BG1670" t="s">
        <v>83</v>
      </c>
      <c r="BH1670" t="s">
        <v>84</v>
      </c>
      <c r="BI1670" t="s">
        <v>85</v>
      </c>
    </row>
    <row r="1671" spans="1:61" x14ac:dyDescent="0.3">
      <c r="A1671" t="str">
        <f>"201496B0100"</f>
        <v>201496B0100</v>
      </c>
      <c r="B1671" t="s">
        <v>3438</v>
      </c>
      <c r="C1671">
        <v>20</v>
      </c>
      <c r="D1671" t="s">
        <v>79</v>
      </c>
      <c r="E1671">
        <v>8</v>
      </c>
      <c r="F1671" t="s">
        <v>3266</v>
      </c>
      <c r="G1671">
        <v>1496</v>
      </c>
      <c r="H1671">
        <v>1</v>
      </c>
      <c r="I1671" t="s">
        <v>81</v>
      </c>
      <c r="J1671">
        <v>0</v>
      </c>
      <c r="K1671">
        <v>2</v>
      </c>
      <c r="L1671">
        <v>2</v>
      </c>
      <c r="M1671">
        <v>367</v>
      </c>
      <c r="N1671">
        <v>0</v>
      </c>
      <c r="O1671">
        <v>0</v>
      </c>
      <c r="P1671">
        <v>325</v>
      </c>
      <c r="Q1671">
        <v>11</v>
      </c>
      <c r="R1671">
        <v>31</v>
      </c>
      <c r="S1671">
        <v>16</v>
      </c>
      <c r="T1671">
        <v>5</v>
      </c>
      <c r="U1671">
        <v>28</v>
      </c>
      <c r="V1671">
        <v>3</v>
      </c>
      <c r="W1671">
        <v>3</v>
      </c>
      <c r="X1671">
        <v>3</v>
      </c>
      <c r="Y1671">
        <v>194</v>
      </c>
      <c r="Z1671">
        <v>6</v>
      </c>
      <c r="AA1671">
        <v>0</v>
      </c>
      <c r="AB1671">
        <v>4</v>
      </c>
      <c r="AC1671">
        <v>2</v>
      </c>
      <c r="AD1671">
        <v>0</v>
      </c>
      <c r="AE1671">
        <v>1</v>
      </c>
      <c r="AF1671">
        <v>0</v>
      </c>
      <c r="AG1671">
        <v>1</v>
      </c>
      <c r="AH1671">
        <v>0</v>
      </c>
      <c r="AI1671">
        <v>0</v>
      </c>
      <c r="AJ1671">
        <v>0</v>
      </c>
      <c r="AK1671">
        <v>3</v>
      </c>
      <c r="AL1671">
        <v>1</v>
      </c>
      <c r="AM1671">
        <v>0</v>
      </c>
      <c r="AN1671">
        <v>0</v>
      </c>
      <c r="AT1671">
        <v>0</v>
      </c>
      <c r="AU1671">
        <v>13</v>
      </c>
      <c r="AV1671">
        <v>325</v>
      </c>
      <c r="AW1671">
        <v>325</v>
      </c>
      <c r="AX1671">
        <v>670</v>
      </c>
      <c r="BA1671">
        <v>1</v>
      </c>
      <c r="BC1671" t="s">
        <v>3439</v>
      </c>
      <c r="BD1671" s="4">
        <v>43283.128472222219</v>
      </c>
      <c r="BE1671" s="4">
        <v>43283.1328587963</v>
      </c>
      <c r="BF1671" s="4">
        <v>43283.1328587963</v>
      </c>
      <c r="BG1671" t="s">
        <v>83</v>
      </c>
      <c r="BH1671" t="s">
        <v>84</v>
      </c>
      <c r="BI1671" t="s">
        <v>85</v>
      </c>
    </row>
    <row r="1672" spans="1:61" x14ac:dyDescent="0.3">
      <c r="A1672" t="str">
        <f>"201497B0100"</f>
        <v>201497B0100</v>
      </c>
      <c r="B1672" t="s">
        <v>3440</v>
      </c>
      <c r="C1672">
        <v>20</v>
      </c>
      <c r="D1672" t="s">
        <v>79</v>
      </c>
      <c r="E1672">
        <v>8</v>
      </c>
      <c r="F1672" t="s">
        <v>3266</v>
      </c>
      <c r="G1672">
        <v>1497</v>
      </c>
      <c r="H1672">
        <v>1</v>
      </c>
      <c r="I1672" t="s">
        <v>81</v>
      </c>
      <c r="J1672">
        <v>0</v>
      </c>
      <c r="K1672">
        <v>2</v>
      </c>
      <c r="L1672">
        <v>2</v>
      </c>
      <c r="M1672">
        <v>167</v>
      </c>
      <c r="N1672">
        <v>187</v>
      </c>
      <c r="O1672">
        <v>3</v>
      </c>
      <c r="P1672">
        <v>187</v>
      </c>
      <c r="Q1672">
        <v>4</v>
      </c>
      <c r="R1672">
        <v>19</v>
      </c>
      <c r="S1672">
        <v>5</v>
      </c>
      <c r="T1672">
        <v>3</v>
      </c>
      <c r="U1672">
        <v>9</v>
      </c>
      <c r="V1672">
        <v>2</v>
      </c>
      <c r="W1672">
        <v>1</v>
      </c>
      <c r="X1672">
        <v>3</v>
      </c>
      <c r="Y1672">
        <v>123</v>
      </c>
      <c r="Z1672">
        <v>4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5</v>
      </c>
      <c r="AL1672">
        <v>1</v>
      </c>
      <c r="AM1672">
        <v>0</v>
      </c>
      <c r="AN1672">
        <v>1</v>
      </c>
      <c r="AT1672">
        <v>0</v>
      </c>
      <c r="AU1672">
        <v>7</v>
      </c>
      <c r="AV1672">
        <v>187</v>
      </c>
      <c r="AW1672">
        <v>187</v>
      </c>
      <c r="AX1672">
        <v>332</v>
      </c>
      <c r="BA1672">
        <v>1</v>
      </c>
      <c r="BC1672" t="s">
        <v>3441</v>
      </c>
      <c r="BD1672" s="4">
        <v>43283.134027777778</v>
      </c>
      <c r="BE1672" s="4">
        <v>43283.138842592591</v>
      </c>
      <c r="BF1672" s="4">
        <v>43283.138842592591</v>
      </c>
      <c r="BG1672" t="s">
        <v>83</v>
      </c>
      <c r="BH1672" t="s">
        <v>84</v>
      </c>
      <c r="BI1672" t="s">
        <v>85</v>
      </c>
    </row>
    <row r="1673" spans="1:61" x14ac:dyDescent="0.3">
      <c r="A1673" t="str">
        <f>"201512B0100"</f>
        <v>201512B0100</v>
      </c>
      <c r="B1673" t="s">
        <v>3442</v>
      </c>
      <c r="C1673">
        <v>20</v>
      </c>
      <c r="D1673" t="s">
        <v>79</v>
      </c>
      <c r="E1673">
        <v>8</v>
      </c>
      <c r="F1673" t="s">
        <v>3266</v>
      </c>
      <c r="G1673">
        <v>1512</v>
      </c>
      <c r="H1673">
        <v>1</v>
      </c>
      <c r="I1673" t="s">
        <v>81</v>
      </c>
      <c r="J1673">
        <v>0</v>
      </c>
      <c r="K1673">
        <v>2</v>
      </c>
      <c r="L1673">
        <v>2</v>
      </c>
      <c r="M1673">
        <v>214</v>
      </c>
      <c r="N1673">
        <v>340</v>
      </c>
      <c r="O1673">
        <v>0</v>
      </c>
      <c r="P1673">
        <v>340</v>
      </c>
      <c r="Q1673">
        <v>7</v>
      </c>
      <c r="R1673">
        <v>78</v>
      </c>
      <c r="S1673">
        <v>105</v>
      </c>
      <c r="T1673">
        <v>6</v>
      </c>
      <c r="U1673">
        <v>25</v>
      </c>
      <c r="V1673">
        <v>3</v>
      </c>
      <c r="W1673">
        <v>3</v>
      </c>
      <c r="X1673">
        <v>1</v>
      </c>
      <c r="Y1673">
        <v>85</v>
      </c>
      <c r="Z1673">
        <v>3</v>
      </c>
      <c r="AA1673">
        <v>2</v>
      </c>
      <c r="AB1673">
        <v>0</v>
      </c>
      <c r="AC1673">
        <v>1</v>
      </c>
      <c r="AD1673">
        <v>1</v>
      </c>
      <c r="AE1673">
        <v>0</v>
      </c>
      <c r="AF1673">
        <v>0</v>
      </c>
      <c r="AG1673">
        <v>0</v>
      </c>
      <c r="AH1673">
        <v>1</v>
      </c>
      <c r="AI1673">
        <v>0</v>
      </c>
      <c r="AJ1673">
        <v>0</v>
      </c>
      <c r="AK1673">
        <v>0</v>
      </c>
      <c r="AL1673">
        <v>1</v>
      </c>
      <c r="AM1673">
        <v>0</v>
      </c>
      <c r="AN1673">
        <v>0</v>
      </c>
      <c r="AT1673">
        <v>0</v>
      </c>
      <c r="AU1673">
        <v>18</v>
      </c>
      <c r="AV1673">
        <v>340</v>
      </c>
      <c r="AW1673">
        <v>340</v>
      </c>
      <c r="AX1673">
        <v>532</v>
      </c>
      <c r="BA1673">
        <v>1</v>
      </c>
      <c r="BC1673" t="s">
        <v>3443</v>
      </c>
      <c r="BD1673" s="4">
        <v>43283.1875</v>
      </c>
      <c r="BE1673" s="4">
        <v>43283.205335648148</v>
      </c>
      <c r="BF1673" s="4">
        <v>43283.205335648148</v>
      </c>
      <c r="BG1673" t="s">
        <v>83</v>
      </c>
      <c r="BH1673" t="s">
        <v>84</v>
      </c>
      <c r="BI1673" t="s">
        <v>85</v>
      </c>
    </row>
    <row r="1674" spans="1:61" x14ac:dyDescent="0.3">
      <c r="A1674" t="str">
        <f>"201613B0100"</f>
        <v>201613B0100</v>
      </c>
      <c r="B1674" t="s">
        <v>3444</v>
      </c>
      <c r="C1674">
        <v>20</v>
      </c>
      <c r="D1674" t="s">
        <v>79</v>
      </c>
      <c r="E1674">
        <v>8</v>
      </c>
      <c r="F1674" t="s">
        <v>3266</v>
      </c>
      <c r="G1674">
        <v>1613</v>
      </c>
      <c r="H1674">
        <v>1</v>
      </c>
      <c r="I1674" t="s">
        <v>81</v>
      </c>
      <c r="J1674">
        <v>0</v>
      </c>
      <c r="K1674">
        <v>1</v>
      </c>
      <c r="L1674">
        <v>2</v>
      </c>
      <c r="M1674">
        <v>403</v>
      </c>
      <c r="N1674">
        <v>221</v>
      </c>
      <c r="O1674">
        <v>221</v>
      </c>
      <c r="P1674">
        <v>221</v>
      </c>
      <c r="Q1674">
        <v>15</v>
      </c>
      <c r="R1674">
        <v>31</v>
      </c>
      <c r="S1674">
        <v>17</v>
      </c>
      <c r="T1674">
        <v>5</v>
      </c>
      <c r="U1674">
        <v>29</v>
      </c>
      <c r="V1674">
        <v>7</v>
      </c>
      <c r="W1674">
        <v>1</v>
      </c>
      <c r="X1674">
        <v>8</v>
      </c>
      <c r="Y1674">
        <v>87</v>
      </c>
      <c r="Z1674">
        <v>4</v>
      </c>
      <c r="AA1674">
        <v>1</v>
      </c>
      <c r="AB1674" t="s">
        <v>100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5</v>
      </c>
      <c r="AL1674">
        <v>1</v>
      </c>
      <c r="AM1674">
        <v>0</v>
      </c>
      <c r="AN1674">
        <v>0</v>
      </c>
      <c r="AT1674">
        <v>0</v>
      </c>
      <c r="AU1674">
        <v>9</v>
      </c>
      <c r="AV1674">
        <v>221</v>
      </c>
      <c r="AW1674">
        <v>220</v>
      </c>
      <c r="AX1674">
        <v>602</v>
      </c>
      <c r="AZ1674" t="s">
        <v>101</v>
      </c>
      <c r="BA1674">
        <v>1</v>
      </c>
      <c r="BC1674" t="s">
        <v>3445</v>
      </c>
      <c r="BD1674" s="4">
        <v>43283.336805555555</v>
      </c>
      <c r="BE1674" s="4">
        <v>43283.354108796295</v>
      </c>
      <c r="BF1674" s="4">
        <v>43283.354108796295</v>
      </c>
      <c r="BG1674" t="s">
        <v>83</v>
      </c>
      <c r="BH1674" t="s">
        <v>84</v>
      </c>
      <c r="BI1674" t="s">
        <v>85</v>
      </c>
    </row>
    <row r="1675" spans="1:61" x14ac:dyDescent="0.3">
      <c r="A1675" t="str">
        <f>"201613C0100"</f>
        <v>201613C0100</v>
      </c>
      <c r="B1675" t="s">
        <v>3446</v>
      </c>
      <c r="C1675">
        <v>20</v>
      </c>
      <c r="D1675" t="s">
        <v>79</v>
      </c>
      <c r="E1675">
        <v>8</v>
      </c>
      <c r="F1675" t="s">
        <v>3266</v>
      </c>
      <c r="G1675">
        <v>1613</v>
      </c>
      <c r="H1675">
        <v>1</v>
      </c>
      <c r="I1675" t="s">
        <v>89</v>
      </c>
      <c r="J1675">
        <v>0</v>
      </c>
      <c r="K1675">
        <v>1</v>
      </c>
      <c r="L1675">
        <v>2</v>
      </c>
      <c r="M1675">
        <v>404</v>
      </c>
      <c r="N1675">
        <v>220</v>
      </c>
      <c r="O1675">
        <v>1</v>
      </c>
      <c r="P1675">
        <v>220</v>
      </c>
      <c r="Q1675">
        <v>17</v>
      </c>
      <c r="R1675">
        <v>36</v>
      </c>
      <c r="S1675">
        <v>15</v>
      </c>
      <c r="T1675">
        <v>6</v>
      </c>
      <c r="U1675">
        <v>26</v>
      </c>
      <c r="V1675">
        <v>6</v>
      </c>
      <c r="W1675">
        <v>3</v>
      </c>
      <c r="X1675">
        <v>9</v>
      </c>
      <c r="Y1675">
        <v>75</v>
      </c>
      <c r="Z1675">
        <v>3</v>
      </c>
      <c r="AA1675">
        <v>1</v>
      </c>
      <c r="AB1675">
        <v>1</v>
      </c>
      <c r="AC1675">
        <v>1</v>
      </c>
      <c r="AD1675">
        <v>1</v>
      </c>
      <c r="AE1675">
        <v>1</v>
      </c>
      <c r="AF1675">
        <v>1</v>
      </c>
      <c r="AG1675">
        <v>0</v>
      </c>
      <c r="AH1675">
        <v>0</v>
      </c>
      <c r="AI1675">
        <v>2</v>
      </c>
      <c r="AJ1675">
        <v>0</v>
      </c>
      <c r="AK1675">
        <v>4</v>
      </c>
      <c r="AL1675">
        <v>1</v>
      </c>
      <c r="AM1675">
        <v>0</v>
      </c>
      <c r="AN1675">
        <v>2</v>
      </c>
      <c r="AT1675">
        <v>0</v>
      </c>
      <c r="AU1675">
        <v>9</v>
      </c>
      <c r="AV1675">
        <v>220</v>
      </c>
      <c r="AW1675">
        <v>220</v>
      </c>
      <c r="AX1675">
        <v>602</v>
      </c>
      <c r="BA1675">
        <v>1</v>
      </c>
      <c r="BC1675" t="s">
        <v>3447</v>
      </c>
      <c r="BD1675" s="4">
        <v>43283.336111111108</v>
      </c>
      <c r="BE1675" s="4">
        <v>43283.354942129627</v>
      </c>
      <c r="BF1675" s="4">
        <v>43283.354942129627</v>
      </c>
      <c r="BG1675" t="s">
        <v>83</v>
      </c>
      <c r="BH1675" t="s">
        <v>84</v>
      </c>
      <c r="BI1675" t="s">
        <v>85</v>
      </c>
    </row>
    <row r="1676" spans="1:61" x14ac:dyDescent="0.3">
      <c r="A1676" t="str">
        <f>"201677B0100"</f>
        <v>201677B0100</v>
      </c>
      <c r="B1676" t="s">
        <v>3448</v>
      </c>
      <c r="C1676">
        <v>20</v>
      </c>
      <c r="D1676" t="s">
        <v>79</v>
      </c>
      <c r="E1676">
        <v>8</v>
      </c>
      <c r="F1676" t="s">
        <v>3266</v>
      </c>
      <c r="G1676">
        <v>1677</v>
      </c>
      <c r="H1676">
        <v>1</v>
      </c>
      <c r="I1676" t="s">
        <v>81</v>
      </c>
      <c r="J1676">
        <v>0</v>
      </c>
      <c r="K1676">
        <v>2</v>
      </c>
      <c r="L1676">
        <v>2</v>
      </c>
      <c r="M1676">
        <v>138</v>
      </c>
      <c r="N1676">
        <v>200</v>
      </c>
      <c r="O1676">
        <v>2</v>
      </c>
      <c r="P1676">
        <v>200</v>
      </c>
      <c r="Q1676">
        <v>6</v>
      </c>
      <c r="R1676">
        <v>36</v>
      </c>
      <c r="S1676">
        <v>27</v>
      </c>
      <c r="T1676">
        <v>3</v>
      </c>
      <c r="U1676">
        <v>5</v>
      </c>
      <c r="V1676">
        <v>5</v>
      </c>
      <c r="W1676">
        <v>1</v>
      </c>
      <c r="X1676">
        <v>1</v>
      </c>
      <c r="Y1676">
        <v>96</v>
      </c>
      <c r="Z1676">
        <v>1</v>
      </c>
      <c r="AA1676">
        <v>1</v>
      </c>
      <c r="AB1676">
        <v>2</v>
      </c>
      <c r="AC1676">
        <v>1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1</v>
      </c>
      <c r="AJ1676">
        <v>0</v>
      </c>
      <c r="AK1676">
        <v>2</v>
      </c>
      <c r="AL1676">
        <v>1</v>
      </c>
      <c r="AM1676">
        <v>0</v>
      </c>
      <c r="AN1676">
        <v>0</v>
      </c>
      <c r="AT1676">
        <v>0</v>
      </c>
      <c r="AU1676">
        <v>11</v>
      </c>
      <c r="AV1676">
        <v>200</v>
      </c>
      <c r="AW1676">
        <v>200</v>
      </c>
      <c r="AX1676">
        <v>316</v>
      </c>
      <c r="BA1676">
        <v>1</v>
      </c>
      <c r="BC1676" t="s">
        <v>3449</v>
      </c>
      <c r="BD1676" s="4">
        <v>43283.088888888888</v>
      </c>
      <c r="BE1676" s="4">
        <v>43283.092395833337</v>
      </c>
      <c r="BF1676" s="4">
        <v>43283.092395833337</v>
      </c>
      <c r="BG1676" t="s">
        <v>83</v>
      </c>
      <c r="BH1676" t="s">
        <v>84</v>
      </c>
      <c r="BI1676" t="s">
        <v>85</v>
      </c>
    </row>
    <row r="1677" spans="1:61" x14ac:dyDescent="0.3">
      <c r="A1677" t="str">
        <f>"201677E0100"</f>
        <v>201677E0100</v>
      </c>
      <c r="B1677" s="2" t="s">
        <v>3450</v>
      </c>
      <c r="C1677">
        <v>20</v>
      </c>
      <c r="D1677" t="s">
        <v>79</v>
      </c>
      <c r="E1677">
        <v>8</v>
      </c>
      <c r="F1677" t="s">
        <v>3266</v>
      </c>
      <c r="G1677">
        <v>1677</v>
      </c>
      <c r="H1677">
        <v>1</v>
      </c>
      <c r="I1677" t="s">
        <v>145</v>
      </c>
      <c r="J1677">
        <v>0</v>
      </c>
      <c r="K1677">
        <v>2</v>
      </c>
      <c r="L1677">
        <v>2</v>
      </c>
      <c r="M1677">
        <v>80</v>
      </c>
      <c r="N1677">
        <v>130</v>
      </c>
      <c r="O1677">
        <v>4</v>
      </c>
      <c r="P1677">
        <v>130</v>
      </c>
      <c r="Q1677">
        <v>7</v>
      </c>
      <c r="R1677">
        <v>33</v>
      </c>
      <c r="S1677">
        <v>30</v>
      </c>
      <c r="T1677">
        <v>5</v>
      </c>
      <c r="U1677">
        <v>4</v>
      </c>
      <c r="V1677">
        <v>0</v>
      </c>
      <c r="W1677">
        <v>0</v>
      </c>
      <c r="X1677">
        <v>2</v>
      </c>
      <c r="Y1677">
        <v>35</v>
      </c>
      <c r="Z1677">
        <v>1</v>
      </c>
      <c r="AA1677">
        <v>0</v>
      </c>
      <c r="AB1677">
        <v>1</v>
      </c>
      <c r="AC1677">
        <v>0</v>
      </c>
      <c r="AD1677">
        <v>0</v>
      </c>
      <c r="AE1677">
        <v>0</v>
      </c>
      <c r="AF1677">
        <v>0</v>
      </c>
      <c r="AG1677">
        <v>1</v>
      </c>
      <c r="AH1677">
        <v>1</v>
      </c>
      <c r="AI1677">
        <v>0</v>
      </c>
      <c r="AJ1677">
        <v>0</v>
      </c>
      <c r="AK1677">
        <v>1</v>
      </c>
      <c r="AL1677">
        <v>1</v>
      </c>
      <c r="AM1677">
        <v>0</v>
      </c>
      <c r="AN1677">
        <v>1</v>
      </c>
      <c r="AT1677">
        <v>0</v>
      </c>
      <c r="AU1677">
        <v>5</v>
      </c>
      <c r="AV1677">
        <v>130</v>
      </c>
      <c r="AW1677">
        <v>128</v>
      </c>
      <c r="AX1677">
        <v>188</v>
      </c>
      <c r="BA1677">
        <v>1</v>
      </c>
      <c r="BC1677" t="s">
        <v>3451</v>
      </c>
      <c r="BD1677" s="4">
        <v>43283.09097222222</v>
      </c>
      <c r="BE1677" s="4">
        <v>43283.094421296293</v>
      </c>
      <c r="BF1677" s="4">
        <v>43283.094421296293</v>
      </c>
      <c r="BG1677" t="s">
        <v>83</v>
      </c>
      <c r="BH1677" t="s">
        <v>84</v>
      </c>
      <c r="BI1677" t="s">
        <v>85</v>
      </c>
    </row>
    <row r="1678" spans="1:61" x14ac:dyDescent="0.3">
      <c r="A1678" t="str">
        <f>"201678B0100"</f>
        <v>201678B0100</v>
      </c>
      <c r="B1678" t="s">
        <v>3452</v>
      </c>
      <c r="C1678">
        <v>20</v>
      </c>
      <c r="D1678" t="s">
        <v>79</v>
      </c>
      <c r="E1678">
        <v>8</v>
      </c>
      <c r="F1678" t="s">
        <v>3266</v>
      </c>
      <c r="G1678">
        <v>1678</v>
      </c>
      <c r="H1678">
        <v>1</v>
      </c>
      <c r="I1678" t="s">
        <v>81</v>
      </c>
      <c r="J1678">
        <v>0</v>
      </c>
      <c r="K1678">
        <v>2</v>
      </c>
      <c r="L1678">
        <v>2</v>
      </c>
      <c r="M1678">
        <v>99</v>
      </c>
      <c r="N1678">
        <v>181</v>
      </c>
      <c r="O1678">
        <v>0</v>
      </c>
      <c r="P1678">
        <v>181</v>
      </c>
      <c r="Q1678">
        <v>4</v>
      </c>
      <c r="R1678">
        <v>23</v>
      </c>
      <c r="S1678">
        <v>64</v>
      </c>
      <c r="T1678">
        <v>4</v>
      </c>
      <c r="U1678">
        <v>7</v>
      </c>
      <c r="V1678">
        <v>4</v>
      </c>
      <c r="W1678">
        <v>1</v>
      </c>
      <c r="X1678">
        <v>1</v>
      </c>
      <c r="Y1678">
        <v>54</v>
      </c>
      <c r="Z1678">
        <v>1</v>
      </c>
      <c r="AA1678">
        <v>0</v>
      </c>
      <c r="AB1678">
        <v>1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1</v>
      </c>
      <c r="AI1678">
        <v>0</v>
      </c>
      <c r="AJ1678">
        <v>0</v>
      </c>
      <c r="AK1678">
        <v>1</v>
      </c>
      <c r="AL1678">
        <v>0</v>
      </c>
      <c r="AM1678">
        <v>0</v>
      </c>
      <c r="AN1678">
        <v>0</v>
      </c>
      <c r="AT1678">
        <v>0</v>
      </c>
      <c r="AU1678">
        <v>15</v>
      </c>
      <c r="AV1678">
        <v>181</v>
      </c>
      <c r="AW1678">
        <v>181</v>
      </c>
      <c r="AX1678">
        <v>258</v>
      </c>
      <c r="BA1678">
        <v>1</v>
      </c>
      <c r="BC1678" t="s">
        <v>3453</v>
      </c>
      <c r="BD1678" s="4">
        <v>43283.488194444442</v>
      </c>
      <c r="BE1678" s="4">
        <v>43283.490671296298</v>
      </c>
      <c r="BF1678" s="4">
        <v>43283.490671296298</v>
      </c>
      <c r="BG1678" t="s">
        <v>83</v>
      </c>
      <c r="BH1678" t="s">
        <v>84</v>
      </c>
      <c r="BI1678" t="s">
        <v>85</v>
      </c>
    </row>
    <row r="1679" spans="1:61" x14ac:dyDescent="0.3">
      <c r="A1679" t="str">
        <f>"201679B0100"</f>
        <v>201679B0100</v>
      </c>
      <c r="B1679" t="s">
        <v>3454</v>
      </c>
      <c r="C1679">
        <v>20</v>
      </c>
      <c r="D1679" t="s">
        <v>79</v>
      </c>
      <c r="E1679">
        <v>8</v>
      </c>
      <c r="F1679" t="s">
        <v>3266</v>
      </c>
      <c r="G1679">
        <v>1679</v>
      </c>
      <c r="H1679">
        <v>1</v>
      </c>
      <c r="I1679" t="s">
        <v>81</v>
      </c>
      <c r="J1679">
        <v>0</v>
      </c>
      <c r="K1679">
        <v>2</v>
      </c>
      <c r="L1679">
        <v>2</v>
      </c>
      <c r="M1679">
        <v>148</v>
      </c>
      <c r="N1679">
        <v>346</v>
      </c>
      <c r="O1679">
        <v>1</v>
      </c>
      <c r="P1679">
        <v>346</v>
      </c>
      <c r="Q1679">
        <v>16</v>
      </c>
      <c r="R1679">
        <v>31</v>
      </c>
      <c r="S1679">
        <v>70</v>
      </c>
      <c r="T1679">
        <v>8</v>
      </c>
      <c r="U1679">
        <v>12</v>
      </c>
      <c r="V1679">
        <v>8</v>
      </c>
      <c r="W1679">
        <v>6</v>
      </c>
      <c r="X1679">
        <v>4</v>
      </c>
      <c r="Y1679">
        <v>155</v>
      </c>
      <c r="Z1679">
        <v>2</v>
      </c>
      <c r="AA1679">
        <v>3</v>
      </c>
      <c r="AB1679">
        <v>2</v>
      </c>
      <c r="AC1679">
        <v>1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3</v>
      </c>
      <c r="AL1679">
        <v>4</v>
      </c>
      <c r="AM1679">
        <v>0</v>
      </c>
      <c r="AN1679">
        <v>2</v>
      </c>
      <c r="AT1679">
        <v>0</v>
      </c>
      <c r="AU1679">
        <v>19</v>
      </c>
      <c r="AV1679">
        <v>346</v>
      </c>
      <c r="AW1679">
        <v>346</v>
      </c>
      <c r="AX1679">
        <v>472</v>
      </c>
      <c r="BA1679">
        <v>1</v>
      </c>
      <c r="BC1679" t="s">
        <v>3455</v>
      </c>
      <c r="BD1679" s="4">
        <v>43283.489583333336</v>
      </c>
      <c r="BE1679" s="4">
        <v>43283.494953703703</v>
      </c>
      <c r="BF1679" s="4">
        <v>43283.494953703703</v>
      </c>
      <c r="BG1679" t="s">
        <v>83</v>
      </c>
      <c r="BH1679" t="s">
        <v>84</v>
      </c>
      <c r="BI1679" t="s">
        <v>85</v>
      </c>
    </row>
    <row r="1680" spans="1:61" x14ac:dyDescent="0.3">
      <c r="A1680" t="str">
        <f>"201680B0100"</f>
        <v>201680B0100</v>
      </c>
      <c r="B1680" t="s">
        <v>3456</v>
      </c>
      <c r="C1680">
        <v>20</v>
      </c>
      <c r="D1680" t="s">
        <v>79</v>
      </c>
      <c r="E1680">
        <v>8</v>
      </c>
      <c r="F1680" t="s">
        <v>3266</v>
      </c>
      <c r="G1680">
        <v>1680</v>
      </c>
      <c r="H1680">
        <v>1</v>
      </c>
      <c r="I1680" t="s">
        <v>81</v>
      </c>
      <c r="J1680">
        <v>0</v>
      </c>
      <c r="K1680">
        <v>2</v>
      </c>
      <c r="L1680">
        <v>2</v>
      </c>
      <c r="M1680">
        <v>173</v>
      </c>
      <c r="N1680">
        <v>329</v>
      </c>
      <c r="O1680">
        <v>2</v>
      </c>
      <c r="P1680">
        <v>329</v>
      </c>
      <c r="Q1680">
        <v>1</v>
      </c>
      <c r="R1680">
        <v>13</v>
      </c>
      <c r="S1680">
        <v>24</v>
      </c>
      <c r="T1680">
        <v>4</v>
      </c>
      <c r="U1680">
        <v>14</v>
      </c>
      <c r="V1680">
        <v>2</v>
      </c>
      <c r="W1680">
        <v>4</v>
      </c>
      <c r="X1680">
        <v>4</v>
      </c>
      <c r="Y1680">
        <v>230</v>
      </c>
      <c r="Z1680">
        <v>6</v>
      </c>
      <c r="AA1680">
        <v>2</v>
      </c>
      <c r="AB1680">
        <v>4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5</v>
      </c>
      <c r="AL1680">
        <v>3</v>
      </c>
      <c r="AM1680">
        <v>0</v>
      </c>
      <c r="AN1680">
        <v>0</v>
      </c>
      <c r="AT1680">
        <v>0</v>
      </c>
      <c r="AU1680">
        <v>13</v>
      </c>
      <c r="AV1680">
        <v>329</v>
      </c>
      <c r="AW1680">
        <v>329</v>
      </c>
      <c r="AX1680">
        <v>480</v>
      </c>
      <c r="BA1680">
        <v>1</v>
      </c>
      <c r="BC1680" t="s">
        <v>3457</v>
      </c>
      <c r="BD1680" s="4">
        <v>43283.236805555556</v>
      </c>
      <c r="BE1680" s="4">
        <v>43283.263252314813</v>
      </c>
      <c r="BF1680" s="4">
        <v>43283.263252314813</v>
      </c>
      <c r="BG1680" t="s">
        <v>83</v>
      </c>
      <c r="BH1680" t="s">
        <v>84</v>
      </c>
      <c r="BI1680" t="s">
        <v>85</v>
      </c>
    </row>
    <row r="1681" spans="1:61" x14ac:dyDescent="0.3">
      <c r="A1681" t="str">
        <f>"201681B0100"</f>
        <v>201681B0100</v>
      </c>
      <c r="B1681" t="s">
        <v>3458</v>
      </c>
      <c r="C1681">
        <v>20</v>
      </c>
      <c r="D1681" t="s">
        <v>79</v>
      </c>
      <c r="E1681">
        <v>8</v>
      </c>
      <c r="F1681" t="s">
        <v>3266</v>
      </c>
      <c r="G1681">
        <v>1681</v>
      </c>
      <c r="H1681">
        <v>1</v>
      </c>
      <c r="I1681" t="s">
        <v>81</v>
      </c>
      <c r="J1681">
        <v>0</v>
      </c>
      <c r="K1681">
        <v>2</v>
      </c>
      <c r="L1681">
        <v>2</v>
      </c>
      <c r="M1681">
        <v>102</v>
      </c>
      <c r="N1681">
        <v>158</v>
      </c>
      <c r="O1681">
        <v>2</v>
      </c>
      <c r="P1681">
        <v>158</v>
      </c>
      <c r="Q1681">
        <v>2</v>
      </c>
      <c r="R1681">
        <v>4</v>
      </c>
      <c r="S1681">
        <v>42</v>
      </c>
      <c r="T1681">
        <v>2</v>
      </c>
      <c r="U1681">
        <v>10</v>
      </c>
      <c r="V1681">
        <v>5</v>
      </c>
      <c r="W1681">
        <v>11</v>
      </c>
      <c r="X1681">
        <v>4</v>
      </c>
      <c r="Y1681">
        <v>57</v>
      </c>
      <c r="Z1681">
        <v>1</v>
      </c>
      <c r="AA1681">
        <v>0</v>
      </c>
      <c r="AB1681">
        <v>1</v>
      </c>
      <c r="AC1681">
        <v>0</v>
      </c>
      <c r="AD1681">
        <v>0</v>
      </c>
      <c r="AE1681">
        <v>0</v>
      </c>
      <c r="AF1681">
        <v>1</v>
      </c>
      <c r="AG1681">
        <v>0</v>
      </c>
      <c r="AH1681">
        <v>0</v>
      </c>
      <c r="AI1681">
        <v>0</v>
      </c>
      <c r="AJ1681">
        <v>0</v>
      </c>
      <c r="AK1681">
        <v>4</v>
      </c>
      <c r="AL1681">
        <v>0</v>
      </c>
      <c r="AM1681">
        <v>0</v>
      </c>
      <c r="AN1681">
        <v>0</v>
      </c>
      <c r="AT1681">
        <v>0</v>
      </c>
      <c r="AU1681">
        <v>14</v>
      </c>
      <c r="AV1681">
        <v>158</v>
      </c>
      <c r="AW1681">
        <v>158</v>
      </c>
      <c r="AX1681">
        <v>238</v>
      </c>
      <c r="BA1681">
        <v>1</v>
      </c>
      <c r="BC1681" t="s">
        <v>3459</v>
      </c>
      <c r="BD1681" s="4">
        <v>43283.236805555556</v>
      </c>
      <c r="BE1681" s="4">
        <v>43283.263460648152</v>
      </c>
      <c r="BF1681" s="4">
        <v>43283.263460648152</v>
      </c>
      <c r="BG1681" t="s">
        <v>83</v>
      </c>
      <c r="BH1681" t="s">
        <v>84</v>
      </c>
      <c r="BI1681" t="s">
        <v>85</v>
      </c>
    </row>
    <row r="1682" spans="1:61" x14ac:dyDescent="0.3">
      <c r="A1682" t="str">
        <f>"201682B0100"</f>
        <v>201682B0100</v>
      </c>
      <c r="B1682" t="s">
        <v>3460</v>
      </c>
      <c r="C1682">
        <v>20</v>
      </c>
      <c r="D1682" t="s">
        <v>79</v>
      </c>
      <c r="E1682">
        <v>8</v>
      </c>
      <c r="F1682" t="s">
        <v>3266</v>
      </c>
      <c r="G1682">
        <v>1682</v>
      </c>
      <c r="H1682">
        <v>1</v>
      </c>
      <c r="I1682" t="s">
        <v>81</v>
      </c>
      <c r="J1682">
        <v>0</v>
      </c>
      <c r="K1682">
        <v>2</v>
      </c>
      <c r="L1682">
        <v>2</v>
      </c>
      <c r="M1682">
        <v>133</v>
      </c>
      <c r="N1682">
        <v>147</v>
      </c>
      <c r="O1682">
        <v>4</v>
      </c>
      <c r="P1682">
        <v>147</v>
      </c>
      <c r="Q1682">
        <v>2</v>
      </c>
      <c r="R1682">
        <v>1</v>
      </c>
      <c r="S1682">
        <v>70</v>
      </c>
      <c r="T1682">
        <v>1</v>
      </c>
      <c r="U1682">
        <v>6</v>
      </c>
      <c r="V1682">
        <v>2</v>
      </c>
      <c r="W1682">
        <v>0</v>
      </c>
      <c r="X1682">
        <v>0</v>
      </c>
      <c r="Y1682">
        <v>40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1</v>
      </c>
      <c r="AG1682">
        <v>1</v>
      </c>
      <c r="AH1682">
        <v>0</v>
      </c>
      <c r="AI1682">
        <v>0</v>
      </c>
      <c r="AJ1682">
        <v>0</v>
      </c>
      <c r="AK1682">
        <v>1</v>
      </c>
      <c r="AL1682">
        <v>0</v>
      </c>
      <c r="AM1682">
        <v>0</v>
      </c>
      <c r="AN1682">
        <v>0</v>
      </c>
      <c r="AT1682">
        <v>0</v>
      </c>
      <c r="AU1682">
        <v>22</v>
      </c>
      <c r="AV1682">
        <v>147</v>
      </c>
      <c r="AW1682">
        <v>147</v>
      </c>
      <c r="AX1682">
        <v>257</v>
      </c>
      <c r="BA1682">
        <v>1</v>
      </c>
      <c r="BC1682" t="s">
        <v>3461</v>
      </c>
      <c r="BD1682" s="4">
        <v>43283.238194444442</v>
      </c>
      <c r="BE1682" s="4">
        <v>43283.260115740741</v>
      </c>
      <c r="BF1682" s="4">
        <v>43283.260115740741</v>
      </c>
      <c r="BG1682" t="s">
        <v>83</v>
      </c>
      <c r="BH1682" t="s">
        <v>84</v>
      </c>
      <c r="BI1682" t="s">
        <v>85</v>
      </c>
    </row>
    <row r="1683" spans="1:61" x14ac:dyDescent="0.3">
      <c r="A1683" t="str">
        <f>"201682E0100"</f>
        <v>201682E0100</v>
      </c>
      <c r="B1683" s="2" t="s">
        <v>3462</v>
      </c>
      <c r="C1683">
        <v>20</v>
      </c>
      <c r="D1683" t="s">
        <v>79</v>
      </c>
      <c r="E1683">
        <v>8</v>
      </c>
      <c r="F1683" t="s">
        <v>3266</v>
      </c>
      <c r="G1683">
        <v>1682</v>
      </c>
      <c r="H1683">
        <v>1</v>
      </c>
      <c r="I1683" t="s">
        <v>145</v>
      </c>
      <c r="J1683">
        <v>0</v>
      </c>
      <c r="K1683">
        <v>2</v>
      </c>
      <c r="L1683">
        <v>2</v>
      </c>
      <c r="M1683">
        <v>66</v>
      </c>
      <c r="N1683">
        <v>87</v>
      </c>
      <c r="O1683">
        <v>3</v>
      </c>
      <c r="P1683">
        <v>0</v>
      </c>
      <c r="Q1683">
        <v>1</v>
      </c>
      <c r="R1683">
        <v>1</v>
      </c>
      <c r="S1683">
        <v>8</v>
      </c>
      <c r="T1683">
        <v>1</v>
      </c>
      <c r="U1683">
        <v>4</v>
      </c>
      <c r="V1683">
        <v>1</v>
      </c>
      <c r="W1683">
        <v>0</v>
      </c>
      <c r="X1683">
        <v>0</v>
      </c>
      <c r="Y1683">
        <v>50</v>
      </c>
      <c r="Z1683">
        <v>7</v>
      </c>
      <c r="AA1683">
        <v>2</v>
      </c>
      <c r="AB1683">
        <v>1</v>
      </c>
      <c r="AC1683">
        <v>1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3</v>
      </c>
      <c r="AL1683">
        <v>1</v>
      </c>
      <c r="AM1683">
        <v>0</v>
      </c>
      <c r="AN1683">
        <v>0</v>
      </c>
      <c r="AT1683">
        <v>0</v>
      </c>
      <c r="AU1683">
        <v>6</v>
      </c>
      <c r="AV1683">
        <v>87</v>
      </c>
      <c r="AW1683">
        <v>87</v>
      </c>
      <c r="AX1683">
        <v>131</v>
      </c>
      <c r="BA1683">
        <v>1</v>
      </c>
      <c r="BC1683" s="2" t="s">
        <v>3463</v>
      </c>
      <c r="BD1683" s="4">
        <v>43283.238194444442</v>
      </c>
      <c r="BE1683" s="4">
        <v>43283.260891203703</v>
      </c>
      <c r="BF1683" s="4">
        <v>43283.260891203703</v>
      </c>
      <c r="BG1683" t="s">
        <v>83</v>
      </c>
      <c r="BH1683" t="s">
        <v>84</v>
      </c>
      <c r="BI1683" t="s">
        <v>85</v>
      </c>
    </row>
    <row r="1684" spans="1:61" x14ac:dyDescent="0.3">
      <c r="A1684" t="str">
        <f>"201702B0100"</f>
        <v>201702B0100</v>
      </c>
      <c r="B1684" t="s">
        <v>3464</v>
      </c>
      <c r="C1684">
        <v>20</v>
      </c>
      <c r="D1684" t="s">
        <v>79</v>
      </c>
      <c r="E1684">
        <v>8</v>
      </c>
      <c r="F1684" t="s">
        <v>3266</v>
      </c>
      <c r="G1684">
        <v>1702</v>
      </c>
      <c r="H1684">
        <v>1</v>
      </c>
      <c r="I1684" t="s">
        <v>81</v>
      </c>
      <c r="J1684">
        <v>0</v>
      </c>
      <c r="K1684">
        <v>2</v>
      </c>
      <c r="L1684">
        <v>2</v>
      </c>
      <c r="M1684">
        <v>225</v>
      </c>
      <c r="N1684">
        <v>339</v>
      </c>
      <c r="O1684">
        <v>3</v>
      </c>
      <c r="P1684">
        <v>339</v>
      </c>
      <c r="Q1684">
        <v>6</v>
      </c>
      <c r="R1684">
        <v>32</v>
      </c>
      <c r="S1684">
        <v>61</v>
      </c>
      <c r="T1684">
        <v>5</v>
      </c>
      <c r="U1684">
        <v>29</v>
      </c>
      <c r="V1684">
        <v>6</v>
      </c>
      <c r="W1684">
        <v>4</v>
      </c>
      <c r="X1684">
        <v>7</v>
      </c>
      <c r="Y1684">
        <v>151</v>
      </c>
      <c r="Z1684">
        <v>7</v>
      </c>
      <c r="AA1684">
        <v>1</v>
      </c>
      <c r="AB1684">
        <v>1</v>
      </c>
      <c r="AC1684">
        <v>0</v>
      </c>
      <c r="AD1684">
        <v>0</v>
      </c>
      <c r="AE1684">
        <v>0</v>
      </c>
      <c r="AF1684">
        <v>0</v>
      </c>
      <c r="AG1684">
        <v>2</v>
      </c>
      <c r="AH1684">
        <v>0</v>
      </c>
      <c r="AI1684">
        <v>0</v>
      </c>
      <c r="AJ1684">
        <v>5</v>
      </c>
      <c r="AK1684">
        <v>1</v>
      </c>
      <c r="AL1684">
        <v>1</v>
      </c>
      <c r="AM1684">
        <v>2</v>
      </c>
      <c r="AN1684">
        <v>0</v>
      </c>
      <c r="AT1684">
        <v>0</v>
      </c>
      <c r="AU1684">
        <v>18</v>
      </c>
      <c r="AV1684">
        <v>339</v>
      </c>
      <c r="AW1684">
        <v>339</v>
      </c>
      <c r="AX1684">
        <v>543</v>
      </c>
      <c r="BA1684">
        <v>1</v>
      </c>
      <c r="BC1684" t="s">
        <v>3465</v>
      </c>
      <c r="BD1684" s="4">
        <v>43283.118750000001</v>
      </c>
      <c r="BE1684" s="4">
        <v>43283.125752314816</v>
      </c>
      <c r="BF1684" s="4">
        <v>43283.125752314816</v>
      </c>
      <c r="BG1684" t="s">
        <v>83</v>
      </c>
      <c r="BH1684" t="s">
        <v>84</v>
      </c>
      <c r="BI1684" t="s">
        <v>85</v>
      </c>
    </row>
    <row r="1685" spans="1:61" x14ac:dyDescent="0.3">
      <c r="A1685" t="str">
        <f>"201702C0100"</f>
        <v>201702C0100</v>
      </c>
      <c r="B1685" t="s">
        <v>3466</v>
      </c>
      <c r="C1685">
        <v>20</v>
      </c>
      <c r="D1685" t="s">
        <v>79</v>
      </c>
      <c r="E1685">
        <v>8</v>
      </c>
      <c r="F1685" t="s">
        <v>3266</v>
      </c>
      <c r="G1685">
        <v>1702</v>
      </c>
      <c r="H1685">
        <v>1</v>
      </c>
      <c r="I1685" t="s">
        <v>89</v>
      </c>
      <c r="J1685">
        <v>0</v>
      </c>
      <c r="K1685">
        <v>2</v>
      </c>
      <c r="L1685">
        <v>2</v>
      </c>
      <c r="M1685">
        <v>240</v>
      </c>
      <c r="N1685">
        <v>324</v>
      </c>
      <c r="O1685">
        <v>4</v>
      </c>
      <c r="P1685">
        <v>324</v>
      </c>
      <c r="Q1685">
        <v>6</v>
      </c>
      <c r="R1685">
        <v>35</v>
      </c>
      <c r="S1685">
        <v>50</v>
      </c>
      <c r="T1685">
        <v>6</v>
      </c>
      <c r="U1685">
        <v>21</v>
      </c>
      <c r="V1685">
        <v>7</v>
      </c>
      <c r="W1685">
        <v>4</v>
      </c>
      <c r="X1685">
        <v>4</v>
      </c>
      <c r="Y1685">
        <v>150</v>
      </c>
      <c r="Z1685">
        <v>2</v>
      </c>
      <c r="AA1685">
        <v>1</v>
      </c>
      <c r="AB1685">
        <v>6</v>
      </c>
      <c r="AC1685">
        <v>2</v>
      </c>
      <c r="AD1685">
        <v>0</v>
      </c>
      <c r="AE1685">
        <v>1</v>
      </c>
      <c r="AF1685">
        <v>1</v>
      </c>
      <c r="AG1685">
        <v>0</v>
      </c>
      <c r="AH1685">
        <v>1</v>
      </c>
      <c r="AI1685">
        <v>0</v>
      </c>
      <c r="AJ1685">
        <v>0</v>
      </c>
      <c r="AK1685">
        <v>5</v>
      </c>
      <c r="AL1685">
        <v>5</v>
      </c>
      <c r="AM1685">
        <v>0</v>
      </c>
      <c r="AN1685">
        <v>0</v>
      </c>
      <c r="AT1685">
        <v>0</v>
      </c>
      <c r="AU1685">
        <v>16</v>
      </c>
      <c r="AV1685">
        <v>324</v>
      </c>
      <c r="AW1685">
        <v>323</v>
      </c>
      <c r="AX1685">
        <v>542</v>
      </c>
      <c r="BA1685">
        <v>1</v>
      </c>
      <c r="BC1685" t="s">
        <v>3467</v>
      </c>
      <c r="BD1685" s="4">
        <v>43283.120833333334</v>
      </c>
      <c r="BE1685" s="4">
        <v>43283.142511574071</v>
      </c>
      <c r="BF1685" s="4">
        <v>43283.142511574071</v>
      </c>
      <c r="BG1685" t="s">
        <v>83</v>
      </c>
      <c r="BH1685" t="s">
        <v>84</v>
      </c>
      <c r="BI1685" t="s">
        <v>85</v>
      </c>
    </row>
    <row r="1686" spans="1:61" x14ac:dyDescent="0.3">
      <c r="A1686" t="str">
        <f>"201702E0100"</f>
        <v>201702E0100</v>
      </c>
      <c r="B1686" s="2" t="s">
        <v>3468</v>
      </c>
      <c r="C1686">
        <v>20</v>
      </c>
      <c r="D1686" t="s">
        <v>79</v>
      </c>
      <c r="E1686">
        <v>8</v>
      </c>
      <c r="F1686" t="s">
        <v>3266</v>
      </c>
      <c r="G1686">
        <v>1702</v>
      </c>
      <c r="H1686">
        <v>1</v>
      </c>
      <c r="I1686" t="s">
        <v>145</v>
      </c>
      <c r="J1686">
        <v>0</v>
      </c>
      <c r="K1686">
        <v>2</v>
      </c>
      <c r="L1686">
        <v>2</v>
      </c>
      <c r="M1686">
        <v>288</v>
      </c>
      <c r="N1686">
        <v>338</v>
      </c>
      <c r="O1686">
        <v>4</v>
      </c>
      <c r="P1686">
        <v>338</v>
      </c>
      <c r="Q1686">
        <v>4</v>
      </c>
      <c r="R1686">
        <v>47</v>
      </c>
      <c r="S1686">
        <v>40</v>
      </c>
      <c r="T1686">
        <v>6</v>
      </c>
      <c r="U1686">
        <v>26</v>
      </c>
      <c r="V1686">
        <v>5</v>
      </c>
      <c r="W1686">
        <v>1</v>
      </c>
      <c r="X1686">
        <v>10</v>
      </c>
      <c r="Y1686">
        <v>163</v>
      </c>
      <c r="Z1686">
        <v>6</v>
      </c>
      <c r="AA1686">
        <v>1</v>
      </c>
      <c r="AB1686">
        <v>1</v>
      </c>
      <c r="AC1686">
        <v>0</v>
      </c>
      <c r="AD1686">
        <v>0</v>
      </c>
      <c r="AE1686">
        <v>0</v>
      </c>
      <c r="AF1686">
        <v>0</v>
      </c>
      <c r="AG1686">
        <v>1</v>
      </c>
      <c r="AH1686">
        <v>1</v>
      </c>
      <c r="AI1686">
        <v>0</v>
      </c>
      <c r="AJ1686">
        <v>0</v>
      </c>
      <c r="AK1686">
        <v>2</v>
      </c>
      <c r="AL1686">
        <v>2</v>
      </c>
      <c r="AM1686">
        <v>0</v>
      </c>
      <c r="AN1686">
        <v>3</v>
      </c>
      <c r="AT1686">
        <v>0</v>
      </c>
      <c r="AU1686">
        <v>19</v>
      </c>
      <c r="AV1686">
        <v>338</v>
      </c>
      <c r="AW1686">
        <v>338</v>
      </c>
      <c r="AX1686">
        <v>604</v>
      </c>
      <c r="BA1686">
        <v>1</v>
      </c>
      <c r="BC1686" t="s">
        <v>3469</v>
      </c>
      <c r="BD1686" s="4">
        <v>43283.12777777778</v>
      </c>
      <c r="BE1686" s="4">
        <v>43283.622118055559</v>
      </c>
      <c r="BF1686" s="4">
        <v>43283.622118055559</v>
      </c>
      <c r="BG1686" t="s">
        <v>83</v>
      </c>
      <c r="BH1686" t="s">
        <v>84</v>
      </c>
      <c r="BI1686" t="s">
        <v>85</v>
      </c>
    </row>
    <row r="1687" spans="1:61" x14ac:dyDescent="0.3">
      <c r="A1687" t="str">
        <f>"201702E0200"</f>
        <v>201702E0200</v>
      </c>
      <c r="B1687" s="2" t="s">
        <v>3470</v>
      </c>
      <c r="C1687">
        <v>20</v>
      </c>
      <c r="D1687" t="s">
        <v>79</v>
      </c>
      <c r="E1687">
        <v>8</v>
      </c>
      <c r="F1687" t="s">
        <v>3266</v>
      </c>
      <c r="G1687">
        <v>1702</v>
      </c>
      <c r="H1687">
        <v>2</v>
      </c>
      <c r="I1687" t="s">
        <v>145</v>
      </c>
      <c r="J1687">
        <v>0</v>
      </c>
      <c r="K1687">
        <v>2</v>
      </c>
      <c r="L1687">
        <v>2</v>
      </c>
      <c r="M1687">
        <v>157</v>
      </c>
      <c r="N1687">
        <v>272</v>
      </c>
      <c r="O1687">
        <v>6</v>
      </c>
      <c r="P1687">
        <v>266</v>
      </c>
      <c r="Q1687">
        <v>2</v>
      </c>
      <c r="R1687">
        <v>12</v>
      </c>
      <c r="S1687">
        <v>9</v>
      </c>
      <c r="T1687">
        <v>2</v>
      </c>
      <c r="U1687">
        <v>21</v>
      </c>
      <c r="V1687">
        <v>2</v>
      </c>
      <c r="W1687">
        <v>1</v>
      </c>
      <c r="X1687">
        <v>0</v>
      </c>
      <c r="Y1687">
        <v>200</v>
      </c>
      <c r="Z1687">
        <v>2</v>
      </c>
      <c r="AA1687">
        <v>0</v>
      </c>
      <c r="AB1687">
        <v>1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3</v>
      </c>
      <c r="AL1687">
        <v>6</v>
      </c>
      <c r="AM1687">
        <v>0</v>
      </c>
      <c r="AN1687">
        <v>0</v>
      </c>
      <c r="AT1687">
        <v>0</v>
      </c>
      <c r="AU1687">
        <v>5</v>
      </c>
      <c r="AV1687">
        <v>266</v>
      </c>
      <c r="AW1687">
        <v>266</v>
      </c>
      <c r="AX1687">
        <v>402</v>
      </c>
      <c r="BA1687">
        <v>1</v>
      </c>
      <c r="BC1687" t="s">
        <v>3471</v>
      </c>
      <c r="BD1687" s="4">
        <v>43283.116666666669</v>
      </c>
      <c r="BE1687" s="4">
        <v>43283.139421296299</v>
      </c>
      <c r="BF1687" s="4">
        <v>43283.139421296299</v>
      </c>
      <c r="BG1687" t="s">
        <v>83</v>
      </c>
      <c r="BH1687" t="s">
        <v>84</v>
      </c>
      <c r="BI1687" t="s">
        <v>85</v>
      </c>
    </row>
    <row r="1688" spans="1:61" x14ac:dyDescent="0.3">
      <c r="A1688" t="str">
        <f>"201707B0100"</f>
        <v>201707B0100</v>
      </c>
      <c r="B1688" t="s">
        <v>3472</v>
      </c>
      <c r="C1688">
        <v>20</v>
      </c>
      <c r="D1688" t="s">
        <v>79</v>
      </c>
      <c r="E1688">
        <v>8</v>
      </c>
      <c r="F1688" t="s">
        <v>3266</v>
      </c>
      <c r="G1688">
        <v>1707</v>
      </c>
      <c r="H1688">
        <v>1</v>
      </c>
      <c r="I1688" t="s">
        <v>81</v>
      </c>
      <c r="J1688">
        <v>0</v>
      </c>
      <c r="K1688">
        <v>2</v>
      </c>
      <c r="L1688">
        <v>2</v>
      </c>
      <c r="M1688">
        <v>269</v>
      </c>
      <c r="N1688">
        <v>397</v>
      </c>
      <c r="O1688">
        <v>1</v>
      </c>
      <c r="P1688">
        <v>397</v>
      </c>
      <c r="Q1688">
        <v>5</v>
      </c>
      <c r="R1688">
        <v>55</v>
      </c>
      <c r="S1688">
        <v>15</v>
      </c>
      <c r="T1688">
        <v>5</v>
      </c>
      <c r="U1688">
        <v>13</v>
      </c>
      <c r="V1688">
        <v>4</v>
      </c>
      <c r="W1688">
        <v>5</v>
      </c>
      <c r="X1688">
        <v>7</v>
      </c>
      <c r="Y1688">
        <v>256</v>
      </c>
      <c r="Z1688">
        <v>5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2</v>
      </c>
      <c r="AJ1688">
        <v>0</v>
      </c>
      <c r="AK1688">
        <v>1</v>
      </c>
      <c r="AL1688">
        <v>7</v>
      </c>
      <c r="AM1688">
        <v>0</v>
      </c>
      <c r="AN1688">
        <v>2</v>
      </c>
      <c r="AT1688">
        <v>0</v>
      </c>
      <c r="AU1688">
        <v>15</v>
      </c>
      <c r="AV1688">
        <v>397</v>
      </c>
      <c r="AW1688">
        <v>397</v>
      </c>
      <c r="AX1688">
        <v>644</v>
      </c>
      <c r="BA1688">
        <v>1</v>
      </c>
      <c r="BC1688" t="s">
        <v>3473</v>
      </c>
      <c r="BD1688" s="4">
        <v>43283.482638888891</v>
      </c>
      <c r="BE1688" s="4">
        <v>43283.486087962963</v>
      </c>
      <c r="BF1688" s="4">
        <v>43283.486087962963</v>
      </c>
      <c r="BG1688" t="s">
        <v>83</v>
      </c>
      <c r="BH1688" t="s">
        <v>84</v>
      </c>
      <c r="BI1688" t="s">
        <v>85</v>
      </c>
    </row>
    <row r="1689" spans="1:61" x14ac:dyDescent="0.3">
      <c r="A1689" t="str">
        <f>"201707E0100"</f>
        <v>201707E0100</v>
      </c>
      <c r="B1689" s="2" t="s">
        <v>3474</v>
      </c>
      <c r="C1689">
        <v>20</v>
      </c>
      <c r="D1689" t="s">
        <v>79</v>
      </c>
      <c r="E1689">
        <v>8</v>
      </c>
      <c r="F1689" t="s">
        <v>3266</v>
      </c>
      <c r="G1689">
        <v>1707</v>
      </c>
      <c r="H1689">
        <v>1</v>
      </c>
      <c r="I1689" t="s">
        <v>145</v>
      </c>
      <c r="J1689">
        <v>0</v>
      </c>
      <c r="K1689">
        <v>2</v>
      </c>
      <c r="L1689">
        <v>2</v>
      </c>
      <c r="M1689">
        <v>131</v>
      </c>
      <c r="N1689">
        <v>97</v>
      </c>
      <c r="O1689">
        <v>4</v>
      </c>
      <c r="P1689">
        <v>97</v>
      </c>
      <c r="Q1689">
        <v>2</v>
      </c>
      <c r="R1689">
        <v>4</v>
      </c>
      <c r="S1689">
        <v>5</v>
      </c>
      <c r="T1689">
        <v>0</v>
      </c>
      <c r="U1689">
        <v>8</v>
      </c>
      <c r="V1689">
        <v>1</v>
      </c>
      <c r="W1689">
        <v>3</v>
      </c>
      <c r="X1689">
        <v>1</v>
      </c>
      <c r="Y1689">
        <v>65</v>
      </c>
      <c r="Z1689">
        <v>1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1</v>
      </c>
      <c r="AK1689">
        <v>1</v>
      </c>
      <c r="AL1689">
        <v>0</v>
      </c>
      <c r="AM1689">
        <v>0</v>
      </c>
      <c r="AN1689">
        <v>0</v>
      </c>
      <c r="AT1689">
        <v>0</v>
      </c>
      <c r="AU1689">
        <v>5</v>
      </c>
      <c r="AV1689">
        <v>97</v>
      </c>
      <c r="AW1689">
        <v>97</v>
      </c>
      <c r="AX1689">
        <v>206</v>
      </c>
      <c r="BA1689">
        <v>1</v>
      </c>
      <c r="BC1689" t="s">
        <v>3475</v>
      </c>
      <c r="BD1689" s="4">
        <v>43283.481249999997</v>
      </c>
      <c r="BE1689" s="4">
        <v>43283.485648148147</v>
      </c>
      <c r="BF1689" s="4">
        <v>43283.485648148147</v>
      </c>
      <c r="BG1689" t="s">
        <v>83</v>
      </c>
      <c r="BH1689" t="s">
        <v>84</v>
      </c>
      <c r="BI1689" t="s">
        <v>85</v>
      </c>
    </row>
    <row r="1690" spans="1:61" x14ac:dyDescent="0.3">
      <c r="A1690" t="str">
        <f>"201708B0100"</f>
        <v>201708B0100</v>
      </c>
      <c r="B1690" t="s">
        <v>3476</v>
      </c>
      <c r="C1690">
        <v>20</v>
      </c>
      <c r="D1690" t="s">
        <v>79</v>
      </c>
      <c r="E1690">
        <v>8</v>
      </c>
      <c r="F1690" t="s">
        <v>3266</v>
      </c>
      <c r="G1690">
        <v>1708</v>
      </c>
      <c r="H1690">
        <v>1</v>
      </c>
      <c r="I1690" t="s">
        <v>81</v>
      </c>
      <c r="J1690">
        <v>0</v>
      </c>
      <c r="K1690">
        <v>2</v>
      </c>
      <c r="L1690">
        <v>2</v>
      </c>
      <c r="M1690">
        <v>91</v>
      </c>
      <c r="N1690">
        <v>149</v>
      </c>
      <c r="O1690">
        <v>3</v>
      </c>
      <c r="P1690">
        <v>149</v>
      </c>
      <c r="Q1690">
        <v>7</v>
      </c>
      <c r="R1690">
        <v>34</v>
      </c>
      <c r="S1690">
        <v>6</v>
      </c>
      <c r="T1690">
        <v>2</v>
      </c>
      <c r="U1690">
        <v>9</v>
      </c>
      <c r="V1690">
        <v>2</v>
      </c>
      <c r="W1690">
        <v>1</v>
      </c>
      <c r="X1690">
        <v>2</v>
      </c>
      <c r="Y1690">
        <v>66</v>
      </c>
      <c r="Z1690">
        <v>2</v>
      </c>
      <c r="AA1690">
        <v>1</v>
      </c>
      <c r="AB1690">
        <v>5</v>
      </c>
      <c r="AC1690">
        <v>1</v>
      </c>
      <c r="AD1690">
        <v>0</v>
      </c>
      <c r="AE1690">
        <v>0</v>
      </c>
      <c r="AF1690">
        <v>0</v>
      </c>
      <c r="AG1690">
        <v>1</v>
      </c>
      <c r="AH1690">
        <v>0</v>
      </c>
      <c r="AI1690">
        <v>0</v>
      </c>
      <c r="AJ1690">
        <v>0</v>
      </c>
      <c r="AK1690">
        <v>3</v>
      </c>
      <c r="AL1690">
        <v>0</v>
      </c>
      <c r="AM1690">
        <v>0</v>
      </c>
      <c r="AN1690">
        <v>0</v>
      </c>
      <c r="AT1690" t="s">
        <v>100</v>
      </c>
      <c r="AU1690">
        <v>7</v>
      </c>
      <c r="AV1690">
        <v>149</v>
      </c>
      <c r="AW1690">
        <v>149</v>
      </c>
      <c r="AX1690">
        <v>218</v>
      </c>
      <c r="AZ1690" t="s">
        <v>101</v>
      </c>
      <c r="BA1690">
        <v>1</v>
      </c>
      <c r="BC1690" t="s">
        <v>3477</v>
      </c>
      <c r="BD1690" s="4">
        <v>43283.086805555555</v>
      </c>
      <c r="BE1690" s="4">
        <v>43283.091145833336</v>
      </c>
      <c r="BF1690" s="4">
        <v>43283.091145833336</v>
      </c>
      <c r="BG1690" t="s">
        <v>83</v>
      </c>
      <c r="BH1690" t="s">
        <v>84</v>
      </c>
      <c r="BI1690" t="s">
        <v>85</v>
      </c>
    </row>
    <row r="1691" spans="1:61" x14ac:dyDescent="0.3">
      <c r="A1691" t="str">
        <f>"201708E0100"</f>
        <v>201708E0100</v>
      </c>
      <c r="B1691" s="2" t="s">
        <v>3478</v>
      </c>
      <c r="C1691">
        <v>20</v>
      </c>
      <c r="D1691" t="s">
        <v>79</v>
      </c>
      <c r="E1691">
        <v>8</v>
      </c>
      <c r="F1691" t="s">
        <v>3266</v>
      </c>
      <c r="G1691">
        <v>1708</v>
      </c>
      <c r="H1691">
        <v>1</v>
      </c>
      <c r="I1691" t="s">
        <v>145</v>
      </c>
      <c r="J1691">
        <v>0</v>
      </c>
      <c r="K1691">
        <v>2</v>
      </c>
      <c r="L1691">
        <v>2</v>
      </c>
      <c r="M1691">
        <v>111</v>
      </c>
      <c r="N1691">
        <v>123</v>
      </c>
      <c r="O1691">
        <v>6</v>
      </c>
      <c r="P1691">
        <v>123</v>
      </c>
      <c r="Q1691">
        <v>4</v>
      </c>
      <c r="R1691">
        <v>38</v>
      </c>
      <c r="S1691">
        <v>10</v>
      </c>
      <c r="T1691">
        <v>4</v>
      </c>
      <c r="U1691">
        <v>8</v>
      </c>
      <c r="V1691">
        <v>1</v>
      </c>
      <c r="W1691">
        <v>0</v>
      </c>
      <c r="X1691">
        <v>0</v>
      </c>
      <c r="Y1691">
        <v>51</v>
      </c>
      <c r="Z1691">
        <v>4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1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T1691">
        <v>0</v>
      </c>
      <c r="AU1691">
        <v>2</v>
      </c>
      <c r="AV1691">
        <v>123</v>
      </c>
      <c r="AW1691">
        <v>123</v>
      </c>
      <c r="AX1691">
        <v>212</v>
      </c>
      <c r="BA1691">
        <v>1</v>
      </c>
      <c r="BC1691" t="s">
        <v>3479</v>
      </c>
      <c r="BD1691" s="4">
        <v>43283.087500000001</v>
      </c>
      <c r="BE1691" s="4">
        <v>43283.091446759259</v>
      </c>
      <c r="BF1691" s="4">
        <v>43283.091446759259</v>
      </c>
      <c r="BG1691" t="s">
        <v>83</v>
      </c>
      <c r="BH1691" t="s">
        <v>84</v>
      </c>
      <c r="BI1691" t="s">
        <v>85</v>
      </c>
    </row>
    <row r="1692" spans="1:61" x14ac:dyDescent="0.3">
      <c r="A1692" t="str">
        <f>"201771B0100"</f>
        <v>201771B0100</v>
      </c>
      <c r="B1692" t="s">
        <v>3480</v>
      </c>
      <c r="C1692">
        <v>20</v>
      </c>
      <c r="D1692" t="s">
        <v>79</v>
      </c>
      <c r="E1692">
        <v>8</v>
      </c>
      <c r="F1692" t="s">
        <v>3266</v>
      </c>
      <c r="G1692">
        <v>1771</v>
      </c>
      <c r="H1692">
        <v>1</v>
      </c>
      <c r="I1692" t="s">
        <v>81</v>
      </c>
      <c r="J1692">
        <v>0</v>
      </c>
      <c r="K1692">
        <v>2</v>
      </c>
      <c r="L1692">
        <v>2</v>
      </c>
      <c r="M1692">
        <v>341</v>
      </c>
      <c r="N1692">
        <v>398</v>
      </c>
      <c r="O1692">
        <v>1</v>
      </c>
      <c r="P1692">
        <v>398</v>
      </c>
      <c r="Q1692">
        <v>8</v>
      </c>
      <c r="R1692">
        <v>31</v>
      </c>
      <c r="S1692">
        <v>27</v>
      </c>
      <c r="T1692">
        <v>4</v>
      </c>
      <c r="U1692">
        <v>40</v>
      </c>
      <c r="V1692">
        <v>11</v>
      </c>
      <c r="W1692">
        <v>3</v>
      </c>
      <c r="X1692">
        <v>9</v>
      </c>
      <c r="Y1692">
        <v>213</v>
      </c>
      <c r="Z1692">
        <v>9</v>
      </c>
      <c r="AA1692">
        <v>0</v>
      </c>
      <c r="AB1692">
        <v>4</v>
      </c>
      <c r="AC1692">
        <v>0</v>
      </c>
      <c r="AD1692">
        <v>1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6</v>
      </c>
      <c r="AL1692">
        <v>1</v>
      </c>
      <c r="AM1692">
        <v>2</v>
      </c>
      <c r="AN1692">
        <v>2</v>
      </c>
      <c r="AT1692">
        <v>0</v>
      </c>
      <c r="AU1692">
        <v>27</v>
      </c>
      <c r="AV1692" t="s">
        <v>315</v>
      </c>
      <c r="AW1692">
        <v>398</v>
      </c>
      <c r="AX1692">
        <v>717</v>
      </c>
      <c r="BA1692">
        <v>1</v>
      </c>
      <c r="BC1692" t="s">
        <v>3481</v>
      </c>
      <c r="BD1692" s="4">
        <v>43283.238194444442</v>
      </c>
      <c r="BE1692" s="4">
        <v>43283.262453703705</v>
      </c>
      <c r="BF1692" s="4">
        <v>43283.262453703705</v>
      </c>
      <c r="BG1692" t="s">
        <v>83</v>
      </c>
      <c r="BH1692" t="s">
        <v>84</v>
      </c>
      <c r="BI1692" t="s">
        <v>85</v>
      </c>
    </row>
    <row r="1693" spans="1:61" x14ac:dyDescent="0.3">
      <c r="A1693" t="str">
        <f>"201772B0100"</f>
        <v>201772B0100</v>
      </c>
      <c r="B1693" t="s">
        <v>3482</v>
      </c>
      <c r="C1693">
        <v>20</v>
      </c>
      <c r="D1693" t="s">
        <v>79</v>
      </c>
      <c r="E1693">
        <v>8</v>
      </c>
      <c r="F1693" t="s">
        <v>3266</v>
      </c>
      <c r="G1693">
        <v>1772</v>
      </c>
      <c r="H1693">
        <v>1</v>
      </c>
      <c r="I1693" t="s">
        <v>81</v>
      </c>
      <c r="J1693">
        <v>0</v>
      </c>
      <c r="K1693">
        <v>2</v>
      </c>
      <c r="L1693">
        <v>2</v>
      </c>
      <c r="M1693">
        <v>396</v>
      </c>
      <c r="N1693">
        <v>257</v>
      </c>
      <c r="O1693">
        <v>0</v>
      </c>
      <c r="P1693">
        <v>257</v>
      </c>
      <c r="Q1693">
        <v>6</v>
      </c>
      <c r="R1693">
        <v>17</v>
      </c>
      <c r="S1693">
        <v>43</v>
      </c>
      <c r="T1693">
        <v>7</v>
      </c>
      <c r="U1693">
        <v>21</v>
      </c>
      <c r="V1693">
        <v>2</v>
      </c>
      <c r="W1693">
        <v>2</v>
      </c>
      <c r="X1693">
        <v>1</v>
      </c>
      <c r="Y1693">
        <v>113</v>
      </c>
      <c r="Z1693">
        <v>0</v>
      </c>
      <c r="AA1693">
        <v>2</v>
      </c>
      <c r="AB1693">
        <v>0</v>
      </c>
      <c r="AC1693">
        <v>0</v>
      </c>
      <c r="AD1693">
        <v>0</v>
      </c>
      <c r="AE1693">
        <v>0</v>
      </c>
      <c r="AF1693">
        <v>1</v>
      </c>
      <c r="AG1693">
        <v>0</v>
      </c>
      <c r="AH1693">
        <v>1</v>
      </c>
      <c r="AI1693">
        <v>0</v>
      </c>
      <c r="AJ1693">
        <v>0</v>
      </c>
      <c r="AK1693">
        <v>1</v>
      </c>
      <c r="AL1693">
        <v>3</v>
      </c>
      <c r="AM1693">
        <v>0</v>
      </c>
      <c r="AN1693">
        <v>2</v>
      </c>
      <c r="AT1693">
        <v>0</v>
      </c>
      <c r="AU1693">
        <v>35</v>
      </c>
      <c r="AV1693">
        <v>257</v>
      </c>
      <c r="AW1693">
        <v>257</v>
      </c>
      <c r="AX1693">
        <v>632</v>
      </c>
      <c r="BA1693">
        <v>1</v>
      </c>
      <c r="BC1693" t="s">
        <v>3483</v>
      </c>
      <c r="BD1693" s="4">
        <v>43283.301388888889</v>
      </c>
      <c r="BE1693" s="4">
        <v>43283.331250000003</v>
      </c>
      <c r="BF1693" s="4">
        <v>43283.331250000003</v>
      </c>
      <c r="BG1693" t="s">
        <v>83</v>
      </c>
      <c r="BH1693" t="s">
        <v>84</v>
      </c>
      <c r="BI1693" t="s">
        <v>85</v>
      </c>
    </row>
    <row r="1694" spans="1:61" x14ac:dyDescent="0.3">
      <c r="A1694" t="str">
        <f>"201773B0100"</f>
        <v>201773B0100</v>
      </c>
      <c r="B1694" t="s">
        <v>3484</v>
      </c>
      <c r="C1694">
        <v>20</v>
      </c>
      <c r="D1694" t="s">
        <v>79</v>
      </c>
      <c r="E1694">
        <v>8</v>
      </c>
      <c r="F1694" t="s">
        <v>3266</v>
      </c>
      <c r="G1694">
        <v>1773</v>
      </c>
      <c r="H1694">
        <v>1</v>
      </c>
      <c r="I1694" t="s">
        <v>81</v>
      </c>
      <c r="J1694">
        <v>0</v>
      </c>
      <c r="K1694">
        <v>2</v>
      </c>
      <c r="L1694">
        <v>2</v>
      </c>
      <c r="M1694">
        <v>251</v>
      </c>
      <c r="N1694">
        <v>461</v>
      </c>
      <c r="O1694">
        <v>0</v>
      </c>
      <c r="P1694">
        <v>461</v>
      </c>
      <c r="Q1694">
        <v>6</v>
      </c>
      <c r="R1694">
        <v>39</v>
      </c>
      <c r="S1694">
        <v>80</v>
      </c>
      <c r="T1694">
        <v>33</v>
      </c>
      <c r="U1694">
        <v>14</v>
      </c>
      <c r="V1694">
        <v>2</v>
      </c>
      <c r="W1694">
        <v>6</v>
      </c>
      <c r="X1694">
        <v>6</v>
      </c>
      <c r="Y1694">
        <v>110</v>
      </c>
      <c r="Z1694">
        <v>7</v>
      </c>
      <c r="AA1694">
        <v>0</v>
      </c>
      <c r="AB1694">
        <v>3</v>
      </c>
      <c r="AC1694">
        <v>0</v>
      </c>
      <c r="AD1694">
        <v>0</v>
      </c>
      <c r="AE1694">
        <v>0</v>
      </c>
      <c r="AF1694">
        <v>2</v>
      </c>
      <c r="AG1694">
        <v>2</v>
      </c>
      <c r="AH1694">
        <v>6</v>
      </c>
      <c r="AI1694">
        <v>0</v>
      </c>
      <c r="AJ1694">
        <v>0</v>
      </c>
      <c r="AK1694">
        <v>2</v>
      </c>
      <c r="AL1694">
        <v>5</v>
      </c>
      <c r="AM1694">
        <v>1</v>
      </c>
      <c r="AN1694">
        <v>3</v>
      </c>
      <c r="AT1694">
        <v>0</v>
      </c>
      <c r="AU1694">
        <v>34</v>
      </c>
      <c r="AV1694">
        <v>461</v>
      </c>
      <c r="AW1694">
        <v>361</v>
      </c>
      <c r="AX1694">
        <v>690</v>
      </c>
      <c r="BA1694">
        <v>1</v>
      </c>
      <c r="BC1694" t="s">
        <v>3485</v>
      </c>
      <c r="BD1694" s="4">
        <v>43283.302777777775</v>
      </c>
      <c r="BE1694" s="4">
        <v>43283.331817129627</v>
      </c>
      <c r="BF1694" s="4">
        <v>43283.331817129627</v>
      </c>
      <c r="BG1694" t="s">
        <v>83</v>
      </c>
      <c r="BH1694" t="s">
        <v>84</v>
      </c>
      <c r="BI1694" t="s">
        <v>85</v>
      </c>
    </row>
    <row r="1695" spans="1:61" x14ac:dyDescent="0.3">
      <c r="A1695" t="str">
        <f>"201773E0100"</f>
        <v>201773E0100</v>
      </c>
      <c r="B1695" s="2" t="s">
        <v>3486</v>
      </c>
      <c r="C1695">
        <v>20</v>
      </c>
      <c r="D1695" t="s">
        <v>79</v>
      </c>
      <c r="E1695">
        <v>8</v>
      </c>
      <c r="F1695" t="s">
        <v>3266</v>
      </c>
      <c r="G1695">
        <v>1773</v>
      </c>
      <c r="H1695">
        <v>1</v>
      </c>
      <c r="I1695" t="s">
        <v>145</v>
      </c>
      <c r="J1695">
        <v>0</v>
      </c>
      <c r="K1695">
        <v>2</v>
      </c>
      <c r="L1695">
        <v>2</v>
      </c>
      <c r="M1695">
        <v>127</v>
      </c>
      <c r="N1695" t="s">
        <v>315</v>
      </c>
      <c r="O1695" t="s">
        <v>315</v>
      </c>
      <c r="P1695">
        <v>110</v>
      </c>
      <c r="Q1695">
        <v>3</v>
      </c>
      <c r="R1695">
        <v>4</v>
      </c>
      <c r="S1695">
        <v>19</v>
      </c>
      <c r="T1695">
        <v>7</v>
      </c>
      <c r="U1695">
        <v>4</v>
      </c>
      <c r="V1695">
        <v>2</v>
      </c>
      <c r="W1695">
        <v>3</v>
      </c>
      <c r="X1695">
        <v>2</v>
      </c>
      <c r="Y1695">
        <v>52</v>
      </c>
      <c r="Z1695">
        <v>2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1</v>
      </c>
      <c r="AM1695">
        <v>0</v>
      </c>
      <c r="AN1695">
        <v>0</v>
      </c>
      <c r="AT1695">
        <v>0</v>
      </c>
      <c r="AU1695">
        <v>11</v>
      </c>
      <c r="AV1695">
        <v>110</v>
      </c>
      <c r="AW1695">
        <v>110</v>
      </c>
      <c r="AX1695">
        <v>215</v>
      </c>
      <c r="BA1695">
        <v>1</v>
      </c>
      <c r="BC1695" t="s">
        <v>3487</v>
      </c>
      <c r="BD1695" s="4">
        <v>43283.300694444442</v>
      </c>
      <c r="BE1695" s="4">
        <v>43283.325868055559</v>
      </c>
      <c r="BF1695" s="4">
        <v>43283.325868055559</v>
      </c>
      <c r="BG1695" t="s">
        <v>83</v>
      </c>
      <c r="BH1695" t="s">
        <v>84</v>
      </c>
      <c r="BI1695" t="s">
        <v>85</v>
      </c>
    </row>
    <row r="1696" spans="1:61" x14ac:dyDescent="0.3">
      <c r="A1696" t="str">
        <f>"201774B0100"</f>
        <v>201774B0100</v>
      </c>
      <c r="B1696" t="s">
        <v>3488</v>
      </c>
      <c r="C1696">
        <v>20</v>
      </c>
      <c r="D1696" t="s">
        <v>79</v>
      </c>
      <c r="E1696">
        <v>8</v>
      </c>
      <c r="F1696" t="s">
        <v>3266</v>
      </c>
      <c r="G1696">
        <v>1774</v>
      </c>
      <c r="H1696">
        <v>1</v>
      </c>
      <c r="I1696" t="s">
        <v>81</v>
      </c>
      <c r="J1696">
        <v>0</v>
      </c>
      <c r="K1696">
        <v>2</v>
      </c>
      <c r="L1696">
        <v>2</v>
      </c>
      <c r="M1696">
        <v>282</v>
      </c>
      <c r="N1696">
        <v>306</v>
      </c>
      <c r="O1696">
        <v>0</v>
      </c>
      <c r="P1696">
        <v>306</v>
      </c>
      <c r="Q1696">
        <v>3</v>
      </c>
      <c r="R1696">
        <v>7</v>
      </c>
      <c r="S1696">
        <v>71</v>
      </c>
      <c r="T1696">
        <v>14</v>
      </c>
      <c r="U1696">
        <v>17</v>
      </c>
      <c r="V1696">
        <v>6</v>
      </c>
      <c r="W1696">
        <v>5</v>
      </c>
      <c r="X1696">
        <v>5</v>
      </c>
      <c r="Y1696">
        <v>136</v>
      </c>
      <c r="Z1696">
        <v>7</v>
      </c>
      <c r="AA1696">
        <v>0</v>
      </c>
      <c r="AB1696">
        <v>3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2</v>
      </c>
      <c r="AL1696">
        <v>0</v>
      </c>
      <c r="AM1696">
        <v>0</v>
      </c>
      <c r="AN1696">
        <v>1</v>
      </c>
      <c r="AT1696">
        <v>0</v>
      </c>
      <c r="AU1696">
        <v>29</v>
      </c>
      <c r="AV1696">
        <v>306</v>
      </c>
      <c r="AW1696">
        <v>306</v>
      </c>
      <c r="AX1696">
        <v>566</v>
      </c>
      <c r="BA1696">
        <v>1</v>
      </c>
      <c r="BC1696" t="s">
        <v>3489</v>
      </c>
      <c r="BD1696" s="4">
        <v>43283.303472222222</v>
      </c>
      <c r="BE1696" s="4">
        <v>43283.328113425923</v>
      </c>
      <c r="BF1696" s="4">
        <v>43283.328113425923</v>
      </c>
      <c r="BG1696" t="s">
        <v>83</v>
      </c>
      <c r="BH1696" t="s">
        <v>84</v>
      </c>
      <c r="BI1696" t="s">
        <v>85</v>
      </c>
    </row>
    <row r="1697" spans="1:61" x14ac:dyDescent="0.3">
      <c r="A1697" t="str">
        <f>"201774C0100"</f>
        <v>201774C0100</v>
      </c>
      <c r="B1697" t="s">
        <v>3490</v>
      </c>
      <c r="C1697">
        <v>20</v>
      </c>
      <c r="D1697" t="s">
        <v>79</v>
      </c>
      <c r="E1697">
        <v>8</v>
      </c>
      <c r="F1697" t="s">
        <v>3266</v>
      </c>
      <c r="G1697">
        <v>1774</v>
      </c>
      <c r="H1697">
        <v>1</v>
      </c>
      <c r="I1697" t="s">
        <v>89</v>
      </c>
      <c r="J1697">
        <v>0</v>
      </c>
      <c r="K1697">
        <v>2</v>
      </c>
      <c r="L1697">
        <v>2</v>
      </c>
      <c r="M1697">
        <v>255</v>
      </c>
      <c r="N1697">
        <v>333</v>
      </c>
      <c r="O1697">
        <v>0</v>
      </c>
      <c r="P1697">
        <v>333</v>
      </c>
      <c r="Q1697">
        <v>3</v>
      </c>
      <c r="R1697">
        <v>10</v>
      </c>
      <c r="S1697">
        <v>53</v>
      </c>
      <c r="T1697">
        <v>25</v>
      </c>
      <c r="U1697">
        <v>24</v>
      </c>
      <c r="V1697">
        <v>7</v>
      </c>
      <c r="W1697">
        <v>13</v>
      </c>
      <c r="X1697">
        <v>6</v>
      </c>
      <c r="Y1697">
        <v>154</v>
      </c>
      <c r="Z1697">
        <v>5</v>
      </c>
      <c r="AA1697">
        <v>2</v>
      </c>
      <c r="AB1697">
        <v>1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4</v>
      </c>
      <c r="AL1697">
        <v>1</v>
      </c>
      <c r="AM1697">
        <v>0</v>
      </c>
      <c r="AN1697">
        <v>0</v>
      </c>
      <c r="AT1697">
        <v>0</v>
      </c>
      <c r="AU1697">
        <v>25</v>
      </c>
      <c r="AV1697">
        <v>333</v>
      </c>
      <c r="AW1697">
        <v>333</v>
      </c>
      <c r="AX1697">
        <v>566</v>
      </c>
      <c r="BA1697">
        <v>1</v>
      </c>
      <c r="BC1697" t="s">
        <v>3491</v>
      </c>
      <c r="BD1697" s="4">
        <v>43283.302777777775</v>
      </c>
      <c r="BE1697" s="4">
        <v>43283.328136574077</v>
      </c>
      <c r="BF1697" s="4">
        <v>43283.328136574077</v>
      </c>
      <c r="BG1697" t="s">
        <v>83</v>
      </c>
      <c r="BH1697" t="s">
        <v>84</v>
      </c>
      <c r="BI1697" t="s">
        <v>85</v>
      </c>
    </row>
    <row r="1698" spans="1:61" x14ac:dyDescent="0.3">
      <c r="A1698" t="str">
        <f>"201775B0100"</f>
        <v>201775B0100</v>
      </c>
      <c r="B1698" t="s">
        <v>3492</v>
      </c>
      <c r="C1698">
        <v>20</v>
      </c>
      <c r="D1698" t="s">
        <v>79</v>
      </c>
      <c r="E1698">
        <v>8</v>
      </c>
      <c r="F1698" t="s">
        <v>3266</v>
      </c>
      <c r="G1698">
        <v>1775</v>
      </c>
      <c r="H1698">
        <v>1</v>
      </c>
      <c r="I1698" t="s">
        <v>81</v>
      </c>
      <c r="J1698">
        <v>0</v>
      </c>
      <c r="K1698">
        <v>2</v>
      </c>
      <c r="L1698">
        <v>2</v>
      </c>
      <c r="M1698">
        <v>203</v>
      </c>
      <c r="N1698">
        <v>262</v>
      </c>
      <c r="O1698">
        <v>0</v>
      </c>
      <c r="P1698">
        <v>262</v>
      </c>
      <c r="Q1698">
        <v>4</v>
      </c>
      <c r="R1698">
        <v>10</v>
      </c>
      <c r="S1698">
        <v>40</v>
      </c>
      <c r="T1698">
        <v>6</v>
      </c>
      <c r="U1698">
        <v>42</v>
      </c>
      <c r="V1698">
        <v>3</v>
      </c>
      <c r="W1698">
        <v>6</v>
      </c>
      <c r="X1698">
        <v>4</v>
      </c>
      <c r="Y1698">
        <v>104</v>
      </c>
      <c r="Z1698">
        <v>6</v>
      </c>
      <c r="AA1698">
        <v>1</v>
      </c>
      <c r="AB1698">
        <v>2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1</v>
      </c>
      <c r="AI1698">
        <v>0</v>
      </c>
      <c r="AJ1698">
        <v>0</v>
      </c>
      <c r="AK1698">
        <v>2</v>
      </c>
      <c r="AL1698">
        <v>3</v>
      </c>
      <c r="AM1698">
        <v>0</v>
      </c>
      <c r="AN1698">
        <v>0</v>
      </c>
      <c r="AT1698">
        <v>0</v>
      </c>
      <c r="AU1698">
        <v>28</v>
      </c>
      <c r="AV1698">
        <v>262</v>
      </c>
      <c r="AW1698">
        <v>262</v>
      </c>
      <c r="AX1698">
        <v>442</v>
      </c>
      <c r="BA1698">
        <v>1</v>
      </c>
      <c r="BC1698" t="s">
        <v>3493</v>
      </c>
      <c r="BD1698" s="4">
        <v>43283.304861111108</v>
      </c>
      <c r="BE1698" s="4">
        <v>43283.329224537039</v>
      </c>
      <c r="BF1698" s="4">
        <v>43283.329224537039</v>
      </c>
      <c r="BG1698" t="s">
        <v>83</v>
      </c>
      <c r="BH1698" t="s">
        <v>84</v>
      </c>
      <c r="BI1698" t="s">
        <v>85</v>
      </c>
    </row>
    <row r="1699" spans="1:61" x14ac:dyDescent="0.3">
      <c r="A1699" t="str">
        <f>"201775C0100"</f>
        <v>201775C0100</v>
      </c>
      <c r="B1699" t="s">
        <v>3494</v>
      </c>
      <c r="C1699">
        <v>20</v>
      </c>
      <c r="D1699" t="s">
        <v>79</v>
      </c>
      <c r="E1699">
        <v>8</v>
      </c>
      <c r="F1699" t="s">
        <v>3266</v>
      </c>
      <c r="G1699">
        <v>1775</v>
      </c>
      <c r="H1699">
        <v>1</v>
      </c>
      <c r="I1699" t="s">
        <v>89</v>
      </c>
      <c r="J1699">
        <v>0</v>
      </c>
      <c r="K1699">
        <v>2</v>
      </c>
      <c r="L1699">
        <v>2</v>
      </c>
      <c r="M1699">
        <v>219</v>
      </c>
      <c r="N1699">
        <v>245</v>
      </c>
      <c r="O1699">
        <v>1</v>
      </c>
      <c r="P1699">
        <v>4</v>
      </c>
      <c r="Q1699">
        <v>3</v>
      </c>
      <c r="R1699">
        <v>13</v>
      </c>
      <c r="S1699">
        <v>22</v>
      </c>
      <c r="T1699">
        <v>3</v>
      </c>
      <c r="U1699">
        <v>41</v>
      </c>
      <c r="V1699">
        <v>3</v>
      </c>
      <c r="W1699">
        <v>2</v>
      </c>
      <c r="X1699">
        <v>2</v>
      </c>
      <c r="Y1699">
        <v>114</v>
      </c>
      <c r="Z1699">
        <v>4</v>
      </c>
      <c r="AA1699">
        <v>0</v>
      </c>
      <c r="AB1699">
        <v>1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1</v>
      </c>
      <c r="AI1699">
        <v>0</v>
      </c>
      <c r="AJ1699">
        <v>0</v>
      </c>
      <c r="AK1699">
        <v>4</v>
      </c>
      <c r="AL1699">
        <v>5</v>
      </c>
      <c r="AM1699">
        <v>0</v>
      </c>
      <c r="AN1699">
        <v>3</v>
      </c>
      <c r="AT1699">
        <v>0</v>
      </c>
      <c r="AU1699">
        <v>17</v>
      </c>
      <c r="AV1699">
        <v>238</v>
      </c>
      <c r="AW1699">
        <v>238</v>
      </c>
      <c r="AX1699">
        <v>441</v>
      </c>
      <c r="BA1699">
        <v>1</v>
      </c>
      <c r="BC1699" t="s">
        <v>3495</v>
      </c>
      <c r="BD1699" s="4">
        <v>43283.306250000001</v>
      </c>
      <c r="BE1699" s="4">
        <v>43283.331886574073</v>
      </c>
      <c r="BF1699" s="4">
        <v>43283.331886574073</v>
      </c>
      <c r="BG1699" t="s">
        <v>83</v>
      </c>
      <c r="BH1699" t="s">
        <v>84</v>
      </c>
      <c r="BI1699" t="s">
        <v>85</v>
      </c>
    </row>
    <row r="1700" spans="1:61" x14ac:dyDescent="0.3">
      <c r="A1700" t="str">
        <f>"201828B0100"</f>
        <v>201828B0100</v>
      </c>
      <c r="B1700" t="s">
        <v>3496</v>
      </c>
      <c r="C1700">
        <v>20</v>
      </c>
      <c r="D1700" t="s">
        <v>79</v>
      </c>
      <c r="E1700">
        <v>8</v>
      </c>
      <c r="F1700" t="s">
        <v>3266</v>
      </c>
      <c r="G1700">
        <v>1828</v>
      </c>
      <c r="H1700">
        <v>1</v>
      </c>
      <c r="I1700" t="s">
        <v>81</v>
      </c>
      <c r="J1700">
        <v>0</v>
      </c>
      <c r="K1700">
        <v>2</v>
      </c>
      <c r="L1700">
        <v>2</v>
      </c>
      <c r="M1700">
        <v>151</v>
      </c>
      <c r="N1700">
        <v>221</v>
      </c>
      <c r="O1700">
        <v>1</v>
      </c>
      <c r="P1700">
        <v>221</v>
      </c>
      <c r="Q1700">
        <v>4</v>
      </c>
      <c r="R1700">
        <v>53</v>
      </c>
      <c r="S1700">
        <v>33</v>
      </c>
      <c r="T1700">
        <v>11</v>
      </c>
      <c r="U1700">
        <v>10</v>
      </c>
      <c r="V1700">
        <v>5</v>
      </c>
      <c r="W1700">
        <v>2</v>
      </c>
      <c r="X1700">
        <v>1</v>
      </c>
      <c r="Y1700">
        <v>73</v>
      </c>
      <c r="Z1700">
        <v>1</v>
      </c>
      <c r="AA1700">
        <v>4</v>
      </c>
      <c r="AB1700">
        <v>3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3</v>
      </c>
      <c r="AI1700">
        <v>0</v>
      </c>
      <c r="AJ1700">
        <v>0</v>
      </c>
      <c r="AK1700">
        <v>4</v>
      </c>
      <c r="AL1700">
        <v>1</v>
      </c>
      <c r="AM1700">
        <v>0</v>
      </c>
      <c r="AN1700">
        <v>0</v>
      </c>
      <c r="AT1700">
        <v>0</v>
      </c>
      <c r="AU1700">
        <v>13</v>
      </c>
      <c r="AV1700">
        <v>221</v>
      </c>
      <c r="AW1700">
        <v>221</v>
      </c>
      <c r="AX1700">
        <v>350</v>
      </c>
      <c r="BA1700">
        <v>1</v>
      </c>
      <c r="BC1700" t="s">
        <v>3497</v>
      </c>
      <c r="BD1700" s="4">
        <v>43283.147222222222</v>
      </c>
      <c r="BE1700" s="4">
        <v>43283.155300925922</v>
      </c>
      <c r="BF1700" s="4">
        <v>43283.155300925922</v>
      </c>
      <c r="BG1700" t="s">
        <v>83</v>
      </c>
      <c r="BH1700" t="s">
        <v>84</v>
      </c>
      <c r="BI1700" t="s">
        <v>85</v>
      </c>
    </row>
    <row r="1701" spans="1:61" x14ac:dyDescent="0.3">
      <c r="A1701" t="str">
        <f>"201880B0100"</f>
        <v>201880B0100</v>
      </c>
      <c r="B1701" t="s">
        <v>3498</v>
      </c>
      <c r="C1701">
        <v>20</v>
      </c>
      <c r="D1701" t="s">
        <v>79</v>
      </c>
      <c r="E1701">
        <v>8</v>
      </c>
      <c r="F1701" t="s">
        <v>3266</v>
      </c>
      <c r="G1701">
        <v>1880</v>
      </c>
      <c r="H1701">
        <v>1</v>
      </c>
      <c r="I1701" t="s">
        <v>81</v>
      </c>
      <c r="J1701">
        <v>0</v>
      </c>
      <c r="K1701">
        <v>2</v>
      </c>
      <c r="L1701">
        <v>2</v>
      </c>
      <c r="M1701">
        <v>79</v>
      </c>
      <c r="N1701">
        <v>137</v>
      </c>
      <c r="O1701">
        <v>0</v>
      </c>
      <c r="P1701">
        <v>137</v>
      </c>
      <c r="Q1701">
        <v>4</v>
      </c>
      <c r="R1701">
        <v>49</v>
      </c>
      <c r="S1701">
        <v>8</v>
      </c>
      <c r="T1701">
        <v>5</v>
      </c>
      <c r="U1701">
        <v>5</v>
      </c>
      <c r="V1701">
        <v>3</v>
      </c>
      <c r="W1701">
        <v>1</v>
      </c>
      <c r="X1701">
        <v>1</v>
      </c>
      <c r="Y1701">
        <v>46</v>
      </c>
      <c r="Z1701">
        <v>3</v>
      </c>
      <c r="AA1701">
        <v>1</v>
      </c>
      <c r="AB1701">
        <v>1</v>
      </c>
      <c r="AC1701">
        <v>0</v>
      </c>
      <c r="AD1701">
        <v>0</v>
      </c>
      <c r="AE1701">
        <v>0</v>
      </c>
      <c r="AF1701">
        <v>0</v>
      </c>
      <c r="AG1701">
        <v>1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1</v>
      </c>
      <c r="AT1701">
        <v>0</v>
      </c>
      <c r="AU1701">
        <v>8</v>
      </c>
      <c r="AV1701">
        <v>137</v>
      </c>
      <c r="AW1701">
        <v>137</v>
      </c>
      <c r="AX1701">
        <v>194</v>
      </c>
      <c r="BA1701">
        <v>1</v>
      </c>
      <c r="BC1701" t="s">
        <v>3499</v>
      </c>
      <c r="BD1701" s="4">
        <v>43283.142361111109</v>
      </c>
      <c r="BE1701" s="4">
        <v>43283.146643518521</v>
      </c>
      <c r="BF1701" s="4">
        <v>43283.146643518521</v>
      </c>
      <c r="BG1701" t="s">
        <v>83</v>
      </c>
      <c r="BH1701" t="s">
        <v>84</v>
      </c>
      <c r="BI1701" t="s">
        <v>85</v>
      </c>
    </row>
    <row r="1702" spans="1:61" x14ac:dyDescent="0.3">
      <c r="A1702" t="str">
        <f>"201881B0100"</f>
        <v>201881B0100</v>
      </c>
      <c r="B1702" t="s">
        <v>3500</v>
      </c>
      <c r="C1702">
        <v>20</v>
      </c>
      <c r="D1702" t="s">
        <v>79</v>
      </c>
      <c r="E1702">
        <v>8</v>
      </c>
      <c r="F1702" t="s">
        <v>3266</v>
      </c>
      <c r="G1702">
        <v>1881</v>
      </c>
      <c r="H1702">
        <v>1</v>
      </c>
      <c r="I1702" t="s">
        <v>81</v>
      </c>
      <c r="J1702">
        <v>0</v>
      </c>
      <c r="K1702">
        <v>2</v>
      </c>
      <c r="L1702">
        <v>2</v>
      </c>
      <c r="M1702">
        <v>60</v>
      </c>
      <c r="N1702">
        <v>73</v>
      </c>
      <c r="O1702">
        <v>0</v>
      </c>
      <c r="P1702">
        <v>73</v>
      </c>
      <c r="Q1702">
        <v>3</v>
      </c>
      <c r="R1702">
        <v>19</v>
      </c>
      <c r="S1702">
        <v>11</v>
      </c>
      <c r="T1702">
        <v>2</v>
      </c>
      <c r="U1702">
        <v>11</v>
      </c>
      <c r="V1702">
        <v>1</v>
      </c>
      <c r="W1702">
        <v>1</v>
      </c>
      <c r="X1702">
        <v>2</v>
      </c>
      <c r="Y1702">
        <v>14</v>
      </c>
      <c r="Z1702">
        <v>2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1</v>
      </c>
      <c r="AH1702">
        <v>1</v>
      </c>
      <c r="AI1702">
        <v>0</v>
      </c>
      <c r="AJ1702">
        <v>0</v>
      </c>
      <c r="AK1702">
        <v>1</v>
      </c>
      <c r="AL1702">
        <v>0</v>
      </c>
      <c r="AM1702">
        <v>0</v>
      </c>
      <c r="AN1702">
        <v>0</v>
      </c>
      <c r="AT1702">
        <v>0</v>
      </c>
      <c r="AU1702">
        <v>4</v>
      </c>
      <c r="AV1702" t="s">
        <v>315</v>
      </c>
      <c r="AW1702">
        <v>73</v>
      </c>
      <c r="AX1702">
        <v>111</v>
      </c>
      <c r="BA1702">
        <v>1</v>
      </c>
      <c r="BC1702" t="s">
        <v>3501</v>
      </c>
      <c r="BD1702" s="4">
        <v>43283.142361111109</v>
      </c>
      <c r="BE1702" s="4">
        <v>43283.166261574072</v>
      </c>
      <c r="BF1702" s="4">
        <v>43283.166261574072</v>
      </c>
      <c r="BG1702" t="s">
        <v>83</v>
      </c>
      <c r="BH1702" t="s">
        <v>84</v>
      </c>
      <c r="BI1702" t="s">
        <v>85</v>
      </c>
    </row>
    <row r="1703" spans="1:61" x14ac:dyDescent="0.3">
      <c r="A1703" t="str">
        <f>"201881E0100"</f>
        <v>201881E0100</v>
      </c>
      <c r="B1703" s="2" t="s">
        <v>3502</v>
      </c>
      <c r="C1703">
        <v>20</v>
      </c>
      <c r="D1703" t="s">
        <v>79</v>
      </c>
      <c r="E1703">
        <v>8</v>
      </c>
      <c r="F1703" t="s">
        <v>3266</v>
      </c>
      <c r="G1703">
        <v>1881</v>
      </c>
      <c r="H1703">
        <v>1</v>
      </c>
      <c r="I1703" t="s">
        <v>145</v>
      </c>
      <c r="J1703">
        <v>0</v>
      </c>
      <c r="K1703">
        <v>2</v>
      </c>
      <c r="L1703">
        <v>2</v>
      </c>
      <c r="M1703">
        <v>55</v>
      </c>
      <c r="N1703">
        <v>64</v>
      </c>
      <c r="O1703">
        <v>7</v>
      </c>
      <c r="P1703">
        <v>64</v>
      </c>
      <c r="Q1703">
        <v>1</v>
      </c>
      <c r="R1703">
        <v>23</v>
      </c>
      <c r="S1703">
        <v>3</v>
      </c>
      <c r="T1703">
        <v>5</v>
      </c>
      <c r="U1703">
        <v>5</v>
      </c>
      <c r="V1703">
        <v>2</v>
      </c>
      <c r="W1703">
        <v>0</v>
      </c>
      <c r="X1703">
        <v>0</v>
      </c>
      <c r="Y1703">
        <v>15</v>
      </c>
      <c r="Z1703">
        <v>2</v>
      </c>
      <c r="AA1703">
        <v>1</v>
      </c>
      <c r="AB1703">
        <v>2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1</v>
      </c>
      <c r="AI1703">
        <v>3</v>
      </c>
      <c r="AJ1703">
        <v>0</v>
      </c>
      <c r="AK1703">
        <v>1</v>
      </c>
      <c r="AL1703">
        <v>0</v>
      </c>
      <c r="AM1703">
        <v>0</v>
      </c>
      <c r="AN1703">
        <v>0</v>
      </c>
      <c r="AT1703">
        <v>0</v>
      </c>
      <c r="AU1703">
        <v>2</v>
      </c>
      <c r="AV1703">
        <v>64</v>
      </c>
      <c r="AW1703">
        <v>66</v>
      </c>
      <c r="AX1703">
        <v>97</v>
      </c>
      <c r="BA1703">
        <v>1</v>
      </c>
      <c r="BC1703" t="s">
        <v>3503</v>
      </c>
      <c r="BD1703" s="4">
        <v>43282.124305555553</v>
      </c>
      <c r="BE1703" s="4">
        <v>43283.126944444448</v>
      </c>
      <c r="BF1703" s="4">
        <v>43283.126944444448</v>
      </c>
      <c r="BG1703" t="s">
        <v>83</v>
      </c>
      <c r="BH1703" t="s">
        <v>84</v>
      </c>
      <c r="BI1703" t="s">
        <v>85</v>
      </c>
    </row>
    <row r="1704" spans="1:61" x14ac:dyDescent="0.3">
      <c r="A1704" t="str">
        <f>"201905B0100"</f>
        <v>201905B0100</v>
      </c>
      <c r="B1704" t="s">
        <v>3504</v>
      </c>
      <c r="C1704">
        <v>20</v>
      </c>
      <c r="D1704" t="s">
        <v>79</v>
      </c>
      <c r="E1704">
        <v>8</v>
      </c>
      <c r="F1704" t="s">
        <v>3266</v>
      </c>
      <c r="G1704">
        <v>1905</v>
      </c>
      <c r="H1704">
        <v>1</v>
      </c>
      <c r="I1704" t="s">
        <v>81</v>
      </c>
      <c r="J1704">
        <v>0</v>
      </c>
      <c r="K1704">
        <v>1</v>
      </c>
      <c r="L1704">
        <v>2</v>
      </c>
      <c r="M1704">
        <v>73</v>
      </c>
      <c r="N1704">
        <v>134</v>
      </c>
      <c r="O1704">
        <v>0</v>
      </c>
      <c r="P1704">
        <v>134</v>
      </c>
      <c r="Q1704">
        <v>5</v>
      </c>
      <c r="R1704">
        <v>48</v>
      </c>
      <c r="S1704">
        <v>7</v>
      </c>
      <c r="T1704">
        <v>4</v>
      </c>
      <c r="U1704">
        <v>19</v>
      </c>
      <c r="V1704">
        <v>0</v>
      </c>
      <c r="W1704">
        <v>1</v>
      </c>
      <c r="X1704">
        <v>0</v>
      </c>
      <c r="Y1704">
        <v>39</v>
      </c>
      <c r="Z1704">
        <v>1</v>
      </c>
      <c r="AA1704">
        <v>0</v>
      </c>
      <c r="AB1704">
        <v>1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2</v>
      </c>
      <c r="AL1704">
        <v>0</v>
      </c>
      <c r="AM1704">
        <v>0</v>
      </c>
      <c r="AN1704">
        <v>1</v>
      </c>
      <c r="AT1704">
        <v>0</v>
      </c>
      <c r="AU1704">
        <v>6</v>
      </c>
      <c r="AV1704">
        <v>134</v>
      </c>
      <c r="AW1704">
        <v>134</v>
      </c>
      <c r="AX1704">
        <v>185</v>
      </c>
      <c r="BA1704">
        <v>1</v>
      </c>
      <c r="BC1704" t="s">
        <v>3505</v>
      </c>
      <c r="BD1704" s="4">
        <v>43283.14166666667</v>
      </c>
      <c r="BE1704" s="4">
        <v>43283.14949074074</v>
      </c>
      <c r="BF1704" s="4">
        <v>43283.14949074074</v>
      </c>
      <c r="BG1704" t="s">
        <v>83</v>
      </c>
      <c r="BH1704" t="s">
        <v>84</v>
      </c>
      <c r="BI1704" t="s">
        <v>85</v>
      </c>
    </row>
    <row r="1705" spans="1:61" x14ac:dyDescent="0.3">
      <c r="A1705" t="str">
        <f>"201935B0100"</f>
        <v>201935B0100</v>
      </c>
      <c r="B1705" t="s">
        <v>3506</v>
      </c>
      <c r="C1705">
        <v>20</v>
      </c>
      <c r="D1705" t="s">
        <v>79</v>
      </c>
      <c r="E1705">
        <v>8</v>
      </c>
      <c r="F1705" t="s">
        <v>3266</v>
      </c>
      <c r="G1705">
        <v>1935</v>
      </c>
      <c r="H1705">
        <v>1</v>
      </c>
      <c r="I1705" t="s">
        <v>81</v>
      </c>
      <c r="J1705">
        <v>0</v>
      </c>
      <c r="K1705">
        <v>2</v>
      </c>
      <c r="L1705">
        <v>2</v>
      </c>
      <c r="M1705">
        <v>117</v>
      </c>
      <c r="N1705">
        <v>224</v>
      </c>
      <c r="O1705">
        <v>1</v>
      </c>
      <c r="P1705">
        <v>224</v>
      </c>
      <c r="Q1705">
        <v>5</v>
      </c>
      <c r="R1705">
        <v>14</v>
      </c>
      <c r="S1705">
        <v>78</v>
      </c>
      <c r="T1705">
        <v>5</v>
      </c>
      <c r="U1705">
        <v>13</v>
      </c>
      <c r="V1705">
        <v>3</v>
      </c>
      <c r="W1705">
        <v>0</v>
      </c>
      <c r="X1705">
        <v>3</v>
      </c>
      <c r="Y1705">
        <v>71</v>
      </c>
      <c r="Z1705">
        <v>9</v>
      </c>
      <c r="AA1705">
        <v>1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1</v>
      </c>
      <c r="AI1705">
        <v>0</v>
      </c>
      <c r="AJ1705">
        <v>0</v>
      </c>
      <c r="AK1705">
        <v>4</v>
      </c>
      <c r="AL1705">
        <v>3</v>
      </c>
      <c r="AM1705">
        <v>1</v>
      </c>
      <c r="AN1705">
        <v>3</v>
      </c>
      <c r="AT1705">
        <v>0</v>
      </c>
      <c r="AU1705">
        <v>10</v>
      </c>
      <c r="AV1705">
        <v>224</v>
      </c>
      <c r="AW1705">
        <v>224</v>
      </c>
      <c r="AX1705">
        <v>319</v>
      </c>
      <c r="BA1705">
        <v>1</v>
      </c>
      <c r="BC1705" t="s">
        <v>3507</v>
      </c>
      <c r="BD1705" s="4">
        <v>43283.310416666667</v>
      </c>
      <c r="BE1705" s="4">
        <v>43283.33525462963</v>
      </c>
      <c r="BF1705" s="4">
        <v>43283.33525462963</v>
      </c>
      <c r="BG1705" t="s">
        <v>83</v>
      </c>
      <c r="BH1705" t="s">
        <v>84</v>
      </c>
      <c r="BI1705" t="s">
        <v>85</v>
      </c>
    </row>
    <row r="1706" spans="1:61" x14ac:dyDescent="0.3">
      <c r="A1706" t="str">
        <f>"201936B0100"</f>
        <v>201936B0100</v>
      </c>
      <c r="B1706" t="s">
        <v>3508</v>
      </c>
      <c r="C1706">
        <v>20</v>
      </c>
      <c r="D1706" t="s">
        <v>79</v>
      </c>
      <c r="E1706">
        <v>8</v>
      </c>
      <c r="F1706" t="s">
        <v>3266</v>
      </c>
      <c r="G1706">
        <v>1936</v>
      </c>
      <c r="H1706">
        <v>1</v>
      </c>
      <c r="I1706" t="s">
        <v>81</v>
      </c>
      <c r="J1706">
        <v>0</v>
      </c>
      <c r="K1706">
        <v>2</v>
      </c>
      <c r="L1706">
        <v>2</v>
      </c>
      <c r="M1706">
        <v>102</v>
      </c>
      <c r="N1706">
        <v>119</v>
      </c>
      <c r="O1706">
        <v>8</v>
      </c>
      <c r="P1706">
        <v>119</v>
      </c>
      <c r="Q1706">
        <v>1</v>
      </c>
      <c r="R1706">
        <v>14</v>
      </c>
      <c r="S1706">
        <v>2</v>
      </c>
      <c r="T1706">
        <v>1</v>
      </c>
      <c r="U1706">
        <v>6</v>
      </c>
      <c r="V1706">
        <v>1</v>
      </c>
      <c r="W1706">
        <v>2</v>
      </c>
      <c r="X1706">
        <v>0</v>
      </c>
      <c r="Y1706">
        <v>77</v>
      </c>
      <c r="Z1706">
        <v>4</v>
      </c>
      <c r="AA1706">
        <v>1</v>
      </c>
      <c r="AB1706">
        <v>0</v>
      </c>
      <c r="AC1706">
        <v>0</v>
      </c>
      <c r="AD1706">
        <v>1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1</v>
      </c>
      <c r="AL1706">
        <v>0</v>
      </c>
      <c r="AM1706">
        <v>0</v>
      </c>
      <c r="AN1706">
        <v>1</v>
      </c>
      <c r="AT1706">
        <v>0</v>
      </c>
      <c r="AU1706">
        <v>7</v>
      </c>
      <c r="AV1706">
        <v>119</v>
      </c>
      <c r="AW1706">
        <v>119</v>
      </c>
      <c r="AX1706">
        <v>199</v>
      </c>
      <c r="BA1706">
        <v>1</v>
      </c>
      <c r="BC1706" t="s">
        <v>3509</v>
      </c>
      <c r="BD1706" s="4">
        <v>43283.182638888888</v>
      </c>
      <c r="BE1706" s="4">
        <v>43283.199537037035</v>
      </c>
      <c r="BF1706" s="4">
        <v>43283.199537037035</v>
      </c>
      <c r="BG1706" t="s">
        <v>83</v>
      </c>
      <c r="BH1706" t="s">
        <v>84</v>
      </c>
      <c r="BI1706" t="s">
        <v>85</v>
      </c>
    </row>
    <row r="1707" spans="1:61" x14ac:dyDescent="0.3">
      <c r="A1707" t="str">
        <f>"201936E0100"</f>
        <v>201936E0100</v>
      </c>
      <c r="B1707" s="2" t="s">
        <v>3510</v>
      </c>
      <c r="C1707">
        <v>20</v>
      </c>
      <c r="D1707" t="s">
        <v>79</v>
      </c>
      <c r="E1707">
        <v>8</v>
      </c>
      <c r="F1707" t="s">
        <v>3266</v>
      </c>
      <c r="G1707">
        <v>1936</v>
      </c>
      <c r="H1707">
        <v>1</v>
      </c>
      <c r="I1707" t="s">
        <v>145</v>
      </c>
      <c r="J1707">
        <v>0</v>
      </c>
      <c r="K1707">
        <v>2</v>
      </c>
      <c r="L1707">
        <v>2</v>
      </c>
      <c r="AX1707">
        <v>653</v>
      </c>
      <c r="AZ1707" t="s">
        <v>156</v>
      </c>
      <c r="BA1707">
        <v>0</v>
      </c>
      <c r="BC1707" t="s">
        <v>3511</v>
      </c>
      <c r="BD1707" s="4">
        <v>43283.277777777781</v>
      </c>
      <c r="BE1707" s="4">
        <v>43283.785138888888</v>
      </c>
      <c r="BF1707" s="4">
        <v>43283.785138888888</v>
      </c>
      <c r="BG1707" t="s">
        <v>83</v>
      </c>
      <c r="BH1707" t="s">
        <v>84</v>
      </c>
      <c r="BI1707" t="s">
        <v>85</v>
      </c>
    </row>
    <row r="1708" spans="1:61" x14ac:dyDescent="0.3">
      <c r="A1708" t="str">
        <f>"201936E0200"</f>
        <v>201936E0200</v>
      </c>
      <c r="B1708" s="2" t="s">
        <v>3512</v>
      </c>
      <c r="C1708">
        <v>20</v>
      </c>
      <c r="D1708" t="s">
        <v>79</v>
      </c>
      <c r="E1708">
        <v>8</v>
      </c>
      <c r="F1708" t="s">
        <v>3266</v>
      </c>
      <c r="G1708">
        <v>1936</v>
      </c>
      <c r="H1708">
        <v>2</v>
      </c>
      <c r="I1708" t="s">
        <v>145</v>
      </c>
      <c r="J1708">
        <v>0</v>
      </c>
      <c r="K1708">
        <v>2</v>
      </c>
      <c r="L1708">
        <v>2</v>
      </c>
      <c r="M1708">
        <v>122</v>
      </c>
      <c r="N1708">
        <v>198</v>
      </c>
      <c r="O1708">
        <v>4</v>
      </c>
      <c r="P1708" t="s">
        <v>315</v>
      </c>
      <c r="Q1708">
        <v>0</v>
      </c>
      <c r="R1708">
        <v>5</v>
      </c>
      <c r="S1708">
        <v>8</v>
      </c>
      <c r="T1708">
        <v>1</v>
      </c>
      <c r="U1708">
        <v>12</v>
      </c>
      <c r="V1708">
        <v>2</v>
      </c>
      <c r="W1708">
        <v>3</v>
      </c>
      <c r="X1708">
        <v>1</v>
      </c>
      <c r="Y1708">
        <v>149</v>
      </c>
      <c r="Z1708">
        <v>4</v>
      </c>
      <c r="AA1708">
        <v>0</v>
      </c>
      <c r="AB1708">
        <v>4</v>
      </c>
      <c r="AC1708">
        <v>1</v>
      </c>
      <c r="AD1708">
        <v>0</v>
      </c>
      <c r="AE1708" t="s">
        <v>315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7</v>
      </c>
      <c r="AL1708">
        <v>0</v>
      </c>
      <c r="AM1708">
        <v>0</v>
      </c>
      <c r="AN1708">
        <v>1</v>
      </c>
      <c r="AT1708" t="s">
        <v>100</v>
      </c>
      <c r="AU1708">
        <v>9</v>
      </c>
      <c r="AV1708" t="s">
        <v>100</v>
      </c>
      <c r="AW1708">
        <v>207</v>
      </c>
      <c r="AX1708">
        <v>298</v>
      </c>
      <c r="AZ1708" t="s">
        <v>101</v>
      </c>
      <c r="BA1708">
        <v>1</v>
      </c>
      <c r="BC1708" t="s">
        <v>3513</v>
      </c>
      <c r="BD1708" s="4">
        <v>43283.374305555553</v>
      </c>
      <c r="BE1708" s="4">
        <v>43283.39640046296</v>
      </c>
      <c r="BF1708" s="4">
        <v>43283.39640046296</v>
      </c>
      <c r="BG1708" t="s">
        <v>83</v>
      </c>
      <c r="BH1708" t="s">
        <v>84</v>
      </c>
      <c r="BI1708" t="s">
        <v>85</v>
      </c>
    </row>
    <row r="1709" spans="1:61" x14ac:dyDescent="0.3">
      <c r="A1709" t="str">
        <f>"201937B0100"</f>
        <v>201937B0100</v>
      </c>
      <c r="B1709" t="s">
        <v>3514</v>
      </c>
      <c r="C1709">
        <v>20</v>
      </c>
      <c r="D1709" t="s">
        <v>79</v>
      </c>
      <c r="E1709">
        <v>8</v>
      </c>
      <c r="F1709" t="s">
        <v>3266</v>
      </c>
      <c r="G1709">
        <v>1937</v>
      </c>
      <c r="H1709">
        <v>1</v>
      </c>
      <c r="I1709" t="s">
        <v>81</v>
      </c>
      <c r="J1709">
        <v>0</v>
      </c>
      <c r="K1709">
        <v>2</v>
      </c>
      <c r="L1709">
        <v>2</v>
      </c>
      <c r="M1709">
        <v>302</v>
      </c>
      <c r="N1709">
        <v>453</v>
      </c>
      <c r="O1709">
        <v>0</v>
      </c>
      <c r="P1709">
        <v>453</v>
      </c>
      <c r="Q1709">
        <v>9</v>
      </c>
      <c r="R1709">
        <v>58</v>
      </c>
      <c r="S1709">
        <v>34</v>
      </c>
      <c r="T1709">
        <v>6</v>
      </c>
      <c r="U1709">
        <v>65</v>
      </c>
      <c r="V1709">
        <v>5</v>
      </c>
      <c r="W1709">
        <v>4</v>
      </c>
      <c r="X1709">
        <v>5</v>
      </c>
      <c r="Y1709">
        <v>224</v>
      </c>
      <c r="Z1709">
        <v>13</v>
      </c>
      <c r="AA1709">
        <v>4</v>
      </c>
      <c r="AB1709">
        <v>1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1</v>
      </c>
      <c r="AI1709">
        <v>0</v>
      </c>
      <c r="AJ1709">
        <v>0</v>
      </c>
      <c r="AK1709">
        <v>5</v>
      </c>
      <c r="AL1709">
        <v>1</v>
      </c>
      <c r="AM1709">
        <v>1</v>
      </c>
      <c r="AN1709">
        <v>1</v>
      </c>
      <c r="AT1709">
        <v>0</v>
      </c>
      <c r="AU1709">
        <v>19</v>
      </c>
      <c r="AV1709">
        <v>453</v>
      </c>
      <c r="AW1709">
        <v>456</v>
      </c>
      <c r="AX1709">
        <v>733</v>
      </c>
      <c r="BA1709">
        <v>1</v>
      </c>
      <c r="BC1709" t="s">
        <v>3515</v>
      </c>
      <c r="BD1709" s="4">
        <v>43283.379166666666</v>
      </c>
      <c r="BE1709" s="4">
        <v>43283.386874999997</v>
      </c>
      <c r="BF1709" s="4">
        <v>43283.386874999997</v>
      </c>
      <c r="BG1709" t="s">
        <v>83</v>
      </c>
      <c r="BH1709" t="s">
        <v>84</v>
      </c>
      <c r="BI1709" t="s">
        <v>85</v>
      </c>
    </row>
    <row r="1710" spans="1:61" x14ac:dyDescent="0.3">
      <c r="A1710" t="str">
        <f>"201937E0100"</f>
        <v>201937E0100</v>
      </c>
      <c r="B1710" s="2" t="s">
        <v>3516</v>
      </c>
      <c r="C1710">
        <v>20</v>
      </c>
      <c r="D1710" t="s">
        <v>79</v>
      </c>
      <c r="E1710">
        <v>8</v>
      </c>
      <c r="F1710" t="s">
        <v>3266</v>
      </c>
      <c r="G1710">
        <v>1937</v>
      </c>
      <c r="H1710">
        <v>1</v>
      </c>
      <c r="I1710" t="s">
        <v>145</v>
      </c>
      <c r="J1710">
        <v>0</v>
      </c>
      <c r="K1710">
        <v>2</v>
      </c>
      <c r="L1710">
        <v>2</v>
      </c>
      <c r="M1710">
        <v>319</v>
      </c>
      <c r="N1710">
        <v>435</v>
      </c>
      <c r="O1710">
        <v>4</v>
      </c>
      <c r="P1710">
        <v>434</v>
      </c>
      <c r="Q1710">
        <v>28</v>
      </c>
      <c r="R1710">
        <v>45</v>
      </c>
      <c r="S1710">
        <v>51</v>
      </c>
      <c r="T1710">
        <v>9</v>
      </c>
      <c r="U1710">
        <v>69</v>
      </c>
      <c r="V1710">
        <v>12</v>
      </c>
      <c r="W1710">
        <v>7</v>
      </c>
      <c r="X1710">
        <v>5</v>
      </c>
      <c r="Y1710">
        <v>140</v>
      </c>
      <c r="Z1710">
        <v>6</v>
      </c>
      <c r="AA1710">
        <v>3</v>
      </c>
      <c r="AB1710">
        <v>1</v>
      </c>
      <c r="AC1710">
        <v>4</v>
      </c>
      <c r="AD1710">
        <v>1</v>
      </c>
      <c r="AE1710">
        <v>0</v>
      </c>
      <c r="AF1710">
        <v>0</v>
      </c>
      <c r="AG1710">
        <v>0</v>
      </c>
      <c r="AH1710">
        <v>1</v>
      </c>
      <c r="AI1710">
        <v>0</v>
      </c>
      <c r="AJ1710">
        <v>0</v>
      </c>
      <c r="AK1710">
        <v>14</v>
      </c>
      <c r="AL1710">
        <v>3</v>
      </c>
      <c r="AM1710">
        <v>1</v>
      </c>
      <c r="AN1710">
        <v>1</v>
      </c>
      <c r="AT1710">
        <v>1</v>
      </c>
      <c r="AU1710">
        <v>32</v>
      </c>
      <c r="AV1710">
        <v>434</v>
      </c>
      <c r="AW1710">
        <v>434</v>
      </c>
      <c r="AX1710">
        <v>732</v>
      </c>
      <c r="BA1710">
        <v>1</v>
      </c>
      <c r="BC1710" t="s">
        <v>3517</v>
      </c>
      <c r="BD1710" s="4">
        <v>43283.431250000001</v>
      </c>
      <c r="BE1710" s="4">
        <v>43283.435266203705</v>
      </c>
      <c r="BF1710" s="4">
        <v>43283.435266203705</v>
      </c>
      <c r="BG1710" t="s">
        <v>83</v>
      </c>
      <c r="BH1710" t="s">
        <v>84</v>
      </c>
      <c r="BI1710" t="s">
        <v>85</v>
      </c>
    </row>
    <row r="1711" spans="1:61" x14ac:dyDescent="0.3">
      <c r="A1711" t="str">
        <f>"201938B0100"</f>
        <v>201938B0100</v>
      </c>
      <c r="B1711" t="s">
        <v>3518</v>
      </c>
      <c r="C1711">
        <v>20</v>
      </c>
      <c r="D1711" t="s">
        <v>79</v>
      </c>
      <c r="E1711">
        <v>8</v>
      </c>
      <c r="F1711" t="s">
        <v>3266</v>
      </c>
      <c r="G1711">
        <v>1938</v>
      </c>
      <c r="H1711">
        <v>1</v>
      </c>
      <c r="I1711" t="s">
        <v>81</v>
      </c>
      <c r="J1711">
        <v>0</v>
      </c>
      <c r="K1711">
        <v>2</v>
      </c>
      <c r="L1711">
        <v>2</v>
      </c>
      <c r="M1711">
        <v>271</v>
      </c>
      <c r="N1711">
        <v>363</v>
      </c>
      <c r="O1711">
        <v>0</v>
      </c>
      <c r="P1711">
        <v>363</v>
      </c>
      <c r="Q1711">
        <v>8</v>
      </c>
      <c r="R1711">
        <v>15</v>
      </c>
      <c r="S1711">
        <v>50</v>
      </c>
      <c r="T1711">
        <v>4</v>
      </c>
      <c r="U1711">
        <v>63</v>
      </c>
      <c r="V1711">
        <v>6</v>
      </c>
      <c r="W1711">
        <v>9</v>
      </c>
      <c r="X1711">
        <v>1</v>
      </c>
      <c r="Y1711">
        <v>31</v>
      </c>
      <c r="Z1711">
        <v>5</v>
      </c>
      <c r="AA1711">
        <v>0</v>
      </c>
      <c r="AB1711">
        <v>0</v>
      </c>
      <c r="AC1711">
        <v>4</v>
      </c>
      <c r="AD1711">
        <v>0</v>
      </c>
      <c r="AE1711">
        <v>0</v>
      </c>
      <c r="AF1711">
        <v>1</v>
      </c>
      <c r="AG1711">
        <v>0</v>
      </c>
      <c r="AH1711">
        <v>1</v>
      </c>
      <c r="AI1711">
        <v>0</v>
      </c>
      <c r="AJ1711">
        <v>0</v>
      </c>
      <c r="AK1711">
        <v>10</v>
      </c>
      <c r="AL1711">
        <v>11</v>
      </c>
      <c r="AM1711">
        <v>1</v>
      </c>
      <c r="AN1711">
        <v>5</v>
      </c>
      <c r="AT1711">
        <v>0</v>
      </c>
      <c r="AU1711">
        <v>39</v>
      </c>
      <c r="AV1711">
        <v>363</v>
      </c>
      <c r="AW1711">
        <v>264</v>
      </c>
      <c r="AX1711">
        <v>611</v>
      </c>
      <c r="BA1711">
        <v>1</v>
      </c>
      <c r="BC1711" t="s">
        <v>3519</v>
      </c>
      <c r="BD1711" s="4">
        <v>43283.432638888888</v>
      </c>
      <c r="BE1711" s="4">
        <v>43283.435543981483</v>
      </c>
      <c r="BF1711" s="4">
        <v>43283.435543981483</v>
      </c>
      <c r="BG1711" t="s">
        <v>83</v>
      </c>
      <c r="BH1711" t="s">
        <v>84</v>
      </c>
      <c r="BI1711" t="s">
        <v>85</v>
      </c>
    </row>
    <row r="1712" spans="1:61" x14ac:dyDescent="0.3">
      <c r="A1712" t="str">
        <f>"201938C0100"</f>
        <v>201938C0100</v>
      </c>
      <c r="B1712" t="s">
        <v>3520</v>
      </c>
      <c r="C1712">
        <v>20</v>
      </c>
      <c r="D1712" t="s">
        <v>79</v>
      </c>
      <c r="E1712">
        <v>8</v>
      </c>
      <c r="F1712" t="s">
        <v>3266</v>
      </c>
      <c r="G1712">
        <v>1938</v>
      </c>
      <c r="H1712">
        <v>1</v>
      </c>
      <c r="I1712" t="s">
        <v>89</v>
      </c>
      <c r="J1712">
        <v>0</v>
      </c>
      <c r="K1712">
        <v>2</v>
      </c>
      <c r="L1712">
        <v>2</v>
      </c>
      <c r="M1712">
        <v>248</v>
      </c>
      <c r="N1712">
        <v>384</v>
      </c>
      <c r="O1712">
        <v>0</v>
      </c>
      <c r="P1712">
        <v>384</v>
      </c>
      <c r="Q1712">
        <v>7</v>
      </c>
      <c r="R1712">
        <v>9</v>
      </c>
      <c r="S1712">
        <v>38</v>
      </c>
      <c r="T1712">
        <v>7</v>
      </c>
      <c r="U1712">
        <v>73</v>
      </c>
      <c r="V1712">
        <v>8</v>
      </c>
      <c r="W1712">
        <v>12</v>
      </c>
      <c r="X1712">
        <v>10</v>
      </c>
      <c r="Y1712">
        <v>151</v>
      </c>
      <c r="Z1712">
        <v>4</v>
      </c>
      <c r="AA1712">
        <v>1</v>
      </c>
      <c r="AB1712">
        <v>4</v>
      </c>
      <c r="AC1712">
        <v>1</v>
      </c>
      <c r="AD1712">
        <v>0</v>
      </c>
      <c r="AE1712">
        <v>0</v>
      </c>
      <c r="AF1712">
        <v>0</v>
      </c>
      <c r="AG1712">
        <v>1</v>
      </c>
      <c r="AH1712">
        <v>0</v>
      </c>
      <c r="AI1712">
        <v>0</v>
      </c>
      <c r="AJ1712">
        <v>0</v>
      </c>
      <c r="AK1712">
        <v>20</v>
      </c>
      <c r="AL1712">
        <v>16</v>
      </c>
      <c r="AM1712">
        <v>1</v>
      </c>
      <c r="AN1712">
        <v>5</v>
      </c>
      <c r="AT1712">
        <v>0</v>
      </c>
      <c r="AU1712">
        <v>16</v>
      </c>
      <c r="AV1712">
        <v>384</v>
      </c>
      <c r="AW1712">
        <v>384</v>
      </c>
      <c r="AX1712">
        <v>610</v>
      </c>
      <c r="BA1712">
        <v>1</v>
      </c>
      <c r="BC1712" t="s">
        <v>3521</v>
      </c>
      <c r="BD1712" s="4">
        <v>43283.432638888888</v>
      </c>
      <c r="BE1712" s="4">
        <v>43283.436921296299</v>
      </c>
      <c r="BF1712" s="4">
        <v>43283.436921296299</v>
      </c>
      <c r="BG1712" t="s">
        <v>83</v>
      </c>
      <c r="BH1712" t="s">
        <v>84</v>
      </c>
      <c r="BI1712" t="s">
        <v>85</v>
      </c>
    </row>
    <row r="1713" spans="1:61" x14ac:dyDescent="0.3">
      <c r="A1713" t="str">
        <f>"201938E0100"</f>
        <v>201938E0100</v>
      </c>
      <c r="B1713" s="2" t="s">
        <v>3522</v>
      </c>
      <c r="C1713">
        <v>20</v>
      </c>
      <c r="D1713" t="s">
        <v>79</v>
      </c>
      <c r="E1713">
        <v>8</v>
      </c>
      <c r="F1713" t="s">
        <v>3266</v>
      </c>
      <c r="G1713">
        <v>1938</v>
      </c>
      <c r="H1713">
        <v>1</v>
      </c>
      <c r="I1713" t="s">
        <v>145</v>
      </c>
      <c r="J1713">
        <v>0</v>
      </c>
      <c r="K1713">
        <v>2</v>
      </c>
      <c r="L1713">
        <v>2</v>
      </c>
      <c r="M1713">
        <v>212</v>
      </c>
      <c r="N1713">
        <v>430</v>
      </c>
      <c r="O1713">
        <v>1</v>
      </c>
      <c r="P1713">
        <v>430</v>
      </c>
      <c r="Q1713">
        <v>7</v>
      </c>
      <c r="R1713">
        <v>21</v>
      </c>
      <c r="S1713">
        <v>26</v>
      </c>
      <c r="T1713">
        <v>5</v>
      </c>
      <c r="U1713">
        <v>54</v>
      </c>
      <c r="V1713">
        <v>7</v>
      </c>
      <c r="W1713">
        <v>34</v>
      </c>
      <c r="X1713">
        <v>6</v>
      </c>
      <c r="Y1713">
        <v>197</v>
      </c>
      <c r="Z1713">
        <v>11</v>
      </c>
      <c r="AA1713">
        <v>2</v>
      </c>
      <c r="AB1713">
        <v>4</v>
      </c>
      <c r="AC1713">
        <v>2</v>
      </c>
      <c r="AD1713">
        <v>0</v>
      </c>
      <c r="AE1713">
        <v>0</v>
      </c>
      <c r="AF1713">
        <v>0</v>
      </c>
      <c r="AG1713">
        <v>1</v>
      </c>
      <c r="AH1713">
        <v>0</v>
      </c>
      <c r="AI1713">
        <v>0</v>
      </c>
      <c r="AJ1713">
        <v>0</v>
      </c>
      <c r="AK1713">
        <v>14</v>
      </c>
      <c r="AL1713">
        <v>7</v>
      </c>
      <c r="AM1713">
        <v>1</v>
      </c>
      <c r="AN1713">
        <v>0</v>
      </c>
      <c r="AT1713">
        <v>0</v>
      </c>
      <c r="AU1713">
        <v>31</v>
      </c>
      <c r="AV1713">
        <v>430</v>
      </c>
      <c r="AW1713">
        <v>430</v>
      </c>
      <c r="AX1713">
        <v>620</v>
      </c>
      <c r="BA1713">
        <v>1</v>
      </c>
      <c r="BC1713" t="s">
        <v>3523</v>
      </c>
      <c r="BD1713" s="4">
        <v>43283.434027777781</v>
      </c>
      <c r="BE1713" s="4">
        <v>43283.438634259262</v>
      </c>
      <c r="BF1713" s="4">
        <v>43283.438634259262</v>
      </c>
      <c r="BG1713" t="s">
        <v>83</v>
      </c>
      <c r="BH1713" t="s">
        <v>84</v>
      </c>
      <c r="BI1713" t="s">
        <v>85</v>
      </c>
    </row>
    <row r="1714" spans="1:61" x14ac:dyDescent="0.3">
      <c r="A1714" t="str">
        <f>"201939B0100"</f>
        <v>201939B0100</v>
      </c>
      <c r="B1714" t="s">
        <v>3524</v>
      </c>
      <c r="C1714">
        <v>20</v>
      </c>
      <c r="D1714" t="s">
        <v>79</v>
      </c>
      <c r="E1714">
        <v>8</v>
      </c>
      <c r="F1714" t="s">
        <v>3266</v>
      </c>
      <c r="G1714">
        <v>1939</v>
      </c>
      <c r="H1714">
        <v>1</v>
      </c>
      <c r="I1714" t="s">
        <v>81</v>
      </c>
      <c r="J1714">
        <v>0</v>
      </c>
      <c r="K1714">
        <v>2</v>
      </c>
      <c r="L1714">
        <v>2</v>
      </c>
      <c r="M1714">
        <v>254</v>
      </c>
      <c r="N1714">
        <v>405</v>
      </c>
      <c r="O1714">
        <v>1</v>
      </c>
      <c r="P1714">
        <v>405</v>
      </c>
      <c r="Q1714">
        <v>11</v>
      </c>
      <c r="R1714">
        <v>48</v>
      </c>
      <c r="S1714">
        <v>40</v>
      </c>
      <c r="T1714">
        <v>6</v>
      </c>
      <c r="U1714">
        <v>31</v>
      </c>
      <c r="V1714">
        <v>5</v>
      </c>
      <c r="W1714">
        <v>7</v>
      </c>
      <c r="X1714">
        <v>1</v>
      </c>
      <c r="Y1714">
        <v>202</v>
      </c>
      <c r="Z1714">
        <v>7</v>
      </c>
      <c r="AA1714">
        <v>0</v>
      </c>
      <c r="AB1714">
        <v>1</v>
      </c>
      <c r="AC1714">
        <v>0</v>
      </c>
      <c r="AD1714">
        <v>0</v>
      </c>
      <c r="AE1714">
        <v>0</v>
      </c>
      <c r="AF1714">
        <v>0</v>
      </c>
      <c r="AG1714">
        <v>1</v>
      </c>
      <c r="AH1714">
        <v>1</v>
      </c>
      <c r="AI1714">
        <v>0</v>
      </c>
      <c r="AJ1714">
        <v>1</v>
      </c>
      <c r="AK1714">
        <v>9</v>
      </c>
      <c r="AL1714">
        <v>6</v>
      </c>
      <c r="AM1714">
        <v>0</v>
      </c>
      <c r="AN1714">
        <v>1</v>
      </c>
      <c r="AT1714">
        <v>0</v>
      </c>
      <c r="AU1714">
        <v>27</v>
      </c>
      <c r="AV1714">
        <v>405</v>
      </c>
      <c r="AW1714">
        <v>405</v>
      </c>
      <c r="AX1714">
        <v>637</v>
      </c>
      <c r="BA1714">
        <v>1</v>
      </c>
      <c r="BC1714" t="s">
        <v>3525</v>
      </c>
      <c r="BD1714" s="4">
        <v>43283.183333333334</v>
      </c>
      <c r="BE1714" s="4">
        <v>43283.201643518521</v>
      </c>
      <c r="BF1714" s="4">
        <v>43283.201643518521</v>
      </c>
      <c r="BG1714" t="s">
        <v>83</v>
      </c>
      <c r="BH1714" t="s">
        <v>84</v>
      </c>
      <c r="BI1714" t="s">
        <v>85</v>
      </c>
    </row>
    <row r="1715" spans="1:61" x14ac:dyDescent="0.3">
      <c r="A1715" t="str">
        <f>"201939C0100"</f>
        <v>201939C0100</v>
      </c>
      <c r="B1715" t="s">
        <v>3526</v>
      </c>
      <c r="C1715">
        <v>20</v>
      </c>
      <c r="D1715" t="s">
        <v>79</v>
      </c>
      <c r="E1715">
        <v>8</v>
      </c>
      <c r="F1715" t="s">
        <v>3266</v>
      </c>
      <c r="G1715">
        <v>1939</v>
      </c>
      <c r="H1715">
        <v>1</v>
      </c>
      <c r="I1715" t="s">
        <v>89</v>
      </c>
      <c r="J1715">
        <v>0</v>
      </c>
      <c r="K1715">
        <v>2</v>
      </c>
      <c r="L1715">
        <v>2</v>
      </c>
      <c r="M1715">
        <v>253</v>
      </c>
      <c r="N1715">
        <v>406</v>
      </c>
      <c r="O1715">
        <v>1</v>
      </c>
      <c r="P1715">
        <v>406</v>
      </c>
      <c r="Q1715">
        <v>6</v>
      </c>
      <c r="R1715">
        <v>22</v>
      </c>
      <c r="S1715">
        <v>69</v>
      </c>
      <c r="T1715">
        <v>8</v>
      </c>
      <c r="U1715">
        <v>36</v>
      </c>
      <c r="V1715">
        <v>5</v>
      </c>
      <c r="W1715">
        <v>12</v>
      </c>
      <c r="X1715">
        <v>0</v>
      </c>
      <c r="Y1715">
        <v>194</v>
      </c>
      <c r="Z1715">
        <v>13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1</v>
      </c>
      <c r="AH1715">
        <v>2</v>
      </c>
      <c r="AI1715">
        <v>0</v>
      </c>
      <c r="AJ1715">
        <v>0</v>
      </c>
      <c r="AK1715">
        <v>15</v>
      </c>
      <c r="AL1715">
        <v>5</v>
      </c>
      <c r="AM1715">
        <v>0</v>
      </c>
      <c r="AN1715">
        <v>1</v>
      </c>
      <c r="AT1715">
        <v>0</v>
      </c>
      <c r="AU1715">
        <v>18</v>
      </c>
      <c r="AV1715">
        <v>406</v>
      </c>
      <c r="AW1715">
        <v>407</v>
      </c>
      <c r="AX1715">
        <v>637</v>
      </c>
      <c r="BA1715">
        <v>1</v>
      </c>
      <c r="BC1715" s="2" t="s">
        <v>3527</v>
      </c>
      <c r="BD1715" s="4">
        <v>43283.180555555555</v>
      </c>
      <c r="BE1715" s="4">
        <v>43283.198773148149</v>
      </c>
      <c r="BF1715" s="4">
        <v>43283.198773148149</v>
      </c>
      <c r="BG1715" t="s">
        <v>83</v>
      </c>
      <c r="BH1715" t="s">
        <v>84</v>
      </c>
      <c r="BI1715" t="s">
        <v>85</v>
      </c>
    </row>
    <row r="1716" spans="1:61" x14ac:dyDescent="0.3">
      <c r="A1716" t="str">
        <f>"202084B0100"</f>
        <v>202084B0100</v>
      </c>
      <c r="B1716" t="s">
        <v>3528</v>
      </c>
      <c r="C1716">
        <v>20</v>
      </c>
      <c r="D1716" t="s">
        <v>79</v>
      </c>
      <c r="E1716">
        <v>8</v>
      </c>
      <c r="F1716" t="s">
        <v>3266</v>
      </c>
      <c r="G1716">
        <v>2084</v>
      </c>
      <c r="H1716">
        <v>1</v>
      </c>
      <c r="I1716" t="s">
        <v>81</v>
      </c>
      <c r="J1716">
        <v>0</v>
      </c>
      <c r="K1716">
        <v>2</v>
      </c>
      <c r="L1716">
        <v>2</v>
      </c>
      <c r="M1716">
        <v>141</v>
      </c>
      <c r="N1716" t="s">
        <v>100</v>
      </c>
      <c r="O1716">
        <v>7</v>
      </c>
      <c r="P1716">
        <v>293</v>
      </c>
      <c r="Q1716">
        <v>2</v>
      </c>
      <c r="R1716">
        <v>19</v>
      </c>
      <c r="S1716">
        <v>77</v>
      </c>
      <c r="T1716">
        <v>4</v>
      </c>
      <c r="U1716">
        <v>24</v>
      </c>
      <c r="V1716">
        <v>3</v>
      </c>
      <c r="W1716">
        <v>5</v>
      </c>
      <c r="X1716">
        <v>2</v>
      </c>
      <c r="Y1716">
        <v>129</v>
      </c>
      <c r="Z1716">
        <v>3</v>
      </c>
      <c r="AA1716">
        <v>1</v>
      </c>
      <c r="AB1716">
        <v>1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1</v>
      </c>
      <c r="AT1716">
        <v>1</v>
      </c>
      <c r="AU1716">
        <v>21</v>
      </c>
      <c r="AV1716">
        <v>293</v>
      </c>
      <c r="AW1716">
        <v>293</v>
      </c>
      <c r="AX1716">
        <v>412</v>
      </c>
      <c r="BA1716">
        <v>1</v>
      </c>
      <c r="BC1716" t="s">
        <v>3529</v>
      </c>
      <c r="BD1716" s="4">
        <v>43283.130555555559</v>
      </c>
      <c r="BE1716" s="4">
        <v>43283.134421296294</v>
      </c>
      <c r="BF1716" s="4">
        <v>43283.134421296294</v>
      </c>
      <c r="BG1716" t="s">
        <v>83</v>
      </c>
      <c r="BH1716" t="s">
        <v>84</v>
      </c>
      <c r="BI1716" t="s">
        <v>85</v>
      </c>
    </row>
    <row r="1717" spans="1:61" x14ac:dyDescent="0.3">
      <c r="A1717" t="str">
        <f>"202085B0100"</f>
        <v>202085B0100</v>
      </c>
      <c r="B1717" t="s">
        <v>3530</v>
      </c>
      <c r="C1717">
        <v>20</v>
      </c>
      <c r="D1717" t="s">
        <v>79</v>
      </c>
      <c r="E1717">
        <v>8</v>
      </c>
      <c r="F1717" t="s">
        <v>3266</v>
      </c>
      <c r="G1717">
        <v>2085</v>
      </c>
      <c r="H1717">
        <v>1</v>
      </c>
      <c r="I1717" t="s">
        <v>81</v>
      </c>
      <c r="J1717">
        <v>0</v>
      </c>
      <c r="K1717">
        <v>2</v>
      </c>
      <c r="L1717">
        <v>2</v>
      </c>
      <c r="M1717">
        <v>126</v>
      </c>
      <c r="N1717">
        <v>232</v>
      </c>
      <c r="O1717">
        <v>0</v>
      </c>
      <c r="P1717">
        <v>232</v>
      </c>
      <c r="Q1717">
        <v>5</v>
      </c>
      <c r="R1717">
        <v>10</v>
      </c>
      <c r="S1717">
        <v>50</v>
      </c>
      <c r="T1717">
        <v>4</v>
      </c>
      <c r="U1717">
        <v>22</v>
      </c>
      <c r="V1717">
        <v>2</v>
      </c>
      <c r="W1717">
        <v>3</v>
      </c>
      <c r="X1717">
        <v>3</v>
      </c>
      <c r="Y1717">
        <v>111</v>
      </c>
      <c r="Z1717">
        <v>3</v>
      </c>
      <c r="AA1717">
        <v>0</v>
      </c>
      <c r="AB1717">
        <v>2</v>
      </c>
      <c r="AC1717">
        <v>1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5</v>
      </c>
      <c r="AL1717">
        <v>1</v>
      </c>
      <c r="AM1717">
        <v>0</v>
      </c>
      <c r="AN1717">
        <v>3</v>
      </c>
      <c r="AT1717">
        <v>0</v>
      </c>
      <c r="AU1717">
        <v>7</v>
      </c>
      <c r="AV1717">
        <v>232</v>
      </c>
      <c r="AW1717">
        <v>232</v>
      </c>
      <c r="AX1717">
        <v>335</v>
      </c>
      <c r="BA1717">
        <v>1</v>
      </c>
      <c r="BC1717" t="s">
        <v>3531</v>
      </c>
      <c r="BD1717" s="4">
        <v>43283.129166666666</v>
      </c>
      <c r="BE1717" s="4">
        <v>43283.134004629632</v>
      </c>
      <c r="BF1717" s="4">
        <v>43283.134004629632</v>
      </c>
      <c r="BG1717" t="s">
        <v>83</v>
      </c>
      <c r="BH1717" t="s">
        <v>84</v>
      </c>
      <c r="BI1717" t="s">
        <v>85</v>
      </c>
    </row>
    <row r="1718" spans="1:61" x14ac:dyDescent="0.3">
      <c r="A1718" t="str">
        <f>"202086B0100"</f>
        <v>202086B0100</v>
      </c>
      <c r="B1718" t="s">
        <v>3532</v>
      </c>
      <c r="C1718">
        <v>20</v>
      </c>
      <c r="D1718" t="s">
        <v>79</v>
      </c>
      <c r="E1718">
        <v>8</v>
      </c>
      <c r="F1718" t="s">
        <v>3266</v>
      </c>
      <c r="G1718">
        <v>2086</v>
      </c>
      <c r="H1718">
        <v>1</v>
      </c>
      <c r="I1718" t="s">
        <v>81</v>
      </c>
      <c r="J1718">
        <v>0</v>
      </c>
      <c r="K1718">
        <v>2</v>
      </c>
      <c r="L1718">
        <v>2</v>
      </c>
      <c r="M1718">
        <v>252</v>
      </c>
      <c r="N1718">
        <v>375</v>
      </c>
      <c r="O1718">
        <v>2</v>
      </c>
      <c r="P1718">
        <v>375</v>
      </c>
      <c r="Q1718">
        <v>4</v>
      </c>
      <c r="R1718">
        <v>75</v>
      </c>
      <c r="S1718">
        <v>40</v>
      </c>
      <c r="T1718">
        <v>7</v>
      </c>
      <c r="U1718">
        <v>24</v>
      </c>
      <c r="V1718">
        <v>7</v>
      </c>
      <c r="W1718">
        <v>0</v>
      </c>
      <c r="X1718">
        <v>10</v>
      </c>
      <c r="Y1718">
        <v>172</v>
      </c>
      <c r="Z1718">
        <v>9</v>
      </c>
      <c r="AA1718">
        <v>1</v>
      </c>
      <c r="AB1718">
        <v>2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2</v>
      </c>
      <c r="AL1718">
        <v>0</v>
      </c>
      <c r="AM1718">
        <v>0</v>
      </c>
      <c r="AN1718">
        <v>0</v>
      </c>
      <c r="AT1718">
        <v>0</v>
      </c>
      <c r="AU1718">
        <v>21</v>
      </c>
      <c r="AV1718">
        <v>375</v>
      </c>
      <c r="AW1718">
        <v>374</v>
      </c>
      <c r="AX1718">
        <v>605</v>
      </c>
      <c r="BA1718">
        <v>1</v>
      </c>
      <c r="BC1718" t="s">
        <v>3533</v>
      </c>
      <c r="BD1718" s="4">
        <v>43283.379861111112</v>
      </c>
      <c r="BE1718" s="4">
        <v>43283.382453703707</v>
      </c>
      <c r="BF1718" s="4">
        <v>43283.382453703707</v>
      </c>
      <c r="BG1718" t="s">
        <v>83</v>
      </c>
      <c r="BH1718" t="s">
        <v>84</v>
      </c>
      <c r="BI1718" t="s">
        <v>85</v>
      </c>
    </row>
    <row r="1719" spans="1:61" x14ac:dyDescent="0.3">
      <c r="A1719" t="str">
        <f>"202087B0100"</f>
        <v>202087B0100</v>
      </c>
      <c r="B1719" t="s">
        <v>3534</v>
      </c>
      <c r="C1719">
        <v>20</v>
      </c>
      <c r="D1719" t="s">
        <v>79</v>
      </c>
      <c r="E1719">
        <v>8</v>
      </c>
      <c r="F1719" t="s">
        <v>3266</v>
      </c>
      <c r="G1719">
        <v>2087</v>
      </c>
      <c r="H1719">
        <v>1</v>
      </c>
      <c r="I1719" t="s">
        <v>81</v>
      </c>
      <c r="J1719">
        <v>0</v>
      </c>
      <c r="K1719">
        <v>2</v>
      </c>
      <c r="L1719">
        <v>2</v>
      </c>
      <c r="M1719">
        <v>186</v>
      </c>
      <c r="N1719">
        <v>258</v>
      </c>
      <c r="O1719">
        <v>2</v>
      </c>
      <c r="P1719">
        <v>258</v>
      </c>
      <c r="Q1719">
        <v>5</v>
      </c>
      <c r="R1719">
        <v>87</v>
      </c>
      <c r="S1719">
        <v>37</v>
      </c>
      <c r="T1719">
        <v>18</v>
      </c>
      <c r="U1719">
        <v>14</v>
      </c>
      <c r="V1719">
        <v>5</v>
      </c>
      <c r="W1719">
        <v>3</v>
      </c>
      <c r="X1719">
        <v>12</v>
      </c>
      <c r="Y1719">
        <v>63</v>
      </c>
      <c r="Z1719">
        <v>2</v>
      </c>
      <c r="AA1719">
        <v>0</v>
      </c>
      <c r="AB1719">
        <v>2</v>
      </c>
      <c r="AC1719">
        <v>0</v>
      </c>
      <c r="AD1719">
        <v>0</v>
      </c>
      <c r="AE1719">
        <v>0</v>
      </c>
      <c r="AF1719">
        <v>1</v>
      </c>
      <c r="AG1719">
        <v>0</v>
      </c>
      <c r="AH1719">
        <v>0</v>
      </c>
      <c r="AI1719">
        <v>0</v>
      </c>
      <c r="AJ1719">
        <v>0</v>
      </c>
      <c r="AK1719">
        <v>3</v>
      </c>
      <c r="AL1719">
        <v>0</v>
      </c>
      <c r="AM1719">
        <v>0</v>
      </c>
      <c r="AN1719">
        <v>0</v>
      </c>
      <c r="AT1719">
        <v>0</v>
      </c>
      <c r="AU1719">
        <v>6</v>
      </c>
      <c r="AV1719">
        <v>258</v>
      </c>
      <c r="AW1719">
        <v>258</v>
      </c>
      <c r="AX1719">
        <v>422</v>
      </c>
      <c r="BA1719">
        <v>1</v>
      </c>
      <c r="BC1719" t="s">
        <v>3535</v>
      </c>
      <c r="BD1719" s="4">
        <v>43283.380555555559</v>
      </c>
      <c r="BE1719" s="4">
        <v>43283.384155092594</v>
      </c>
      <c r="BF1719" s="4">
        <v>43283.384155092594</v>
      </c>
      <c r="BG1719" t="s">
        <v>83</v>
      </c>
      <c r="BH1719" t="s">
        <v>84</v>
      </c>
      <c r="BI1719" t="s">
        <v>85</v>
      </c>
    </row>
    <row r="1720" spans="1:61" x14ac:dyDescent="0.3">
      <c r="A1720" t="str">
        <f>"202087C0100"</f>
        <v>202087C0100</v>
      </c>
      <c r="B1720" t="s">
        <v>3536</v>
      </c>
      <c r="C1720">
        <v>20</v>
      </c>
      <c r="D1720" t="s">
        <v>79</v>
      </c>
      <c r="E1720">
        <v>8</v>
      </c>
      <c r="F1720" t="s">
        <v>3266</v>
      </c>
      <c r="G1720">
        <v>2087</v>
      </c>
      <c r="H1720">
        <v>1</v>
      </c>
      <c r="I1720" t="s">
        <v>89</v>
      </c>
      <c r="J1720">
        <v>0</v>
      </c>
      <c r="K1720">
        <v>2</v>
      </c>
      <c r="L1720">
        <v>2</v>
      </c>
      <c r="M1720">
        <v>189</v>
      </c>
      <c r="N1720">
        <v>254</v>
      </c>
      <c r="O1720">
        <v>3</v>
      </c>
      <c r="P1720">
        <v>251</v>
      </c>
      <c r="Q1720">
        <v>5</v>
      </c>
      <c r="R1720">
        <v>86</v>
      </c>
      <c r="S1720">
        <v>43</v>
      </c>
      <c r="T1720">
        <v>8</v>
      </c>
      <c r="U1720">
        <v>20</v>
      </c>
      <c r="V1720">
        <v>3</v>
      </c>
      <c r="W1720">
        <v>0</v>
      </c>
      <c r="X1720">
        <v>9</v>
      </c>
      <c r="Y1720">
        <v>65</v>
      </c>
      <c r="Z1720">
        <v>1</v>
      </c>
      <c r="AA1720">
        <v>1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1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T1720">
        <v>0</v>
      </c>
      <c r="AU1720">
        <v>12</v>
      </c>
      <c r="AV1720">
        <v>254</v>
      </c>
      <c r="AW1720">
        <v>254</v>
      </c>
      <c r="AX1720">
        <v>421</v>
      </c>
      <c r="BA1720">
        <v>1</v>
      </c>
      <c r="BC1720" t="s">
        <v>3537</v>
      </c>
      <c r="BD1720" s="4">
        <v>43283.381249999999</v>
      </c>
      <c r="BE1720" s="4">
        <v>43283.384444444448</v>
      </c>
      <c r="BF1720" s="4">
        <v>43283.384444444448</v>
      </c>
      <c r="BG1720" t="s">
        <v>83</v>
      </c>
      <c r="BH1720" t="s">
        <v>84</v>
      </c>
      <c r="BI1720" t="s">
        <v>85</v>
      </c>
    </row>
    <row r="1721" spans="1:61" x14ac:dyDescent="0.3">
      <c r="A1721" t="str">
        <f>"202156B0100"</f>
        <v>202156B0100</v>
      </c>
      <c r="B1721" t="s">
        <v>3538</v>
      </c>
      <c r="C1721">
        <v>20</v>
      </c>
      <c r="D1721" t="s">
        <v>79</v>
      </c>
      <c r="E1721">
        <v>8</v>
      </c>
      <c r="F1721" t="s">
        <v>3266</v>
      </c>
      <c r="G1721">
        <v>2156</v>
      </c>
      <c r="H1721">
        <v>1</v>
      </c>
      <c r="I1721" t="s">
        <v>81</v>
      </c>
      <c r="J1721">
        <v>0</v>
      </c>
      <c r="K1721">
        <v>2</v>
      </c>
      <c r="L1721">
        <v>2</v>
      </c>
      <c r="M1721">
        <v>162</v>
      </c>
      <c r="N1721">
        <v>238</v>
      </c>
      <c r="O1721">
        <v>1</v>
      </c>
      <c r="P1721">
        <v>238</v>
      </c>
      <c r="Q1721">
        <v>5</v>
      </c>
      <c r="R1721">
        <v>37</v>
      </c>
      <c r="S1721">
        <v>9</v>
      </c>
      <c r="T1721">
        <v>7</v>
      </c>
      <c r="U1721">
        <v>16</v>
      </c>
      <c r="V1721">
        <v>0</v>
      </c>
      <c r="W1721">
        <v>1</v>
      </c>
      <c r="X1721">
        <v>1</v>
      </c>
      <c r="Y1721">
        <v>132</v>
      </c>
      <c r="Z1721">
        <v>4</v>
      </c>
      <c r="AA1721">
        <v>2</v>
      </c>
      <c r="AB1721">
        <v>3</v>
      </c>
      <c r="AC1721">
        <v>1</v>
      </c>
      <c r="AD1721">
        <v>0</v>
      </c>
      <c r="AE1721">
        <v>0</v>
      </c>
      <c r="AF1721">
        <v>0</v>
      </c>
      <c r="AG1721">
        <v>0</v>
      </c>
      <c r="AH1721">
        <v>1</v>
      </c>
      <c r="AI1721">
        <v>0</v>
      </c>
      <c r="AJ1721">
        <v>0</v>
      </c>
      <c r="AK1721">
        <v>4</v>
      </c>
      <c r="AL1721">
        <v>2</v>
      </c>
      <c r="AM1721">
        <v>0</v>
      </c>
      <c r="AN1721">
        <v>4</v>
      </c>
      <c r="AT1721">
        <v>0</v>
      </c>
      <c r="AU1721">
        <v>9</v>
      </c>
      <c r="AV1721">
        <v>238</v>
      </c>
      <c r="AW1721">
        <v>238</v>
      </c>
      <c r="AX1721">
        <v>378</v>
      </c>
      <c r="BA1721">
        <v>1</v>
      </c>
      <c r="BC1721" t="s">
        <v>3539</v>
      </c>
      <c r="BD1721" s="4">
        <v>43283.148611111108</v>
      </c>
      <c r="BE1721" s="4">
        <v>43283.176689814813</v>
      </c>
      <c r="BF1721" s="4">
        <v>43283.176689814813</v>
      </c>
      <c r="BG1721" t="s">
        <v>83</v>
      </c>
      <c r="BH1721" t="s">
        <v>84</v>
      </c>
      <c r="BI1721" t="s">
        <v>85</v>
      </c>
    </row>
    <row r="1722" spans="1:61" x14ac:dyDescent="0.3">
      <c r="A1722" t="str">
        <f>"202156C0100"</f>
        <v>202156C0100</v>
      </c>
      <c r="B1722" t="s">
        <v>3540</v>
      </c>
      <c r="C1722">
        <v>20</v>
      </c>
      <c r="D1722" t="s">
        <v>79</v>
      </c>
      <c r="E1722">
        <v>8</v>
      </c>
      <c r="F1722" t="s">
        <v>3266</v>
      </c>
      <c r="G1722">
        <v>2156</v>
      </c>
      <c r="H1722">
        <v>1</v>
      </c>
      <c r="I1722" t="s">
        <v>89</v>
      </c>
      <c r="J1722">
        <v>0</v>
      </c>
      <c r="K1722">
        <v>2</v>
      </c>
      <c r="L1722">
        <v>2</v>
      </c>
      <c r="AX1722">
        <v>378</v>
      </c>
      <c r="AZ1722" t="s">
        <v>156</v>
      </c>
      <c r="BA1722">
        <v>0</v>
      </c>
      <c r="BC1722" t="s">
        <v>3541</v>
      </c>
      <c r="BD1722" s="4">
        <v>43283.277083333334</v>
      </c>
      <c r="BE1722" s="4">
        <v>43283.783321759256</v>
      </c>
      <c r="BF1722" s="4">
        <v>43283.783321759256</v>
      </c>
      <c r="BG1722" t="s">
        <v>83</v>
      </c>
      <c r="BH1722" t="s">
        <v>84</v>
      </c>
      <c r="BI1722" t="s">
        <v>85</v>
      </c>
    </row>
    <row r="1723" spans="1:61" x14ac:dyDescent="0.3">
      <c r="A1723" t="str">
        <f>"202157B0100"</f>
        <v>202157B0100</v>
      </c>
      <c r="B1723" t="s">
        <v>3542</v>
      </c>
      <c r="C1723">
        <v>20</v>
      </c>
      <c r="D1723" t="s">
        <v>79</v>
      </c>
      <c r="E1723">
        <v>8</v>
      </c>
      <c r="F1723" t="s">
        <v>3266</v>
      </c>
      <c r="G1723">
        <v>2157</v>
      </c>
      <c r="H1723">
        <v>1</v>
      </c>
      <c r="I1723" t="s">
        <v>81</v>
      </c>
      <c r="J1723">
        <v>0</v>
      </c>
      <c r="K1723">
        <v>1</v>
      </c>
      <c r="L1723">
        <v>2</v>
      </c>
      <c r="M1723">
        <v>198</v>
      </c>
      <c r="N1723">
        <v>416</v>
      </c>
      <c r="O1723" t="s">
        <v>100</v>
      </c>
      <c r="P1723">
        <v>198</v>
      </c>
      <c r="Q1723">
        <v>12</v>
      </c>
      <c r="R1723">
        <v>24</v>
      </c>
      <c r="S1723">
        <v>9</v>
      </c>
      <c r="T1723">
        <v>3</v>
      </c>
      <c r="U1723">
        <v>9</v>
      </c>
      <c r="V1723">
        <v>6</v>
      </c>
      <c r="W1723">
        <v>4</v>
      </c>
      <c r="X1723">
        <v>4</v>
      </c>
      <c r="Y1723">
        <v>123</v>
      </c>
      <c r="Z1723">
        <v>2</v>
      </c>
      <c r="AA1723">
        <v>0</v>
      </c>
      <c r="AB1723">
        <v>2</v>
      </c>
      <c r="AC1723">
        <v>0</v>
      </c>
      <c r="AD1723">
        <v>0</v>
      </c>
      <c r="AE1723">
        <v>3</v>
      </c>
      <c r="AF1723">
        <v>0</v>
      </c>
      <c r="AG1723">
        <v>0</v>
      </c>
      <c r="AH1723">
        <v>0</v>
      </c>
      <c r="AI1723">
        <v>1</v>
      </c>
      <c r="AJ1723">
        <v>0</v>
      </c>
      <c r="AK1723">
        <v>5</v>
      </c>
      <c r="AL1723">
        <v>1</v>
      </c>
      <c r="AM1723">
        <v>0</v>
      </c>
      <c r="AN1723">
        <v>2</v>
      </c>
      <c r="AT1723">
        <v>0</v>
      </c>
      <c r="AU1723">
        <v>8</v>
      </c>
      <c r="AV1723">
        <v>218</v>
      </c>
      <c r="AW1723">
        <v>218</v>
      </c>
      <c r="AX1723">
        <v>394</v>
      </c>
      <c r="BA1723">
        <v>1</v>
      </c>
      <c r="BC1723" t="s">
        <v>3543</v>
      </c>
      <c r="BD1723" s="4">
        <v>43283.145833333336</v>
      </c>
      <c r="BE1723" s="4">
        <v>43283.154328703706</v>
      </c>
      <c r="BF1723" s="4">
        <v>43283.154328703706</v>
      </c>
      <c r="BG1723" t="s">
        <v>83</v>
      </c>
      <c r="BH1723" t="s">
        <v>84</v>
      </c>
      <c r="BI1723" t="s">
        <v>85</v>
      </c>
    </row>
    <row r="1724" spans="1:61" x14ac:dyDescent="0.3">
      <c r="A1724" t="str">
        <f>"202157C0100"</f>
        <v>202157C0100</v>
      </c>
      <c r="B1724" t="s">
        <v>3544</v>
      </c>
      <c r="C1724">
        <v>20</v>
      </c>
      <c r="D1724" t="s">
        <v>79</v>
      </c>
      <c r="E1724">
        <v>8</v>
      </c>
      <c r="F1724" t="s">
        <v>3266</v>
      </c>
      <c r="G1724">
        <v>2157</v>
      </c>
      <c r="H1724">
        <v>1</v>
      </c>
      <c r="I1724" t="s">
        <v>89</v>
      </c>
      <c r="J1724">
        <v>0</v>
      </c>
      <c r="K1724">
        <v>1</v>
      </c>
      <c r="L1724">
        <v>2</v>
      </c>
      <c r="M1724">
        <v>171</v>
      </c>
      <c r="N1724">
        <v>244</v>
      </c>
      <c r="O1724">
        <v>3</v>
      </c>
      <c r="P1724">
        <v>244</v>
      </c>
      <c r="Q1724">
        <v>6</v>
      </c>
      <c r="R1724">
        <v>34</v>
      </c>
      <c r="S1724">
        <v>6</v>
      </c>
      <c r="T1724">
        <v>1</v>
      </c>
      <c r="U1724">
        <v>18</v>
      </c>
      <c r="V1724">
        <v>6</v>
      </c>
      <c r="W1724">
        <v>0</v>
      </c>
      <c r="X1724">
        <v>3</v>
      </c>
      <c r="Y1724">
        <v>151</v>
      </c>
      <c r="Z1724">
        <v>4</v>
      </c>
      <c r="AA1724">
        <v>1</v>
      </c>
      <c r="AB1724">
        <v>2</v>
      </c>
      <c r="AC1724">
        <v>1</v>
      </c>
      <c r="AD1724">
        <v>0</v>
      </c>
      <c r="AE1724">
        <v>1</v>
      </c>
      <c r="AF1724" t="s">
        <v>315</v>
      </c>
      <c r="AG1724">
        <v>1</v>
      </c>
      <c r="AH1724">
        <v>2</v>
      </c>
      <c r="AI1724">
        <v>0</v>
      </c>
      <c r="AJ1724">
        <v>0</v>
      </c>
      <c r="AK1724">
        <v>2</v>
      </c>
      <c r="AL1724" t="s">
        <v>315</v>
      </c>
      <c r="AM1724" t="s">
        <v>315</v>
      </c>
      <c r="AN1724">
        <v>1</v>
      </c>
      <c r="AT1724">
        <v>0</v>
      </c>
      <c r="AU1724">
        <v>2</v>
      </c>
      <c r="AV1724">
        <v>244</v>
      </c>
      <c r="AW1724">
        <v>242</v>
      </c>
      <c r="AX1724">
        <v>393</v>
      </c>
      <c r="AZ1724" t="s">
        <v>101</v>
      </c>
      <c r="BA1724">
        <v>1</v>
      </c>
      <c r="BC1724" t="s">
        <v>3545</v>
      </c>
      <c r="BD1724" s="4">
        <v>43283.14166666667</v>
      </c>
      <c r="BE1724" s="4">
        <v>43283.165081018517</v>
      </c>
      <c r="BF1724" s="4">
        <v>43283.165081018517</v>
      </c>
      <c r="BG1724" t="s">
        <v>83</v>
      </c>
      <c r="BH1724" t="s">
        <v>84</v>
      </c>
      <c r="BI1724" t="s">
        <v>85</v>
      </c>
    </row>
    <row r="1725" spans="1:61" x14ac:dyDescent="0.3">
      <c r="A1725" t="str">
        <f>"202158B0100"</f>
        <v>202158B0100</v>
      </c>
      <c r="B1725" t="s">
        <v>3546</v>
      </c>
      <c r="C1725">
        <v>20</v>
      </c>
      <c r="D1725" t="s">
        <v>79</v>
      </c>
      <c r="E1725">
        <v>8</v>
      </c>
      <c r="F1725" t="s">
        <v>3266</v>
      </c>
      <c r="G1725">
        <v>2158</v>
      </c>
      <c r="H1725">
        <v>1</v>
      </c>
      <c r="I1725" t="s">
        <v>81</v>
      </c>
      <c r="J1725">
        <v>0</v>
      </c>
      <c r="K1725">
        <v>2</v>
      </c>
      <c r="L1725">
        <v>2</v>
      </c>
      <c r="M1725">
        <v>237</v>
      </c>
      <c r="N1725">
        <v>431</v>
      </c>
      <c r="O1725">
        <v>4</v>
      </c>
      <c r="P1725">
        <v>431</v>
      </c>
      <c r="Q1725">
        <v>15</v>
      </c>
      <c r="R1725">
        <v>27</v>
      </c>
      <c r="S1725">
        <v>160</v>
      </c>
      <c r="T1725">
        <v>7</v>
      </c>
      <c r="U1725">
        <v>14</v>
      </c>
      <c r="V1725">
        <v>12</v>
      </c>
      <c r="W1725">
        <v>3</v>
      </c>
      <c r="X1725">
        <v>8</v>
      </c>
      <c r="Y1725">
        <v>133</v>
      </c>
      <c r="Z1725">
        <v>6</v>
      </c>
      <c r="AA1725">
        <v>2</v>
      </c>
      <c r="AB1725">
        <v>3</v>
      </c>
      <c r="AC1725">
        <v>1</v>
      </c>
      <c r="AD1725">
        <v>2</v>
      </c>
      <c r="AE1725">
        <v>0</v>
      </c>
      <c r="AF1725">
        <v>2</v>
      </c>
      <c r="AG1725">
        <v>2</v>
      </c>
      <c r="AH1725">
        <v>1</v>
      </c>
      <c r="AI1725">
        <v>0</v>
      </c>
      <c r="AJ1725">
        <v>1</v>
      </c>
      <c r="AK1725">
        <v>3</v>
      </c>
      <c r="AL1725">
        <v>1</v>
      </c>
      <c r="AM1725">
        <v>0</v>
      </c>
      <c r="AN1725">
        <v>0</v>
      </c>
      <c r="AT1725">
        <v>0</v>
      </c>
      <c r="AU1725">
        <v>28</v>
      </c>
      <c r="AV1725">
        <v>431</v>
      </c>
      <c r="AW1725">
        <v>431</v>
      </c>
      <c r="AX1725">
        <v>646</v>
      </c>
      <c r="BA1725">
        <v>1</v>
      </c>
      <c r="BC1725" t="s">
        <v>3547</v>
      </c>
      <c r="BD1725" s="4">
        <v>43283.316666666666</v>
      </c>
      <c r="BE1725" s="4">
        <v>43283.340624999997</v>
      </c>
      <c r="BF1725" s="4">
        <v>43283.340624999997</v>
      </c>
      <c r="BG1725" t="s">
        <v>83</v>
      </c>
      <c r="BH1725" t="s">
        <v>84</v>
      </c>
      <c r="BI1725" t="s">
        <v>85</v>
      </c>
    </row>
    <row r="1726" spans="1:61" x14ac:dyDescent="0.3">
      <c r="A1726" t="str">
        <f>"202158C0100"</f>
        <v>202158C0100</v>
      </c>
      <c r="B1726" t="s">
        <v>3548</v>
      </c>
      <c r="C1726">
        <v>20</v>
      </c>
      <c r="D1726" t="s">
        <v>79</v>
      </c>
      <c r="E1726">
        <v>8</v>
      </c>
      <c r="F1726" t="s">
        <v>3266</v>
      </c>
      <c r="G1726">
        <v>2158</v>
      </c>
      <c r="H1726">
        <v>1</v>
      </c>
      <c r="I1726" t="s">
        <v>89</v>
      </c>
      <c r="J1726">
        <v>0</v>
      </c>
      <c r="K1726">
        <v>2</v>
      </c>
      <c r="L1726">
        <v>2</v>
      </c>
      <c r="M1726">
        <v>229</v>
      </c>
      <c r="N1726">
        <v>439</v>
      </c>
      <c r="O1726">
        <v>1</v>
      </c>
      <c r="P1726">
        <v>439</v>
      </c>
      <c r="Q1726">
        <v>14</v>
      </c>
      <c r="R1726">
        <v>35</v>
      </c>
      <c r="S1726">
        <v>189</v>
      </c>
      <c r="T1726">
        <v>17</v>
      </c>
      <c r="U1726">
        <v>16</v>
      </c>
      <c r="V1726">
        <v>12</v>
      </c>
      <c r="W1726">
        <v>2</v>
      </c>
      <c r="X1726">
        <v>4</v>
      </c>
      <c r="Y1726">
        <v>113</v>
      </c>
      <c r="Z1726">
        <v>7</v>
      </c>
      <c r="AA1726">
        <v>1</v>
      </c>
      <c r="AB1726">
        <v>5</v>
      </c>
      <c r="AC1726">
        <v>1</v>
      </c>
      <c r="AD1726">
        <v>1</v>
      </c>
      <c r="AE1726">
        <v>0</v>
      </c>
      <c r="AF1726">
        <v>0</v>
      </c>
      <c r="AG1726">
        <v>0</v>
      </c>
      <c r="AH1726">
        <v>2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T1726">
        <v>0</v>
      </c>
      <c r="AU1726">
        <v>20</v>
      </c>
      <c r="AV1726">
        <v>439</v>
      </c>
      <c r="AW1726">
        <v>439</v>
      </c>
      <c r="AX1726">
        <v>646</v>
      </c>
      <c r="BA1726">
        <v>1</v>
      </c>
      <c r="BC1726" t="s">
        <v>3549</v>
      </c>
      <c r="BD1726" s="4">
        <v>43283.315972222219</v>
      </c>
      <c r="BE1726" s="4">
        <v>43283.339571759258</v>
      </c>
      <c r="BF1726" s="4">
        <v>43283.339571759258</v>
      </c>
      <c r="BG1726" t="s">
        <v>83</v>
      </c>
      <c r="BH1726" t="s">
        <v>84</v>
      </c>
      <c r="BI1726" t="s">
        <v>85</v>
      </c>
    </row>
    <row r="1727" spans="1:61" x14ac:dyDescent="0.3">
      <c r="A1727" t="str">
        <f>"202159B0100"</f>
        <v>202159B0100</v>
      </c>
      <c r="B1727" t="s">
        <v>3550</v>
      </c>
      <c r="C1727">
        <v>20</v>
      </c>
      <c r="D1727" t="s">
        <v>79</v>
      </c>
      <c r="E1727">
        <v>8</v>
      </c>
      <c r="F1727" t="s">
        <v>3266</v>
      </c>
      <c r="G1727">
        <v>2159</v>
      </c>
      <c r="H1727">
        <v>1</v>
      </c>
      <c r="I1727" t="s">
        <v>81</v>
      </c>
      <c r="J1727">
        <v>0</v>
      </c>
      <c r="K1727">
        <v>2</v>
      </c>
      <c r="L1727">
        <v>2</v>
      </c>
      <c r="M1727">
        <v>98</v>
      </c>
      <c r="N1727">
        <v>178</v>
      </c>
      <c r="O1727">
        <v>2</v>
      </c>
      <c r="P1727">
        <v>178</v>
      </c>
      <c r="Q1727">
        <v>2</v>
      </c>
      <c r="R1727">
        <v>3</v>
      </c>
      <c r="S1727">
        <v>122</v>
      </c>
      <c r="T1727">
        <v>2</v>
      </c>
      <c r="U1727">
        <v>6</v>
      </c>
      <c r="V1727">
        <v>3</v>
      </c>
      <c r="W1727">
        <v>2</v>
      </c>
      <c r="X1727">
        <v>0</v>
      </c>
      <c r="Y1727">
        <v>18</v>
      </c>
      <c r="Z1727">
        <v>2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1</v>
      </c>
      <c r="AM1727">
        <v>0</v>
      </c>
      <c r="AN1727">
        <v>0</v>
      </c>
      <c r="AT1727">
        <v>0</v>
      </c>
      <c r="AU1727">
        <v>17</v>
      </c>
      <c r="AV1727">
        <v>178</v>
      </c>
      <c r="AW1727">
        <v>178</v>
      </c>
      <c r="AX1727">
        <v>254</v>
      </c>
      <c r="BA1727">
        <v>1</v>
      </c>
      <c r="BC1727" t="s">
        <v>3551</v>
      </c>
      <c r="BD1727" s="4">
        <v>43283.490277777775</v>
      </c>
      <c r="BE1727" s="4">
        <v>43283.495034722226</v>
      </c>
      <c r="BF1727" s="4">
        <v>43283.495034722226</v>
      </c>
      <c r="BG1727" t="s">
        <v>83</v>
      </c>
      <c r="BH1727" t="s">
        <v>84</v>
      </c>
      <c r="BI1727" t="s">
        <v>85</v>
      </c>
    </row>
    <row r="1728" spans="1:61" x14ac:dyDescent="0.3">
      <c r="A1728" t="str">
        <f>"202159E0100"</f>
        <v>202159E0100</v>
      </c>
      <c r="B1728" s="2" t="s">
        <v>3552</v>
      </c>
      <c r="C1728">
        <v>20</v>
      </c>
      <c r="D1728" t="s">
        <v>79</v>
      </c>
      <c r="E1728">
        <v>8</v>
      </c>
      <c r="F1728" t="s">
        <v>3266</v>
      </c>
      <c r="G1728">
        <v>2159</v>
      </c>
      <c r="H1728">
        <v>1</v>
      </c>
      <c r="I1728" t="s">
        <v>145</v>
      </c>
      <c r="J1728">
        <v>0</v>
      </c>
      <c r="K1728">
        <v>2</v>
      </c>
      <c r="L1728">
        <v>2</v>
      </c>
      <c r="M1728">
        <v>121</v>
      </c>
      <c r="N1728">
        <v>150</v>
      </c>
      <c r="O1728">
        <v>3</v>
      </c>
      <c r="P1728">
        <v>150</v>
      </c>
      <c r="Q1728">
        <v>8</v>
      </c>
      <c r="R1728">
        <v>9</v>
      </c>
      <c r="S1728">
        <v>135</v>
      </c>
      <c r="T1728">
        <v>4</v>
      </c>
      <c r="U1728">
        <v>9</v>
      </c>
      <c r="V1728">
        <v>4</v>
      </c>
      <c r="W1728">
        <v>5</v>
      </c>
      <c r="X1728">
        <v>1</v>
      </c>
      <c r="Y1728">
        <v>55</v>
      </c>
      <c r="Z1728">
        <v>1</v>
      </c>
      <c r="AA1728">
        <v>1</v>
      </c>
      <c r="AB1728">
        <v>1</v>
      </c>
      <c r="AC1728">
        <v>0</v>
      </c>
      <c r="AD1728">
        <v>1</v>
      </c>
      <c r="AE1728">
        <v>0</v>
      </c>
      <c r="AF1728">
        <v>1</v>
      </c>
      <c r="AG1728">
        <v>0</v>
      </c>
      <c r="AH1728">
        <v>1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1</v>
      </c>
      <c r="AT1728">
        <v>0</v>
      </c>
      <c r="AU1728">
        <v>13</v>
      </c>
      <c r="AV1728">
        <v>250</v>
      </c>
      <c r="AW1728">
        <v>250</v>
      </c>
      <c r="AX1728">
        <v>350</v>
      </c>
      <c r="BA1728">
        <v>1</v>
      </c>
      <c r="BC1728" t="s">
        <v>3553</v>
      </c>
      <c r="BD1728" s="4">
        <v>43283.490972222222</v>
      </c>
      <c r="BE1728" s="4">
        <v>43283.497615740744</v>
      </c>
      <c r="BF1728" s="4">
        <v>43283.497615740744</v>
      </c>
      <c r="BG1728" t="s">
        <v>83</v>
      </c>
      <c r="BH1728" t="s">
        <v>84</v>
      </c>
      <c r="BI1728" t="s">
        <v>85</v>
      </c>
    </row>
    <row r="1729" spans="1:61" x14ac:dyDescent="0.3">
      <c r="A1729" t="str">
        <f>"202160B0100"</f>
        <v>202160B0100</v>
      </c>
      <c r="B1729" t="s">
        <v>3554</v>
      </c>
      <c r="C1729">
        <v>20</v>
      </c>
      <c r="D1729" t="s">
        <v>79</v>
      </c>
      <c r="E1729">
        <v>8</v>
      </c>
      <c r="F1729" t="s">
        <v>3266</v>
      </c>
      <c r="G1729">
        <v>2160</v>
      </c>
      <c r="H1729">
        <v>1</v>
      </c>
      <c r="I1729" t="s">
        <v>81</v>
      </c>
      <c r="J1729">
        <v>0</v>
      </c>
      <c r="K1729">
        <v>2</v>
      </c>
      <c r="L1729">
        <v>2</v>
      </c>
      <c r="M1729">
        <v>254</v>
      </c>
      <c r="N1729">
        <v>354</v>
      </c>
      <c r="O1729">
        <v>7</v>
      </c>
      <c r="P1729" t="s">
        <v>100</v>
      </c>
      <c r="Q1729">
        <v>10</v>
      </c>
      <c r="R1729">
        <v>18</v>
      </c>
      <c r="S1729">
        <v>149</v>
      </c>
      <c r="T1729">
        <v>9</v>
      </c>
      <c r="U1729">
        <v>9</v>
      </c>
      <c r="V1729">
        <v>11</v>
      </c>
      <c r="W1729">
        <v>1</v>
      </c>
      <c r="X1729">
        <v>5</v>
      </c>
      <c r="Y1729">
        <v>76</v>
      </c>
      <c r="Z1729">
        <v>11</v>
      </c>
      <c r="AA1729">
        <v>2</v>
      </c>
      <c r="AB1729">
        <v>0</v>
      </c>
      <c r="AC1729">
        <v>2</v>
      </c>
      <c r="AD1729">
        <v>1</v>
      </c>
      <c r="AE1729">
        <v>0</v>
      </c>
      <c r="AF1729">
        <v>1</v>
      </c>
      <c r="AG1729">
        <v>0</v>
      </c>
      <c r="AH1729">
        <v>2</v>
      </c>
      <c r="AI1729">
        <v>0</v>
      </c>
      <c r="AJ1729">
        <v>0</v>
      </c>
      <c r="AK1729">
        <v>11</v>
      </c>
      <c r="AL1729">
        <v>1</v>
      </c>
      <c r="AM1729">
        <v>0</v>
      </c>
      <c r="AN1729">
        <v>3</v>
      </c>
      <c r="AT1729">
        <v>0</v>
      </c>
      <c r="AU1729">
        <v>32</v>
      </c>
      <c r="AV1729">
        <v>354</v>
      </c>
      <c r="AW1729">
        <v>354</v>
      </c>
      <c r="AX1729">
        <v>586</v>
      </c>
      <c r="BA1729">
        <v>1</v>
      </c>
      <c r="BC1729" t="s">
        <v>3555</v>
      </c>
      <c r="BD1729" s="4">
        <v>43283.306944444441</v>
      </c>
      <c r="BE1729" s="4">
        <v>43283.332337962966</v>
      </c>
      <c r="BF1729" s="4">
        <v>43283.332337962966</v>
      </c>
      <c r="BG1729" t="s">
        <v>83</v>
      </c>
      <c r="BH1729" t="s">
        <v>84</v>
      </c>
      <c r="BI1729" t="s">
        <v>85</v>
      </c>
    </row>
    <row r="1730" spans="1:61" x14ac:dyDescent="0.3">
      <c r="A1730" t="str">
        <f>"202160E0100"</f>
        <v>202160E0100</v>
      </c>
      <c r="B1730" s="2" t="s">
        <v>3556</v>
      </c>
      <c r="C1730">
        <v>20</v>
      </c>
      <c r="D1730" t="s">
        <v>79</v>
      </c>
      <c r="E1730">
        <v>8</v>
      </c>
      <c r="F1730" t="s">
        <v>3266</v>
      </c>
      <c r="G1730">
        <v>2160</v>
      </c>
      <c r="H1730">
        <v>1</v>
      </c>
      <c r="I1730" t="s">
        <v>145</v>
      </c>
      <c r="J1730">
        <v>0</v>
      </c>
      <c r="K1730">
        <v>2</v>
      </c>
      <c r="L1730">
        <v>2</v>
      </c>
      <c r="M1730">
        <v>120</v>
      </c>
      <c r="N1730">
        <v>203</v>
      </c>
      <c r="O1730">
        <v>5</v>
      </c>
      <c r="P1730">
        <v>203</v>
      </c>
      <c r="Q1730">
        <v>11</v>
      </c>
      <c r="R1730">
        <v>21</v>
      </c>
      <c r="S1730">
        <v>115</v>
      </c>
      <c r="T1730">
        <v>8</v>
      </c>
      <c r="U1730">
        <v>8</v>
      </c>
      <c r="V1730">
        <v>0</v>
      </c>
      <c r="W1730">
        <v>0</v>
      </c>
      <c r="X1730">
        <v>4</v>
      </c>
      <c r="Y1730">
        <v>18</v>
      </c>
      <c r="Z1730">
        <v>4</v>
      </c>
      <c r="AA1730">
        <v>3</v>
      </c>
      <c r="AB1730">
        <v>3</v>
      </c>
      <c r="AC1730">
        <v>0</v>
      </c>
      <c r="AD1730">
        <v>2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T1730">
        <v>0</v>
      </c>
      <c r="AU1730">
        <v>5</v>
      </c>
      <c r="AV1730">
        <v>203</v>
      </c>
      <c r="AW1730">
        <v>202</v>
      </c>
      <c r="AX1730">
        <v>301</v>
      </c>
      <c r="BA1730">
        <v>1</v>
      </c>
      <c r="BC1730" t="s">
        <v>3557</v>
      </c>
      <c r="BD1730" s="4">
        <v>43283.307638888888</v>
      </c>
      <c r="BE1730" s="4">
        <v>43283.331365740742</v>
      </c>
      <c r="BF1730" s="4">
        <v>43283.331365740742</v>
      </c>
      <c r="BG1730" t="s">
        <v>83</v>
      </c>
      <c r="BH1730" t="s">
        <v>84</v>
      </c>
      <c r="BI1730" t="s">
        <v>85</v>
      </c>
    </row>
    <row r="1731" spans="1:61" x14ac:dyDescent="0.3">
      <c r="A1731" t="str">
        <f>"202161B0100"</f>
        <v>202161B0100</v>
      </c>
      <c r="B1731" t="s">
        <v>3558</v>
      </c>
      <c r="C1731">
        <v>20</v>
      </c>
      <c r="D1731" t="s">
        <v>79</v>
      </c>
      <c r="E1731">
        <v>8</v>
      </c>
      <c r="F1731" t="s">
        <v>3266</v>
      </c>
      <c r="G1731">
        <v>2161</v>
      </c>
      <c r="H1731">
        <v>1</v>
      </c>
      <c r="I1731" t="s">
        <v>81</v>
      </c>
      <c r="J1731">
        <v>0</v>
      </c>
      <c r="K1731">
        <v>2</v>
      </c>
      <c r="L1731">
        <v>2</v>
      </c>
      <c r="M1731">
        <v>132</v>
      </c>
      <c r="N1731">
        <v>187</v>
      </c>
      <c r="O1731">
        <v>4</v>
      </c>
      <c r="P1731">
        <v>187</v>
      </c>
      <c r="Q1731">
        <v>11</v>
      </c>
      <c r="R1731">
        <v>4</v>
      </c>
      <c r="S1731">
        <v>74</v>
      </c>
      <c r="T1731">
        <v>3</v>
      </c>
      <c r="U1731">
        <v>9</v>
      </c>
      <c r="V1731">
        <v>15</v>
      </c>
      <c r="W1731">
        <v>2</v>
      </c>
      <c r="X1731">
        <v>0</v>
      </c>
      <c r="Y1731">
        <v>47</v>
      </c>
      <c r="Z1731">
        <v>8</v>
      </c>
      <c r="AA1731">
        <v>2</v>
      </c>
      <c r="AB1731">
        <v>1</v>
      </c>
      <c r="AC1731">
        <v>1</v>
      </c>
      <c r="AD1731">
        <v>0</v>
      </c>
      <c r="AE1731">
        <v>0</v>
      </c>
      <c r="AF1731">
        <v>1</v>
      </c>
      <c r="AG1731">
        <v>1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1</v>
      </c>
      <c r="AT1731">
        <v>0</v>
      </c>
      <c r="AU1731">
        <v>7</v>
      </c>
      <c r="AV1731">
        <v>187</v>
      </c>
      <c r="AW1731">
        <v>187</v>
      </c>
      <c r="AX1731">
        <v>297</v>
      </c>
      <c r="BA1731">
        <v>1</v>
      </c>
      <c r="BC1731" t="s">
        <v>3559</v>
      </c>
      <c r="BD1731" s="4">
        <v>43283.309027777781</v>
      </c>
      <c r="BE1731" s="4">
        <v>43283.335358796299</v>
      </c>
      <c r="BF1731" s="4">
        <v>43283.335358796299</v>
      </c>
      <c r="BG1731" t="s">
        <v>83</v>
      </c>
      <c r="BH1731" t="s">
        <v>84</v>
      </c>
      <c r="BI1731" t="s">
        <v>85</v>
      </c>
    </row>
    <row r="1732" spans="1:61" x14ac:dyDescent="0.3">
      <c r="A1732" t="str">
        <f>"202162B0100"</f>
        <v>202162B0100</v>
      </c>
      <c r="B1732" t="s">
        <v>3560</v>
      </c>
      <c r="C1732">
        <v>20</v>
      </c>
      <c r="D1732" t="s">
        <v>79</v>
      </c>
      <c r="E1732">
        <v>8</v>
      </c>
      <c r="F1732" t="s">
        <v>3266</v>
      </c>
      <c r="G1732">
        <v>2162</v>
      </c>
      <c r="H1732">
        <v>1</v>
      </c>
      <c r="I1732" t="s">
        <v>81</v>
      </c>
      <c r="J1732">
        <v>0</v>
      </c>
      <c r="K1732">
        <v>2</v>
      </c>
      <c r="L1732">
        <v>2</v>
      </c>
      <c r="M1732">
        <v>283</v>
      </c>
      <c r="N1732">
        <v>417</v>
      </c>
      <c r="O1732">
        <v>3</v>
      </c>
      <c r="P1732">
        <v>418</v>
      </c>
      <c r="Q1732">
        <v>19</v>
      </c>
      <c r="R1732">
        <v>17</v>
      </c>
      <c r="S1732">
        <v>187</v>
      </c>
      <c r="T1732">
        <v>4</v>
      </c>
      <c r="U1732">
        <v>21</v>
      </c>
      <c r="V1732">
        <v>9</v>
      </c>
      <c r="W1732">
        <v>6</v>
      </c>
      <c r="X1732">
        <v>91</v>
      </c>
      <c r="Y1732">
        <v>5</v>
      </c>
      <c r="Z1732">
        <v>0</v>
      </c>
      <c r="AA1732">
        <v>0</v>
      </c>
      <c r="AB1732">
        <v>3</v>
      </c>
      <c r="AC1732">
        <v>2</v>
      </c>
      <c r="AD1732">
        <v>2</v>
      </c>
      <c r="AE1732">
        <v>0</v>
      </c>
      <c r="AF1732">
        <v>2</v>
      </c>
      <c r="AG1732">
        <v>0</v>
      </c>
      <c r="AH1732">
        <v>0</v>
      </c>
      <c r="AI1732">
        <v>0</v>
      </c>
      <c r="AJ1732">
        <v>3</v>
      </c>
      <c r="AK1732">
        <v>1</v>
      </c>
      <c r="AL1732">
        <v>1</v>
      </c>
      <c r="AM1732">
        <v>0</v>
      </c>
      <c r="AN1732">
        <v>1</v>
      </c>
      <c r="AT1732">
        <v>0</v>
      </c>
      <c r="AU1732">
        <v>36</v>
      </c>
      <c r="AV1732">
        <v>418</v>
      </c>
      <c r="AW1732">
        <v>410</v>
      </c>
      <c r="AX1732">
        <v>679</v>
      </c>
      <c r="BA1732">
        <v>1</v>
      </c>
      <c r="BC1732" t="s">
        <v>3561</v>
      </c>
      <c r="BD1732" s="4">
        <v>43283.314583333333</v>
      </c>
      <c r="BE1732" s="4">
        <v>43283.339965277781</v>
      </c>
      <c r="BF1732" s="4">
        <v>43283.339965277781</v>
      </c>
      <c r="BG1732" t="s">
        <v>83</v>
      </c>
      <c r="BH1732" t="s">
        <v>84</v>
      </c>
      <c r="BI1732" t="s">
        <v>85</v>
      </c>
    </row>
    <row r="1733" spans="1:61" x14ac:dyDescent="0.3">
      <c r="A1733" t="str">
        <f>"202162E0100"</f>
        <v>202162E0100</v>
      </c>
      <c r="B1733" s="2" t="s">
        <v>3562</v>
      </c>
      <c r="C1733">
        <v>20</v>
      </c>
      <c r="D1733" t="s">
        <v>79</v>
      </c>
      <c r="E1733">
        <v>8</v>
      </c>
      <c r="F1733" t="s">
        <v>3266</v>
      </c>
      <c r="G1733">
        <v>2162</v>
      </c>
      <c r="H1733">
        <v>1</v>
      </c>
      <c r="I1733" t="s">
        <v>145</v>
      </c>
      <c r="J1733">
        <v>0</v>
      </c>
      <c r="K1733">
        <v>2</v>
      </c>
      <c r="L1733">
        <v>2</v>
      </c>
      <c r="M1733">
        <v>56</v>
      </c>
      <c r="N1733">
        <v>134</v>
      </c>
      <c r="O1733">
        <v>3</v>
      </c>
      <c r="P1733">
        <v>134</v>
      </c>
      <c r="Q1733">
        <v>7</v>
      </c>
      <c r="R1733">
        <v>11</v>
      </c>
      <c r="S1733">
        <v>37</v>
      </c>
      <c r="T1733">
        <v>7</v>
      </c>
      <c r="U1733">
        <v>9</v>
      </c>
      <c r="V1733">
        <v>5</v>
      </c>
      <c r="W1733">
        <v>3</v>
      </c>
      <c r="X1733">
        <v>3</v>
      </c>
      <c r="Y1733">
        <v>38</v>
      </c>
      <c r="Z1733">
        <v>3</v>
      </c>
      <c r="AA1733">
        <v>0</v>
      </c>
      <c r="AB1733">
        <v>0</v>
      </c>
      <c r="AC1733">
        <v>0</v>
      </c>
      <c r="AD1733">
        <v>1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T1733">
        <v>0</v>
      </c>
      <c r="AU1733">
        <v>10</v>
      </c>
      <c r="AV1733">
        <v>34</v>
      </c>
      <c r="AW1733">
        <v>134</v>
      </c>
      <c r="AX1733">
        <v>168</v>
      </c>
      <c r="BA1733">
        <v>1</v>
      </c>
      <c r="BC1733" t="s">
        <v>3563</v>
      </c>
      <c r="BD1733" s="4">
        <v>43283.314583333333</v>
      </c>
      <c r="BE1733" s="4">
        <v>43283.338587962964</v>
      </c>
      <c r="BF1733" s="4">
        <v>43283.338587962964</v>
      </c>
      <c r="BG1733" t="s">
        <v>83</v>
      </c>
      <c r="BH1733" t="s">
        <v>84</v>
      </c>
      <c r="BI1733" t="s">
        <v>85</v>
      </c>
    </row>
    <row r="1734" spans="1:61" x14ac:dyDescent="0.3">
      <c r="A1734" t="str">
        <f>"202163B0100"</f>
        <v>202163B0100</v>
      </c>
      <c r="B1734" t="s">
        <v>3564</v>
      </c>
      <c r="C1734">
        <v>20</v>
      </c>
      <c r="D1734" t="s">
        <v>79</v>
      </c>
      <c r="E1734">
        <v>8</v>
      </c>
      <c r="F1734" t="s">
        <v>3266</v>
      </c>
      <c r="G1734">
        <v>2163</v>
      </c>
      <c r="H1734">
        <v>1</v>
      </c>
      <c r="I1734" t="s">
        <v>81</v>
      </c>
      <c r="J1734">
        <v>0</v>
      </c>
      <c r="K1734">
        <v>2</v>
      </c>
      <c r="L1734">
        <v>2</v>
      </c>
      <c r="M1734">
        <v>264</v>
      </c>
      <c r="N1734">
        <v>375</v>
      </c>
      <c r="O1734">
        <v>3</v>
      </c>
      <c r="P1734">
        <v>375</v>
      </c>
      <c r="Q1734">
        <v>6</v>
      </c>
      <c r="R1734">
        <v>23</v>
      </c>
      <c r="S1734">
        <v>40</v>
      </c>
      <c r="T1734">
        <v>5</v>
      </c>
      <c r="U1734">
        <v>21</v>
      </c>
      <c r="V1734">
        <v>10</v>
      </c>
      <c r="W1734">
        <v>3</v>
      </c>
      <c r="X1734">
        <v>7</v>
      </c>
      <c r="Y1734">
        <v>218</v>
      </c>
      <c r="Z1734">
        <v>8</v>
      </c>
      <c r="AA1734">
        <v>2</v>
      </c>
      <c r="AB1734">
        <v>1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1</v>
      </c>
      <c r="AI1734">
        <v>1</v>
      </c>
      <c r="AJ1734">
        <v>0</v>
      </c>
      <c r="AK1734">
        <v>6</v>
      </c>
      <c r="AL1734">
        <v>2</v>
      </c>
      <c r="AM1734">
        <v>1</v>
      </c>
      <c r="AN1734">
        <v>3</v>
      </c>
      <c r="AT1734">
        <v>0</v>
      </c>
      <c r="AU1734">
        <v>17</v>
      </c>
      <c r="AV1734">
        <v>375</v>
      </c>
      <c r="AW1734">
        <v>375</v>
      </c>
      <c r="AX1734">
        <v>617</v>
      </c>
      <c r="BA1734">
        <v>1</v>
      </c>
      <c r="BC1734" t="s">
        <v>3565</v>
      </c>
      <c r="BD1734" s="4">
        <v>43283.311111111114</v>
      </c>
      <c r="BE1734" s="4">
        <v>43283.338263888887</v>
      </c>
      <c r="BF1734" s="4">
        <v>43283.338263888887</v>
      </c>
      <c r="BG1734" t="s">
        <v>83</v>
      </c>
      <c r="BH1734" t="s">
        <v>84</v>
      </c>
      <c r="BI1734" t="s">
        <v>85</v>
      </c>
    </row>
    <row r="1735" spans="1:61" x14ac:dyDescent="0.3">
      <c r="A1735" t="str">
        <f>"202164B0100"</f>
        <v>202164B0100</v>
      </c>
      <c r="B1735" t="s">
        <v>3566</v>
      </c>
      <c r="C1735">
        <v>20</v>
      </c>
      <c r="D1735" t="s">
        <v>79</v>
      </c>
      <c r="E1735">
        <v>8</v>
      </c>
      <c r="F1735" t="s">
        <v>3266</v>
      </c>
      <c r="G1735">
        <v>2164</v>
      </c>
      <c r="H1735">
        <v>1</v>
      </c>
      <c r="I1735" t="s">
        <v>81</v>
      </c>
      <c r="J1735">
        <v>0</v>
      </c>
      <c r="K1735">
        <v>2</v>
      </c>
      <c r="L1735">
        <v>2</v>
      </c>
      <c r="M1735">
        <v>202</v>
      </c>
      <c r="N1735">
        <v>373</v>
      </c>
      <c r="O1735">
        <v>0</v>
      </c>
      <c r="P1735">
        <v>373</v>
      </c>
      <c r="Q1735">
        <v>22</v>
      </c>
      <c r="R1735">
        <v>42</v>
      </c>
      <c r="S1735">
        <v>181</v>
      </c>
      <c r="T1735">
        <v>5</v>
      </c>
      <c r="U1735">
        <v>11</v>
      </c>
      <c r="V1735">
        <v>7</v>
      </c>
      <c r="W1735">
        <v>2</v>
      </c>
      <c r="X1735">
        <v>2</v>
      </c>
      <c r="Y1735">
        <v>49</v>
      </c>
      <c r="Z1735">
        <v>0</v>
      </c>
      <c r="AA1735">
        <v>2</v>
      </c>
      <c r="AB1735">
        <v>1</v>
      </c>
      <c r="AC1735">
        <v>1</v>
      </c>
      <c r="AD1735">
        <v>0</v>
      </c>
      <c r="AE1735">
        <v>0</v>
      </c>
      <c r="AF1735">
        <v>2</v>
      </c>
      <c r="AG1735">
        <v>0</v>
      </c>
      <c r="AH1735">
        <v>4</v>
      </c>
      <c r="AI1735">
        <v>1</v>
      </c>
      <c r="AJ1735">
        <v>0</v>
      </c>
      <c r="AK1735">
        <v>0</v>
      </c>
      <c r="AL1735">
        <v>0</v>
      </c>
      <c r="AM1735">
        <v>0</v>
      </c>
      <c r="AN1735">
        <v>1</v>
      </c>
      <c r="AT1735">
        <v>0</v>
      </c>
      <c r="AU1735">
        <v>40</v>
      </c>
      <c r="AV1735">
        <v>373</v>
      </c>
      <c r="AW1735">
        <v>373</v>
      </c>
      <c r="AX1735">
        <v>553</v>
      </c>
      <c r="BA1735">
        <v>1</v>
      </c>
      <c r="BC1735" t="s">
        <v>3567</v>
      </c>
      <c r="BD1735" s="4">
        <v>43283.308333333334</v>
      </c>
      <c r="BE1735" s="4">
        <v>43283.33258101852</v>
      </c>
      <c r="BF1735" s="4">
        <v>43283.33258101852</v>
      </c>
      <c r="BG1735" t="s">
        <v>83</v>
      </c>
      <c r="BH1735" t="s">
        <v>84</v>
      </c>
      <c r="BI1735" t="s">
        <v>85</v>
      </c>
    </row>
    <row r="1736" spans="1:61" x14ac:dyDescent="0.3">
      <c r="A1736" t="str">
        <f>"202164E0100"</f>
        <v>202164E0100</v>
      </c>
      <c r="B1736" s="2" t="s">
        <v>3568</v>
      </c>
      <c r="C1736">
        <v>20</v>
      </c>
      <c r="D1736" t="s">
        <v>79</v>
      </c>
      <c r="E1736">
        <v>8</v>
      </c>
      <c r="F1736" t="s">
        <v>3266</v>
      </c>
      <c r="G1736">
        <v>2164</v>
      </c>
      <c r="H1736">
        <v>1</v>
      </c>
      <c r="I1736" t="s">
        <v>145</v>
      </c>
      <c r="J1736">
        <v>0</v>
      </c>
      <c r="K1736">
        <v>2</v>
      </c>
      <c r="L1736">
        <v>2</v>
      </c>
      <c r="M1736">
        <v>100</v>
      </c>
      <c r="N1736">
        <v>188</v>
      </c>
      <c r="O1736">
        <v>5</v>
      </c>
      <c r="P1736">
        <v>188</v>
      </c>
      <c r="Q1736">
        <v>9</v>
      </c>
      <c r="R1736">
        <v>6</v>
      </c>
      <c r="S1736">
        <v>76</v>
      </c>
      <c r="T1736">
        <v>6</v>
      </c>
      <c r="U1736">
        <v>7</v>
      </c>
      <c r="V1736">
        <v>7</v>
      </c>
      <c r="W1736">
        <v>2</v>
      </c>
      <c r="X1736">
        <v>4</v>
      </c>
      <c r="Y1736">
        <v>48</v>
      </c>
      <c r="Z1736">
        <v>2</v>
      </c>
      <c r="AA1736">
        <v>0</v>
      </c>
      <c r="AB1736">
        <v>2</v>
      </c>
      <c r="AC1736">
        <v>1</v>
      </c>
      <c r="AD1736">
        <v>0</v>
      </c>
      <c r="AE1736">
        <v>0</v>
      </c>
      <c r="AF1736">
        <v>1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1</v>
      </c>
      <c r="AM1736">
        <v>0</v>
      </c>
      <c r="AN1736">
        <v>0</v>
      </c>
      <c r="AT1736">
        <v>0</v>
      </c>
      <c r="AU1736">
        <v>16</v>
      </c>
      <c r="AV1736">
        <v>188</v>
      </c>
      <c r="AW1736">
        <v>188</v>
      </c>
      <c r="AX1736">
        <v>266</v>
      </c>
      <c r="BA1736">
        <v>1</v>
      </c>
      <c r="BC1736" t="s">
        <v>3569</v>
      </c>
      <c r="BD1736" s="4">
        <v>43283.313888888886</v>
      </c>
      <c r="BE1736" s="4">
        <v>43283.337858796294</v>
      </c>
      <c r="BF1736" s="4">
        <v>43283.337858796294</v>
      </c>
      <c r="BG1736" t="s">
        <v>83</v>
      </c>
      <c r="BH1736" t="s">
        <v>84</v>
      </c>
      <c r="BI1736" t="s">
        <v>85</v>
      </c>
    </row>
    <row r="1737" spans="1:61" x14ac:dyDescent="0.3">
      <c r="A1737" t="str">
        <f>"202164E0200"</f>
        <v>202164E0200</v>
      </c>
      <c r="B1737" s="2" t="s">
        <v>3570</v>
      </c>
      <c r="C1737">
        <v>20</v>
      </c>
      <c r="D1737" t="s">
        <v>79</v>
      </c>
      <c r="E1737">
        <v>8</v>
      </c>
      <c r="F1737" t="s">
        <v>3266</v>
      </c>
      <c r="G1737">
        <v>2164</v>
      </c>
      <c r="H1737">
        <v>2</v>
      </c>
      <c r="I1737" t="s">
        <v>145</v>
      </c>
      <c r="J1737">
        <v>0</v>
      </c>
      <c r="K1737">
        <v>2</v>
      </c>
      <c r="L1737">
        <v>2</v>
      </c>
      <c r="M1737">
        <v>90</v>
      </c>
      <c r="N1737">
        <v>134</v>
      </c>
      <c r="O1737">
        <v>5</v>
      </c>
      <c r="P1737">
        <v>134</v>
      </c>
      <c r="Q1737">
        <v>6</v>
      </c>
      <c r="R1737">
        <v>7</v>
      </c>
      <c r="S1737">
        <v>73</v>
      </c>
      <c r="T1737">
        <v>1</v>
      </c>
      <c r="U1737">
        <v>1</v>
      </c>
      <c r="V1737">
        <v>5</v>
      </c>
      <c r="W1737">
        <v>0</v>
      </c>
      <c r="X1737">
        <v>1</v>
      </c>
      <c r="Y1737">
        <v>24</v>
      </c>
      <c r="Z1737">
        <v>0</v>
      </c>
      <c r="AA1737">
        <v>0</v>
      </c>
      <c r="AB1737">
        <v>2</v>
      </c>
      <c r="AC1737">
        <v>0</v>
      </c>
      <c r="AD1737">
        <v>1</v>
      </c>
      <c r="AE1737">
        <v>0</v>
      </c>
      <c r="AF1737">
        <v>1</v>
      </c>
      <c r="AG1737">
        <v>0</v>
      </c>
      <c r="AH1737">
        <v>1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T1737">
        <v>0</v>
      </c>
      <c r="AU1737">
        <v>11</v>
      </c>
      <c r="AV1737">
        <v>134</v>
      </c>
      <c r="AW1737">
        <v>134</v>
      </c>
      <c r="AX1737">
        <v>203</v>
      </c>
      <c r="BA1737">
        <v>1</v>
      </c>
      <c r="BC1737" t="s">
        <v>3571</v>
      </c>
      <c r="BD1737" s="4">
        <v>43283.311805555553</v>
      </c>
      <c r="BE1737" s="4">
        <v>43283.335682870369</v>
      </c>
      <c r="BF1737" s="4">
        <v>43283.335682870369</v>
      </c>
      <c r="BG1737" t="s">
        <v>83</v>
      </c>
      <c r="BH1737" t="s">
        <v>84</v>
      </c>
      <c r="BI1737" t="s">
        <v>85</v>
      </c>
    </row>
    <row r="1738" spans="1:61" x14ac:dyDescent="0.3">
      <c r="A1738" t="str">
        <f>"202185B0100"</f>
        <v>202185B0100</v>
      </c>
      <c r="B1738" t="s">
        <v>3572</v>
      </c>
      <c r="C1738">
        <v>20</v>
      </c>
      <c r="D1738" t="s">
        <v>79</v>
      </c>
      <c r="E1738">
        <v>8</v>
      </c>
      <c r="F1738" t="s">
        <v>3266</v>
      </c>
      <c r="G1738">
        <v>2185</v>
      </c>
      <c r="H1738">
        <v>1</v>
      </c>
      <c r="I1738" t="s">
        <v>81</v>
      </c>
      <c r="J1738">
        <v>0</v>
      </c>
      <c r="K1738">
        <v>2</v>
      </c>
      <c r="L1738">
        <v>2</v>
      </c>
      <c r="M1738">
        <v>149</v>
      </c>
      <c r="N1738">
        <v>378</v>
      </c>
      <c r="O1738">
        <v>0</v>
      </c>
      <c r="P1738">
        <v>378</v>
      </c>
      <c r="Q1738">
        <v>6</v>
      </c>
      <c r="R1738">
        <v>158</v>
      </c>
      <c r="S1738">
        <v>70</v>
      </c>
      <c r="T1738">
        <v>7</v>
      </c>
      <c r="U1738">
        <v>5</v>
      </c>
      <c r="V1738">
        <v>3</v>
      </c>
      <c r="W1738">
        <v>3</v>
      </c>
      <c r="X1738">
        <v>2</v>
      </c>
      <c r="Y1738">
        <v>88</v>
      </c>
      <c r="Z1738">
        <v>16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3</v>
      </c>
      <c r="AH1738">
        <v>4</v>
      </c>
      <c r="AI1738">
        <v>0</v>
      </c>
      <c r="AJ1738">
        <v>0</v>
      </c>
      <c r="AK1738">
        <v>2</v>
      </c>
      <c r="AL1738">
        <v>0</v>
      </c>
      <c r="AM1738">
        <v>0</v>
      </c>
      <c r="AN1738">
        <v>0</v>
      </c>
      <c r="AT1738">
        <v>0</v>
      </c>
      <c r="AU1738">
        <v>11</v>
      </c>
      <c r="AV1738">
        <v>378</v>
      </c>
      <c r="AW1738">
        <v>378</v>
      </c>
      <c r="AX1738">
        <v>505</v>
      </c>
      <c r="BA1738">
        <v>1</v>
      </c>
      <c r="BC1738" t="s">
        <v>3573</v>
      </c>
      <c r="BD1738" s="4">
        <v>43283.313194444447</v>
      </c>
      <c r="BE1738" s="4">
        <v>43283.337326388886</v>
      </c>
      <c r="BF1738" s="4">
        <v>43283.337326388886</v>
      </c>
      <c r="BG1738" t="s">
        <v>83</v>
      </c>
      <c r="BH1738" t="s">
        <v>84</v>
      </c>
      <c r="BI1738" t="s">
        <v>85</v>
      </c>
    </row>
    <row r="1739" spans="1:61" x14ac:dyDescent="0.3">
      <c r="A1739" t="str">
        <f>"202262B0100"</f>
        <v>202262B0100</v>
      </c>
      <c r="B1739" t="s">
        <v>3574</v>
      </c>
      <c r="C1739">
        <v>20</v>
      </c>
      <c r="D1739" t="s">
        <v>79</v>
      </c>
      <c r="E1739">
        <v>8</v>
      </c>
      <c r="F1739" t="s">
        <v>3266</v>
      </c>
      <c r="G1739">
        <v>2262</v>
      </c>
      <c r="H1739">
        <v>1</v>
      </c>
      <c r="I1739" t="s">
        <v>81</v>
      </c>
      <c r="J1739">
        <v>0</v>
      </c>
      <c r="K1739">
        <v>2</v>
      </c>
      <c r="L1739">
        <v>2</v>
      </c>
      <c r="M1739">
        <v>293</v>
      </c>
      <c r="N1739">
        <v>425</v>
      </c>
      <c r="O1739">
        <v>2</v>
      </c>
      <c r="P1739">
        <v>425</v>
      </c>
      <c r="Q1739">
        <v>5</v>
      </c>
      <c r="R1739">
        <v>56</v>
      </c>
      <c r="S1739">
        <v>27</v>
      </c>
      <c r="T1739">
        <v>2</v>
      </c>
      <c r="U1739">
        <v>33</v>
      </c>
      <c r="V1739">
        <v>16</v>
      </c>
      <c r="W1739">
        <v>7</v>
      </c>
      <c r="X1739">
        <v>9</v>
      </c>
      <c r="Y1739">
        <v>228</v>
      </c>
      <c r="Z1739">
        <v>4</v>
      </c>
      <c r="AA1739">
        <v>2</v>
      </c>
      <c r="AB1739" t="s">
        <v>315</v>
      </c>
      <c r="AC1739">
        <v>0</v>
      </c>
      <c r="AD1739">
        <v>0</v>
      </c>
      <c r="AE1739">
        <v>0</v>
      </c>
      <c r="AF1739">
        <v>0</v>
      </c>
      <c r="AG1739">
        <v>2</v>
      </c>
      <c r="AH1739">
        <v>0</v>
      </c>
      <c r="AI1739">
        <v>0</v>
      </c>
      <c r="AJ1739">
        <v>0</v>
      </c>
      <c r="AK1739">
        <v>1</v>
      </c>
      <c r="AL1739">
        <v>4</v>
      </c>
      <c r="AM1739">
        <v>0</v>
      </c>
      <c r="AN1739">
        <v>1</v>
      </c>
      <c r="AT1739">
        <v>0</v>
      </c>
      <c r="AU1739">
        <v>28</v>
      </c>
      <c r="AV1739">
        <v>425</v>
      </c>
      <c r="AW1739">
        <v>425</v>
      </c>
      <c r="AX1739">
        <v>696</v>
      </c>
      <c r="AZ1739" t="s">
        <v>101</v>
      </c>
      <c r="BA1739">
        <v>1</v>
      </c>
      <c r="BC1739" t="s">
        <v>3575</v>
      </c>
      <c r="BD1739" s="4">
        <v>43283.335416666669</v>
      </c>
      <c r="BE1739" s="4">
        <v>43283.369745370372</v>
      </c>
      <c r="BF1739" s="4">
        <v>43283.369745370372</v>
      </c>
      <c r="BG1739" t="s">
        <v>83</v>
      </c>
      <c r="BH1739" t="s">
        <v>84</v>
      </c>
      <c r="BI1739" t="s">
        <v>85</v>
      </c>
    </row>
    <row r="1740" spans="1:61" x14ac:dyDescent="0.3">
      <c r="A1740" t="str">
        <f>"202262E0100"</f>
        <v>202262E0100</v>
      </c>
      <c r="B1740" s="2" t="s">
        <v>3576</v>
      </c>
      <c r="C1740">
        <v>20</v>
      </c>
      <c r="D1740" t="s">
        <v>79</v>
      </c>
      <c r="E1740">
        <v>8</v>
      </c>
      <c r="F1740" t="s">
        <v>3266</v>
      </c>
      <c r="G1740">
        <v>2262</v>
      </c>
      <c r="H1740">
        <v>1</v>
      </c>
      <c r="I1740" t="s">
        <v>145</v>
      </c>
      <c r="J1740">
        <v>0</v>
      </c>
      <c r="K1740">
        <v>2</v>
      </c>
      <c r="L1740">
        <v>2</v>
      </c>
      <c r="M1740">
        <v>216</v>
      </c>
      <c r="N1740">
        <v>404</v>
      </c>
      <c r="O1740">
        <v>8</v>
      </c>
      <c r="P1740">
        <v>404</v>
      </c>
      <c r="Q1740">
        <v>5</v>
      </c>
      <c r="R1740">
        <v>25</v>
      </c>
      <c r="S1740">
        <v>51</v>
      </c>
      <c r="T1740">
        <v>5</v>
      </c>
      <c r="U1740">
        <v>24</v>
      </c>
      <c r="V1740">
        <v>7</v>
      </c>
      <c r="W1740">
        <v>6</v>
      </c>
      <c r="X1740">
        <v>4</v>
      </c>
      <c r="Y1740">
        <v>220</v>
      </c>
      <c r="Z1740">
        <v>8</v>
      </c>
      <c r="AA1740">
        <v>5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7</v>
      </c>
      <c r="AI1740">
        <v>0</v>
      </c>
      <c r="AJ1740">
        <v>0</v>
      </c>
      <c r="AK1740">
        <v>1</v>
      </c>
      <c r="AL1740">
        <v>3</v>
      </c>
      <c r="AM1740">
        <v>0</v>
      </c>
      <c r="AN1740">
        <v>0</v>
      </c>
      <c r="AT1740">
        <v>0</v>
      </c>
      <c r="AU1740">
        <v>33</v>
      </c>
      <c r="AV1740">
        <v>404</v>
      </c>
      <c r="AW1740">
        <v>404</v>
      </c>
      <c r="AX1740">
        <v>598</v>
      </c>
      <c r="BA1740">
        <v>1</v>
      </c>
      <c r="BC1740" s="2" t="s">
        <v>3577</v>
      </c>
      <c r="BD1740" s="4">
        <v>43283.324999999997</v>
      </c>
      <c r="BE1740" s="4">
        <v>43283.346226851849</v>
      </c>
      <c r="BF1740" s="4">
        <v>43283.346226851849</v>
      </c>
      <c r="BG1740" t="s">
        <v>83</v>
      </c>
      <c r="BH1740" t="s">
        <v>84</v>
      </c>
      <c r="BI1740" t="s">
        <v>85</v>
      </c>
    </row>
    <row r="1741" spans="1:61" x14ac:dyDescent="0.3">
      <c r="A1741" t="str">
        <f>"202263B0100"</f>
        <v>202263B0100</v>
      </c>
      <c r="B1741" t="s">
        <v>3578</v>
      </c>
      <c r="C1741">
        <v>20</v>
      </c>
      <c r="D1741" t="s">
        <v>79</v>
      </c>
      <c r="E1741">
        <v>8</v>
      </c>
      <c r="F1741" t="s">
        <v>3266</v>
      </c>
      <c r="G1741">
        <v>2263</v>
      </c>
      <c r="H1741">
        <v>1</v>
      </c>
      <c r="I1741" t="s">
        <v>81</v>
      </c>
      <c r="J1741">
        <v>0</v>
      </c>
      <c r="K1741">
        <v>2</v>
      </c>
      <c r="L1741">
        <v>2</v>
      </c>
      <c r="M1741">
        <v>320</v>
      </c>
      <c r="N1741">
        <v>349</v>
      </c>
      <c r="O1741">
        <v>1</v>
      </c>
      <c r="P1741">
        <v>349</v>
      </c>
      <c r="Q1741">
        <v>4</v>
      </c>
      <c r="R1741">
        <v>21</v>
      </c>
      <c r="S1741">
        <v>38</v>
      </c>
      <c r="T1741">
        <v>5</v>
      </c>
      <c r="U1741">
        <v>28</v>
      </c>
      <c r="V1741">
        <v>9</v>
      </c>
      <c r="W1741">
        <v>2</v>
      </c>
      <c r="X1741">
        <v>2</v>
      </c>
      <c r="Y1741">
        <v>201</v>
      </c>
      <c r="Z1741">
        <v>6</v>
      </c>
      <c r="AA1741">
        <v>2</v>
      </c>
      <c r="AB1741">
        <v>2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4</v>
      </c>
      <c r="AL1741">
        <v>0</v>
      </c>
      <c r="AM1741">
        <v>1</v>
      </c>
      <c r="AN1741">
        <v>1</v>
      </c>
      <c r="AT1741">
        <v>8</v>
      </c>
      <c r="AU1741">
        <v>15</v>
      </c>
      <c r="AV1741">
        <v>349</v>
      </c>
      <c r="AW1741">
        <v>349</v>
      </c>
      <c r="AX1741">
        <v>647</v>
      </c>
      <c r="BA1741">
        <v>1</v>
      </c>
      <c r="BC1741" t="s">
        <v>3579</v>
      </c>
      <c r="BD1741" s="4">
        <v>43283.324305555558</v>
      </c>
      <c r="BE1741" s="4">
        <v>43283.344212962962</v>
      </c>
      <c r="BF1741" s="4">
        <v>43283.344212962962</v>
      </c>
      <c r="BG1741" t="s">
        <v>83</v>
      </c>
      <c r="BH1741" t="s">
        <v>84</v>
      </c>
      <c r="BI1741" t="s">
        <v>85</v>
      </c>
    </row>
    <row r="1742" spans="1:61" x14ac:dyDescent="0.3">
      <c r="A1742" t="str">
        <f>"202263E0100"</f>
        <v>202263E0100</v>
      </c>
      <c r="B1742" s="2" t="s">
        <v>3580</v>
      </c>
      <c r="C1742">
        <v>20</v>
      </c>
      <c r="D1742" t="s">
        <v>79</v>
      </c>
      <c r="E1742">
        <v>8</v>
      </c>
      <c r="F1742" t="s">
        <v>3266</v>
      </c>
      <c r="G1742">
        <v>2263</v>
      </c>
      <c r="H1742">
        <v>1</v>
      </c>
      <c r="I1742" t="s">
        <v>145</v>
      </c>
      <c r="J1742">
        <v>0</v>
      </c>
      <c r="K1742">
        <v>2</v>
      </c>
      <c r="L1742">
        <v>2</v>
      </c>
      <c r="M1742">
        <v>356</v>
      </c>
      <c r="N1742">
        <v>400</v>
      </c>
      <c r="O1742">
        <v>8</v>
      </c>
      <c r="P1742">
        <v>400</v>
      </c>
      <c r="Q1742">
        <v>3</v>
      </c>
      <c r="R1742">
        <v>41</v>
      </c>
      <c r="S1742">
        <v>24</v>
      </c>
      <c r="T1742">
        <v>8</v>
      </c>
      <c r="U1742">
        <v>58</v>
      </c>
      <c r="V1742">
        <v>4</v>
      </c>
      <c r="W1742">
        <v>22</v>
      </c>
      <c r="X1742">
        <v>4</v>
      </c>
      <c r="Y1742">
        <v>176</v>
      </c>
      <c r="Z1742">
        <v>10</v>
      </c>
      <c r="AA1742">
        <v>0</v>
      </c>
      <c r="AB1742">
        <v>2</v>
      </c>
      <c r="AC1742">
        <v>0</v>
      </c>
      <c r="AD1742">
        <v>0</v>
      </c>
      <c r="AE1742">
        <v>0</v>
      </c>
      <c r="AF1742">
        <v>1</v>
      </c>
      <c r="AG1742">
        <v>0</v>
      </c>
      <c r="AH1742">
        <v>0</v>
      </c>
      <c r="AI1742">
        <v>0</v>
      </c>
      <c r="AJ1742">
        <v>0</v>
      </c>
      <c r="AK1742">
        <v>7</v>
      </c>
      <c r="AL1742">
        <v>0</v>
      </c>
      <c r="AM1742">
        <v>2</v>
      </c>
      <c r="AN1742">
        <v>0</v>
      </c>
      <c r="AT1742">
        <v>35</v>
      </c>
      <c r="AU1742" t="s">
        <v>100</v>
      </c>
      <c r="AV1742">
        <v>400</v>
      </c>
      <c r="AW1742">
        <v>397</v>
      </c>
      <c r="AX1742">
        <v>734</v>
      </c>
      <c r="AZ1742" t="s">
        <v>101</v>
      </c>
      <c r="BA1742">
        <v>1</v>
      </c>
      <c r="BC1742" t="s">
        <v>3581</v>
      </c>
      <c r="BD1742" s="4">
        <v>43283.331250000003</v>
      </c>
      <c r="BE1742" s="4">
        <v>43283.368888888886</v>
      </c>
      <c r="BF1742" s="4">
        <v>43283.368888888886</v>
      </c>
      <c r="BG1742" t="s">
        <v>83</v>
      </c>
      <c r="BH1742" t="s">
        <v>84</v>
      </c>
      <c r="BI1742" t="s">
        <v>85</v>
      </c>
    </row>
    <row r="1743" spans="1:61" x14ac:dyDescent="0.3">
      <c r="A1743" t="str">
        <f>"202273B0100"</f>
        <v>202273B0100</v>
      </c>
      <c r="B1743" t="s">
        <v>3582</v>
      </c>
      <c r="C1743">
        <v>20</v>
      </c>
      <c r="D1743" t="s">
        <v>79</v>
      </c>
      <c r="E1743">
        <v>8</v>
      </c>
      <c r="F1743" t="s">
        <v>3266</v>
      </c>
      <c r="G1743">
        <v>2273</v>
      </c>
      <c r="H1743">
        <v>1</v>
      </c>
      <c r="I1743" t="s">
        <v>81</v>
      </c>
      <c r="J1743">
        <v>0</v>
      </c>
      <c r="K1743">
        <v>2</v>
      </c>
      <c r="L1743">
        <v>2</v>
      </c>
      <c r="M1743">
        <v>194</v>
      </c>
      <c r="N1743">
        <v>207</v>
      </c>
      <c r="O1743">
        <v>0</v>
      </c>
      <c r="P1743">
        <v>207</v>
      </c>
      <c r="Q1743">
        <v>4</v>
      </c>
      <c r="R1743">
        <v>5</v>
      </c>
      <c r="S1743">
        <v>9</v>
      </c>
      <c r="T1743">
        <v>1</v>
      </c>
      <c r="U1743">
        <v>10</v>
      </c>
      <c r="V1743">
        <v>1</v>
      </c>
      <c r="W1743">
        <v>0</v>
      </c>
      <c r="X1743">
        <v>2</v>
      </c>
      <c r="Y1743">
        <v>152</v>
      </c>
      <c r="Z1743">
        <v>4</v>
      </c>
      <c r="AA1743">
        <v>4</v>
      </c>
      <c r="AB1743">
        <v>4</v>
      </c>
      <c r="AC1743">
        <v>0</v>
      </c>
      <c r="AD1743">
        <v>0</v>
      </c>
      <c r="AE1743">
        <v>0</v>
      </c>
      <c r="AF1743">
        <v>0</v>
      </c>
      <c r="AG1743">
        <v>1</v>
      </c>
      <c r="AH1743">
        <v>0</v>
      </c>
      <c r="AI1743">
        <v>0</v>
      </c>
      <c r="AJ1743">
        <v>0</v>
      </c>
      <c r="AK1743">
        <v>2</v>
      </c>
      <c r="AL1743">
        <v>1</v>
      </c>
      <c r="AM1743">
        <v>0</v>
      </c>
      <c r="AN1743">
        <v>2</v>
      </c>
      <c r="AT1743">
        <v>0</v>
      </c>
      <c r="AU1743">
        <v>5</v>
      </c>
      <c r="AV1743">
        <v>207</v>
      </c>
      <c r="AW1743">
        <v>207</v>
      </c>
      <c r="AX1743">
        <v>379</v>
      </c>
      <c r="BA1743">
        <v>1</v>
      </c>
      <c r="BC1743" t="s">
        <v>3583</v>
      </c>
      <c r="BD1743" s="4">
        <v>43283.445138888892</v>
      </c>
      <c r="BE1743" s="4">
        <v>43283.451608796298</v>
      </c>
      <c r="BF1743" s="4">
        <v>43283.451608796298</v>
      </c>
      <c r="BG1743" t="s">
        <v>83</v>
      </c>
      <c r="BH1743" t="s">
        <v>84</v>
      </c>
      <c r="BI1743" t="s">
        <v>85</v>
      </c>
    </row>
    <row r="1744" spans="1:61" x14ac:dyDescent="0.3">
      <c r="A1744" t="str">
        <f>"202273C0100"</f>
        <v>202273C0100</v>
      </c>
      <c r="B1744" t="s">
        <v>3584</v>
      </c>
      <c r="C1744">
        <v>20</v>
      </c>
      <c r="D1744" t="s">
        <v>79</v>
      </c>
      <c r="E1744">
        <v>8</v>
      </c>
      <c r="F1744" t="s">
        <v>3266</v>
      </c>
      <c r="G1744">
        <v>2273</v>
      </c>
      <c r="H1744">
        <v>1</v>
      </c>
      <c r="I1744" t="s">
        <v>89</v>
      </c>
      <c r="J1744">
        <v>0</v>
      </c>
      <c r="K1744">
        <v>2</v>
      </c>
      <c r="L1744">
        <v>2</v>
      </c>
      <c r="M1744">
        <v>195</v>
      </c>
      <c r="N1744">
        <v>400</v>
      </c>
      <c r="O1744">
        <v>0</v>
      </c>
      <c r="P1744">
        <v>195</v>
      </c>
      <c r="Q1744">
        <v>1</v>
      </c>
      <c r="R1744">
        <v>4</v>
      </c>
      <c r="S1744">
        <v>5</v>
      </c>
      <c r="T1744">
        <v>0</v>
      </c>
      <c r="U1744">
        <v>13</v>
      </c>
      <c r="V1744">
        <v>2</v>
      </c>
      <c r="W1744">
        <v>0</v>
      </c>
      <c r="X1744">
        <v>5</v>
      </c>
      <c r="Y1744">
        <v>148</v>
      </c>
      <c r="Z1744">
        <v>6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2</v>
      </c>
      <c r="AL1744">
        <v>1</v>
      </c>
      <c r="AM1744">
        <v>0</v>
      </c>
      <c r="AN1744">
        <v>2</v>
      </c>
      <c r="AT1744">
        <v>0</v>
      </c>
      <c r="AU1744">
        <v>6</v>
      </c>
      <c r="AV1744">
        <v>195</v>
      </c>
      <c r="AW1744">
        <v>195</v>
      </c>
      <c r="AX1744">
        <v>378</v>
      </c>
      <c r="BA1744">
        <v>1</v>
      </c>
      <c r="BC1744" t="s">
        <v>3585</v>
      </c>
      <c r="BD1744" s="4">
        <v>43283.447916666664</v>
      </c>
      <c r="BE1744" s="4">
        <v>43283.450358796297</v>
      </c>
      <c r="BF1744" s="4">
        <v>43283.450358796297</v>
      </c>
      <c r="BG1744" t="s">
        <v>83</v>
      </c>
      <c r="BH1744" t="s">
        <v>84</v>
      </c>
      <c r="BI1744" t="s">
        <v>85</v>
      </c>
    </row>
    <row r="1745" spans="1:61" x14ac:dyDescent="0.3">
      <c r="A1745" t="str">
        <f>"202339B0100"</f>
        <v>202339B0100</v>
      </c>
      <c r="B1745" t="s">
        <v>3586</v>
      </c>
      <c r="C1745">
        <v>20</v>
      </c>
      <c r="D1745" t="s">
        <v>79</v>
      </c>
      <c r="E1745">
        <v>8</v>
      </c>
      <c r="F1745" t="s">
        <v>3266</v>
      </c>
      <c r="G1745">
        <v>2339</v>
      </c>
      <c r="H1745">
        <v>1</v>
      </c>
      <c r="I1745" t="s">
        <v>81</v>
      </c>
      <c r="J1745">
        <v>0</v>
      </c>
      <c r="K1745">
        <v>1</v>
      </c>
      <c r="L1745">
        <v>2</v>
      </c>
      <c r="M1745">
        <v>287</v>
      </c>
      <c r="N1745">
        <v>423</v>
      </c>
      <c r="O1745">
        <v>3</v>
      </c>
      <c r="P1745">
        <v>422</v>
      </c>
      <c r="Q1745">
        <v>53</v>
      </c>
      <c r="R1745">
        <v>135</v>
      </c>
      <c r="S1745">
        <v>75</v>
      </c>
      <c r="T1745">
        <v>8</v>
      </c>
      <c r="U1745">
        <v>9</v>
      </c>
      <c r="V1745">
        <v>3</v>
      </c>
      <c r="W1745">
        <v>4</v>
      </c>
      <c r="X1745">
        <v>4</v>
      </c>
      <c r="Y1745">
        <v>82</v>
      </c>
      <c r="Z1745">
        <v>8</v>
      </c>
      <c r="AA1745">
        <v>1</v>
      </c>
      <c r="AB1745">
        <v>4</v>
      </c>
      <c r="AC1745">
        <v>2</v>
      </c>
      <c r="AD1745">
        <v>6</v>
      </c>
      <c r="AE1745">
        <v>0</v>
      </c>
      <c r="AF1745">
        <v>0</v>
      </c>
      <c r="AG1745">
        <v>0</v>
      </c>
      <c r="AH1745">
        <v>2</v>
      </c>
      <c r="AI1745">
        <v>0</v>
      </c>
      <c r="AJ1745">
        <v>0</v>
      </c>
      <c r="AK1745">
        <v>3</v>
      </c>
      <c r="AL1745">
        <v>3</v>
      </c>
      <c r="AM1745">
        <v>0</v>
      </c>
      <c r="AN1745">
        <v>0</v>
      </c>
      <c r="AT1745">
        <v>0</v>
      </c>
      <c r="AU1745">
        <v>20</v>
      </c>
      <c r="AV1745">
        <v>422</v>
      </c>
      <c r="AW1745">
        <v>422</v>
      </c>
      <c r="AX1745">
        <v>688</v>
      </c>
      <c r="BA1745">
        <v>1</v>
      </c>
      <c r="BC1745" t="s">
        <v>3587</v>
      </c>
      <c r="BD1745" s="4">
        <v>43283.449305555558</v>
      </c>
      <c r="BE1745" s="4">
        <v>43283.453090277777</v>
      </c>
      <c r="BF1745" s="4">
        <v>43283.453090277777</v>
      </c>
      <c r="BG1745" t="s">
        <v>83</v>
      </c>
      <c r="BH1745" t="s">
        <v>84</v>
      </c>
      <c r="BI1745" t="s">
        <v>85</v>
      </c>
    </row>
    <row r="1746" spans="1:61" x14ac:dyDescent="0.3">
      <c r="A1746" t="str">
        <f>"202339C0100"</f>
        <v>202339C0100</v>
      </c>
      <c r="B1746" t="s">
        <v>3588</v>
      </c>
      <c r="C1746">
        <v>20</v>
      </c>
      <c r="D1746" t="s">
        <v>79</v>
      </c>
      <c r="E1746">
        <v>8</v>
      </c>
      <c r="F1746" t="s">
        <v>3266</v>
      </c>
      <c r="G1746">
        <v>2339</v>
      </c>
      <c r="H1746">
        <v>1</v>
      </c>
      <c r="I1746" t="s">
        <v>89</v>
      </c>
      <c r="J1746">
        <v>0</v>
      </c>
      <c r="K1746">
        <v>1</v>
      </c>
      <c r="L1746">
        <v>2</v>
      </c>
      <c r="M1746">
        <v>321</v>
      </c>
      <c r="N1746">
        <v>389</v>
      </c>
      <c r="O1746">
        <v>0</v>
      </c>
      <c r="P1746">
        <v>389</v>
      </c>
      <c r="Q1746">
        <v>53</v>
      </c>
      <c r="R1746">
        <v>110</v>
      </c>
      <c r="S1746">
        <v>80</v>
      </c>
      <c r="T1746">
        <v>5</v>
      </c>
      <c r="U1746">
        <v>18</v>
      </c>
      <c r="V1746">
        <v>7</v>
      </c>
      <c r="W1746">
        <v>2</v>
      </c>
      <c r="X1746">
        <v>2</v>
      </c>
      <c r="Y1746">
        <v>67</v>
      </c>
      <c r="Z1746">
        <v>3</v>
      </c>
      <c r="AA1746">
        <v>0</v>
      </c>
      <c r="AB1746">
        <v>5</v>
      </c>
      <c r="AC1746">
        <v>2</v>
      </c>
      <c r="AD1746">
        <v>2</v>
      </c>
      <c r="AE1746">
        <v>0</v>
      </c>
      <c r="AF1746">
        <v>0</v>
      </c>
      <c r="AG1746">
        <v>1</v>
      </c>
      <c r="AH1746">
        <v>1</v>
      </c>
      <c r="AI1746">
        <v>0</v>
      </c>
      <c r="AJ1746">
        <v>0</v>
      </c>
      <c r="AK1746">
        <v>6</v>
      </c>
      <c r="AL1746">
        <v>0</v>
      </c>
      <c r="AM1746">
        <v>2</v>
      </c>
      <c r="AN1746">
        <v>0</v>
      </c>
      <c r="AT1746">
        <v>0</v>
      </c>
      <c r="AU1746">
        <v>23</v>
      </c>
      <c r="AV1746">
        <v>389</v>
      </c>
      <c r="AW1746">
        <v>389</v>
      </c>
      <c r="AX1746">
        <v>688</v>
      </c>
      <c r="BA1746">
        <v>1</v>
      </c>
      <c r="BC1746" t="s">
        <v>3589</v>
      </c>
      <c r="BD1746" s="4">
        <v>43283.447916666664</v>
      </c>
      <c r="BE1746" s="4">
        <v>43283.455428240741</v>
      </c>
      <c r="BF1746" s="4">
        <v>43283.455428240741</v>
      </c>
      <c r="BG1746" t="s">
        <v>83</v>
      </c>
      <c r="BH1746" t="s">
        <v>84</v>
      </c>
      <c r="BI1746" t="s">
        <v>85</v>
      </c>
    </row>
    <row r="1747" spans="1:61" x14ac:dyDescent="0.3">
      <c r="A1747" t="str">
        <f>"202340B0100"</f>
        <v>202340B0100</v>
      </c>
      <c r="B1747" t="s">
        <v>3590</v>
      </c>
      <c r="C1747">
        <v>20</v>
      </c>
      <c r="D1747" t="s">
        <v>79</v>
      </c>
      <c r="E1747">
        <v>8</v>
      </c>
      <c r="F1747" t="s">
        <v>3266</v>
      </c>
      <c r="G1747">
        <v>2340</v>
      </c>
      <c r="H1747">
        <v>1</v>
      </c>
      <c r="I1747" t="s">
        <v>81</v>
      </c>
      <c r="J1747">
        <v>0</v>
      </c>
      <c r="K1747">
        <v>2</v>
      </c>
      <c r="L1747">
        <v>2</v>
      </c>
      <c r="M1747">
        <v>187</v>
      </c>
      <c r="N1747">
        <v>4</v>
      </c>
      <c r="O1747">
        <v>4</v>
      </c>
      <c r="P1747">
        <v>314</v>
      </c>
      <c r="Q1747">
        <v>57</v>
      </c>
      <c r="R1747">
        <v>126</v>
      </c>
      <c r="S1747">
        <v>34</v>
      </c>
      <c r="T1747">
        <v>5</v>
      </c>
      <c r="U1747">
        <v>3</v>
      </c>
      <c r="V1747">
        <v>1</v>
      </c>
      <c r="W1747">
        <v>0</v>
      </c>
      <c r="X1747">
        <v>1</v>
      </c>
      <c r="Y1747">
        <v>63</v>
      </c>
      <c r="Z1747">
        <v>2</v>
      </c>
      <c r="AA1747">
        <v>0</v>
      </c>
      <c r="AB1747">
        <v>3</v>
      </c>
      <c r="AC1747">
        <v>0</v>
      </c>
      <c r="AD1747">
        <v>2</v>
      </c>
      <c r="AE1747">
        <v>0</v>
      </c>
      <c r="AF1747">
        <v>0</v>
      </c>
      <c r="AG1747">
        <v>1</v>
      </c>
      <c r="AH1747">
        <v>2</v>
      </c>
      <c r="AI1747">
        <v>0</v>
      </c>
      <c r="AJ1747">
        <v>0</v>
      </c>
      <c r="AK1747">
        <v>1</v>
      </c>
      <c r="AL1747">
        <v>0</v>
      </c>
      <c r="AM1747">
        <v>0</v>
      </c>
      <c r="AN1747">
        <v>0</v>
      </c>
      <c r="AT1747">
        <v>0</v>
      </c>
      <c r="AU1747">
        <v>13</v>
      </c>
      <c r="AV1747">
        <v>314</v>
      </c>
      <c r="AW1747">
        <v>314</v>
      </c>
      <c r="AX1747">
        <v>479</v>
      </c>
      <c r="BA1747">
        <v>1</v>
      </c>
      <c r="BC1747" t="s">
        <v>3591</v>
      </c>
      <c r="BD1747" s="4">
        <v>43283.052777777775</v>
      </c>
      <c r="BE1747" s="4">
        <v>43283.057291666664</v>
      </c>
      <c r="BF1747" s="4">
        <v>43283.057291666664</v>
      </c>
      <c r="BG1747" t="s">
        <v>83</v>
      </c>
      <c r="BH1747" t="s">
        <v>84</v>
      </c>
      <c r="BI1747" t="s">
        <v>85</v>
      </c>
    </row>
    <row r="1748" spans="1:61" x14ac:dyDescent="0.3">
      <c r="A1748" t="str">
        <f>"202341B0100"</f>
        <v>202341B0100</v>
      </c>
      <c r="B1748" t="s">
        <v>3592</v>
      </c>
      <c r="C1748">
        <v>20</v>
      </c>
      <c r="D1748" t="s">
        <v>79</v>
      </c>
      <c r="E1748">
        <v>8</v>
      </c>
      <c r="F1748" t="s">
        <v>3266</v>
      </c>
      <c r="G1748">
        <v>2341</v>
      </c>
      <c r="H1748">
        <v>1</v>
      </c>
      <c r="I1748" t="s">
        <v>81</v>
      </c>
      <c r="J1748">
        <v>0</v>
      </c>
      <c r="K1748">
        <v>2</v>
      </c>
      <c r="L1748">
        <v>2</v>
      </c>
      <c r="M1748">
        <v>177</v>
      </c>
      <c r="N1748">
        <v>308</v>
      </c>
      <c r="O1748">
        <v>1</v>
      </c>
      <c r="P1748">
        <v>309</v>
      </c>
      <c r="Q1748">
        <v>33</v>
      </c>
      <c r="R1748">
        <v>103</v>
      </c>
      <c r="S1748">
        <v>75</v>
      </c>
      <c r="T1748">
        <v>3</v>
      </c>
      <c r="U1748">
        <v>9</v>
      </c>
      <c r="V1748">
        <v>3</v>
      </c>
      <c r="W1748">
        <v>1</v>
      </c>
      <c r="X1748">
        <v>4</v>
      </c>
      <c r="Y1748">
        <v>46</v>
      </c>
      <c r="Z1748">
        <v>6</v>
      </c>
      <c r="AA1748">
        <v>1</v>
      </c>
      <c r="AB1748">
        <v>1</v>
      </c>
      <c r="AC1748">
        <v>1</v>
      </c>
      <c r="AD1748">
        <v>2</v>
      </c>
      <c r="AE1748">
        <v>0</v>
      </c>
      <c r="AF1748">
        <v>0</v>
      </c>
      <c r="AG1748">
        <v>0</v>
      </c>
      <c r="AH1748">
        <v>2</v>
      </c>
      <c r="AI1748">
        <v>0</v>
      </c>
      <c r="AJ1748">
        <v>0</v>
      </c>
      <c r="AK1748">
        <v>3</v>
      </c>
      <c r="AL1748">
        <v>0</v>
      </c>
      <c r="AM1748">
        <v>0</v>
      </c>
      <c r="AN1748">
        <v>0</v>
      </c>
      <c r="AT1748">
        <v>0</v>
      </c>
      <c r="AU1748">
        <v>16</v>
      </c>
      <c r="AV1748">
        <v>309</v>
      </c>
      <c r="AW1748">
        <v>309</v>
      </c>
      <c r="AX1748">
        <v>464</v>
      </c>
      <c r="BA1748">
        <v>1</v>
      </c>
      <c r="BC1748" t="s">
        <v>3593</v>
      </c>
      <c r="BD1748" s="4">
        <v>43283.451388888891</v>
      </c>
      <c r="BE1748" s="4">
        <v>43283.455416666664</v>
      </c>
      <c r="BF1748" s="4">
        <v>43283.455416666664</v>
      </c>
      <c r="BG1748" t="s">
        <v>83</v>
      </c>
      <c r="BH1748" t="s">
        <v>84</v>
      </c>
      <c r="BI1748" t="s">
        <v>85</v>
      </c>
    </row>
    <row r="1749" spans="1:61" x14ac:dyDescent="0.3">
      <c r="A1749" t="str">
        <f>"202341C0100"</f>
        <v>202341C0100</v>
      </c>
      <c r="B1749" t="s">
        <v>3594</v>
      </c>
      <c r="C1749">
        <v>20</v>
      </c>
      <c r="D1749" t="s">
        <v>79</v>
      </c>
      <c r="E1749">
        <v>8</v>
      </c>
      <c r="F1749" t="s">
        <v>3266</v>
      </c>
      <c r="G1749">
        <v>2341</v>
      </c>
      <c r="H1749">
        <v>1</v>
      </c>
      <c r="I1749" t="s">
        <v>89</v>
      </c>
      <c r="J1749">
        <v>0</v>
      </c>
      <c r="K1749">
        <v>2</v>
      </c>
      <c r="L1749">
        <v>2</v>
      </c>
      <c r="M1749">
        <v>171</v>
      </c>
      <c r="N1749">
        <v>313</v>
      </c>
      <c r="O1749">
        <v>1</v>
      </c>
      <c r="P1749">
        <v>315</v>
      </c>
      <c r="Q1749">
        <v>46</v>
      </c>
      <c r="R1749">
        <v>71</v>
      </c>
      <c r="S1749">
        <v>88</v>
      </c>
      <c r="T1749">
        <v>3</v>
      </c>
      <c r="U1749">
        <v>10</v>
      </c>
      <c r="V1749">
        <v>4</v>
      </c>
      <c r="W1749">
        <v>2</v>
      </c>
      <c r="X1749">
        <v>1</v>
      </c>
      <c r="Y1749">
        <v>60</v>
      </c>
      <c r="Z1749">
        <v>2</v>
      </c>
      <c r="AA1749">
        <v>1</v>
      </c>
      <c r="AB1749">
        <v>3</v>
      </c>
      <c r="AC1749">
        <v>0</v>
      </c>
      <c r="AD1749">
        <v>3</v>
      </c>
      <c r="AE1749">
        <v>0</v>
      </c>
      <c r="AF1749">
        <v>0</v>
      </c>
      <c r="AG1749">
        <v>1</v>
      </c>
      <c r="AH1749">
        <v>0</v>
      </c>
      <c r="AI1749">
        <v>0</v>
      </c>
      <c r="AJ1749">
        <v>0</v>
      </c>
      <c r="AK1749">
        <v>2</v>
      </c>
      <c r="AL1749">
        <v>0</v>
      </c>
      <c r="AM1749">
        <v>1</v>
      </c>
      <c r="AN1749">
        <v>0</v>
      </c>
      <c r="AT1749" t="s">
        <v>100</v>
      </c>
      <c r="AU1749" t="s">
        <v>100</v>
      </c>
      <c r="AV1749">
        <v>315</v>
      </c>
      <c r="AW1749">
        <v>298</v>
      </c>
      <c r="AX1749">
        <v>464</v>
      </c>
      <c r="AZ1749" t="s">
        <v>101</v>
      </c>
      <c r="BA1749">
        <v>1</v>
      </c>
      <c r="BC1749" t="s">
        <v>3595</v>
      </c>
      <c r="BD1749" s="4">
        <v>43283.463194444441</v>
      </c>
      <c r="BE1749" s="4">
        <v>43283.467164351852</v>
      </c>
      <c r="BF1749" s="4">
        <v>43283.467164351852</v>
      </c>
      <c r="BG1749" t="s">
        <v>83</v>
      </c>
      <c r="BH1749" t="s">
        <v>84</v>
      </c>
      <c r="BI1749" t="s">
        <v>85</v>
      </c>
    </row>
    <row r="1750" spans="1:61" x14ac:dyDescent="0.3">
      <c r="A1750" t="str">
        <f>"202342B0100"</f>
        <v>202342B0100</v>
      </c>
      <c r="B1750" t="s">
        <v>3596</v>
      </c>
      <c r="C1750">
        <v>20</v>
      </c>
      <c r="D1750" t="s">
        <v>79</v>
      </c>
      <c r="E1750">
        <v>8</v>
      </c>
      <c r="F1750" t="s">
        <v>3266</v>
      </c>
      <c r="G1750">
        <v>2342</v>
      </c>
      <c r="H1750">
        <v>1</v>
      </c>
      <c r="I1750" t="s">
        <v>81</v>
      </c>
      <c r="J1750">
        <v>0</v>
      </c>
      <c r="K1750">
        <v>2</v>
      </c>
      <c r="L1750">
        <v>2</v>
      </c>
      <c r="M1750">
        <v>167</v>
      </c>
      <c r="N1750">
        <v>238</v>
      </c>
      <c r="O1750">
        <v>5</v>
      </c>
      <c r="P1750">
        <v>239</v>
      </c>
      <c r="Q1750">
        <v>19</v>
      </c>
      <c r="R1750">
        <v>98</v>
      </c>
      <c r="S1750">
        <v>42</v>
      </c>
      <c r="T1750">
        <v>5</v>
      </c>
      <c r="U1750">
        <v>11</v>
      </c>
      <c r="V1750">
        <v>0</v>
      </c>
      <c r="W1750">
        <v>3</v>
      </c>
      <c r="X1750">
        <v>1</v>
      </c>
      <c r="Y1750">
        <v>35</v>
      </c>
      <c r="Z1750">
        <v>4</v>
      </c>
      <c r="AA1750">
        <v>0</v>
      </c>
      <c r="AB1750">
        <v>1</v>
      </c>
      <c r="AC1750">
        <v>0</v>
      </c>
      <c r="AD1750">
        <v>2</v>
      </c>
      <c r="AE1750">
        <v>0</v>
      </c>
      <c r="AF1750">
        <v>0</v>
      </c>
      <c r="AG1750">
        <v>0</v>
      </c>
      <c r="AH1750">
        <v>1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T1750">
        <v>0</v>
      </c>
      <c r="AU1750">
        <v>17</v>
      </c>
      <c r="AV1750">
        <v>239</v>
      </c>
      <c r="AW1750">
        <v>239</v>
      </c>
      <c r="AX1750">
        <v>385</v>
      </c>
      <c r="BA1750">
        <v>1</v>
      </c>
      <c r="BC1750" t="s">
        <v>3597</v>
      </c>
      <c r="BD1750" s="4">
        <v>43283.462500000001</v>
      </c>
      <c r="BE1750" s="4">
        <v>43283.465995370374</v>
      </c>
      <c r="BF1750" s="4">
        <v>43283.465995370374</v>
      </c>
      <c r="BG1750" t="s">
        <v>83</v>
      </c>
      <c r="BH1750" t="s">
        <v>84</v>
      </c>
      <c r="BI1750" t="s">
        <v>85</v>
      </c>
    </row>
    <row r="1751" spans="1:61" x14ac:dyDescent="0.3">
      <c r="A1751" t="str">
        <f>"202343B0100"</f>
        <v>202343B0100</v>
      </c>
      <c r="B1751" t="s">
        <v>3598</v>
      </c>
      <c r="C1751">
        <v>20</v>
      </c>
      <c r="D1751" t="s">
        <v>79</v>
      </c>
      <c r="E1751">
        <v>8</v>
      </c>
      <c r="F1751" t="s">
        <v>3266</v>
      </c>
      <c r="G1751">
        <v>2343</v>
      </c>
      <c r="H1751">
        <v>1</v>
      </c>
      <c r="I1751" t="s">
        <v>81</v>
      </c>
      <c r="J1751">
        <v>0</v>
      </c>
      <c r="K1751">
        <v>2</v>
      </c>
      <c r="L1751">
        <v>2</v>
      </c>
      <c r="M1751">
        <v>117</v>
      </c>
      <c r="N1751">
        <v>141</v>
      </c>
      <c r="O1751">
        <v>9</v>
      </c>
      <c r="P1751">
        <v>141</v>
      </c>
      <c r="Q1751">
        <v>8</v>
      </c>
      <c r="R1751">
        <v>61</v>
      </c>
      <c r="S1751">
        <v>35</v>
      </c>
      <c r="T1751">
        <v>0</v>
      </c>
      <c r="U1751">
        <v>3</v>
      </c>
      <c r="V1751">
        <v>0</v>
      </c>
      <c r="W1751">
        <v>0</v>
      </c>
      <c r="X1751">
        <v>1</v>
      </c>
      <c r="Y1751">
        <v>24</v>
      </c>
      <c r="Z1751">
        <v>1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1</v>
      </c>
      <c r="AI1751">
        <v>0</v>
      </c>
      <c r="AJ1751">
        <v>0</v>
      </c>
      <c r="AK1751">
        <v>0</v>
      </c>
      <c r="AL1751">
        <v>2</v>
      </c>
      <c r="AM1751">
        <v>0</v>
      </c>
      <c r="AN1751">
        <v>0</v>
      </c>
      <c r="AT1751">
        <v>0</v>
      </c>
      <c r="AU1751">
        <v>5</v>
      </c>
      <c r="AV1751">
        <v>141</v>
      </c>
      <c r="AW1751">
        <v>141</v>
      </c>
      <c r="AX1751">
        <v>237</v>
      </c>
      <c r="BA1751">
        <v>1</v>
      </c>
      <c r="BC1751" t="s">
        <v>3599</v>
      </c>
      <c r="BD1751" s="4">
        <v>43283.465277777781</v>
      </c>
      <c r="BE1751" s="4">
        <v>43283.473078703704</v>
      </c>
      <c r="BF1751" s="4">
        <v>43283.473078703704</v>
      </c>
      <c r="BG1751" t="s">
        <v>83</v>
      </c>
      <c r="BH1751" t="s">
        <v>84</v>
      </c>
      <c r="BI1751" t="s">
        <v>85</v>
      </c>
    </row>
    <row r="1752" spans="1:61" x14ac:dyDescent="0.3">
      <c r="A1752" t="str">
        <f>"202343E0100"</f>
        <v>202343E0100</v>
      </c>
      <c r="B1752" s="2" t="s">
        <v>3600</v>
      </c>
      <c r="C1752">
        <v>20</v>
      </c>
      <c r="D1752" t="s">
        <v>79</v>
      </c>
      <c r="E1752">
        <v>8</v>
      </c>
      <c r="F1752" t="s">
        <v>3266</v>
      </c>
      <c r="G1752">
        <v>2343</v>
      </c>
      <c r="H1752">
        <v>1</v>
      </c>
      <c r="I1752" t="s">
        <v>145</v>
      </c>
      <c r="J1752">
        <v>0</v>
      </c>
      <c r="K1752">
        <v>2</v>
      </c>
      <c r="L1752">
        <v>2</v>
      </c>
      <c r="M1752">
        <v>94</v>
      </c>
      <c r="N1752">
        <v>159</v>
      </c>
      <c r="O1752">
        <v>5</v>
      </c>
      <c r="P1752">
        <v>159</v>
      </c>
      <c r="Q1752">
        <v>66</v>
      </c>
      <c r="R1752">
        <v>51</v>
      </c>
      <c r="S1752">
        <v>19</v>
      </c>
      <c r="T1752">
        <v>2</v>
      </c>
      <c r="U1752">
        <v>2</v>
      </c>
      <c r="V1752">
        <v>2</v>
      </c>
      <c r="W1752">
        <v>1</v>
      </c>
      <c r="X1752">
        <v>0</v>
      </c>
      <c r="Y1752">
        <v>7</v>
      </c>
      <c r="Z1752">
        <v>0</v>
      </c>
      <c r="AA1752">
        <v>0</v>
      </c>
      <c r="AB1752">
        <v>2</v>
      </c>
      <c r="AC1752">
        <v>0</v>
      </c>
      <c r="AD1752">
        <v>1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T1752">
        <v>1</v>
      </c>
      <c r="AU1752">
        <v>5</v>
      </c>
      <c r="AV1752">
        <v>5</v>
      </c>
      <c r="AW1752">
        <v>159</v>
      </c>
      <c r="AX1752">
        <v>231</v>
      </c>
      <c r="BA1752">
        <v>1</v>
      </c>
      <c r="BC1752" t="s">
        <v>3601</v>
      </c>
      <c r="BD1752" s="4">
        <v>43283.463888888888</v>
      </c>
      <c r="BE1752" s="4">
        <v>43283.468009259261</v>
      </c>
      <c r="BF1752" s="4">
        <v>43283.468009259261</v>
      </c>
      <c r="BG1752" t="s">
        <v>83</v>
      </c>
      <c r="BH1752" t="s">
        <v>84</v>
      </c>
      <c r="BI1752" t="s">
        <v>85</v>
      </c>
    </row>
    <row r="1753" spans="1:61" x14ac:dyDescent="0.3">
      <c r="A1753" t="str">
        <f>"202344B0100"</f>
        <v>202344B0100</v>
      </c>
      <c r="B1753" t="s">
        <v>3602</v>
      </c>
      <c r="C1753">
        <v>20</v>
      </c>
      <c r="D1753" t="s">
        <v>79</v>
      </c>
      <c r="E1753">
        <v>8</v>
      </c>
      <c r="F1753" t="s">
        <v>3266</v>
      </c>
      <c r="G1753">
        <v>2344</v>
      </c>
      <c r="H1753">
        <v>1</v>
      </c>
      <c r="I1753" t="s">
        <v>81</v>
      </c>
      <c r="J1753">
        <v>0</v>
      </c>
      <c r="K1753">
        <v>2</v>
      </c>
      <c r="L1753">
        <v>2</v>
      </c>
      <c r="M1753">
        <v>388</v>
      </c>
      <c r="N1753">
        <v>365</v>
      </c>
      <c r="O1753">
        <v>1</v>
      </c>
      <c r="P1753">
        <v>300</v>
      </c>
      <c r="Q1753">
        <v>16</v>
      </c>
      <c r="R1753">
        <v>24</v>
      </c>
      <c r="S1753">
        <v>103</v>
      </c>
      <c r="T1753">
        <v>3</v>
      </c>
      <c r="U1753">
        <v>16</v>
      </c>
      <c r="V1753">
        <v>3</v>
      </c>
      <c r="W1753">
        <v>0</v>
      </c>
      <c r="X1753">
        <v>3</v>
      </c>
      <c r="Y1753">
        <v>94</v>
      </c>
      <c r="Z1753">
        <v>5</v>
      </c>
      <c r="AA1753">
        <v>0</v>
      </c>
      <c r="AB1753">
        <v>5</v>
      </c>
      <c r="AC1753">
        <v>3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2</v>
      </c>
      <c r="AL1753">
        <v>2</v>
      </c>
      <c r="AM1753">
        <v>0</v>
      </c>
      <c r="AN1753">
        <v>2</v>
      </c>
      <c r="AT1753">
        <v>1</v>
      </c>
      <c r="AU1753">
        <v>19</v>
      </c>
      <c r="AV1753">
        <v>299</v>
      </c>
      <c r="AW1753">
        <v>301</v>
      </c>
      <c r="AX1753">
        <v>642</v>
      </c>
      <c r="BA1753">
        <v>1</v>
      </c>
      <c r="BC1753" t="s">
        <v>3603</v>
      </c>
      <c r="BD1753" s="4">
        <v>43283.463888888888</v>
      </c>
      <c r="BE1753" s="4">
        <v>43283.469837962963</v>
      </c>
      <c r="BF1753" s="4">
        <v>43283.469837962963</v>
      </c>
      <c r="BG1753" t="s">
        <v>83</v>
      </c>
      <c r="BH1753" t="s">
        <v>84</v>
      </c>
      <c r="BI1753" t="s">
        <v>85</v>
      </c>
    </row>
    <row r="1754" spans="1:61" x14ac:dyDescent="0.3">
      <c r="A1754" t="str">
        <f>"202345B0100"</f>
        <v>202345B0100</v>
      </c>
      <c r="B1754" t="s">
        <v>3604</v>
      </c>
      <c r="C1754">
        <v>20</v>
      </c>
      <c r="D1754" t="s">
        <v>79</v>
      </c>
      <c r="E1754">
        <v>8</v>
      </c>
      <c r="F1754" t="s">
        <v>3266</v>
      </c>
      <c r="G1754">
        <v>2345</v>
      </c>
      <c r="H1754">
        <v>1</v>
      </c>
      <c r="I1754" t="s">
        <v>81</v>
      </c>
      <c r="J1754">
        <v>0</v>
      </c>
      <c r="K1754">
        <v>2</v>
      </c>
      <c r="L1754">
        <v>2</v>
      </c>
      <c r="M1754">
        <v>228</v>
      </c>
      <c r="N1754">
        <v>183</v>
      </c>
      <c r="O1754">
        <v>0</v>
      </c>
      <c r="P1754">
        <v>183</v>
      </c>
      <c r="Q1754">
        <v>12</v>
      </c>
      <c r="R1754">
        <v>28</v>
      </c>
      <c r="S1754">
        <v>17</v>
      </c>
      <c r="T1754">
        <v>1</v>
      </c>
      <c r="U1754">
        <v>20</v>
      </c>
      <c r="V1754">
        <v>3</v>
      </c>
      <c r="W1754">
        <v>2</v>
      </c>
      <c r="X1754">
        <v>4</v>
      </c>
      <c r="Y1754">
        <v>70</v>
      </c>
      <c r="Z1754">
        <v>7</v>
      </c>
      <c r="AA1754">
        <v>1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1</v>
      </c>
      <c r="AI1754">
        <v>0</v>
      </c>
      <c r="AJ1754">
        <v>0</v>
      </c>
      <c r="AK1754">
        <v>3</v>
      </c>
      <c r="AL1754">
        <v>1</v>
      </c>
      <c r="AM1754">
        <v>0</v>
      </c>
      <c r="AN1754">
        <v>1</v>
      </c>
      <c r="AT1754">
        <v>0</v>
      </c>
      <c r="AU1754">
        <v>12</v>
      </c>
      <c r="AV1754">
        <v>183</v>
      </c>
      <c r="AW1754">
        <v>183</v>
      </c>
      <c r="AX1754">
        <v>389</v>
      </c>
      <c r="BA1754">
        <v>1</v>
      </c>
      <c r="BC1754" t="s">
        <v>3605</v>
      </c>
      <c r="BD1754" s="4">
        <v>43283.461111111108</v>
      </c>
      <c r="BE1754" s="4">
        <v>43283.467766203707</v>
      </c>
      <c r="BF1754" s="4">
        <v>43283.467766203707</v>
      </c>
      <c r="BG1754" t="s">
        <v>83</v>
      </c>
      <c r="BH1754" t="s">
        <v>84</v>
      </c>
      <c r="BI1754" t="s">
        <v>85</v>
      </c>
    </row>
    <row r="1755" spans="1:61" x14ac:dyDescent="0.3">
      <c r="A1755" t="str">
        <f>"202345C0100"</f>
        <v>202345C0100</v>
      </c>
      <c r="B1755" t="s">
        <v>3606</v>
      </c>
      <c r="C1755">
        <v>20</v>
      </c>
      <c r="D1755" t="s">
        <v>79</v>
      </c>
      <c r="E1755">
        <v>8</v>
      </c>
      <c r="F1755" t="s">
        <v>3266</v>
      </c>
      <c r="G1755">
        <v>2345</v>
      </c>
      <c r="H1755">
        <v>1</v>
      </c>
      <c r="I1755" t="s">
        <v>89</v>
      </c>
      <c r="J1755">
        <v>0</v>
      </c>
      <c r="K1755">
        <v>2</v>
      </c>
      <c r="L1755">
        <v>2</v>
      </c>
      <c r="M1755">
        <v>191</v>
      </c>
      <c r="N1755">
        <v>220</v>
      </c>
      <c r="O1755">
        <v>1</v>
      </c>
      <c r="P1755" t="s">
        <v>100</v>
      </c>
      <c r="Q1755">
        <v>11</v>
      </c>
      <c r="R1755">
        <v>32</v>
      </c>
      <c r="S1755">
        <v>32</v>
      </c>
      <c r="T1755">
        <v>0</v>
      </c>
      <c r="U1755">
        <v>15</v>
      </c>
      <c r="V1755">
        <v>5</v>
      </c>
      <c r="W1755">
        <v>0</v>
      </c>
      <c r="X1755">
        <v>0</v>
      </c>
      <c r="Y1755">
        <v>100</v>
      </c>
      <c r="Z1755">
        <v>4</v>
      </c>
      <c r="AA1755">
        <v>0</v>
      </c>
      <c r="AB1755">
        <v>0</v>
      </c>
      <c r="AC1755">
        <v>0</v>
      </c>
      <c r="AD1755">
        <v>3</v>
      </c>
      <c r="AE1755">
        <v>0</v>
      </c>
      <c r="AF1755">
        <v>1</v>
      </c>
      <c r="AG1755">
        <v>0</v>
      </c>
      <c r="AH1755">
        <v>0</v>
      </c>
      <c r="AI1755">
        <v>0</v>
      </c>
      <c r="AJ1755">
        <v>5</v>
      </c>
      <c r="AK1755">
        <v>0</v>
      </c>
      <c r="AL1755">
        <v>0</v>
      </c>
      <c r="AM1755">
        <v>0</v>
      </c>
      <c r="AN1755">
        <v>0</v>
      </c>
      <c r="AT1755">
        <v>0</v>
      </c>
      <c r="AU1755">
        <v>12</v>
      </c>
      <c r="AV1755">
        <v>220</v>
      </c>
      <c r="AW1755">
        <v>220</v>
      </c>
      <c r="AX1755">
        <v>389</v>
      </c>
      <c r="BA1755">
        <v>1</v>
      </c>
      <c r="BC1755" t="s">
        <v>3607</v>
      </c>
      <c r="BD1755" s="4">
        <v>43283.19027777778</v>
      </c>
      <c r="BE1755" s="4">
        <v>43283.207858796297</v>
      </c>
      <c r="BF1755" s="4">
        <v>43283.207858796297</v>
      </c>
      <c r="BG1755" t="s">
        <v>83</v>
      </c>
      <c r="BH1755" t="s">
        <v>84</v>
      </c>
      <c r="BI1755" t="s">
        <v>85</v>
      </c>
    </row>
    <row r="1756" spans="1:61" x14ac:dyDescent="0.3">
      <c r="A1756" t="str">
        <f>"202346B0100"</f>
        <v>202346B0100</v>
      </c>
      <c r="B1756" t="s">
        <v>3608</v>
      </c>
      <c r="C1756">
        <v>20</v>
      </c>
      <c r="D1756" t="s">
        <v>79</v>
      </c>
      <c r="E1756">
        <v>8</v>
      </c>
      <c r="F1756" t="s">
        <v>3266</v>
      </c>
      <c r="G1756">
        <v>2346</v>
      </c>
      <c r="H1756">
        <v>1</v>
      </c>
      <c r="I1756" t="s">
        <v>81</v>
      </c>
      <c r="J1756">
        <v>0</v>
      </c>
      <c r="K1756">
        <v>2</v>
      </c>
      <c r="L1756">
        <v>2</v>
      </c>
      <c r="M1756">
        <v>308</v>
      </c>
      <c r="N1756">
        <v>346</v>
      </c>
      <c r="O1756">
        <v>0</v>
      </c>
      <c r="P1756">
        <v>346</v>
      </c>
      <c r="Q1756">
        <v>11</v>
      </c>
      <c r="R1756">
        <v>38</v>
      </c>
      <c r="S1756">
        <v>172</v>
      </c>
      <c r="T1756">
        <v>2</v>
      </c>
      <c r="U1756">
        <v>18</v>
      </c>
      <c r="V1756">
        <v>3</v>
      </c>
      <c r="W1756">
        <v>1</v>
      </c>
      <c r="X1756">
        <v>3</v>
      </c>
      <c r="Y1756">
        <v>48</v>
      </c>
      <c r="Z1756">
        <v>4</v>
      </c>
      <c r="AA1756">
        <v>0</v>
      </c>
      <c r="AB1756">
        <v>0</v>
      </c>
      <c r="AC1756">
        <v>4</v>
      </c>
      <c r="AD1756">
        <v>0</v>
      </c>
      <c r="AE1756">
        <v>0</v>
      </c>
      <c r="AF1756">
        <v>0</v>
      </c>
      <c r="AG1756">
        <v>0</v>
      </c>
      <c r="AH1756">
        <v>1</v>
      </c>
      <c r="AI1756">
        <v>0</v>
      </c>
      <c r="AJ1756">
        <v>0</v>
      </c>
      <c r="AK1756">
        <v>2</v>
      </c>
      <c r="AL1756">
        <v>1</v>
      </c>
      <c r="AM1756">
        <v>0</v>
      </c>
      <c r="AN1756">
        <v>0</v>
      </c>
      <c r="AT1756">
        <v>0</v>
      </c>
      <c r="AU1756">
        <v>36</v>
      </c>
      <c r="AV1756" t="s">
        <v>100</v>
      </c>
      <c r="AW1756">
        <v>344</v>
      </c>
      <c r="AX1756">
        <v>632</v>
      </c>
      <c r="BA1756">
        <v>1</v>
      </c>
      <c r="BC1756" t="s">
        <v>3609</v>
      </c>
      <c r="BD1756" s="4">
        <v>43283.461805555555</v>
      </c>
      <c r="BE1756" s="4">
        <v>43283.470648148148</v>
      </c>
      <c r="BF1756" s="4">
        <v>43283.470648148148</v>
      </c>
      <c r="BG1756" t="s">
        <v>83</v>
      </c>
      <c r="BH1756" t="s">
        <v>84</v>
      </c>
      <c r="BI1756" t="s">
        <v>85</v>
      </c>
    </row>
    <row r="1757" spans="1:61" x14ac:dyDescent="0.3">
      <c r="A1757" t="str">
        <f>"202346C0100"</f>
        <v>202346C0100</v>
      </c>
      <c r="B1757" t="s">
        <v>3610</v>
      </c>
      <c r="C1757">
        <v>20</v>
      </c>
      <c r="D1757" t="s">
        <v>79</v>
      </c>
      <c r="E1757">
        <v>8</v>
      </c>
      <c r="F1757" t="s">
        <v>3266</v>
      </c>
      <c r="G1757">
        <v>2346</v>
      </c>
      <c r="H1757">
        <v>1</v>
      </c>
      <c r="I1757" t="s">
        <v>89</v>
      </c>
      <c r="J1757">
        <v>0</v>
      </c>
      <c r="K1757">
        <v>2</v>
      </c>
      <c r="L1757">
        <v>2</v>
      </c>
      <c r="M1757">
        <v>341</v>
      </c>
      <c r="N1757">
        <v>313</v>
      </c>
      <c r="O1757">
        <v>0</v>
      </c>
      <c r="P1757">
        <v>313</v>
      </c>
      <c r="Q1757">
        <v>11</v>
      </c>
      <c r="R1757">
        <v>38</v>
      </c>
      <c r="S1757">
        <v>145</v>
      </c>
      <c r="T1757">
        <v>3</v>
      </c>
      <c r="U1757">
        <v>21</v>
      </c>
      <c r="V1757">
        <v>4</v>
      </c>
      <c r="W1757">
        <v>4</v>
      </c>
      <c r="X1757">
        <v>3</v>
      </c>
      <c r="Y1757">
        <v>44</v>
      </c>
      <c r="Z1757">
        <v>2</v>
      </c>
      <c r="AA1757">
        <v>0</v>
      </c>
      <c r="AB1757">
        <v>0</v>
      </c>
      <c r="AC1757">
        <v>1</v>
      </c>
      <c r="AD1757">
        <v>1</v>
      </c>
      <c r="AE1757">
        <v>0</v>
      </c>
      <c r="AF1757">
        <v>2</v>
      </c>
      <c r="AG1757">
        <v>1</v>
      </c>
      <c r="AH1757">
        <v>0</v>
      </c>
      <c r="AI1757">
        <v>0</v>
      </c>
      <c r="AJ1757">
        <v>1</v>
      </c>
      <c r="AK1757">
        <v>2</v>
      </c>
      <c r="AL1757">
        <v>1</v>
      </c>
      <c r="AM1757">
        <v>0</v>
      </c>
      <c r="AN1757">
        <v>0</v>
      </c>
      <c r="AT1757">
        <v>0</v>
      </c>
      <c r="AU1757">
        <v>28</v>
      </c>
      <c r="AV1757">
        <v>313</v>
      </c>
      <c r="AW1757">
        <v>312</v>
      </c>
      <c r="AX1757">
        <v>632</v>
      </c>
      <c r="BA1757">
        <v>1</v>
      </c>
      <c r="BC1757" t="s">
        <v>3611</v>
      </c>
      <c r="BD1757" s="4">
        <v>43283.457638888889</v>
      </c>
      <c r="BE1757" s="4">
        <v>43283.462592592594</v>
      </c>
      <c r="BF1757" s="4">
        <v>43283.462592592594</v>
      </c>
      <c r="BG1757" t="s">
        <v>83</v>
      </c>
      <c r="BH1757" t="s">
        <v>84</v>
      </c>
      <c r="BI1757" t="s">
        <v>85</v>
      </c>
    </row>
    <row r="1758" spans="1:61" x14ac:dyDescent="0.3">
      <c r="A1758" t="str">
        <f>"202346C0200"</f>
        <v>202346C0200</v>
      </c>
      <c r="B1758" t="s">
        <v>3612</v>
      </c>
      <c r="C1758">
        <v>20</v>
      </c>
      <c r="D1758" t="s">
        <v>79</v>
      </c>
      <c r="E1758">
        <v>8</v>
      </c>
      <c r="F1758" t="s">
        <v>3266</v>
      </c>
      <c r="G1758">
        <v>2346</v>
      </c>
      <c r="H1758">
        <v>2</v>
      </c>
      <c r="I1758" t="s">
        <v>89</v>
      </c>
      <c r="J1758">
        <v>0</v>
      </c>
      <c r="K1758">
        <v>2</v>
      </c>
      <c r="L1758">
        <v>2</v>
      </c>
      <c r="M1758">
        <v>325</v>
      </c>
      <c r="N1758">
        <v>654</v>
      </c>
      <c r="O1758">
        <v>0</v>
      </c>
      <c r="P1758">
        <v>326</v>
      </c>
      <c r="Q1758">
        <v>3</v>
      </c>
      <c r="R1758">
        <v>40</v>
      </c>
      <c r="S1758">
        <v>160</v>
      </c>
      <c r="T1758">
        <v>0</v>
      </c>
      <c r="U1758">
        <v>17</v>
      </c>
      <c r="V1758">
        <v>3</v>
      </c>
      <c r="W1758">
        <v>1</v>
      </c>
      <c r="X1758">
        <v>3</v>
      </c>
      <c r="Y1758">
        <v>57</v>
      </c>
      <c r="Z1758">
        <v>4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1</v>
      </c>
      <c r="AI1758">
        <v>0</v>
      </c>
      <c r="AJ1758">
        <v>0</v>
      </c>
      <c r="AK1758">
        <v>1</v>
      </c>
      <c r="AL1758">
        <v>1</v>
      </c>
      <c r="AM1758">
        <v>0</v>
      </c>
      <c r="AN1758">
        <v>1</v>
      </c>
      <c r="AT1758">
        <v>6</v>
      </c>
      <c r="AU1758">
        <v>28</v>
      </c>
      <c r="AV1758">
        <v>326</v>
      </c>
      <c r="AW1758">
        <v>326</v>
      </c>
      <c r="AX1758">
        <v>632</v>
      </c>
      <c r="BA1758">
        <v>1</v>
      </c>
      <c r="BC1758" t="s">
        <v>3613</v>
      </c>
      <c r="BD1758" s="4">
        <v>43283.460416666669</v>
      </c>
      <c r="BE1758" s="4">
        <v>43283.466284722221</v>
      </c>
      <c r="BF1758" s="4">
        <v>43283.466284722221</v>
      </c>
      <c r="BG1758" t="s">
        <v>83</v>
      </c>
      <c r="BH1758" t="s">
        <v>84</v>
      </c>
      <c r="BI1758" t="s">
        <v>85</v>
      </c>
    </row>
    <row r="1759" spans="1:61" x14ac:dyDescent="0.3">
      <c r="A1759" t="str">
        <f>"202347B0100"</f>
        <v>202347B0100</v>
      </c>
      <c r="B1759" t="s">
        <v>3614</v>
      </c>
      <c r="C1759">
        <v>20</v>
      </c>
      <c r="D1759" t="s">
        <v>79</v>
      </c>
      <c r="E1759">
        <v>8</v>
      </c>
      <c r="F1759" t="s">
        <v>3266</v>
      </c>
      <c r="G1759">
        <v>2347</v>
      </c>
      <c r="H1759">
        <v>1</v>
      </c>
      <c r="I1759" t="s">
        <v>81</v>
      </c>
      <c r="J1759">
        <v>0</v>
      </c>
      <c r="K1759">
        <v>2</v>
      </c>
      <c r="L1759">
        <v>2</v>
      </c>
      <c r="M1759">
        <v>133</v>
      </c>
      <c r="N1759">
        <v>163</v>
      </c>
      <c r="O1759">
        <v>9</v>
      </c>
      <c r="P1759">
        <v>163</v>
      </c>
      <c r="Q1759">
        <v>16</v>
      </c>
      <c r="R1759">
        <v>34</v>
      </c>
      <c r="S1759">
        <v>31</v>
      </c>
      <c r="T1759">
        <v>0</v>
      </c>
      <c r="U1759">
        <v>8</v>
      </c>
      <c r="V1759">
        <v>3</v>
      </c>
      <c r="W1759">
        <v>2</v>
      </c>
      <c r="X1759">
        <v>1</v>
      </c>
      <c r="Y1759">
        <v>48</v>
      </c>
      <c r="Z1759">
        <v>1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1</v>
      </c>
      <c r="AL1759">
        <v>1</v>
      </c>
      <c r="AM1759">
        <v>0</v>
      </c>
      <c r="AN1759">
        <v>0</v>
      </c>
      <c r="AT1759">
        <v>0</v>
      </c>
      <c r="AU1759">
        <v>17</v>
      </c>
      <c r="AV1759">
        <v>163</v>
      </c>
      <c r="AW1759">
        <v>163</v>
      </c>
      <c r="AX1759">
        <v>274</v>
      </c>
      <c r="BA1759">
        <v>1</v>
      </c>
      <c r="BC1759" t="s">
        <v>3615</v>
      </c>
      <c r="BD1759" s="4">
        <v>43283.45416666667</v>
      </c>
      <c r="BE1759" s="4">
        <v>43283.460613425923</v>
      </c>
      <c r="BF1759" s="4">
        <v>43283.460613425923</v>
      </c>
      <c r="BG1759" t="s">
        <v>83</v>
      </c>
      <c r="BH1759" t="s">
        <v>84</v>
      </c>
      <c r="BI1759" t="s">
        <v>85</v>
      </c>
    </row>
    <row r="1760" spans="1:61" x14ac:dyDescent="0.3">
      <c r="A1760" t="str">
        <f>"202348B0100"</f>
        <v>202348B0100</v>
      </c>
      <c r="B1760" t="s">
        <v>3616</v>
      </c>
      <c r="C1760">
        <v>20</v>
      </c>
      <c r="D1760" t="s">
        <v>79</v>
      </c>
      <c r="E1760">
        <v>8</v>
      </c>
      <c r="F1760" t="s">
        <v>3266</v>
      </c>
      <c r="G1760">
        <v>2348</v>
      </c>
      <c r="H1760">
        <v>1</v>
      </c>
      <c r="I1760" t="s">
        <v>81</v>
      </c>
      <c r="J1760">
        <v>0</v>
      </c>
      <c r="K1760">
        <v>2</v>
      </c>
      <c r="L1760">
        <v>2</v>
      </c>
      <c r="M1760">
        <v>307</v>
      </c>
      <c r="N1760">
        <v>361</v>
      </c>
      <c r="O1760">
        <v>1</v>
      </c>
      <c r="P1760">
        <v>361</v>
      </c>
      <c r="Q1760">
        <v>10</v>
      </c>
      <c r="R1760">
        <v>56</v>
      </c>
      <c r="S1760">
        <v>127</v>
      </c>
      <c r="T1760">
        <v>1</v>
      </c>
      <c r="U1760">
        <v>19</v>
      </c>
      <c r="V1760">
        <v>3</v>
      </c>
      <c r="W1760">
        <v>4</v>
      </c>
      <c r="X1760">
        <v>2</v>
      </c>
      <c r="Y1760">
        <v>111</v>
      </c>
      <c r="Z1760">
        <v>2</v>
      </c>
      <c r="AA1760">
        <v>0</v>
      </c>
      <c r="AB1760">
        <v>0</v>
      </c>
      <c r="AC1760">
        <v>4</v>
      </c>
      <c r="AD1760">
        <v>1</v>
      </c>
      <c r="AE1760">
        <v>0</v>
      </c>
      <c r="AF1760">
        <v>0</v>
      </c>
      <c r="AG1760">
        <v>0</v>
      </c>
      <c r="AH1760">
        <v>2</v>
      </c>
      <c r="AI1760">
        <v>0</v>
      </c>
      <c r="AJ1760">
        <v>0</v>
      </c>
      <c r="AK1760">
        <v>2</v>
      </c>
      <c r="AL1760">
        <v>1</v>
      </c>
      <c r="AM1760">
        <v>0</v>
      </c>
      <c r="AN1760">
        <v>0</v>
      </c>
      <c r="AT1760">
        <v>0</v>
      </c>
      <c r="AU1760">
        <v>16</v>
      </c>
      <c r="AV1760">
        <v>361</v>
      </c>
      <c r="AW1760">
        <v>361</v>
      </c>
      <c r="AX1760">
        <v>646</v>
      </c>
      <c r="BA1760">
        <v>1</v>
      </c>
      <c r="BC1760" t="s">
        <v>3617</v>
      </c>
      <c r="BD1760" s="4">
        <v>43283.453472222223</v>
      </c>
      <c r="BE1760" s="4">
        <v>43283.459155092591</v>
      </c>
      <c r="BF1760" s="4">
        <v>43283.459155092591</v>
      </c>
      <c r="BG1760" t="s">
        <v>83</v>
      </c>
      <c r="BH1760" t="s">
        <v>84</v>
      </c>
      <c r="BI1760" t="s">
        <v>85</v>
      </c>
    </row>
    <row r="1761" spans="1:61" x14ac:dyDescent="0.3">
      <c r="A1761" t="str">
        <f>"202349B0100"</f>
        <v>202349B0100</v>
      </c>
      <c r="B1761" t="s">
        <v>3618</v>
      </c>
      <c r="C1761">
        <v>20</v>
      </c>
      <c r="D1761" t="s">
        <v>79</v>
      </c>
      <c r="E1761">
        <v>8</v>
      </c>
      <c r="F1761" t="s">
        <v>3266</v>
      </c>
      <c r="G1761">
        <v>2349</v>
      </c>
      <c r="H1761">
        <v>1</v>
      </c>
      <c r="I1761" t="s">
        <v>81</v>
      </c>
      <c r="J1761">
        <v>0</v>
      </c>
      <c r="K1761">
        <v>2</v>
      </c>
      <c r="L1761">
        <v>2</v>
      </c>
      <c r="M1761">
        <v>82</v>
      </c>
      <c r="N1761">
        <v>121</v>
      </c>
      <c r="O1761">
        <v>5</v>
      </c>
      <c r="P1761">
        <v>121</v>
      </c>
      <c r="Q1761">
        <v>7</v>
      </c>
      <c r="R1761">
        <v>20</v>
      </c>
      <c r="S1761">
        <v>22</v>
      </c>
      <c r="T1761">
        <v>2</v>
      </c>
      <c r="U1761">
        <v>2</v>
      </c>
      <c r="V1761">
        <v>4</v>
      </c>
      <c r="W1761">
        <v>4</v>
      </c>
      <c r="X1761">
        <v>0</v>
      </c>
      <c r="Y1761">
        <v>38</v>
      </c>
      <c r="Z1761">
        <v>3</v>
      </c>
      <c r="AA1761">
        <v>0</v>
      </c>
      <c r="AB1761">
        <v>0</v>
      </c>
      <c r="AC1761">
        <v>2</v>
      </c>
      <c r="AD1761">
        <v>2</v>
      </c>
      <c r="AE1761">
        <v>0</v>
      </c>
      <c r="AF1761">
        <v>0</v>
      </c>
      <c r="AG1761">
        <v>1</v>
      </c>
      <c r="AH1761">
        <v>0</v>
      </c>
      <c r="AI1761">
        <v>1</v>
      </c>
      <c r="AJ1761">
        <v>1</v>
      </c>
      <c r="AK1761">
        <v>3</v>
      </c>
      <c r="AL1761">
        <v>0</v>
      </c>
      <c r="AM1761">
        <v>1</v>
      </c>
      <c r="AN1761">
        <v>0</v>
      </c>
      <c r="AT1761">
        <v>0</v>
      </c>
      <c r="AU1761">
        <v>8</v>
      </c>
      <c r="AV1761">
        <v>121</v>
      </c>
      <c r="AW1761">
        <v>121</v>
      </c>
      <c r="AX1761">
        <v>181</v>
      </c>
      <c r="BA1761">
        <v>1</v>
      </c>
      <c r="BC1761" t="s">
        <v>3619</v>
      </c>
      <c r="BD1761" s="4">
        <v>43283.457638888889</v>
      </c>
      <c r="BE1761" s="4">
        <v>43283.463333333333</v>
      </c>
      <c r="BF1761" s="4">
        <v>43283.463333333333</v>
      </c>
      <c r="BG1761" t="s">
        <v>83</v>
      </c>
      <c r="BH1761" t="s">
        <v>84</v>
      </c>
      <c r="BI1761" t="s">
        <v>85</v>
      </c>
    </row>
    <row r="1762" spans="1:61" x14ac:dyDescent="0.3">
      <c r="A1762" t="str">
        <f>"202350B0100"</f>
        <v>202350B0100</v>
      </c>
      <c r="B1762" t="s">
        <v>3620</v>
      </c>
      <c r="C1762">
        <v>20</v>
      </c>
      <c r="D1762" t="s">
        <v>79</v>
      </c>
      <c r="E1762">
        <v>8</v>
      </c>
      <c r="F1762" t="s">
        <v>3266</v>
      </c>
      <c r="G1762">
        <v>2350</v>
      </c>
      <c r="H1762">
        <v>1</v>
      </c>
      <c r="I1762" t="s">
        <v>81</v>
      </c>
      <c r="J1762">
        <v>0</v>
      </c>
      <c r="K1762">
        <v>2</v>
      </c>
      <c r="L1762">
        <v>2</v>
      </c>
      <c r="M1762">
        <v>297</v>
      </c>
      <c r="N1762">
        <v>279</v>
      </c>
      <c r="O1762">
        <v>2</v>
      </c>
      <c r="P1762">
        <v>279</v>
      </c>
      <c r="Q1762">
        <v>8</v>
      </c>
      <c r="R1762">
        <v>90</v>
      </c>
      <c r="S1762">
        <v>91</v>
      </c>
      <c r="T1762">
        <v>1</v>
      </c>
      <c r="U1762">
        <v>15</v>
      </c>
      <c r="V1762">
        <v>2</v>
      </c>
      <c r="W1762">
        <v>1</v>
      </c>
      <c r="X1762">
        <v>1</v>
      </c>
      <c r="Y1762">
        <v>39</v>
      </c>
      <c r="Z1762">
        <v>1</v>
      </c>
      <c r="AA1762">
        <v>0</v>
      </c>
      <c r="AB1762">
        <v>2</v>
      </c>
      <c r="AC1762">
        <v>1</v>
      </c>
      <c r="AD1762">
        <v>2</v>
      </c>
      <c r="AE1762" t="s">
        <v>100</v>
      </c>
      <c r="AF1762" t="s">
        <v>100</v>
      </c>
      <c r="AG1762" t="s">
        <v>100</v>
      </c>
      <c r="AH1762" t="s">
        <v>100</v>
      </c>
      <c r="AI1762" t="s">
        <v>100</v>
      </c>
      <c r="AJ1762" t="s">
        <v>100</v>
      </c>
      <c r="AK1762" t="s">
        <v>100</v>
      </c>
      <c r="AL1762" t="s">
        <v>100</v>
      </c>
      <c r="AM1762" t="s">
        <v>100</v>
      </c>
      <c r="AN1762">
        <v>1</v>
      </c>
      <c r="AT1762">
        <v>0</v>
      </c>
      <c r="AU1762">
        <v>24</v>
      </c>
      <c r="AV1762">
        <v>279</v>
      </c>
      <c r="AW1762">
        <v>279</v>
      </c>
      <c r="AX1762">
        <v>554</v>
      </c>
      <c r="AZ1762" t="s">
        <v>101</v>
      </c>
      <c r="BA1762">
        <v>1</v>
      </c>
      <c r="BC1762" t="s">
        <v>3621</v>
      </c>
      <c r="BD1762" s="4">
        <v>43283.456250000003</v>
      </c>
      <c r="BE1762" s="4">
        <v>43283.459976851853</v>
      </c>
      <c r="BF1762" s="4">
        <v>43283.459976851853</v>
      </c>
      <c r="BG1762" t="s">
        <v>83</v>
      </c>
      <c r="BH1762" t="s">
        <v>84</v>
      </c>
      <c r="BI1762" t="s">
        <v>85</v>
      </c>
    </row>
    <row r="1763" spans="1:61" x14ac:dyDescent="0.3">
      <c r="A1763" t="str">
        <f>"202351B0100"</f>
        <v>202351B0100</v>
      </c>
      <c r="B1763" t="s">
        <v>3622</v>
      </c>
      <c r="C1763">
        <v>20</v>
      </c>
      <c r="D1763" t="s">
        <v>79</v>
      </c>
      <c r="E1763">
        <v>8</v>
      </c>
      <c r="F1763" t="s">
        <v>3266</v>
      </c>
      <c r="G1763">
        <v>2351</v>
      </c>
      <c r="H1763">
        <v>1</v>
      </c>
      <c r="I1763" t="s">
        <v>81</v>
      </c>
      <c r="J1763">
        <v>0</v>
      </c>
      <c r="K1763">
        <v>2</v>
      </c>
      <c r="L1763">
        <v>2</v>
      </c>
      <c r="AX1763">
        <v>570</v>
      </c>
      <c r="AZ1763" t="s">
        <v>156</v>
      </c>
      <c r="BA1763">
        <v>0</v>
      </c>
      <c r="BC1763" t="s">
        <v>3623</v>
      </c>
      <c r="BD1763" s="4">
        <v>43283.277777777781</v>
      </c>
      <c r="BE1763" s="4">
        <v>43283.784282407411</v>
      </c>
      <c r="BF1763" s="4">
        <v>43283.784282407411</v>
      </c>
      <c r="BG1763" t="s">
        <v>83</v>
      </c>
      <c r="BH1763" t="s">
        <v>84</v>
      </c>
      <c r="BI1763" t="s">
        <v>85</v>
      </c>
    </row>
    <row r="1764" spans="1:61" x14ac:dyDescent="0.3">
      <c r="A1764" t="str">
        <f>"202367B0100"</f>
        <v>202367B0100</v>
      </c>
      <c r="B1764" t="s">
        <v>3624</v>
      </c>
      <c r="C1764">
        <v>20</v>
      </c>
      <c r="D1764" t="s">
        <v>79</v>
      </c>
      <c r="E1764">
        <v>8</v>
      </c>
      <c r="F1764" t="s">
        <v>3266</v>
      </c>
      <c r="G1764">
        <v>2367</v>
      </c>
      <c r="H1764">
        <v>1</v>
      </c>
      <c r="I1764" t="s">
        <v>81</v>
      </c>
      <c r="J1764">
        <v>0</v>
      </c>
      <c r="K1764">
        <v>2</v>
      </c>
      <c r="L1764">
        <v>2</v>
      </c>
      <c r="AX1764">
        <v>614</v>
      </c>
      <c r="AZ1764" t="s">
        <v>156</v>
      </c>
      <c r="BA1764">
        <v>0</v>
      </c>
      <c r="BC1764" t="s">
        <v>3625</v>
      </c>
      <c r="BD1764" s="4">
        <v>43283.277777777781</v>
      </c>
      <c r="BE1764" s="4">
        <v>43283.78465277778</v>
      </c>
      <c r="BF1764" s="4">
        <v>43283.78465277778</v>
      </c>
      <c r="BG1764" t="s">
        <v>83</v>
      </c>
      <c r="BH1764" t="s">
        <v>84</v>
      </c>
      <c r="BI1764" t="s">
        <v>85</v>
      </c>
    </row>
    <row r="1765" spans="1:61" x14ac:dyDescent="0.3">
      <c r="A1765" t="str">
        <f>"202367C0100"</f>
        <v>202367C0100</v>
      </c>
      <c r="B1765" t="s">
        <v>3626</v>
      </c>
      <c r="C1765">
        <v>20</v>
      </c>
      <c r="D1765" t="s">
        <v>79</v>
      </c>
      <c r="E1765">
        <v>8</v>
      </c>
      <c r="F1765" t="s">
        <v>3266</v>
      </c>
      <c r="G1765">
        <v>2367</v>
      </c>
      <c r="H1765">
        <v>1</v>
      </c>
      <c r="I1765" t="s">
        <v>89</v>
      </c>
      <c r="J1765">
        <v>0</v>
      </c>
      <c r="K1765">
        <v>2</v>
      </c>
      <c r="L1765">
        <v>2</v>
      </c>
      <c r="M1765">
        <v>211</v>
      </c>
      <c r="N1765">
        <v>428</v>
      </c>
      <c r="O1765">
        <v>8</v>
      </c>
      <c r="P1765">
        <v>428</v>
      </c>
      <c r="Q1765">
        <v>11</v>
      </c>
      <c r="R1765">
        <v>54</v>
      </c>
      <c r="S1765">
        <v>56</v>
      </c>
      <c r="T1765">
        <v>29</v>
      </c>
      <c r="U1765">
        <v>13</v>
      </c>
      <c r="V1765">
        <v>5</v>
      </c>
      <c r="W1765">
        <v>17</v>
      </c>
      <c r="X1765">
        <v>9</v>
      </c>
      <c r="Y1765">
        <v>167</v>
      </c>
      <c r="Z1765">
        <v>6</v>
      </c>
      <c r="AA1765">
        <v>24</v>
      </c>
      <c r="AB1765">
        <v>10</v>
      </c>
      <c r="AC1765">
        <v>4</v>
      </c>
      <c r="AD1765" t="s">
        <v>100</v>
      </c>
      <c r="AE1765" t="s">
        <v>100</v>
      </c>
      <c r="AF1765" t="s">
        <v>100</v>
      </c>
      <c r="AG1765">
        <v>1</v>
      </c>
      <c r="AH1765">
        <v>2</v>
      </c>
      <c r="AI1765" t="s">
        <v>100</v>
      </c>
      <c r="AJ1765" t="s">
        <v>100</v>
      </c>
      <c r="AK1765">
        <v>3</v>
      </c>
      <c r="AL1765">
        <v>1</v>
      </c>
      <c r="AM1765" t="s">
        <v>100</v>
      </c>
      <c r="AN1765" t="s">
        <v>100</v>
      </c>
      <c r="AT1765" t="s">
        <v>100</v>
      </c>
      <c r="AU1765">
        <v>16</v>
      </c>
      <c r="AV1765">
        <v>428</v>
      </c>
      <c r="AW1765">
        <v>428</v>
      </c>
      <c r="AX1765">
        <v>614</v>
      </c>
      <c r="AZ1765" t="s">
        <v>101</v>
      </c>
      <c r="BA1765">
        <v>1</v>
      </c>
      <c r="BC1765" t="s">
        <v>3627</v>
      </c>
      <c r="BD1765" s="4">
        <v>43283.092361111114</v>
      </c>
      <c r="BE1765" s="4">
        <v>43283.097500000003</v>
      </c>
      <c r="BF1765" s="4">
        <v>43283.097500000003</v>
      </c>
      <c r="BG1765" t="s">
        <v>83</v>
      </c>
      <c r="BH1765" t="s">
        <v>84</v>
      </c>
      <c r="BI1765" t="s">
        <v>85</v>
      </c>
    </row>
    <row r="1766" spans="1:61" x14ac:dyDescent="0.3">
      <c r="A1766" t="str">
        <f>"202367C0200"</f>
        <v>202367C0200</v>
      </c>
      <c r="B1766" t="s">
        <v>3628</v>
      </c>
      <c r="C1766">
        <v>20</v>
      </c>
      <c r="D1766" t="s">
        <v>79</v>
      </c>
      <c r="E1766">
        <v>8</v>
      </c>
      <c r="F1766" t="s">
        <v>3266</v>
      </c>
      <c r="G1766">
        <v>2367</v>
      </c>
      <c r="H1766">
        <v>2</v>
      </c>
      <c r="I1766" t="s">
        <v>89</v>
      </c>
      <c r="J1766">
        <v>0</v>
      </c>
      <c r="K1766">
        <v>2</v>
      </c>
      <c r="L1766">
        <v>2</v>
      </c>
      <c r="M1766">
        <v>200</v>
      </c>
      <c r="N1766">
        <v>439</v>
      </c>
      <c r="O1766">
        <v>12</v>
      </c>
      <c r="P1766">
        <v>439</v>
      </c>
      <c r="Q1766">
        <v>1</v>
      </c>
      <c r="R1766">
        <v>42</v>
      </c>
      <c r="S1766">
        <v>57</v>
      </c>
      <c r="T1766">
        <v>35</v>
      </c>
      <c r="U1766">
        <v>15</v>
      </c>
      <c r="V1766">
        <v>7</v>
      </c>
      <c r="W1766">
        <v>26</v>
      </c>
      <c r="X1766">
        <v>17</v>
      </c>
      <c r="Y1766">
        <v>191</v>
      </c>
      <c r="Z1766">
        <v>7</v>
      </c>
      <c r="AA1766">
        <v>14</v>
      </c>
      <c r="AB1766">
        <v>9</v>
      </c>
      <c r="AC1766" t="s">
        <v>100</v>
      </c>
      <c r="AD1766" t="s">
        <v>100</v>
      </c>
      <c r="AE1766" t="s">
        <v>100</v>
      </c>
      <c r="AF1766" t="s">
        <v>100</v>
      </c>
      <c r="AG1766">
        <v>1</v>
      </c>
      <c r="AH1766">
        <v>1</v>
      </c>
      <c r="AI1766" t="s">
        <v>100</v>
      </c>
      <c r="AJ1766" t="s">
        <v>100</v>
      </c>
      <c r="AK1766">
        <v>3</v>
      </c>
      <c r="AL1766" t="s">
        <v>100</v>
      </c>
      <c r="AM1766" t="s">
        <v>100</v>
      </c>
      <c r="AN1766" t="s">
        <v>100</v>
      </c>
      <c r="AT1766" t="s">
        <v>100</v>
      </c>
      <c r="AU1766">
        <v>13</v>
      </c>
      <c r="AV1766">
        <v>439</v>
      </c>
      <c r="AW1766">
        <v>439</v>
      </c>
      <c r="AX1766">
        <v>614</v>
      </c>
      <c r="AZ1766" t="s">
        <v>101</v>
      </c>
      <c r="BA1766">
        <v>1</v>
      </c>
      <c r="BC1766" t="s">
        <v>3629</v>
      </c>
      <c r="BD1766" s="4">
        <v>43283.065972222219</v>
      </c>
      <c r="BE1766" s="4">
        <v>43283.073136574072</v>
      </c>
      <c r="BF1766" s="4">
        <v>43283.073136574072</v>
      </c>
      <c r="BG1766" t="s">
        <v>83</v>
      </c>
      <c r="BH1766" t="s">
        <v>84</v>
      </c>
      <c r="BI1766" t="s">
        <v>85</v>
      </c>
    </row>
    <row r="1767" spans="1:61" x14ac:dyDescent="0.3">
      <c r="A1767" t="str">
        <f>"202367C0300"</f>
        <v>202367C0300</v>
      </c>
      <c r="B1767" t="s">
        <v>3630</v>
      </c>
      <c r="C1767">
        <v>20</v>
      </c>
      <c r="D1767" t="s">
        <v>79</v>
      </c>
      <c r="E1767">
        <v>8</v>
      </c>
      <c r="F1767" t="s">
        <v>3266</v>
      </c>
      <c r="G1767">
        <v>2367</v>
      </c>
      <c r="H1767">
        <v>3</v>
      </c>
      <c r="I1767" t="s">
        <v>89</v>
      </c>
      <c r="J1767">
        <v>0</v>
      </c>
      <c r="K1767">
        <v>2</v>
      </c>
      <c r="L1767">
        <v>2</v>
      </c>
      <c r="M1767">
        <v>231</v>
      </c>
      <c r="N1767" t="s">
        <v>100</v>
      </c>
      <c r="O1767" t="s">
        <v>100</v>
      </c>
      <c r="P1767" t="s">
        <v>100</v>
      </c>
      <c r="Q1767">
        <v>5</v>
      </c>
      <c r="R1767">
        <v>45</v>
      </c>
      <c r="S1767">
        <v>52</v>
      </c>
      <c r="T1767">
        <v>26</v>
      </c>
      <c r="U1767">
        <v>11</v>
      </c>
      <c r="V1767">
        <v>7</v>
      </c>
      <c r="W1767">
        <v>9</v>
      </c>
      <c r="X1767">
        <v>9</v>
      </c>
      <c r="Y1767">
        <v>182</v>
      </c>
      <c r="Z1767">
        <v>5</v>
      </c>
      <c r="AA1767">
        <v>19</v>
      </c>
      <c r="AB1767">
        <v>4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1</v>
      </c>
      <c r="AI1767">
        <v>0</v>
      </c>
      <c r="AJ1767">
        <v>0</v>
      </c>
      <c r="AK1767">
        <v>5</v>
      </c>
      <c r="AL1767">
        <v>2</v>
      </c>
      <c r="AM1767">
        <v>0</v>
      </c>
      <c r="AN1767">
        <v>1</v>
      </c>
      <c r="AT1767">
        <v>1</v>
      </c>
      <c r="AU1767">
        <v>25</v>
      </c>
      <c r="AV1767" t="s">
        <v>100</v>
      </c>
      <c r="AW1767">
        <v>409</v>
      </c>
      <c r="AX1767">
        <v>614</v>
      </c>
      <c r="BA1767">
        <v>1</v>
      </c>
      <c r="BC1767" t="s">
        <v>3631</v>
      </c>
      <c r="BD1767" s="4">
        <v>43283.161111111112</v>
      </c>
      <c r="BE1767" s="4">
        <v>43283.183194444442</v>
      </c>
      <c r="BF1767" s="4">
        <v>43283.183194444442</v>
      </c>
      <c r="BG1767" t="s">
        <v>83</v>
      </c>
      <c r="BH1767" t="s">
        <v>84</v>
      </c>
      <c r="BI1767" t="s">
        <v>85</v>
      </c>
    </row>
    <row r="1768" spans="1:61" x14ac:dyDescent="0.3">
      <c r="A1768" t="str">
        <f>"202367C0400"</f>
        <v>202367C0400</v>
      </c>
      <c r="B1768" t="s">
        <v>3632</v>
      </c>
      <c r="C1768">
        <v>20</v>
      </c>
      <c r="D1768" t="s">
        <v>79</v>
      </c>
      <c r="E1768">
        <v>8</v>
      </c>
      <c r="F1768" t="s">
        <v>3266</v>
      </c>
      <c r="G1768">
        <v>2367</v>
      </c>
      <c r="H1768">
        <v>4</v>
      </c>
      <c r="I1768" t="s">
        <v>89</v>
      </c>
      <c r="J1768">
        <v>0</v>
      </c>
      <c r="K1768">
        <v>2</v>
      </c>
      <c r="L1768">
        <v>2</v>
      </c>
      <c r="M1768">
        <v>235</v>
      </c>
      <c r="N1768">
        <v>404</v>
      </c>
      <c r="O1768">
        <v>8</v>
      </c>
      <c r="P1768">
        <v>404</v>
      </c>
      <c r="Q1768">
        <v>6</v>
      </c>
      <c r="R1768">
        <v>30</v>
      </c>
      <c r="S1768">
        <v>70</v>
      </c>
      <c r="T1768">
        <v>24</v>
      </c>
      <c r="U1768">
        <v>19</v>
      </c>
      <c r="V1768">
        <v>5</v>
      </c>
      <c r="W1768">
        <v>5</v>
      </c>
      <c r="X1768">
        <v>8</v>
      </c>
      <c r="Y1768">
        <v>179</v>
      </c>
      <c r="Z1768">
        <v>9</v>
      </c>
      <c r="AA1768">
        <v>25</v>
      </c>
      <c r="AB1768">
        <v>5</v>
      </c>
      <c r="AC1768">
        <v>0</v>
      </c>
      <c r="AD1768">
        <v>0</v>
      </c>
      <c r="AE1768">
        <v>0</v>
      </c>
      <c r="AF1768">
        <v>0</v>
      </c>
      <c r="AG1768">
        <v>1</v>
      </c>
      <c r="AH1768">
        <v>0</v>
      </c>
      <c r="AI1768">
        <v>0</v>
      </c>
      <c r="AJ1768">
        <v>0</v>
      </c>
      <c r="AK1768">
        <v>2</v>
      </c>
      <c r="AL1768">
        <v>2</v>
      </c>
      <c r="AM1768">
        <v>0</v>
      </c>
      <c r="AN1768">
        <v>0</v>
      </c>
      <c r="AT1768">
        <v>0</v>
      </c>
      <c r="AU1768">
        <v>14</v>
      </c>
      <c r="AV1768">
        <v>404</v>
      </c>
      <c r="AW1768">
        <v>404</v>
      </c>
      <c r="AX1768">
        <v>614</v>
      </c>
      <c r="BA1768">
        <v>1</v>
      </c>
      <c r="BC1768" t="s">
        <v>3633</v>
      </c>
      <c r="BD1768" s="4">
        <v>43283.149305555555</v>
      </c>
      <c r="BE1768" s="4">
        <v>43283.159351851849</v>
      </c>
      <c r="BF1768" s="4">
        <v>43283.159351851849</v>
      </c>
      <c r="BG1768" t="s">
        <v>83</v>
      </c>
      <c r="BH1768" t="s">
        <v>84</v>
      </c>
      <c r="BI1768" t="s">
        <v>85</v>
      </c>
    </row>
    <row r="1769" spans="1:61" x14ac:dyDescent="0.3">
      <c r="A1769" t="str">
        <f>"202367E0100"</f>
        <v>202367E0100</v>
      </c>
      <c r="B1769" s="2" t="s">
        <v>3634</v>
      </c>
      <c r="C1769">
        <v>20</v>
      </c>
      <c r="D1769" t="s">
        <v>79</v>
      </c>
      <c r="E1769">
        <v>8</v>
      </c>
      <c r="F1769" t="s">
        <v>3266</v>
      </c>
      <c r="G1769">
        <v>2367</v>
      </c>
      <c r="H1769">
        <v>1</v>
      </c>
      <c r="I1769" t="s">
        <v>145</v>
      </c>
      <c r="J1769">
        <v>0</v>
      </c>
      <c r="K1769">
        <v>2</v>
      </c>
      <c r="L1769">
        <v>2</v>
      </c>
      <c r="M1769">
        <v>218</v>
      </c>
      <c r="N1769">
        <v>395</v>
      </c>
      <c r="O1769">
        <v>11</v>
      </c>
      <c r="P1769">
        <v>395</v>
      </c>
      <c r="Q1769">
        <v>10</v>
      </c>
      <c r="R1769">
        <v>57</v>
      </c>
      <c r="S1769">
        <v>56</v>
      </c>
      <c r="T1769">
        <v>36</v>
      </c>
      <c r="U1769">
        <v>7</v>
      </c>
      <c r="V1769">
        <v>10</v>
      </c>
      <c r="W1769">
        <v>16</v>
      </c>
      <c r="X1769">
        <v>18</v>
      </c>
      <c r="Y1769">
        <v>141</v>
      </c>
      <c r="Z1769">
        <v>5</v>
      </c>
      <c r="AA1769">
        <v>7</v>
      </c>
      <c r="AB1769">
        <v>10</v>
      </c>
      <c r="AC1769">
        <v>1</v>
      </c>
      <c r="AD1769">
        <v>0</v>
      </c>
      <c r="AE1769">
        <v>0</v>
      </c>
      <c r="AF1769">
        <v>0</v>
      </c>
      <c r="AG1769">
        <v>1</v>
      </c>
      <c r="AH1769">
        <v>0</v>
      </c>
      <c r="AI1769">
        <v>0</v>
      </c>
      <c r="AJ1769">
        <v>0</v>
      </c>
      <c r="AK1769">
        <v>1</v>
      </c>
      <c r="AL1769">
        <v>0</v>
      </c>
      <c r="AM1769">
        <v>0</v>
      </c>
      <c r="AN1769">
        <v>0</v>
      </c>
      <c r="AT1769">
        <v>0</v>
      </c>
      <c r="AU1769">
        <v>19</v>
      </c>
      <c r="AV1769">
        <v>395</v>
      </c>
      <c r="AW1769">
        <v>395</v>
      </c>
      <c r="AX1769">
        <v>588</v>
      </c>
      <c r="BA1769">
        <v>1</v>
      </c>
      <c r="BC1769" t="s">
        <v>3635</v>
      </c>
      <c r="BD1769" s="4">
        <v>43283.07708333333</v>
      </c>
      <c r="BE1769" s="4">
        <v>43283.081458333334</v>
      </c>
      <c r="BF1769" s="4">
        <v>43283.081458333334</v>
      </c>
      <c r="BG1769" t="s">
        <v>83</v>
      </c>
      <c r="BH1769" t="s">
        <v>84</v>
      </c>
      <c r="BI1769" t="s">
        <v>85</v>
      </c>
    </row>
    <row r="1770" spans="1:61" x14ac:dyDescent="0.3">
      <c r="A1770" t="str">
        <f>"202368B0100"</f>
        <v>202368B0100</v>
      </c>
      <c r="B1770" t="s">
        <v>3636</v>
      </c>
      <c r="C1770">
        <v>20</v>
      </c>
      <c r="D1770" t="s">
        <v>79</v>
      </c>
      <c r="E1770">
        <v>8</v>
      </c>
      <c r="F1770" t="s">
        <v>3266</v>
      </c>
      <c r="G1770">
        <v>2368</v>
      </c>
      <c r="H1770">
        <v>1</v>
      </c>
      <c r="I1770" t="s">
        <v>81</v>
      </c>
      <c r="J1770">
        <v>0</v>
      </c>
      <c r="K1770">
        <v>2</v>
      </c>
      <c r="L1770">
        <v>2</v>
      </c>
      <c r="M1770">
        <v>215</v>
      </c>
      <c r="N1770" t="s">
        <v>315</v>
      </c>
      <c r="O1770">
        <v>9</v>
      </c>
      <c r="P1770">
        <v>406</v>
      </c>
      <c r="Q1770">
        <v>4</v>
      </c>
      <c r="R1770">
        <v>43</v>
      </c>
      <c r="S1770">
        <v>53</v>
      </c>
      <c r="T1770">
        <v>28</v>
      </c>
      <c r="U1770">
        <v>9</v>
      </c>
      <c r="V1770">
        <v>5</v>
      </c>
      <c r="W1770">
        <v>10</v>
      </c>
      <c r="X1770">
        <v>13</v>
      </c>
      <c r="Y1770">
        <v>170</v>
      </c>
      <c r="Z1770">
        <v>13</v>
      </c>
      <c r="AA1770">
        <v>19</v>
      </c>
      <c r="AB1770">
        <v>12</v>
      </c>
      <c r="AC1770">
        <v>0</v>
      </c>
      <c r="AD1770">
        <v>1</v>
      </c>
      <c r="AE1770">
        <v>0</v>
      </c>
      <c r="AF1770">
        <v>0</v>
      </c>
      <c r="AG1770">
        <v>0</v>
      </c>
      <c r="AH1770">
        <v>2</v>
      </c>
      <c r="AI1770">
        <v>0</v>
      </c>
      <c r="AJ1770">
        <v>0</v>
      </c>
      <c r="AK1770">
        <v>2</v>
      </c>
      <c r="AL1770">
        <v>0</v>
      </c>
      <c r="AM1770">
        <v>0</v>
      </c>
      <c r="AN1770">
        <v>2</v>
      </c>
      <c r="AT1770">
        <v>0</v>
      </c>
      <c r="AU1770">
        <v>20</v>
      </c>
      <c r="AV1770">
        <v>406</v>
      </c>
      <c r="AW1770">
        <v>406</v>
      </c>
      <c r="AX1770">
        <v>595</v>
      </c>
      <c r="BA1770">
        <v>1</v>
      </c>
      <c r="BC1770" t="s">
        <v>3637</v>
      </c>
      <c r="BD1770" s="4">
        <v>43283.10833333333</v>
      </c>
      <c r="BE1770" s="4">
        <v>43283.113993055558</v>
      </c>
      <c r="BF1770" s="4">
        <v>43283.113993055558</v>
      </c>
      <c r="BG1770" t="s">
        <v>83</v>
      </c>
      <c r="BH1770" t="s">
        <v>84</v>
      </c>
      <c r="BI1770" t="s">
        <v>85</v>
      </c>
    </row>
    <row r="1771" spans="1:61" x14ac:dyDescent="0.3">
      <c r="A1771" t="str">
        <f>"202368C0100"</f>
        <v>202368C0100</v>
      </c>
      <c r="B1771" t="s">
        <v>3638</v>
      </c>
      <c r="C1771">
        <v>20</v>
      </c>
      <c r="D1771" t="s">
        <v>79</v>
      </c>
      <c r="E1771">
        <v>8</v>
      </c>
      <c r="F1771" t="s">
        <v>3266</v>
      </c>
      <c r="G1771">
        <v>2368</v>
      </c>
      <c r="H1771">
        <v>1</v>
      </c>
      <c r="I1771" t="s">
        <v>89</v>
      </c>
      <c r="J1771">
        <v>0</v>
      </c>
      <c r="K1771">
        <v>2</v>
      </c>
      <c r="L1771">
        <v>2</v>
      </c>
      <c r="M1771">
        <v>229</v>
      </c>
      <c r="N1771">
        <v>390</v>
      </c>
      <c r="O1771">
        <v>7</v>
      </c>
      <c r="P1771">
        <v>390</v>
      </c>
      <c r="Q1771">
        <v>10</v>
      </c>
      <c r="R1771">
        <v>44</v>
      </c>
      <c r="S1771">
        <v>55</v>
      </c>
      <c r="T1771">
        <v>24</v>
      </c>
      <c r="U1771">
        <v>23</v>
      </c>
      <c r="V1771">
        <v>4</v>
      </c>
      <c r="W1771">
        <v>10</v>
      </c>
      <c r="X1771">
        <v>9</v>
      </c>
      <c r="Y1771">
        <v>159</v>
      </c>
      <c r="Z1771">
        <v>6</v>
      </c>
      <c r="AA1771">
        <v>9</v>
      </c>
      <c r="AB1771">
        <v>10</v>
      </c>
      <c r="AC1771">
        <v>0</v>
      </c>
      <c r="AD1771">
        <v>0</v>
      </c>
      <c r="AE1771">
        <v>0</v>
      </c>
      <c r="AF1771">
        <v>0</v>
      </c>
      <c r="AG1771">
        <v>1</v>
      </c>
      <c r="AH1771">
        <v>0</v>
      </c>
      <c r="AI1771">
        <v>1</v>
      </c>
      <c r="AJ1771">
        <v>0</v>
      </c>
      <c r="AK1771">
        <v>4</v>
      </c>
      <c r="AL1771">
        <v>1</v>
      </c>
      <c r="AM1771">
        <v>1</v>
      </c>
      <c r="AN1771">
        <v>2</v>
      </c>
      <c r="AT1771">
        <v>0</v>
      </c>
      <c r="AU1771">
        <v>17</v>
      </c>
      <c r="AV1771">
        <v>390</v>
      </c>
      <c r="AW1771">
        <v>390</v>
      </c>
      <c r="AX1771">
        <v>594</v>
      </c>
      <c r="BA1771">
        <v>1</v>
      </c>
      <c r="BC1771" t="s">
        <v>3639</v>
      </c>
      <c r="BD1771" s="4">
        <v>43283.100694444445</v>
      </c>
      <c r="BE1771" s="4">
        <v>43283.109826388885</v>
      </c>
      <c r="BF1771" s="4">
        <v>43283.109826388885</v>
      </c>
      <c r="BG1771" t="s">
        <v>83</v>
      </c>
      <c r="BH1771" t="s">
        <v>84</v>
      </c>
      <c r="BI1771" t="s">
        <v>85</v>
      </c>
    </row>
    <row r="1772" spans="1:61" x14ac:dyDescent="0.3">
      <c r="A1772" t="str">
        <f>"202368C0200"</f>
        <v>202368C0200</v>
      </c>
      <c r="B1772" t="s">
        <v>3640</v>
      </c>
      <c r="C1772">
        <v>20</v>
      </c>
      <c r="D1772" t="s">
        <v>79</v>
      </c>
      <c r="E1772">
        <v>8</v>
      </c>
      <c r="F1772" t="s">
        <v>3266</v>
      </c>
      <c r="G1772">
        <v>2368</v>
      </c>
      <c r="H1772">
        <v>2</v>
      </c>
      <c r="I1772" t="s">
        <v>89</v>
      </c>
      <c r="J1772">
        <v>0</v>
      </c>
      <c r="K1772">
        <v>2</v>
      </c>
      <c r="L1772">
        <v>2</v>
      </c>
      <c r="M1772">
        <v>240</v>
      </c>
      <c r="N1772">
        <v>378</v>
      </c>
      <c r="O1772">
        <v>6</v>
      </c>
      <c r="P1772">
        <v>378</v>
      </c>
      <c r="Q1772">
        <v>6</v>
      </c>
      <c r="R1772">
        <v>44</v>
      </c>
      <c r="S1772">
        <v>62</v>
      </c>
      <c r="T1772">
        <v>23</v>
      </c>
      <c r="U1772">
        <v>12</v>
      </c>
      <c r="V1772">
        <v>4</v>
      </c>
      <c r="W1772">
        <v>16</v>
      </c>
      <c r="X1772">
        <v>6</v>
      </c>
      <c r="Y1772">
        <v>163</v>
      </c>
      <c r="Z1772">
        <v>8</v>
      </c>
      <c r="AA1772">
        <v>8</v>
      </c>
      <c r="AB1772">
        <v>5</v>
      </c>
      <c r="AC1772">
        <v>1</v>
      </c>
      <c r="AD1772">
        <v>0</v>
      </c>
      <c r="AE1772">
        <v>0</v>
      </c>
      <c r="AF1772">
        <v>0</v>
      </c>
      <c r="AG1772">
        <v>1</v>
      </c>
      <c r="AH1772">
        <v>1</v>
      </c>
      <c r="AI1772">
        <v>2</v>
      </c>
      <c r="AJ1772">
        <v>0</v>
      </c>
      <c r="AK1772">
        <v>3</v>
      </c>
      <c r="AL1772">
        <v>1</v>
      </c>
      <c r="AM1772">
        <v>0</v>
      </c>
      <c r="AN1772">
        <v>3</v>
      </c>
      <c r="AT1772">
        <v>0</v>
      </c>
      <c r="AU1772">
        <v>9</v>
      </c>
      <c r="AV1772">
        <v>378</v>
      </c>
      <c r="AW1772">
        <v>378</v>
      </c>
      <c r="AX1772">
        <v>594</v>
      </c>
      <c r="BA1772">
        <v>1</v>
      </c>
      <c r="BC1772" t="s">
        <v>3641</v>
      </c>
      <c r="BD1772" s="4">
        <v>43283.044444444444</v>
      </c>
      <c r="BE1772" s="4">
        <v>43283.051655092589</v>
      </c>
      <c r="BF1772" s="4">
        <v>43283.051655092589</v>
      </c>
      <c r="BG1772" t="s">
        <v>83</v>
      </c>
      <c r="BH1772" t="s">
        <v>84</v>
      </c>
      <c r="BI1772" t="s">
        <v>85</v>
      </c>
    </row>
    <row r="1773" spans="1:61" x14ac:dyDescent="0.3">
      <c r="A1773" t="str">
        <f>"202368S0100"</f>
        <v>202368S0100</v>
      </c>
      <c r="B1773" t="s">
        <v>3642</v>
      </c>
      <c r="C1773">
        <v>20</v>
      </c>
      <c r="D1773" t="s">
        <v>79</v>
      </c>
      <c r="E1773">
        <v>8</v>
      </c>
      <c r="F1773" t="s">
        <v>3266</v>
      </c>
      <c r="G1773">
        <v>2368</v>
      </c>
      <c r="H1773">
        <v>1</v>
      </c>
      <c r="I1773" t="s">
        <v>104</v>
      </c>
      <c r="J1773">
        <v>0</v>
      </c>
      <c r="K1773">
        <v>2</v>
      </c>
      <c r="L1773">
        <v>3</v>
      </c>
      <c r="M1773">
        <v>271</v>
      </c>
      <c r="N1773">
        <v>221</v>
      </c>
      <c r="O1773">
        <v>0</v>
      </c>
      <c r="P1773">
        <v>221</v>
      </c>
      <c r="Q1773">
        <v>3</v>
      </c>
      <c r="R1773">
        <v>12</v>
      </c>
      <c r="S1773">
        <v>30</v>
      </c>
      <c r="T1773">
        <v>12</v>
      </c>
      <c r="U1773">
        <v>11</v>
      </c>
      <c r="V1773">
        <v>4</v>
      </c>
      <c r="W1773">
        <v>3</v>
      </c>
      <c r="X1773">
        <v>3</v>
      </c>
      <c r="Y1773">
        <v>128</v>
      </c>
      <c r="Z1773" t="s">
        <v>100</v>
      </c>
      <c r="AA1773">
        <v>3</v>
      </c>
      <c r="AB1773">
        <v>1</v>
      </c>
      <c r="AC1773" t="s">
        <v>100</v>
      </c>
      <c r="AD1773" t="s">
        <v>100</v>
      </c>
      <c r="AE1773" t="s">
        <v>100</v>
      </c>
      <c r="AF1773">
        <v>1</v>
      </c>
      <c r="AG1773" t="s">
        <v>100</v>
      </c>
      <c r="AH1773" t="s">
        <v>100</v>
      </c>
      <c r="AI1773" t="s">
        <v>100</v>
      </c>
      <c r="AJ1773" t="s">
        <v>100</v>
      </c>
      <c r="AK1773">
        <v>1</v>
      </c>
      <c r="AL1773">
        <v>2</v>
      </c>
      <c r="AM1773" t="s">
        <v>100</v>
      </c>
      <c r="AN1773" t="s">
        <v>100</v>
      </c>
      <c r="AT1773" t="s">
        <v>100</v>
      </c>
      <c r="AU1773">
        <v>7</v>
      </c>
      <c r="AV1773">
        <v>221</v>
      </c>
      <c r="AW1773">
        <v>221</v>
      </c>
      <c r="AX1773">
        <v>0</v>
      </c>
      <c r="AZ1773" t="s">
        <v>101</v>
      </c>
      <c r="BA1773">
        <v>1</v>
      </c>
      <c r="BC1773" t="s">
        <v>3643</v>
      </c>
      <c r="BD1773" s="4">
        <v>43283.140277777777</v>
      </c>
      <c r="BE1773" s="4">
        <v>43283.165416666663</v>
      </c>
      <c r="BF1773" s="4">
        <v>43283.165416666663</v>
      </c>
      <c r="BG1773" t="s">
        <v>83</v>
      </c>
      <c r="BH1773" t="s">
        <v>84</v>
      </c>
      <c r="BI1773" t="s">
        <v>85</v>
      </c>
    </row>
    <row r="1774" spans="1:61" x14ac:dyDescent="0.3">
      <c r="A1774" t="str">
        <f>"202368S0200"</f>
        <v>202368S0200</v>
      </c>
      <c r="B1774" t="s">
        <v>3644</v>
      </c>
      <c r="C1774">
        <v>20</v>
      </c>
      <c r="D1774" t="s">
        <v>79</v>
      </c>
      <c r="E1774">
        <v>8</v>
      </c>
      <c r="F1774" t="s">
        <v>3266</v>
      </c>
      <c r="G1774">
        <v>2368</v>
      </c>
      <c r="H1774">
        <v>2</v>
      </c>
      <c r="I1774" t="s">
        <v>104</v>
      </c>
      <c r="J1774">
        <v>0</v>
      </c>
      <c r="K1774">
        <v>2</v>
      </c>
      <c r="L1774">
        <v>3</v>
      </c>
      <c r="M1774">
        <v>280</v>
      </c>
      <c r="N1774">
        <v>213</v>
      </c>
      <c r="O1774">
        <v>0</v>
      </c>
      <c r="P1774">
        <v>213</v>
      </c>
      <c r="Q1774">
        <v>1</v>
      </c>
      <c r="R1774">
        <v>16</v>
      </c>
      <c r="S1774">
        <v>21</v>
      </c>
      <c r="T1774">
        <v>6</v>
      </c>
      <c r="U1774">
        <v>4</v>
      </c>
      <c r="V1774">
        <v>3</v>
      </c>
      <c r="W1774">
        <v>11</v>
      </c>
      <c r="X1774">
        <v>3</v>
      </c>
      <c r="Y1774">
        <v>128</v>
      </c>
      <c r="Z1774">
        <v>3</v>
      </c>
      <c r="AA1774">
        <v>1</v>
      </c>
      <c r="AB1774">
        <v>3</v>
      </c>
      <c r="AC1774" t="s">
        <v>100</v>
      </c>
      <c r="AD1774" t="s">
        <v>100</v>
      </c>
      <c r="AE1774" t="s">
        <v>100</v>
      </c>
      <c r="AF1774" t="s">
        <v>100</v>
      </c>
      <c r="AG1774" t="s">
        <v>100</v>
      </c>
      <c r="AH1774">
        <v>1</v>
      </c>
      <c r="AI1774" t="s">
        <v>100</v>
      </c>
      <c r="AJ1774" t="s">
        <v>100</v>
      </c>
      <c r="AK1774">
        <v>1</v>
      </c>
      <c r="AL1774" t="s">
        <v>100</v>
      </c>
      <c r="AM1774" t="s">
        <v>100</v>
      </c>
      <c r="AN1774">
        <v>2</v>
      </c>
      <c r="AT1774" t="s">
        <v>100</v>
      </c>
      <c r="AU1774">
        <v>9</v>
      </c>
      <c r="AV1774">
        <v>213</v>
      </c>
      <c r="AW1774">
        <v>213</v>
      </c>
      <c r="AX1774">
        <v>0</v>
      </c>
      <c r="AZ1774" t="s">
        <v>101</v>
      </c>
      <c r="BA1774">
        <v>1</v>
      </c>
      <c r="BC1774" t="s">
        <v>3645</v>
      </c>
      <c r="BD1774" s="4">
        <v>43283.097222222219</v>
      </c>
      <c r="BE1774" s="4">
        <v>43283.789340277777</v>
      </c>
      <c r="BF1774" s="4">
        <v>43283.789340277777</v>
      </c>
      <c r="BG1774" t="s">
        <v>83</v>
      </c>
      <c r="BH1774" t="s">
        <v>84</v>
      </c>
      <c r="BI1774" t="s">
        <v>85</v>
      </c>
    </row>
    <row r="1775" spans="1:61" x14ac:dyDescent="0.3">
      <c r="A1775" t="str">
        <f>"202369B0100"</f>
        <v>202369B0100</v>
      </c>
      <c r="B1775" t="s">
        <v>3646</v>
      </c>
      <c r="C1775">
        <v>20</v>
      </c>
      <c r="D1775" t="s">
        <v>79</v>
      </c>
      <c r="E1775">
        <v>8</v>
      </c>
      <c r="F1775" t="s">
        <v>3266</v>
      </c>
      <c r="G1775">
        <v>2369</v>
      </c>
      <c r="H1775">
        <v>1</v>
      </c>
      <c r="I1775" t="s">
        <v>81</v>
      </c>
      <c r="J1775">
        <v>0</v>
      </c>
      <c r="K1775">
        <v>2</v>
      </c>
      <c r="L1775">
        <v>2</v>
      </c>
      <c r="M1775">
        <v>235</v>
      </c>
      <c r="N1775">
        <v>510</v>
      </c>
      <c r="O1775">
        <v>5</v>
      </c>
      <c r="P1775">
        <v>511</v>
      </c>
      <c r="Q1775">
        <v>8</v>
      </c>
      <c r="R1775">
        <v>43</v>
      </c>
      <c r="S1775">
        <v>55</v>
      </c>
      <c r="T1775">
        <v>44</v>
      </c>
      <c r="U1775">
        <v>15</v>
      </c>
      <c r="V1775">
        <v>9</v>
      </c>
      <c r="W1775">
        <v>38</v>
      </c>
      <c r="X1775">
        <v>12</v>
      </c>
      <c r="Y1775">
        <v>203</v>
      </c>
      <c r="Z1775">
        <v>13</v>
      </c>
      <c r="AA1775">
        <v>18</v>
      </c>
      <c r="AB1775">
        <v>9</v>
      </c>
      <c r="AC1775">
        <v>1</v>
      </c>
      <c r="AD1775">
        <v>0</v>
      </c>
      <c r="AE1775">
        <v>0</v>
      </c>
      <c r="AF1775">
        <v>0</v>
      </c>
      <c r="AG1775">
        <v>0</v>
      </c>
      <c r="AH1775">
        <v>2</v>
      </c>
      <c r="AI1775">
        <v>1</v>
      </c>
      <c r="AJ1775">
        <v>1</v>
      </c>
      <c r="AK1775">
        <v>6</v>
      </c>
      <c r="AL1775">
        <v>1</v>
      </c>
      <c r="AM1775">
        <v>0</v>
      </c>
      <c r="AN1775">
        <v>0</v>
      </c>
      <c r="AT1775">
        <v>1</v>
      </c>
      <c r="AU1775">
        <v>31</v>
      </c>
      <c r="AV1775">
        <v>511</v>
      </c>
      <c r="AW1775">
        <v>511</v>
      </c>
      <c r="AX1775">
        <v>721</v>
      </c>
      <c r="BA1775">
        <v>1</v>
      </c>
      <c r="BC1775" t="s">
        <v>3647</v>
      </c>
      <c r="BD1775" s="4">
        <v>43283.132638888892</v>
      </c>
      <c r="BE1775" s="4">
        <v>43283.136030092595</v>
      </c>
      <c r="BF1775" s="4">
        <v>43283.136030092595</v>
      </c>
      <c r="BG1775" t="s">
        <v>83</v>
      </c>
      <c r="BH1775" t="s">
        <v>84</v>
      </c>
      <c r="BI1775" t="s">
        <v>85</v>
      </c>
    </row>
    <row r="1776" spans="1:61" x14ac:dyDescent="0.3">
      <c r="A1776" t="str">
        <f>"202369C0100"</f>
        <v>202369C0100</v>
      </c>
      <c r="B1776" t="s">
        <v>3648</v>
      </c>
      <c r="C1776">
        <v>20</v>
      </c>
      <c r="D1776" t="s">
        <v>79</v>
      </c>
      <c r="E1776">
        <v>8</v>
      </c>
      <c r="F1776" t="s">
        <v>3266</v>
      </c>
      <c r="G1776">
        <v>2369</v>
      </c>
      <c r="H1776">
        <v>1</v>
      </c>
      <c r="I1776" t="s">
        <v>89</v>
      </c>
      <c r="J1776">
        <v>0</v>
      </c>
      <c r="K1776">
        <v>2</v>
      </c>
      <c r="L1776">
        <v>2</v>
      </c>
      <c r="M1776">
        <v>252</v>
      </c>
      <c r="N1776">
        <v>745</v>
      </c>
      <c r="O1776">
        <v>0</v>
      </c>
      <c r="P1776">
        <v>493</v>
      </c>
      <c r="Q1776">
        <v>9</v>
      </c>
      <c r="R1776">
        <v>51</v>
      </c>
      <c r="S1776">
        <v>62</v>
      </c>
      <c r="T1776">
        <v>42</v>
      </c>
      <c r="U1776">
        <v>15</v>
      </c>
      <c r="V1776">
        <v>8</v>
      </c>
      <c r="W1776">
        <v>31</v>
      </c>
      <c r="X1776">
        <v>9</v>
      </c>
      <c r="Y1776">
        <v>197</v>
      </c>
      <c r="Z1776">
        <v>10</v>
      </c>
      <c r="AA1776">
        <v>18</v>
      </c>
      <c r="AB1776">
        <v>17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1</v>
      </c>
      <c r="AI1776">
        <v>0</v>
      </c>
      <c r="AJ1776">
        <v>0</v>
      </c>
      <c r="AK1776">
        <v>5</v>
      </c>
      <c r="AL1776">
        <v>0</v>
      </c>
      <c r="AM1776">
        <v>0</v>
      </c>
      <c r="AN1776">
        <v>0</v>
      </c>
      <c r="AT1776">
        <v>0</v>
      </c>
      <c r="AU1776">
        <v>18</v>
      </c>
      <c r="AV1776">
        <v>493</v>
      </c>
      <c r="AW1776">
        <v>493</v>
      </c>
      <c r="AX1776">
        <v>720</v>
      </c>
      <c r="BA1776">
        <v>1</v>
      </c>
      <c r="BC1776" t="s">
        <v>3649</v>
      </c>
      <c r="BD1776" s="4">
        <v>43283.136111111111</v>
      </c>
      <c r="BE1776" s="4">
        <v>43283.140543981484</v>
      </c>
      <c r="BF1776" s="4">
        <v>43283.140543981484</v>
      </c>
      <c r="BG1776" t="s">
        <v>83</v>
      </c>
      <c r="BH1776" t="s">
        <v>84</v>
      </c>
      <c r="BI1776" t="s">
        <v>85</v>
      </c>
    </row>
    <row r="1777" spans="1:61" x14ac:dyDescent="0.3">
      <c r="A1777" t="str">
        <f>"202370B0100"</f>
        <v>202370B0100</v>
      </c>
      <c r="B1777" t="s">
        <v>3650</v>
      </c>
      <c r="C1777">
        <v>20</v>
      </c>
      <c r="D1777" t="s">
        <v>79</v>
      </c>
      <c r="E1777">
        <v>8</v>
      </c>
      <c r="F1777" t="s">
        <v>3266</v>
      </c>
      <c r="G1777">
        <v>2370</v>
      </c>
      <c r="H1777">
        <v>1</v>
      </c>
      <c r="I1777" t="s">
        <v>81</v>
      </c>
      <c r="J1777">
        <v>0</v>
      </c>
      <c r="K1777">
        <v>1</v>
      </c>
      <c r="L1777">
        <v>2</v>
      </c>
      <c r="M1777">
        <v>150</v>
      </c>
      <c r="N1777">
        <v>367</v>
      </c>
      <c r="O1777">
        <v>13</v>
      </c>
      <c r="P1777">
        <v>366</v>
      </c>
      <c r="Q1777">
        <v>10</v>
      </c>
      <c r="R1777">
        <v>59</v>
      </c>
      <c r="S1777">
        <v>30</v>
      </c>
      <c r="T1777">
        <v>18</v>
      </c>
      <c r="U1777">
        <v>9</v>
      </c>
      <c r="V1777">
        <v>2</v>
      </c>
      <c r="W1777">
        <v>14</v>
      </c>
      <c r="X1777">
        <v>7</v>
      </c>
      <c r="Y1777">
        <v>159</v>
      </c>
      <c r="Z1777">
        <v>5</v>
      </c>
      <c r="AA1777">
        <v>17</v>
      </c>
      <c r="AB1777">
        <v>9</v>
      </c>
      <c r="AC1777">
        <v>1</v>
      </c>
      <c r="AD1777">
        <v>0</v>
      </c>
      <c r="AE1777">
        <v>1</v>
      </c>
      <c r="AF1777">
        <v>0</v>
      </c>
      <c r="AG1777">
        <v>1</v>
      </c>
      <c r="AH1777">
        <v>0</v>
      </c>
      <c r="AI1777">
        <v>0</v>
      </c>
      <c r="AJ1777">
        <v>0</v>
      </c>
      <c r="AK1777">
        <v>5</v>
      </c>
      <c r="AL1777">
        <v>0</v>
      </c>
      <c r="AM1777">
        <v>0</v>
      </c>
      <c r="AN1777">
        <v>0</v>
      </c>
      <c r="AT1777">
        <v>0</v>
      </c>
      <c r="AU1777">
        <v>19</v>
      </c>
      <c r="AV1777">
        <v>366</v>
      </c>
      <c r="AW1777">
        <v>366</v>
      </c>
      <c r="AX1777">
        <v>490</v>
      </c>
      <c r="BA1777">
        <v>1</v>
      </c>
      <c r="BC1777" t="s">
        <v>3651</v>
      </c>
      <c r="BD1777" s="4">
        <v>43283.083333333336</v>
      </c>
      <c r="BE1777" s="4">
        <v>43283.086238425924</v>
      </c>
      <c r="BF1777" s="4">
        <v>43283.086238425924</v>
      </c>
      <c r="BG1777" t="s">
        <v>83</v>
      </c>
      <c r="BH1777" t="s">
        <v>84</v>
      </c>
      <c r="BI1777" t="s">
        <v>85</v>
      </c>
    </row>
    <row r="1778" spans="1:61" x14ac:dyDescent="0.3">
      <c r="A1778" t="str">
        <f>"202370C0100"</f>
        <v>202370C0100</v>
      </c>
      <c r="B1778" t="s">
        <v>3652</v>
      </c>
      <c r="C1778">
        <v>20</v>
      </c>
      <c r="D1778" t="s">
        <v>79</v>
      </c>
      <c r="E1778">
        <v>8</v>
      </c>
      <c r="F1778" t="s">
        <v>3266</v>
      </c>
      <c r="G1778">
        <v>2370</v>
      </c>
      <c r="H1778">
        <v>1</v>
      </c>
      <c r="I1778" t="s">
        <v>89</v>
      </c>
      <c r="J1778">
        <v>0</v>
      </c>
      <c r="K1778">
        <v>1</v>
      </c>
      <c r="L1778">
        <v>2</v>
      </c>
      <c r="M1778">
        <v>172</v>
      </c>
      <c r="N1778">
        <v>341</v>
      </c>
      <c r="O1778">
        <v>11</v>
      </c>
      <c r="P1778">
        <v>342</v>
      </c>
      <c r="Q1778">
        <v>6</v>
      </c>
      <c r="R1778">
        <v>43</v>
      </c>
      <c r="S1778">
        <v>36</v>
      </c>
      <c r="T1778">
        <v>23</v>
      </c>
      <c r="U1778">
        <v>10</v>
      </c>
      <c r="V1778">
        <v>1</v>
      </c>
      <c r="W1778">
        <v>13</v>
      </c>
      <c r="X1778">
        <v>5</v>
      </c>
      <c r="Y1778">
        <v>164</v>
      </c>
      <c r="Z1778">
        <v>4</v>
      </c>
      <c r="AA1778">
        <v>10</v>
      </c>
      <c r="AB1778">
        <v>9</v>
      </c>
      <c r="AC1778">
        <v>0</v>
      </c>
      <c r="AD1778">
        <v>0</v>
      </c>
      <c r="AE1778">
        <v>0</v>
      </c>
      <c r="AF1778">
        <v>0</v>
      </c>
      <c r="AG1778">
        <v>1</v>
      </c>
      <c r="AH1778">
        <v>3</v>
      </c>
      <c r="AI1778">
        <v>0</v>
      </c>
      <c r="AJ1778">
        <v>0</v>
      </c>
      <c r="AK1778">
        <v>2</v>
      </c>
      <c r="AL1778">
        <v>0</v>
      </c>
      <c r="AM1778">
        <v>0</v>
      </c>
      <c r="AN1778">
        <v>0</v>
      </c>
      <c r="AT1778">
        <v>0</v>
      </c>
      <c r="AU1778">
        <v>12</v>
      </c>
      <c r="AV1778">
        <v>342</v>
      </c>
      <c r="AW1778">
        <v>342</v>
      </c>
      <c r="AX1778">
        <v>490</v>
      </c>
      <c r="BA1778">
        <v>1</v>
      </c>
      <c r="BC1778" t="s">
        <v>3653</v>
      </c>
      <c r="BD1778" s="4">
        <v>43283.095138888886</v>
      </c>
      <c r="BE1778" s="4">
        <v>43283.099652777775</v>
      </c>
      <c r="BF1778" s="4">
        <v>43283.099652777775</v>
      </c>
      <c r="BG1778" t="s">
        <v>83</v>
      </c>
      <c r="BH1778" t="s">
        <v>84</v>
      </c>
      <c r="BI1778" t="s">
        <v>85</v>
      </c>
    </row>
    <row r="1779" spans="1:61" x14ac:dyDescent="0.3">
      <c r="A1779" t="str">
        <f>"202371B0100"</f>
        <v>202371B0100</v>
      </c>
      <c r="B1779" t="s">
        <v>3654</v>
      </c>
      <c r="C1779">
        <v>20</v>
      </c>
      <c r="D1779" t="s">
        <v>79</v>
      </c>
      <c r="E1779">
        <v>8</v>
      </c>
      <c r="F1779" t="s">
        <v>3266</v>
      </c>
      <c r="G1779">
        <v>2371</v>
      </c>
      <c r="H1779">
        <v>1</v>
      </c>
      <c r="I1779" t="s">
        <v>81</v>
      </c>
      <c r="J1779">
        <v>0</v>
      </c>
      <c r="K1779">
        <v>1</v>
      </c>
      <c r="L1779">
        <v>2</v>
      </c>
      <c r="M1779">
        <v>173</v>
      </c>
      <c r="N1779">
        <v>391</v>
      </c>
      <c r="O1779">
        <v>15</v>
      </c>
      <c r="P1779">
        <v>391</v>
      </c>
      <c r="Q1779">
        <v>7</v>
      </c>
      <c r="R1779">
        <v>58</v>
      </c>
      <c r="S1779">
        <v>61</v>
      </c>
      <c r="T1779">
        <v>29</v>
      </c>
      <c r="U1779">
        <v>14</v>
      </c>
      <c r="V1779">
        <v>8</v>
      </c>
      <c r="W1779">
        <v>16</v>
      </c>
      <c r="X1779">
        <v>5</v>
      </c>
      <c r="Y1779">
        <v>141</v>
      </c>
      <c r="Z1779">
        <v>4</v>
      </c>
      <c r="AA1779">
        <v>18</v>
      </c>
      <c r="AB1779">
        <v>6</v>
      </c>
      <c r="AC1779">
        <v>1</v>
      </c>
      <c r="AD1779">
        <v>1</v>
      </c>
      <c r="AE1779">
        <v>1</v>
      </c>
      <c r="AF1779">
        <v>0</v>
      </c>
      <c r="AG1779">
        <v>2</v>
      </c>
      <c r="AH1779">
        <v>1</v>
      </c>
      <c r="AI1779">
        <v>0</v>
      </c>
      <c r="AJ1779">
        <v>0</v>
      </c>
      <c r="AK1779">
        <v>4</v>
      </c>
      <c r="AL1779">
        <v>1</v>
      </c>
      <c r="AM1779">
        <v>0</v>
      </c>
      <c r="AN1779">
        <v>0</v>
      </c>
      <c r="AT1779">
        <v>0</v>
      </c>
      <c r="AU1779">
        <v>13</v>
      </c>
      <c r="AV1779">
        <v>391</v>
      </c>
      <c r="AW1779">
        <v>391</v>
      </c>
      <c r="AX1779">
        <v>539</v>
      </c>
      <c r="BA1779">
        <v>1</v>
      </c>
      <c r="BC1779" t="s">
        <v>3655</v>
      </c>
      <c r="BD1779" s="4">
        <v>43283.109027777777</v>
      </c>
      <c r="BE1779" s="4">
        <v>43283.11209490741</v>
      </c>
      <c r="BF1779" s="4">
        <v>43283.11209490741</v>
      </c>
      <c r="BG1779" t="s">
        <v>83</v>
      </c>
      <c r="BH1779" t="s">
        <v>84</v>
      </c>
      <c r="BI1779" t="s">
        <v>85</v>
      </c>
    </row>
    <row r="1780" spans="1:61" x14ac:dyDescent="0.3">
      <c r="A1780" t="str">
        <f>"202371C0100"</f>
        <v>202371C0100</v>
      </c>
      <c r="B1780" t="s">
        <v>3656</v>
      </c>
      <c r="C1780">
        <v>20</v>
      </c>
      <c r="D1780" t="s">
        <v>79</v>
      </c>
      <c r="E1780">
        <v>8</v>
      </c>
      <c r="F1780" t="s">
        <v>3266</v>
      </c>
      <c r="G1780">
        <v>2371</v>
      </c>
      <c r="H1780">
        <v>1</v>
      </c>
      <c r="I1780" t="s">
        <v>89</v>
      </c>
      <c r="J1780">
        <v>0</v>
      </c>
      <c r="K1780">
        <v>1</v>
      </c>
      <c r="L1780">
        <v>2</v>
      </c>
      <c r="M1780">
        <v>170</v>
      </c>
      <c r="N1780">
        <v>394</v>
      </c>
      <c r="O1780">
        <v>10</v>
      </c>
      <c r="P1780">
        <v>394</v>
      </c>
      <c r="Q1780">
        <v>6</v>
      </c>
      <c r="R1780">
        <v>47</v>
      </c>
      <c r="S1780">
        <v>56</v>
      </c>
      <c r="T1780">
        <v>17</v>
      </c>
      <c r="U1780">
        <v>23</v>
      </c>
      <c r="V1780">
        <v>7</v>
      </c>
      <c r="W1780">
        <v>18</v>
      </c>
      <c r="X1780">
        <v>9</v>
      </c>
      <c r="Y1780">
        <v>146</v>
      </c>
      <c r="Z1780">
        <v>3</v>
      </c>
      <c r="AA1780">
        <v>15</v>
      </c>
      <c r="AB1780">
        <v>17</v>
      </c>
      <c r="AC1780">
        <v>0</v>
      </c>
      <c r="AD1780">
        <v>1</v>
      </c>
      <c r="AE1780">
        <v>0</v>
      </c>
      <c r="AF1780">
        <v>0</v>
      </c>
      <c r="AG1780">
        <v>2</v>
      </c>
      <c r="AH1780">
        <v>0</v>
      </c>
      <c r="AI1780">
        <v>1</v>
      </c>
      <c r="AJ1780">
        <v>0</v>
      </c>
      <c r="AK1780">
        <v>4</v>
      </c>
      <c r="AL1780">
        <v>2</v>
      </c>
      <c r="AM1780">
        <v>0</v>
      </c>
      <c r="AN1780">
        <v>0</v>
      </c>
      <c r="AT1780">
        <v>1</v>
      </c>
      <c r="AU1780">
        <v>20</v>
      </c>
      <c r="AV1780">
        <v>394</v>
      </c>
      <c r="AW1780">
        <v>395</v>
      </c>
      <c r="AX1780">
        <v>539</v>
      </c>
      <c r="BA1780">
        <v>1</v>
      </c>
      <c r="BC1780" t="s">
        <v>3657</v>
      </c>
      <c r="BD1780" s="4">
        <v>43283.104861111111</v>
      </c>
      <c r="BE1780" s="4">
        <v>43283.110185185185</v>
      </c>
      <c r="BF1780" s="4">
        <v>43283.110185185185</v>
      </c>
      <c r="BG1780" t="s">
        <v>83</v>
      </c>
      <c r="BH1780" t="s">
        <v>84</v>
      </c>
      <c r="BI1780" t="s">
        <v>85</v>
      </c>
    </row>
    <row r="1781" spans="1:61" x14ac:dyDescent="0.3">
      <c r="A1781" t="str">
        <f>"202371C0200"</f>
        <v>202371C0200</v>
      </c>
      <c r="B1781" t="s">
        <v>3658</v>
      </c>
      <c r="C1781">
        <v>20</v>
      </c>
      <c r="D1781" t="s">
        <v>79</v>
      </c>
      <c r="E1781">
        <v>8</v>
      </c>
      <c r="F1781" t="s">
        <v>3266</v>
      </c>
      <c r="G1781">
        <v>2371</v>
      </c>
      <c r="H1781">
        <v>2</v>
      </c>
      <c r="I1781" t="s">
        <v>89</v>
      </c>
      <c r="J1781">
        <v>0</v>
      </c>
      <c r="K1781">
        <v>1</v>
      </c>
      <c r="L1781">
        <v>2</v>
      </c>
      <c r="M1781">
        <v>185</v>
      </c>
      <c r="N1781">
        <v>378</v>
      </c>
      <c r="O1781">
        <v>9</v>
      </c>
      <c r="P1781">
        <v>378</v>
      </c>
      <c r="Q1781">
        <v>5</v>
      </c>
      <c r="R1781">
        <v>63</v>
      </c>
      <c r="S1781">
        <v>47</v>
      </c>
      <c r="T1781">
        <v>18</v>
      </c>
      <c r="U1781">
        <v>13</v>
      </c>
      <c r="V1781">
        <v>8</v>
      </c>
      <c r="W1781">
        <v>22</v>
      </c>
      <c r="X1781">
        <v>10</v>
      </c>
      <c r="Y1781">
        <v>153</v>
      </c>
      <c r="Z1781">
        <v>4</v>
      </c>
      <c r="AA1781">
        <v>10</v>
      </c>
      <c r="AB1781">
        <v>8</v>
      </c>
      <c r="AC1781">
        <v>0</v>
      </c>
      <c r="AD1781">
        <v>0</v>
      </c>
      <c r="AE1781">
        <v>0</v>
      </c>
      <c r="AF1781">
        <v>0</v>
      </c>
      <c r="AG1781">
        <v>1</v>
      </c>
      <c r="AH1781">
        <v>1</v>
      </c>
      <c r="AI1781">
        <v>0</v>
      </c>
      <c r="AJ1781">
        <v>1</v>
      </c>
      <c r="AK1781">
        <v>1</v>
      </c>
      <c r="AL1781">
        <v>0</v>
      </c>
      <c r="AM1781">
        <v>0</v>
      </c>
      <c r="AN1781">
        <v>0</v>
      </c>
      <c r="AT1781">
        <v>1</v>
      </c>
      <c r="AU1781">
        <v>12</v>
      </c>
      <c r="AV1781">
        <v>378</v>
      </c>
      <c r="AW1781">
        <v>378</v>
      </c>
      <c r="AX1781">
        <v>538</v>
      </c>
      <c r="BA1781">
        <v>1</v>
      </c>
      <c r="BC1781" t="s">
        <v>3659</v>
      </c>
      <c r="BD1781" s="4">
        <v>43283.106249999997</v>
      </c>
      <c r="BE1781" s="4">
        <v>43283.109837962962</v>
      </c>
      <c r="BF1781" s="4">
        <v>43283.109837962962</v>
      </c>
      <c r="BG1781" t="s">
        <v>83</v>
      </c>
      <c r="BH1781" t="s">
        <v>84</v>
      </c>
      <c r="BI1781" t="s">
        <v>85</v>
      </c>
    </row>
    <row r="1782" spans="1:61" x14ac:dyDescent="0.3">
      <c r="A1782" t="str">
        <f>"202372B0100"</f>
        <v>202372B0100</v>
      </c>
      <c r="B1782" t="s">
        <v>3660</v>
      </c>
      <c r="C1782">
        <v>20</v>
      </c>
      <c r="D1782" t="s">
        <v>79</v>
      </c>
      <c r="E1782">
        <v>8</v>
      </c>
      <c r="F1782" t="s">
        <v>3266</v>
      </c>
      <c r="G1782">
        <v>2372</v>
      </c>
      <c r="H1782">
        <v>1</v>
      </c>
      <c r="I1782" t="s">
        <v>81</v>
      </c>
      <c r="J1782">
        <v>0</v>
      </c>
      <c r="K1782">
        <v>1</v>
      </c>
      <c r="L1782">
        <v>2</v>
      </c>
      <c r="M1782">
        <v>217</v>
      </c>
      <c r="N1782">
        <v>460</v>
      </c>
      <c r="O1782">
        <v>11</v>
      </c>
      <c r="P1782">
        <v>460</v>
      </c>
      <c r="Q1782">
        <v>7</v>
      </c>
      <c r="R1782">
        <v>78</v>
      </c>
      <c r="S1782">
        <v>64</v>
      </c>
      <c r="T1782">
        <v>28</v>
      </c>
      <c r="U1782">
        <v>3</v>
      </c>
      <c r="V1782">
        <v>5</v>
      </c>
      <c r="W1782">
        <v>16</v>
      </c>
      <c r="X1782">
        <v>7</v>
      </c>
      <c r="Y1782">
        <v>187</v>
      </c>
      <c r="Z1782">
        <v>5</v>
      </c>
      <c r="AA1782">
        <v>18</v>
      </c>
      <c r="AB1782">
        <v>11</v>
      </c>
      <c r="AC1782">
        <v>2</v>
      </c>
      <c r="AD1782">
        <v>1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3</v>
      </c>
      <c r="AM1782">
        <v>1</v>
      </c>
      <c r="AN1782">
        <v>1</v>
      </c>
      <c r="AT1782">
        <v>0</v>
      </c>
      <c r="AU1782">
        <v>23</v>
      </c>
      <c r="AV1782">
        <v>460</v>
      </c>
      <c r="AW1782">
        <v>460</v>
      </c>
      <c r="AX1782">
        <v>652</v>
      </c>
      <c r="BA1782">
        <v>1</v>
      </c>
      <c r="BC1782" t="s">
        <v>3661</v>
      </c>
      <c r="BD1782" s="4">
        <v>43283.137499999997</v>
      </c>
      <c r="BE1782" s="4">
        <v>43283.140810185185</v>
      </c>
      <c r="BF1782" s="4">
        <v>43283.140810185185</v>
      </c>
      <c r="BG1782" t="s">
        <v>83</v>
      </c>
      <c r="BH1782" t="s">
        <v>84</v>
      </c>
      <c r="BI1782" t="s">
        <v>85</v>
      </c>
    </row>
    <row r="1783" spans="1:61" x14ac:dyDescent="0.3">
      <c r="A1783" t="str">
        <f>"202372C0100"</f>
        <v>202372C0100</v>
      </c>
      <c r="B1783" t="s">
        <v>3662</v>
      </c>
      <c r="C1783">
        <v>20</v>
      </c>
      <c r="D1783" t="s">
        <v>79</v>
      </c>
      <c r="E1783">
        <v>8</v>
      </c>
      <c r="F1783" t="s">
        <v>3266</v>
      </c>
      <c r="G1783">
        <v>2372</v>
      </c>
      <c r="H1783">
        <v>1</v>
      </c>
      <c r="I1783" t="s">
        <v>89</v>
      </c>
      <c r="J1783">
        <v>0</v>
      </c>
      <c r="K1783">
        <v>1</v>
      </c>
      <c r="L1783">
        <v>2</v>
      </c>
      <c r="M1783">
        <v>195</v>
      </c>
      <c r="N1783">
        <v>482</v>
      </c>
      <c r="O1783">
        <v>12</v>
      </c>
      <c r="P1783">
        <v>482</v>
      </c>
      <c r="Q1783">
        <v>9</v>
      </c>
      <c r="R1783">
        <v>74</v>
      </c>
      <c r="S1783">
        <v>56</v>
      </c>
      <c r="T1783">
        <v>28</v>
      </c>
      <c r="U1783">
        <v>11</v>
      </c>
      <c r="V1783">
        <v>12</v>
      </c>
      <c r="W1783">
        <v>9</v>
      </c>
      <c r="X1783">
        <v>12</v>
      </c>
      <c r="Y1783">
        <v>203</v>
      </c>
      <c r="Z1783">
        <v>11</v>
      </c>
      <c r="AA1783">
        <v>20</v>
      </c>
      <c r="AB1783">
        <v>8</v>
      </c>
      <c r="AC1783" t="s">
        <v>100</v>
      </c>
      <c r="AD1783" t="s">
        <v>100</v>
      </c>
      <c r="AE1783" t="s">
        <v>100</v>
      </c>
      <c r="AF1783" t="s">
        <v>100</v>
      </c>
      <c r="AG1783">
        <v>3</v>
      </c>
      <c r="AH1783">
        <v>1</v>
      </c>
      <c r="AI1783" t="s">
        <v>100</v>
      </c>
      <c r="AJ1783" t="s">
        <v>100</v>
      </c>
      <c r="AK1783">
        <v>3</v>
      </c>
      <c r="AL1783">
        <v>1</v>
      </c>
      <c r="AM1783" t="s">
        <v>100</v>
      </c>
      <c r="AN1783" t="s">
        <v>100</v>
      </c>
      <c r="AT1783" t="s">
        <v>100</v>
      </c>
      <c r="AU1783">
        <v>21</v>
      </c>
      <c r="AV1783">
        <v>482</v>
      </c>
      <c r="AW1783">
        <v>482</v>
      </c>
      <c r="AX1783">
        <v>652</v>
      </c>
      <c r="AZ1783" t="s">
        <v>101</v>
      </c>
      <c r="BA1783">
        <v>1</v>
      </c>
      <c r="BC1783" t="s">
        <v>3663</v>
      </c>
      <c r="BD1783" s="4">
        <v>43283.109722222223</v>
      </c>
      <c r="BE1783" s="4">
        <v>43283.113657407404</v>
      </c>
      <c r="BF1783" s="4">
        <v>43283.113657407404</v>
      </c>
      <c r="BG1783" t="s">
        <v>83</v>
      </c>
      <c r="BH1783" t="s">
        <v>84</v>
      </c>
      <c r="BI1783" t="s">
        <v>85</v>
      </c>
    </row>
    <row r="1784" spans="1:61" x14ac:dyDescent="0.3">
      <c r="A1784" t="str">
        <f>"202373B0100"</f>
        <v>202373B0100</v>
      </c>
      <c r="B1784" t="s">
        <v>3664</v>
      </c>
      <c r="C1784">
        <v>20</v>
      </c>
      <c r="D1784" t="s">
        <v>79</v>
      </c>
      <c r="E1784">
        <v>8</v>
      </c>
      <c r="F1784" t="s">
        <v>3266</v>
      </c>
      <c r="G1784">
        <v>2373</v>
      </c>
      <c r="H1784">
        <v>1</v>
      </c>
      <c r="I1784" t="s">
        <v>81</v>
      </c>
      <c r="J1784">
        <v>0</v>
      </c>
      <c r="K1784">
        <v>2</v>
      </c>
      <c r="L1784">
        <v>2</v>
      </c>
      <c r="M1784">
        <v>244</v>
      </c>
      <c r="N1784">
        <v>477</v>
      </c>
      <c r="O1784">
        <v>4</v>
      </c>
      <c r="P1784">
        <v>477</v>
      </c>
      <c r="Q1784">
        <v>5</v>
      </c>
      <c r="R1784">
        <v>58</v>
      </c>
      <c r="S1784">
        <v>75</v>
      </c>
      <c r="T1784">
        <v>26</v>
      </c>
      <c r="U1784">
        <v>13</v>
      </c>
      <c r="V1784">
        <v>4</v>
      </c>
      <c r="W1784">
        <v>14</v>
      </c>
      <c r="X1784">
        <v>6</v>
      </c>
      <c r="Y1784">
        <v>243</v>
      </c>
      <c r="Z1784">
        <v>9</v>
      </c>
      <c r="AA1784">
        <v>4</v>
      </c>
      <c r="AB1784">
        <v>6</v>
      </c>
      <c r="AC1784">
        <v>1</v>
      </c>
      <c r="AD1784">
        <v>0</v>
      </c>
      <c r="AE1784">
        <v>0</v>
      </c>
      <c r="AF1784">
        <v>0</v>
      </c>
      <c r="AG1784">
        <v>0</v>
      </c>
      <c r="AH1784">
        <v>1</v>
      </c>
      <c r="AI1784">
        <v>1</v>
      </c>
      <c r="AJ1784">
        <v>0</v>
      </c>
      <c r="AK1784">
        <v>2</v>
      </c>
      <c r="AL1784">
        <v>1</v>
      </c>
      <c r="AM1784">
        <v>0</v>
      </c>
      <c r="AN1784">
        <v>0</v>
      </c>
      <c r="AT1784">
        <v>0</v>
      </c>
      <c r="AU1784">
        <v>8</v>
      </c>
      <c r="AV1784" t="s">
        <v>100</v>
      </c>
      <c r="AW1784">
        <v>477</v>
      </c>
      <c r="AX1784">
        <v>696</v>
      </c>
      <c r="BA1784">
        <v>1</v>
      </c>
      <c r="BC1784" t="s">
        <v>3665</v>
      </c>
      <c r="BD1784" s="4">
        <v>43283.179861111108</v>
      </c>
      <c r="BE1784" s="4">
        <v>43283.197569444441</v>
      </c>
      <c r="BF1784" s="4">
        <v>43283.197569444441</v>
      </c>
      <c r="BG1784" t="s">
        <v>83</v>
      </c>
      <c r="BH1784" t="s">
        <v>84</v>
      </c>
      <c r="BI1784" t="s">
        <v>85</v>
      </c>
    </row>
    <row r="1785" spans="1:61" x14ac:dyDescent="0.3">
      <c r="A1785" t="str">
        <f>"202373C0100"</f>
        <v>202373C0100</v>
      </c>
      <c r="B1785" t="s">
        <v>3666</v>
      </c>
      <c r="C1785">
        <v>20</v>
      </c>
      <c r="D1785" t="s">
        <v>79</v>
      </c>
      <c r="E1785">
        <v>8</v>
      </c>
      <c r="F1785" t="s">
        <v>3266</v>
      </c>
      <c r="G1785">
        <v>2373</v>
      </c>
      <c r="H1785">
        <v>1</v>
      </c>
      <c r="I1785" t="s">
        <v>89</v>
      </c>
      <c r="J1785">
        <v>0</v>
      </c>
      <c r="K1785">
        <v>2</v>
      </c>
      <c r="L1785">
        <v>2</v>
      </c>
      <c r="M1785">
        <v>253</v>
      </c>
      <c r="N1785">
        <v>468</v>
      </c>
      <c r="O1785">
        <v>4</v>
      </c>
      <c r="P1785">
        <v>466</v>
      </c>
      <c r="Q1785">
        <v>7</v>
      </c>
      <c r="R1785">
        <v>55</v>
      </c>
      <c r="S1785">
        <v>54</v>
      </c>
      <c r="T1785">
        <v>20</v>
      </c>
      <c r="U1785">
        <v>15</v>
      </c>
      <c r="V1785">
        <v>6</v>
      </c>
      <c r="W1785">
        <v>12</v>
      </c>
      <c r="X1785">
        <v>12</v>
      </c>
      <c r="Y1785">
        <v>232</v>
      </c>
      <c r="Z1785">
        <v>9</v>
      </c>
      <c r="AA1785">
        <v>7</v>
      </c>
      <c r="AB1785">
        <v>6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3</v>
      </c>
      <c r="AL1785">
        <v>0</v>
      </c>
      <c r="AM1785">
        <v>1</v>
      </c>
      <c r="AN1785">
        <v>0</v>
      </c>
      <c r="AT1785">
        <v>0</v>
      </c>
      <c r="AU1785">
        <v>27</v>
      </c>
      <c r="AV1785">
        <v>466</v>
      </c>
      <c r="AW1785">
        <v>466</v>
      </c>
      <c r="AX1785">
        <v>696</v>
      </c>
      <c r="BA1785">
        <v>1</v>
      </c>
      <c r="BC1785" t="s">
        <v>3667</v>
      </c>
      <c r="BD1785" s="4">
        <v>43283.103472222225</v>
      </c>
      <c r="BE1785" s="4">
        <v>43283.106585648151</v>
      </c>
      <c r="BF1785" s="4">
        <v>43283.106585648151</v>
      </c>
      <c r="BG1785" t="s">
        <v>83</v>
      </c>
      <c r="BH1785" t="s">
        <v>84</v>
      </c>
      <c r="BI1785" t="s">
        <v>85</v>
      </c>
    </row>
    <row r="1786" spans="1:61" x14ac:dyDescent="0.3">
      <c r="A1786" t="str">
        <f>"202373C0200"</f>
        <v>202373C0200</v>
      </c>
      <c r="B1786" t="s">
        <v>3668</v>
      </c>
      <c r="C1786">
        <v>20</v>
      </c>
      <c r="D1786" t="s">
        <v>79</v>
      </c>
      <c r="E1786">
        <v>8</v>
      </c>
      <c r="F1786" t="s">
        <v>3266</v>
      </c>
      <c r="G1786">
        <v>2373</v>
      </c>
      <c r="H1786">
        <v>2</v>
      </c>
      <c r="I1786" t="s">
        <v>89</v>
      </c>
      <c r="J1786">
        <v>0</v>
      </c>
      <c r="K1786">
        <v>2</v>
      </c>
      <c r="L1786">
        <v>2</v>
      </c>
      <c r="M1786">
        <v>237</v>
      </c>
      <c r="N1786">
        <v>484</v>
      </c>
      <c r="O1786">
        <v>12</v>
      </c>
      <c r="P1786">
        <v>484</v>
      </c>
      <c r="Q1786">
        <v>7</v>
      </c>
      <c r="R1786">
        <v>45</v>
      </c>
      <c r="S1786">
        <v>71</v>
      </c>
      <c r="T1786">
        <v>27</v>
      </c>
      <c r="U1786">
        <v>17</v>
      </c>
      <c r="V1786">
        <v>3</v>
      </c>
      <c r="W1786">
        <v>12</v>
      </c>
      <c r="X1786">
        <v>6</v>
      </c>
      <c r="Y1786">
        <v>253</v>
      </c>
      <c r="Z1786">
        <v>5</v>
      </c>
      <c r="AA1786">
        <v>7</v>
      </c>
      <c r="AB1786">
        <v>8</v>
      </c>
      <c r="AC1786">
        <v>1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2</v>
      </c>
      <c r="AL1786">
        <v>3</v>
      </c>
      <c r="AM1786">
        <v>0</v>
      </c>
      <c r="AN1786">
        <v>0</v>
      </c>
      <c r="AT1786">
        <v>0</v>
      </c>
      <c r="AU1786">
        <v>16</v>
      </c>
      <c r="AV1786">
        <v>484</v>
      </c>
      <c r="AW1786">
        <v>483</v>
      </c>
      <c r="AX1786">
        <v>696</v>
      </c>
      <c r="BA1786">
        <v>1</v>
      </c>
      <c r="BC1786" t="s">
        <v>3669</v>
      </c>
      <c r="BD1786" s="4">
        <v>43283.107638888891</v>
      </c>
      <c r="BE1786" s="4">
        <v>43283.110717592594</v>
      </c>
      <c r="BF1786" s="4">
        <v>43283.110717592594</v>
      </c>
      <c r="BG1786" t="s">
        <v>83</v>
      </c>
      <c r="BH1786" t="s">
        <v>84</v>
      </c>
      <c r="BI1786" t="s">
        <v>85</v>
      </c>
    </row>
    <row r="1787" spans="1:61" x14ac:dyDescent="0.3">
      <c r="A1787" t="str">
        <f>"202373C0300"</f>
        <v>202373C0300</v>
      </c>
      <c r="B1787" t="s">
        <v>3670</v>
      </c>
      <c r="C1787">
        <v>20</v>
      </c>
      <c r="D1787" t="s">
        <v>79</v>
      </c>
      <c r="E1787">
        <v>8</v>
      </c>
      <c r="F1787" t="s">
        <v>3266</v>
      </c>
      <c r="G1787">
        <v>2373</v>
      </c>
      <c r="H1787">
        <v>3</v>
      </c>
      <c r="I1787" t="s">
        <v>89</v>
      </c>
      <c r="J1787">
        <v>0</v>
      </c>
      <c r="K1787">
        <v>2</v>
      </c>
      <c r="L1787">
        <v>2</v>
      </c>
      <c r="M1787">
        <v>270</v>
      </c>
      <c r="N1787">
        <v>451</v>
      </c>
      <c r="O1787">
        <v>8</v>
      </c>
      <c r="P1787">
        <v>451</v>
      </c>
      <c r="Q1787">
        <v>10</v>
      </c>
      <c r="R1787">
        <v>54</v>
      </c>
      <c r="S1787">
        <v>59</v>
      </c>
      <c r="T1787">
        <v>26</v>
      </c>
      <c r="U1787">
        <v>15</v>
      </c>
      <c r="V1787">
        <v>11</v>
      </c>
      <c r="W1787">
        <v>12</v>
      </c>
      <c r="X1787">
        <v>5</v>
      </c>
      <c r="Y1787">
        <v>221</v>
      </c>
      <c r="Z1787">
        <v>6</v>
      </c>
      <c r="AA1787">
        <v>7</v>
      </c>
      <c r="AB1787">
        <v>8</v>
      </c>
      <c r="AC1787" t="s">
        <v>100</v>
      </c>
      <c r="AD1787" t="s">
        <v>100</v>
      </c>
      <c r="AE1787" t="s">
        <v>100</v>
      </c>
      <c r="AF1787" t="s">
        <v>100</v>
      </c>
      <c r="AG1787" t="s">
        <v>100</v>
      </c>
      <c r="AH1787">
        <v>3</v>
      </c>
      <c r="AI1787" t="s">
        <v>100</v>
      </c>
      <c r="AJ1787" t="s">
        <v>100</v>
      </c>
      <c r="AK1787">
        <v>2</v>
      </c>
      <c r="AL1787">
        <v>1</v>
      </c>
      <c r="AM1787" t="s">
        <v>100</v>
      </c>
      <c r="AN1787">
        <v>2</v>
      </c>
      <c r="AT1787" t="s">
        <v>100</v>
      </c>
      <c r="AU1787">
        <v>9</v>
      </c>
      <c r="AV1787" t="s">
        <v>100</v>
      </c>
      <c r="AW1787">
        <v>451</v>
      </c>
      <c r="AX1787">
        <v>696</v>
      </c>
      <c r="AZ1787" t="s">
        <v>101</v>
      </c>
      <c r="BA1787">
        <v>1</v>
      </c>
      <c r="BC1787" t="s">
        <v>3671</v>
      </c>
      <c r="BD1787" s="4">
        <v>43283.057638888888</v>
      </c>
      <c r="BE1787" s="4">
        <v>43283.064895833333</v>
      </c>
      <c r="BF1787" s="4">
        <v>43283.064895833333</v>
      </c>
      <c r="BG1787" t="s">
        <v>83</v>
      </c>
      <c r="BH1787" t="s">
        <v>84</v>
      </c>
      <c r="BI1787" t="s">
        <v>85</v>
      </c>
    </row>
    <row r="1788" spans="1:61" x14ac:dyDescent="0.3">
      <c r="A1788" t="str">
        <f>"202373C0400"</f>
        <v>202373C0400</v>
      </c>
      <c r="B1788" t="s">
        <v>3672</v>
      </c>
      <c r="C1788">
        <v>20</v>
      </c>
      <c r="D1788" t="s">
        <v>79</v>
      </c>
      <c r="E1788">
        <v>8</v>
      </c>
      <c r="F1788" t="s">
        <v>3266</v>
      </c>
      <c r="G1788">
        <v>2373</v>
      </c>
      <c r="H1788">
        <v>4</v>
      </c>
      <c r="I1788" t="s">
        <v>89</v>
      </c>
      <c r="J1788">
        <v>0</v>
      </c>
      <c r="K1788">
        <v>2</v>
      </c>
      <c r="L1788">
        <v>2</v>
      </c>
      <c r="M1788">
        <v>245</v>
      </c>
      <c r="N1788">
        <v>473</v>
      </c>
      <c r="O1788">
        <v>13</v>
      </c>
      <c r="P1788">
        <v>475</v>
      </c>
      <c r="Q1788">
        <v>5</v>
      </c>
      <c r="R1788">
        <v>62</v>
      </c>
      <c r="S1788">
        <v>52</v>
      </c>
      <c r="T1788">
        <v>26</v>
      </c>
      <c r="U1788">
        <v>13</v>
      </c>
      <c r="V1788">
        <v>9</v>
      </c>
      <c r="W1788">
        <v>19</v>
      </c>
      <c r="X1788">
        <v>6</v>
      </c>
      <c r="Y1788">
        <v>231</v>
      </c>
      <c r="Z1788">
        <v>9</v>
      </c>
      <c r="AA1788">
        <v>13</v>
      </c>
      <c r="AB1788">
        <v>9</v>
      </c>
      <c r="AC1788">
        <v>1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3</v>
      </c>
      <c r="AL1788">
        <v>1</v>
      </c>
      <c r="AM1788">
        <v>0</v>
      </c>
      <c r="AN1788">
        <v>0</v>
      </c>
      <c r="AT1788">
        <v>0</v>
      </c>
      <c r="AU1788">
        <v>16</v>
      </c>
      <c r="AV1788" t="s">
        <v>100</v>
      </c>
      <c r="AW1788">
        <v>475</v>
      </c>
      <c r="AX1788">
        <v>695</v>
      </c>
      <c r="BA1788">
        <v>1</v>
      </c>
      <c r="BC1788" t="s">
        <v>3673</v>
      </c>
      <c r="BD1788" s="4">
        <v>43283.138194444444</v>
      </c>
      <c r="BE1788" s="4">
        <v>43283.141122685185</v>
      </c>
      <c r="BF1788" s="4">
        <v>43283.141122685185</v>
      </c>
      <c r="BG1788" t="s">
        <v>83</v>
      </c>
      <c r="BH1788" t="s">
        <v>84</v>
      </c>
      <c r="BI1788" t="s">
        <v>85</v>
      </c>
    </row>
    <row r="1789" spans="1:61" x14ac:dyDescent="0.3">
      <c r="A1789" t="str">
        <f>"202373E0100"</f>
        <v>202373E0100</v>
      </c>
      <c r="B1789" s="2" t="s">
        <v>3674</v>
      </c>
      <c r="C1789">
        <v>20</v>
      </c>
      <c r="D1789" t="s">
        <v>79</v>
      </c>
      <c r="E1789">
        <v>8</v>
      </c>
      <c r="F1789" t="s">
        <v>3266</v>
      </c>
      <c r="G1789">
        <v>2373</v>
      </c>
      <c r="H1789">
        <v>1</v>
      </c>
      <c r="I1789" t="s">
        <v>145</v>
      </c>
      <c r="J1789">
        <v>0</v>
      </c>
      <c r="K1789">
        <v>2</v>
      </c>
      <c r="L1789">
        <v>2</v>
      </c>
      <c r="M1789">
        <v>221</v>
      </c>
      <c r="N1789">
        <v>416</v>
      </c>
      <c r="O1789">
        <v>11</v>
      </c>
      <c r="P1789">
        <v>392</v>
      </c>
      <c r="Q1789">
        <v>11</v>
      </c>
      <c r="R1789">
        <v>25</v>
      </c>
      <c r="S1789">
        <v>58</v>
      </c>
      <c r="T1789">
        <v>14</v>
      </c>
      <c r="U1789">
        <v>17</v>
      </c>
      <c r="V1789">
        <v>4</v>
      </c>
      <c r="W1789">
        <v>17</v>
      </c>
      <c r="X1789">
        <v>15</v>
      </c>
      <c r="Y1789">
        <v>194</v>
      </c>
      <c r="Z1789">
        <v>7</v>
      </c>
      <c r="AA1789">
        <v>4</v>
      </c>
      <c r="AB1789">
        <v>13</v>
      </c>
      <c r="AC1789">
        <v>1</v>
      </c>
      <c r="AD1789">
        <v>1</v>
      </c>
      <c r="AE1789">
        <v>0</v>
      </c>
      <c r="AF1789">
        <v>0</v>
      </c>
      <c r="AG1789">
        <v>0</v>
      </c>
      <c r="AH1789">
        <v>0</v>
      </c>
      <c r="AI1789">
        <v>1</v>
      </c>
      <c r="AJ1789">
        <v>1</v>
      </c>
      <c r="AK1789">
        <v>6</v>
      </c>
      <c r="AL1789">
        <v>4</v>
      </c>
      <c r="AM1789">
        <v>0</v>
      </c>
      <c r="AN1789">
        <v>0</v>
      </c>
      <c r="AT1789">
        <v>0</v>
      </c>
      <c r="AU1789">
        <v>26</v>
      </c>
      <c r="AV1789" t="s">
        <v>100</v>
      </c>
      <c r="AW1789">
        <v>419</v>
      </c>
      <c r="AX1789">
        <v>614</v>
      </c>
      <c r="BA1789">
        <v>1</v>
      </c>
      <c r="BC1789" s="2" t="s">
        <v>3675</v>
      </c>
      <c r="BD1789" s="4">
        <v>43283.113194444442</v>
      </c>
      <c r="BE1789" s="4">
        <v>43283.121608796297</v>
      </c>
      <c r="BF1789" s="4">
        <v>43283.121608796297</v>
      </c>
      <c r="BG1789" t="s">
        <v>83</v>
      </c>
      <c r="BH1789" t="s">
        <v>84</v>
      </c>
      <c r="BI1789" t="s">
        <v>85</v>
      </c>
    </row>
    <row r="1790" spans="1:61" x14ac:dyDescent="0.3">
      <c r="A1790" t="str">
        <f>"202374B0100"</f>
        <v>202374B0100</v>
      </c>
      <c r="B1790" t="s">
        <v>3676</v>
      </c>
      <c r="C1790">
        <v>20</v>
      </c>
      <c r="D1790" t="s">
        <v>79</v>
      </c>
      <c r="E1790">
        <v>8</v>
      </c>
      <c r="F1790" t="s">
        <v>3266</v>
      </c>
      <c r="G1790">
        <v>2374</v>
      </c>
      <c r="H1790">
        <v>1</v>
      </c>
      <c r="I1790" t="s">
        <v>81</v>
      </c>
      <c r="J1790">
        <v>0</v>
      </c>
      <c r="K1790">
        <v>2</v>
      </c>
      <c r="L1790">
        <v>2</v>
      </c>
      <c r="M1790">
        <v>234</v>
      </c>
      <c r="N1790">
        <v>501</v>
      </c>
      <c r="O1790">
        <v>8</v>
      </c>
      <c r="P1790">
        <v>499</v>
      </c>
      <c r="Q1790">
        <v>12</v>
      </c>
      <c r="R1790">
        <v>61</v>
      </c>
      <c r="S1790">
        <v>63</v>
      </c>
      <c r="T1790">
        <v>35</v>
      </c>
      <c r="U1790">
        <v>14</v>
      </c>
      <c r="V1790">
        <v>3</v>
      </c>
      <c r="W1790">
        <v>21</v>
      </c>
      <c r="X1790">
        <v>20</v>
      </c>
      <c r="Y1790">
        <v>198</v>
      </c>
      <c r="Z1790">
        <v>5</v>
      </c>
      <c r="AA1790">
        <v>9</v>
      </c>
      <c r="AB1790">
        <v>17</v>
      </c>
      <c r="AC1790" t="s">
        <v>100</v>
      </c>
      <c r="AD1790">
        <v>1</v>
      </c>
      <c r="AE1790" t="s">
        <v>100</v>
      </c>
      <c r="AF1790" t="s">
        <v>100</v>
      </c>
      <c r="AG1790">
        <v>2</v>
      </c>
      <c r="AH1790">
        <v>1</v>
      </c>
      <c r="AI1790" t="s">
        <v>100</v>
      </c>
      <c r="AJ1790" t="s">
        <v>100</v>
      </c>
      <c r="AK1790">
        <v>3</v>
      </c>
      <c r="AL1790">
        <v>2</v>
      </c>
      <c r="AM1790">
        <v>1</v>
      </c>
      <c r="AN1790">
        <v>1</v>
      </c>
      <c r="AT1790" t="s">
        <v>100</v>
      </c>
      <c r="AU1790">
        <v>30</v>
      </c>
      <c r="AV1790">
        <v>499</v>
      </c>
      <c r="AW1790">
        <v>499</v>
      </c>
      <c r="AX1790">
        <v>710</v>
      </c>
      <c r="AZ1790" t="s">
        <v>101</v>
      </c>
      <c r="BA1790">
        <v>1</v>
      </c>
      <c r="BC1790" t="s">
        <v>3677</v>
      </c>
      <c r="BD1790" s="4">
        <v>43283.09652777778</v>
      </c>
      <c r="BE1790" s="4">
        <v>43283.101122685184</v>
      </c>
      <c r="BF1790" s="4">
        <v>43283.101122685184</v>
      </c>
      <c r="BG1790" t="s">
        <v>83</v>
      </c>
      <c r="BH1790" t="s">
        <v>84</v>
      </c>
      <c r="BI1790" t="s">
        <v>85</v>
      </c>
    </row>
    <row r="1791" spans="1:61" x14ac:dyDescent="0.3">
      <c r="A1791" t="str">
        <f>"202374C0100"</f>
        <v>202374C0100</v>
      </c>
      <c r="B1791" t="s">
        <v>3678</v>
      </c>
      <c r="C1791">
        <v>20</v>
      </c>
      <c r="D1791" t="s">
        <v>79</v>
      </c>
      <c r="E1791">
        <v>8</v>
      </c>
      <c r="F1791" t="s">
        <v>3266</v>
      </c>
      <c r="G1791">
        <v>2374</v>
      </c>
      <c r="H1791">
        <v>1</v>
      </c>
      <c r="I1791" t="s">
        <v>89</v>
      </c>
      <c r="J1791">
        <v>0</v>
      </c>
      <c r="K1791">
        <v>2</v>
      </c>
      <c r="L1791">
        <v>2</v>
      </c>
      <c r="M1791">
        <v>249</v>
      </c>
      <c r="N1791">
        <v>486</v>
      </c>
      <c r="O1791">
        <v>9</v>
      </c>
      <c r="P1791">
        <v>486</v>
      </c>
      <c r="Q1791">
        <v>11</v>
      </c>
      <c r="R1791">
        <v>45</v>
      </c>
      <c r="S1791">
        <v>84</v>
      </c>
      <c r="T1791">
        <v>25</v>
      </c>
      <c r="U1791">
        <v>10</v>
      </c>
      <c r="V1791">
        <v>7</v>
      </c>
      <c r="W1791">
        <v>13</v>
      </c>
      <c r="X1791">
        <v>22</v>
      </c>
      <c r="Y1791">
        <v>207</v>
      </c>
      <c r="Z1791">
        <v>5</v>
      </c>
      <c r="AA1791">
        <v>13</v>
      </c>
      <c r="AB1791">
        <v>10</v>
      </c>
      <c r="AC1791">
        <v>1</v>
      </c>
      <c r="AD1791">
        <v>0</v>
      </c>
      <c r="AE1791">
        <v>0</v>
      </c>
      <c r="AF1791">
        <v>0</v>
      </c>
      <c r="AG1791">
        <v>1</v>
      </c>
      <c r="AH1791">
        <v>2</v>
      </c>
      <c r="AI1791">
        <v>0</v>
      </c>
      <c r="AJ1791">
        <v>0</v>
      </c>
      <c r="AK1791">
        <v>3</v>
      </c>
      <c r="AL1791">
        <v>2</v>
      </c>
      <c r="AM1791">
        <v>0</v>
      </c>
      <c r="AN1791">
        <v>2</v>
      </c>
      <c r="AT1791">
        <v>0</v>
      </c>
      <c r="AU1791">
        <v>23</v>
      </c>
      <c r="AV1791">
        <v>486</v>
      </c>
      <c r="AW1791">
        <v>486</v>
      </c>
      <c r="AX1791">
        <v>710</v>
      </c>
      <c r="BA1791">
        <v>1</v>
      </c>
      <c r="BC1791" t="s">
        <v>3679</v>
      </c>
      <c r="BD1791" s="4">
        <v>43283.147916666669</v>
      </c>
      <c r="BE1791" s="4">
        <v>43283.165567129632</v>
      </c>
      <c r="BF1791" s="4">
        <v>43283.165567129632</v>
      </c>
      <c r="BG1791" t="s">
        <v>83</v>
      </c>
      <c r="BH1791" t="s">
        <v>84</v>
      </c>
      <c r="BI1791" t="s">
        <v>85</v>
      </c>
    </row>
    <row r="1792" spans="1:61" x14ac:dyDescent="0.3">
      <c r="A1792" t="str">
        <f>"202374C0200"</f>
        <v>202374C0200</v>
      </c>
      <c r="B1792" t="s">
        <v>3680</v>
      </c>
      <c r="C1792">
        <v>20</v>
      </c>
      <c r="D1792" t="s">
        <v>79</v>
      </c>
      <c r="E1792">
        <v>8</v>
      </c>
      <c r="F1792" t="s">
        <v>3266</v>
      </c>
      <c r="G1792">
        <v>2374</v>
      </c>
      <c r="H1792">
        <v>2</v>
      </c>
      <c r="I1792" t="s">
        <v>89</v>
      </c>
      <c r="J1792">
        <v>0</v>
      </c>
      <c r="K1792">
        <v>2</v>
      </c>
      <c r="L1792">
        <v>2</v>
      </c>
      <c r="M1792">
        <v>256</v>
      </c>
      <c r="N1792">
        <v>479</v>
      </c>
      <c r="O1792">
        <v>7</v>
      </c>
      <c r="P1792">
        <v>477</v>
      </c>
      <c r="Q1792">
        <v>5</v>
      </c>
      <c r="R1792">
        <v>64</v>
      </c>
      <c r="S1792">
        <v>64</v>
      </c>
      <c r="T1792">
        <v>22</v>
      </c>
      <c r="U1792">
        <v>18</v>
      </c>
      <c r="V1792">
        <v>14</v>
      </c>
      <c r="W1792">
        <v>30</v>
      </c>
      <c r="X1792">
        <v>11</v>
      </c>
      <c r="Y1792">
        <v>170</v>
      </c>
      <c r="Z1792">
        <v>7</v>
      </c>
      <c r="AA1792">
        <v>23</v>
      </c>
      <c r="AB1792">
        <v>7</v>
      </c>
      <c r="AC1792">
        <v>3</v>
      </c>
      <c r="AD1792">
        <v>1</v>
      </c>
      <c r="AE1792">
        <v>0</v>
      </c>
      <c r="AF1792">
        <v>0</v>
      </c>
      <c r="AG1792">
        <v>1</v>
      </c>
      <c r="AH1792">
        <v>1</v>
      </c>
      <c r="AI1792">
        <v>0</v>
      </c>
      <c r="AJ1792">
        <v>0</v>
      </c>
      <c r="AK1792">
        <v>11</v>
      </c>
      <c r="AL1792">
        <v>2</v>
      </c>
      <c r="AM1792">
        <v>0</v>
      </c>
      <c r="AN1792">
        <v>2</v>
      </c>
      <c r="AT1792">
        <v>0</v>
      </c>
      <c r="AU1792">
        <v>21</v>
      </c>
      <c r="AV1792">
        <v>477</v>
      </c>
      <c r="AW1792">
        <v>477</v>
      </c>
      <c r="AX1792">
        <v>710</v>
      </c>
      <c r="BA1792">
        <v>1</v>
      </c>
      <c r="BC1792" t="s">
        <v>3681</v>
      </c>
      <c r="BD1792" s="4">
        <v>43283.115277777775</v>
      </c>
      <c r="BE1792" s="4">
        <v>43283.13894675926</v>
      </c>
      <c r="BF1792" s="4">
        <v>43283.13894675926</v>
      </c>
      <c r="BG1792" t="s">
        <v>83</v>
      </c>
      <c r="BH1792" t="s">
        <v>84</v>
      </c>
      <c r="BI1792" t="s">
        <v>85</v>
      </c>
    </row>
    <row r="1793" spans="1:61" x14ac:dyDescent="0.3">
      <c r="A1793" t="str">
        <f>"202374C0300"</f>
        <v>202374C0300</v>
      </c>
      <c r="B1793" t="s">
        <v>3682</v>
      </c>
      <c r="C1793">
        <v>20</v>
      </c>
      <c r="D1793" t="s">
        <v>79</v>
      </c>
      <c r="E1793">
        <v>8</v>
      </c>
      <c r="F1793" t="s">
        <v>3266</v>
      </c>
      <c r="G1793">
        <v>2374</v>
      </c>
      <c r="H1793">
        <v>3</v>
      </c>
      <c r="I1793" t="s">
        <v>89</v>
      </c>
      <c r="J1793">
        <v>0</v>
      </c>
      <c r="K1793">
        <v>2</v>
      </c>
      <c r="L1793">
        <v>2</v>
      </c>
      <c r="M1793">
        <v>292</v>
      </c>
      <c r="N1793">
        <v>444</v>
      </c>
      <c r="O1793">
        <v>8</v>
      </c>
      <c r="P1793">
        <v>444</v>
      </c>
      <c r="Q1793">
        <v>11</v>
      </c>
      <c r="R1793">
        <v>71</v>
      </c>
      <c r="S1793">
        <v>58</v>
      </c>
      <c r="T1793">
        <v>14</v>
      </c>
      <c r="U1793">
        <v>12</v>
      </c>
      <c r="V1793">
        <v>9</v>
      </c>
      <c r="W1793">
        <v>19</v>
      </c>
      <c r="X1793">
        <v>19</v>
      </c>
      <c r="Y1793">
        <v>164</v>
      </c>
      <c r="Z1793">
        <v>7</v>
      </c>
      <c r="AA1793">
        <v>17</v>
      </c>
      <c r="AB1793">
        <v>10</v>
      </c>
      <c r="AC1793">
        <v>2</v>
      </c>
      <c r="AD1793">
        <v>0</v>
      </c>
      <c r="AE1793">
        <v>0</v>
      </c>
      <c r="AF1793">
        <v>1</v>
      </c>
      <c r="AG1793">
        <v>1</v>
      </c>
      <c r="AH1793">
        <v>0</v>
      </c>
      <c r="AI1793">
        <v>1</v>
      </c>
      <c r="AJ1793">
        <v>1</v>
      </c>
      <c r="AK1793">
        <v>2</v>
      </c>
      <c r="AL1793">
        <v>1</v>
      </c>
      <c r="AM1793">
        <v>0</v>
      </c>
      <c r="AN1793">
        <v>1</v>
      </c>
      <c r="AT1793">
        <v>0</v>
      </c>
      <c r="AU1793">
        <v>22</v>
      </c>
      <c r="AV1793">
        <v>443</v>
      </c>
      <c r="AW1793">
        <v>443</v>
      </c>
      <c r="AX1793">
        <v>709</v>
      </c>
      <c r="BA1793">
        <v>1</v>
      </c>
      <c r="BC1793" t="s">
        <v>3683</v>
      </c>
      <c r="BD1793" s="4">
        <v>43283.158333333333</v>
      </c>
      <c r="BE1793" s="4">
        <v>43283.169398148151</v>
      </c>
      <c r="BF1793" s="4">
        <v>43283.169398148151</v>
      </c>
      <c r="BG1793" t="s">
        <v>83</v>
      </c>
      <c r="BH1793" t="s">
        <v>84</v>
      </c>
      <c r="BI1793" t="s">
        <v>85</v>
      </c>
    </row>
    <row r="1794" spans="1:61" x14ac:dyDescent="0.3">
      <c r="A1794" t="str">
        <f>"202375B0100"</f>
        <v>202375B0100</v>
      </c>
      <c r="B1794" t="s">
        <v>3684</v>
      </c>
      <c r="C1794">
        <v>20</v>
      </c>
      <c r="D1794" t="s">
        <v>79</v>
      </c>
      <c r="E1794">
        <v>8</v>
      </c>
      <c r="F1794" t="s">
        <v>3266</v>
      </c>
      <c r="G1794">
        <v>2375</v>
      </c>
      <c r="H1794">
        <v>1</v>
      </c>
      <c r="I1794" t="s">
        <v>81</v>
      </c>
      <c r="J1794">
        <v>0</v>
      </c>
      <c r="K1794">
        <v>2</v>
      </c>
      <c r="L1794">
        <v>2</v>
      </c>
      <c r="M1794">
        <v>269</v>
      </c>
      <c r="N1794">
        <v>466</v>
      </c>
      <c r="O1794">
        <v>6</v>
      </c>
      <c r="P1794">
        <v>465</v>
      </c>
      <c r="Q1794">
        <v>9</v>
      </c>
      <c r="R1794">
        <v>73</v>
      </c>
      <c r="S1794">
        <v>63</v>
      </c>
      <c r="T1794">
        <v>23</v>
      </c>
      <c r="U1794">
        <v>17</v>
      </c>
      <c r="V1794">
        <v>15</v>
      </c>
      <c r="W1794">
        <v>30</v>
      </c>
      <c r="X1794">
        <v>23</v>
      </c>
      <c r="Y1794">
        <v>78</v>
      </c>
      <c r="Z1794">
        <v>3</v>
      </c>
      <c r="AA1794">
        <v>5</v>
      </c>
      <c r="AB1794">
        <v>6</v>
      </c>
      <c r="AC1794" t="s">
        <v>100</v>
      </c>
      <c r="AD1794" t="s">
        <v>100</v>
      </c>
      <c r="AE1794" t="s">
        <v>100</v>
      </c>
      <c r="AF1794" t="s">
        <v>100</v>
      </c>
      <c r="AG1794" t="s">
        <v>100</v>
      </c>
      <c r="AH1794" t="s">
        <v>100</v>
      </c>
      <c r="AI1794" t="s">
        <v>100</v>
      </c>
      <c r="AJ1794" t="s">
        <v>100</v>
      </c>
      <c r="AK1794">
        <v>2</v>
      </c>
      <c r="AL1794" t="s">
        <v>100</v>
      </c>
      <c r="AM1794" t="s">
        <v>100</v>
      </c>
      <c r="AN1794">
        <v>5</v>
      </c>
      <c r="AT1794" t="s">
        <v>100</v>
      </c>
      <c r="AU1794">
        <v>13</v>
      </c>
      <c r="AV1794">
        <v>365</v>
      </c>
      <c r="AW1794">
        <v>365</v>
      </c>
      <c r="AX1794">
        <v>709</v>
      </c>
      <c r="AZ1794" t="s">
        <v>101</v>
      </c>
      <c r="BA1794">
        <v>1</v>
      </c>
      <c r="BC1794" t="s">
        <v>3685</v>
      </c>
      <c r="BD1794" s="4">
        <v>43283.122916666667</v>
      </c>
      <c r="BE1794" s="4">
        <v>43283.12641203704</v>
      </c>
      <c r="BF1794" s="4">
        <v>43283.12641203704</v>
      </c>
      <c r="BG1794" t="s">
        <v>83</v>
      </c>
      <c r="BH1794" t="s">
        <v>84</v>
      </c>
      <c r="BI1794" t="s">
        <v>85</v>
      </c>
    </row>
    <row r="1795" spans="1:61" x14ac:dyDescent="0.3">
      <c r="A1795" t="str">
        <f>"202375C0100"</f>
        <v>202375C0100</v>
      </c>
      <c r="B1795" t="s">
        <v>3686</v>
      </c>
      <c r="C1795">
        <v>20</v>
      </c>
      <c r="D1795" t="s">
        <v>79</v>
      </c>
      <c r="E1795">
        <v>8</v>
      </c>
      <c r="F1795" t="s">
        <v>3266</v>
      </c>
      <c r="G1795">
        <v>2375</v>
      </c>
      <c r="H1795">
        <v>1</v>
      </c>
      <c r="I1795" t="s">
        <v>89</v>
      </c>
      <c r="J1795">
        <v>0</v>
      </c>
      <c r="K1795">
        <v>2</v>
      </c>
      <c r="L1795">
        <v>2</v>
      </c>
      <c r="M1795">
        <v>276</v>
      </c>
      <c r="N1795">
        <v>458</v>
      </c>
      <c r="O1795">
        <v>6</v>
      </c>
      <c r="P1795">
        <v>458</v>
      </c>
      <c r="Q1795">
        <v>1</v>
      </c>
      <c r="R1795">
        <v>75</v>
      </c>
      <c r="S1795">
        <v>62</v>
      </c>
      <c r="T1795">
        <v>18</v>
      </c>
      <c r="U1795">
        <v>10</v>
      </c>
      <c r="V1795">
        <v>8</v>
      </c>
      <c r="W1795">
        <v>25</v>
      </c>
      <c r="X1795">
        <v>21</v>
      </c>
      <c r="Y1795">
        <v>186</v>
      </c>
      <c r="Z1795">
        <v>7</v>
      </c>
      <c r="AA1795">
        <v>14</v>
      </c>
      <c r="AB1795">
        <v>5</v>
      </c>
      <c r="AC1795">
        <v>2</v>
      </c>
      <c r="AD1795">
        <v>0</v>
      </c>
      <c r="AE1795">
        <v>0</v>
      </c>
      <c r="AF1795">
        <v>0</v>
      </c>
      <c r="AG1795">
        <v>1</v>
      </c>
      <c r="AH1795">
        <v>1</v>
      </c>
      <c r="AI1795">
        <v>0</v>
      </c>
      <c r="AJ1795">
        <v>0</v>
      </c>
      <c r="AK1795">
        <v>4</v>
      </c>
      <c r="AL1795">
        <v>1</v>
      </c>
      <c r="AM1795">
        <v>0</v>
      </c>
      <c r="AN1795">
        <v>0</v>
      </c>
      <c r="AT1795">
        <v>0</v>
      </c>
      <c r="AU1795">
        <v>17</v>
      </c>
      <c r="AV1795">
        <v>458</v>
      </c>
      <c r="AW1795">
        <v>458</v>
      </c>
      <c r="AX1795">
        <v>709</v>
      </c>
      <c r="BA1795">
        <v>1</v>
      </c>
      <c r="BC1795" t="s">
        <v>3687</v>
      </c>
      <c r="BD1795" s="4">
        <v>43283.276388888888</v>
      </c>
      <c r="BE1795" s="4">
        <v>43283.303657407407</v>
      </c>
      <c r="BF1795" s="4">
        <v>43283.303657407407</v>
      </c>
      <c r="BG1795" t="s">
        <v>83</v>
      </c>
      <c r="BH1795" t="s">
        <v>84</v>
      </c>
      <c r="BI1795" t="s">
        <v>85</v>
      </c>
    </row>
    <row r="1796" spans="1:61" x14ac:dyDescent="0.3">
      <c r="A1796" t="str">
        <f>"202375C0200"</f>
        <v>202375C0200</v>
      </c>
      <c r="B1796" t="s">
        <v>3688</v>
      </c>
      <c r="C1796">
        <v>20</v>
      </c>
      <c r="D1796" t="s">
        <v>79</v>
      </c>
      <c r="E1796">
        <v>8</v>
      </c>
      <c r="F1796" t="s">
        <v>3266</v>
      </c>
      <c r="G1796">
        <v>2375</v>
      </c>
      <c r="H1796">
        <v>2</v>
      </c>
      <c r="I1796" t="s">
        <v>89</v>
      </c>
      <c r="J1796">
        <v>0</v>
      </c>
      <c r="K1796">
        <v>2</v>
      </c>
      <c r="L1796">
        <v>2</v>
      </c>
      <c r="AX1796">
        <v>708</v>
      </c>
      <c r="AZ1796" t="s">
        <v>156</v>
      </c>
      <c r="BA1796">
        <v>0</v>
      </c>
      <c r="BC1796" t="s">
        <v>3689</v>
      </c>
      <c r="BD1796" s="4">
        <v>43283.277777777781</v>
      </c>
      <c r="BE1796" s="4">
        <v>43283.785254629627</v>
      </c>
      <c r="BF1796" s="4">
        <v>43283.785254629627</v>
      </c>
      <c r="BG1796" t="s">
        <v>83</v>
      </c>
      <c r="BH1796" t="s">
        <v>84</v>
      </c>
      <c r="BI1796" t="s">
        <v>85</v>
      </c>
    </row>
    <row r="1797" spans="1:61" x14ac:dyDescent="0.3">
      <c r="A1797" t="str">
        <f>"202375C0300"</f>
        <v>202375C0300</v>
      </c>
      <c r="B1797" t="s">
        <v>3690</v>
      </c>
      <c r="C1797">
        <v>20</v>
      </c>
      <c r="D1797" t="s">
        <v>79</v>
      </c>
      <c r="E1797">
        <v>8</v>
      </c>
      <c r="F1797" t="s">
        <v>3266</v>
      </c>
      <c r="G1797">
        <v>2375</v>
      </c>
      <c r="H1797">
        <v>3</v>
      </c>
      <c r="I1797" t="s">
        <v>89</v>
      </c>
      <c r="J1797">
        <v>0</v>
      </c>
      <c r="K1797">
        <v>2</v>
      </c>
      <c r="L1797">
        <v>2</v>
      </c>
      <c r="M1797">
        <v>270</v>
      </c>
      <c r="N1797">
        <v>463</v>
      </c>
      <c r="O1797">
        <v>8</v>
      </c>
      <c r="P1797">
        <v>463</v>
      </c>
      <c r="Q1797">
        <v>8</v>
      </c>
      <c r="R1797">
        <v>75</v>
      </c>
      <c r="S1797">
        <v>83</v>
      </c>
      <c r="T1797">
        <v>26</v>
      </c>
      <c r="U1797">
        <v>15</v>
      </c>
      <c r="V1797">
        <v>7</v>
      </c>
      <c r="W1797">
        <v>11</v>
      </c>
      <c r="X1797">
        <v>26</v>
      </c>
      <c r="Y1797">
        <v>158</v>
      </c>
      <c r="Z1797">
        <v>7</v>
      </c>
      <c r="AA1797">
        <v>10</v>
      </c>
      <c r="AB1797">
        <v>10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2</v>
      </c>
      <c r="AL1797">
        <v>2</v>
      </c>
      <c r="AM1797">
        <v>0</v>
      </c>
      <c r="AN1797">
        <v>0</v>
      </c>
      <c r="AT1797" t="s">
        <v>100</v>
      </c>
      <c r="AU1797">
        <v>21</v>
      </c>
      <c r="AV1797">
        <v>463</v>
      </c>
      <c r="AW1797">
        <v>461</v>
      </c>
      <c r="AX1797">
        <v>708</v>
      </c>
      <c r="AZ1797" t="s">
        <v>101</v>
      </c>
      <c r="BA1797">
        <v>1</v>
      </c>
      <c r="BC1797" t="s">
        <v>3691</v>
      </c>
      <c r="BD1797" s="4">
        <v>43283.277083333334</v>
      </c>
      <c r="BE1797" s="4">
        <v>43283.306400462963</v>
      </c>
      <c r="BF1797" s="4">
        <v>43283.306400462963</v>
      </c>
      <c r="BG1797" t="s">
        <v>83</v>
      </c>
      <c r="BH1797" t="s">
        <v>84</v>
      </c>
      <c r="BI1797" t="s">
        <v>85</v>
      </c>
    </row>
    <row r="1798" spans="1:61" x14ac:dyDescent="0.3">
      <c r="A1798" t="str">
        <f>"202376B0100"</f>
        <v>202376B0100</v>
      </c>
      <c r="B1798" t="s">
        <v>3692</v>
      </c>
      <c r="C1798">
        <v>20</v>
      </c>
      <c r="D1798" t="s">
        <v>79</v>
      </c>
      <c r="E1798">
        <v>8</v>
      </c>
      <c r="F1798" t="s">
        <v>3266</v>
      </c>
      <c r="G1798">
        <v>2376</v>
      </c>
      <c r="H1798">
        <v>1</v>
      </c>
      <c r="I1798" t="s">
        <v>81</v>
      </c>
      <c r="J1798">
        <v>0</v>
      </c>
      <c r="K1798">
        <v>2</v>
      </c>
      <c r="L1798">
        <v>2</v>
      </c>
      <c r="M1798">
        <v>158</v>
      </c>
      <c r="N1798">
        <v>355</v>
      </c>
      <c r="O1798">
        <v>9</v>
      </c>
      <c r="P1798">
        <v>354</v>
      </c>
      <c r="Q1798">
        <v>5</v>
      </c>
      <c r="R1798">
        <v>85</v>
      </c>
      <c r="S1798">
        <v>51</v>
      </c>
      <c r="T1798">
        <v>29</v>
      </c>
      <c r="U1798">
        <v>20</v>
      </c>
      <c r="V1798">
        <v>7</v>
      </c>
      <c r="W1798">
        <v>34</v>
      </c>
      <c r="X1798">
        <v>25</v>
      </c>
      <c r="Y1798">
        <v>67</v>
      </c>
      <c r="Z1798">
        <v>3</v>
      </c>
      <c r="AA1798">
        <v>6</v>
      </c>
      <c r="AB1798">
        <v>2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1</v>
      </c>
      <c r="AI1798">
        <v>0</v>
      </c>
      <c r="AJ1798">
        <v>0</v>
      </c>
      <c r="AK1798">
        <v>1</v>
      </c>
      <c r="AL1798">
        <v>1</v>
      </c>
      <c r="AM1798">
        <v>0</v>
      </c>
      <c r="AN1798">
        <v>0</v>
      </c>
      <c r="AT1798">
        <v>0</v>
      </c>
      <c r="AU1798">
        <v>17</v>
      </c>
      <c r="AV1798">
        <v>354</v>
      </c>
      <c r="AW1798">
        <v>354</v>
      </c>
      <c r="AX1798">
        <v>487</v>
      </c>
      <c r="BA1798">
        <v>1</v>
      </c>
      <c r="BC1798" t="s">
        <v>3693</v>
      </c>
      <c r="BD1798" s="4">
        <v>43283.140972222223</v>
      </c>
      <c r="BE1798" s="4">
        <v>43283.14702546296</v>
      </c>
      <c r="BF1798" s="4">
        <v>43283.14702546296</v>
      </c>
      <c r="BG1798" t="s">
        <v>83</v>
      </c>
      <c r="BH1798" t="s">
        <v>84</v>
      </c>
      <c r="BI1798" t="s">
        <v>85</v>
      </c>
    </row>
    <row r="1799" spans="1:61" x14ac:dyDescent="0.3">
      <c r="A1799" t="str">
        <f>"202376C0100"</f>
        <v>202376C0100</v>
      </c>
      <c r="B1799" t="s">
        <v>3694</v>
      </c>
      <c r="C1799">
        <v>20</v>
      </c>
      <c r="D1799" t="s">
        <v>79</v>
      </c>
      <c r="E1799">
        <v>8</v>
      </c>
      <c r="F1799" t="s">
        <v>3266</v>
      </c>
      <c r="G1799">
        <v>2376</v>
      </c>
      <c r="H1799">
        <v>1</v>
      </c>
      <c r="I1799" t="s">
        <v>89</v>
      </c>
      <c r="J1799">
        <v>0</v>
      </c>
      <c r="K1799">
        <v>2</v>
      </c>
      <c r="L1799">
        <v>2</v>
      </c>
      <c r="M1799">
        <v>211</v>
      </c>
      <c r="N1799">
        <v>301</v>
      </c>
      <c r="O1799">
        <v>8</v>
      </c>
      <c r="P1799">
        <v>301</v>
      </c>
      <c r="Q1799">
        <v>9</v>
      </c>
      <c r="R1799">
        <v>54</v>
      </c>
      <c r="S1799">
        <v>27</v>
      </c>
      <c r="T1799">
        <v>15</v>
      </c>
      <c r="U1799">
        <v>12</v>
      </c>
      <c r="V1799">
        <v>4</v>
      </c>
      <c r="W1799">
        <v>21</v>
      </c>
      <c r="X1799">
        <v>20</v>
      </c>
      <c r="Y1799">
        <v>103</v>
      </c>
      <c r="Z1799">
        <v>5</v>
      </c>
      <c r="AA1799">
        <v>6</v>
      </c>
      <c r="AB1799">
        <v>1</v>
      </c>
      <c r="AC1799">
        <v>0</v>
      </c>
      <c r="AD1799">
        <v>0</v>
      </c>
      <c r="AE1799">
        <v>0</v>
      </c>
      <c r="AF1799">
        <v>0</v>
      </c>
      <c r="AG1799">
        <v>2</v>
      </c>
      <c r="AH1799">
        <v>2</v>
      </c>
      <c r="AI1799">
        <v>0</v>
      </c>
      <c r="AJ1799">
        <v>1</v>
      </c>
      <c r="AK1799">
        <v>4</v>
      </c>
      <c r="AL1799">
        <v>0</v>
      </c>
      <c r="AM1799">
        <v>0</v>
      </c>
      <c r="AN1799">
        <v>3</v>
      </c>
      <c r="AT1799">
        <v>0</v>
      </c>
      <c r="AU1799">
        <v>12</v>
      </c>
      <c r="AV1799">
        <v>301</v>
      </c>
      <c r="AW1799">
        <v>301</v>
      </c>
      <c r="AX1799">
        <v>487</v>
      </c>
      <c r="BA1799">
        <v>1</v>
      </c>
      <c r="BC1799" t="s">
        <v>3695</v>
      </c>
      <c r="BD1799" s="4">
        <v>43283.136805555558</v>
      </c>
      <c r="BE1799" s="4">
        <v>43283.143912037034</v>
      </c>
      <c r="BF1799" s="4">
        <v>43283.143912037034</v>
      </c>
      <c r="BG1799" t="s">
        <v>83</v>
      </c>
      <c r="BH1799" t="s">
        <v>84</v>
      </c>
      <c r="BI1799" t="s">
        <v>85</v>
      </c>
    </row>
    <row r="1800" spans="1:61" x14ac:dyDescent="0.3">
      <c r="A1800" t="str">
        <f>"202376E0100"</f>
        <v>202376E0100</v>
      </c>
      <c r="B1800" s="2" t="s">
        <v>3696</v>
      </c>
      <c r="C1800">
        <v>20</v>
      </c>
      <c r="D1800" t="s">
        <v>79</v>
      </c>
      <c r="E1800">
        <v>8</v>
      </c>
      <c r="F1800" t="s">
        <v>3266</v>
      </c>
      <c r="G1800">
        <v>2376</v>
      </c>
      <c r="H1800">
        <v>1</v>
      </c>
      <c r="I1800" t="s">
        <v>145</v>
      </c>
      <c r="J1800">
        <v>0</v>
      </c>
      <c r="K1800">
        <v>2</v>
      </c>
      <c r="L1800">
        <v>2</v>
      </c>
      <c r="M1800">
        <v>268</v>
      </c>
      <c r="N1800">
        <v>506</v>
      </c>
      <c r="O1800">
        <v>13</v>
      </c>
      <c r="P1800">
        <v>506</v>
      </c>
      <c r="Q1800">
        <v>15</v>
      </c>
      <c r="R1800">
        <v>121</v>
      </c>
      <c r="S1800">
        <v>63</v>
      </c>
      <c r="T1800">
        <v>48</v>
      </c>
      <c r="U1800">
        <v>19</v>
      </c>
      <c r="V1800">
        <v>13</v>
      </c>
      <c r="W1800">
        <v>22</v>
      </c>
      <c r="X1800">
        <v>33</v>
      </c>
      <c r="Y1800">
        <v>107</v>
      </c>
      <c r="Z1800">
        <v>4</v>
      </c>
      <c r="AA1800">
        <v>14</v>
      </c>
      <c r="AB1800">
        <v>6</v>
      </c>
      <c r="AC1800">
        <v>2</v>
      </c>
      <c r="AD1800">
        <v>2</v>
      </c>
      <c r="AE1800">
        <v>0</v>
      </c>
      <c r="AF1800">
        <v>1</v>
      </c>
      <c r="AG1800">
        <v>4</v>
      </c>
      <c r="AH1800">
        <v>3</v>
      </c>
      <c r="AI1800">
        <v>0</v>
      </c>
      <c r="AJ1800">
        <v>1</v>
      </c>
      <c r="AK1800">
        <v>3</v>
      </c>
      <c r="AL1800">
        <v>0</v>
      </c>
      <c r="AM1800">
        <v>0</v>
      </c>
      <c r="AN1800">
        <v>0</v>
      </c>
      <c r="AT1800">
        <v>0</v>
      </c>
      <c r="AU1800">
        <v>27</v>
      </c>
      <c r="AV1800">
        <v>506</v>
      </c>
      <c r="AW1800">
        <v>508</v>
      </c>
      <c r="AX1800">
        <v>749</v>
      </c>
      <c r="BA1800">
        <v>1</v>
      </c>
      <c r="BC1800" t="s">
        <v>3697</v>
      </c>
      <c r="BD1800" s="4">
        <v>43283.188194444447</v>
      </c>
      <c r="BE1800" s="4">
        <v>43283.208738425928</v>
      </c>
      <c r="BF1800" s="4">
        <v>43283.208738425928</v>
      </c>
      <c r="BG1800" t="s">
        <v>83</v>
      </c>
      <c r="BH1800" t="s">
        <v>84</v>
      </c>
      <c r="BI1800" t="s">
        <v>85</v>
      </c>
    </row>
    <row r="1801" spans="1:61" x14ac:dyDescent="0.3">
      <c r="A1801" t="str">
        <f>"202377B0100"</f>
        <v>202377B0100</v>
      </c>
      <c r="B1801" t="s">
        <v>3698</v>
      </c>
      <c r="C1801">
        <v>20</v>
      </c>
      <c r="D1801" t="s">
        <v>79</v>
      </c>
      <c r="E1801">
        <v>8</v>
      </c>
      <c r="F1801" t="s">
        <v>3266</v>
      </c>
      <c r="G1801">
        <v>2377</v>
      </c>
      <c r="H1801">
        <v>1</v>
      </c>
      <c r="I1801" t="s">
        <v>81</v>
      </c>
      <c r="J1801">
        <v>0</v>
      </c>
      <c r="K1801">
        <v>2</v>
      </c>
      <c r="L1801">
        <v>2</v>
      </c>
      <c r="M1801">
        <v>162</v>
      </c>
      <c r="N1801">
        <v>333</v>
      </c>
      <c r="O1801">
        <v>1</v>
      </c>
      <c r="P1801">
        <v>333</v>
      </c>
      <c r="Q1801">
        <v>5</v>
      </c>
      <c r="R1801">
        <v>18</v>
      </c>
      <c r="S1801">
        <v>47</v>
      </c>
      <c r="T1801">
        <v>26</v>
      </c>
      <c r="U1801">
        <v>19</v>
      </c>
      <c r="V1801">
        <v>5</v>
      </c>
      <c r="W1801">
        <v>32</v>
      </c>
      <c r="X1801">
        <v>13</v>
      </c>
      <c r="Y1801">
        <v>110</v>
      </c>
      <c r="Z1801">
        <v>8</v>
      </c>
      <c r="AA1801">
        <v>4</v>
      </c>
      <c r="AB1801">
        <v>8</v>
      </c>
      <c r="AC1801">
        <v>1</v>
      </c>
      <c r="AD1801">
        <v>1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1</v>
      </c>
      <c r="AL1801">
        <v>0</v>
      </c>
      <c r="AM1801">
        <v>0</v>
      </c>
      <c r="AN1801">
        <v>2</v>
      </c>
      <c r="AT1801">
        <v>0</v>
      </c>
      <c r="AU1801">
        <v>33</v>
      </c>
      <c r="AV1801">
        <v>333</v>
      </c>
      <c r="AW1801">
        <v>333</v>
      </c>
      <c r="AX1801">
        <v>470</v>
      </c>
      <c r="BA1801">
        <v>1</v>
      </c>
      <c r="BC1801" t="s">
        <v>3699</v>
      </c>
      <c r="BD1801" s="4">
        <v>43283.138194444444</v>
      </c>
      <c r="BE1801" s="4">
        <v>43283.143750000003</v>
      </c>
      <c r="BF1801" s="4">
        <v>43283.143750000003</v>
      </c>
      <c r="BG1801" t="s">
        <v>83</v>
      </c>
      <c r="BH1801" t="s">
        <v>84</v>
      </c>
      <c r="BI1801" t="s">
        <v>85</v>
      </c>
    </row>
    <row r="1802" spans="1:61" x14ac:dyDescent="0.3">
      <c r="A1802" t="str">
        <f>"202378B0100"</f>
        <v>202378B0100</v>
      </c>
      <c r="B1802" t="s">
        <v>3700</v>
      </c>
      <c r="C1802">
        <v>20</v>
      </c>
      <c r="D1802" t="s">
        <v>79</v>
      </c>
      <c r="E1802">
        <v>8</v>
      </c>
      <c r="F1802" t="s">
        <v>3266</v>
      </c>
      <c r="G1802">
        <v>2378</v>
      </c>
      <c r="H1802">
        <v>1</v>
      </c>
      <c r="I1802" t="s">
        <v>81</v>
      </c>
      <c r="J1802">
        <v>0</v>
      </c>
      <c r="K1802">
        <v>2</v>
      </c>
      <c r="L1802">
        <v>2</v>
      </c>
      <c r="M1802">
        <v>72</v>
      </c>
      <c r="N1802">
        <v>97</v>
      </c>
      <c r="O1802">
        <v>4</v>
      </c>
      <c r="P1802">
        <v>97</v>
      </c>
      <c r="Q1802">
        <v>0</v>
      </c>
      <c r="R1802">
        <v>19</v>
      </c>
      <c r="S1802">
        <v>9</v>
      </c>
      <c r="T1802">
        <v>0</v>
      </c>
      <c r="U1802">
        <v>4</v>
      </c>
      <c r="V1802">
        <v>0</v>
      </c>
      <c r="W1802">
        <v>3</v>
      </c>
      <c r="X1802">
        <v>4</v>
      </c>
      <c r="Y1802">
        <v>50</v>
      </c>
      <c r="Z1802">
        <v>2</v>
      </c>
      <c r="AA1802">
        <v>0</v>
      </c>
      <c r="AB1802">
        <v>1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3</v>
      </c>
      <c r="AL1802">
        <v>0</v>
      </c>
      <c r="AM1802">
        <v>0</v>
      </c>
      <c r="AN1802">
        <v>0</v>
      </c>
      <c r="AT1802">
        <v>0</v>
      </c>
      <c r="AU1802">
        <v>2</v>
      </c>
      <c r="AV1802">
        <v>97</v>
      </c>
      <c r="AW1802">
        <v>97</v>
      </c>
      <c r="AX1802">
        <v>144</v>
      </c>
      <c r="BA1802">
        <v>1</v>
      </c>
      <c r="BC1802" t="s">
        <v>3701</v>
      </c>
      <c r="BD1802" s="4">
        <v>43283.029166666667</v>
      </c>
      <c r="BE1802" s="4">
        <v>43283.034016203703</v>
      </c>
      <c r="BF1802" s="4">
        <v>43283.034016203703</v>
      </c>
      <c r="BG1802" t="s">
        <v>83</v>
      </c>
      <c r="BH1802" t="s">
        <v>84</v>
      </c>
      <c r="BI1802" t="s">
        <v>85</v>
      </c>
    </row>
    <row r="1803" spans="1:61" x14ac:dyDescent="0.3">
      <c r="A1803" t="str">
        <f>"202379B0100"</f>
        <v>202379B0100</v>
      </c>
      <c r="B1803" t="s">
        <v>3702</v>
      </c>
      <c r="C1803">
        <v>20</v>
      </c>
      <c r="D1803" t="s">
        <v>79</v>
      </c>
      <c r="E1803">
        <v>8</v>
      </c>
      <c r="F1803" t="s">
        <v>3266</v>
      </c>
      <c r="G1803">
        <v>2379</v>
      </c>
      <c r="H1803">
        <v>1</v>
      </c>
      <c r="I1803" t="s">
        <v>81</v>
      </c>
      <c r="J1803">
        <v>0</v>
      </c>
      <c r="K1803">
        <v>2</v>
      </c>
      <c r="L1803">
        <v>2</v>
      </c>
      <c r="M1803">
        <v>98</v>
      </c>
      <c r="N1803">
        <v>226</v>
      </c>
      <c r="O1803">
        <v>16</v>
      </c>
      <c r="P1803">
        <v>226</v>
      </c>
      <c r="Q1803">
        <v>2</v>
      </c>
      <c r="R1803">
        <v>49</v>
      </c>
      <c r="S1803">
        <v>17</v>
      </c>
      <c r="T1803">
        <v>20</v>
      </c>
      <c r="U1803">
        <v>5</v>
      </c>
      <c r="V1803">
        <v>6</v>
      </c>
      <c r="W1803">
        <v>5</v>
      </c>
      <c r="X1803">
        <v>11</v>
      </c>
      <c r="Y1803">
        <v>82</v>
      </c>
      <c r="Z1803">
        <v>7</v>
      </c>
      <c r="AA1803">
        <v>3</v>
      </c>
      <c r="AB1803">
        <v>3</v>
      </c>
      <c r="AC1803">
        <v>0</v>
      </c>
      <c r="AD1803">
        <v>0</v>
      </c>
      <c r="AE1803">
        <v>0</v>
      </c>
      <c r="AF1803">
        <v>0</v>
      </c>
      <c r="AG1803">
        <v>2</v>
      </c>
      <c r="AH1803">
        <v>1</v>
      </c>
      <c r="AI1803">
        <v>1</v>
      </c>
      <c r="AJ1803">
        <v>0</v>
      </c>
      <c r="AK1803">
        <v>2</v>
      </c>
      <c r="AL1803">
        <v>0</v>
      </c>
      <c r="AM1803">
        <v>0</v>
      </c>
      <c r="AN1803">
        <v>0</v>
      </c>
      <c r="AT1803">
        <v>0</v>
      </c>
      <c r="AU1803">
        <v>10</v>
      </c>
      <c r="AV1803">
        <v>226</v>
      </c>
      <c r="AW1803">
        <v>226</v>
      </c>
      <c r="AX1803">
        <v>299</v>
      </c>
      <c r="BA1803">
        <v>1</v>
      </c>
      <c r="BC1803" t="s">
        <v>3703</v>
      </c>
      <c r="BD1803" s="4">
        <v>43283.117361111108</v>
      </c>
      <c r="BE1803" s="4">
        <v>43283.122037037036</v>
      </c>
      <c r="BF1803" s="4">
        <v>43283.122037037036</v>
      </c>
      <c r="BG1803" t="s">
        <v>83</v>
      </c>
      <c r="BH1803" t="s">
        <v>84</v>
      </c>
      <c r="BI1803" t="s">
        <v>85</v>
      </c>
    </row>
    <row r="1804" spans="1:61" x14ac:dyDescent="0.3">
      <c r="A1804" t="str">
        <f>"202379E0100"</f>
        <v>202379E0100</v>
      </c>
      <c r="B1804" s="2" t="s">
        <v>3704</v>
      </c>
      <c r="C1804">
        <v>20</v>
      </c>
      <c r="D1804" t="s">
        <v>79</v>
      </c>
      <c r="E1804">
        <v>8</v>
      </c>
      <c r="F1804" t="s">
        <v>3266</v>
      </c>
      <c r="G1804">
        <v>2379</v>
      </c>
      <c r="H1804">
        <v>1</v>
      </c>
      <c r="I1804" t="s">
        <v>145</v>
      </c>
      <c r="J1804">
        <v>0</v>
      </c>
      <c r="K1804">
        <v>2</v>
      </c>
      <c r="L1804">
        <v>2</v>
      </c>
      <c r="M1804">
        <v>107</v>
      </c>
      <c r="N1804">
        <v>239</v>
      </c>
      <c r="O1804">
        <v>13</v>
      </c>
      <c r="P1804">
        <v>239</v>
      </c>
      <c r="Q1804">
        <v>3</v>
      </c>
      <c r="R1804">
        <v>41</v>
      </c>
      <c r="S1804">
        <v>24</v>
      </c>
      <c r="T1804">
        <v>12</v>
      </c>
      <c r="U1804">
        <v>16</v>
      </c>
      <c r="V1804">
        <v>1</v>
      </c>
      <c r="W1804">
        <v>9</v>
      </c>
      <c r="X1804">
        <v>6</v>
      </c>
      <c r="Y1804">
        <v>110</v>
      </c>
      <c r="Z1804">
        <v>1</v>
      </c>
      <c r="AA1804">
        <v>2</v>
      </c>
      <c r="AB1804">
        <v>2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1</v>
      </c>
      <c r="AI1804">
        <v>0</v>
      </c>
      <c r="AJ1804">
        <v>0</v>
      </c>
      <c r="AK1804">
        <v>1</v>
      </c>
      <c r="AL1804">
        <v>0</v>
      </c>
      <c r="AM1804">
        <v>0</v>
      </c>
      <c r="AN1804">
        <v>0</v>
      </c>
      <c r="AT1804">
        <v>0</v>
      </c>
      <c r="AU1804">
        <v>10</v>
      </c>
      <c r="AV1804">
        <v>239</v>
      </c>
      <c r="AW1804">
        <v>239</v>
      </c>
      <c r="AX1804">
        <v>321</v>
      </c>
      <c r="BA1804">
        <v>1</v>
      </c>
      <c r="BC1804" t="s">
        <v>3705</v>
      </c>
      <c r="BD1804" s="4">
        <v>43283.116666666669</v>
      </c>
      <c r="BE1804" s="4">
        <v>43283.121493055558</v>
      </c>
      <c r="BF1804" s="4">
        <v>43283.121493055558</v>
      </c>
      <c r="BG1804" t="s">
        <v>83</v>
      </c>
      <c r="BH1804" t="s">
        <v>84</v>
      </c>
      <c r="BI1804" t="s">
        <v>85</v>
      </c>
    </row>
    <row r="1805" spans="1:61" x14ac:dyDescent="0.3">
      <c r="A1805" t="str">
        <f>"202380B0100"</f>
        <v>202380B0100</v>
      </c>
      <c r="B1805" t="s">
        <v>3706</v>
      </c>
      <c r="C1805">
        <v>20</v>
      </c>
      <c r="D1805" t="s">
        <v>79</v>
      </c>
      <c r="E1805">
        <v>8</v>
      </c>
      <c r="F1805" t="s">
        <v>3266</v>
      </c>
      <c r="G1805">
        <v>2380</v>
      </c>
      <c r="H1805">
        <v>1</v>
      </c>
      <c r="I1805" t="s">
        <v>81</v>
      </c>
      <c r="J1805">
        <v>0</v>
      </c>
      <c r="K1805">
        <v>2</v>
      </c>
      <c r="L1805">
        <v>2</v>
      </c>
      <c r="M1805">
        <v>266</v>
      </c>
      <c r="N1805">
        <v>481</v>
      </c>
      <c r="O1805">
        <v>11</v>
      </c>
      <c r="P1805">
        <v>483</v>
      </c>
      <c r="Q1805">
        <v>3</v>
      </c>
      <c r="R1805">
        <v>125</v>
      </c>
      <c r="S1805">
        <v>44</v>
      </c>
      <c r="T1805">
        <v>60</v>
      </c>
      <c r="U1805">
        <v>11</v>
      </c>
      <c r="V1805">
        <v>5</v>
      </c>
      <c r="W1805">
        <v>15</v>
      </c>
      <c r="X1805">
        <v>15</v>
      </c>
      <c r="Y1805">
        <v>147</v>
      </c>
      <c r="Z1805">
        <v>19</v>
      </c>
      <c r="AA1805">
        <v>1</v>
      </c>
      <c r="AB1805">
        <v>1</v>
      </c>
      <c r="AC1805">
        <v>0</v>
      </c>
      <c r="AD1805">
        <v>0</v>
      </c>
      <c r="AE1805">
        <v>0</v>
      </c>
      <c r="AF1805">
        <v>0</v>
      </c>
      <c r="AG1805">
        <v>4</v>
      </c>
      <c r="AH1805">
        <v>2</v>
      </c>
      <c r="AI1805">
        <v>0</v>
      </c>
      <c r="AJ1805">
        <v>0</v>
      </c>
      <c r="AK1805">
        <v>0</v>
      </c>
      <c r="AL1805">
        <v>2</v>
      </c>
      <c r="AM1805">
        <v>1</v>
      </c>
      <c r="AN1805">
        <v>0</v>
      </c>
      <c r="AT1805">
        <v>0</v>
      </c>
      <c r="AU1805">
        <v>27</v>
      </c>
      <c r="AV1805">
        <v>482</v>
      </c>
      <c r="AW1805">
        <v>482</v>
      </c>
      <c r="AX1805">
        <v>724</v>
      </c>
      <c r="BA1805">
        <v>1</v>
      </c>
      <c r="BC1805" t="s">
        <v>3707</v>
      </c>
      <c r="BD1805" s="4">
        <v>43283.135416666664</v>
      </c>
      <c r="BE1805" s="4">
        <v>43283.139722222222</v>
      </c>
      <c r="BF1805" s="4">
        <v>43283.139722222222</v>
      </c>
      <c r="BG1805" t="s">
        <v>83</v>
      </c>
      <c r="BH1805" t="s">
        <v>84</v>
      </c>
      <c r="BI1805" t="s">
        <v>85</v>
      </c>
    </row>
    <row r="1806" spans="1:61" x14ac:dyDescent="0.3">
      <c r="A1806" t="str">
        <f>"202380E0100"</f>
        <v>202380E0100</v>
      </c>
      <c r="B1806" s="2" t="s">
        <v>3708</v>
      </c>
      <c r="C1806">
        <v>20</v>
      </c>
      <c r="D1806" t="s">
        <v>79</v>
      </c>
      <c r="E1806">
        <v>8</v>
      </c>
      <c r="F1806" t="s">
        <v>3266</v>
      </c>
      <c r="G1806">
        <v>2380</v>
      </c>
      <c r="H1806">
        <v>1</v>
      </c>
      <c r="I1806" t="s">
        <v>145</v>
      </c>
      <c r="J1806">
        <v>0</v>
      </c>
      <c r="K1806">
        <v>2</v>
      </c>
      <c r="L1806">
        <v>2</v>
      </c>
      <c r="M1806">
        <v>207</v>
      </c>
      <c r="N1806">
        <v>351</v>
      </c>
      <c r="O1806">
        <v>3</v>
      </c>
      <c r="P1806">
        <v>351</v>
      </c>
      <c r="Q1806">
        <v>3</v>
      </c>
      <c r="R1806">
        <v>120</v>
      </c>
      <c r="S1806">
        <v>21</v>
      </c>
      <c r="T1806">
        <v>46</v>
      </c>
      <c r="U1806">
        <v>7</v>
      </c>
      <c r="V1806">
        <v>4</v>
      </c>
      <c r="W1806">
        <v>12</v>
      </c>
      <c r="X1806">
        <v>6</v>
      </c>
      <c r="Y1806">
        <v>108</v>
      </c>
      <c r="Z1806">
        <v>5</v>
      </c>
      <c r="AA1806">
        <v>2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3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1</v>
      </c>
      <c r="AT1806">
        <v>0</v>
      </c>
      <c r="AU1806">
        <v>13</v>
      </c>
      <c r="AV1806">
        <v>351</v>
      </c>
      <c r="AW1806">
        <v>351</v>
      </c>
      <c r="AX1806">
        <v>533</v>
      </c>
      <c r="BA1806">
        <v>1</v>
      </c>
      <c r="BC1806" t="s">
        <v>3709</v>
      </c>
      <c r="BD1806" s="4">
        <v>43283.065972222219</v>
      </c>
      <c r="BE1806" s="4">
        <v>43283.070162037038</v>
      </c>
      <c r="BF1806" s="4">
        <v>43283.070162037038</v>
      </c>
      <c r="BG1806" t="s">
        <v>83</v>
      </c>
      <c r="BH1806" t="s">
        <v>84</v>
      </c>
      <c r="BI1806" t="s">
        <v>85</v>
      </c>
    </row>
    <row r="1807" spans="1:61" x14ac:dyDescent="0.3">
      <c r="A1807" t="str">
        <f>"202381B0100"</f>
        <v>202381B0100</v>
      </c>
      <c r="B1807" t="s">
        <v>3710</v>
      </c>
      <c r="C1807">
        <v>20</v>
      </c>
      <c r="D1807" t="s">
        <v>79</v>
      </c>
      <c r="E1807">
        <v>8</v>
      </c>
      <c r="F1807" t="s">
        <v>3266</v>
      </c>
      <c r="G1807">
        <v>2381</v>
      </c>
      <c r="H1807">
        <v>1</v>
      </c>
      <c r="I1807" t="s">
        <v>81</v>
      </c>
      <c r="J1807">
        <v>0</v>
      </c>
      <c r="K1807">
        <v>2</v>
      </c>
      <c r="L1807">
        <v>2</v>
      </c>
      <c r="M1807">
        <v>234</v>
      </c>
      <c r="N1807">
        <v>622</v>
      </c>
      <c r="O1807">
        <v>0</v>
      </c>
      <c r="P1807">
        <v>388</v>
      </c>
      <c r="Q1807">
        <v>4</v>
      </c>
      <c r="R1807">
        <v>96</v>
      </c>
      <c r="S1807">
        <v>41</v>
      </c>
      <c r="T1807">
        <v>34</v>
      </c>
      <c r="U1807">
        <v>5</v>
      </c>
      <c r="V1807">
        <v>5</v>
      </c>
      <c r="W1807">
        <v>16</v>
      </c>
      <c r="X1807">
        <v>15</v>
      </c>
      <c r="Y1807">
        <v>120</v>
      </c>
      <c r="Z1807">
        <v>6</v>
      </c>
      <c r="AA1807">
        <v>4</v>
      </c>
      <c r="AB1807">
        <v>4</v>
      </c>
      <c r="AC1807">
        <v>1</v>
      </c>
      <c r="AD1807">
        <v>0</v>
      </c>
      <c r="AE1807">
        <v>0</v>
      </c>
      <c r="AF1807">
        <v>0</v>
      </c>
      <c r="AG1807">
        <v>2</v>
      </c>
      <c r="AH1807">
        <v>0</v>
      </c>
      <c r="AI1807">
        <v>0</v>
      </c>
      <c r="AJ1807">
        <v>0</v>
      </c>
      <c r="AK1807">
        <v>2</v>
      </c>
      <c r="AL1807">
        <v>0</v>
      </c>
      <c r="AM1807">
        <v>0</v>
      </c>
      <c r="AN1807">
        <v>0</v>
      </c>
      <c r="AT1807">
        <v>0</v>
      </c>
      <c r="AU1807">
        <v>31</v>
      </c>
      <c r="AV1807">
        <v>388</v>
      </c>
      <c r="AW1807">
        <v>386</v>
      </c>
      <c r="AX1807">
        <v>597</v>
      </c>
      <c r="BA1807">
        <v>1</v>
      </c>
      <c r="BC1807" t="s">
        <v>3711</v>
      </c>
      <c r="BD1807" s="4">
        <v>43283.152083333334</v>
      </c>
      <c r="BE1807" s="4">
        <v>43283.163946759261</v>
      </c>
      <c r="BF1807" s="4">
        <v>43283.163946759261</v>
      </c>
      <c r="BG1807" t="s">
        <v>83</v>
      </c>
      <c r="BH1807" t="s">
        <v>84</v>
      </c>
      <c r="BI1807" t="s">
        <v>85</v>
      </c>
    </row>
    <row r="1808" spans="1:61" x14ac:dyDescent="0.3">
      <c r="A1808" t="str">
        <f>"202381C0100"</f>
        <v>202381C0100</v>
      </c>
      <c r="B1808" t="s">
        <v>3712</v>
      </c>
      <c r="C1808">
        <v>20</v>
      </c>
      <c r="D1808" t="s">
        <v>79</v>
      </c>
      <c r="E1808">
        <v>8</v>
      </c>
      <c r="F1808" t="s">
        <v>3266</v>
      </c>
      <c r="G1808">
        <v>2381</v>
      </c>
      <c r="H1808">
        <v>1</v>
      </c>
      <c r="I1808" t="s">
        <v>89</v>
      </c>
      <c r="J1808">
        <v>0</v>
      </c>
      <c r="K1808">
        <v>2</v>
      </c>
      <c r="L1808">
        <v>2</v>
      </c>
      <c r="M1808">
        <v>228</v>
      </c>
      <c r="N1808">
        <v>393</v>
      </c>
      <c r="O1808">
        <v>0</v>
      </c>
      <c r="P1808">
        <v>393</v>
      </c>
      <c r="Q1808">
        <v>4</v>
      </c>
      <c r="R1808">
        <v>71</v>
      </c>
      <c r="S1808">
        <v>54</v>
      </c>
      <c r="T1808">
        <v>41</v>
      </c>
      <c r="U1808">
        <v>12</v>
      </c>
      <c r="V1808">
        <v>6</v>
      </c>
      <c r="W1808">
        <v>13</v>
      </c>
      <c r="X1808">
        <v>17</v>
      </c>
      <c r="Y1808">
        <v>121</v>
      </c>
      <c r="Z1808">
        <v>3</v>
      </c>
      <c r="AA1808">
        <v>3</v>
      </c>
      <c r="AB1808">
        <v>6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2</v>
      </c>
      <c r="AI1808">
        <v>0</v>
      </c>
      <c r="AJ1808">
        <v>0</v>
      </c>
      <c r="AK1808">
        <v>2</v>
      </c>
      <c r="AL1808">
        <v>1</v>
      </c>
      <c r="AM1808">
        <v>0</v>
      </c>
      <c r="AN1808">
        <v>1</v>
      </c>
      <c r="AT1808">
        <v>0</v>
      </c>
      <c r="AU1808">
        <v>36</v>
      </c>
      <c r="AV1808">
        <v>393</v>
      </c>
      <c r="AW1808">
        <v>393</v>
      </c>
      <c r="AX1808">
        <v>596</v>
      </c>
      <c r="BA1808">
        <v>1</v>
      </c>
      <c r="BC1808" t="s">
        <v>3713</v>
      </c>
      <c r="BD1808" s="4">
        <v>43283.152083333334</v>
      </c>
      <c r="BE1808" s="4">
        <v>43283.16170138889</v>
      </c>
      <c r="BF1808" s="4">
        <v>43283.16170138889</v>
      </c>
      <c r="BG1808" t="s">
        <v>83</v>
      </c>
      <c r="BH1808" t="s">
        <v>84</v>
      </c>
      <c r="BI1808" t="s">
        <v>85</v>
      </c>
    </row>
    <row r="1809" spans="1:61" x14ac:dyDescent="0.3">
      <c r="A1809" t="str">
        <f>"202382B0100"</f>
        <v>202382B0100</v>
      </c>
      <c r="B1809" t="s">
        <v>3714</v>
      </c>
      <c r="C1809">
        <v>20</v>
      </c>
      <c r="D1809" t="s">
        <v>79</v>
      </c>
      <c r="E1809">
        <v>8</v>
      </c>
      <c r="F1809" t="s">
        <v>3266</v>
      </c>
      <c r="G1809">
        <v>2382</v>
      </c>
      <c r="H1809">
        <v>1</v>
      </c>
      <c r="I1809" t="s">
        <v>81</v>
      </c>
      <c r="J1809">
        <v>0</v>
      </c>
      <c r="K1809">
        <v>2</v>
      </c>
      <c r="L1809">
        <v>2</v>
      </c>
      <c r="M1809">
        <v>147</v>
      </c>
      <c r="N1809">
        <v>288</v>
      </c>
      <c r="O1809">
        <v>7</v>
      </c>
      <c r="P1809">
        <v>288</v>
      </c>
      <c r="Q1809">
        <v>3</v>
      </c>
      <c r="R1809">
        <v>66</v>
      </c>
      <c r="S1809">
        <v>25</v>
      </c>
      <c r="T1809">
        <v>23</v>
      </c>
      <c r="U1809">
        <v>7</v>
      </c>
      <c r="V1809">
        <v>3</v>
      </c>
      <c r="W1809">
        <v>30</v>
      </c>
      <c r="X1809">
        <v>24</v>
      </c>
      <c r="Y1809">
        <v>65</v>
      </c>
      <c r="Z1809">
        <v>2</v>
      </c>
      <c r="AA1809">
        <v>5</v>
      </c>
      <c r="AB1809">
        <v>2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1</v>
      </c>
      <c r="AI1809">
        <v>0</v>
      </c>
      <c r="AJ1809">
        <v>0</v>
      </c>
      <c r="AK1809">
        <v>2</v>
      </c>
      <c r="AL1809">
        <v>1</v>
      </c>
      <c r="AM1809">
        <v>0</v>
      </c>
      <c r="AN1809">
        <v>0</v>
      </c>
      <c r="AT1809" t="s">
        <v>100</v>
      </c>
      <c r="AU1809">
        <v>29</v>
      </c>
      <c r="AV1809">
        <v>288</v>
      </c>
      <c r="AW1809">
        <v>288</v>
      </c>
      <c r="AX1809">
        <v>409</v>
      </c>
      <c r="AZ1809" t="s">
        <v>101</v>
      </c>
      <c r="BA1809">
        <v>1</v>
      </c>
      <c r="BC1809" t="s">
        <v>3715</v>
      </c>
      <c r="BD1809" s="4">
        <v>43283.154166666667</v>
      </c>
      <c r="BE1809" s="4">
        <v>43283.17083333333</v>
      </c>
      <c r="BF1809" s="4">
        <v>43283.17083333333</v>
      </c>
      <c r="BG1809" t="s">
        <v>83</v>
      </c>
      <c r="BH1809" t="s">
        <v>84</v>
      </c>
      <c r="BI1809" t="s">
        <v>85</v>
      </c>
    </row>
    <row r="1810" spans="1:61" x14ac:dyDescent="0.3">
      <c r="A1810" t="str">
        <f>"202382C0100"</f>
        <v>202382C0100</v>
      </c>
      <c r="B1810" t="s">
        <v>3716</v>
      </c>
      <c r="C1810">
        <v>20</v>
      </c>
      <c r="D1810" t="s">
        <v>79</v>
      </c>
      <c r="E1810">
        <v>8</v>
      </c>
      <c r="F1810" t="s">
        <v>3266</v>
      </c>
      <c r="G1810">
        <v>2382</v>
      </c>
      <c r="H1810">
        <v>1</v>
      </c>
      <c r="I1810" t="s">
        <v>89</v>
      </c>
      <c r="J1810">
        <v>0</v>
      </c>
      <c r="K1810">
        <v>2</v>
      </c>
      <c r="L1810">
        <v>2</v>
      </c>
      <c r="M1810">
        <v>148</v>
      </c>
      <c r="N1810">
        <v>286</v>
      </c>
      <c r="O1810">
        <v>2</v>
      </c>
      <c r="P1810">
        <v>286</v>
      </c>
      <c r="Q1810">
        <v>5</v>
      </c>
      <c r="R1810">
        <v>59</v>
      </c>
      <c r="S1810">
        <v>25</v>
      </c>
      <c r="T1810">
        <v>17</v>
      </c>
      <c r="U1810">
        <v>10</v>
      </c>
      <c r="V1810">
        <v>1</v>
      </c>
      <c r="W1810">
        <v>26</v>
      </c>
      <c r="X1810">
        <v>32</v>
      </c>
      <c r="Y1810">
        <v>93</v>
      </c>
      <c r="Z1810">
        <v>0</v>
      </c>
      <c r="AA1810">
        <v>2</v>
      </c>
      <c r="AB1810">
        <v>5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1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T1810">
        <v>0</v>
      </c>
      <c r="AU1810">
        <v>12</v>
      </c>
      <c r="AV1810">
        <v>286</v>
      </c>
      <c r="AW1810">
        <v>288</v>
      </c>
      <c r="AX1810">
        <v>409</v>
      </c>
      <c r="BA1810">
        <v>1</v>
      </c>
      <c r="BC1810" t="s">
        <v>3717</v>
      </c>
      <c r="BD1810" s="4">
        <v>43283.152777777781</v>
      </c>
      <c r="BE1810" s="4">
        <v>43283.168055555558</v>
      </c>
      <c r="BF1810" s="4">
        <v>43283.168055555558</v>
      </c>
      <c r="BG1810" t="s">
        <v>83</v>
      </c>
      <c r="BH1810" t="s">
        <v>84</v>
      </c>
      <c r="BI1810" t="s">
        <v>85</v>
      </c>
    </row>
    <row r="1811" spans="1:61" x14ac:dyDescent="0.3">
      <c r="A1811" t="str">
        <f>"202382E0100"</f>
        <v>202382E0100</v>
      </c>
      <c r="B1811" s="2" t="s">
        <v>3718</v>
      </c>
      <c r="C1811">
        <v>20</v>
      </c>
      <c r="D1811" t="s">
        <v>79</v>
      </c>
      <c r="E1811">
        <v>8</v>
      </c>
      <c r="F1811" t="s">
        <v>3266</v>
      </c>
      <c r="G1811">
        <v>2382</v>
      </c>
      <c r="H1811">
        <v>1</v>
      </c>
      <c r="I1811" t="s">
        <v>145</v>
      </c>
      <c r="J1811">
        <v>0</v>
      </c>
      <c r="K1811">
        <v>2</v>
      </c>
      <c r="L1811">
        <v>2</v>
      </c>
      <c r="M1811">
        <v>139</v>
      </c>
      <c r="N1811">
        <v>244</v>
      </c>
      <c r="O1811">
        <v>9</v>
      </c>
      <c r="P1811">
        <v>244</v>
      </c>
      <c r="Q1811">
        <v>2</v>
      </c>
      <c r="R1811">
        <v>10</v>
      </c>
      <c r="S1811">
        <v>34</v>
      </c>
      <c r="T1811">
        <v>14</v>
      </c>
      <c r="U1811">
        <v>8</v>
      </c>
      <c r="V1811">
        <v>4</v>
      </c>
      <c r="W1811">
        <v>23</v>
      </c>
      <c r="X1811">
        <v>11</v>
      </c>
      <c r="Y1811">
        <v>105</v>
      </c>
      <c r="Z1811">
        <v>1</v>
      </c>
      <c r="AA1811">
        <v>2</v>
      </c>
      <c r="AB1811">
        <v>4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1</v>
      </c>
      <c r="AL1811">
        <v>0</v>
      </c>
      <c r="AM1811">
        <v>0</v>
      </c>
      <c r="AN1811">
        <v>1</v>
      </c>
      <c r="AT1811">
        <v>0</v>
      </c>
      <c r="AU1811">
        <v>24</v>
      </c>
      <c r="AV1811">
        <v>244</v>
      </c>
      <c r="AW1811">
        <v>244</v>
      </c>
      <c r="AX1811">
        <v>358</v>
      </c>
      <c r="BA1811">
        <v>1</v>
      </c>
      <c r="BC1811" t="s">
        <v>3719</v>
      </c>
      <c r="BD1811" s="4">
        <v>43283.154861111114</v>
      </c>
      <c r="BE1811" s="4">
        <v>43283.166631944441</v>
      </c>
      <c r="BF1811" s="4">
        <v>43283.166631944441</v>
      </c>
      <c r="BG1811" t="s">
        <v>83</v>
      </c>
      <c r="BH1811" t="s">
        <v>84</v>
      </c>
      <c r="BI1811" t="s">
        <v>85</v>
      </c>
    </row>
    <row r="1812" spans="1:61" x14ac:dyDescent="0.3">
      <c r="A1812" t="str">
        <f>"202382E0200"</f>
        <v>202382E0200</v>
      </c>
      <c r="B1812" s="2" t="s">
        <v>3720</v>
      </c>
      <c r="C1812">
        <v>20</v>
      </c>
      <c r="D1812" t="s">
        <v>79</v>
      </c>
      <c r="E1812">
        <v>8</v>
      </c>
      <c r="F1812" t="s">
        <v>3266</v>
      </c>
      <c r="G1812">
        <v>2382</v>
      </c>
      <c r="H1812">
        <v>2</v>
      </c>
      <c r="I1812" t="s">
        <v>145</v>
      </c>
      <c r="J1812">
        <v>0</v>
      </c>
      <c r="K1812">
        <v>2</v>
      </c>
      <c r="L1812">
        <v>2</v>
      </c>
      <c r="M1812">
        <v>184</v>
      </c>
      <c r="N1812">
        <v>177</v>
      </c>
      <c r="O1812">
        <v>7</v>
      </c>
      <c r="P1812">
        <v>177</v>
      </c>
      <c r="Q1812">
        <v>3</v>
      </c>
      <c r="R1812">
        <v>12</v>
      </c>
      <c r="S1812">
        <v>47</v>
      </c>
      <c r="T1812">
        <v>10</v>
      </c>
      <c r="U1812">
        <v>8</v>
      </c>
      <c r="V1812">
        <v>4</v>
      </c>
      <c r="W1812">
        <v>9</v>
      </c>
      <c r="X1812">
        <v>3</v>
      </c>
      <c r="Y1812">
        <v>71</v>
      </c>
      <c r="Z1812">
        <v>0</v>
      </c>
      <c r="AA1812">
        <v>2</v>
      </c>
      <c r="AB1812">
        <v>1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1</v>
      </c>
      <c r="AM1812">
        <v>0</v>
      </c>
      <c r="AN1812">
        <v>0</v>
      </c>
      <c r="AT1812">
        <v>0</v>
      </c>
      <c r="AU1812">
        <v>6</v>
      </c>
      <c r="AV1812">
        <v>177</v>
      </c>
      <c r="AW1812">
        <v>177</v>
      </c>
      <c r="AX1812">
        <v>336</v>
      </c>
      <c r="BA1812">
        <v>1</v>
      </c>
      <c r="BC1812" t="s">
        <v>3721</v>
      </c>
      <c r="BD1812" s="4">
        <v>43283.32708333333</v>
      </c>
      <c r="BE1812" s="4">
        <v>43283.349664351852</v>
      </c>
      <c r="BF1812" s="4">
        <v>43283.349664351852</v>
      </c>
      <c r="BG1812" t="s">
        <v>83</v>
      </c>
      <c r="BH1812" t="s">
        <v>84</v>
      </c>
      <c r="BI1812" t="s">
        <v>85</v>
      </c>
    </row>
    <row r="1813" spans="1:61" x14ac:dyDescent="0.3">
      <c r="A1813" t="str">
        <f>"202383B0100"</f>
        <v>202383B0100</v>
      </c>
      <c r="B1813" t="s">
        <v>3722</v>
      </c>
      <c r="C1813">
        <v>20</v>
      </c>
      <c r="D1813" t="s">
        <v>79</v>
      </c>
      <c r="E1813">
        <v>8</v>
      </c>
      <c r="F1813" t="s">
        <v>3266</v>
      </c>
      <c r="G1813">
        <v>2383</v>
      </c>
      <c r="H1813">
        <v>1</v>
      </c>
      <c r="I1813" t="s">
        <v>81</v>
      </c>
      <c r="J1813">
        <v>0</v>
      </c>
      <c r="K1813">
        <v>2</v>
      </c>
      <c r="L1813">
        <v>2</v>
      </c>
      <c r="M1813">
        <v>287</v>
      </c>
      <c r="N1813">
        <v>294</v>
      </c>
      <c r="O1813">
        <v>7</v>
      </c>
      <c r="P1813">
        <v>294</v>
      </c>
      <c r="Q1813">
        <v>2</v>
      </c>
      <c r="R1813">
        <v>16</v>
      </c>
      <c r="S1813">
        <v>12</v>
      </c>
      <c r="T1813">
        <v>12</v>
      </c>
      <c r="U1813">
        <v>20</v>
      </c>
      <c r="V1813">
        <v>8</v>
      </c>
      <c r="W1813">
        <v>25</v>
      </c>
      <c r="X1813">
        <v>11</v>
      </c>
      <c r="Y1813">
        <v>139</v>
      </c>
      <c r="Z1813">
        <v>8</v>
      </c>
      <c r="AA1813">
        <v>4</v>
      </c>
      <c r="AB1813">
        <v>4</v>
      </c>
      <c r="AC1813">
        <v>1</v>
      </c>
      <c r="AD1813" t="s">
        <v>100</v>
      </c>
      <c r="AE1813" t="s">
        <v>100</v>
      </c>
      <c r="AF1813">
        <v>2</v>
      </c>
      <c r="AG1813" t="s">
        <v>100</v>
      </c>
      <c r="AH1813" t="s">
        <v>100</v>
      </c>
      <c r="AI1813" t="s">
        <v>100</v>
      </c>
      <c r="AJ1813" t="s">
        <v>100</v>
      </c>
      <c r="AK1813">
        <v>9</v>
      </c>
      <c r="AL1813" t="s">
        <v>100</v>
      </c>
      <c r="AM1813" t="s">
        <v>100</v>
      </c>
      <c r="AN1813" t="s">
        <v>100</v>
      </c>
      <c r="AT1813" t="s">
        <v>100</v>
      </c>
      <c r="AU1813" t="s">
        <v>100</v>
      </c>
      <c r="AV1813" t="s">
        <v>100</v>
      </c>
      <c r="AW1813">
        <v>273</v>
      </c>
      <c r="AX1813">
        <v>554</v>
      </c>
      <c r="AZ1813" t="s">
        <v>101</v>
      </c>
      <c r="BA1813">
        <v>1</v>
      </c>
      <c r="BC1813" t="s">
        <v>3723</v>
      </c>
      <c r="BD1813" s="4">
        <v>43283.480555555558</v>
      </c>
      <c r="BE1813" s="4">
        <v>43283.483587962961</v>
      </c>
      <c r="BF1813" s="4">
        <v>43283.483587962961</v>
      </c>
      <c r="BG1813" t="s">
        <v>83</v>
      </c>
      <c r="BH1813" t="s">
        <v>84</v>
      </c>
      <c r="BI1813" t="s">
        <v>85</v>
      </c>
    </row>
    <row r="1814" spans="1:61" x14ac:dyDescent="0.3">
      <c r="A1814" t="str">
        <f>"202383C0100"</f>
        <v>202383C0100</v>
      </c>
      <c r="B1814" t="s">
        <v>3724</v>
      </c>
      <c r="C1814">
        <v>20</v>
      </c>
      <c r="D1814" t="s">
        <v>79</v>
      </c>
      <c r="E1814">
        <v>8</v>
      </c>
      <c r="F1814" t="s">
        <v>3266</v>
      </c>
      <c r="G1814">
        <v>2383</v>
      </c>
      <c r="H1814">
        <v>1</v>
      </c>
      <c r="I1814" t="s">
        <v>89</v>
      </c>
      <c r="J1814">
        <v>0</v>
      </c>
      <c r="K1814">
        <v>2</v>
      </c>
      <c r="L1814">
        <v>2</v>
      </c>
      <c r="M1814">
        <v>256</v>
      </c>
      <c r="N1814">
        <v>324</v>
      </c>
      <c r="O1814">
        <v>6</v>
      </c>
      <c r="P1814">
        <v>324</v>
      </c>
      <c r="Q1814">
        <v>1</v>
      </c>
      <c r="R1814">
        <v>9</v>
      </c>
      <c r="S1814">
        <v>19</v>
      </c>
      <c r="T1814">
        <v>3</v>
      </c>
      <c r="U1814">
        <v>31</v>
      </c>
      <c r="V1814">
        <v>6</v>
      </c>
      <c r="W1814">
        <v>25</v>
      </c>
      <c r="X1814">
        <v>5</v>
      </c>
      <c r="Y1814">
        <v>181</v>
      </c>
      <c r="Z1814">
        <v>10</v>
      </c>
      <c r="AA1814">
        <v>3</v>
      </c>
      <c r="AB1814">
        <v>3</v>
      </c>
      <c r="AC1814">
        <v>1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4</v>
      </c>
      <c r="AL1814">
        <v>1</v>
      </c>
      <c r="AM1814">
        <v>2</v>
      </c>
      <c r="AN1814">
        <v>0</v>
      </c>
      <c r="AT1814" t="s">
        <v>100</v>
      </c>
      <c r="AU1814" t="s">
        <v>100</v>
      </c>
      <c r="AV1814" t="s">
        <v>100</v>
      </c>
      <c r="AW1814">
        <v>304</v>
      </c>
      <c r="AX1814">
        <v>554</v>
      </c>
      <c r="AZ1814" t="s">
        <v>101</v>
      </c>
      <c r="BA1814">
        <v>1</v>
      </c>
      <c r="BC1814" t="s">
        <v>3725</v>
      </c>
      <c r="BD1814" s="4">
        <v>43283.479166666664</v>
      </c>
      <c r="BE1814" s="4">
        <v>43283.484409722223</v>
      </c>
      <c r="BF1814" s="4">
        <v>43283.484409722223</v>
      </c>
      <c r="BG1814" t="s">
        <v>83</v>
      </c>
      <c r="BH1814" t="s">
        <v>84</v>
      </c>
      <c r="BI1814" t="s">
        <v>85</v>
      </c>
    </row>
    <row r="1815" spans="1:61" x14ac:dyDescent="0.3">
      <c r="A1815" t="str">
        <f>"202384B0100"</f>
        <v>202384B0100</v>
      </c>
      <c r="B1815" t="s">
        <v>3726</v>
      </c>
      <c r="C1815">
        <v>20</v>
      </c>
      <c r="D1815" t="s">
        <v>79</v>
      </c>
      <c r="E1815">
        <v>8</v>
      </c>
      <c r="F1815" t="s">
        <v>3266</v>
      </c>
      <c r="G1815">
        <v>2384</v>
      </c>
      <c r="H1815">
        <v>1</v>
      </c>
      <c r="I1815" t="s">
        <v>81</v>
      </c>
      <c r="J1815">
        <v>0</v>
      </c>
      <c r="K1815">
        <v>2</v>
      </c>
      <c r="L1815">
        <v>2</v>
      </c>
      <c r="M1815">
        <v>63</v>
      </c>
      <c r="N1815">
        <v>98</v>
      </c>
      <c r="O1815">
        <v>4</v>
      </c>
      <c r="P1815">
        <v>98</v>
      </c>
      <c r="Q1815">
        <v>1</v>
      </c>
      <c r="R1815">
        <v>11</v>
      </c>
      <c r="S1815">
        <v>19</v>
      </c>
      <c r="T1815">
        <v>13</v>
      </c>
      <c r="U1815">
        <v>4</v>
      </c>
      <c r="V1815">
        <v>1</v>
      </c>
      <c r="W1815">
        <v>4</v>
      </c>
      <c r="X1815">
        <v>7</v>
      </c>
      <c r="Y1815">
        <v>28</v>
      </c>
      <c r="Z1815">
        <v>1</v>
      </c>
      <c r="AA1815">
        <v>3</v>
      </c>
      <c r="AB1815">
        <v>2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1</v>
      </c>
      <c r="AI1815">
        <v>0</v>
      </c>
      <c r="AJ1815">
        <v>0</v>
      </c>
      <c r="AK1815">
        <v>1</v>
      </c>
      <c r="AL1815">
        <v>0</v>
      </c>
      <c r="AM1815">
        <v>0</v>
      </c>
      <c r="AN1815">
        <v>0</v>
      </c>
      <c r="AT1815">
        <v>0</v>
      </c>
      <c r="AU1815">
        <v>2</v>
      </c>
      <c r="AV1815">
        <v>98</v>
      </c>
      <c r="AW1815">
        <v>98</v>
      </c>
      <c r="AX1815">
        <v>136</v>
      </c>
      <c r="BA1815">
        <v>1</v>
      </c>
      <c r="BC1815" t="s">
        <v>3727</v>
      </c>
      <c r="BD1815" s="4">
        <v>43283.129166666666</v>
      </c>
      <c r="BE1815" s="4">
        <v>43283.134988425925</v>
      </c>
      <c r="BF1815" s="4">
        <v>43283.134988425925</v>
      </c>
      <c r="BG1815" t="s">
        <v>83</v>
      </c>
      <c r="BH1815" t="s">
        <v>84</v>
      </c>
      <c r="BI1815" t="s">
        <v>85</v>
      </c>
    </row>
    <row r="1816" spans="1:61" x14ac:dyDescent="0.3">
      <c r="A1816" t="str">
        <f>"202385B0100"</f>
        <v>202385B0100</v>
      </c>
      <c r="B1816" t="s">
        <v>3728</v>
      </c>
      <c r="C1816">
        <v>20</v>
      </c>
      <c r="D1816" t="s">
        <v>79</v>
      </c>
      <c r="E1816">
        <v>8</v>
      </c>
      <c r="F1816" t="s">
        <v>3266</v>
      </c>
      <c r="G1816">
        <v>2385</v>
      </c>
      <c r="H1816">
        <v>1</v>
      </c>
      <c r="I1816" t="s">
        <v>81</v>
      </c>
      <c r="J1816">
        <v>0</v>
      </c>
      <c r="K1816">
        <v>2</v>
      </c>
      <c r="L1816">
        <v>2</v>
      </c>
      <c r="M1816">
        <v>136</v>
      </c>
      <c r="N1816">
        <v>158</v>
      </c>
      <c r="O1816">
        <v>3</v>
      </c>
      <c r="P1816">
        <v>158</v>
      </c>
      <c r="Q1816">
        <v>2</v>
      </c>
      <c r="R1816">
        <v>10</v>
      </c>
      <c r="S1816">
        <v>11</v>
      </c>
      <c r="T1816">
        <v>6</v>
      </c>
      <c r="U1816">
        <v>14</v>
      </c>
      <c r="V1816">
        <v>2</v>
      </c>
      <c r="W1816">
        <v>3</v>
      </c>
      <c r="X1816">
        <v>4</v>
      </c>
      <c r="Y1816">
        <v>101</v>
      </c>
      <c r="Z1816">
        <v>1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T1816">
        <v>0</v>
      </c>
      <c r="AU1816">
        <v>3</v>
      </c>
      <c r="AV1816">
        <v>158</v>
      </c>
      <c r="AW1816">
        <v>157</v>
      </c>
      <c r="AX1816">
        <v>269</v>
      </c>
      <c r="BA1816">
        <v>1</v>
      </c>
      <c r="BC1816" t="s">
        <v>3729</v>
      </c>
      <c r="BD1816" s="4">
        <v>43283.488888888889</v>
      </c>
      <c r="BE1816" s="4">
        <v>43283.493402777778</v>
      </c>
      <c r="BF1816" s="4">
        <v>43283.493402777778</v>
      </c>
      <c r="BG1816" t="s">
        <v>83</v>
      </c>
      <c r="BH1816" t="s">
        <v>84</v>
      </c>
      <c r="BI1816" t="s">
        <v>85</v>
      </c>
    </row>
    <row r="1817" spans="1:61" x14ac:dyDescent="0.3">
      <c r="A1817" t="str">
        <f>"202452B0100"</f>
        <v>202452B0100</v>
      </c>
      <c r="B1817" t="s">
        <v>3730</v>
      </c>
      <c r="C1817">
        <v>20</v>
      </c>
      <c r="D1817" t="s">
        <v>79</v>
      </c>
      <c r="E1817">
        <v>8</v>
      </c>
      <c r="F1817" t="s">
        <v>3266</v>
      </c>
      <c r="G1817">
        <v>2452</v>
      </c>
      <c r="H1817">
        <v>1</v>
      </c>
      <c r="I1817" t="s">
        <v>81</v>
      </c>
      <c r="J1817">
        <v>0</v>
      </c>
      <c r="K1817">
        <v>2</v>
      </c>
      <c r="L1817">
        <v>2</v>
      </c>
      <c r="M1817">
        <v>148</v>
      </c>
      <c r="N1817">
        <v>184</v>
      </c>
      <c r="O1817">
        <v>1</v>
      </c>
      <c r="P1817">
        <v>184</v>
      </c>
      <c r="Q1817">
        <v>5</v>
      </c>
      <c r="R1817">
        <v>25</v>
      </c>
      <c r="S1817">
        <v>27</v>
      </c>
      <c r="T1817">
        <v>13</v>
      </c>
      <c r="U1817">
        <v>25</v>
      </c>
      <c r="V1817">
        <v>5</v>
      </c>
      <c r="W1817">
        <v>7</v>
      </c>
      <c r="X1817">
        <v>4</v>
      </c>
      <c r="Y1817">
        <v>61</v>
      </c>
      <c r="Z1817">
        <v>3</v>
      </c>
      <c r="AA1817">
        <v>1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1</v>
      </c>
      <c r="AL1817">
        <v>0</v>
      </c>
      <c r="AM1817">
        <v>0</v>
      </c>
      <c r="AN1817">
        <v>0</v>
      </c>
      <c r="AT1817">
        <v>0</v>
      </c>
      <c r="AU1817">
        <v>7</v>
      </c>
      <c r="AV1817">
        <v>332</v>
      </c>
      <c r="AW1817">
        <v>184</v>
      </c>
      <c r="AX1817">
        <v>307</v>
      </c>
      <c r="BA1817">
        <v>1</v>
      </c>
      <c r="BC1817" t="s">
        <v>3731</v>
      </c>
      <c r="BD1817" s="4">
        <v>43283.304166666669</v>
      </c>
      <c r="BE1817" s="4">
        <v>43283.328148148146</v>
      </c>
      <c r="BF1817" s="4">
        <v>43283.328148148146</v>
      </c>
      <c r="BG1817" t="s">
        <v>83</v>
      </c>
      <c r="BH1817" t="s">
        <v>84</v>
      </c>
      <c r="BI1817" t="s">
        <v>85</v>
      </c>
    </row>
    <row r="1818" spans="1:61" x14ac:dyDescent="0.3">
      <c r="A1818" t="str">
        <f>"200001B0100"</f>
        <v>200001B0100</v>
      </c>
      <c r="B1818" t="s">
        <v>3732</v>
      </c>
      <c r="C1818">
        <v>20</v>
      </c>
      <c r="D1818" t="s">
        <v>79</v>
      </c>
      <c r="E1818">
        <v>9</v>
      </c>
      <c r="F1818" t="s">
        <v>3733</v>
      </c>
      <c r="G1818">
        <v>1</v>
      </c>
      <c r="H1818">
        <v>1</v>
      </c>
      <c r="I1818" t="s">
        <v>81</v>
      </c>
      <c r="J1818">
        <v>0</v>
      </c>
      <c r="K1818">
        <v>1</v>
      </c>
      <c r="L1818">
        <v>2</v>
      </c>
      <c r="M1818">
        <v>188</v>
      </c>
      <c r="N1818">
        <v>220</v>
      </c>
      <c r="O1818">
        <v>0</v>
      </c>
      <c r="P1818">
        <v>220</v>
      </c>
      <c r="Q1818">
        <v>14</v>
      </c>
      <c r="R1818">
        <v>11</v>
      </c>
      <c r="S1818">
        <v>8</v>
      </c>
      <c r="T1818">
        <v>6</v>
      </c>
      <c r="U1818">
        <v>14</v>
      </c>
      <c r="V1818">
        <v>6</v>
      </c>
      <c r="W1818">
        <v>3</v>
      </c>
      <c r="X1818">
        <v>8</v>
      </c>
      <c r="Y1818">
        <v>118</v>
      </c>
      <c r="Z1818">
        <v>5</v>
      </c>
      <c r="AA1818">
        <v>2</v>
      </c>
      <c r="AB1818">
        <v>4</v>
      </c>
      <c r="AC1818">
        <v>0</v>
      </c>
      <c r="AD1818">
        <v>1</v>
      </c>
      <c r="AE1818">
        <v>0</v>
      </c>
      <c r="AF1818">
        <v>0</v>
      </c>
      <c r="AK1818">
        <v>2</v>
      </c>
      <c r="AL1818">
        <v>1</v>
      </c>
      <c r="AM1818">
        <v>0</v>
      </c>
      <c r="AN1818">
        <v>0</v>
      </c>
      <c r="AT1818" t="s">
        <v>100</v>
      </c>
      <c r="AU1818">
        <v>15</v>
      </c>
      <c r="AV1818">
        <v>219</v>
      </c>
      <c r="AW1818">
        <v>218</v>
      </c>
      <c r="AX1818">
        <v>386</v>
      </c>
      <c r="AZ1818" t="s">
        <v>101</v>
      </c>
      <c r="BA1818">
        <v>1</v>
      </c>
      <c r="BC1818" t="s">
        <v>3734</v>
      </c>
      <c r="BD1818" s="4">
        <v>43283.21875</v>
      </c>
      <c r="BE1818" s="4">
        <v>43283.240729166668</v>
      </c>
      <c r="BF1818" s="4">
        <v>43283.240729166668</v>
      </c>
      <c r="BG1818" t="s">
        <v>83</v>
      </c>
      <c r="BH1818" t="s">
        <v>84</v>
      </c>
      <c r="BI1818" t="s">
        <v>85</v>
      </c>
    </row>
    <row r="1819" spans="1:61" x14ac:dyDescent="0.3">
      <c r="A1819" t="str">
        <f>"200001C0100"</f>
        <v>200001C0100</v>
      </c>
      <c r="B1819" t="s">
        <v>3735</v>
      </c>
      <c r="C1819">
        <v>20</v>
      </c>
      <c r="D1819" t="s">
        <v>79</v>
      </c>
      <c r="E1819">
        <v>9</v>
      </c>
      <c r="F1819" t="s">
        <v>3733</v>
      </c>
      <c r="G1819">
        <v>1</v>
      </c>
      <c r="H1819">
        <v>1</v>
      </c>
      <c r="I1819" t="s">
        <v>89</v>
      </c>
      <c r="J1819">
        <v>0</v>
      </c>
      <c r="K1819">
        <v>1</v>
      </c>
      <c r="L1819">
        <v>2</v>
      </c>
      <c r="M1819">
        <v>177</v>
      </c>
      <c r="N1819">
        <v>229</v>
      </c>
      <c r="O1819">
        <v>0</v>
      </c>
      <c r="P1819">
        <v>229</v>
      </c>
      <c r="Q1819">
        <v>6</v>
      </c>
      <c r="R1819">
        <v>7</v>
      </c>
      <c r="S1819">
        <v>7</v>
      </c>
      <c r="T1819">
        <v>2</v>
      </c>
      <c r="U1819">
        <v>38</v>
      </c>
      <c r="V1819">
        <v>5</v>
      </c>
      <c r="W1819">
        <v>1</v>
      </c>
      <c r="X1819">
        <v>1</v>
      </c>
      <c r="Y1819">
        <v>131</v>
      </c>
      <c r="Z1819">
        <v>2</v>
      </c>
      <c r="AA1819">
        <v>3</v>
      </c>
      <c r="AB1819">
        <v>3</v>
      </c>
      <c r="AC1819">
        <v>0</v>
      </c>
      <c r="AD1819">
        <v>0</v>
      </c>
      <c r="AE1819">
        <v>0</v>
      </c>
      <c r="AF1819">
        <v>0</v>
      </c>
      <c r="AK1819">
        <v>4</v>
      </c>
      <c r="AL1819">
        <v>4</v>
      </c>
      <c r="AM1819">
        <v>0</v>
      </c>
      <c r="AN1819">
        <v>1</v>
      </c>
      <c r="AT1819">
        <v>0</v>
      </c>
      <c r="AU1819">
        <v>13</v>
      </c>
      <c r="AV1819">
        <v>229</v>
      </c>
      <c r="AW1819">
        <v>228</v>
      </c>
      <c r="AX1819">
        <v>385</v>
      </c>
      <c r="BA1819">
        <v>1</v>
      </c>
      <c r="BC1819" t="s">
        <v>3736</v>
      </c>
      <c r="BD1819" s="4">
        <v>43283.22152777778</v>
      </c>
      <c r="BE1819" s="4">
        <v>43283.245104166665</v>
      </c>
      <c r="BF1819" s="4">
        <v>43283.245104166665</v>
      </c>
      <c r="BG1819" t="s">
        <v>83</v>
      </c>
      <c r="BH1819" t="s">
        <v>84</v>
      </c>
      <c r="BI1819" t="s">
        <v>85</v>
      </c>
    </row>
    <row r="1820" spans="1:61" x14ac:dyDescent="0.3">
      <c r="A1820" t="str">
        <f>"200193B0100"</f>
        <v>200193B0100</v>
      </c>
      <c r="B1820" t="s">
        <v>3737</v>
      </c>
      <c r="C1820">
        <v>20</v>
      </c>
      <c r="D1820" t="s">
        <v>79</v>
      </c>
      <c r="E1820">
        <v>9</v>
      </c>
      <c r="F1820" t="s">
        <v>3733</v>
      </c>
      <c r="G1820">
        <v>193</v>
      </c>
      <c r="H1820">
        <v>1</v>
      </c>
      <c r="I1820" t="s">
        <v>81</v>
      </c>
      <c r="J1820">
        <v>0</v>
      </c>
      <c r="K1820">
        <v>1</v>
      </c>
      <c r="L1820">
        <v>2</v>
      </c>
      <c r="M1820">
        <v>164</v>
      </c>
      <c r="N1820">
        <v>293</v>
      </c>
      <c r="O1820">
        <v>0</v>
      </c>
      <c r="P1820">
        <v>293</v>
      </c>
      <c r="Q1820">
        <v>22</v>
      </c>
      <c r="R1820">
        <v>44</v>
      </c>
      <c r="S1820">
        <v>9</v>
      </c>
      <c r="T1820">
        <v>4</v>
      </c>
      <c r="U1820">
        <v>14</v>
      </c>
      <c r="V1820">
        <v>6</v>
      </c>
      <c r="W1820">
        <v>2</v>
      </c>
      <c r="X1820">
        <v>3</v>
      </c>
      <c r="Y1820">
        <v>152</v>
      </c>
      <c r="Z1820">
        <v>5</v>
      </c>
      <c r="AA1820">
        <v>2</v>
      </c>
      <c r="AB1820">
        <v>9</v>
      </c>
      <c r="AC1820">
        <v>1</v>
      </c>
      <c r="AD1820">
        <v>0</v>
      </c>
      <c r="AE1820">
        <v>0</v>
      </c>
      <c r="AF1820">
        <v>0</v>
      </c>
      <c r="AK1820">
        <v>1</v>
      </c>
      <c r="AL1820">
        <v>3</v>
      </c>
      <c r="AM1820">
        <v>0</v>
      </c>
      <c r="AN1820">
        <v>0</v>
      </c>
      <c r="AT1820">
        <v>0</v>
      </c>
      <c r="AU1820">
        <v>16</v>
      </c>
      <c r="AV1820">
        <v>293</v>
      </c>
      <c r="AW1820">
        <v>293</v>
      </c>
      <c r="AX1820">
        <v>435</v>
      </c>
      <c r="BA1820">
        <v>1</v>
      </c>
      <c r="BC1820" t="s">
        <v>3738</v>
      </c>
      <c r="BD1820" s="4">
        <v>43283.063888888886</v>
      </c>
      <c r="BE1820" s="4">
        <v>43283.068888888891</v>
      </c>
      <c r="BF1820" s="4">
        <v>43283.068888888891</v>
      </c>
      <c r="BG1820" t="s">
        <v>83</v>
      </c>
      <c r="BH1820" t="s">
        <v>84</v>
      </c>
      <c r="BI1820" t="s">
        <v>85</v>
      </c>
    </row>
    <row r="1821" spans="1:61" x14ac:dyDescent="0.3">
      <c r="A1821" t="str">
        <f>"200276B0100"</f>
        <v>200276B0100</v>
      </c>
      <c r="B1821" t="s">
        <v>3739</v>
      </c>
      <c r="C1821">
        <v>20</v>
      </c>
      <c r="D1821" t="s">
        <v>79</v>
      </c>
      <c r="E1821">
        <v>9</v>
      </c>
      <c r="F1821" t="s">
        <v>3733</v>
      </c>
      <c r="G1821">
        <v>276</v>
      </c>
      <c r="H1821">
        <v>1</v>
      </c>
      <c r="I1821" t="s">
        <v>81</v>
      </c>
      <c r="J1821">
        <v>0</v>
      </c>
      <c r="K1821">
        <v>2</v>
      </c>
      <c r="L1821">
        <v>2</v>
      </c>
      <c r="M1821">
        <v>210</v>
      </c>
      <c r="N1821">
        <v>547</v>
      </c>
      <c r="O1821">
        <v>0</v>
      </c>
      <c r="P1821">
        <v>337</v>
      </c>
      <c r="Q1821">
        <v>23</v>
      </c>
      <c r="R1821">
        <v>33</v>
      </c>
      <c r="S1821">
        <v>9</v>
      </c>
      <c r="T1821">
        <v>15</v>
      </c>
      <c r="U1821">
        <v>25</v>
      </c>
      <c r="V1821">
        <v>3</v>
      </c>
      <c r="W1821">
        <v>5</v>
      </c>
      <c r="X1821">
        <v>4</v>
      </c>
      <c r="Y1821">
        <v>159</v>
      </c>
      <c r="Z1821">
        <v>1</v>
      </c>
      <c r="AA1821">
        <v>2</v>
      </c>
      <c r="AB1821">
        <v>46</v>
      </c>
      <c r="AC1821">
        <v>0</v>
      </c>
      <c r="AD1821">
        <v>0</v>
      </c>
      <c r="AE1821">
        <v>0</v>
      </c>
      <c r="AF1821">
        <v>0</v>
      </c>
      <c r="AK1821">
        <v>0</v>
      </c>
      <c r="AL1821">
        <v>2</v>
      </c>
      <c r="AM1821">
        <v>0</v>
      </c>
      <c r="AN1821">
        <v>1</v>
      </c>
      <c r="AT1821">
        <v>0</v>
      </c>
      <c r="AU1821">
        <v>9</v>
      </c>
      <c r="AV1821">
        <v>337</v>
      </c>
      <c r="AW1821">
        <v>337</v>
      </c>
      <c r="AX1821">
        <v>525</v>
      </c>
      <c r="BA1821">
        <v>1</v>
      </c>
      <c r="BC1821" t="s">
        <v>3740</v>
      </c>
      <c r="BD1821" s="4">
        <v>43282.944444444445</v>
      </c>
      <c r="BE1821" s="4">
        <v>43282.954201388886</v>
      </c>
      <c r="BF1821" s="4">
        <v>43282.954201388886</v>
      </c>
      <c r="BG1821" t="s">
        <v>83</v>
      </c>
      <c r="BH1821" t="s">
        <v>84</v>
      </c>
      <c r="BI1821" t="s">
        <v>85</v>
      </c>
    </row>
    <row r="1822" spans="1:61" x14ac:dyDescent="0.3">
      <c r="A1822" t="str">
        <f>"200276C0100"</f>
        <v>200276C0100</v>
      </c>
      <c r="B1822" t="s">
        <v>3741</v>
      </c>
      <c r="C1822">
        <v>20</v>
      </c>
      <c r="D1822" t="s">
        <v>79</v>
      </c>
      <c r="E1822">
        <v>9</v>
      </c>
      <c r="F1822" t="s">
        <v>3733</v>
      </c>
      <c r="G1822">
        <v>276</v>
      </c>
      <c r="H1822">
        <v>1</v>
      </c>
      <c r="I1822" t="s">
        <v>89</v>
      </c>
      <c r="J1822">
        <v>0</v>
      </c>
      <c r="K1822">
        <v>2</v>
      </c>
      <c r="L1822">
        <v>2</v>
      </c>
      <c r="M1822">
        <v>185</v>
      </c>
      <c r="N1822">
        <v>362</v>
      </c>
      <c r="O1822">
        <v>0</v>
      </c>
      <c r="P1822" t="s">
        <v>100</v>
      </c>
      <c r="Q1822">
        <v>29</v>
      </c>
      <c r="R1822">
        <v>62</v>
      </c>
      <c r="S1822">
        <v>8</v>
      </c>
      <c r="T1822">
        <v>15</v>
      </c>
      <c r="U1822">
        <v>18</v>
      </c>
      <c r="V1822">
        <v>8</v>
      </c>
      <c r="W1822">
        <v>5</v>
      </c>
      <c r="X1822">
        <v>2</v>
      </c>
      <c r="Y1822">
        <v>153</v>
      </c>
      <c r="Z1822">
        <v>6</v>
      </c>
      <c r="AA1822">
        <v>0</v>
      </c>
      <c r="AB1822">
        <v>40</v>
      </c>
      <c r="AC1822">
        <v>1</v>
      </c>
      <c r="AD1822">
        <v>0</v>
      </c>
      <c r="AE1822">
        <v>0</v>
      </c>
      <c r="AF1822">
        <v>0</v>
      </c>
      <c r="AK1822">
        <v>5</v>
      </c>
      <c r="AL1822">
        <v>2</v>
      </c>
      <c r="AM1822">
        <v>0</v>
      </c>
      <c r="AN1822">
        <v>0</v>
      </c>
      <c r="AT1822">
        <v>0</v>
      </c>
      <c r="AU1822">
        <v>8</v>
      </c>
      <c r="AV1822">
        <v>362</v>
      </c>
      <c r="AW1822">
        <v>362</v>
      </c>
      <c r="AX1822">
        <v>525</v>
      </c>
      <c r="BA1822">
        <v>1</v>
      </c>
      <c r="BC1822" t="s">
        <v>3742</v>
      </c>
      <c r="BD1822" s="4">
        <v>43282.949305555558</v>
      </c>
      <c r="BE1822" s="4">
        <v>43282.955509259256</v>
      </c>
      <c r="BF1822" s="4">
        <v>43282.955509259256</v>
      </c>
      <c r="BG1822" t="s">
        <v>83</v>
      </c>
      <c r="BH1822" t="s">
        <v>84</v>
      </c>
      <c r="BI1822" t="s">
        <v>85</v>
      </c>
    </row>
    <row r="1823" spans="1:61" x14ac:dyDescent="0.3">
      <c r="A1823" t="str">
        <f>"200276S0100"</f>
        <v>200276S0100</v>
      </c>
      <c r="B1823" t="s">
        <v>3743</v>
      </c>
      <c r="C1823">
        <v>20</v>
      </c>
      <c r="D1823" t="s">
        <v>79</v>
      </c>
      <c r="E1823">
        <v>9</v>
      </c>
      <c r="F1823" t="s">
        <v>3733</v>
      </c>
      <c r="G1823">
        <v>276</v>
      </c>
      <c r="H1823">
        <v>1</v>
      </c>
      <c r="I1823" t="s">
        <v>104</v>
      </c>
      <c r="J1823">
        <v>0</v>
      </c>
      <c r="K1823">
        <v>2</v>
      </c>
      <c r="L1823">
        <v>3</v>
      </c>
      <c r="AX1823">
        <v>0</v>
      </c>
      <c r="AZ1823" t="s">
        <v>156</v>
      </c>
      <c r="BA1823">
        <v>0</v>
      </c>
      <c r="BC1823" t="s">
        <v>3744</v>
      </c>
      <c r="BD1823" s="4">
        <v>43283.645138888889</v>
      </c>
      <c r="BE1823" s="4">
        <v>43283.648495370369</v>
      </c>
      <c r="BF1823" s="4">
        <v>43283.648495370369</v>
      </c>
      <c r="BG1823" t="s">
        <v>83</v>
      </c>
      <c r="BH1823" t="s">
        <v>84</v>
      </c>
      <c r="BI1823" t="s">
        <v>85</v>
      </c>
    </row>
    <row r="1824" spans="1:61" x14ac:dyDescent="0.3">
      <c r="A1824" t="str">
        <f>"200277B0100"</f>
        <v>200277B0100</v>
      </c>
      <c r="B1824" t="s">
        <v>3745</v>
      </c>
      <c r="C1824">
        <v>20</v>
      </c>
      <c r="D1824" t="s">
        <v>79</v>
      </c>
      <c r="E1824">
        <v>9</v>
      </c>
      <c r="F1824" t="s">
        <v>3733</v>
      </c>
      <c r="G1824">
        <v>277</v>
      </c>
      <c r="H1824">
        <v>1</v>
      </c>
      <c r="I1824" t="s">
        <v>81</v>
      </c>
      <c r="J1824">
        <v>0</v>
      </c>
      <c r="K1824">
        <v>2</v>
      </c>
      <c r="L1824">
        <v>2</v>
      </c>
      <c r="M1824">
        <v>247</v>
      </c>
      <c r="N1824">
        <v>378</v>
      </c>
      <c r="O1824">
        <v>0</v>
      </c>
      <c r="P1824">
        <v>378</v>
      </c>
      <c r="Q1824">
        <v>31</v>
      </c>
      <c r="R1824">
        <v>63</v>
      </c>
      <c r="S1824">
        <v>6</v>
      </c>
      <c r="T1824">
        <v>20</v>
      </c>
      <c r="U1824">
        <v>16</v>
      </c>
      <c r="V1824">
        <v>1</v>
      </c>
      <c r="W1824">
        <v>4</v>
      </c>
      <c r="X1824">
        <v>3</v>
      </c>
      <c r="Y1824">
        <v>165</v>
      </c>
      <c r="Z1824">
        <v>5</v>
      </c>
      <c r="AA1824">
        <v>2</v>
      </c>
      <c r="AB1824">
        <v>47</v>
      </c>
      <c r="AC1824">
        <v>0</v>
      </c>
      <c r="AD1824">
        <v>0</v>
      </c>
      <c r="AE1824">
        <v>0</v>
      </c>
      <c r="AF1824">
        <v>0</v>
      </c>
      <c r="AK1824">
        <v>1</v>
      </c>
      <c r="AL1824">
        <v>3</v>
      </c>
      <c r="AM1824">
        <v>0</v>
      </c>
      <c r="AN1824">
        <v>0</v>
      </c>
      <c r="AT1824">
        <v>0</v>
      </c>
      <c r="AU1824">
        <v>11</v>
      </c>
      <c r="AV1824">
        <v>378</v>
      </c>
      <c r="AW1824">
        <v>378</v>
      </c>
      <c r="AX1824">
        <v>603</v>
      </c>
      <c r="BA1824">
        <v>1</v>
      </c>
      <c r="BC1824" t="s">
        <v>3746</v>
      </c>
      <c r="BD1824" s="4">
        <v>43283.063194444447</v>
      </c>
      <c r="BE1824" s="4">
        <v>43283.066886574074</v>
      </c>
      <c r="BF1824" s="4">
        <v>43283.066886574074</v>
      </c>
      <c r="BG1824" t="s">
        <v>83</v>
      </c>
      <c r="BH1824" t="s">
        <v>84</v>
      </c>
      <c r="BI1824" t="s">
        <v>85</v>
      </c>
    </row>
    <row r="1825" spans="1:61" x14ac:dyDescent="0.3">
      <c r="A1825" t="str">
        <f>"200277C0100"</f>
        <v>200277C0100</v>
      </c>
      <c r="B1825" t="s">
        <v>3747</v>
      </c>
      <c r="C1825">
        <v>20</v>
      </c>
      <c r="D1825" t="s">
        <v>79</v>
      </c>
      <c r="E1825">
        <v>9</v>
      </c>
      <c r="F1825" t="s">
        <v>3733</v>
      </c>
      <c r="G1825">
        <v>277</v>
      </c>
      <c r="H1825">
        <v>1</v>
      </c>
      <c r="I1825" t="s">
        <v>89</v>
      </c>
      <c r="J1825">
        <v>0</v>
      </c>
      <c r="K1825">
        <v>2</v>
      </c>
      <c r="L1825">
        <v>2</v>
      </c>
      <c r="M1825">
        <v>244</v>
      </c>
      <c r="N1825">
        <v>380</v>
      </c>
      <c r="O1825">
        <v>0</v>
      </c>
      <c r="P1825">
        <v>380</v>
      </c>
      <c r="Q1825">
        <v>31</v>
      </c>
      <c r="R1825">
        <v>63</v>
      </c>
      <c r="S1825">
        <v>8</v>
      </c>
      <c r="T1825">
        <v>19</v>
      </c>
      <c r="U1825">
        <v>17</v>
      </c>
      <c r="V1825">
        <v>9</v>
      </c>
      <c r="W1825">
        <v>3</v>
      </c>
      <c r="X1825">
        <v>7</v>
      </c>
      <c r="Y1825">
        <v>162</v>
      </c>
      <c r="Z1825">
        <v>4</v>
      </c>
      <c r="AA1825">
        <v>0</v>
      </c>
      <c r="AB1825">
        <v>37</v>
      </c>
      <c r="AC1825">
        <v>0</v>
      </c>
      <c r="AD1825">
        <v>0</v>
      </c>
      <c r="AE1825">
        <v>0</v>
      </c>
      <c r="AF1825">
        <v>0</v>
      </c>
      <c r="AK1825">
        <v>5</v>
      </c>
      <c r="AL1825">
        <v>0</v>
      </c>
      <c r="AM1825">
        <v>0</v>
      </c>
      <c r="AN1825">
        <v>1</v>
      </c>
      <c r="AT1825">
        <v>0</v>
      </c>
      <c r="AU1825">
        <v>14</v>
      </c>
      <c r="AV1825">
        <v>380</v>
      </c>
      <c r="AW1825">
        <v>380</v>
      </c>
      <c r="AX1825">
        <v>602</v>
      </c>
      <c r="BA1825">
        <v>1</v>
      </c>
      <c r="BC1825" t="s">
        <v>3748</v>
      </c>
      <c r="BD1825" s="4">
        <v>43283.000694444447</v>
      </c>
      <c r="BE1825" s="4">
        <v>43283.004652777781</v>
      </c>
      <c r="BF1825" s="4">
        <v>43283.004652777781</v>
      </c>
      <c r="BG1825" t="s">
        <v>83</v>
      </c>
      <c r="BH1825" t="s">
        <v>84</v>
      </c>
      <c r="BI1825" t="s">
        <v>85</v>
      </c>
    </row>
    <row r="1826" spans="1:61" x14ac:dyDescent="0.3">
      <c r="A1826" t="str">
        <f>"200278B0100"</f>
        <v>200278B0100</v>
      </c>
      <c r="B1826" t="s">
        <v>3749</v>
      </c>
      <c r="C1826">
        <v>20</v>
      </c>
      <c r="D1826" t="s">
        <v>79</v>
      </c>
      <c r="E1826">
        <v>9</v>
      </c>
      <c r="F1826" t="s">
        <v>3733</v>
      </c>
      <c r="G1826">
        <v>278</v>
      </c>
      <c r="H1826">
        <v>1</v>
      </c>
      <c r="I1826" t="s">
        <v>81</v>
      </c>
      <c r="J1826">
        <v>0</v>
      </c>
      <c r="K1826">
        <v>2</v>
      </c>
      <c r="L1826">
        <v>2</v>
      </c>
      <c r="M1826">
        <v>198</v>
      </c>
      <c r="N1826">
        <v>521</v>
      </c>
      <c r="O1826">
        <v>0</v>
      </c>
      <c r="P1826">
        <v>323</v>
      </c>
      <c r="Q1826">
        <v>3</v>
      </c>
      <c r="R1826">
        <v>74</v>
      </c>
      <c r="S1826">
        <v>6</v>
      </c>
      <c r="T1826">
        <v>1</v>
      </c>
      <c r="U1826">
        <v>14</v>
      </c>
      <c r="V1826">
        <v>1</v>
      </c>
      <c r="W1826">
        <v>2</v>
      </c>
      <c r="X1826">
        <v>6</v>
      </c>
      <c r="Y1826">
        <v>190</v>
      </c>
      <c r="Z1826">
        <v>9</v>
      </c>
      <c r="AA1826">
        <v>2</v>
      </c>
      <c r="AB1826">
        <v>0</v>
      </c>
      <c r="AC1826">
        <v>0</v>
      </c>
      <c r="AD1826">
        <v>0</v>
      </c>
      <c r="AE1826">
        <v>0</v>
      </c>
      <c r="AF1826">
        <v>0</v>
      </c>
      <c r="AK1826">
        <v>4</v>
      </c>
      <c r="AL1826">
        <v>1</v>
      </c>
      <c r="AM1826">
        <v>0</v>
      </c>
      <c r="AN1826">
        <v>2</v>
      </c>
      <c r="AT1826">
        <v>0</v>
      </c>
      <c r="AU1826">
        <v>8</v>
      </c>
      <c r="AV1826">
        <v>323</v>
      </c>
      <c r="AW1826">
        <v>323</v>
      </c>
      <c r="AX1826">
        <v>499</v>
      </c>
      <c r="BA1826">
        <v>1</v>
      </c>
      <c r="BC1826" t="s">
        <v>3750</v>
      </c>
      <c r="BD1826" s="4">
        <v>43283.363888888889</v>
      </c>
      <c r="BE1826" s="4">
        <v>43283.375972222224</v>
      </c>
      <c r="BF1826" s="4">
        <v>43283.375972222224</v>
      </c>
      <c r="BG1826" t="s">
        <v>83</v>
      </c>
      <c r="BH1826" t="s">
        <v>84</v>
      </c>
      <c r="BI1826" t="s">
        <v>85</v>
      </c>
    </row>
    <row r="1827" spans="1:61" x14ac:dyDescent="0.3">
      <c r="A1827" t="str">
        <f>"200278E0100"</f>
        <v>200278E0100</v>
      </c>
      <c r="B1827" s="2" t="s">
        <v>3751</v>
      </c>
      <c r="C1827">
        <v>20</v>
      </c>
      <c r="D1827" t="s">
        <v>79</v>
      </c>
      <c r="E1827">
        <v>9</v>
      </c>
      <c r="F1827" t="s">
        <v>3733</v>
      </c>
      <c r="G1827">
        <v>278</v>
      </c>
      <c r="H1827">
        <v>1</v>
      </c>
      <c r="I1827" t="s">
        <v>145</v>
      </c>
      <c r="J1827">
        <v>0</v>
      </c>
      <c r="K1827">
        <v>2</v>
      </c>
      <c r="L1827">
        <v>2</v>
      </c>
      <c r="M1827">
        <v>161</v>
      </c>
      <c r="N1827">
        <v>304</v>
      </c>
      <c r="O1827">
        <v>1</v>
      </c>
      <c r="P1827">
        <v>304</v>
      </c>
      <c r="Q1827">
        <v>4</v>
      </c>
      <c r="R1827">
        <v>98</v>
      </c>
      <c r="S1827">
        <v>2</v>
      </c>
      <c r="T1827">
        <v>0</v>
      </c>
      <c r="U1827">
        <v>8</v>
      </c>
      <c r="V1827">
        <v>0</v>
      </c>
      <c r="W1827">
        <v>0</v>
      </c>
      <c r="X1827">
        <v>1</v>
      </c>
      <c r="Y1827">
        <v>172</v>
      </c>
      <c r="Z1827">
        <v>6</v>
      </c>
      <c r="AA1827">
        <v>0</v>
      </c>
      <c r="AB1827">
        <v>1</v>
      </c>
      <c r="AC1827">
        <v>0</v>
      </c>
      <c r="AD1827">
        <v>0</v>
      </c>
      <c r="AE1827">
        <v>0</v>
      </c>
      <c r="AF1827">
        <v>0</v>
      </c>
      <c r="AK1827">
        <v>0</v>
      </c>
      <c r="AL1827">
        <v>1</v>
      </c>
      <c r="AM1827">
        <v>0</v>
      </c>
      <c r="AN1827">
        <v>2</v>
      </c>
      <c r="AT1827">
        <v>0</v>
      </c>
      <c r="AU1827">
        <v>9</v>
      </c>
      <c r="AV1827">
        <v>304</v>
      </c>
      <c r="AW1827">
        <v>304</v>
      </c>
      <c r="AX1827">
        <v>443</v>
      </c>
      <c r="BA1827">
        <v>1</v>
      </c>
      <c r="BC1827" t="s">
        <v>3752</v>
      </c>
      <c r="BD1827" s="4">
        <v>43283.363194444442</v>
      </c>
      <c r="BE1827" s="4">
        <v>43283.373298611114</v>
      </c>
      <c r="BF1827" s="4">
        <v>43283.373298611114</v>
      </c>
      <c r="BG1827" t="s">
        <v>83</v>
      </c>
      <c r="BH1827" t="s">
        <v>84</v>
      </c>
      <c r="BI1827" t="s">
        <v>85</v>
      </c>
    </row>
    <row r="1828" spans="1:61" x14ac:dyDescent="0.3">
      <c r="A1828" t="str">
        <f>"200279B0100"</f>
        <v>200279B0100</v>
      </c>
      <c r="B1828" t="s">
        <v>3753</v>
      </c>
      <c r="C1828">
        <v>20</v>
      </c>
      <c r="D1828" t="s">
        <v>79</v>
      </c>
      <c r="E1828">
        <v>9</v>
      </c>
      <c r="F1828" t="s">
        <v>3733</v>
      </c>
      <c r="G1828">
        <v>279</v>
      </c>
      <c r="H1828">
        <v>1</v>
      </c>
      <c r="I1828" t="s">
        <v>81</v>
      </c>
      <c r="J1828">
        <v>0</v>
      </c>
      <c r="K1828">
        <v>2</v>
      </c>
      <c r="L1828">
        <v>2</v>
      </c>
      <c r="M1828">
        <v>98</v>
      </c>
      <c r="N1828">
        <v>144</v>
      </c>
      <c r="O1828">
        <v>0</v>
      </c>
      <c r="P1828">
        <v>144</v>
      </c>
      <c r="Q1828">
        <v>3</v>
      </c>
      <c r="R1828">
        <v>5</v>
      </c>
      <c r="S1828">
        <v>8</v>
      </c>
      <c r="T1828">
        <v>1</v>
      </c>
      <c r="U1828">
        <v>4</v>
      </c>
      <c r="V1828">
        <v>4</v>
      </c>
      <c r="W1828">
        <v>1</v>
      </c>
      <c r="X1828">
        <v>2</v>
      </c>
      <c r="Y1828">
        <v>87</v>
      </c>
      <c r="Z1828">
        <v>3</v>
      </c>
      <c r="AA1828">
        <v>0</v>
      </c>
      <c r="AB1828">
        <v>4</v>
      </c>
      <c r="AC1828">
        <v>0</v>
      </c>
      <c r="AD1828">
        <v>0</v>
      </c>
      <c r="AE1828">
        <v>0</v>
      </c>
      <c r="AF1828">
        <v>0</v>
      </c>
      <c r="AK1828">
        <v>4</v>
      </c>
      <c r="AL1828">
        <v>1</v>
      </c>
      <c r="AM1828">
        <v>0</v>
      </c>
      <c r="AN1828">
        <v>0</v>
      </c>
      <c r="AT1828">
        <v>0</v>
      </c>
      <c r="AU1828">
        <v>7</v>
      </c>
      <c r="AV1828">
        <v>144</v>
      </c>
      <c r="AW1828">
        <v>134</v>
      </c>
      <c r="AX1828">
        <v>220</v>
      </c>
      <c r="BA1828">
        <v>1</v>
      </c>
      <c r="BC1828" t="s">
        <v>3754</v>
      </c>
      <c r="BD1828" s="4">
        <v>43283.134027777778</v>
      </c>
      <c r="BE1828" s="4">
        <v>43283.139247685183</v>
      </c>
      <c r="BF1828" s="4">
        <v>43283.139247685183</v>
      </c>
      <c r="BG1828" t="s">
        <v>83</v>
      </c>
      <c r="BH1828" t="s">
        <v>84</v>
      </c>
      <c r="BI1828" t="s">
        <v>85</v>
      </c>
    </row>
    <row r="1829" spans="1:61" x14ac:dyDescent="0.3">
      <c r="A1829" t="str">
        <f>"200279E0100"</f>
        <v>200279E0100</v>
      </c>
      <c r="B1829" s="2" t="s">
        <v>3755</v>
      </c>
      <c r="C1829">
        <v>20</v>
      </c>
      <c r="D1829" t="s">
        <v>79</v>
      </c>
      <c r="E1829">
        <v>9</v>
      </c>
      <c r="F1829" t="s">
        <v>3733</v>
      </c>
      <c r="G1829">
        <v>279</v>
      </c>
      <c r="H1829">
        <v>1</v>
      </c>
      <c r="I1829" t="s">
        <v>145</v>
      </c>
      <c r="J1829">
        <v>0</v>
      </c>
      <c r="K1829">
        <v>2</v>
      </c>
      <c r="L1829">
        <v>2</v>
      </c>
      <c r="M1829">
        <v>90</v>
      </c>
      <c r="N1829">
        <v>122</v>
      </c>
      <c r="O1829">
        <v>0</v>
      </c>
      <c r="P1829">
        <v>122</v>
      </c>
      <c r="Q1829">
        <v>11</v>
      </c>
      <c r="R1829">
        <v>28</v>
      </c>
      <c r="S1829">
        <v>2</v>
      </c>
      <c r="T1829">
        <v>1</v>
      </c>
      <c r="U1829">
        <v>3</v>
      </c>
      <c r="V1829">
        <v>2</v>
      </c>
      <c r="W1829">
        <v>0</v>
      </c>
      <c r="X1829">
        <v>2</v>
      </c>
      <c r="Y1829">
        <v>65</v>
      </c>
      <c r="Z1829">
        <v>3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K1829">
        <v>1</v>
      </c>
      <c r="AL1829">
        <v>0</v>
      </c>
      <c r="AM1829">
        <v>0</v>
      </c>
      <c r="AN1829">
        <v>0</v>
      </c>
      <c r="AT1829">
        <v>0</v>
      </c>
      <c r="AU1829">
        <v>4</v>
      </c>
      <c r="AV1829">
        <v>122</v>
      </c>
      <c r="AW1829">
        <v>122</v>
      </c>
      <c r="AX1829">
        <v>190</v>
      </c>
      <c r="BA1829">
        <v>1</v>
      </c>
      <c r="BC1829" t="s">
        <v>3756</v>
      </c>
      <c r="BD1829" s="4">
        <v>43283.134027777778</v>
      </c>
      <c r="BE1829" s="4">
        <v>43283.138796296298</v>
      </c>
      <c r="BF1829" s="4">
        <v>43283.138796296298</v>
      </c>
      <c r="BG1829" t="s">
        <v>83</v>
      </c>
      <c r="BH1829" t="s">
        <v>84</v>
      </c>
      <c r="BI1829" t="s">
        <v>85</v>
      </c>
    </row>
    <row r="1830" spans="1:61" x14ac:dyDescent="0.3">
      <c r="A1830" t="str">
        <f>"200280B0100"</f>
        <v>200280B0100</v>
      </c>
      <c r="B1830" t="s">
        <v>3757</v>
      </c>
      <c r="C1830">
        <v>20</v>
      </c>
      <c r="D1830" t="s">
        <v>79</v>
      </c>
      <c r="E1830">
        <v>9</v>
      </c>
      <c r="F1830" t="s">
        <v>3733</v>
      </c>
      <c r="G1830">
        <v>280</v>
      </c>
      <c r="H1830">
        <v>1</v>
      </c>
      <c r="I1830" t="s">
        <v>81</v>
      </c>
      <c r="J1830">
        <v>0</v>
      </c>
      <c r="K1830">
        <v>2</v>
      </c>
      <c r="L1830">
        <v>2</v>
      </c>
      <c r="M1830">
        <v>131</v>
      </c>
      <c r="N1830">
        <v>237</v>
      </c>
      <c r="O1830">
        <v>0</v>
      </c>
      <c r="P1830">
        <v>237</v>
      </c>
      <c r="Q1830">
        <v>10</v>
      </c>
      <c r="R1830">
        <v>15</v>
      </c>
      <c r="S1830">
        <v>49</v>
      </c>
      <c r="T1830">
        <v>6</v>
      </c>
      <c r="U1830">
        <v>14</v>
      </c>
      <c r="V1830">
        <v>5</v>
      </c>
      <c r="W1830">
        <v>2</v>
      </c>
      <c r="X1830">
        <v>4</v>
      </c>
      <c r="Y1830">
        <v>115</v>
      </c>
      <c r="Z1830">
        <v>5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K1830">
        <v>0</v>
      </c>
      <c r="AL1830">
        <v>0</v>
      </c>
      <c r="AM1830">
        <v>0</v>
      </c>
      <c r="AN1830">
        <v>2</v>
      </c>
      <c r="AT1830">
        <v>1</v>
      </c>
      <c r="AU1830">
        <v>9</v>
      </c>
      <c r="AV1830">
        <v>237</v>
      </c>
      <c r="AW1830">
        <v>237</v>
      </c>
      <c r="AX1830">
        <v>346</v>
      </c>
      <c r="BA1830">
        <v>1</v>
      </c>
      <c r="BC1830" t="s">
        <v>3758</v>
      </c>
      <c r="BD1830" s="4">
        <v>43283.269444444442</v>
      </c>
      <c r="BE1830" s="4">
        <v>43283.296168981484</v>
      </c>
      <c r="BF1830" s="4">
        <v>43283.296168981484</v>
      </c>
      <c r="BG1830" t="s">
        <v>83</v>
      </c>
      <c r="BH1830" t="s">
        <v>84</v>
      </c>
      <c r="BI1830" t="s">
        <v>85</v>
      </c>
    </row>
    <row r="1831" spans="1:61" x14ac:dyDescent="0.3">
      <c r="A1831" t="str">
        <f>"200281B0100"</f>
        <v>200281B0100</v>
      </c>
      <c r="B1831" t="s">
        <v>3759</v>
      </c>
      <c r="C1831">
        <v>20</v>
      </c>
      <c r="D1831" t="s">
        <v>79</v>
      </c>
      <c r="E1831">
        <v>9</v>
      </c>
      <c r="F1831" t="s">
        <v>3733</v>
      </c>
      <c r="G1831">
        <v>281</v>
      </c>
      <c r="H1831">
        <v>1</v>
      </c>
      <c r="I1831" t="s">
        <v>81</v>
      </c>
      <c r="J1831">
        <v>0</v>
      </c>
      <c r="K1831">
        <v>2</v>
      </c>
      <c r="L1831">
        <v>2</v>
      </c>
      <c r="M1831">
        <v>368</v>
      </c>
      <c r="N1831">
        <v>379</v>
      </c>
      <c r="O1831">
        <v>0</v>
      </c>
      <c r="P1831">
        <v>379</v>
      </c>
      <c r="Q1831">
        <v>10</v>
      </c>
      <c r="R1831">
        <v>31</v>
      </c>
      <c r="S1831">
        <v>9</v>
      </c>
      <c r="T1831">
        <v>3</v>
      </c>
      <c r="U1831">
        <v>11</v>
      </c>
      <c r="V1831">
        <v>8</v>
      </c>
      <c r="W1831">
        <v>3</v>
      </c>
      <c r="X1831">
        <v>5</v>
      </c>
      <c r="Y1831">
        <v>270</v>
      </c>
      <c r="Z1831">
        <v>3</v>
      </c>
      <c r="AA1831">
        <v>0</v>
      </c>
      <c r="AB1831">
        <v>2</v>
      </c>
      <c r="AC1831">
        <v>0</v>
      </c>
      <c r="AD1831">
        <v>0</v>
      </c>
      <c r="AE1831">
        <v>0</v>
      </c>
      <c r="AF1831">
        <v>0</v>
      </c>
      <c r="AK1831">
        <v>5</v>
      </c>
      <c r="AL1831">
        <v>3</v>
      </c>
      <c r="AM1831">
        <v>0</v>
      </c>
      <c r="AN1831">
        <v>2</v>
      </c>
      <c r="AT1831">
        <v>0</v>
      </c>
      <c r="AU1831">
        <v>14</v>
      </c>
      <c r="AV1831">
        <v>379</v>
      </c>
      <c r="AW1831">
        <v>379</v>
      </c>
      <c r="AX1831">
        <v>725</v>
      </c>
      <c r="BA1831">
        <v>1</v>
      </c>
      <c r="BC1831" t="s">
        <v>3760</v>
      </c>
      <c r="BD1831" s="4">
        <v>43283.269444444442</v>
      </c>
      <c r="BE1831" s="4">
        <v>43283.294999999998</v>
      </c>
      <c r="BF1831" s="4">
        <v>43283.294999999998</v>
      </c>
      <c r="BG1831" t="s">
        <v>83</v>
      </c>
      <c r="BH1831" t="s">
        <v>84</v>
      </c>
      <c r="BI1831" t="s">
        <v>85</v>
      </c>
    </row>
    <row r="1832" spans="1:61" x14ac:dyDescent="0.3">
      <c r="A1832" t="str">
        <f>"200282B0100"</f>
        <v>200282B0100</v>
      </c>
      <c r="B1832" t="s">
        <v>3761</v>
      </c>
      <c r="C1832">
        <v>20</v>
      </c>
      <c r="D1832" t="s">
        <v>79</v>
      </c>
      <c r="E1832">
        <v>9</v>
      </c>
      <c r="F1832" t="s">
        <v>3733</v>
      </c>
      <c r="G1832">
        <v>282</v>
      </c>
      <c r="H1832">
        <v>1</v>
      </c>
      <c r="I1832" t="s">
        <v>81</v>
      </c>
      <c r="J1832">
        <v>0</v>
      </c>
      <c r="K1832">
        <v>2</v>
      </c>
      <c r="L1832">
        <v>2</v>
      </c>
      <c r="M1832">
        <v>164</v>
      </c>
      <c r="N1832">
        <v>199</v>
      </c>
      <c r="O1832">
        <v>0</v>
      </c>
      <c r="P1832">
        <v>199</v>
      </c>
      <c r="Q1832">
        <v>6</v>
      </c>
      <c r="R1832">
        <v>12</v>
      </c>
      <c r="S1832">
        <v>4</v>
      </c>
      <c r="T1832">
        <v>6</v>
      </c>
      <c r="U1832">
        <v>9</v>
      </c>
      <c r="V1832">
        <v>3</v>
      </c>
      <c r="W1832">
        <v>4</v>
      </c>
      <c r="X1832">
        <v>5</v>
      </c>
      <c r="Y1832">
        <v>137</v>
      </c>
      <c r="Z1832">
        <v>3</v>
      </c>
      <c r="AA1832">
        <v>1</v>
      </c>
      <c r="AB1832">
        <v>2</v>
      </c>
      <c r="AC1832" t="s">
        <v>100</v>
      </c>
      <c r="AD1832" t="s">
        <v>100</v>
      </c>
      <c r="AE1832" t="s">
        <v>100</v>
      </c>
      <c r="AF1832" t="s">
        <v>100</v>
      </c>
      <c r="AK1832" t="s">
        <v>100</v>
      </c>
      <c r="AL1832" t="s">
        <v>100</v>
      </c>
      <c r="AM1832" t="s">
        <v>100</v>
      </c>
      <c r="AN1832" t="s">
        <v>100</v>
      </c>
      <c r="AT1832" t="s">
        <v>100</v>
      </c>
      <c r="AU1832">
        <v>7</v>
      </c>
      <c r="AV1832">
        <v>199</v>
      </c>
      <c r="AW1832">
        <v>199</v>
      </c>
      <c r="AX1832">
        <v>341</v>
      </c>
      <c r="AZ1832" t="s">
        <v>101</v>
      </c>
      <c r="BA1832">
        <v>1</v>
      </c>
      <c r="BC1832" t="s">
        <v>3762</v>
      </c>
      <c r="BD1832" s="4">
        <v>43283.263888888891</v>
      </c>
      <c r="BE1832" s="4">
        <v>43283.301550925928</v>
      </c>
      <c r="BF1832" s="4">
        <v>43283.301550925928</v>
      </c>
      <c r="BG1832" t="s">
        <v>83</v>
      </c>
      <c r="BH1832" t="s">
        <v>84</v>
      </c>
      <c r="BI1832" t="s">
        <v>85</v>
      </c>
    </row>
    <row r="1833" spans="1:61" x14ac:dyDescent="0.3">
      <c r="A1833" t="str">
        <f>"200282E0100"</f>
        <v>200282E0100</v>
      </c>
      <c r="B1833" s="2" t="s">
        <v>3763</v>
      </c>
      <c r="C1833">
        <v>20</v>
      </c>
      <c r="D1833" t="s">
        <v>79</v>
      </c>
      <c r="E1833">
        <v>9</v>
      </c>
      <c r="F1833" t="s">
        <v>3733</v>
      </c>
      <c r="G1833">
        <v>282</v>
      </c>
      <c r="H1833">
        <v>1</v>
      </c>
      <c r="I1833" t="s">
        <v>145</v>
      </c>
      <c r="J1833">
        <v>0</v>
      </c>
      <c r="K1833">
        <v>2</v>
      </c>
      <c r="L1833">
        <v>2</v>
      </c>
      <c r="M1833">
        <v>147</v>
      </c>
      <c r="N1833">
        <v>206</v>
      </c>
      <c r="O1833">
        <v>0</v>
      </c>
      <c r="P1833">
        <v>206</v>
      </c>
      <c r="Q1833">
        <v>5</v>
      </c>
      <c r="R1833">
        <v>33</v>
      </c>
      <c r="S1833">
        <v>1</v>
      </c>
      <c r="T1833">
        <v>1</v>
      </c>
      <c r="U1833">
        <v>10</v>
      </c>
      <c r="V1833">
        <v>3</v>
      </c>
      <c r="W1833">
        <v>1</v>
      </c>
      <c r="X1833">
        <v>3</v>
      </c>
      <c r="Y1833">
        <v>129</v>
      </c>
      <c r="Z1833">
        <v>5</v>
      </c>
      <c r="AA1833">
        <v>2</v>
      </c>
      <c r="AB1833">
        <v>1</v>
      </c>
      <c r="AC1833">
        <v>0</v>
      </c>
      <c r="AD1833">
        <v>0</v>
      </c>
      <c r="AE1833">
        <v>0</v>
      </c>
      <c r="AF1833">
        <v>0</v>
      </c>
      <c r="AK1833">
        <v>1</v>
      </c>
      <c r="AL1833">
        <v>1</v>
      </c>
      <c r="AM1833">
        <v>0</v>
      </c>
      <c r="AN1833">
        <v>4</v>
      </c>
      <c r="AT1833">
        <v>0</v>
      </c>
      <c r="AU1833">
        <v>6</v>
      </c>
      <c r="AV1833">
        <v>206</v>
      </c>
      <c r="AW1833">
        <v>206</v>
      </c>
      <c r="AX1833">
        <v>331</v>
      </c>
      <c r="BA1833">
        <v>1</v>
      </c>
      <c r="BC1833" t="s">
        <v>3764</v>
      </c>
      <c r="BD1833" s="4">
        <v>43283.318749999999</v>
      </c>
      <c r="BE1833" s="4">
        <v>43283.340150462966</v>
      </c>
      <c r="BF1833" s="4">
        <v>43283.340150462966</v>
      </c>
      <c r="BG1833" t="s">
        <v>83</v>
      </c>
      <c r="BH1833" t="s">
        <v>84</v>
      </c>
      <c r="BI1833" t="s">
        <v>85</v>
      </c>
    </row>
    <row r="1834" spans="1:61" x14ac:dyDescent="0.3">
      <c r="A1834" t="str">
        <f>"200365B0100"</f>
        <v>200365B0100</v>
      </c>
      <c r="B1834" t="s">
        <v>3765</v>
      </c>
      <c r="C1834">
        <v>20</v>
      </c>
      <c r="D1834" t="s">
        <v>79</v>
      </c>
      <c r="E1834">
        <v>9</v>
      </c>
      <c r="F1834" t="s">
        <v>3733</v>
      </c>
      <c r="G1834">
        <v>365</v>
      </c>
      <c r="H1834">
        <v>1</v>
      </c>
      <c r="I1834" t="s">
        <v>81</v>
      </c>
      <c r="J1834">
        <v>0</v>
      </c>
      <c r="K1834">
        <v>2</v>
      </c>
      <c r="L1834">
        <v>2</v>
      </c>
      <c r="M1834">
        <v>229</v>
      </c>
      <c r="N1834">
        <v>438</v>
      </c>
      <c r="O1834">
        <v>0</v>
      </c>
      <c r="P1834">
        <v>438</v>
      </c>
      <c r="Q1834">
        <v>28</v>
      </c>
      <c r="R1834">
        <v>42</v>
      </c>
      <c r="S1834">
        <v>6</v>
      </c>
      <c r="T1834">
        <v>6</v>
      </c>
      <c r="U1834">
        <v>34</v>
      </c>
      <c r="V1834">
        <v>7</v>
      </c>
      <c r="W1834">
        <v>12</v>
      </c>
      <c r="X1834">
        <v>3</v>
      </c>
      <c r="Y1834">
        <v>218</v>
      </c>
      <c r="Z1834">
        <v>12</v>
      </c>
      <c r="AA1834">
        <v>4</v>
      </c>
      <c r="AB1834">
        <v>28</v>
      </c>
      <c r="AC1834">
        <v>2</v>
      </c>
      <c r="AD1834">
        <v>1</v>
      </c>
      <c r="AE1834">
        <v>0</v>
      </c>
      <c r="AF1834">
        <v>0</v>
      </c>
      <c r="AK1834">
        <v>5</v>
      </c>
      <c r="AL1834">
        <v>3</v>
      </c>
      <c r="AM1834">
        <v>0</v>
      </c>
      <c r="AN1834">
        <v>0</v>
      </c>
      <c r="AT1834" t="s">
        <v>100</v>
      </c>
      <c r="AU1834">
        <v>27</v>
      </c>
      <c r="AV1834" t="s">
        <v>100</v>
      </c>
      <c r="AW1834">
        <v>438</v>
      </c>
      <c r="AX1834">
        <v>645</v>
      </c>
      <c r="AZ1834" t="s">
        <v>101</v>
      </c>
      <c r="BA1834">
        <v>1</v>
      </c>
      <c r="BC1834" t="s">
        <v>3766</v>
      </c>
      <c r="BD1834" s="4">
        <v>43283.290972222225</v>
      </c>
      <c r="BE1834" s="4">
        <v>43283.319907407407</v>
      </c>
      <c r="BF1834" s="4">
        <v>43283.319907407407</v>
      </c>
      <c r="BG1834" t="s">
        <v>83</v>
      </c>
      <c r="BH1834" t="s">
        <v>84</v>
      </c>
      <c r="BI1834" t="s">
        <v>85</v>
      </c>
    </row>
    <row r="1835" spans="1:61" x14ac:dyDescent="0.3">
      <c r="A1835" t="str">
        <f>"200365C0100"</f>
        <v>200365C0100</v>
      </c>
      <c r="B1835" t="s">
        <v>3767</v>
      </c>
      <c r="C1835">
        <v>20</v>
      </c>
      <c r="D1835" t="s">
        <v>79</v>
      </c>
      <c r="E1835">
        <v>9</v>
      </c>
      <c r="F1835" t="s">
        <v>3733</v>
      </c>
      <c r="G1835">
        <v>365</v>
      </c>
      <c r="H1835">
        <v>1</v>
      </c>
      <c r="I1835" t="s">
        <v>89</v>
      </c>
      <c r="J1835">
        <v>0</v>
      </c>
      <c r="K1835">
        <v>2</v>
      </c>
      <c r="L1835">
        <v>2</v>
      </c>
      <c r="M1835">
        <v>242</v>
      </c>
      <c r="N1835">
        <v>424</v>
      </c>
      <c r="O1835">
        <v>1</v>
      </c>
      <c r="P1835">
        <v>422</v>
      </c>
      <c r="Q1835">
        <v>29</v>
      </c>
      <c r="R1835">
        <v>53</v>
      </c>
      <c r="S1835">
        <v>8</v>
      </c>
      <c r="T1835">
        <v>4</v>
      </c>
      <c r="U1835">
        <v>35</v>
      </c>
      <c r="V1835">
        <v>6</v>
      </c>
      <c r="W1835">
        <v>8</v>
      </c>
      <c r="X1835">
        <v>10</v>
      </c>
      <c r="Y1835">
        <v>219</v>
      </c>
      <c r="Z1835">
        <v>12</v>
      </c>
      <c r="AA1835">
        <v>4</v>
      </c>
      <c r="AB1835">
        <v>15</v>
      </c>
      <c r="AC1835">
        <v>1</v>
      </c>
      <c r="AD1835">
        <v>0</v>
      </c>
      <c r="AE1835">
        <v>1</v>
      </c>
      <c r="AF1835">
        <v>0</v>
      </c>
      <c r="AK1835">
        <v>2</v>
      </c>
      <c r="AL1835">
        <v>1</v>
      </c>
      <c r="AM1835">
        <v>0</v>
      </c>
      <c r="AN1835">
        <v>2</v>
      </c>
      <c r="AT1835">
        <v>0</v>
      </c>
      <c r="AU1835">
        <v>14</v>
      </c>
      <c r="AV1835">
        <v>424</v>
      </c>
      <c r="AW1835">
        <v>424</v>
      </c>
      <c r="AX1835">
        <v>644</v>
      </c>
      <c r="BA1835">
        <v>1</v>
      </c>
      <c r="BC1835" t="s">
        <v>3768</v>
      </c>
      <c r="BD1835" s="4">
        <v>43283.284722222219</v>
      </c>
      <c r="BE1835" s="4">
        <v>43283.315416666665</v>
      </c>
      <c r="BF1835" s="4">
        <v>43283.315416666665</v>
      </c>
      <c r="BG1835" t="s">
        <v>83</v>
      </c>
      <c r="BH1835" t="s">
        <v>84</v>
      </c>
      <c r="BI1835" t="s">
        <v>85</v>
      </c>
    </row>
    <row r="1836" spans="1:61" x14ac:dyDescent="0.3">
      <c r="A1836" t="str">
        <f>"200366B0100"</f>
        <v>200366B0100</v>
      </c>
      <c r="B1836" t="s">
        <v>3769</v>
      </c>
      <c r="C1836">
        <v>20</v>
      </c>
      <c r="D1836" t="s">
        <v>79</v>
      </c>
      <c r="E1836">
        <v>9</v>
      </c>
      <c r="F1836" t="s">
        <v>3733</v>
      </c>
      <c r="G1836">
        <v>366</v>
      </c>
      <c r="H1836">
        <v>1</v>
      </c>
      <c r="I1836" t="s">
        <v>81</v>
      </c>
      <c r="J1836">
        <v>0</v>
      </c>
      <c r="K1836">
        <v>2</v>
      </c>
      <c r="L1836">
        <v>2</v>
      </c>
      <c r="M1836">
        <v>273</v>
      </c>
      <c r="N1836">
        <v>468</v>
      </c>
      <c r="O1836">
        <v>1</v>
      </c>
      <c r="P1836">
        <v>468</v>
      </c>
      <c r="Q1836">
        <v>30</v>
      </c>
      <c r="R1836">
        <v>51</v>
      </c>
      <c r="S1836">
        <v>7</v>
      </c>
      <c r="T1836">
        <v>8</v>
      </c>
      <c r="U1836">
        <v>37</v>
      </c>
      <c r="V1836">
        <v>11</v>
      </c>
      <c r="W1836">
        <v>4</v>
      </c>
      <c r="X1836">
        <v>4</v>
      </c>
      <c r="Y1836">
        <v>257</v>
      </c>
      <c r="Z1836">
        <v>10</v>
      </c>
      <c r="AA1836">
        <v>2</v>
      </c>
      <c r="AB1836">
        <v>19</v>
      </c>
      <c r="AC1836">
        <v>0</v>
      </c>
      <c r="AD1836">
        <v>0</v>
      </c>
      <c r="AE1836">
        <v>1</v>
      </c>
      <c r="AF1836">
        <v>0</v>
      </c>
      <c r="AK1836">
        <v>3</v>
      </c>
      <c r="AL1836">
        <v>4</v>
      </c>
      <c r="AM1836">
        <v>0</v>
      </c>
      <c r="AN1836">
        <v>0</v>
      </c>
      <c r="AT1836">
        <v>1</v>
      </c>
      <c r="AU1836">
        <v>19</v>
      </c>
      <c r="AV1836">
        <v>468</v>
      </c>
      <c r="AW1836">
        <v>468</v>
      </c>
      <c r="AX1836">
        <v>719</v>
      </c>
      <c r="BA1836">
        <v>1</v>
      </c>
      <c r="BC1836" t="s">
        <v>3770</v>
      </c>
      <c r="BD1836" s="4">
        <v>43283.000358796293</v>
      </c>
      <c r="BE1836" s="4">
        <v>43283.006469907406</v>
      </c>
      <c r="BF1836" s="4">
        <v>43283.006469907406</v>
      </c>
      <c r="BG1836" t="s">
        <v>373</v>
      </c>
      <c r="BH1836" t="s">
        <v>374</v>
      </c>
      <c r="BI1836" t="s">
        <v>85</v>
      </c>
    </row>
    <row r="1837" spans="1:61" x14ac:dyDescent="0.3">
      <c r="A1837" t="str">
        <f>"200366C0100"</f>
        <v>200366C0100</v>
      </c>
      <c r="B1837" t="s">
        <v>3771</v>
      </c>
      <c r="C1837">
        <v>20</v>
      </c>
      <c r="D1837" t="s">
        <v>79</v>
      </c>
      <c r="E1837">
        <v>9</v>
      </c>
      <c r="F1837" t="s">
        <v>3733</v>
      </c>
      <c r="G1837">
        <v>366</v>
      </c>
      <c r="H1837">
        <v>1</v>
      </c>
      <c r="I1837" t="s">
        <v>89</v>
      </c>
      <c r="J1837">
        <v>0</v>
      </c>
      <c r="K1837">
        <v>2</v>
      </c>
      <c r="L1837">
        <v>2</v>
      </c>
      <c r="M1837">
        <v>299</v>
      </c>
      <c r="N1837">
        <v>741</v>
      </c>
      <c r="O1837">
        <v>0</v>
      </c>
      <c r="P1837">
        <v>741</v>
      </c>
      <c r="Q1837">
        <v>23</v>
      </c>
      <c r="R1837">
        <v>44</v>
      </c>
      <c r="S1837">
        <v>3</v>
      </c>
      <c r="T1837">
        <v>9</v>
      </c>
      <c r="U1837">
        <v>27</v>
      </c>
      <c r="V1837">
        <v>8</v>
      </c>
      <c r="W1837">
        <v>7</v>
      </c>
      <c r="X1837">
        <v>5</v>
      </c>
      <c r="Y1837">
        <v>257</v>
      </c>
      <c r="Z1837">
        <v>5</v>
      </c>
      <c r="AA1837">
        <v>3</v>
      </c>
      <c r="AB1837">
        <v>31</v>
      </c>
      <c r="AC1837">
        <v>0</v>
      </c>
      <c r="AD1837">
        <v>0</v>
      </c>
      <c r="AE1837">
        <v>0</v>
      </c>
      <c r="AF1837">
        <v>0</v>
      </c>
      <c r="AK1837">
        <v>5</v>
      </c>
      <c r="AL1837">
        <v>1</v>
      </c>
      <c r="AM1837">
        <v>0</v>
      </c>
      <c r="AN1837">
        <v>0</v>
      </c>
      <c r="AT1837">
        <v>0</v>
      </c>
      <c r="AU1837">
        <v>14</v>
      </c>
      <c r="AV1837">
        <v>442</v>
      </c>
      <c r="AW1837">
        <v>442</v>
      </c>
      <c r="AX1837">
        <v>719</v>
      </c>
      <c r="BA1837">
        <v>1</v>
      </c>
      <c r="BC1837" t="s">
        <v>3772</v>
      </c>
      <c r="BD1837" s="4">
        <v>43283.009398148148</v>
      </c>
      <c r="BE1837" s="4">
        <v>43283.012326388889</v>
      </c>
      <c r="BF1837" s="4">
        <v>43283.012326388889</v>
      </c>
      <c r="BG1837" t="s">
        <v>373</v>
      </c>
      <c r="BH1837" t="s">
        <v>374</v>
      </c>
      <c r="BI1837" t="s">
        <v>85</v>
      </c>
    </row>
    <row r="1838" spans="1:61" x14ac:dyDescent="0.3">
      <c r="A1838" t="str">
        <f>"200366C0200"</f>
        <v>200366C0200</v>
      </c>
      <c r="B1838" t="s">
        <v>3773</v>
      </c>
      <c r="C1838">
        <v>20</v>
      </c>
      <c r="D1838" t="s">
        <v>79</v>
      </c>
      <c r="E1838">
        <v>9</v>
      </c>
      <c r="F1838" t="s">
        <v>3733</v>
      </c>
      <c r="G1838">
        <v>366</v>
      </c>
      <c r="H1838">
        <v>2</v>
      </c>
      <c r="I1838" t="s">
        <v>89</v>
      </c>
      <c r="J1838">
        <v>0</v>
      </c>
      <c r="K1838">
        <v>2</v>
      </c>
      <c r="L1838">
        <v>2</v>
      </c>
      <c r="M1838">
        <v>268</v>
      </c>
      <c r="N1838">
        <v>473</v>
      </c>
      <c r="O1838">
        <v>1</v>
      </c>
      <c r="P1838">
        <v>473</v>
      </c>
      <c r="Q1838">
        <v>31</v>
      </c>
      <c r="R1838">
        <v>54</v>
      </c>
      <c r="S1838">
        <v>6</v>
      </c>
      <c r="T1838">
        <v>6</v>
      </c>
      <c r="U1838">
        <v>34</v>
      </c>
      <c r="V1838">
        <v>8</v>
      </c>
      <c r="W1838">
        <v>7</v>
      </c>
      <c r="X1838">
        <v>6</v>
      </c>
      <c r="Y1838">
        <v>273</v>
      </c>
      <c r="Z1838">
        <v>12</v>
      </c>
      <c r="AA1838">
        <v>2</v>
      </c>
      <c r="AB1838">
        <v>13</v>
      </c>
      <c r="AC1838">
        <v>2</v>
      </c>
      <c r="AD1838">
        <v>1</v>
      </c>
      <c r="AE1838">
        <v>0</v>
      </c>
      <c r="AF1838">
        <v>0</v>
      </c>
      <c r="AK1838">
        <v>3</v>
      </c>
      <c r="AL1838">
        <v>1</v>
      </c>
      <c r="AM1838">
        <v>0</v>
      </c>
      <c r="AN1838">
        <v>1</v>
      </c>
      <c r="AT1838">
        <v>0</v>
      </c>
      <c r="AU1838">
        <v>13</v>
      </c>
      <c r="AV1838">
        <v>473</v>
      </c>
      <c r="AW1838">
        <v>473</v>
      </c>
      <c r="AX1838">
        <v>719</v>
      </c>
      <c r="BA1838">
        <v>1</v>
      </c>
      <c r="BC1838" t="s">
        <v>3774</v>
      </c>
      <c r="BD1838" s="4">
        <v>43283.028796296298</v>
      </c>
      <c r="BE1838" s="4">
        <v>43283.033136574071</v>
      </c>
      <c r="BF1838" s="4">
        <v>43283.033136574071</v>
      </c>
      <c r="BG1838" t="s">
        <v>373</v>
      </c>
      <c r="BH1838" t="s">
        <v>374</v>
      </c>
      <c r="BI1838" t="s">
        <v>85</v>
      </c>
    </row>
    <row r="1839" spans="1:61" x14ac:dyDescent="0.3">
      <c r="A1839" t="str">
        <f>"200366C0300"</f>
        <v>200366C0300</v>
      </c>
      <c r="B1839" t="s">
        <v>3775</v>
      </c>
      <c r="C1839">
        <v>20</v>
      </c>
      <c r="D1839" t="s">
        <v>79</v>
      </c>
      <c r="E1839">
        <v>9</v>
      </c>
      <c r="F1839" t="s">
        <v>3733</v>
      </c>
      <c r="G1839">
        <v>366</v>
      </c>
      <c r="H1839">
        <v>3</v>
      </c>
      <c r="I1839" t="s">
        <v>89</v>
      </c>
      <c r="J1839">
        <v>0</v>
      </c>
      <c r="K1839">
        <v>2</v>
      </c>
      <c r="L1839">
        <v>2</v>
      </c>
      <c r="M1839">
        <v>273</v>
      </c>
      <c r="N1839">
        <v>468</v>
      </c>
      <c r="O1839">
        <v>2</v>
      </c>
      <c r="P1839">
        <v>468</v>
      </c>
      <c r="Q1839">
        <v>30</v>
      </c>
      <c r="R1839">
        <v>47</v>
      </c>
      <c r="S1839">
        <v>5</v>
      </c>
      <c r="T1839">
        <v>11</v>
      </c>
      <c r="U1839">
        <v>32</v>
      </c>
      <c r="V1839">
        <v>4</v>
      </c>
      <c r="W1839">
        <v>8</v>
      </c>
      <c r="X1839">
        <v>11</v>
      </c>
      <c r="Y1839">
        <v>268</v>
      </c>
      <c r="Z1839">
        <v>5</v>
      </c>
      <c r="AA1839">
        <v>3</v>
      </c>
      <c r="AB1839">
        <v>16</v>
      </c>
      <c r="AC1839">
        <v>1</v>
      </c>
      <c r="AD1839">
        <v>0</v>
      </c>
      <c r="AE1839">
        <v>0</v>
      </c>
      <c r="AF1839">
        <v>0</v>
      </c>
      <c r="AK1839">
        <v>5</v>
      </c>
      <c r="AL1839">
        <v>1</v>
      </c>
      <c r="AM1839">
        <v>1</v>
      </c>
      <c r="AN1839">
        <v>0</v>
      </c>
      <c r="AT1839">
        <v>0</v>
      </c>
      <c r="AU1839">
        <v>20</v>
      </c>
      <c r="AV1839">
        <v>468</v>
      </c>
      <c r="AW1839">
        <v>468</v>
      </c>
      <c r="AX1839">
        <v>719</v>
      </c>
      <c r="BA1839">
        <v>1</v>
      </c>
      <c r="BC1839" t="s">
        <v>3776</v>
      </c>
      <c r="BD1839" s="4">
        <v>43283.049409722225</v>
      </c>
      <c r="BE1839" s="4">
        <v>43283.053356481483</v>
      </c>
      <c r="BF1839" s="4">
        <v>43283.053356481483</v>
      </c>
      <c r="BG1839" t="s">
        <v>373</v>
      </c>
      <c r="BH1839" t="s">
        <v>374</v>
      </c>
      <c r="BI1839" t="s">
        <v>85</v>
      </c>
    </row>
    <row r="1840" spans="1:61" x14ac:dyDescent="0.3">
      <c r="A1840" t="str">
        <f>"200367B0100"</f>
        <v>200367B0100</v>
      </c>
      <c r="B1840" t="s">
        <v>3777</v>
      </c>
      <c r="C1840">
        <v>20</v>
      </c>
      <c r="D1840" t="s">
        <v>79</v>
      </c>
      <c r="E1840">
        <v>9</v>
      </c>
      <c r="F1840" t="s">
        <v>3733</v>
      </c>
      <c r="G1840">
        <v>367</v>
      </c>
      <c r="H1840">
        <v>1</v>
      </c>
      <c r="I1840" t="s">
        <v>81</v>
      </c>
      <c r="J1840">
        <v>0</v>
      </c>
      <c r="K1840">
        <v>2</v>
      </c>
      <c r="L1840">
        <v>2</v>
      </c>
      <c r="M1840">
        <v>255</v>
      </c>
      <c r="N1840">
        <v>350</v>
      </c>
      <c r="O1840">
        <v>2</v>
      </c>
      <c r="P1840">
        <v>350</v>
      </c>
      <c r="Q1840">
        <v>14</v>
      </c>
      <c r="R1840">
        <v>29</v>
      </c>
      <c r="S1840">
        <v>7</v>
      </c>
      <c r="T1840">
        <v>5</v>
      </c>
      <c r="U1840">
        <v>14</v>
      </c>
      <c r="V1840">
        <v>4</v>
      </c>
      <c r="W1840">
        <v>7</v>
      </c>
      <c r="X1840">
        <v>5</v>
      </c>
      <c r="Y1840">
        <v>185</v>
      </c>
      <c r="Z1840">
        <v>2</v>
      </c>
      <c r="AA1840">
        <v>15</v>
      </c>
      <c r="AB1840">
        <v>44</v>
      </c>
      <c r="AC1840">
        <v>0</v>
      </c>
      <c r="AD1840">
        <v>1</v>
      </c>
      <c r="AE1840">
        <v>0</v>
      </c>
      <c r="AF1840">
        <v>0</v>
      </c>
      <c r="AK1840">
        <v>3</v>
      </c>
      <c r="AL1840">
        <v>7</v>
      </c>
      <c r="AM1840">
        <v>0</v>
      </c>
      <c r="AN1840">
        <v>0</v>
      </c>
      <c r="AT1840">
        <v>0</v>
      </c>
      <c r="AU1840">
        <v>8</v>
      </c>
      <c r="AV1840">
        <v>350</v>
      </c>
      <c r="AW1840">
        <v>350</v>
      </c>
      <c r="AX1840">
        <v>584</v>
      </c>
      <c r="BA1840">
        <v>1</v>
      </c>
      <c r="BC1840" t="s">
        <v>3778</v>
      </c>
      <c r="BD1840" s="4">
        <v>43283.19027777778</v>
      </c>
      <c r="BE1840" s="4">
        <v>43283.210416666669</v>
      </c>
      <c r="BF1840" s="4">
        <v>43283.210416666669</v>
      </c>
      <c r="BG1840" t="s">
        <v>83</v>
      </c>
      <c r="BH1840" t="s">
        <v>84</v>
      </c>
      <c r="BI1840" t="s">
        <v>85</v>
      </c>
    </row>
    <row r="1841" spans="1:61" x14ac:dyDescent="0.3">
      <c r="A1841" t="str">
        <f>"200368B0100"</f>
        <v>200368B0100</v>
      </c>
      <c r="B1841" t="s">
        <v>3779</v>
      </c>
      <c r="C1841">
        <v>20</v>
      </c>
      <c r="D1841" t="s">
        <v>79</v>
      </c>
      <c r="E1841">
        <v>9</v>
      </c>
      <c r="F1841" t="s">
        <v>3733</v>
      </c>
      <c r="G1841">
        <v>368</v>
      </c>
      <c r="H1841">
        <v>1</v>
      </c>
      <c r="I1841" t="s">
        <v>81</v>
      </c>
      <c r="J1841">
        <v>0</v>
      </c>
      <c r="K1841">
        <v>2</v>
      </c>
      <c r="L1841">
        <v>2</v>
      </c>
      <c r="M1841">
        <v>278</v>
      </c>
      <c r="N1841">
        <v>307</v>
      </c>
      <c r="O1841">
        <v>0</v>
      </c>
      <c r="P1841">
        <v>307</v>
      </c>
      <c r="Q1841">
        <v>20</v>
      </c>
      <c r="R1841">
        <v>19</v>
      </c>
      <c r="S1841">
        <v>2</v>
      </c>
      <c r="T1841">
        <v>1</v>
      </c>
      <c r="U1841">
        <v>15</v>
      </c>
      <c r="V1841">
        <v>7</v>
      </c>
      <c r="W1841">
        <v>3</v>
      </c>
      <c r="X1841">
        <v>7</v>
      </c>
      <c r="Y1841">
        <v>124</v>
      </c>
      <c r="Z1841">
        <v>1</v>
      </c>
      <c r="AA1841">
        <v>33</v>
      </c>
      <c r="AB1841">
        <v>48</v>
      </c>
      <c r="AC1841">
        <v>0</v>
      </c>
      <c r="AD1841">
        <v>0</v>
      </c>
      <c r="AE1841">
        <v>0</v>
      </c>
      <c r="AF1841">
        <v>0</v>
      </c>
      <c r="AK1841">
        <v>3</v>
      </c>
      <c r="AL1841">
        <v>4</v>
      </c>
      <c r="AM1841">
        <v>0</v>
      </c>
      <c r="AN1841">
        <v>1</v>
      </c>
      <c r="AT1841">
        <v>0</v>
      </c>
      <c r="AU1841">
        <v>19</v>
      </c>
      <c r="AV1841">
        <v>307</v>
      </c>
      <c r="AW1841">
        <v>307</v>
      </c>
      <c r="AX1841">
        <v>563</v>
      </c>
      <c r="BA1841">
        <v>1</v>
      </c>
      <c r="BC1841" t="s">
        <v>3780</v>
      </c>
      <c r="BD1841" s="4">
        <v>43282.974606481483</v>
      </c>
      <c r="BE1841" s="4">
        <v>43282.978263888886</v>
      </c>
      <c r="BF1841" s="4">
        <v>43282.978263888886</v>
      </c>
      <c r="BG1841" t="s">
        <v>373</v>
      </c>
      <c r="BH1841" t="s">
        <v>374</v>
      </c>
      <c r="BI1841" t="s">
        <v>85</v>
      </c>
    </row>
    <row r="1842" spans="1:61" x14ac:dyDescent="0.3">
      <c r="A1842" t="str">
        <f>"200458B0100"</f>
        <v>200458B0100</v>
      </c>
      <c r="B1842" t="s">
        <v>3781</v>
      </c>
      <c r="C1842">
        <v>20</v>
      </c>
      <c r="D1842" t="s">
        <v>79</v>
      </c>
      <c r="E1842">
        <v>9</v>
      </c>
      <c r="F1842" t="s">
        <v>3733</v>
      </c>
      <c r="G1842">
        <v>458</v>
      </c>
      <c r="H1842">
        <v>1</v>
      </c>
      <c r="I1842" t="s">
        <v>81</v>
      </c>
      <c r="J1842">
        <v>0</v>
      </c>
      <c r="K1842">
        <v>1</v>
      </c>
      <c r="L1842">
        <v>2</v>
      </c>
      <c r="M1842">
        <v>141</v>
      </c>
      <c r="N1842">
        <v>414</v>
      </c>
      <c r="O1842">
        <v>0</v>
      </c>
      <c r="P1842">
        <v>273</v>
      </c>
      <c r="Q1842">
        <v>15</v>
      </c>
      <c r="R1842">
        <v>68</v>
      </c>
      <c r="S1842">
        <v>12</v>
      </c>
      <c r="T1842">
        <v>5</v>
      </c>
      <c r="U1842">
        <v>18</v>
      </c>
      <c r="V1842">
        <v>2</v>
      </c>
      <c r="W1842">
        <v>7</v>
      </c>
      <c r="X1842">
        <v>6</v>
      </c>
      <c r="Y1842">
        <v>124</v>
      </c>
      <c r="Z1842">
        <v>3</v>
      </c>
      <c r="AA1842">
        <v>0</v>
      </c>
      <c r="AB1842">
        <v>5</v>
      </c>
      <c r="AC1842">
        <v>0</v>
      </c>
      <c r="AD1842">
        <v>0</v>
      </c>
      <c r="AE1842">
        <v>0</v>
      </c>
      <c r="AF1842">
        <v>0</v>
      </c>
      <c r="AK1842">
        <v>1</v>
      </c>
      <c r="AL1842">
        <v>0</v>
      </c>
      <c r="AM1842">
        <v>0</v>
      </c>
      <c r="AN1842">
        <v>0</v>
      </c>
      <c r="AT1842">
        <v>0</v>
      </c>
      <c r="AU1842">
        <v>7</v>
      </c>
      <c r="AV1842">
        <v>273</v>
      </c>
      <c r="AW1842">
        <v>273</v>
      </c>
      <c r="AX1842">
        <v>392</v>
      </c>
      <c r="BA1842">
        <v>1</v>
      </c>
      <c r="BC1842" t="s">
        <v>3782</v>
      </c>
      <c r="BD1842" s="4">
        <v>43283.143750000003</v>
      </c>
      <c r="BE1842" s="4">
        <v>43283.153425925928</v>
      </c>
      <c r="BF1842" s="4">
        <v>43283.153425925928</v>
      </c>
      <c r="BG1842" t="s">
        <v>83</v>
      </c>
      <c r="BH1842" t="s">
        <v>84</v>
      </c>
      <c r="BI1842" t="s">
        <v>85</v>
      </c>
    </row>
    <row r="1843" spans="1:61" x14ac:dyDescent="0.3">
      <c r="A1843" t="str">
        <f>"200469B0100"</f>
        <v>200469B0100</v>
      </c>
      <c r="B1843" t="s">
        <v>3783</v>
      </c>
      <c r="C1843">
        <v>20</v>
      </c>
      <c r="D1843" t="s">
        <v>79</v>
      </c>
      <c r="E1843">
        <v>9</v>
      </c>
      <c r="F1843" t="s">
        <v>3733</v>
      </c>
      <c r="G1843">
        <v>469</v>
      </c>
      <c r="H1843">
        <v>1</v>
      </c>
      <c r="I1843" t="s">
        <v>81</v>
      </c>
      <c r="J1843">
        <v>0</v>
      </c>
      <c r="K1843">
        <v>2</v>
      </c>
      <c r="L1843">
        <v>2</v>
      </c>
      <c r="M1843" t="s">
        <v>315</v>
      </c>
      <c r="N1843" t="s">
        <v>315</v>
      </c>
      <c r="O1843">
        <v>0</v>
      </c>
      <c r="P1843">
        <v>237</v>
      </c>
      <c r="Q1843">
        <v>4</v>
      </c>
      <c r="R1843">
        <v>45</v>
      </c>
      <c r="S1843">
        <v>6</v>
      </c>
      <c r="T1843">
        <v>5</v>
      </c>
      <c r="U1843">
        <v>27</v>
      </c>
      <c r="V1843">
        <v>1</v>
      </c>
      <c r="W1843">
        <v>3</v>
      </c>
      <c r="X1843">
        <v>4</v>
      </c>
      <c r="Y1843">
        <v>122</v>
      </c>
      <c r="Z1843">
        <v>3</v>
      </c>
      <c r="AA1843">
        <v>0</v>
      </c>
      <c r="AB1843">
        <v>3</v>
      </c>
      <c r="AC1843">
        <v>0</v>
      </c>
      <c r="AD1843">
        <v>0</v>
      </c>
      <c r="AE1843">
        <v>0</v>
      </c>
      <c r="AF1843">
        <v>0</v>
      </c>
      <c r="AK1843">
        <v>1</v>
      </c>
      <c r="AL1843">
        <v>5</v>
      </c>
      <c r="AM1843">
        <v>2</v>
      </c>
      <c r="AN1843">
        <v>0</v>
      </c>
      <c r="AT1843">
        <v>0</v>
      </c>
      <c r="AU1843">
        <v>6</v>
      </c>
      <c r="AV1843">
        <v>237</v>
      </c>
      <c r="AW1843">
        <v>237</v>
      </c>
      <c r="AX1843">
        <v>480</v>
      </c>
      <c r="BA1843">
        <v>1</v>
      </c>
      <c r="BC1843" t="s">
        <v>3784</v>
      </c>
      <c r="BD1843" s="4">
        <v>43283.089583333334</v>
      </c>
      <c r="BE1843" s="4">
        <v>43283.093518518515</v>
      </c>
      <c r="BF1843" s="4">
        <v>43283.093518518515</v>
      </c>
      <c r="BG1843" t="s">
        <v>83</v>
      </c>
      <c r="BH1843" t="s">
        <v>84</v>
      </c>
      <c r="BI1843" t="s">
        <v>85</v>
      </c>
    </row>
    <row r="1844" spans="1:61" x14ac:dyDescent="0.3">
      <c r="A1844" t="str">
        <f>"200469C0100"</f>
        <v>200469C0100</v>
      </c>
      <c r="B1844" t="s">
        <v>3785</v>
      </c>
      <c r="C1844">
        <v>20</v>
      </c>
      <c r="D1844" t="s">
        <v>79</v>
      </c>
      <c r="E1844">
        <v>9</v>
      </c>
      <c r="F1844" t="s">
        <v>3733</v>
      </c>
      <c r="G1844">
        <v>469</v>
      </c>
      <c r="H1844">
        <v>1</v>
      </c>
      <c r="I1844" t="s">
        <v>89</v>
      </c>
      <c r="J1844">
        <v>0</v>
      </c>
      <c r="K1844">
        <v>2</v>
      </c>
      <c r="L1844">
        <v>2</v>
      </c>
      <c r="M1844">
        <v>236</v>
      </c>
      <c r="N1844" t="s">
        <v>100</v>
      </c>
      <c r="O1844">
        <v>0</v>
      </c>
      <c r="P1844">
        <v>266</v>
      </c>
      <c r="Q1844">
        <v>7</v>
      </c>
      <c r="R1844">
        <v>48</v>
      </c>
      <c r="S1844">
        <v>5</v>
      </c>
      <c r="T1844">
        <v>2</v>
      </c>
      <c r="U1844">
        <v>31</v>
      </c>
      <c r="V1844">
        <v>1</v>
      </c>
      <c r="W1844">
        <v>3</v>
      </c>
      <c r="X1844">
        <v>1</v>
      </c>
      <c r="Y1844">
        <v>143</v>
      </c>
      <c r="Z1844">
        <v>4</v>
      </c>
      <c r="AA1844">
        <v>2</v>
      </c>
      <c r="AB1844">
        <v>2</v>
      </c>
      <c r="AC1844">
        <v>0</v>
      </c>
      <c r="AD1844">
        <v>0</v>
      </c>
      <c r="AE1844">
        <v>0</v>
      </c>
      <c r="AF1844">
        <v>0</v>
      </c>
      <c r="AK1844">
        <v>5</v>
      </c>
      <c r="AL1844">
        <v>1</v>
      </c>
      <c r="AM1844">
        <v>0</v>
      </c>
      <c r="AN1844">
        <v>2</v>
      </c>
      <c r="AT1844" t="s">
        <v>100</v>
      </c>
      <c r="AU1844">
        <v>9</v>
      </c>
      <c r="AV1844">
        <v>266</v>
      </c>
      <c r="AW1844">
        <v>266</v>
      </c>
      <c r="AX1844">
        <v>480</v>
      </c>
      <c r="AZ1844" t="s">
        <v>101</v>
      </c>
      <c r="BA1844">
        <v>1</v>
      </c>
      <c r="BC1844" t="s">
        <v>3786</v>
      </c>
      <c r="BD1844" s="4">
        <v>43283.088194444441</v>
      </c>
      <c r="BE1844" s="4">
        <v>43283.092187499999</v>
      </c>
      <c r="BF1844" s="4">
        <v>43283.092187499999</v>
      </c>
      <c r="BG1844" t="s">
        <v>83</v>
      </c>
      <c r="BH1844" t="s">
        <v>84</v>
      </c>
      <c r="BI1844" t="s">
        <v>85</v>
      </c>
    </row>
    <row r="1845" spans="1:61" x14ac:dyDescent="0.3">
      <c r="A1845" t="str">
        <f>"200469E0100"</f>
        <v>200469E0100</v>
      </c>
      <c r="B1845" s="2" t="s">
        <v>3787</v>
      </c>
      <c r="C1845">
        <v>20</v>
      </c>
      <c r="D1845" t="s">
        <v>79</v>
      </c>
      <c r="E1845">
        <v>9</v>
      </c>
      <c r="F1845" t="s">
        <v>3733</v>
      </c>
      <c r="G1845">
        <v>469</v>
      </c>
      <c r="H1845">
        <v>1</v>
      </c>
      <c r="I1845" t="s">
        <v>145</v>
      </c>
      <c r="J1845">
        <v>0</v>
      </c>
      <c r="K1845">
        <v>2</v>
      </c>
      <c r="L1845">
        <v>2</v>
      </c>
      <c r="M1845">
        <v>115</v>
      </c>
      <c r="N1845">
        <v>123</v>
      </c>
      <c r="O1845">
        <v>0</v>
      </c>
      <c r="P1845">
        <v>123</v>
      </c>
      <c r="Q1845">
        <v>3</v>
      </c>
      <c r="R1845">
        <v>8</v>
      </c>
      <c r="S1845">
        <v>0</v>
      </c>
      <c r="T1845">
        <v>0</v>
      </c>
      <c r="U1845">
        <v>9</v>
      </c>
      <c r="V1845">
        <v>2</v>
      </c>
      <c r="W1845">
        <v>1</v>
      </c>
      <c r="X1845">
        <v>1</v>
      </c>
      <c r="Y1845">
        <v>88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K1845">
        <v>3</v>
      </c>
      <c r="AL1845">
        <v>1</v>
      </c>
      <c r="AM1845">
        <v>1</v>
      </c>
      <c r="AN1845">
        <v>2</v>
      </c>
      <c r="AT1845" t="s">
        <v>100</v>
      </c>
      <c r="AU1845">
        <v>4</v>
      </c>
      <c r="AV1845">
        <v>123</v>
      </c>
      <c r="AW1845">
        <v>123</v>
      </c>
      <c r="AX1845">
        <v>216</v>
      </c>
      <c r="AZ1845" t="s">
        <v>101</v>
      </c>
      <c r="BA1845">
        <v>1</v>
      </c>
      <c r="BC1845" t="s">
        <v>3788</v>
      </c>
      <c r="BD1845" s="4">
        <v>43283.084027777775</v>
      </c>
      <c r="BE1845" s="4">
        <v>43283.089097222219</v>
      </c>
      <c r="BF1845" s="4">
        <v>43283.089097222219</v>
      </c>
      <c r="BG1845" t="s">
        <v>83</v>
      </c>
      <c r="BH1845" t="s">
        <v>84</v>
      </c>
      <c r="BI1845" t="s">
        <v>85</v>
      </c>
    </row>
    <row r="1846" spans="1:61" x14ac:dyDescent="0.3">
      <c r="A1846" t="str">
        <f>"200666B0100"</f>
        <v>200666B0100</v>
      </c>
      <c r="B1846" t="s">
        <v>3789</v>
      </c>
      <c r="C1846">
        <v>20</v>
      </c>
      <c r="D1846" t="s">
        <v>79</v>
      </c>
      <c r="E1846">
        <v>9</v>
      </c>
      <c r="F1846" t="s">
        <v>3733</v>
      </c>
      <c r="G1846">
        <v>666</v>
      </c>
      <c r="H1846">
        <v>1</v>
      </c>
      <c r="I1846" t="s">
        <v>81</v>
      </c>
      <c r="J1846">
        <v>0</v>
      </c>
      <c r="K1846">
        <v>1</v>
      </c>
      <c r="L1846">
        <v>2</v>
      </c>
      <c r="M1846">
        <v>217</v>
      </c>
      <c r="N1846">
        <v>337</v>
      </c>
      <c r="O1846">
        <v>2</v>
      </c>
      <c r="P1846">
        <v>337</v>
      </c>
      <c r="Q1846">
        <v>17</v>
      </c>
      <c r="R1846">
        <v>56</v>
      </c>
      <c r="S1846">
        <v>12</v>
      </c>
      <c r="T1846">
        <v>11</v>
      </c>
      <c r="U1846">
        <v>38</v>
      </c>
      <c r="V1846">
        <v>5</v>
      </c>
      <c r="W1846">
        <v>6</v>
      </c>
      <c r="X1846">
        <v>2</v>
      </c>
      <c r="Y1846">
        <v>148</v>
      </c>
      <c r="Z1846">
        <v>4</v>
      </c>
      <c r="AA1846">
        <v>2</v>
      </c>
      <c r="AB1846">
        <v>6</v>
      </c>
      <c r="AC1846">
        <v>1</v>
      </c>
      <c r="AD1846">
        <v>0</v>
      </c>
      <c r="AE1846">
        <v>0</v>
      </c>
      <c r="AF1846">
        <v>0</v>
      </c>
      <c r="AK1846">
        <v>12</v>
      </c>
      <c r="AL1846">
        <v>4</v>
      </c>
      <c r="AM1846">
        <v>0</v>
      </c>
      <c r="AN1846">
        <v>4</v>
      </c>
      <c r="AT1846">
        <v>0</v>
      </c>
      <c r="AU1846">
        <v>9</v>
      </c>
      <c r="AV1846">
        <v>337</v>
      </c>
      <c r="AW1846">
        <v>337</v>
      </c>
      <c r="AX1846">
        <v>532</v>
      </c>
      <c r="BA1846">
        <v>1</v>
      </c>
      <c r="BC1846" t="s">
        <v>3790</v>
      </c>
      <c r="BD1846" s="4">
        <v>43283.280555555553</v>
      </c>
      <c r="BE1846" s="4">
        <v>43283.308564814812</v>
      </c>
      <c r="BF1846" s="4">
        <v>43283.308564814812</v>
      </c>
      <c r="BG1846" t="s">
        <v>83</v>
      </c>
      <c r="BH1846" t="s">
        <v>84</v>
      </c>
      <c r="BI1846" t="s">
        <v>85</v>
      </c>
    </row>
    <row r="1847" spans="1:61" x14ac:dyDescent="0.3">
      <c r="A1847" t="str">
        <f>"200666C0100"</f>
        <v>200666C0100</v>
      </c>
      <c r="B1847" t="s">
        <v>3791</v>
      </c>
      <c r="C1847">
        <v>20</v>
      </c>
      <c r="D1847" t="s">
        <v>79</v>
      </c>
      <c r="E1847">
        <v>9</v>
      </c>
      <c r="F1847" t="s">
        <v>3733</v>
      </c>
      <c r="G1847">
        <v>666</v>
      </c>
      <c r="H1847">
        <v>1</v>
      </c>
      <c r="I1847" t="s">
        <v>89</v>
      </c>
      <c r="J1847">
        <v>0</v>
      </c>
      <c r="K1847">
        <v>1</v>
      </c>
      <c r="L1847">
        <v>2</v>
      </c>
      <c r="M1847">
        <v>273</v>
      </c>
      <c r="N1847">
        <v>282</v>
      </c>
      <c r="O1847">
        <v>1</v>
      </c>
      <c r="P1847">
        <v>281</v>
      </c>
      <c r="Q1847">
        <v>12</v>
      </c>
      <c r="R1847">
        <v>55</v>
      </c>
      <c r="S1847">
        <v>6</v>
      </c>
      <c r="T1847">
        <v>3</v>
      </c>
      <c r="U1847">
        <v>32</v>
      </c>
      <c r="V1847">
        <v>7</v>
      </c>
      <c r="W1847">
        <v>4</v>
      </c>
      <c r="X1847">
        <v>4</v>
      </c>
      <c r="Y1847">
        <v>100</v>
      </c>
      <c r="Z1847">
        <v>6</v>
      </c>
      <c r="AA1847">
        <v>5</v>
      </c>
      <c r="AB1847">
        <v>5</v>
      </c>
      <c r="AC1847">
        <v>1</v>
      </c>
      <c r="AD1847">
        <v>0</v>
      </c>
      <c r="AE1847">
        <v>0</v>
      </c>
      <c r="AF1847">
        <v>0</v>
      </c>
      <c r="AK1847">
        <v>7</v>
      </c>
      <c r="AL1847">
        <v>3</v>
      </c>
      <c r="AM1847">
        <v>1</v>
      </c>
      <c r="AN1847">
        <v>1</v>
      </c>
      <c r="AT1847">
        <v>0</v>
      </c>
      <c r="AU1847">
        <v>4</v>
      </c>
      <c r="AV1847">
        <v>281</v>
      </c>
      <c r="AW1847">
        <v>256</v>
      </c>
      <c r="AX1847">
        <v>532</v>
      </c>
      <c r="BA1847">
        <v>1</v>
      </c>
      <c r="BC1847" t="s">
        <v>3792</v>
      </c>
      <c r="BD1847" s="4">
        <v>43283.270833333336</v>
      </c>
      <c r="BE1847" s="4">
        <v>43283.297754629632</v>
      </c>
      <c r="BF1847" s="4">
        <v>43283.297754629632</v>
      </c>
      <c r="BG1847" t="s">
        <v>83</v>
      </c>
      <c r="BH1847" t="s">
        <v>84</v>
      </c>
      <c r="BI1847" t="s">
        <v>85</v>
      </c>
    </row>
    <row r="1848" spans="1:61" x14ac:dyDescent="0.3">
      <c r="A1848" t="str">
        <f>"200666C0200"</f>
        <v>200666C0200</v>
      </c>
      <c r="B1848" t="s">
        <v>3793</v>
      </c>
      <c r="C1848">
        <v>20</v>
      </c>
      <c r="D1848" t="s">
        <v>79</v>
      </c>
      <c r="E1848">
        <v>9</v>
      </c>
      <c r="F1848" t="s">
        <v>3733</v>
      </c>
      <c r="G1848">
        <v>666</v>
      </c>
      <c r="H1848">
        <v>2</v>
      </c>
      <c r="I1848" t="s">
        <v>89</v>
      </c>
      <c r="J1848">
        <v>0</v>
      </c>
      <c r="K1848">
        <v>1</v>
      </c>
      <c r="L1848">
        <v>2</v>
      </c>
      <c r="M1848" t="s">
        <v>100</v>
      </c>
      <c r="N1848" t="s">
        <v>100</v>
      </c>
      <c r="O1848" t="s">
        <v>100</v>
      </c>
      <c r="P1848" t="s">
        <v>100</v>
      </c>
      <c r="Q1848">
        <v>24</v>
      </c>
      <c r="R1848">
        <v>33</v>
      </c>
      <c r="S1848">
        <v>6</v>
      </c>
      <c r="T1848">
        <v>2</v>
      </c>
      <c r="U1848">
        <v>20</v>
      </c>
      <c r="V1848">
        <v>7</v>
      </c>
      <c r="W1848">
        <v>4</v>
      </c>
      <c r="X1848">
        <v>3</v>
      </c>
      <c r="Y1848">
        <v>163</v>
      </c>
      <c r="Z1848">
        <v>8</v>
      </c>
      <c r="AA1848">
        <v>1</v>
      </c>
      <c r="AB1848">
        <v>8</v>
      </c>
      <c r="AC1848">
        <v>0</v>
      </c>
      <c r="AD1848">
        <v>0</v>
      </c>
      <c r="AE1848">
        <v>0</v>
      </c>
      <c r="AF1848">
        <v>0</v>
      </c>
      <c r="AK1848">
        <v>3</v>
      </c>
      <c r="AL1848">
        <v>0</v>
      </c>
      <c r="AM1848">
        <v>0</v>
      </c>
      <c r="AN1848" t="s">
        <v>100</v>
      </c>
      <c r="AT1848" t="s">
        <v>100</v>
      </c>
      <c r="AU1848">
        <v>12</v>
      </c>
      <c r="AV1848">
        <v>294</v>
      </c>
      <c r="AW1848">
        <v>294</v>
      </c>
      <c r="AX1848">
        <v>531</v>
      </c>
      <c r="AZ1848" t="s">
        <v>101</v>
      </c>
      <c r="BA1848">
        <v>1</v>
      </c>
      <c r="BC1848" t="s">
        <v>3794</v>
      </c>
      <c r="BD1848" s="4">
        <v>43283.279861111114</v>
      </c>
      <c r="BE1848" s="4">
        <v>43283.30908564815</v>
      </c>
      <c r="BF1848" s="4">
        <v>43283.30908564815</v>
      </c>
      <c r="BG1848" t="s">
        <v>83</v>
      </c>
      <c r="BH1848" t="s">
        <v>84</v>
      </c>
      <c r="BI1848" t="s">
        <v>85</v>
      </c>
    </row>
    <row r="1849" spans="1:61" x14ac:dyDescent="0.3">
      <c r="A1849" t="str">
        <f>"200667B0100"</f>
        <v>200667B0100</v>
      </c>
      <c r="B1849" t="s">
        <v>3795</v>
      </c>
      <c r="C1849">
        <v>20</v>
      </c>
      <c r="D1849" t="s">
        <v>79</v>
      </c>
      <c r="E1849">
        <v>9</v>
      </c>
      <c r="F1849" t="s">
        <v>3733</v>
      </c>
      <c r="G1849">
        <v>667</v>
      </c>
      <c r="H1849">
        <v>1</v>
      </c>
      <c r="I1849" t="s">
        <v>81</v>
      </c>
      <c r="J1849">
        <v>0</v>
      </c>
      <c r="K1849">
        <v>2</v>
      </c>
      <c r="L1849">
        <v>2</v>
      </c>
      <c r="M1849">
        <v>263</v>
      </c>
      <c r="N1849">
        <v>369</v>
      </c>
      <c r="O1849">
        <v>4</v>
      </c>
      <c r="P1849">
        <v>369</v>
      </c>
      <c r="Q1849">
        <v>14</v>
      </c>
      <c r="R1849">
        <v>82</v>
      </c>
      <c r="S1849">
        <v>7</v>
      </c>
      <c r="T1849">
        <v>1</v>
      </c>
      <c r="U1849">
        <v>27</v>
      </c>
      <c r="V1849">
        <v>6</v>
      </c>
      <c r="W1849">
        <v>3</v>
      </c>
      <c r="X1849">
        <v>3</v>
      </c>
      <c r="Y1849">
        <v>160</v>
      </c>
      <c r="Z1849">
        <v>8</v>
      </c>
      <c r="AA1849">
        <v>32</v>
      </c>
      <c r="AB1849">
        <v>7</v>
      </c>
      <c r="AC1849">
        <v>0</v>
      </c>
      <c r="AD1849">
        <v>0</v>
      </c>
      <c r="AE1849">
        <v>0</v>
      </c>
      <c r="AF1849">
        <v>0</v>
      </c>
      <c r="AK1849">
        <v>5</v>
      </c>
      <c r="AL1849">
        <v>0</v>
      </c>
      <c r="AM1849">
        <v>1</v>
      </c>
      <c r="AN1849">
        <v>4</v>
      </c>
      <c r="AT1849">
        <v>0</v>
      </c>
      <c r="AU1849">
        <v>9</v>
      </c>
      <c r="AV1849">
        <v>369</v>
      </c>
      <c r="AW1849">
        <v>369</v>
      </c>
      <c r="AX1849">
        <v>610</v>
      </c>
      <c r="BA1849">
        <v>1</v>
      </c>
      <c r="BC1849" t="s">
        <v>3796</v>
      </c>
      <c r="BD1849" s="4">
        <v>43283.288194444445</v>
      </c>
      <c r="BE1849" s="4">
        <v>43283.316886574074</v>
      </c>
      <c r="BF1849" s="4">
        <v>43283.316886574074</v>
      </c>
      <c r="BG1849" t="s">
        <v>83</v>
      </c>
      <c r="BH1849" t="s">
        <v>84</v>
      </c>
      <c r="BI1849" t="s">
        <v>85</v>
      </c>
    </row>
    <row r="1850" spans="1:61" x14ac:dyDescent="0.3">
      <c r="A1850" t="str">
        <f>"200667C0100"</f>
        <v>200667C0100</v>
      </c>
      <c r="B1850" t="s">
        <v>3797</v>
      </c>
      <c r="C1850">
        <v>20</v>
      </c>
      <c r="D1850" t="s">
        <v>79</v>
      </c>
      <c r="E1850">
        <v>9</v>
      </c>
      <c r="F1850" t="s">
        <v>3733</v>
      </c>
      <c r="G1850">
        <v>667</v>
      </c>
      <c r="H1850">
        <v>1</v>
      </c>
      <c r="I1850" t="s">
        <v>89</v>
      </c>
      <c r="J1850">
        <v>0</v>
      </c>
      <c r="K1850">
        <v>2</v>
      </c>
      <c r="L1850">
        <v>2</v>
      </c>
      <c r="M1850">
        <v>295</v>
      </c>
      <c r="N1850">
        <v>336</v>
      </c>
      <c r="O1850">
        <v>3</v>
      </c>
      <c r="P1850">
        <v>336</v>
      </c>
      <c r="Q1850">
        <v>21</v>
      </c>
      <c r="R1850">
        <v>41</v>
      </c>
      <c r="S1850">
        <v>7</v>
      </c>
      <c r="T1850">
        <v>5</v>
      </c>
      <c r="U1850">
        <v>23</v>
      </c>
      <c r="V1850">
        <v>6</v>
      </c>
      <c r="W1850">
        <v>5</v>
      </c>
      <c r="X1850">
        <v>5</v>
      </c>
      <c r="Y1850">
        <v>155</v>
      </c>
      <c r="Z1850">
        <v>2</v>
      </c>
      <c r="AA1850">
        <v>37</v>
      </c>
      <c r="AB1850">
        <v>6</v>
      </c>
      <c r="AC1850">
        <v>2</v>
      </c>
      <c r="AD1850">
        <v>0</v>
      </c>
      <c r="AE1850">
        <v>0</v>
      </c>
      <c r="AF1850">
        <v>0</v>
      </c>
      <c r="AK1850">
        <v>7</v>
      </c>
      <c r="AL1850">
        <v>2</v>
      </c>
      <c r="AM1850">
        <v>0</v>
      </c>
      <c r="AN1850">
        <v>2</v>
      </c>
      <c r="AT1850">
        <v>0</v>
      </c>
      <c r="AU1850">
        <v>10</v>
      </c>
      <c r="AV1850">
        <v>336</v>
      </c>
      <c r="AW1850">
        <v>336</v>
      </c>
      <c r="AX1850">
        <v>609</v>
      </c>
      <c r="BA1850">
        <v>1</v>
      </c>
      <c r="BC1850" t="s">
        <v>3798</v>
      </c>
      <c r="BD1850" s="4">
        <v>43283.124247685184</v>
      </c>
      <c r="BE1850" s="4">
        <v>43283.128194444442</v>
      </c>
      <c r="BF1850" s="4">
        <v>43283.128194444442</v>
      </c>
      <c r="BG1850" t="s">
        <v>373</v>
      </c>
      <c r="BH1850" t="s">
        <v>374</v>
      </c>
      <c r="BI1850" t="s">
        <v>85</v>
      </c>
    </row>
    <row r="1851" spans="1:61" x14ac:dyDescent="0.3">
      <c r="A1851" t="str">
        <f>"200757B0100"</f>
        <v>200757B0100</v>
      </c>
      <c r="B1851" t="s">
        <v>3799</v>
      </c>
      <c r="C1851">
        <v>20</v>
      </c>
      <c r="D1851" t="s">
        <v>79</v>
      </c>
      <c r="E1851">
        <v>9</v>
      </c>
      <c r="F1851" t="s">
        <v>3733</v>
      </c>
      <c r="G1851">
        <v>757</v>
      </c>
      <c r="H1851">
        <v>1</v>
      </c>
      <c r="I1851" t="s">
        <v>81</v>
      </c>
      <c r="J1851">
        <v>0</v>
      </c>
      <c r="K1851">
        <v>2</v>
      </c>
      <c r="L1851">
        <v>2</v>
      </c>
      <c r="M1851">
        <v>239</v>
      </c>
      <c r="N1851">
        <v>257</v>
      </c>
      <c r="O1851">
        <v>0</v>
      </c>
      <c r="P1851">
        <v>257</v>
      </c>
      <c r="Q1851">
        <v>5</v>
      </c>
      <c r="R1851">
        <v>11</v>
      </c>
      <c r="S1851">
        <v>3</v>
      </c>
      <c r="T1851">
        <v>1</v>
      </c>
      <c r="U1851">
        <v>9</v>
      </c>
      <c r="V1851">
        <v>1</v>
      </c>
      <c r="W1851">
        <v>0</v>
      </c>
      <c r="X1851">
        <v>1</v>
      </c>
      <c r="Y1851">
        <v>195</v>
      </c>
      <c r="Z1851">
        <v>10</v>
      </c>
      <c r="AA1851">
        <v>1</v>
      </c>
      <c r="AB1851">
        <v>1</v>
      </c>
      <c r="AC1851">
        <v>1</v>
      </c>
      <c r="AD1851">
        <v>0</v>
      </c>
      <c r="AE1851">
        <v>0</v>
      </c>
      <c r="AF1851">
        <v>0</v>
      </c>
      <c r="AK1851">
        <v>2</v>
      </c>
      <c r="AL1851">
        <v>2</v>
      </c>
      <c r="AM1851">
        <v>0</v>
      </c>
      <c r="AN1851">
        <v>1</v>
      </c>
      <c r="AT1851" t="s">
        <v>100</v>
      </c>
      <c r="AU1851">
        <v>13</v>
      </c>
      <c r="AV1851">
        <v>257</v>
      </c>
      <c r="AW1851">
        <v>257</v>
      </c>
      <c r="AX1851">
        <v>474</v>
      </c>
      <c r="AZ1851" t="s">
        <v>101</v>
      </c>
      <c r="BA1851">
        <v>1</v>
      </c>
      <c r="BC1851" t="s">
        <v>3800</v>
      </c>
      <c r="BD1851" s="4">
        <v>43283.196527777778</v>
      </c>
      <c r="BE1851" s="4">
        <v>43283.214641203704</v>
      </c>
      <c r="BF1851" s="4">
        <v>43283.214641203704</v>
      </c>
      <c r="BG1851" t="s">
        <v>83</v>
      </c>
      <c r="BH1851" t="s">
        <v>84</v>
      </c>
      <c r="BI1851" t="s">
        <v>85</v>
      </c>
    </row>
    <row r="1852" spans="1:61" x14ac:dyDescent="0.3">
      <c r="A1852" t="str">
        <f>"200757E0100"</f>
        <v>200757E0100</v>
      </c>
      <c r="B1852" s="2" t="s">
        <v>3801</v>
      </c>
      <c r="C1852">
        <v>20</v>
      </c>
      <c r="D1852" t="s">
        <v>79</v>
      </c>
      <c r="E1852">
        <v>9</v>
      </c>
      <c r="F1852" t="s">
        <v>3733</v>
      </c>
      <c r="G1852">
        <v>757</v>
      </c>
      <c r="H1852">
        <v>1</v>
      </c>
      <c r="I1852" t="s">
        <v>145</v>
      </c>
      <c r="J1852">
        <v>0</v>
      </c>
      <c r="K1852">
        <v>2</v>
      </c>
      <c r="L1852">
        <v>2</v>
      </c>
      <c r="M1852">
        <v>66</v>
      </c>
      <c r="N1852">
        <v>121</v>
      </c>
      <c r="O1852">
        <v>0</v>
      </c>
      <c r="P1852">
        <v>121</v>
      </c>
      <c r="Q1852">
        <v>2</v>
      </c>
      <c r="R1852">
        <v>11</v>
      </c>
      <c r="S1852">
        <v>10</v>
      </c>
      <c r="T1852">
        <v>3</v>
      </c>
      <c r="U1852">
        <v>13</v>
      </c>
      <c r="V1852">
        <v>4</v>
      </c>
      <c r="W1852">
        <v>2</v>
      </c>
      <c r="X1852">
        <v>1</v>
      </c>
      <c r="Y1852">
        <v>67</v>
      </c>
      <c r="Z1852">
        <v>1</v>
      </c>
      <c r="AA1852">
        <v>0</v>
      </c>
      <c r="AB1852">
        <v>1</v>
      </c>
      <c r="AC1852">
        <v>1</v>
      </c>
      <c r="AD1852">
        <v>0</v>
      </c>
      <c r="AE1852">
        <v>0</v>
      </c>
      <c r="AF1852">
        <v>0</v>
      </c>
      <c r="AK1852">
        <v>1</v>
      </c>
      <c r="AL1852">
        <v>0</v>
      </c>
      <c r="AM1852">
        <v>0</v>
      </c>
      <c r="AN1852">
        <v>0</v>
      </c>
      <c r="AT1852">
        <v>0</v>
      </c>
      <c r="AU1852">
        <v>0</v>
      </c>
      <c r="AV1852">
        <v>4</v>
      </c>
      <c r="AW1852">
        <v>117</v>
      </c>
      <c r="AX1852">
        <v>165</v>
      </c>
      <c r="BA1852">
        <v>1</v>
      </c>
      <c r="BC1852" t="s">
        <v>3802</v>
      </c>
      <c r="BD1852" s="4">
        <v>43283.208333333336</v>
      </c>
      <c r="BE1852" s="4">
        <v>43283.229641203703</v>
      </c>
      <c r="BF1852" s="4">
        <v>43283.229641203703</v>
      </c>
      <c r="BG1852" t="s">
        <v>83</v>
      </c>
      <c r="BH1852" t="s">
        <v>84</v>
      </c>
      <c r="BI1852" t="s">
        <v>85</v>
      </c>
    </row>
    <row r="1853" spans="1:61" x14ac:dyDescent="0.3">
      <c r="A1853" t="str">
        <f>"200758B0100"</f>
        <v>200758B0100</v>
      </c>
      <c r="B1853" t="s">
        <v>3803</v>
      </c>
      <c r="C1853">
        <v>20</v>
      </c>
      <c r="D1853" t="s">
        <v>79</v>
      </c>
      <c r="E1853">
        <v>9</v>
      </c>
      <c r="F1853" t="s">
        <v>3733</v>
      </c>
      <c r="G1853">
        <v>758</v>
      </c>
      <c r="H1853">
        <v>1</v>
      </c>
      <c r="I1853" t="s">
        <v>81</v>
      </c>
      <c r="J1853">
        <v>0</v>
      </c>
      <c r="K1853">
        <v>2</v>
      </c>
      <c r="L1853">
        <v>2</v>
      </c>
      <c r="M1853">
        <v>331</v>
      </c>
      <c r="N1853">
        <v>286</v>
      </c>
      <c r="O1853">
        <v>0</v>
      </c>
      <c r="P1853">
        <v>286</v>
      </c>
      <c r="Q1853">
        <v>10</v>
      </c>
      <c r="R1853">
        <v>81</v>
      </c>
      <c r="S1853">
        <v>5</v>
      </c>
      <c r="T1853">
        <v>4</v>
      </c>
      <c r="U1853">
        <v>21</v>
      </c>
      <c r="V1853">
        <v>3</v>
      </c>
      <c r="W1853">
        <v>1</v>
      </c>
      <c r="X1853">
        <v>7</v>
      </c>
      <c r="Y1853">
        <v>135</v>
      </c>
      <c r="Z1853">
        <v>0</v>
      </c>
      <c r="AA1853">
        <v>0</v>
      </c>
      <c r="AB1853">
        <v>1</v>
      </c>
      <c r="AC1853">
        <v>0</v>
      </c>
      <c r="AD1853">
        <v>0</v>
      </c>
      <c r="AE1853">
        <v>0</v>
      </c>
      <c r="AF1853">
        <v>0</v>
      </c>
      <c r="AK1853">
        <v>3</v>
      </c>
      <c r="AL1853">
        <v>1</v>
      </c>
      <c r="AM1853">
        <v>0</v>
      </c>
      <c r="AN1853">
        <v>0</v>
      </c>
      <c r="AT1853">
        <v>0</v>
      </c>
      <c r="AU1853">
        <v>14</v>
      </c>
      <c r="AV1853">
        <v>286</v>
      </c>
      <c r="AW1853">
        <v>286</v>
      </c>
      <c r="AX1853">
        <v>596</v>
      </c>
      <c r="BA1853">
        <v>1</v>
      </c>
      <c r="BC1853" t="s">
        <v>3804</v>
      </c>
      <c r="BD1853" s="4">
        <v>43283.195833333331</v>
      </c>
      <c r="BE1853" s="4">
        <v>43283.212083333332</v>
      </c>
      <c r="BF1853" s="4">
        <v>43283.212083333332</v>
      </c>
      <c r="BG1853" t="s">
        <v>83</v>
      </c>
      <c r="BH1853" t="s">
        <v>84</v>
      </c>
      <c r="BI1853" t="s">
        <v>85</v>
      </c>
    </row>
    <row r="1854" spans="1:61" x14ac:dyDescent="0.3">
      <c r="A1854" t="str">
        <f>"200762B0100"</f>
        <v>200762B0100</v>
      </c>
      <c r="B1854" t="s">
        <v>3805</v>
      </c>
      <c r="C1854">
        <v>20</v>
      </c>
      <c r="D1854" t="s">
        <v>79</v>
      </c>
      <c r="E1854">
        <v>9</v>
      </c>
      <c r="F1854" t="s">
        <v>3733</v>
      </c>
      <c r="G1854">
        <v>762</v>
      </c>
      <c r="H1854">
        <v>1</v>
      </c>
      <c r="I1854" t="s">
        <v>81</v>
      </c>
      <c r="J1854">
        <v>0</v>
      </c>
      <c r="K1854">
        <v>1</v>
      </c>
      <c r="L1854">
        <v>2</v>
      </c>
      <c r="M1854">
        <v>142</v>
      </c>
      <c r="N1854">
        <v>211</v>
      </c>
      <c r="O1854">
        <v>0</v>
      </c>
      <c r="P1854">
        <v>211</v>
      </c>
      <c r="Q1854">
        <v>8</v>
      </c>
      <c r="R1854">
        <v>42</v>
      </c>
      <c r="S1854">
        <v>3</v>
      </c>
      <c r="T1854">
        <v>2</v>
      </c>
      <c r="U1854">
        <v>9</v>
      </c>
      <c r="V1854">
        <v>3</v>
      </c>
      <c r="W1854">
        <v>6</v>
      </c>
      <c r="X1854">
        <v>1</v>
      </c>
      <c r="Y1854">
        <v>121</v>
      </c>
      <c r="Z1854">
        <v>1</v>
      </c>
      <c r="AA1854">
        <v>1</v>
      </c>
      <c r="AB1854">
        <v>1</v>
      </c>
      <c r="AC1854">
        <v>0</v>
      </c>
      <c r="AD1854">
        <v>0</v>
      </c>
      <c r="AE1854">
        <v>0</v>
      </c>
      <c r="AF1854">
        <v>0</v>
      </c>
      <c r="AK1854">
        <v>0</v>
      </c>
      <c r="AL1854">
        <v>0</v>
      </c>
      <c r="AM1854">
        <v>0</v>
      </c>
      <c r="AN1854">
        <v>1</v>
      </c>
      <c r="AT1854">
        <v>0</v>
      </c>
      <c r="AU1854">
        <v>12</v>
      </c>
      <c r="AV1854">
        <v>211</v>
      </c>
      <c r="AW1854">
        <v>211</v>
      </c>
      <c r="AX1854">
        <v>331</v>
      </c>
      <c r="BA1854">
        <v>1</v>
      </c>
      <c r="BC1854" t="s">
        <v>3806</v>
      </c>
      <c r="BD1854" s="4">
        <v>43283.17291666667</v>
      </c>
      <c r="BE1854" s="4">
        <v>43283.187951388885</v>
      </c>
      <c r="BF1854" s="4">
        <v>43283.187951388885</v>
      </c>
      <c r="BG1854" t="s">
        <v>83</v>
      </c>
      <c r="BH1854" t="s">
        <v>84</v>
      </c>
      <c r="BI1854" t="s">
        <v>85</v>
      </c>
    </row>
    <row r="1855" spans="1:61" x14ac:dyDescent="0.3">
      <c r="A1855" t="str">
        <f>"200795B0100"</f>
        <v>200795B0100</v>
      </c>
      <c r="B1855" t="s">
        <v>3807</v>
      </c>
      <c r="C1855">
        <v>20</v>
      </c>
      <c r="D1855" t="s">
        <v>79</v>
      </c>
      <c r="E1855">
        <v>9</v>
      </c>
      <c r="F1855" t="s">
        <v>3733</v>
      </c>
      <c r="G1855">
        <v>795</v>
      </c>
      <c r="H1855">
        <v>1</v>
      </c>
      <c r="I1855" t="s">
        <v>81</v>
      </c>
      <c r="J1855">
        <v>0</v>
      </c>
      <c r="K1855">
        <v>2</v>
      </c>
      <c r="L1855">
        <v>2</v>
      </c>
      <c r="M1855" t="s">
        <v>100</v>
      </c>
      <c r="N1855" t="s">
        <v>100</v>
      </c>
      <c r="O1855" t="s">
        <v>100</v>
      </c>
      <c r="P1855" t="s">
        <v>100</v>
      </c>
      <c r="Q1855">
        <v>4</v>
      </c>
      <c r="R1855">
        <v>14</v>
      </c>
      <c r="S1855">
        <v>2</v>
      </c>
      <c r="T1855">
        <v>3</v>
      </c>
      <c r="U1855">
        <v>10</v>
      </c>
      <c r="V1855">
        <v>1</v>
      </c>
      <c r="W1855">
        <v>1</v>
      </c>
      <c r="X1855">
        <v>0</v>
      </c>
      <c r="Y1855">
        <v>64</v>
      </c>
      <c r="Z1855">
        <v>3</v>
      </c>
      <c r="AA1855">
        <v>0</v>
      </c>
      <c r="AB1855">
        <v>1</v>
      </c>
      <c r="AC1855">
        <v>0</v>
      </c>
      <c r="AD1855">
        <v>0</v>
      </c>
      <c r="AE1855">
        <v>0</v>
      </c>
      <c r="AF1855">
        <v>0</v>
      </c>
      <c r="AK1855">
        <v>2</v>
      </c>
      <c r="AL1855">
        <v>2</v>
      </c>
      <c r="AM1855">
        <v>1</v>
      </c>
      <c r="AN1855">
        <v>0</v>
      </c>
      <c r="AT1855">
        <v>0</v>
      </c>
      <c r="AU1855">
        <v>1</v>
      </c>
      <c r="AV1855">
        <v>109</v>
      </c>
      <c r="AW1855">
        <v>109</v>
      </c>
      <c r="AX1855">
        <v>204</v>
      </c>
      <c r="BA1855">
        <v>1</v>
      </c>
      <c r="BC1855" t="s">
        <v>3808</v>
      </c>
      <c r="BD1855" s="4">
        <v>43283.098611111112</v>
      </c>
      <c r="BE1855" s="4">
        <v>43283.102916666663</v>
      </c>
      <c r="BF1855" s="4">
        <v>43283.102916666663</v>
      </c>
      <c r="BG1855" t="s">
        <v>83</v>
      </c>
      <c r="BH1855" t="s">
        <v>84</v>
      </c>
      <c r="BI1855" t="s">
        <v>85</v>
      </c>
    </row>
    <row r="1856" spans="1:61" x14ac:dyDescent="0.3">
      <c r="A1856" t="str">
        <f>"200796B0100"</f>
        <v>200796B0100</v>
      </c>
      <c r="B1856" t="s">
        <v>3809</v>
      </c>
      <c r="C1856">
        <v>20</v>
      </c>
      <c r="D1856" t="s">
        <v>79</v>
      </c>
      <c r="E1856">
        <v>9</v>
      </c>
      <c r="F1856" t="s">
        <v>3733</v>
      </c>
      <c r="G1856">
        <v>796</v>
      </c>
      <c r="H1856">
        <v>1</v>
      </c>
      <c r="I1856" t="s">
        <v>81</v>
      </c>
      <c r="J1856">
        <v>0</v>
      </c>
      <c r="K1856">
        <v>2</v>
      </c>
      <c r="L1856">
        <v>2</v>
      </c>
      <c r="M1856">
        <v>84</v>
      </c>
      <c r="N1856">
        <v>70</v>
      </c>
      <c r="O1856">
        <v>0</v>
      </c>
      <c r="P1856">
        <v>70</v>
      </c>
      <c r="Q1856">
        <v>5</v>
      </c>
      <c r="R1856">
        <v>8</v>
      </c>
      <c r="S1856">
        <v>3</v>
      </c>
      <c r="T1856">
        <v>4</v>
      </c>
      <c r="U1856">
        <v>3</v>
      </c>
      <c r="V1856">
        <v>3</v>
      </c>
      <c r="W1856">
        <v>2</v>
      </c>
      <c r="X1856">
        <v>1</v>
      </c>
      <c r="Y1856">
        <v>39</v>
      </c>
      <c r="Z1856">
        <v>1</v>
      </c>
      <c r="AA1856" t="s">
        <v>100</v>
      </c>
      <c r="AB1856" t="s">
        <v>100</v>
      </c>
      <c r="AC1856">
        <v>0</v>
      </c>
      <c r="AD1856">
        <v>0</v>
      </c>
      <c r="AE1856">
        <v>0</v>
      </c>
      <c r="AF1856">
        <v>0</v>
      </c>
      <c r="AK1856">
        <v>0</v>
      </c>
      <c r="AL1856">
        <v>0</v>
      </c>
      <c r="AM1856">
        <v>0</v>
      </c>
      <c r="AN1856">
        <v>0</v>
      </c>
      <c r="AT1856">
        <v>0</v>
      </c>
      <c r="AU1856">
        <v>1</v>
      </c>
      <c r="AV1856">
        <v>70</v>
      </c>
      <c r="AW1856">
        <v>70</v>
      </c>
      <c r="AX1856">
        <v>132</v>
      </c>
      <c r="AZ1856" t="s">
        <v>101</v>
      </c>
      <c r="BA1856">
        <v>1</v>
      </c>
      <c r="BC1856" t="s">
        <v>3810</v>
      </c>
      <c r="BD1856" s="4">
        <v>43283.09652777778</v>
      </c>
      <c r="BE1856" s="4">
        <v>43283.100254629629</v>
      </c>
      <c r="BF1856" s="4">
        <v>43283.100254629629</v>
      </c>
      <c r="BG1856" t="s">
        <v>83</v>
      </c>
      <c r="BH1856" t="s">
        <v>84</v>
      </c>
      <c r="BI1856" t="s">
        <v>85</v>
      </c>
    </row>
    <row r="1857" spans="1:61" x14ac:dyDescent="0.3">
      <c r="A1857" t="str">
        <f>"200797B0100"</f>
        <v>200797B0100</v>
      </c>
      <c r="B1857" t="s">
        <v>3811</v>
      </c>
      <c r="C1857">
        <v>20</v>
      </c>
      <c r="D1857" t="s">
        <v>79</v>
      </c>
      <c r="E1857">
        <v>9</v>
      </c>
      <c r="F1857" t="s">
        <v>3733</v>
      </c>
      <c r="G1857">
        <v>797</v>
      </c>
      <c r="H1857">
        <v>1</v>
      </c>
      <c r="I1857" t="s">
        <v>81</v>
      </c>
      <c r="J1857">
        <v>0</v>
      </c>
      <c r="K1857">
        <v>2</v>
      </c>
      <c r="L1857">
        <v>2</v>
      </c>
      <c r="M1857">
        <v>76</v>
      </c>
      <c r="N1857">
        <v>99</v>
      </c>
      <c r="O1857">
        <v>4</v>
      </c>
      <c r="P1857">
        <v>99</v>
      </c>
      <c r="Q1857">
        <v>0</v>
      </c>
      <c r="R1857">
        <v>13</v>
      </c>
      <c r="S1857">
        <v>1</v>
      </c>
      <c r="T1857">
        <v>1</v>
      </c>
      <c r="U1857">
        <v>5</v>
      </c>
      <c r="V1857">
        <v>2</v>
      </c>
      <c r="W1857">
        <v>0</v>
      </c>
      <c r="X1857">
        <v>0</v>
      </c>
      <c r="Y1857">
        <v>68</v>
      </c>
      <c r="Z1857">
        <v>4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K1857">
        <v>0</v>
      </c>
      <c r="AL1857">
        <v>0</v>
      </c>
      <c r="AM1857">
        <v>0</v>
      </c>
      <c r="AN1857">
        <v>0</v>
      </c>
      <c r="AT1857">
        <v>0</v>
      </c>
      <c r="AU1857">
        <v>5</v>
      </c>
      <c r="AV1857">
        <v>99</v>
      </c>
      <c r="AW1857">
        <v>99</v>
      </c>
      <c r="AX1857">
        <v>153</v>
      </c>
      <c r="BA1857">
        <v>1</v>
      </c>
      <c r="BC1857" t="s">
        <v>3812</v>
      </c>
      <c r="BD1857" s="4">
        <v>43283.093055555553</v>
      </c>
      <c r="BE1857" s="4">
        <v>43283.096620370372</v>
      </c>
      <c r="BF1857" s="4">
        <v>43283.096620370372</v>
      </c>
      <c r="BG1857" t="s">
        <v>83</v>
      </c>
      <c r="BH1857" t="s">
        <v>84</v>
      </c>
      <c r="BI1857" t="s">
        <v>85</v>
      </c>
    </row>
    <row r="1858" spans="1:61" x14ac:dyDescent="0.3">
      <c r="A1858" t="str">
        <f>"200811B0100"</f>
        <v>200811B0100</v>
      </c>
      <c r="B1858" t="s">
        <v>3813</v>
      </c>
      <c r="C1858">
        <v>20</v>
      </c>
      <c r="D1858" t="s">
        <v>79</v>
      </c>
      <c r="E1858">
        <v>9</v>
      </c>
      <c r="F1858" t="s">
        <v>3733</v>
      </c>
      <c r="G1858">
        <v>811</v>
      </c>
      <c r="H1858">
        <v>1</v>
      </c>
      <c r="I1858" t="s">
        <v>81</v>
      </c>
      <c r="J1858">
        <v>0</v>
      </c>
      <c r="K1858">
        <v>1</v>
      </c>
      <c r="L1858">
        <v>2</v>
      </c>
      <c r="M1858">
        <v>145</v>
      </c>
      <c r="N1858">
        <v>151</v>
      </c>
      <c r="O1858">
        <v>0</v>
      </c>
      <c r="P1858">
        <v>151</v>
      </c>
      <c r="Q1858">
        <v>5</v>
      </c>
      <c r="R1858">
        <v>17</v>
      </c>
      <c r="S1858">
        <v>7</v>
      </c>
      <c r="T1858">
        <v>5</v>
      </c>
      <c r="U1858">
        <v>10</v>
      </c>
      <c r="V1858">
        <v>1</v>
      </c>
      <c r="W1858">
        <v>2</v>
      </c>
      <c r="X1858">
        <v>1</v>
      </c>
      <c r="Y1858">
        <v>80</v>
      </c>
      <c r="Z1858">
        <v>3</v>
      </c>
      <c r="AA1858">
        <v>1</v>
      </c>
      <c r="AB1858">
        <v>1</v>
      </c>
      <c r="AC1858">
        <v>0</v>
      </c>
      <c r="AD1858">
        <v>0</v>
      </c>
      <c r="AE1858">
        <v>0</v>
      </c>
      <c r="AF1858">
        <v>0</v>
      </c>
      <c r="AK1858">
        <v>0</v>
      </c>
      <c r="AL1858">
        <v>0</v>
      </c>
      <c r="AM1858">
        <v>0</v>
      </c>
      <c r="AN1858">
        <v>0</v>
      </c>
      <c r="AT1858">
        <v>0</v>
      </c>
      <c r="AU1858">
        <v>18</v>
      </c>
      <c r="AV1858">
        <v>151</v>
      </c>
      <c r="AW1858">
        <v>151</v>
      </c>
      <c r="AX1858">
        <v>274</v>
      </c>
      <c r="BA1858">
        <v>1</v>
      </c>
      <c r="BC1858" t="s">
        <v>3814</v>
      </c>
      <c r="BD1858" s="4">
        <v>43283.210416666669</v>
      </c>
      <c r="BE1858" s="4">
        <v>43283.230578703704</v>
      </c>
      <c r="BF1858" s="4">
        <v>43283.230578703704</v>
      </c>
      <c r="BG1858" t="s">
        <v>83</v>
      </c>
      <c r="BH1858" t="s">
        <v>84</v>
      </c>
      <c r="BI1858" t="s">
        <v>85</v>
      </c>
    </row>
    <row r="1859" spans="1:61" x14ac:dyDescent="0.3">
      <c r="A1859" t="str">
        <f>"200836B0100"</f>
        <v>200836B0100</v>
      </c>
      <c r="B1859" t="s">
        <v>3815</v>
      </c>
      <c r="C1859">
        <v>20</v>
      </c>
      <c r="D1859" t="s">
        <v>79</v>
      </c>
      <c r="E1859">
        <v>9</v>
      </c>
      <c r="F1859" t="s">
        <v>3733</v>
      </c>
      <c r="G1859">
        <v>836</v>
      </c>
      <c r="H1859">
        <v>1</v>
      </c>
      <c r="I1859" t="s">
        <v>81</v>
      </c>
      <c r="J1859">
        <v>0</v>
      </c>
      <c r="K1859">
        <v>1</v>
      </c>
      <c r="L1859">
        <v>2</v>
      </c>
      <c r="M1859">
        <v>182</v>
      </c>
      <c r="N1859">
        <v>340</v>
      </c>
      <c r="O1859">
        <v>1</v>
      </c>
      <c r="P1859">
        <v>340</v>
      </c>
      <c r="Q1859">
        <v>18</v>
      </c>
      <c r="R1859">
        <v>21</v>
      </c>
      <c r="S1859">
        <v>11</v>
      </c>
      <c r="T1859">
        <v>5</v>
      </c>
      <c r="U1859">
        <v>13</v>
      </c>
      <c r="V1859">
        <v>5</v>
      </c>
      <c r="W1859">
        <v>9</v>
      </c>
      <c r="X1859">
        <v>2</v>
      </c>
      <c r="Y1859">
        <v>218</v>
      </c>
      <c r="Z1859">
        <v>2</v>
      </c>
      <c r="AA1859">
        <v>1</v>
      </c>
      <c r="AB1859">
        <v>9</v>
      </c>
      <c r="AC1859">
        <v>0</v>
      </c>
      <c r="AD1859">
        <v>0</v>
      </c>
      <c r="AE1859">
        <v>0</v>
      </c>
      <c r="AF1859">
        <v>0</v>
      </c>
      <c r="AK1859">
        <v>1</v>
      </c>
      <c r="AL1859">
        <v>0</v>
      </c>
      <c r="AM1859">
        <v>0</v>
      </c>
      <c r="AN1859">
        <v>2</v>
      </c>
      <c r="AT1859">
        <v>0</v>
      </c>
      <c r="AU1859">
        <v>23</v>
      </c>
      <c r="AV1859">
        <v>340</v>
      </c>
      <c r="AW1859">
        <v>340</v>
      </c>
      <c r="AX1859">
        <v>500</v>
      </c>
      <c r="BA1859">
        <v>1</v>
      </c>
      <c r="BC1859" t="s">
        <v>3816</v>
      </c>
      <c r="BD1859" s="4">
        <v>43283.570138888892</v>
      </c>
      <c r="BE1859" s="4">
        <v>43283.576412037037</v>
      </c>
      <c r="BF1859" s="4">
        <v>43283.576412037037</v>
      </c>
      <c r="BG1859" t="s">
        <v>83</v>
      </c>
      <c r="BH1859" t="s">
        <v>84</v>
      </c>
      <c r="BI1859" t="s">
        <v>85</v>
      </c>
    </row>
    <row r="1860" spans="1:61" x14ac:dyDescent="0.3">
      <c r="A1860" t="str">
        <f>"200836C0100"</f>
        <v>200836C0100</v>
      </c>
      <c r="B1860" t="s">
        <v>3817</v>
      </c>
      <c r="C1860">
        <v>20</v>
      </c>
      <c r="D1860" t="s">
        <v>79</v>
      </c>
      <c r="E1860">
        <v>9</v>
      </c>
      <c r="F1860" t="s">
        <v>3733</v>
      </c>
      <c r="G1860">
        <v>836</v>
      </c>
      <c r="H1860">
        <v>1</v>
      </c>
      <c r="I1860" t="s">
        <v>89</v>
      </c>
      <c r="J1860">
        <v>0</v>
      </c>
      <c r="K1860">
        <v>1</v>
      </c>
      <c r="L1860">
        <v>2</v>
      </c>
      <c r="AX1860">
        <v>499</v>
      </c>
      <c r="AZ1860" t="s">
        <v>1868</v>
      </c>
      <c r="BA1860">
        <v>0</v>
      </c>
      <c r="BC1860" t="s">
        <v>3818</v>
      </c>
      <c r="BD1860" s="4">
        <v>43283.337500000001</v>
      </c>
      <c r="BE1860" s="4">
        <v>43283.368263888886</v>
      </c>
      <c r="BF1860" s="4">
        <v>43283.368263888886</v>
      </c>
      <c r="BG1860" t="s">
        <v>83</v>
      </c>
      <c r="BH1860" t="s">
        <v>84</v>
      </c>
      <c r="BI1860" t="s">
        <v>85</v>
      </c>
    </row>
    <row r="1861" spans="1:61" x14ac:dyDescent="0.3">
      <c r="A1861" t="str">
        <f>"200874B0100"</f>
        <v>200874B0100</v>
      </c>
      <c r="B1861" t="s">
        <v>3819</v>
      </c>
      <c r="C1861">
        <v>20</v>
      </c>
      <c r="D1861" t="s">
        <v>79</v>
      </c>
      <c r="E1861">
        <v>9</v>
      </c>
      <c r="F1861" t="s">
        <v>3733</v>
      </c>
      <c r="G1861">
        <v>874</v>
      </c>
      <c r="H1861">
        <v>1</v>
      </c>
      <c r="I1861" t="s">
        <v>81</v>
      </c>
      <c r="J1861">
        <v>0</v>
      </c>
      <c r="K1861">
        <v>2</v>
      </c>
      <c r="L1861">
        <v>2</v>
      </c>
      <c r="M1861">
        <v>178</v>
      </c>
      <c r="N1861">
        <v>196</v>
      </c>
      <c r="O1861">
        <v>0</v>
      </c>
      <c r="P1861">
        <v>196</v>
      </c>
      <c r="Q1861">
        <v>1</v>
      </c>
      <c r="R1861">
        <v>13</v>
      </c>
      <c r="S1861">
        <v>3</v>
      </c>
      <c r="T1861">
        <v>2</v>
      </c>
      <c r="U1861">
        <v>9</v>
      </c>
      <c r="V1861">
        <v>3</v>
      </c>
      <c r="W1861">
        <v>0</v>
      </c>
      <c r="X1861">
        <v>2</v>
      </c>
      <c r="Y1861">
        <v>145</v>
      </c>
      <c r="Z1861">
        <v>3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K1861">
        <v>2</v>
      </c>
      <c r="AL1861">
        <v>0</v>
      </c>
      <c r="AM1861">
        <v>0</v>
      </c>
      <c r="AN1861">
        <v>1</v>
      </c>
      <c r="AT1861">
        <v>0</v>
      </c>
      <c r="AU1861">
        <v>12</v>
      </c>
      <c r="AV1861">
        <v>196</v>
      </c>
      <c r="AW1861">
        <v>196</v>
      </c>
      <c r="AX1861">
        <v>352</v>
      </c>
      <c r="BA1861">
        <v>1</v>
      </c>
      <c r="BC1861" t="s">
        <v>3820</v>
      </c>
      <c r="BD1861" s="4">
        <v>43283.243055555555</v>
      </c>
      <c r="BE1861" s="4">
        <v>43283.266481481478</v>
      </c>
      <c r="BF1861" s="4">
        <v>43283.266481481478</v>
      </c>
      <c r="BG1861" t="s">
        <v>83</v>
      </c>
      <c r="BH1861" t="s">
        <v>84</v>
      </c>
      <c r="BI1861" t="s">
        <v>85</v>
      </c>
    </row>
    <row r="1862" spans="1:61" x14ac:dyDescent="0.3">
      <c r="A1862" t="str">
        <f>"200893B0100"</f>
        <v>200893B0100</v>
      </c>
      <c r="B1862" t="s">
        <v>3821</v>
      </c>
      <c r="C1862">
        <v>20</v>
      </c>
      <c r="D1862" t="s">
        <v>79</v>
      </c>
      <c r="E1862">
        <v>9</v>
      </c>
      <c r="F1862" t="s">
        <v>3733</v>
      </c>
      <c r="G1862">
        <v>893</v>
      </c>
      <c r="H1862">
        <v>1</v>
      </c>
      <c r="I1862" t="s">
        <v>81</v>
      </c>
      <c r="J1862">
        <v>0</v>
      </c>
      <c r="K1862">
        <v>1</v>
      </c>
      <c r="L1862">
        <v>2</v>
      </c>
      <c r="M1862">
        <v>279</v>
      </c>
      <c r="N1862">
        <v>385</v>
      </c>
      <c r="O1862">
        <v>0</v>
      </c>
      <c r="P1862">
        <v>385</v>
      </c>
      <c r="Q1862">
        <v>27</v>
      </c>
      <c r="R1862">
        <v>49</v>
      </c>
      <c r="S1862">
        <v>2</v>
      </c>
      <c r="T1862">
        <v>7</v>
      </c>
      <c r="U1862">
        <v>27</v>
      </c>
      <c r="V1862">
        <v>5</v>
      </c>
      <c r="W1862">
        <v>8</v>
      </c>
      <c r="X1862">
        <v>3</v>
      </c>
      <c r="Y1862">
        <v>199</v>
      </c>
      <c r="Z1862">
        <v>9</v>
      </c>
      <c r="AA1862">
        <v>2</v>
      </c>
      <c r="AB1862">
        <v>14</v>
      </c>
      <c r="AC1862">
        <v>0</v>
      </c>
      <c r="AD1862">
        <v>0</v>
      </c>
      <c r="AE1862">
        <v>0</v>
      </c>
      <c r="AF1862">
        <v>0</v>
      </c>
      <c r="AK1862">
        <v>10</v>
      </c>
      <c r="AL1862">
        <v>5</v>
      </c>
      <c r="AM1862">
        <v>1</v>
      </c>
      <c r="AN1862">
        <v>1</v>
      </c>
      <c r="AT1862">
        <v>1</v>
      </c>
      <c r="AU1862">
        <v>15</v>
      </c>
      <c r="AV1862">
        <v>385</v>
      </c>
      <c r="AW1862">
        <v>385</v>
      </c>
      <c r="AX1862">
        <v>642</v>
      </c>
      <c r="BA1862">
        <v>1</v>
      </c>
      <c r="BC1862" t="s">
        <v>3822</v>
      </c>
      <c r="BD1862" s="4">
        <v>43282.945231481484</v>
      </c>
      <c r="BE1862" s="4">
        <v>43282.948587962965</v>
      </c>
      <c r="BF1862" s="4">
        <v>43282.948587962965</v>
      </c>
      <c r="BG1862" t="s">
        <v>373</v>
      </c>
      <c r="BH1862" t="s">
        <v>374</v>
      </c>
      <c r="BI1862" t="s">
        <v>85</v>
      </c>
    </row>
    <row r="1863" spans="1:61" x14ac:dyDescent="0.3">
      <c r="A1863" t="str">
        <f>"200893C0100"</f>
        <v>200893C0100</v>
      </c>
      <c r="B1863" t="s">
        <v>3823</v>
      </c>
      <c r="C1863">
        <v>20</v>
      </c>
      <c r="D1863" t="s">
        <v>79</v>
      </c>
      <c r="E1863">
        <v>9</v>
      </c>
      <c r="F1863" t="s">
        <v>3733</v>
      </c>
      <c r="G1863">
        <v>893</v>
      </c>
      <c r="H1863">
        <v>1</v>
      </c>
      <c r="I1863" t="s">
        <v>89</v>
      </c>
      <c r="J1863">
        <v>0</v>
      </c>
      <c r="K1863">
        <v>1</v>
      </c>
      <c r="L1863">
        <v>2</v>
      </c>
      <c r="M1863">
        <v>317</v>
      </c>
      <c r="N1863">
        <v>347</v>
      </c>
      <c r="O1863">
        <v>0</v>
      </c>
      <c r="P1863">
        <v>347</v>
      </c>
      <c r="Q1863">
        <v>26</v>
      </c>
      <c r="R1863">
        <v>51</v>
      </c>
      <c r="S1863">
        <v>5</v>
      </c>
      <c r="T1863">
        <v>2</v>
      </c>
      <c r="U1863">
        <v>27</v>
      </c>
      <c r="V1863">
        <v>8</v>
      </c>
      <c r="W1863">
        <v>4</v>
      </c>
      <c r="X1863">
        <v>8</v>
      </c>
      <c r="Y1863">
        <v>178</v>
      </c>
      <c r="Z1863">
        <v>13</v>
      </c>
      <c r="AA1863">
        <v>1</v>
      </c>
      <c r="AB1863">
        <v>7</v>
      </c>
      <c r="AC1863">
        <v>0</v>
      </c>
      <c r="AD1863">
        <v>0</v>
      </c>
      <c r="AE1863">
        <v>0</v>
      </c>
      <c r="AF1863">
        <v>0</v>
      </c>
      <c r="AK1863">
        <v>5</v>
      </c>
      <c r="AL1863">
        <v>1</v>
      </c>
      <c r="AM1863">
        <v>0</v>
      </c>
      <c r="AN1863">
        <v>1</v>
      </c>
      <c r="AT1863">
        <v>0</v>
      </c>
      <c r="AU1863">
        <v>10</v>
      </c>
      <c r="AV1863">
        <v>347</v>
      </c>
      <c r="AW1863">
        <v>347</v>
      </c>
      <c r="AX1863">
        <v>642</v>
      </c>
      <c r="BA1863">
        <v>1</v>
      </c>
      <c r="BC1863" t="s">
        <v>3824</v>
      </c>
      <c r="BD1863" s="4">
        <v>43282.920104166667</v>
      </c>
      <c r="BE1863" s="4">
        <v>43282.925069444442</v>
      </c>
      <c r="BF1863" s="4">
        <v>43282.925069444442</v>
      </c>
      <c r="BG1863" t="s">
        <v>373</v>
      </c>
      <c r="BH1863" t="s">
        <v>374</v>
      </c>
      <c r="BI1863" t="s">
        <v>85</v>
      </c>
    </row>
    <row r="1864" spans="1:61" x14ac:dyDescent="0.3">
      <c r="A1864" t="str">
        <f>"200893C0200"</f>
        <v>200893C0200</v>
      </c>
      <c r="B1864" t="s">
        <v>3825</v>
      </c>
      <c r="C1864">
        <v>20</v>
      </c>
      <c r="D1864" t="s">
        <v>79</v>
      </c>
      <c r="E1864">
        <v>9</v>
      </c>
      <c r="F1864" t="s">
        <v>3733</v>
      </c>
      <c r="G1864">
        <v>893</v>
      </c>
      <c r="H1864">
        <v>2</v>
      </c>
      <c r="I1864" t="s">
        <v>89</v>
      </c>
      <c r="J1864">
        <v>0</v>
      </c>
      <c r="K1864">
        <v>1</v>
      </c>
      <c r="L1864">
        <v>2</v>
      </c>
      <c r="M1864">
        <v>299</v>
      </c>
      <c r="N1864">
        <v>364</v>
      </c>
      <c r="O1864">
        <v>0</v>
      </c>
      <c r="P1864">
        <v>0</v>
      </c>
      <c r="Q1864">
        <v>33</v>
      </c>
      <c r="R1864">
        <v>42</v>
      </c>
      <c r="S1864">
        <v>2</v>
      </c>
      <c r="T1864">
        <v>5</v>
      </c>
      <c r="U1864">
        <v>32</v>
      </c>
      <c r="V1864">
        <v>5</v>
      </c>
      <c r="W1864">
        <v>3</v>
      </c>
      <c r="X1864">
        <v>6</v>
      </c>
      <c r="Y1864">
        <v>196</v>
      </c>
      <c r="Z1864">
        <v>4</v>
      </c>
      <c r="AA1864">
        <v>0</v>
      </c>
      <c r="AB1864">
        <v>11</v>
      </c>
      <c r="AC1864">
        <v>0</v>
      </c>
      <c r="AD1864">
        <v>0</v>
      </c>
      <c r="AE1864">
        <v>0</v>
      </c>
      <c r="AF1864">
        <v>0</v>
      </c>
      <c r="AK1864">
        <v>8</v>
      </c>
      <c r="AL1864">
        <v>6</v>
      </c>
      <c r="AM1864">
        <v>0</v>
      </c>
      <c r="AN1864">
        <v>0</v>
      </c>
      <c r="AT1864">
        <v>0</v>
      </c>
      <c r="AU1864">
        <v>11</v>
      </c>
      <c r="AV1864">
        <v>364</v>
      </c>
      <c r="AW1864">
        <v>364</v>
      </c>
      <c r="AX1864">
        <v>641</v>
      </c>
      <c r="BA1864">
        <v>1</v>
      </c>
      <c r="BC1864" t="s">
        <v>3826</v>
      </c>
      <c r="BD1864" s="4">
        <v>43282.918900462966</v>
      </c>
      <c r="BE1864" s="4">
        <v>43282.925937499997</v>
      </c>
      <c r="BF1864" s="4">
        <v>43282.925937499997</v>
      </c>
      <c r="BG1864" t="s">
        <v>373</v>
      </c>
      <c r="BH1864" t="s">
        <v>374</v>
      </c>
      <c r="BI1864" t="s">
        <v>85</v>
      </c>
    </row>
    <row r="1865" spans="1:61" x14ac:dyDescent="0.3">
      <c r="A1865" t="str">
        <f>"200893C0300"</f>
        <v>200893C0300</v>
      </c>
      <c r="B1865" t="s">
        <v>3827</v>
      </c>
      <c r="C1865">
        <v>20</v>
      </c>
      <c r="D1865" t="s">
        <v>79</v>
      </c>
      <c r="E1865">
        <v>9</v>
      </c>
      <c r="F1865" t="s">
        <v>3733</v>
      </c>
      <c r="G1865">
        <v>893</v>
      </c>
      <c r="H1865">
        <v>3</v>
      </c>
      <c r="I1865" t="s">
        <v>89</v>
      </c>
      <c r="J1865">
        <v>0</v>
      </c>
      <c r="K1865">
        <v>1</v>
      </c>
      <c r="L1865">
        <v>2</v>
      </c>
      <c r="M1865">
        <v>327</v>
      </c>
      <c r="N1865">
        <v>336</v>
      </c>
      <c r="O1865">
        <v>0</v>
      </c>
      <c r="P1865">
        <v>336</v>
      </c>
      <c r="Q1865">
        <v>21</v>
      </c>
      <c r="R1865">
        <v>46</v>
      </c>
      <c r="S1865">
        <v>3</v>
      </c>
      <c r="T1865">
        <v>10</v>
      </c>
      <c r="U1865">
        <v>23</v>
      </c>
      <c r="V1865">
        <v>8</v>
      </c>
      <c r="W1865">
        <v>6</v>
      </c>
      <c r="X1865">
        <v>6</v>
      </c>
      <c r="Y1865">
        <v>176</v>
      </c>
      <c r="Z1865">
        <v>5</v>
      </c>
      <c r="AA1865">
        <v>1</v>
      </c>
      <c r="AB1865">
        <v>9</v>
      </c>
      <c r="AC1865">
        <v>0</v>
      </c>
      <c r="AD1865">
        <v>0</v>
      </c>
      <c r="AE1865">
        <v>0</v>
      </c>
      <c r="AF1865">
        <v>0</v>
      </c>
      <c r="AK1865">
        <v>6</v>
      </c>
      <c r="AL1865">
        <v>3</v>
      </c>
      <c r="AM1865">
        <v>0</v>
      </c>
      <c r="AN1865">
        <v>1</v>
      </c>
      <c r="AT1865">
        <v>0</v>
      </c>
      <c r="AU1865">
        <v>12</v>
      </c>
      <c r="AV1865">
        <v>336</v>
      </c>
      <c r="AW1865">
        <v>336</v>
      </c>
      <c r="AX1865">
        <v>641</v>
      </c>
      <c r="BA1865">
        <v>1</v>
      </c>
      <c r="BC1865" t="s">
        <v>3828</v>
      </c>
      <c r="BD1865" s="4">
        <v>43282.901180555556</v>
      </c>
      <c r="BE1865" s="4">
        <v>43282.9059375</v>
      </c>
      <c r="BF1865" s="4">
        <v>43282.9059375</v>
      </c>
      <c r="BG1865" t="s">
        <v>373</v>
      </c>
      <c r="BH1865" t="s">
        <v>374</v>
      </c>
      <c r="BI1865" t="s">
        <v>85</v>
      </c>
    </row>
    <row r="1866" spans="1:61" x14ac:dyDescent="0.3">
      <c r="A1866" t="str">
        <f>"200914B0100"</f>
        <v>200914B0100</v>
      </c>
      <c r="B1866" t="s">
        <v>3829</v>
      </c>
      <c r="C1866">
        <v>20</v>
      </c>
      <c r="D1866" t="s">
        <v>79</v>
      </c>
      <c r="E1866">
        <v>9</v>
      </c>
      <c r="F1866" t="s">
        <v>3733</v>
      </c>
      <c r="G1866">
        <v>914</v>
      </c>
      <c r="H1866">
        <v>1</v>
      </c>
      <c r="I1866" t="s">
        <v>81</v>
      </c>
      <c r="J1866">
        <v>0</v>
      </c>
      <c r="K1866">
        <v>2</v>
      </c>
      <c r="L1866">
        <v>2</v>
      </c>
      <c r="M1866">
        <v>266</v>
      </c>
      <c r="N1866">
        <v>361</v>
      </c>
      <c r="O1866">
        <v>0</v>
      </c>
      <c r="P1866">
        <v>361</v>
      </c>
      <c r="Q1866">
        <v>11</v>
      </c>
      <c r="R1866">
        <v>31</v>
      </c>
      <c r="S1866">
        <v>8</v>
      </c>
      <c r="T1866">
        <v>0</v>
      </c>
      <c r="U1866">
        <v>15</v>
      </c>
      <c r="V1866">
        <v>0</v>
      </c>
      <c r="W1866">
        <v>3</v>
      </c>
      <c r="X1866">
        <v>5</v>
      </c>
      <c r="Y1866">
        <v>269</v>
      </c>
      <c r="Z1866">
        <v>2</v>
      </c>
      <c r="AA1866">
        <v>0</v>
      </c>
      <c r="AB1866">
        <v>0</v>
      </c>
      <c r="AC1866">
        <v>1</v>
      </c>
      <c r="AD1866">
        <v>0</v>
      </c>
      <c r="AE1866">
        <v>0</v>
      </c>
      <c r="AF1866">
        <v>0</v>
      </c>
      <c r="AK1866">
        <v>4</v>
      </c>
      <c r="AL1866">
        <v>2</v>
      </c>
      <c r="AM1866">
        <v>1</v>
      </c>
      <c r="AN1866">
        <v>0</v>
      </c>
      <c r="AT1866">
        <v>0</v>
      </c>
      <c r="AU1866">
        <v>9</v>
      </c>
      <c r="AV1866">
        <v>361</v>
      </c>
      <c r="AW1866">
        <v>361</v>
      </c>
      <c r="AX1866">
        <v>605</v>
      </c>
      <c r="BA1866">
        <v>1</v>
      </c>
      <c r="BC1866" t="s">
        <v>3830</v>
      </c>
      <c r="BD1866" s="4">
        <v>43283.337500000001</v>
      </c>
      <c r="BE1866" s="4">
        <v>43283.354525462964</v>
      </c>
      <c r="BF1866" s="4">
        <v>43283.354525462964</v>
      </c>
      <c r="BG1866" t="s">
        <v>83</v>
      </c>
      <c r="BH1866" t="s">
        <v>84</v>
      </c>
      <c r="BI1866" t="s">
        <v>85</v>
      </c>
    </row>
    <row r="1867" spans="1:61" x14ac:dyDescent="0.3">
      <c r="A1867" t="str">
        <f>"200914C0100"</f>
        <v>200914C0100</v>
      </c>
      <c r="B1867" t="s">
        <v>3831</v>
      </c>
      <c r="C1867">
        <v>20</v>
      </c>
      <c r="D1867" t="s">
        <v>79</v>
      </c>
      <c r="E1867">
        <v>9</v>
      </c>
      <c r="F1867" t="s">
        <v>3733</v>
      </c>
      <c r="G1867">
        <v>914</v>
      </c>
      <c r="H1867">
        <v>1</v>
      </c>
      <c r="I1867" t="s">
        <v>89</v>
      </c>
      <c r="J1867">
        <v>0</v>
      </c>
      <c r="K1867">
        <v>2</v>
      </c>
      <c r="L1867">
        <v>2</v>
      </c>
      <c r="M1867">
        <v>281</v>
      </c>
      <c r="N1867">
        <v>345</v>
      </c>
      <c r="O1867">
        <v>0</v>
      </c>
      <c r="P1867">
        <v>344</v>
      </c>
      <c r="Q1867">
        <v>10</v>
      </c>
      <c r="R1867">
        <v>24</v>
      </c>
      <c r="S1867">
        <v>4</v>
      </c>
      <c r="T1867">
        <v>3</v>
      </c>
      <c r="U1867">
        <v>10</v>
      </c>
      <c r="V1867">
        <v>6</v>
      </c>
      <c r="W1867">
        <v>1</v>
      </c>
      <c r="X1867">
        <v>1</v>
      </c>
      <c r="Y1867">
        <v>244</v>
      </c>
      <c r="Z1867">
        <v>9</v>
      </c>
      <c r="AA1867">
        <v>1</v>
      </c>
      <c r="AB1867">
        <v>2</v>
      </c>
      <c r="AC1867">
        <v>1</v>
      </c>
      <c r="AD1867">
        <v>0</v>
      </c>
      <c r="AE1867">
        <v>0</v>
      </c>
      <c r="AF1867">
        <v>0</v>
      </c>
      <c r="AK1867">
        <v>7</v>
      </c>
      <c r="AL1867">
        <v>2</v>
      </c>
      <c r="AM1867">
        <v>0</v>
      </c>
      <c r="AN1867">
        <v>1</v>
      </c>
      <c r="AT1867">
        <v>0</v>
      </c>
      <c r="AU1867">
        <v>18</v>
      </c>
      <c r="AV1867">
        <v>344</v>
      </c>
      <c r="AW1867">
        <v>344</v>
      </c>
      <c r="AX1867">
        <v>604</v>
      </c>
      <c r="BA1867">
        <v>1</v>
      </c>
      <c r="BC1867" t="s">
        <v>3832</v>
      </c>
      <c r="BD1867" s="4">
        <v>43283.334027777775</v>
      </c>
      <c r="BE1867" s="4">
        <v>43283.352939814817</v>
      </c>
      <c r="BF1867" s="4">
        <v>43283.352939814817</v>
      </c>
      <c r="BG1867" t="s">
        <v>83</v>
      </c>
      <c r="BH1867" t="s">
        <v>84</v>
      </c>
      <c r="BI1867" t="s">
        <v>85</v>
      </c>
    </row>
    <row r="1868" spans="1:61" x14ac:dyDescent="0.3">
      <c r="A1868" t="str">
        <f>"200914E0100"</f>
        <v>200914E0100</v>
      </c>
      <c r="B1868" s="2" t="s">
        <v>3833</v>
      </c>
      <c r="C1868">
        <v>20</v>
      </c>
      <c r="D1868" t="s">
        <v>79</v>
      </c>
      <c r="E1868">
        <v>9</v>
      </c>
      <c r="F1868" t="s">
        <v>3733</v>
      </c>
      <c r="G1868">
        <v>914</v>
      </c>
      <c r="H1868">
        <v>1</v>
      </c>
      <c r="I1868" t="s">
        <v>145</v>
      </c>
      <c r="J1868">
        <v>0</v>
      </c>
      <c r="K1868">
        <v>2</v>
      </c>
      <c r="L1868">
        <v>2</v>
      </c>
      <c r="M1868">
        <v>113</v>
      </c>
      <c r="N1868">
        <v>173</v>
      </c>
      <c r="O1868" t="s">
        <v>100</v>
      </c>
      <c r="P1868">
        <v>173</v>
      </c>
      <c r="Q1868">
        <v>4</v>
      </c>
      <c r="R1868">
        <v>52</v>
      </c>
      <c r="S1868">
        <v>2</v>
      </c>
      <c r="T1868">
        <v>1</v>
      </c>
      <c r="U1868">
        <v>3</v>
      </c>
      <c r="V1868">
        <v>1</v>
      </c>
      <c r="W1868">
        <v>0</v>
      </c>
      <c r="X1868">
        <v>0</v>
      </c>
      <c r="Y1868">
        <v>98</v>
      </c>
      <c r="Z1868" t="s">
        <v>100</v>
      </c>
      <c r="AA1868" t="s">
        <v>100</v>
      </c>
      <c r="AB1868">
        <v>2</v>
      </c>
      <c r="AC1868" t="s">
        <v>100</v>
      </c>
      <c r="AD1868" t="s">
        <v>100</v>
      </c>
      <c r="AE1868" t="s">
        <v>100</v>
      </c>
      <c r="AF1868" t="s">
        <v>100</v>
      </c>
      <c r="AK1868" t="s">
        <v>100</v>
      </c>
      <c r="AL1868" t="s">
        <v>100</v>
      </c>
      <c r="AM1868" t="s">
        <v>100</v>
      </c>
      <c r="AN1868">
        <v>1</v>
      </c>
      <c r="AT1868" t="s">
        <v>100</v>
      </c>
      <c r="AU1868">
        <v>9</v>
      </c>
      <c r="AV1868">
        <v>173</v>
      </c>
      <c r="AW1868">
        <v>173</v>
      </c>
      <c r="AX1868">
        <v>265</v>
      </c>
      <c r="AZ1868" t="s">
        <v>101</v>
      </c>
      <c r="BA1868">
        <v>1</v>
      </c>
      <c r="BC1868" t="s">
        <v>3834</v>
      </c>
      <c r="BD1868" s="4">
        <v>43283.259027777778</v>
      </c>
      <c r="BE1868" s="4">
        <v>43283.28534722222</v>
      </c>
      <c r="BF1868" s="4">
        <v>43283.28534722222</v>
      </c>
      <c r="BG1868" t="s">
        <v>83</v>
      </c>
      <c r="BH1868" t="s">
        <v>84</v>
      </c>
      <c r="BI1868" t="s">
        <v>85</v>
      </c>
    </row>
    <row r="1869" spans="1:61" x14ac:dyDescent="0.3">
      <c r="A1869" t="str">
        <f>"200914S0100"</f>
        <v>200914S0100</v>
      </c>
      <c r="B1869" t="s">
        <v>3835</v>
      </c>
      <c r="C1869">
        <v>20</v>
      </c>
      <c r="D1869" t="s">
        <v>79</v>
      </c>
      <c r="E1869">
        <v>9</v>
      </c>
      <c r="F1869" t="s">
        <v>3733</v>
      </c>
      <c r="G1869">
        <v>914</v>
      </c>
      <c r="H1869">
        <v>1</v>
      </c>
      <c r="I1869" t="s">
        <v>104</v>
      </c>
      <c r="J1869">
        <v>0</v>
      </c>
      <c r="K1869">
        <v>2</v>
      </c>
      <c r="L1869">
        <v>3</v>
      </c>
      <c r="M1869">
        <v>558</v>
      </c>
      <c r="N1869">
        <v>214</v>
      </c>
      <c r="O1869">
        <v>0</v>
      </c>
      <c r="P1869">
        <v>214</v>
      </c>
      <c r="Q1869">
        <v>4</v>
      </c>
      <c r="R1869">
        <v>15</v>
      </c>
      <c r="S1869">
        <v>6</v>
      </c>
      <c r="T1869">
        <v>2</v>
      </c>
      <c r="U1869">
        <v>6</v>
      </c>
      <c r="V1869">
        <v>2</v>
      </c>
      <c r="W1869">
        <v>1</v>
      </c>
      <c r="X1869">
        <v>0</v>
      </c>
      <c r="Y1869">
        <v>160</v>
      </c>
      <c r="Z1869">
        <v>2</v>
      </c>
      <c r="AA1869">
        <v>0</v>
      </c>
      <c r="AB1869">
        <v>3</v>
      </c>
      <c r="AC1869">
        <v>0</v>
      </c>
      <c r="AD1869">
        <v>0</v>
      </c>
      <c r="AE1869">
        <v>0</v>
      </c>
      <c r="AF1869">
        <v>0</v>
      </c>
      <c r="AK1869">
        <v>4</v>
      </c>
      <c r="AL1869">
        <v>0</v>
      </c>
      <c r="AM1869">
        <v>0</v>
      </c>
      <c r="AN1869">
        <v>1</v>
      </c>
      <c r="AT1869">
        <v>0</v>
      </c>
      <c r="AU1869">
        <v>8</v>
      </c>
      <c r="AV1869">
        <v>214</v>
      </c>
      <c r="AW1869">
        <v>214</v>
      </c>
      <c r="AX1869">
        <v>0</v>
      </c>
      <c r="BA1869">
        <v>1</v>
      </c>
      <c r="BC1869" s="2" t="s">
        <v>3836</v>
      </c>
      <c r="BD1869" s="4">
        <v>43283.481944444444</v>
      </c>
      <c r="BE1869" s="4">
        <v>43283.485706018517</v>
      </c>
      <c r="BF1869" s="4">
        <v>43283.485706018517</v>
      </c>
      <c r="BG1869" t="s">
        <v>83</v>
      </c>
      <c r="BH1869" t="s">
        <v>84</v>
      </c>
      <c r="BI1869" t="s">
        <v>85</v>
      </c>
    </row>
    <row r="1870" spans="1:61" x14ac:dyDescent="0.3">
      <c r="A1870" t="str">
        <f>"200915B0100"</f>
        <v>200915B0100</v>
      </c>
      <c r="B1870" t="s">
        <v>3837</v>
      </c>
      <c r="C1870">
        <v>20</v>
      </c>
      <c r="D1870" t="s">
        <v>79</v>
      </c>
      <c r="E1870">
        <v>9</v>
      </c>
      <c r="F1870" t="s">
        <v>3733</v>
      </c>
      <c r="G1870">
        <v>915</v>
      </c>
      <c r="H1870">
        <v>1</v>
      </c>
      <c r="I1870" t="s">
        <v>81</v>
      </c>
      <c r="J1870">
        <v>0</v>
      </c>
      <c r="K1870">
        <v>2</v>
      </c>
      <c r="L1870">
        <v>2</v>
      </c>
      <c r="M1870">
        <v>267</v>
      </c>
      <c r="N1870">
        <v>149</v>
      </c>
      <c r="O1870">
        <v>1</v>
      </c>
      <c r="P1870">
        <v>149</v>
      </c>
      <c r="Q1870">
        <v>6</v>
      </c>
      <c r="R1870">
        <v>20</v>
      </c>
      <c r="S1870">
        <v>1</v>
      </c>
      <c r="T1870">
        <v>1</v>
      </c>
      <c r="U1870">
        <v>9</v>
      </c>
      <c r="V1870">
        <v>2</v>
      </c>
      <c r="W1870">
        <v>2</v>
      </c>
      <c r="X1870">
        <v>3</v>
      </c>
      <c r="Y1870">
        <v>69</v>
      </c>
      <c r="Z1870">
        <v>2</v>
      </c>
      <c r="AA1870">
        <v>0</v>
      </c>
      <c r="AB1870">
        <v>23</v>
      </c>
      <c r="AC1870">
        <v>0</v>
      </c>
      <c r="AD1870">
        <v>1</v>
      </c>
      <c r="AE1870">
        <v>0</v>
      </c>
      <c r="AF1870">
        <v>0</v>
      </c>
      <c r="AK1870">
        <v>0</v>
      </c>
      <c r="AL1870">
        <v>1</v>
      </c>
      <c r="AM1870">
        <v>0</v>
      </c>
      <c r="AN1870">
        <v>0</v>
      </c>
      <c r="AT1870">
        <v>0</v>
      </c>
      <c r="AU1870">
        <v>9</v>
      </c>
      <c r="AV1870">
        <v>449</v>
      </c>
      <c r="AW1870">
        <v>149</v>
      </c>
      <c r="AX1870">
        <v>394</v>
      </c>
      <c r="BA1870">
        <v>1</v>
      </c>
      <c r="BC1870" t="s">
        <v>3838</v>
      </c>
      <c r="BD1870" s="4">
        <v>43283.367361111108</v>
      </c>
      <c r="BE1870" s="4">
        <v>43283.376307870371</v>
      </c>
      <c r="BF1870" s="4">
        <v>43283.376307870371</v>
      </c>
      <c r="BG1870" t="s">
        <v>83</v>
      </c>
      <c r="BH1870" t="s">
        <v>84</v>
      </c>
      <c r="BI1870" t="s">
        <v>85</v>
      </c>
    </row>
    <row r="1871" spans="1:61" x14ac:dyDescent="0.3">
      <c r="A1871" t="str">
        <f>"200915E0100"</f>
        <v>200915E0100</v>
      </c>
      <c r="B1871" s="2" t="s">
        <v>3839</v>
      </c>
      <c r="C1871">
        <v>20</v>
      </c>
      <c r="D1871" t="s">
        <v>79</v>
      </c>
      <c r="E1871">
        <v>9</v>
      </c>
      <c r="F1871" t="s">
        <v>3733</v>
      </c>
      <c r="G1871">
        <v>915</v>
      </c>
      <c r="H1871">
        <v>1</v>
      </c>
      <c r="I1871" t="s">
        <v>145</v>
      </c>
      <c r="J1871">
        <v>0</v>
      </c>
      <c r="K1871">
        <v>2</v>
      </c>
      <c r="L1871">
        <v>2</v>
      </c>
      <c r="M1871" t="s">
        <v>100</v>
      </c>
      <c r="N1871" t="s">
        <v>100</v>
      </c>
      <c r="O1871" t="s">
        <v>100</v>
      </c>
      <c r="P1871" t="s">
        <v>100</v>
      </c>
      <c r="Q1871">
        <v>1</v>
      </c>
      <c r="R1871">
        <v>27</v>
      </c>
      <c r="S1871">
        <v>1</v>
      </c>
      <c r="T1871">
        <v>0</v>
      </c>
      <c r="U1871">
        <v>5</v>
      </c>
      <c r="V1871">
        <v>0</v>
      </c>
      <c r="W1871">
        <v>0</v>
      </c>
      <c r="X1871">
        <v>0</v>
      </c>
      <c r="Y1871">
        <v>48</v>
      </c>
      <c r="Z1871">
        <v>4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K1871">
        <v>2</v>
      </c>
      <c r="AL1871">
        <v>1</v>
      </c>
      <c r="AM1871">
        <v>0</v>
      </c>
      <c r="AN1871">
        <v>0</v>
      </c>
      <c r="AT1871">
        <v>0</v>
      </c>
      <c r="AU1871">
        <v>5</v>
      </c>
      <c r="AV1871">
        <v>94</v>
      </c>
      <c r="AW1871">
        <v>94</v>
      </c>
      <c r="AX1871">
        <v>348</v>
      </c>
      <c r="BA1871">
        <v>1</v>
      </c>
      <c r="BC1871" t="s">
        <v>3840</v>
      </c>
      <c r="BD1871" s="4">
        <v>43283.365972222222</v>
      </c>
      <c r="BE1871" s="4">
        <v>43283.375752314816</v>
      </c>
      <c r="BF1871" s="4">
        <v>43283.375752314816</v>
      </c>
      <c r="BG1871" t="s">
        <v>83</v>
      </c>
      <c r="BH1871" t="s">
        <v>84</v>
      </c>
      <c r="BI1871" t="s">
        <v>85</v>
      </c>
    </row>
    <row r="1872" spans="1:61" x14ac:dyDescent="0.3">
      <c r="A1872" t="str">
        <f>"200916B0100"</f>
        <v>200916B0100</v>
      </c>
      <c r="B1872" t="s">
        <v>3841</v>
      </c>
      <c r="C1872">
        <v>20</v>
      </c>
      <c r="D1872" t="s">
        <v>79</v>
      </c>
      <c r="E1872">
        <v>9</v>
      </c>
      <c r="F1872" t="s">
        <v>3733</v>
      </c>
      <c r="G1872">
        <v>916</v>
      </c>
      <c r="H1872">
        <v>1</v>
      </c>
      <c r="I1872" t="s">
        <v>81</v>
      </c>
      <c r="J1872">
        <v>0</v>
      </c>
      <c r="K1872">
        <v>2</v>
      </c>
      <c r="L1872">
        <v>2</v>
      </c>
      <c r="M1872">
        <v>170</v>
      </c>
      <c r="N1872">
        <v>236</v>
      </c>
      <c r="O1872">
        <v>0</v>
      </c>
      <c r="P1872">
        <v>236</v>
      </c>
      <c r="Q1872">
        <v>3</v>
      </c>
      <c r="R1872">
        <v>11</v>
      </c>
      <c r="S1872">
        <v>2</v>
      </c>
      <c r="T1872">
        <v>2</v>
      </c>
      <c r="U1872">
        <v>4</v>
      </c>
      <c r="V1872">
        <v>3</v>
      </c>
      <c r="W1872">
        <v>3</v>
      </c>
      <c r="X1872">
        <v>1</v>
      </c>
      <c r="Y1872">
        <v>183</v>
      </c>
      <c r="Z1872">
        <v>2</v>
      </c>
      <c r="AA1872">
        <v>0</v>
      </c>
      <c r="AB1872">
        <v>3</v>
      </c>
      <c r="AC1872">
        <v>1</v>
      </c>
      <c r="AD1872">
        <v>0</v>
      </c>
      <c r="AE1872">
        <v>0</v>
      </c>
      <c r="AF1872">
        <v>0</v>
      </c>
      <c r="AK1872">
        <v>0</v>
      </c>
      <c r="AL1872">
        <v>0</v>
      </c>
      <c r="AM1872">
        <v>0</v>
      </c>
      <c r="AN1872">
        <v>0</v>
      </c>
      <c r="AT1872">
        <v>0</v>
      </c>
      <c r="AU1872">
        <v>18</v>
      </c>
      <c r="AV1872">
        <v>236</v>
      </c>
      <c r="AW1872">
        <v>236</v>
      </c>
      <c r="AX1872">
        <v>384</v>
      </c>
      <c r="BA1872">
        <v>1</v>
      </c>
      <c r="BC1872" t="s">
        <v>3842</v>
      </c>
      <c r="BD1872" s="4">
        <v>43283.345138888886</v>
      </c>
      <c r="BE1872" s="4">
        <v>43283.359305555554</v>
      </c>
      <c r="BF1872" s="4">
        <v>43283.359305555554</v>
      </c>
      <c r="BG1872" t="s">
        <v>83</v>
      </c>
      <c r="BH1872" t="s">
        <v>84</v>
      </c>
      <c r="BI1872" t="s">
        <v>85</v>
      </c>
    </row>
    <row r="1873" spans="1:61" x14ac:dyDescent="0.3">
      <c r="A1873" t="str">
        <f>"200979B0100"</f>
        <v>200979B0100</v>
      </c>
      <c r="B1873" t="s">
        <v>3843</v>
      </c>
      <c r="C1873">
        <v>20</v>
      </c>
      <c r="D1873" t="s">
        <v>79</v>
      </c>
      <c r="E1873">
        <v>9</v>
      </c>
      <c r="F1873" t="s">
        <v>3733</v>
      </c>
      <c r="G1873">
        <v>979</v>
      </c>
      <c r="H1873">
        <v>1</v>
      </c>
      <c r="I1873" t="s">
        <v>81</v>
      </c>
      <c r="J1873">
        <v>0</v>
      </c>
      <c r="K1873">
        <v>1</v>
      </c>
      <c r="L1873">
        <v>2</v>
      </c>
      <c r="M1873">
        <v>232</v>
      </c>
      <c r="N1873">
        <v>352</v>
      </c>
      <c r="O1873">
        <v>0</v>
      </c>
      <c r="P1873">
        <v>352</v>
      </c>
      <c r="Q1873">
        <v>75</v>
      </c>
      <c r="R1873">
        <v>52</v>
      </c>
      <c r="S1873">
        <v>10</v>
      </c>
      <c r="T1873">
        <v>7</v>
      </c>
      <c r="U1873">
        <v>15</v>
      </c>
      <c r="V1873">
        <v>4</v>
      </c>
      <c r="W1873">
        <v>11</v>
      </c>
      <c r="X1873">
        <v>4</v>
      </c>
      <c r="Y1873">
        <v>100</v>
      </c>
      <c r="Z1873">
        <v>4</v>
      </c>
      <c r="AA1873">
        <v>45</v>
      </c>
      <c r="AB1873">
        <v>3</v>
      </c>
      <c r="AC1873">
        <v>1</v>
      </c>
      <c r="AD1873">
        <v>0</v>
      </c>
      <c r="AE1873">
        <v>0</v>
      </c>
      <c r="AF1873">
        <v>0</v>
      </c>
      <c r="AK1873">
        <v>1</v>
      </c>
      <c r="AL1873">
        <v>3</v>
      </c>
      <c r="AM1873">
        <v>0</v>
      </c>
      <c r="AN1873">
        <v>0</v>
      </c>
      <c r="AT1873">
        <v>17</v>
      </c>
      <c r="AU1873">
        <v>0</v>
      </c>
      <c r="AV1873">
        <v>352</v>
      </c>
      <c r="AW1873">
        <v>352</v>
      </c>
      <c r="AX1873">
        <v>562</v>
      </c>
      <c r="BA1873">
        <v>1</v>
      </c>
      <c r="BC1873" t="s">
        <v>3844</v>
      </c>
      <c r="BD1873" s="4">
        <v>43283.213888888888</v>
      </c>
      <c r="BE1873" s="4">
        <v>43283.237025462964</v>
      </c>
      <c r="BF1873" s="4">
        <v>43283.237025462964</v>
      </c>
      <c r="BG1873" t="s">
        <v>83</v>
      </c>
      <c r="BH1873" t="s">
        <v>84</v>
      </c>
      <c r="BI1873" t="s">
        <v>85</v>
      </c>
    </row>
    <row r="1874" spans="1:61" x14ac:dyDescent="0.3">
      <c r="A1874" t="str">
        <f>"200980B0100"</f>
        <v>200980B0100</v>
      </c>
      <c r="B1874" t="s">
        <v>3845</v>
      </c>
      <c r="C1874">
        <v>20</v>
      </c>
      <c r="D1874" t="s">
        <v>79</v>
      </c>
      <c r="E1874">
        <v>9</v>
      </c>
      <c r="F1874" t="s">
        <v>3733</v>
      </c>
      <c r="G1874">
        <v>980</v>
      </c>
      <c r="H1874">
        <v>1</v>
      </c>
      <c r="I1874" t="s">
        <v>81</v>
      </c>
      <c r="J1874">
        <v>0</v>
      </c>
      <c r="K1874">
        <v>2</v>
      </c>
      <c r="L1874">
        <v>2</v>
      </c>
      <c r="M1874" t="s">
        <v>100</v>
      </c>
      <c r="N1874" t="s">
        <v>100</v>
      </c>
      <c r="O1874" t="s">
        <v>100</v>
      </c>
      <c r="P1874" t="s">
        <v>100</v>
      </c>
      <c r="Q1874">
        <v>52</v>
      </c>
      <c r="R1874">
        <v>44</v>
      </c>
      <c r="S1874">
        <v>14</v>
      </c>
      <c r="T1874">
        <v>2</v>
      </c>
      <c r="U1874">
        <v>12</v>
      </c>
      <c r="V1874">
        <v>5</v>
      </c>
      <c r="W1874">
        <v>14</v>
      </c>
      <c r="X1874">
        <v>2</v>
      </c>
      <c r="Y1874">
        <v>104</v>
      </c>
      <c r="Z1874">
        <v>7</v>
      </c>
      <c r="AA1874">
        <v>42</v>
      </c>
      <c r="AB1874">
        <v>1</v>
      </c>
      <c r="AC1874">
        <v>0</v>
      </c>
      <c r="AD1874">
        <v>1</v>
      </c>
      <c r="AE1874">
        <v>0</v>
      </c>
      <c r="AF1874">
        <v>0</v>
      </c>
      <c r="AK1874">
        <v>2</v>
      </c>
      <c r="AL1874">
        <v>0</v>
      </c>
      <c r="AM1874">
        <v>0</v>
      </c>
      <c r="AN1874">
        <v>1</v>
      </c>
      <c r="AT1874">
        <v>0</v>
      </c>
      <c r="AU1874">
        <v>29</v>
      </c>
      <c r="AV1874">
        <v>332</v>
      </c>
      <c r="AW1874">
        <v>332</v>
      </c>
      <c r="AX1874">
        <v>553</v>
      </c>
      <c r="BA1874">
        <v>1</v>
      </c>
      <c r="BC1874" t="s">
        <v>3846</v>
      </c>
      <c r="BD1874" s="4">
        <v>43283.212500000001</v>
      </c>
      <c r="BE1874" s="4">
        <v>43283.233240740738</v>
      </c>
      <c r="BF1874" s="4">
        <v>43283.233240740738</v>
      </c>
      <c r="BG1874" t="s">
        <v>83</v>
      </c>
      <c r="BH1874" t="s">
        <v>84</v>
      </c>
      <c r="BI1874" t="s">
        <v>85</v>
      </c>
    </row>
    <row r="1875" spans="1:61" x14ac:dyDescent="0.3">
      <c r="A1875" t="str">
        <f>"200981B0100"</f>
        <v>200981B0100</v>
      </c>
      <c r="B1875" t="s">
        <v>3847</v>
      </c>
      <c r="C1875">
        <v>20</v>
      </c>
      <c r="D1875" t="s">
        <v>79</v>
      </c>
      <c r="E1875">
        <v>9</v>
      </c>
      <c r="F1875" t="s">
        <v>3733</v>
      </c>
      <c r="G1875">
        <v>981</v>
      </c>
      <c r="H1875">
        <v>1</v>
      </c>
      <c r="I1875" t="s">
        <v>81</v>
      </c>
      <c r="J1875">
        <v>0</v>
      </c>
      <c r="K1875">
        <v>2</v>
      </c>
      <c r="L1875">
        <v>2</v>
      </c>
      <c r="M1875">
        <v>438</v>
      </c>
      <c r="N1875">
        <v>203</v>
      </c>
      <c r="O1875">
        <v>0</v>
      </c>
      <c r="P1875">
        <v>203</v>
      </c>
      <c r="Q1875">
        <v>33</v>
      </c>
      <c r="R1875">
        <v>18</v>
      </c>
      <c r="S1875">
        <v>65</v>
      </c>
      <c r="T1875">
        <v>1</v>
      </c>
      <c r="U1875">
        <v>9</v>
      </c>
      <c r="V1875">
        <v>3</v>
      </c>
      <c r="W1875">
        <v>2</v>
      </c>
      <c r="X1875">
        <v>22</v>
      </c>
      <c r="Y1875">
        <v>34</v>
      </c>
      <c r="Z1875">
        <v>1</v>
      </c>
      <c r="AA1875">
        <v>0</v>
      </c>
      <c r="AB1875">
        <v>0</v>
      </c>
      <c r="AC1875">
        <v>0</v>
      </c>
      <c r="AD1875">
        <v>2</v>
      </c>
      <c r="AE1875">
        <v>0</v>
      </c>
      <c r="AF1875">
        <v>0</v>
      </c>
      <c r="AK1875">
        <v>0</v>
      </c>
      <c r="AL1875">
        <v>1</v>
      </c>
      <c r="AM1875">
        <v>0</v>
      </c>
      <c r="AN1875">
        <v>0</v>
      </c>
      <c r="AT1875">
        <v>0</v>
      </c>
      <c r="AU1875">
        <v>12</v>
      </c>
      <c r="AV1875">
        <v>203</v>
      </c>
      <c r="AW1875">
        <v>203</v>
      </c>
      <c r="AX1875">
        <v>619</v>
      </c>
      <c r="BA1875">
        <v>1</v>
      </c>
      <c r="BC1875" t="s">
        <v>3848</v>
      </c>
      <c r="BD1875" s="4">
        <v>43283.370138888888</v>
      </c>
      <c r="BE1875" s="4">
        <v>43283.379641203705</v>
      </c>
      <c r="BF1875" s="4">
        <v>43283.379641203705</v>
      </c>
      <c r="BG1875" t="s">
        <v>83</v>
      </c>
      <c r="BH1875" t="s">
        <v>84</v>
      </c>
      <c r="BI1875" t="s">
        <v>85</v>
      </c>
    </row>
    <row r="1876" spans="1:61" x14ac:dyDescent="0.3">
      <c r="A1876" t="str">
        <f>"200981C0100"</f>
        <v>200981C0100</v>
      </c>
      <c r="B1876" t="s">
        <v>3849</v>
      </c>
      <c r="C1876">
        <v>20</v>
      </c>
      <c r="D1876" t="s">
        <v>79</v>
      </c>
      <c r="E1876">
        <v>9</v>
      </c>
      <c r="F1876" t="s">
        <v>3733</v>
      </c>
      <c r="G1876">
        <v>981</v>
      </c>
      <c r="H1876">
        <v>1</v>
      </c>
      <c r="I1876" t="s">
        <v>89</v>
      </c>
      <c r="J1876">
        <v>0</v>
      </c>
      <c r="K1876">
        <v>2</v>
      </c>
      <c r="L1876">
        <v>2</v>
      </c>
      <c r="M1876">
        <v>403</v>
      </c>
      <c r="N1876">
        <v>640</v>
      </c>
      <c r="O1876">
        <v>0</v>
      </c>
      <c r="P1876">
        <v>237</v>
      </c>
      <c r="Q1876">
        <v>23</v>
      </c>
      <c r="R1876">
        <v>28</v>
      </c>
      <c r="S1876">
        <v>80</v>
      </c>
      <c r="T1876">
        <v>3</v>
      </c>
      <c r="U1876">
        <v>9</v>
      </c>
      <c r="V1876">
        <v>4</v>
      </c>
      <c r="W1876">
        <v>2</v>
      </c>
      <c r="X1876">
        <v>12</v>
      </c>
      <c r="Y1876">
        <v>48</v>
      </c>
      <c r="Z1876">
        <v>3</v>
      </c>
      <c r="AA1876">
        <v>1</v>
      </c>
      <c r="AB1876">
        <v>2</v>
      </c>
      <c r="AC1876">
        <v>3</v>
      </c>
      <c r="AD1876">
        <v>5</v>
      </c>
      <c r="AE1876">
        <v>1</v>
      </c>
      <c r="AF1876">
        <v>0</v>
      </c>
      <c r="AK1876">
        <v>1</v>
      </c>
      <c r="AL1876">
        <v>0</v>
      </c>
      <c r="AM1876">
        <v>0</v>
      </c>
      <c r="AN1876">
        <v>1</v>
      </c>
      <c r="AT1876">
        <v>0</v>
      </c>
      <c r="AU1876">
        <v>11</v>
      </c>
      <c r="AV1876">
        <v>237</v>
      </c>
      <c r="AW1876">
        <v>237</v>
      </c>
      <c r="AX1876">
        <v>618</v>
      </c>
      <c r="BA1876">
        <v>1</v>
      </c>
      <c r="BC1876" t="s">
        <v>3850</v>
      </c>
      <c r="BD1876" s="4">
        <v>43283.369444444441</v>
      </c>
      <c r="BE1876" s="4">
        <v>43283.377071759256</v>
      </c>
      <c r="BF1876" s="4">
        <v>43283.377071759256</v>
      </c>
      <c r="BG1876" t="s">
        <v>83</v>
      </c>
      <c r="BH1876" t="s">
        <v>84</v>
      </c>
      <c r="BI1876" t="s">
        <v>85</v>
      </c>
    </row>
    <row r="1877" spans="1:61" x14ac:dyDescent="0.3">
      <c r="A1877" t="str">
        <f>"200999B0100"</f>
        <v>200999B0100</v>
      </c>
      <c r="B1877" t="s">
        <v>3851</v>
      </c>
      <c r="C1877">
        <v>20</v>
      </c>
      <c r="D1877" t="s">
        <v>79</v>
      </c>
      <c r="E1877">
        <v>9</v>
      </c>
      <c r="F1877" t="s">
        <v>3733</v>
      </c>
      <c r="G1877">
        <v>999</v>
      </c>
      <c r="H1877">
        <v>1</v>
      </c>
      <c r="I1877" t="s">
        <v>81</v>
      </c>
      <c r="J1877">
        <v>0</v>
      </c>
      <c r="K1877">
        <v>1</v>
      </c>
      <c r="L1877">
        <v>2</v>
      </c>
      <c r="M1877">
        <v>205</v>
      </c>
      <c r="N1877">
        <v>210</v>
      </c>
      <c r="O1877">
        <v>0</v>
      </c>
      <c r="P1877">
        <v>210</v>
      </c>
      <c r="Q1877">
        <v>6</v>
      </c>
      <c r="R1877">
        <v>55</v>
      </c>
      <c r="S1877">
        <v>2</v>
      </c>
      <c r="T1877">
        <v>4</v>
      </c>
      <c r="U1877">
        <v>12</v>
      </c>
      <c r="V1877">
        <v>3</v>
      </c>
      <c r="W1877">
        <v>4</v>
      </c>
      <c r="X1877">
        <v>5</v>
      </c>
      <c r="Y1877">
        <v>103</v>
      </c>
      <c r="Z1877">
        <v>0</v>
      </c>
      <c r="AA1877">
        <v>2</v>
      </c>
      <c r="AB1877">
        <v>2</v>
      </c>
      <c r="AC1877">
        <v>0</v>
      </c>
      <c r="AD1877">
        <v>0</v>
      </c>
      <c r="AE1877">
        <v>0</v>
      </c>
      <c r="AF1877">
        <v>0</v>
      </c>
      <c r="AK1877">
        <v>3</v>
      </c>
      <c r="AL1877">
        <v>0</v>
      </c>
      <c r="AM1877">
        <v>0</v>
      </c>
      <c r="AN1877">
        <v>4</v>
      </c>
      <c r="AT1877">
        <v>0</v>
      </c>
      <c r="AU1877">
        <v>5</v>
      </c>
      <c r="AV1877">
        <v>210</v>
      </c>
      <c r="AW1877">
        <v>210</v>
      </c>
      <c r="AX1877">
        <v>393</v>
      </c>
      <c r="BA1877">
        <v>1</v>
      </c>
      <c r="BC1877" t="s">
        <v>3852</v>
      </c>
      <c r="BD1877" s="4">
        <v>43283.179861111108</v>
      </c>
      <c r="BE1877" s="4">
        <v>43283.196469907409</v>
      </c>
      <c r="BF1877" s="4">
        <v>43283.196469907409</v>
      </c>
      <c r="BG1877" t="s">
        <v>83</v>
      </c>
      <c r="BH1877" t="s">
        <v>84</v>
      </c>
      <c r="BI1877" t="s">
        <v>85</v>
      </c>
    </row>
    <row r="1878" spans="1:61" x14ac:dyDescent="0.3">
      <c r="A1878" t="str">
        <f>"200999C0100"</f>
        <v>200999C0100</v>
      </c>
      <c r="B1878" t="s">
        <v>3853</v>
      </c>
      <c r="C1878">
        <v>20</v>
      </c>
      <c r="D1878" t="s">
        <v>79</v>
      </c>
      <c r="E1878">
        <v>9</v>
      </c>
      <c r="F1878" t="s">
        <v>3733</v>
      </c>
      <c r="G1878">
        <v>999</v>
      </c>
      <c r="H1878">
        <v>1</v>
      </c>
      <c r="I1878" t="s">
        <v>89</v>
      </c>
      <c r="J1878">
        <v>0</v>
      </c>
      <c r="K1878">
        <v>1</v>
      </c>
      <c r="L1878">
        <v>2</v>
      </c>
      <c r="M1878">
        <v>220</v>
      </c>
      <c r="N1878">
        <v>195</v>
      </c>
      <c r="O1878">
        <v>0</v>
      </c>
      <c r="P1878">
        <v>195</v>
      </c>
      <c r="Q1878">
        <v>10</v>
      </c>
      <c r="R1878">
        <v>35</v>
      </c>
      <c r="S1878">
        <v>7</v>
      </c>
      <c r="T1878">
        <v>2</v>
      </c>
      <c r="U1878">
        <v>20</v>
      </c>
      <c r="V1878">
        <v>0</v>
      </c>
      <c r="W1878">
        <v>3</v>
      </c>
      <c r="X1878">
        <v>1</v>
      </c>
      <c r="Y1878">
        <v>101</v>
      </c>
      <c r="Z1878">
        <v>3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K1878">
        <v>6</v>
      </c>
      <c r="AL1878">
        <v>2</v>
      </c>
      <c r="AM1878">
        <v>0</v>
      </c>
      <c r="AN1878">
        <v>2</v>
      </c>
      <c r="AT1878">
        <v>0</v>
      </c>
      <c r="AU1878">
        <v>3</v>
      </c>
      <c r="AV1878">
        <v>195</v>
      </c>
      <c r="AW1878">
        <v>195</v>
      </c>
      <c r="AX1878">
        <v>393</v>
      </c>
      <c r="BA1878">
        <v>1</v>
      </c>
      <c r="BC1878" t="s">
        <v>3854</v>
      </c>
      <c r="BD1878" s="4">
        <v>43283.181250000001</v>
      </c>
      <c r="BE1878" s="4">
        <v>43283.19902777778</v>
      </c>
      <c r="BF1878" s="4">
        <v>43283.19902777778</v>
      </c>
      <c r="BG1878" t="s">
        <v>83</v>
      </c>
      <c r="BH1878" t="s">
        <v>84</v>
      </c>
      <c r="BI1878" t="s">
        <v>85</v>
      </c>
    </row>
    <row r="1879" spans="1:61" x14ac:dyDescent="0.3">
      <c r="A1879" t="str">
        <f>"201000B0100"</f>
        <v>201000B0100</v>
      </c>
      <c r="B1879" t="s">
        <v>3855</v>
      </c>
      <c r="C1879">
        <v>20</v>
      </c>
      <c r="D1879" t="s">
        <v>79</v>
      </c>
      <c r="E1879">
        <v>9</v>
      </c>
      <c r="F1879" t="s">
        <v>3733</v>
      </c>
      <c r="G1879">
        <v>1000</v>
      </c>
      <c r="H1879">
        <v>1</v>
      </c>
      <c r="I1879" t="s">
        <v>81</v>
      </c>
      <c r="J1879">
        <v>0</v>
      </c>
      <c r="K1879">
        <v>2</v>
      </c>
      <c r="L1879">
        <v>2</v>
      </c>
      <c r="M1879">
        <v>167</v>
      </c>
      <c r="N1879">
        <v>272</v>
      </c>
      <c r="O1879">
        <v>0</v>
      </c>
      <c r="P1879">
        <v>272</v>
      </c>
      <c r="Q1879">
        <v>17</v>
      </c>
      <c r="R1879">
        <v>41</v>
      </c>
      <c r="S1879">
        <v>8</v>
      </c>
      <c r="T1879">
        <v>4</v>
      </c>
      <c r="U1879">
        <v>13</v>
      </c>
      <c r="V1879">
        <v>9</v>
      </c>
      <c r="W1879">
        <v>6</v>
      </c>
      <c r="X1879">
        <v>2</v>
      </c>
      <c r="Y1879">
        <v>147</v>
      </c>
      <c r="Z1879">
        <v>3</v>
      </c>
      <c r="AA1879">
        <v>1</v>
      </c>
      <c r="AB1879">
        <v>7</v>
      </c>
      <c r="AC1879">
        <v>0</v>
      </c>
      <c r="AD1879">
        <v>0</v>
      </c>
      <c r="AE1879">
        <v>0</v>
      </c>
      <c r="AF1879">
        <v>0</v>
      </c>
      <c r="AK1879">
        <v>4</v>
      </c>
      <c r="AL1879">
        <v>1</v>
      </c>
      <c r="AM1879">
        <v>0</v>
      </c>
      <c r="AN1879">
        <v>1</v>
      </c>
      <c r="AT1879">
        <v>0</v>
      </c>
      <c r="AU1879">
        <v>7</v>
      </c>
      <c r="AV1879">
        <v>272</v>
      </c>
      <c r="AW1879">
        <v>271</v>
      </c>
      <c r="AX1879">
        <v>417</v>
      </c>
      <c r="BA1879">
        <v>1</v>
      </c>
      <c r="BC1879" t="s">
        <v>3856</v>
      </c>
      <c r="BD1879" s="4">
        <v>43283.174305555556</v>
      </c>
      <c r="BE1879" s="4">
        <v>43283.191689814812</v>
      </c>
      <c r="BF1879" s="4">
        <v>43283.191689814812</v>
      </c>
      <c r="BG1879" t="s">
        <v>83</v>
      </c>
      <c r="BH1879" t="s">
        <v>84</v>
      </c>
      <c r="BI1879" t="s">
        <v>85</v>
      </c>
    </row>
    <row r="1880" spans="1:61" x14ac:dyDescent="0.3">
      <c r="A1880" t="str">
        <f>"201000C0100"</f>
        <v>201000C0100</v>
      </c>
      <c r="B1880" t="s">
        <v>3857</v>
      </c>
      <c r="C1880">
        <v>20</v>
      </c>
      <c r="D1880" t="s">
        <v>79</v>
      </c>
      <c r="E1880">
        <v>9</v>
      </c>
      <c r="F1880" t="s">
        <v>3733</v>
      </c>
      <c r="G1880">
        <v>1000</v>
      </c>
      <c r="H1880">
        <v>1</v>
      </c>
      <c r="I1880" t="s">
        <v>89</v>
      </c>
      <c r="J1880">
        <v>0</v>
      </c>
      <c r="K1880">
        <v>2</v>
      </c>
      <c r="L1880">
        <v>2</v>
      </c>
      <c r="M1880">
        <v>150</v>
      </c>
      <c r="N1880">
        <v>289</v>
      </c>
      <c r="O1880">
        <v>1</v>
      </c>
      <c r="P1880">
        <v>288</v>
      </c>
      <c r="Q1880">
        <v>16</v>
      </c>
      <c r="R1880">
        <v>35</v>
      </c>
      <c r="S1880">
        <v>13</v>
      </c>
      <c r="T1880">
        <v>2</v>
      </c>
      <c r="U1880">
        <v>21</v>
      </c>
      <c r="V1880">
        <v>8</v>
      </c>
      <c r="W1880">
        <v>5</v>
      </c>
      <c r="X1880">
        <v>3</v>
      </c>
      <c r="Y1880">
        <v>160</v>
      </c>
      <c r="Z1880">
        <v>5</v>
      </c>
      <c r="AA1880">
        <v>2</v>
      </c>
      <c r="AB1880">
        <v>2</v>
      </c>
      <c r="AC1880">
        <v>0</v>
      </c>
      <c r="AD1880">
        <v>0</v>
      </c>
      <c r="AE1880">
        <v>0</v>
      </c>
      <c r="AF1880">
        <v>1</v>
      </c>
      <c r="AK1880">
        <v>3</v>
      </c>
      <c r="AL1880">
        <v>0</v>
      </c>
      <c r="AM1880">
        <v>0</v>
      </c>
      <c r="AN1880">
        <v>3</v>
      </c>
      <c r="AT1880">
        <v>0</v>
      </c>
      <c r="AU1880">
        <v>9</v>
      </c>
      <c r="AV1880">
        <v>288</v>
      </c>
      <c r="AW1880">
        <v>288</v>
      </c>
      <c r="AX1880">
        <v>416</v>
      </c>
      <c r="BA1880">
        <v>1</v>
      </c>
      <c r="BC1880" t="s">
        <v>3858</v>
      </c>
      <c r="BD1880" s="4">
        <v>43283.177083333336</v>
      </c>
      <c r="BE1880" s="4">
        <v>43283.192476851851</v>
      </c>
      <c r="BF1880" s="4">
        <v>43283.192476851851</v>
      </c>
      <c r="BG1880" t="s">
        <v>83</v>
      </c>
      <c r="BH1880" t="s">
        <v>84</v>
      </c>
      <c r="BI1880" t="s">
        <v>85</v>
      </c>
    </row>
    <row r="1881" spans="1:61" x14ac:dyDescent="0.3">
      <c r="A1881" t="str">
        <f>"201001B0100"</f>
        <v>201001B0100</v>
      </c>
      <c r="B1881" t="s">
        <v>3859</v>
      </c>
      <c r="C1881">
        <v>20</v>
      </c>
      <c r="D1881" t="s">
        <v>79</v>
      </c>
      <c r="E1881">
        <v>9</v>
      </c>
      <c r="F1881" t="s">
        <v>3733</v>
      </c>
      <c r="G1881">
        <v>1001</v>
      </c>
      <c r="H1881">
        <v>1</v>
      </c>
      <c r="I1881" t="s">
        <v>81</v>
      </c>
      <c r="J1881">
        <v>0</v>
      </c>
      <c r="K1881">
        <v>2</v>
      </c>
      <c r="L1881">
        <v>2</v>
      </c>
      <c r="M1881">
        <v>299</v>
      </c>
      <c r="N1881">
        <v>385</v>
      </c>
      <c r="O1881">
        <v>0</v>
      </c>
      <c r="P1881">
        <v>386</v>
      </c>
      <c r="Q1881">
        <v>28</v>
      </c>
      <c r="R1881">
        <v>51</v>
      </c>
      <c r="S1881">
        <v>9</v>
      </c>
      <c r="T1881">
        <v>4</v>
      </c>
      <c r="U1881">
        <v>20</v>
      </c>
      <c r="V1881">
        <v>12</v>
      </c>
      <c r="W1881">
        <v>5</v>
      </c>
      <c r="X1881">
        <v>5</v>
      </c>
      <c r="Y1881">
        <v>198</v>
      </c>
      <c r="Z1881">
        <v>5</v>
      </c>
      <c r="AA1881">
        <v>1</v>
      </c>
      <c r="AB1881">
        <v>21</v>
      </c>
      <c r="AC1881">
        <v>0</v>
      </c>
      <c r="AD1881">
        <v>0</v>
      </c>
      <c r="AE1881">
        <v>1</v>
      </c>
      <c r="AF1881">
        <v>0</v>
      </c>
      <c r="AK1881">
        <v>9</v>
      </c>
      <c r="AL1881">
        <v>4</v>
      </c>
      <c r="AM1881">
        <v>0</v>
      </c>
      <c r="AN1881">
        <v>1</v>
      </c>
      <c r="AT1881">
        <v>0</v>
      </c>
      <c r="AU1881">
        <v>12</v>
      </c>
      <c r="AV1881">
        <v>386</v>
      </c>
      <c r="AW1881">
        <v>386</v>
      </c>
      <c r="AX1881">
        <v>662</v>
      </c>
      <c r="BA1881">
        <v>1</v>
      </c>
      <c r="BC1881" t="s">
        <v>3860</v>
      </c>
      <c r="BD1881" s="4">
        <v>43283.175694444442</v>
      </c>
      <c r="BE1881" s="4">
        <v>43283.190081018518</v>
      </c>
      <c r="BF1881" s="4">
        <v>43283.190081018518</v>
      </c>
      <c r="BG1881" t="s">
        <v>83</v>
      </c>
      <c r="BH1881" t="s">
        <v>84</v>
      </c>
      <c r="BI1881" t="s">
        <v>85</v>
      </c>
    </row>
    <row r="1882" spans="1:61" x14ac:dyDescent="0.3">
      <c r="A1882" t="str">
        <f>"201001C0100"</f>
        <v>201001C0100</v>
      </c>
      <c r="B1882" t="s">
        <v>3861</v>
      </c>
      <c r="C1882">
        <v>20</v>
      </c>
      <c r="D1882" t="s">
        <v>79</v>
      </c>
      <c r="E1882">
        <v>9</v>
      </c>
      <c r="F1882" t="s">
        <v>3733</v>
      </c>
      <c r="G1882">
        <v>1001</v>
      </c>
      <c r="H1882">
        <v>1</v>
      </c>
      <c r="I1882" t="s">
        <v>89</v>
      </c>
      <c r="J1882">
        <v>0</v>
      </c>
      <c r="K1882">
        <v>2</v>
      </c>
      <c r="L1882">
        <v>2</v>
      </c>
      <c r="M1882">
        <v>258</v>
      </c>
      <c r="N1882">
        <v>426</v>
      </c>
      <c r="O1882">
        <v>0</v>
      </c>
      <c r="P1882" t="s">
        <v>100</v>
      </c>
      <c r="Q1882">
        <v>17</v>
      </c>
      <c r="R1882">
        <v>72</v>
      </c>
      <c r="S1882">
        <v>4</v>
      </c>
      <c r="T1882">
        <v>11</v>
      </c>
      <c r="U1882">
        <v>20</v>
      </c>
      <c r="V1882">
        <v>8</v>
      </c>
      <c r="W1882">
        <v>6</v>
      </c>
      <c r="X1882">
        <v>4</v>
      </c>
      <c r="Y1882">
        <v>234</v>
      </c>
      <c r="Z1882">
        <v>4</v>
      </c>
      <c r="AA1882">
        <v>4</v>
      </c>
      <c r="AB1882">
        <v>17</v>
      </c>
      <c r="AC1882">
        <v>1</v>
      </c>
      <c r="AD1882">
        <v>0</v>
      </c>
      <c r="AE1882">
        <v>0</v>
      </c>
      <c r="AF1882">
        <v>0</v>
      </c>
      <c r="AK1882">
        <v>4</v>
      </c>
      <c r="AL1882">
        <v>2</v>
      </c>
      <c r="AM1882">
        <v>0</v>
      </c>
      <c r="AN1882">
        <v>2</v>
      </c>
      <c r="AT1882">
        <v>0</v>
      </c>
      <c r="AU1882">
        <v>15</v>
      </c>
      <c r="AV1882">
        <v>426</v>
      </c>
      <c r="AW1882">
        <v>425</v>
      </c>
      <c r="AX1882">
        <v>662</v>
      </c>
      <c r="BA1882">
        <v>1</v>
      </c>
      <c r="BC1882" t="s">
        <v>3862</v>
      </c>
      <c r="BD1882" s="4">
        <v>43283.181944444441</v>
      </c>
      <c r="BE1882" s="4">
        <v>43283.201064814813</v>
      </c>
      <c r="BF1882" s="4">
        <v>43283.201064814813</v>
      </c>
      <c r="BG1882" t="s">
        <v>83</v>
      </c>
      <c r="BH1882" t="s">
        <v>84</v>
      </c>
      <c r="BI1882" t="s">
        <v>85</v>
      </c>
    </row>
    <row r="1883" spans="1:61" x14ac:dyDescent="0.3">
      <c r="A1883" t="str">
        <f>"201001C0200"</f>
        <v>201001C0200</v>
      </c>
      <c r="B1883" t="s">
        <v>3863</v>
      </c>
      <c r="C1883">
        <v>20</v>
      </c>
      <c r="D1883" t="s">
        <v>79</v>
      </c>
      <c r="E1883">
        <v>9</v>
      </c>
      <c r="F1883" t="s">
        <v>3733</v>
      </c>
      <c r="G1883">
        <v>1001</v>
      </c>
      <c r="H1883">
        <v>2</v>
      </c>
      <c r="I1883" t="s">
        <v>89</v>
      </c>
      <c r="J1883">
        <v>0</v>
      </c>
      <c r="K1883">
        <v>2</v>
      </c>
      <c r="L1883">
        <v>2</v>
      </c>
      <c r="M1883">
        <v>254</v>
      </c>
      <c r="N1883">
        <v>430</v>
      </c>
      <c r="O1883">
        <v>0</v>
      </c>
      <c r="P1883">
        <v>428</v>
      </c>
      <c r="Q1883">
        <v>16</v>
      </c>
      <c r="R1883">
        <v>50</v>
      </c>
      <c r="S1883">
        <v>5</v>
      </c>
      <c r="T1883">
        <v>6</v>
      </c>
      <c r="U1883">
        <v>25</v>
      </c>
      <c r="V1883">
        <v>10</v>
      </c>
      <c r="W1883">
        <v>5</v>
      </c>
      <c r="X1883">
        <v>6</v>
      </c>
      <c r="Y1883">
        <v>257</v>
      </c>
      <c r="Z1883">
        <v>7</v>
      </c>
      <c r="AA1883">
        <v>1</v>
      </c>
      <c r="AB1883">
        <v>16</v>
      </c>
      <c r="AC1883">
        <v>1</v>
      </c>
      <c r="AD1883">
        <v>1</v>
      </c>
      <c r="AE1883">
        <v>0</v>
      </c>
      <c r="AF1883">
        <v>0</v>
      </c>
      <c r="AK1883">
        <v>8</v>
      </c>
      <c r="AL1883">
        <v>1</v>
      </c>
      <c r="AM1883">
        <v>0</v>
      </c>
      <c r="AN1883">
        <v>0</v>
      </c>
      <c r="AT1883">
        <v>0</v>
      </c>
      <c r="AU1883">
        <v>13</v>
      </c>
      <c r="AV1883">
        <v>428</v>
      </c>
      <c r="AW1883">
        <v>428</v>
      </c>
      <c r="AX1883">
        <v>662</v>
      </c>
      <c r="BA1883">
        <v>1</v>
      </c>
      <c r="BC1883" s="2" t="s">
        <v>3864</v>
      </c>
      <c r="BD1883" s="4">
        <v>43283.181944444441</v>
      </c>
      <c r="BE1883" s="4">
        <v>43283.199328703704</v>
      </c>
      <c r="BF1883" s="4">
        <v>43283.199328703704</v>
      </c>
      <c r="BG1883" t="s">
        <v>83</v>
      </c>
      <c r="BH1883" t="s">
        <v>84</v>
      </c>
      <c r="BI1883" t="s">
        <v>85</v>
      </c>
    </row>
    <row r="1884" spans="1:61" x14ac:dyDescent="0.3">
      <c r="A1884" t="str">
        <f>"201001C0300"</f>
        <v>201001C0300</v>
      </c>
      <c r="B1884" t="s">
        <v>3865</v>
      </c>
      <c r="C1884">
        <v>20</v>
      </c>
      <c r="D1884" t="s">
        <v>79</v>
      </c>
      <c r="E1884">
        <v>9</v>
      </c>
      <c r="F1884" t="s">
        <v>3733</v>
      </c>
      <c r="G1884">
        <v>1001</v>
      </c>
      <c r="H1884">
        <v>3</v>
      </c>
      <c r="I1884" t="s">
        <v>89</v>
      </c>
      <c r="J1884">
        <v>0</v>
      </c>
      <c r="K1884">
        <v>2</v>
      </c>
      <c r="L1884">
        <v>2</v>
      </c>
      <c r="M1884">
        <v>286</v>
      </c>
      <c r="N1884">
        <v>397</v>
      </c>
      <c r="O1884">
        <v>0</v>
      </c>
      <c r="P1884">
        <v>0</v>
      </c>
      <c r="Q1884">
        <v>29</v>
      </c>
      <c r="R1884">
        <v>40</v>
      </c>
      <c r="S1884">
        <v>10</v>
      </c>
      <c r="T1884">
        <v>6</v>
      </c>
      <c r="U1884">
        <v>16</v>
      </c>
      <c r="V1884">
        <v>10</v>
      </c>
      <c r="W1884">
        <v>7</v>
      </c>
      <c r="X1884">
        <v>4</v>
      </c>
      <c r="Y1884">
        <v>217</v>
      </c>
      <c r="Z1884">
        <v>4</v>
      </c>
      <c r="AA1884">
        <v>4</v>
      </c>
      <c r="AB1884">
        <v>16</v>
      </c>
      <c r="AC1884">
        <v>0</v>
      </c>
      <c r="AD1884">
        <v>0</v>
      </c>
      <c r="AE1884">
        <v>0</v>
      </c>
      <c r="AF1884">
        <v>0</v>
      </c>
      <c r="AK1884">
        <v>9</v>
      </c>
      <c r="AL1884">
        <v>2</v>
      </c>
      <c r="AM1884">
        <v>0</v>
      </c>
      <c r="AN1884">
        <v>3</v>
      </c>
      <c r="AT1884">
        <v>0</v>
      </c>
      <c r="AU1884">
        <v>19</v>
      </c>
      <c r="AV1884">
        <v>397</v>
      </c>
      <c r="AW1884">
        <v>396</v>
      </c>
      <c r="AX1884">
        <v>661</v>
      </c>
      <c r="BA1884">
        <v>1</v>
      </c>
      <c r="BC1884" t="s">
        <v>3866</v>
      </c>
      <c r="BD1884" s="4">
        <v>43283.177777777775</v>
      </c>
      <c r="BE1884" s="4">
        <v>43283.194293981483</v>
      </c>
      <c r="BF1884" s="4">
        <v>43283.194293981483</v>
      </c>
      <c r="BG1884" t="s">
        <v>83</v>
      </c>
      <c r="BH1884" t="s">
        <v>84</v>
      </c>
      <c r="BI1884" t="s">
        <v>85</v>
      </c>
    </row>
    <row r="1885" spans="1:61" x14ac:dyDescent="0.3">
      <c r="A1885" t="str">
        <f>"201084B0100"</f>
        <v>201084B0100</v>
      </c>
      <c r="B1885" t="s">
        <v>3867</v>
      </c>
      <c r="C1885">
        <v>20</v>
      </c>
      <c r="D1885" t="s">
        <v>79</v>
      </c>
      <c r="E1885">
        <v>9</v>
      </c>
      <c r="F1885" t="s">
        <v>3733</v>
      </c>
      <c r="G1885">
        <v>1084</v>
      </c>
      <c r="H1885">
        <v>1</v>
      </c>
      <c r="I1885" t="s">
        <v>81</v>
      </c>
      <c r="J1885">
        <v>0</v>
      </c>
      <c r="K1885">
        <v>2</v>
      </c>
      <c r="L1885">
        <v>2</v>
      </c>
      <c r="M1885">
        <v>176</v>
      </c>
      <c r="N1885">
        <v>405</v>
      </c>
      <c r="O1885">
        <v>3</v>
      </c>
      <c r="P1885">
        <v>0</v>
      </c>
      <c r="Q1885">
        <v>66</v>
      </c>
      <c r="R1885">
        <v>31</v>
      </c>
      <c r="S1885">
        <v>5</v>
      </c>
      <c r="T1885">
        <v>26</v>
      </c>
      <c r="U1885">
        <v>17</v>
      </c>
      <c r="V1885">
        <v>8</v>
      </c>
      <c r="W1885">
        <v>6</v>
      </c>
      <c r="X1885">
        <v>8</v>
      </c>
      <c r="Y1885">
        <v>180</v>
      </c>
      <c r="Z1885">
        <v>13</v>
      </c>
      <c r="AA1885">
        <v>11</v>
      </c>
      <c r="AB1885">
        <v>5</v>
      </c>
      <c r="AC1885">
        <v>3</v>
      </c>
      <c r="AD1885">
        <v>2</v>
      </c>
      <c r="AE1885">
        <v>0</v>
      </c>
      <c r="AF1885">
        <v>0</v>
      </c>
      <c r="AK1885">
        <v>4</v>
      </c>
      <c r="AL1885">
        <v>0</v>
      </c>
      <c r="AM1885">
        <v>0</v>
      </c>
      <c r="AN1885">
        <v>3</v>
      </c>
      <c r="AT1885">
        <v>0</v>
      </c>
      <c r="AU1885">
        <v>16</v>
      </c>
      <c r="AV1885">
        <v>404</v>
      </c>
      <c r="AW1885">
        <v>404</v>
      </c>
      <c r="AX1885">
        <v>559</v>
      </c>
      <c r="BA1885">
        <v>1</v>
      </c>
      <c r="BC1885" t="s">
        <v>3868</v>
      </c>
      <c r="BD1885" s="4">
        <v>43283.422222222223</v>
      </c>
      <c r="BE1885" s="4">
        <v>43283.43236111111</v>
      </c>
      <c r="BF1885" s="4">
        <v>43283.43236111111</v>
      </c>
      <c r="BG1885" t="s">
        <v>83</v>
      </c>
      <c r="BH1885" t="s">
        <v>84</v>
      </c>
      <c r="BI1885" t="s">
        <v>85</v>
      </c>
    </row>
    <row r="1886" spans="1:61" x14ac:dyDescent="0.3">
      <c r="A1886" t="str">
        <f>"201084C0100"</f>
        <v>201084C0100</v>
      </c>
      <c r="B1886" t="s">
        <v>3869</v>
      </c>
      <c r="C1886">
        <v>20</v>
      </c>
      <c r="D1886" t="s">
        <v>79</v>
      </c>
      <c r="E1886">
        <v>9</v>
      </c>
      <c r="F1886" t="s">
        <v>3733</v>
      </c>
      <c r="G1886">
        <v>1084</v>
      </c>
      <c r="H1886">
        <v>1</v>
      </c>
      <c r="I1886" t="s">
        <v>89</v>
      </c>
      <c r="J1886">
        <v>0</v>
      </c>
      <c r="K1886">
        <v>2</v>
      </c>
      <c r="L1886">
        <v>2</v>
      </c>
      <c r="M1886" t="s">
        <v>315</v>
      </c>
      <c r="N1886">
        <v>422</v>
      </c>
      <c r="O1886">
        <v>3</v>
      </c>
      <c r="P1886" t="s">
        <v>315</v>
      </c>
      <c r="Q1886">
        <v>60</v>
      </c>
      <c r="R1886">
        <v>38</v>
      </c>
      <c r="S1886">
        <v>13</v>
      </c>
      <c r="T1886">
        <v>23</v>
      </c>
      <c r="U1886">
        <v>30</v>
      </c>
      <c r="V1886">
        <v>12</v>
      </c>
      <c r="W1886">
        <v>5</v>
      </c>
      <c r="X1886">
        <v>15</v>
      </c>
      <c r="Y1886">
        <v>169</v>
      </c>
      <c r="Z1886">
        <v>7</v>
      </c>
      <c r="AA1886">
        <v>1</v>
      </c>
      <c r="AB1886">
        <v>8</v>
      </c>
      <c r="AC1886">
        <v>3</v>
      </c>
      <c r="AD1886">
        <v>2</v>
      </c>
      <c r="AE1886">
        <v>0</v>
      </c>
      <c r="AF1886">
        <v>0</v>
      </c>
      <c r="AK1886">
        <v>6</v>
      </c>
      <c r="AL1886">
        <v>1</v>
      </c>
      <c r="AM1886">
        <v>1</v>
      </c>
      <c r="AN1886">
        <v>0</v>
      </c>
      <c r="AT1886">
        <v>0</v>
      </c>
      <c r="AU1886">
        <v>19</v>
      </c>
      <c r="AV1886">
        <v>422</v>
      </c>
      <c r="AW1886">
        <v>413</v>
      </c>
      <c r="AX1886">
        <v>558</v>
      </c>
      <c r="BA1886">
        <v>1</v>
      </c>
      <c r="BC1886" t="s">
        <v>3870</v>
      </c>
      <c r="BD1886" s="4">
        <v>43283.425000000003</v>
      </c>
      <c r="BE1886" s="4">
        <v>43283.431226851855</v>
      </c>
      <c r="BF1886" s="4">
        <v>43283.431226851855</v>
      </c>
      <c r="BG1886" t="s">
        <v>83</v>
      </c>
      <c r="BH1886" t="s">
        <v>84</v>
      </c>
      <c r="BI1886" t="s">
        <v>85</v>
      </c>
    </row>
    <row r="1887" spans="1:61" x14ac:dyDescent="0.3">
      <c r="A1887" t="str">
        <f>"201084C0200"</f>
        <v>201084C0200</v>
      </c>
      <c r="B1887" t="s">
        <v>3871</v>
      </c>
      <c r="C1887">
        <v>20</v>
      </c>
      <c r="D1887" t="s">
        <v>79</v>
      </c>
      <c r="E1887">
        <v>9</v>
      </c>
      <c r="F1887" t="s">
        <v>3733</v>
      </c>
      <c r="G1887">
        <v>1084</v>
      </c>
      <c r="H1887">
        <v>2</v>
      </c>
      <c r="I1887" t="s">
        <v>89</v>
      </c>
      <c r="J1887">
        <v>0</v>
      </c>
      <c r="K1887">
        <v>2</v>
      </c>
      <c r="L1887">
        <v>2</v>
      </c>
      <c r="M1887">
        <v>177</v>
      </c>
      <c r="N1887">
        <v>403</v>
      </c>
      <c r="O1887">
        <v>3</v>
      </c>
      <c r="P1887">
        <v>403</v>
      </c>
      <c r="Q1887">
        <v>50</v>
      </c>
      <c r="R1887">
        <v>36</v>
      </c>
      <c r="S1887">
        <v>12</v>
      </c>
      <c r="T1887">
        <v>28</v>
      </c>
      <c r="U1887">
        <v>21</v>
      </c>
      <c r="V1887">
        <v>13</v>
      </c>
      <c r="W1887">
        <v>6</v>
      </c>
      <c r="X1887">
        <v>5</v>
      </c>
      <c r="Y1887">
        <v>164</v>
      </c>
      <c r="Z1887">
        <v>11</v>
      </c>
      <c r="AA1887">
        <v>12</v>
      </c>
      <c r="AB1887">
        <v>8</v>
      </c>
      <c r="AC1887">
        <v>4</v>
      </c>
      <c r="AD1887">
        <v>0</v>
      </c>
      <c r="AE1887">
        <v>0</v>
      </c>
      <c r="AF1887">
        <v>5</v>
      </c>
      <c r="AK1887">
        <v>4</v>
      </c>
      <c r="AL1887">
        <v>0</v>
      </c>
      <c r="AM1887">
        <v>0</v>
      </c>
      <c r="AN1887">
        <v>0</v>
      </c>
      <c r="AT1887">
        <v>0</v>
      </c>
      <c r="AU1887">
        <v>24</v>
      </c>
      <c r="AV1887">
        <v>403</v>
      </c>
      <c r="AW1887">
        <v>403</v>
      </c>
      <c r="AX1887">
        <v>558</v>
      </c>
      <c r="BA1887">
        <v>1</v>
      </c>
      <c r="BC1887" t="s">
        <v>3872</v>
      </c>
      <c r="BD1887" s="4">
        <v>43283.418749999997</v>
      </c>
      <c r="BE1887" s="4">
        <v>43283.426944444444</v>
      </c>
      <c r="BF1887" s="4">
        <v>43283.426944444444</v>
      </c>
      <c r="BG1887" t="s">
        <v>83</v>
      </c>
      <c r="BH1887" t="s">
        <v>84</v>
      </c>
      <c r="BI1887" t="s">
        <v>85</v>
      </c>
    </row>
    <row r="1888" spans="1:61" x14ac:dyDescent="0.3">
      <c r="A1888" t="str">
        <f>"201085B0100"</f>
        <v>201085B0100</v>
      </c>
      <c r="B1888" t="s">
        <v>3873</v>
      </c>
      <c r="C1888">
        <v>20</v>
      </c>
      <c r="D1888" t="s">
        <v>79</v>
      </c>
      <c r="E1888">
        <v>9</v>
      </c>
      <c r="F1888" t="s">
        <v>3733</v>
      </c>
      <c r="G1888">
        <v>1085</v>
      </c>
      <c r="H1888">
        <v>1</v>
      </c>
      <c r="I1888" t="s">
        <v>81</v>
      </c>
      <c r="J1888">
        <v>0</v>
      </c>
      <c r="K1888">
        <v>2</v>
      </c>
      <c r="L1888">
        <v>2</v>
      </c>
      <c r="M1888">
        <v>215</v>
      </c>
      <c r="N1888">
        <v>514</v>
      </c>
      <c r="O1888">
        <v>0</v>
      </c>
      <c r="P1888">
        <v>514</v>
      </c>
      <c r="Q1888">
        <v>76</v>
      </c>
      <c r="R1888">
        <v>32</v>
      </c>
      <c r="S1888">
        <v>13</v>
      </c>
      <c r="T1888">
        <v>20</v>
      </c>
      <c r="U1888">
        <v>27</v>
      </c>
      <c r="V1888">
        <v>15</v>
      </c>
      <c r="W1888">
        <v>18</v>
      </c>
      <c r="X1888">
        <v>21</v>
      </c>
      <c r="Y1888">
        <v>228</v>
      </c>
      <c r="Z1888">
        <v>12</v>
      </c>
      <c r="AA1888">
        <v>10</v>
      </c>
      <c r="AB1888">
        <v>12</v>
      </c>
      <c r="AC1888">
        <v>2</v>
      </c>
      <c r="AD1888" t="s">
        <v>100</v>
      </c>
      <c r="AE1888" t="s">
        <v>100</v>
      </c>
      <c r="AF1888" t="s">
        <v>100</v>
      </c>
      <c r="AK1888">
        <v>9</v>
      </c>
      <c r="AL1888">
        <v>1</v>
      </c>
      <c r="AM1888">
        <v>2</v>
      </c>
      <c r="AN1888">
        <v>2</v>
      </c>
      <c r="AT1888" t="s">
        <v>100</v>
      </c>
      <c r="AU1888">
        <v>14</v>
      </c>
      <c r="AV1888">
        <v>514</v>
      </c>
      <c r="AW1888">
        <v>514</v>
      </c>
      <c r="AX1888">
        <v>707</v>
      </c>
      <c r="AZ1888" t="s">
        <v>101</v>
      </c>
      <c r="BA1888">
        <v>1</v>
      </c>
      <c r="BC1888" t="s">
        <v>3874</v>
      </c>
      <c r="BD1888" s="4">
        <v>43283.418749999997</v>
      </c>
      <c r="BE1888" s="4">
        <v>43283.424351851849</v>
      </c>
      <c r="BF1888" s="4">
        <v>43283.424351851849</v>
      </c>
      <c r="BG1888" t="s">
        <v>83</v>
      </c>
      <c r="BH1888" t="s">
        <v>84</v>
      </c>
      <c r="BI1888" t="s">
        <v>85</v>
      </c>
    </row>
    <row r="1889" spans="1:61" x14ac:dyDescent="0.3">
      <c r="A1889" t="str">
        <f>"201085C0100"</f>
        <v>201085C0100</v>
      </c>
      <c r="B1889" t="s">
        <v>3875</v>
      </c>
      <c r="C1889">
        <v>20</v>
      </c>
      <c r="D1889" t="s">
        <v>79</v>
      </c>
      <c r="E1889">
        <v>9</v>
      </c>
      <c r="F1889" t="s">
        <v>3733</v>
      </c>
      <c r="G1889">
        <v>1085</v>
      </c>
      <c r="H1889">
        <v>1</v>
      </c>
      <c r="I1889" t="s">
        <v>89</v>
      </c>
      <c r="J1889">
        <v>0</v>
      </c>
      <c r="K1889">
        <v>2</v>
      </c>
      <c r="L1889">
        <v>2</v>
      </c>
      <c r="M1889">
        <v>177</v>
      </c>
      <c r="N1889">
        <v>551</v>
      </c>
      <c r="O1889">
        <v>4</v>
      </c>
      <c r="P1889">
        <v>551</v>
      </c>
      <c r="Q1889">
        <v>63</v>
      </c>
      <c r="R1889">
        <v>42</v>
      </c>
      <c r="S1889">
        <v>7</v>
      </c>
      <c r="T1889">
        <v>33</v>
      </c>
      <c r="U1889">
        <v>29</v>
      </c>
      <c r="V1889">
        <v>24</v>
      </c>
      <c r="W1889">
        <v>13</v>
      </c>
      <c r="X1889">
        <v>13</v>
      </c>
      <c r="Y1889">
        <v>279</v>
      </c>
      <c r="Z1889">
        <v>5</v>
      </c>
      <c r="AA1889">
        <v>6</v>
      </c>
      <c r="AB1889">
        <v>4</v>
      </c>
      <c r="AC1889">
        <v>1</v>
      </c>
      <c r="AD1889">
        <v>1</v>
      </c>
      <c r="AE1889">
        <v>0</v>
      </c>
      <c r="AF1889">
        <v>0</v>
      </c>
      <c r="AK1889">
        <v>3</v>
      </c>
      <c r="AL1889">
        <v>2</v>
      </c>
      <c r="AM1889">
        <v>0</v>
      </c>
      <c r="AN1889">
        <v>2</v>
      </c>
      <c r="AT1889">
        <v>0</v>
      </c>
      <c r="AU1889">
        <v>24</v>
      </c>
      <c r="AV1889">
        <v>551</v>
      </c>
      <c r="AW1889">
        <v>551</v>
      </c>
      <c r="AX1889">
        <v>706</v>
      </c>
      <c r="BA1889">
        <v>1</v>
      </c>
      <c r="BC1889" t="s">
        <v>3876</v>
      </c>
      <c r="BD1889" s="4">
        <v>43283.419444444444</v>
      </c>
      <c r="BE1889" s="4">
        <v>43283.427685185183</v>
      </c>
      <c r="BF1889" s="4">
        <v>43283.427685185183</v>
      </c>
      <c r="BG1889" t="s">
        <v>83</v>
      </c>
      <c r="BH1889" t="s">
        <v>84</v>
      </c>
      <c r="BI1889" t="s">
        <v>85</v>
      </c>
    </row>
    <row r="1890" spans="1:61" x14ac:dyDescent="0.3">
      <c r="A1890" t="str">
        <f>"201086B0100"</f>
        <v>201086B0100</v>
      </c>
      <c r="B1890" t="s">
        <v>3877</v>
      </c>
      <c r="C1890">
        <v>20</v>
      </c>
      <c r="D1890" t="s">
        <v>79</v>
      </c>
      <c r="E1890">
        <v>9</v>
      </c>
      <c r="F1890" t="s">
        <v>3733</v>
      </c>
      <c r="G1890">
        <v>1086</v>
      </c>
      <c r="H1890">
        <v>1</v>
      </c>
      <c r="I1890" t="s">
        <v>81</v>
      </c>
      <c r="J1890">
        <v>0</v>
      </c>
      <c r="K1890">
        <v>2</v>
      </c>
      <c r="L1890">
        <v>2</v>
      </c>
      <c r="M1890">
        <v>245</v>
      </c>
      <c r="N1890">
        <v>476</v>
      </c>
      <c r="O1890">
        <v>14</v>
      </c>
      <c r="P1890">
        <v>476</v>
      </c>
      <c r="Q1890">
        <v>66</v>
      </c>
      <c r="R1890">
        <v>45</v>
      </c>
      <c r="S1890">
        <v>14</v>
      </c>
      <c r="T1890">
        <v>37</v>
      </c>
      <c r="U1890">
        <v>13</v>
      </c>
      <c r="V1890">
        <v>16</v>
      </c>
      <c r="W1890">
        <v>1</v>
      </c>
      <c r="X1890">
        <v>20</v>
      </c>
      <c r="Y1890">
        <v>212</v>
      </c>
      <c r="Z1890">
        <v>7</v>
      </c>
      <c r="AA1890">
        <v>1</v>
      </c>
      <c r="AB1890">
        <v>2</v>
      </c>
      <c r="AC1890">
        <v>6</v>
      </c>
      <c r="AD1890">
        <v>1</v>
      </c>
      <c r="AE1890">
        <v>0</v>
      </c>
      <c r="AF1890">
        <v>0</v>
      </c>
      <c r="AK1890">
        <v>1</v>
      </c>
      <c r="AL1890">
        <v>0</v>
      </c>
      <c r="AM1890">
        <v>0</v>
      </c>
      <c r="AN1890">
        <v>2</v>
      </c>
      <c r="AT1890" t="s">
        <v>100</v>
      </c>
      <c r="AU1890" t="s">
        <v>100</v>
      </c>
      <c r="AV1890">
        <v>476</v>
      </c>
      <c r="AW1890">
        <v>444</v>
      </c>
      <c r="AX1890">
        <v>698</v>
      </c>
      <c r="AZ1890" t="s">
        <v>101</v>
      </c>
      <c r="BA1890">
        <v>1</v>
      </c>
      <c r="BC1890" t="s">
        <v>3878</v>
      </c>
      <c r="BD1890" s="4">
        <v>43283.423611111109</v>
      </c>
      <c r="BE1890" s="4">
        <v>43283.429398148146</v>
      </c>
      <c r="BF1890" s="4">
        <v>43283.429398148146</v>
      </c>
      <c r="BG1890" t="s">
        <v>83</v>
      </c>
      <c r="BH1890" t="s">
        <v>84</v>
      </c>
      <c r="BI1890" t="s">
        <v>85</v>
      </c>
    </row>
    <row r="1891" spans="1:61" x14ac:dyDescent="0.3">
      <c r="A1891" t="str">
        <f>"201086C0100"</f>
        <v>201086C0100</v>
      </c>
      <c r="B1891" t="s">
        <v>3879</v>
      </c>
      <c r="C1891">
        <v>20</v>
      </c>
      <c r="D1891" t="s">
        <v>79</v>
      </c>
      <c r="E1891">
        <v>9</v>
      </c>
      <c r="F1891" t="s">
        <v>3733</v>
      </c>
      <c r="G1891">
        <v>1086</v>
      </c>
      <c r="H1891">
        <v>1</v>
      </c>
      <c r="I1891" t="s">
        <v>89</v>
      </c>
      <c r="J1891">
        <v>0</v>
      </c>
      <c r="K1891">
        <v>2</v>
      </c>
      <c r="L1891">
        <v>2</v>
      </c>
      <c r="M1891">
        <v>221</v>
      </c>
      <c r="N1891">
        <v>499</v>
      </c>
      <c r="O1891">
        <v>9</v>
      </c>
      <c r="P1891">
        <v>499</v>
      </c>
      <c r="Q1891">
        <v>84</v>
      </c>
      <c r="R1891">
        <v>62</v>
      </c>
      <c r="S1891">
        <v>12</v>
      </c>
      <c r="T1891">
        <v>36</v>
      </c>
      <c r="U1891">
        <v>14</v>
      </c>
      <c r="V1891">
        <v>14</v>
      </c>
      <c r="W1891">
        <v>4</v>
      </c>
      <c r="X1891">
        <v>19</v>
      </c>
      <c r="Y1891">
        <v>197</v>
      </c>
      <c r="Z1891">
        <v>6</v>
      </c>
      <c r="AA1891">
        <v>12</v>
      </c>
      <c r="AB1891">
        <v>9</v>
      </c>
      <c r="AC1891">
        <v>4</v>
      </c>
      <c r="AD1891">
        <v>0</v>
      </c>
      <c r="AE1891">
        <v>1</v>
      </c>
      <c r="AF1891">
        <v>0</v>
      </c>
      <c r="AK1891">
        <v>1</v>
      </c>
      <c r="AL1891">
        <v>1</v>
      </c>
      <c r="AM1891">
        <v>0</v>
      </c>
      <c r="AN1891">
        <v>0</v>
      </c>
      <c r="AT1891">
        <v>0</v>
      </c>
      <c r="AU1891">
        <v>24</v>
      </c>
      <c r="AV1891">
        <v>499</v>
      </c>
      <c r="AW1891">
        <v>500</v>
      </c>
      <c r="AX1891">
        <v>698</v>
      </c>
      <c r="BA1891">
        <v>1</v>
      </c>
      <c r="BC1891" t="s">
        <v>3880</v>
      </c>
      <c r="BD1891" s="4">
        <v>43283.421527777777</v>
      </c>
      <c r="BE1891" s="4">
        <v>43283.428877314815</v>
      </c>
      <c r="BF1891" s="4">
        <v>43283.428877314815</v>
      </c>
      <c r="BG1891" t="s">
        <v>83</v>
      </c>
      <c r="BH1891" t="s">
        <v>84</v>
      </c>
      <c r="BI1891" t="s">
        <v>85</v>
      </c>
    </row>
    <row r="1892" spans="1:61" x14ac:dyDescent="0.3">
      <c r="A1892" t="str">
        <f>"201087B0100"</f>
        <v>201087B0100</v>
      </c>
      <c r="B1892" t="s">
        <v>3881</v>
      </c>
      <c r="C1892">
        <v>20</v>
      </c>
      <c r="D1892" t="s">
        <v>79</v>
      </c>
      <c r="E1892">
        <v>9</v>
      </c>
      <c r="F1892" t="s">
        <v>3733</v>
      </c>
      <c r="G1892">
        <v>1087</v>
      </c>
      <c r="H1892">
        <v>1</v>
      </c>
      <c r="I1892" t="s">
        <v>81</v>
      </c>
      <c r="J1892">
        <v>0</v>
      </c>
      <c r="K1892">
        <v>2</v>
      </c>
      <c r="L1892">
        <v>2</v>
      </c>
      <c r="M1892">
        <v>151</v>
      </c>
      <c r="N1892">
        <v>408</v>
      </c>
      <c r="O1892">
        <v>8</v>
      </c>
      <c r="P1892">
        <v>408</v>
      </c>
      <c r="Q1892">
        <v>46</v>
      </c>
      <c r="R1892">
        <v>48</v>
      </c>
      <c r="S1892">
        <v>19</v>
      </c>
      <c r="T1892">
        <v>29</v>
      </c>
      <c r="U1892">
        <v>14</v>
      </c>
      <c r="V1892">
        <v>12</v>
      </c>
      <c r="W1892">
        <v>11</v>
      </c>
      <c r="X1892">
        <v>9</v>
      </c>
      <c r="Y1892">
        <v>167</v>
      </c>
      <c r="Z1892">
        <v>6</v>
      </c>
      <c r="AA1892">
        <v>8</v>
      </c>
      <c r="AB1892">
        <v>2</v>
      </c>
      <c r="AC1892">
        <v>4</v>
      </c>
      <c r="AD1892">
        <v>0</v>
      </c>
      <c r="AE1892">
        <v>0</v>
      </c>
      <c r="AF1892">
        <v>0</v>
      </c>
      <c r="AK1892">
        <v>2</v>
      </c>
      <c r="AL1892">
        <v>2</v>
      </c>
      <c r="AM1892">
        <v>0</v>
      </c>
      <c r="AN1892">
        <v>2</v>
      </c>
      <c r="AT1892">
        <v>0</v>
      </c>
      <c r="AU1892">
        <v>27</v>
      </c>
      <c r="AV1892">
        <v>408</v>
      </c>
      <c r="AW1892">
        <v>408</v>
      </c>
      <c r="AX1892">
        <v>538</v>
      </c>
      <c r="BA1892">
        <v>1</v>
      </c>
      <c r="BC1892" t="s">
        <v>3882</v>
      </c>
      <c r="BD1892" s="4">
        <v>43283.45416666667</v>
      </c>
      <c r="BE1892" s="4">
        <v>43283.457800925928</v>
      </c>
      <c r="BF1892" s="4">
        <v>43283.457800925928</v>
      </c>
      <c r="BG1892" t="s">
        <v>83</v>
      </c>
      <c r="BH1892" t="s">
        <v>84</v>
      </c>
      <c r="BI1892" t="s">
        <v>85</v>
      </c>
    </row>
    <row r="1893" spans="1:61" x14ac:dyDescent="0.3">
      <c r="A1893" t="str">
        <f>"201087C0100"</f>
        <v>201087C0100</v>
      </c>
      <c r="B1893" t="s">
        <v>3883</v>
      </c>
      <c r="C1893">
        <v>20</v>
      </c>
      <c r="D1893" t="s">
        <v>79</v>
      </c>
      <c r="E1893">
        <v>9</v>
      </c>
      <c r="F1893" t="s">
        <v>3733</v>
      </c>
      <c r="G1893">
        <v>1087</v>
      </c>
      <c r="H1893">
        <v>1</v>
      </c>
      <c r="I1893" t="s">
        <v>89</v>
      </c>
      <c r="J1893">
        <v>0</v>
      </c>
      <c r="K1893">
        <v>2</v>
      </c>
      <c r="L1893">
        <v>2</v>
      </c>
      <c r="M1893" t="s">
        <v>100</v>
      </c>
      <c r="N1893">
        <v>404</v>
      </c>
      <c r="O1893">
        <v>5</v>
      </c>
      <c r="P1893">
        <v>404</v>
      </c>
      <c r="Q1893">
        <v>47</v>
      </c>
      <c r="R1893">
        <v>51</v>
      </c>
      <c r="S1893">
        <v>12</v>
      </c>
      <c r="T1893">
        <v>36</v>
      </c>
      <c r="U1893">
        <v>9</v>
      </c>
      <c r="V1893">
        <v>13</v>
      </c>
      <c r="W1893">
        <v>8</v>
      </c>
      <c r="X1893">
        <v>9</v>
      </c>
      <c r="Y1893">
        <v>173</v>
      </c>
      <c r="Z1893">
        <v>8</v>
      </c>
      <c r="AA1893">
        <v>4</v>
      </c>
      <c r="AB1893">
        <v>7</v>
      </c>
      <c r="AC1893">
        <v>1</v>
      </c>
      <c r="AD1893">
        <v>0</v>
      </c>
      <c r="AE1893">
        <v>0</v>
      </c>
      <c r="AF1893">
        <v>0</v>
      </c>
      <c r="AK1893">
        <v>5</v>
      </c>
      <c r="AL1893">
        <v>0</v>
      </c>
      <c r="AM1893">
        <v>0</v>
      </c>
      <c r="AN1893">
        <v>1</v>
      </c>
      <c r="AT1893">
        <v>0</v>
      </c>
      <c r="AU1893">
        <v>20</v>
      </c>
      <c r="AV1893">
        <v>404</v>
      </c>
      <c r="AW1893">
        <v>404</v>
      </c>
      <c r="AX1893">
        <v>537</v>
      </c>
      <c r="BA1893">
        <v>1</v>
      </c>
      <c r="BC1893" t="s">
        <v>3884</v>
      </c>
      <c r="BD1893" s="4">
        <v>43283.452777777777</v>
      </c>
      <c r="BE1893" s="4">
        <v>43283.457546296297</v>
      </c>
      <c r="BF1893" s="4">
        <v>43283.457546296297</v>
      </c>
      <c r="BG1893" t="s">
        <v>83</v>
      </c>
      <c r="BH1893" t="s">
        <v>84</v>
      </c>
      <c r="BI1893" t="s">
        <v>85</v>
      </c>
    </row>
    <row r="1894" spans="1:61" x14ac:dyDescent="0.3">
      <c r="A1894" t="str">
        <f>"201087C0200"</f>
        <v>201087C0200</v>
      </c>
      <c r="B1894" t="s">
        <v>3885</v>
      </c>
      <c r="C1894">
        <v>20</v>
      </c>
      <c r="D1894" t="s">
        <v>79</v>
      </c>
      <c r="E1894">
        <v>9</v>
      </c>
      <c r="F1894" t="s">
        <v>3733</v>
      </c>
      <c r="G1894">
        <v>1087</v>
      </c>
      <c r="H1894">
        <v>2</v>
      </c>
      <c r="I1894" t="s">
        <v>89</v>
      </c>
      <c r="J1894">
        <v>0</v>
      </c>
      <c r="K1894">
        <v>2</v>
      </c>
      <c r="L1894">
        <v>2</v>
      </c>
      <c r="M1894">
        <v>170</v>
      </c>
      <c r="N1894">
        <v>388</v>
      </c>
      <c r="O1894">
        <v>2</v>
      </c>
      <c r="P1894">
        <v>388</v>
      </c>
      <c r="Q1894">
        <v>51</v>
      </c>
      <c r="R1894">
        <v>47</v>
      </c>
      <c r="S1894">
        <v>10</v>
      </c>
      <c r="T1894">
        <v>41</v>
      </c>
      <c r="U1894">
        <v>9</v>
      </c>
      <c r="V1894">
        <v>11</v>
      </c>
      <c r="W1894">
        <v>7</v>
      </c>
      <c r="X1894">
        <v>5</v>
      </c>
      <c r="Y1894">
        <v>146</v>
      </c>
      <c r="Z1894">
        <v>9</v>
      </c>
      <c r="AA1894">
        <v>8</v>
      </c>
      <c r="AB1894">
        <v>8</v>
      </c>
      <c r="AC1894">
        <v>0</v>
      </c>
      <c r="AD1894">
        <v>1</v>
      </c>
      <c r="AE1894">
        <v>0</v>
      </c>
      <c r="AF1894">
        <v>0</v>
      </c>
      <c r="AK1894">
        <v>5</v>
      </c>
      <c r="AL1894">
        <v>0</v>
      </c>
      <c r="AM1894">
        <v>0</v>
      </c>
      <c r="AN1894">
        <v>1</v>
      </c>
      <c r="AT1894">
        <v>0</v>
      </c>
      <c r="AU1894">
        <v>29</v>
      </c>
      <c r="AV1894">
        <v>388</v>
      </c>
      <c r="AW1894">
        <v>388</v>
      </c>
      <c r="AX1894">
        <v>537</v>
      </c>
      <c r="BA1894">
        <v>1</v>
      </c>
      <c r="BC1894" t="s">
        <v>3886</v>
      </c>
      <c r="BD1894" s="4">
        <v>43283.452777777777</v>
      </c>
      <c r="BE1894" s="4">
        <v>43283.45653935185</v>
      </c>
      <c r="BF1894" s="4">
        <v>43283.45653935185</v>
      </c>
      <c r="BG1894" t="s">
        <v>83</v>
      </c>
      <c r="BH1894" t="s">
        <v>84</v>
      </c>
      <c r="BI1894" t="s">
        <v>85</v>
      </c>
    </row>
    <row r="1895" spans="1:61" x14ac:dyDescent="0.3">
      <c r="A1895" t="str">
        <f>"201088B0100"</f>
        <v>201088B0100</v>
      </c>
      <c r="B1895" t="s">
        <v>3887</v>
      </c>
      <c r="C1895">
        <v>20</v>
      </c>
      <c r="D1895" t="s">
        <v>79</v>
      </c>
      <c r="E1895">
        <v>9</v>
      </c>
      <c r="F1895" t="s">
        <v>3733</v>
      </c>
      <c r="G1895">
        <v>1088</v>
      </c>
      <c r="H1895">
        <v>1</v>
      </c>
      <c r="I1895" t="s">
        <v>81</v>
      </c>
      <c r="J1895">
        <v>0</v>
      </c>
      <c r="K1895">
        <v>2</v>
      </c>
      <c r="L1895">
        <v>2</v>
      </c>
      <c r="M1895">
        <v>201</v>
      </c>
      <c r="N1895">
        <v>407</v>
      </c>
      <c r="O1895">
        <v>2</v>
      </c>
      <c r="P1895">
        <v>408</v>
      </c>
      <c r="Q1895">
        <v>30</v>
      </c>
      <c r="R1895">
        <v>62</v>
      </c>
      <c r="S1895">
        <v>7</v>
      </c>
      <c r="T1895">
        <v>17</v>
      </c>
      <c r="U1895">
        <v>34</v>
      </c>
      <c r="V1895">
        <v>7</v>
      </c>
      <c r="W1895">
        <v>3</v>
      </c>
      <c r="X1895">
        <v>35</v>
      </c>
      <c r="Y1895">
        <v>177</v>
      </c>
      <c r="Z1895">
        <v>12</v>
      </c>
      <c r="AA1895">
        <v>2</v>
      </c>
      <c r="AB1895">
        <v>2</v>
      </c>
      <c r="AC1895">
        <v>1</v>
      </c>
      <c r="AD1895">
        <v>0</v>
      </c>
      <c r="AE1895">
        <v>0</v>
      </c>
      <c r="AF1895">
        <v>0</v>
      </c>
      <c r="AK1895">
        <v>1</v>
      </c>
      <c r="AL1895">
        <v>1</v>
      </c>
      <c r="AM1895">
        <v>0</v>
      </c>
      <c r="AN1895">
        <v>0</v>
      </c>
      <c r="AT1895">
        <v>0</v>
      </c>
      <c r="AU1895">
        <v>17</v>
      </c>
      <c r="AV1895">
        <v>408</v>
      </c>
      <c r="AW1895">
        <v>408</v>
      </c>
      <c r="AX1895">
        <v>587</v>
      </c>
      <c r="BA1895">
        <v>1</v>
      </c>
      <c r="BC1895" t="s">
        <v>3888</v>
      </c>
      <c r="BD1895" s="4">
        <v>43283.438888888886</v>
      </c>
      <c r="BE1895" s="4">
        <v>43283.4453587963</v>
      </c>
      <c r="BF1895" s="4">
        <v>43283.4453587963</v>
      </c>
      <c r="BG1895" t="s">
        <v>83</v>
      </c>
      <c r="BH1895" t="s">
        <v>84</v>
      </c>
      <c r="BI1895" t="s">
        <v>85</v>
      </c>
    </row>
    <row r="1896" spans="1:61" x14ac:dyDescent="0.3">
      <c r="A1896" t="str">
        <f>"201088C0100"</f>
        <v>201088C0100</v>
      </c>
      <c r="B1896" t="s">
        <v>3889</v>
      </c>
      <c r="C1896">
        <v>20</v>
      </c>
      <c r="D1896" t="s">
        <v>79</v>
      </c>
      <c r="E1896">
        <v>9</v>
      </c>
      <c r="F1896" t="s">
        <v>3733</v>
      </c>
      <c r="G1896">
        <v>1088</v>
      </c>
      <c r="H1896">
        <v>1</v>
      </c>
      <c r="I1896" t="s">
        <v>89</v>
      </c>
      <c r="J1896">
        <v>0</v>
      </c>
      <c r="K1896">
        <v>2</v>
      </c>
      <c r="L1896">
        <v>2</v>
      </c>
      <c r="M1896">
        <v>189</v>
      </c>
      <c r="N1896">
        <v>420</v>
      </c>
      <c r="O1896">
        <v>1</v>
      </c>
      <c r="P1896">
        <v>420</v>
      </c>
      <c r="Q1896">
        <v>15</v>
      </c>
      <c r="R1896">
        <v>54</v>
      </c>
      <c r="S1896">
        <v>4</v>
      </c>
      <c r="T1896">
        <v>10</v>
      </c>
      <c r="U1896">
        <v>53</v>
      </c>
      <c r="V1896">
        <v>7</v>
      </c>
      <c r="W1896">
        <v>5</v>
      </c>
      <c r="X1896">
        <v>35</v>
      </c>
      <c r="Y1896">
        <v>205</v>
      </c>
      <c r="Z1896">
        <v>13</v>
      </c>
      <c r="AA1896">
        <v>2</v>
      </c>
      <c r="AB1896">
        <v>1</v>
      </c>
      <c r="AC1896">
        <v>0</v>
      </c>
      <c r="AD1896">
        <v>0</v>
      </c>
      <c r="AE1896">
        <v>1</v>
      </c>
      <c r="AF1896">
        <v>0</v>
      </c>
      <c r="AK1896">
        <v>2</v>
      </c>
      <c r="AL1896">
        <v>0</v>
      </c>
      <c r="AM1896">
        <v>0</v>
      </c>
      <c r="AN1896">
        <v>3</v>
      </c>
      <c r="AT1896">
        <v>0</v>
      </c>
      <c r="AU1896">
        <v>9</v>
      </c>
      <c r="AV1896">
        <v>419</v>
      </c>
      <c r="AW1896">
        <v>419</v>
      </c>
      <c r="AX1896">
        <v>587</v>
      </c>
      <c r="BA1896">
        <v>1</v>
      </c>
      <c r="BC1896" t="s">
        <v>3890</v>
      </c>
      <c r="BD1896" s="4">
        <v>43283.43472222222</v>
      </c>
      <c r="BE1896" s="4">
        <v>43283.446574074071</v>
      </c>
      <c r="BF1896" s="4">
        <v>43283.446574074071</v>
      </c>
      <c r="BG1896" t="s">
        <v>83</v>
      </c>
      <c r="BH1896" t="s">
        <v>84</v>
      </c>
      <c r="BI1896" t="s">
        <v>85</v>
      </c>
    </row>
    <row r="1897" spans="1:61" x14ac:dyDescent="0.3">
      <c r="A1897" t="str">
        <f>"201088E0100"</f>
        <v>201088E0100</v>
      </c>
      <c r="B1897" s="2" t="s">
        <v>3891</v>
      </c>
      <c r="C1897">
        <v>20</v>
      </c>
      <c r="D1897" t="s">
        <v>79</v>
      </c>
      <c r="E1897">
        <v>9</v>
      </c>
      <c r="F1897" t="s">
        <v>3733</v>
      </c>
      <c r="G1897">
        <v>1088</v>
      </c>
      <c r="H1897">
        <v>1</v>
      </c>
      <c r="I1897" t="s">
        <v>145</v>
      </c>
      <c r="J1897">
        <v>0</v>
      </c>
      <c r="K1897">
        <v>2</v>
      </c>
      <c r="L1897">
        <v>2</v>
      </c>
      <c r="M1897">
        <v>58</v>
      </c>
      <c r="N1897">
        <v>142</v>
      </c>
      <c r="O1897">
        <v>5</v>
      </c>
      <c r="P1897">
        <v>142</v>
      </c>
      <c r="Q1897">
        <v>13</v>
      </c>
      <c r="R1897">
        <v>21</v>
      </c>
      <c r="S1897">
        <v>3</v>
      </c>
      <c r="T1897">
        <v>9</v>
      </c>
      <c r="U1897">
        <v>8</v>
      </c>
      <c r="V1897">
        <v>1</v>
      </c>
      <c r="W1897">
        <v>3</v>
      </c>
      <c r="X1897">
        <v>7</v>
      </c>
      <c r="Y1897">
        <v>62</v>
      </c>
      <c r="Z1897">
        <v>5</v>
      </c>
      <c r="AA1897">
        <v>1</v>
      </c>
      <c r="AB1897">
        <v>0</v>
      </c>
      <c r="AC1897">
        <v>0</v>
      </c>
      <c r="AD1897">
        <v>0</v>
      </c>
      <c r="AE1897">
        <v>0</v>
      </c>
      <c r="AF1897">
        <v>0</v>
      </c>
      <c r="AK1897">
        <v>0</v>
      </c>
      <c r="AL1897">
        <v>0</v>
      </c>
      <c r="AM1897">
        <v>6</v>
      </c>
      <c r="AN1897">
        <v>0</v>
      </c>
      <c r="AT1897">
        <v>0</v>
      </c>
      <c r="AU1897">
        <v>3</v>
      </c>
      <c r="AV1897">
        <v>142</v>
      </c>
      <c r="AW1897">
        <v>142</v>
      </c>
      <c r="AX1897">
        <v>179</v>
      </c>
      <c r="BA1897">
        <v>1</v>
      </c>
      <c r="BC1897" t="s">
        <v>3892</v>
      </c>
      <c r="BD1897" s="4">
        <v>43283.438888888886</v>
      </c>
      <c r="BE1897" s="4">
        <v>43283.444247685184</v>
      </c>
      <c r="BF1897" s="4">
        <v>43283.444247685184</v>
      </c>
      <c r="BG1897" t="s">
        <v>83</v>
      </c>
      <c r="BH1897" t="s">
        <v>84</v>
      </c>
      <c r="BI1897" t="s">
        <v>85</v>
      </c>
    </row>
    <row r="1898" spans="1:61" x14ac:dyDescent="0.3">
      <c r="A1898" t="str">
        <f>"201089B0100"</f>
        <v>201089B0100</v>
      </c>
      <c r="B1898" t="s">
        <v>3893</v>
      </c>
      <c r="C1898">
        <v>20</v>
      </c>
      <c r="D1898" t="s">
        <v>79</v>
      </c>
      <c r="E1898">
        <v>9</v>
      </c>
      <c r="F1898" t="s">
        <v>3733</v>
      </c>
      <c r="G1898">
        <v>1089</v>
      </c>
      <c r="H1898">
        <v>1</v>
      </c>
      <c r="I1898" t="s">
        <v>81</v>
      </c>
      <c r="J1898">
        <v>0</v>
      </c>
      <c r="K1898">
        <v>2</v>
      </c>
      <c r="L1898">
        <v>2</v>
      </c>
      <c r="M1898">
        <v>233</v>
      </c>
      <c r="N1898">
        <v>447</v>
      </c>
      <c r="O1898">
        <v>3</v>
      </c>
      <c r="P1898">
        <v>447</v>
      </c>
      <c r="Q1898">
        <v>24</v>
      </c>
      <c r="R1898">
        <v>70</v>
      </c>
      <c r="S1898">
        <v>16</v>
      </c>
      <c r="T1898">
        <v>7</v>
      </c>
      <c r="U1898">
        <v>34</v>
      </c>
      <c r="V1898">
        <v>8</v>
      </c>
      <c r="W1898">
        <v>4</v>
      </c>
      <c r="X1898">
        <v>48</v>
      </c>
      <c r="Y1898">
        <v>180</v>
      </c>
      <c r="Z1898">
        <v>7</v>
      </c>
      <c r="AA1898">
        <v>4</v>
      </c>
      <c r="AB1898">
        <v>0</v>
      </c>
      <c r="AC1898">
        <v>0</v>
      </c>
      <c r="AD1898">
        <v>0</v>
      </c>
      <c r="AE1898">
        <v>0</v>
      </c>
      <c r="AF1898">
        <v>0</v>
      </c>
      <c r="AK1898">
        <v>6</v>
      </c>
      <c r="AL1898">
        <v>2</v>
      </c>
      <c r="AM1898">
        <v>0</v>
      </c>
      <c r="AN1898">
        <v>1</v>
      </c>
      <c r="AT1898">
        <v>0</v>
      </c>
      <c r="AU1898">
        <v>36</v>
      </c>
      <c r="AV1898">
        <v>447</v>
      </c>
      <c r="AW1898">
        <v>447</v>
      </c>
      <c r="AX1898">
        <v>658</v>
      </c>
      <c r="BA1898">
        <v>1</v>
      </c>
      <c r="BC1898" t="s">
        <v>3894</v>
      </c>
      <c r="BD1898" s="4">
        <v>43283.441666666666</v>
      </c>
      <c r="BE1898" s="4">
        <v>43283.445601851854</v>
      </c>
      <c r="BF1898" s="4">
        <v>43283.445601851854</v>
      </c>
      <c r="BG1898" t="s">
        <v>83</v>
      </c>
      <c r="BH1898" t="s">
        <v>84</v>
      </c>
      <c r="BI1898" t="s">
        <v>85</v>
      </c>
    </row>
    <row r="1899" spans="1:61" x14ac:dyDescent="0.3">
      <c r="A1899" t="str">
        <f>"201089C0100"</f>
        <v>201089C0100</v>
      </c>
      <c r="B1899" t="s">
        <v>3895</v>
      </c>
      <c r="C1899">
        <v>20</v>
      </c>
      <c r="D1899" t="s">
        <v>79</v>
      </c>
      <c r="E1899">
        <v>9</v>
      </c>
      <c r="F1899" t="s">
        <v>3733</v>
      </c>
      <c r="G1899">
        <v>1089</v>
      </c>
      <c r="H1899">
        <v>1</v>
      </c>
      <c r="I1899" t="s">
        <v>89</v>
      </c>
      <c r="J1899">
        <v>0</v>
      </c>
      <c r="K1899">
        <v>2</v>
      </c>
      <c r="L1899">
        <v>2</v>
      </c>
      <c r="M1899">
        <v>205</v>
      </c>
      <c r="N1899">
        <v>475</v>
      </c>
      <c r="O1899">
        <v>5</v>
      </c>
      <c r="P1899">
        <v>475</v>
      </c>
      <c r="Q1899">
        <v>39</v>
      </c>
      <c r="R1899">
        <v>76</v>
      </c>
      <c r="S1899">
        <v>6</v>
      </c>
      <c r="T1899">
        <v>12</v>
      </c>
      <c r="U1899">
        <v>49</v>
      </c>
      <c r="V1899">
        <v>7</v>
      </c>
      <c r="W1899">
        <v>6</v>
      </c>
      <c r="X1899">
        <v>50</v>
      </c>
      <c r="Y1899">
        <v>162</v>
      </c>
      <c r="Z1899">
        <v>16</v>
      </c>
      <c r="AA1899">
        <v>5</v>
      </c>
      <c r="AB1899">
        <v>9</v>
      </c>
      <c r="AC1899">
        <v>2</v>
      </c>
      <c r="AD1899" t="s">
        <v>100</v>
      </c>
      <c r="AE1899" t="s">
        <v>100</v>
      </c>
      <c r="AF1899" t="s">
        <v>100</v>
      </c>
      <c r="AK1899">
        <v>6</v>
      </c>
      <c r="AL1899">
        <v>1</v>
      </c>
      <c r="AM1899" t="s">
        <v>100</v>
      </c>
      <c r="AN1899" t="s">
        <v>100</v>
      </c>
      <c r="AT1899" t="s">
        <v>100</v>
      </c>
      <c r="AU1899" t="s">
        <v>315</v>
      </c>
      <c r="AV1899">
        <v>475</v>
      </c>
      <c r="AW1899">
        <v>446</v>
      </c>
      <c r="AX1899">
        <v>658</v>
      </c>
      <c r="AZ1899" t="s">
        <v>101</v>
      </c>
      <c r="BA1899">
        <v>1</v>
      </c>
      <c r="BC1899" t="s">
        <v>3896</v>
      </c>
      <c r="BD1899" s="4">
        <v>43283.574999999997</v>
      </c>
      <c r="BE1899" s="4">
        <v>43283.580011574071</v>
      </c>
      <c r="BF1899" s="4">
        <v>43283.580011574071</v>
      </c>
      <c r="BG1899" t="s">
        <v>83</v>
      </c>
      <c r="BH1899" t="s">
        <v>84</v>
      </c>
      <c r="BI1899" t="s">
        <v>85</v>
      </c>
    </row>
    <row r="1900" spans="1:61" x14ac:dyDescent="0.3">
      <c r="A1900" t="str">
        <f>"201090B0100"</f>
        <v>201090B0100</v>
      </c>
      <c r="B1900" t="s">
        <v>3897</v>
      </c>
      <c r="C1900">
        <v>20</v>
      </c>
      <c r="D1900" t="s">
        <v>79</v>
      </c>
      <c r="E1900">
        <v>9</v>
      </c>
      <c r="F1900" t="s">
        <v>3733</v>
      </c>
      <c r="G1900">
        <v>1090</v>
      </c>
      <c r="H1900">
        <v>1</v>
      </c>
      <c r="I1900" t="s">
        <v>81</v>
      </c>
      <c r="J1900">
        <v>0</v>
      </c>
      <c r="K1900">
        <v>2</v>
      </c>
      <c r="L1900">
        <v>2</v>
      </c>
      <c r="M1900">
        <v>138</v>
      </c>
      <c r="N1900">
        <v>294</v>
      </c>
      <c r="O1900">
        <v>3</v>
      </c>
      <c r="P1900">
        <v>297</v>
      </c>
      <c r="Q1900">
        <v>25</v>
      </c>
      <c r="R1900">
        <v>37</v>
      </c>
      <c r="S1900">
        <v>6</v>
      </c>
      <c r="T1900">
        <v>20</v>
      </c>
      <c r="U1900">
        <v>14</v>
      </c>
      <c r="V1900">
        <v>13</v>
      </c>
      <c r="W1900">
        <v>3</v>
      </c>
      <c r="X1900">
        <v>4</v>
      </c>
      <c r="Y1900">
        <v>113</v>
      </c>
      <c r="Z1900">
        <v>35</v>
      </c>
      <c r="AA1900">
        <v>2</v>
      </c>
      <c r="AB1900">
        <v>2</v>
      </c>
      <c r="AC1900">
        <v>1</v>
      </c>
      <c r="AD1900">
        <v>1</v>
      </c>
      <c r="AE1900">
        <v>1</v>
      </c>
      <c r="AF1900">
        <v>0</v>
      </c>
      <c r="AK1900">
        <v>4</v>
      </c>
      <c r="AL1900">
        <v>0</v>
      </c>
      <c r="AM1900">
        <v>1</v>
      </c>
      <c r="AN1900">
        <v>0</v>
      </c>
      <c r="AT1900">
        <v>0</v>
      </c>
      <c r="AU1900">
        <v>15</v>
      </c>
      <c r="AV1900">
        <v>297</v>
      </c>
      <c r="AW1900">
        <v>297</v>
      </c>
      <c r="AX1900">
        <v>413</v>
      </c>
      <c r="BA1900">
        <v>1</v>
      </c>
      <c r="BC1900" s="2" t="s">
        <v>3898</v>
      </c>
      <c r="BD1900" s="4">
        <v>43283.457638888889</v>
      </c>
      <c r="BE1900" s="4">
        <v>43283.465370370373</v>
      </c>
      <c r="BF1900" s="4">
        <v>43283.465370370373</v>
      </c>
      <c r="BG1900" t="s">
        <v>83</v>
      </c>
      <c r="BH1900" t="s">
        <v>84</v>
      </c>
      <c r="BI1900" t="s">
        <v>85</v>
      </c>
    </row>
    <row r="1901" spans="1:61" x14ac:dyDescent="0.3">
      <c r="A1901" t="str">
        <f>"201090C0100"</f>
        <v>201090C0100</v>
      </c>
      <c r="B1901" t="s">
        <v>3899</v>
      </c>
      <c r="C1901">
        <v>20</v>
      </c>
      <c r="D1901" t="s">
        <v>79</v>
      </c>
      <c r="E1901">
        <v>9</v>
      </c>
      <c r="F1901" t="s">
        <v>3733</v>
      </c>
      <c r="G1901">
        <v>1090</v>
      </c>
      <c r="H1901">
        <v>1</v>
      </c>
      <c r="I1901" t="s">
        <v>89</v>
      </c>
      <c r="J1901">
        <v>0</v>
      </c>
      <c r="K1901">
        <v>2</v>
      </c>
      <c r="L1901">
        <v>2</v>
      </c>
      <c r="M1901">
        <v>152</v>
      </c>
      <c r="N1901">
        <v>283</v>
      </c>
      <c r="O1901">
        <v>2</v>
      </c>
      <c r="P1901">
        <v>283</v>
      </c>
      <c r="Q1901">
        <v>20</v>
      </c>
      <c r="R1901">
        <v>51</v>
      </c>
      <c r="S1901">
        <v>3</v>
      </c>
      <c r="T1901">
        <v>42</v>
      </c>
      <c r="U1901">
        <v>10</v>
      </c>
      <c r="V1901">
        <v>4</v>
      </c>
      <c r="W1901">
        <v>5</v>
      </c>
      <c r="X1901">
        <v>4</v>
      </c>
      <c r="Y1901">
        <v>87</v>
      </c>
      <c r="Z1901">
        <v>22</v>
      </c>
      <c r="AA1901">
        <v>1</v>
      </c>
      <c r="AB1901">
        <v>1</v>
      </c>
      <c r="AC1901">
        <v>1</v>
      </c>
      <c r="AD1901">
        <v>0</v>
      </c>
      <c r="AE1901">
        <v>1</v>
      </c>
      <c r="AF1901">
        <v>0</v>
      </c>
      <c r="AK1901">
        <v>4</v>
      </c>
      <c r="AL1901">
        <v>1</v>
      </c>
      <c r="AM1901">
        <v>0</v>
      </c>
      <c r="AN1901">
        <v>2</v>
      </c>
      <c r="AT1901">
        <v>0</v>
      </c>
      <c r="AU1901">
        <v>24</v>
      </c>
      <c r="AV1901">
        <v>283</v>
      </c>
      <c r="AW1901">
        <v>283</v>
      </c>
      <c r="AX1901">
        <v>413</v>
      </c>
      <c r="BA1901">
        <v>1</v>
      </c>
      <c r="BC1901" t="s">
        <v>3900</v>
      </c>
      <c r="BD1901" s="4">
        <v>43283.458333333336</v>
      </c>
      <c r="BE1901" s="4">
        <v>43283.464050925926</v>
      </c>
      <c r="BF1901" s="4">
        <v>43283.464050925926</v>
      </c>
      <c r="BG1901" t="s">
        <v>83</v>
      </c>
      <c r="BH1901" t="s">
        <v>84</v>
      </c>
      <c r="BI1901" t="s">
        <v>85</v>
      </c>
    </row>
    <row r="1902" spans="1:61" x14ac:dyDescent="0.3">
      <c r="A1902" t="str">
        <f>"201090E0100"</f>
        <v>201090E0100</v>
      </c>
      <c r="B1902" s="2" t="s">
        <v>3901</v>
      </c>
      <c r="C1902">
        <v>20</v>
      </c>
      <c r="D1902" t="s">
        <v>79</v>
      </c>
      <c r="E1902">
        <v>9</v>
      </c>
      <c r="F1902" t="s">
        <v>3733</v>
      </c>
      <c r="G1902">
        <v>1090</v>
      </c>
      <c r="H1902">
        <v>1</v>
      </c>
      <c r="I1902" t="s">
        <v>145</v>
      </c>
      <c r="J1902">
        <v>0</v>
      </c>
      <c r="K1902">
        <v>2</v>
      </c>
      <c r="L1902">
        <v>2</v>
      </c>
      <c r="M1902">
        <v>165</v>
      </c>
      <c r="N1902">
        <v>398</v>
      </c>
      <c r="O1902">
        <v>3</v>
      </c>
      <c r="P1902">
        <v>398</v>
      </c>
      <c r="Q1902">
        <v>29</v>
      </c>
      <c r="R1902">
        <v>53</v>
      </c>
      <c r="S1902">
        <v>10</v>
      </c>
      <c r="T1902">
        <v>71</v>
      </c>
      <c r="U1902">
        <v>29</v>
      </c>
      <c r="V1902">
        <v>10</v>
      </c>
      <c r="W1902">
        <v>10</v>
      </c>
      <c r="X1902">
        <v>10</v>
      </c>
      <c r="Y1902">
        <v>121</v>
      </c>
      <c r="Z1902">
        <v>5</v>
      </c>
      <c r="AA1902">
        <v>6</v>
      </c>
      <c r="AB1902">
        <v>1</v>
      </c>
      <c r="AC1902">
        <v>2</v>
      </c>
      <c r="AD1902">
        <v>1</v>
      </c>
      <c r="AE1902">
        <v>0</v>
      </c>
      <c r="AF1902">
        <v>0</v>
      </c>
      <c r="AK1902">
        <v>5</v>
      </c>
      <c r="AL1902">
        <v>1</v>
      </c>
      <c r="AM1902">
        <v>0</v>
      </c>
      <c r="AN1902">
        <v>0</v>
      </c>
      <c r="AT1902">
        <v>0</v>
      </c>
      <c r="AU1902">
        <v>34</v>
      </c>
      <c r="AV1902">
        <v>398</v>
      </c>
      <c r="AW1902">
        <v>398</v>
      </c>
      <c r="AX1902">
        <v>541</v>
      </c>
      <c r="BA1902">
        <v>1</v>
      </c>
      <c r="BC1902" t="s">
        <v>3902</v>
      </c>
      <c r="BD1902" s="4">
        <v>43283.456250000003</v>
      </c>
      <c r="BE1902" s="4">
        <v>43283.461423611108</v>
      </c>
      <c r="BF1902" s="4">
        <v>43283.461423611108</v>
      </c>
      <c r="BG1902" t="s">
        <v>83</v>
      </c>
      <c r="BH1902" t="s">
        <v>84</v>
      </c>
      <c r="BI1902" t="s">
        <v>85</v>
      </c>
    </row>
    <row r="1903" spans="1:61" x14ac:dyDescent="0.3">
      <c r="A1903" t="str">
        <f>"201091B0100"</f>
        <v>201091B0100</v>
      </c>
      <c r="B1903" t="s">
        <v>3903</v>
      </c>
      <c r="C1903">
        <v>20</v>
      </c>
      <c r="D1903" t="s">
        <v>79</v>
      </c>
      <c r="E1903">
        <v>9</v>
      </c>
      <c r="F1903" t="s">
        <v>3733</v>
      </c>
      <c r="G1903">
        <v>1091</v>
      </c>
      <c r="H1903">
        <v>1</v>
      </c>
      <c r="I1903" t="s">
        <v>81</v>
      </c>
      <c r="J1903">
        <v>0</v>
      </c>
      <c r="K1903">
        <v>2</v>
      </c>
      <c r="L1903">
        <v>2</v>
      </c>
      <c r="M1903">
        <v>212</v>
      </c>
      <c r="N1903">
        <v>325</v>
      </c>
      <c r="O1903">
        <v>0</v>
      </c>
      <c r="P1903">
        <v>0</v>
      </c>
      <c r="Q1903">
        <v>21</v>
      </c>
      <c r="R1903">
        <v>18</v>
      </c>
      <c r="S1903">
        <v>3</v>
      </c>
      <c r="T1903">
        <v>13</v>
      </c>
      <c r="U1903">
        <v>22</v>
      </c>
      <c r="V1903">
        <v>3</v>
      </c>
      <c r="W1903">
        <v>8</v>
      </c>
      <c r="X1903">
        <v>27</v>
      </c>
      <c r="Y1903">
        <v>157</v>
      </c>
      <c r="Z1903">
        <v>12</v>
      </c>
      <c r="AA1903">
        <v>5</v>
      </c>
      <c r="AB1903">
        <v>1</v>
      </c>
      <c r="AC1903">
        <v>0</v>
      </c>
      <c r="AD1903">
        <v>0</v>
      </c>
      <c r="AE1903">
        <v>0</v>
      </c>
      <c r="AF1903">
        <v>0</v>
      </c>
      <c r="AK1903">
        <v>9</v>
      </c>
      <c r="AL1903">
        <v>2</v>
      </c>
      <c r="AM1903">
        <v>0</v>
      </c>
      <c r="AN1903">
        <v>2</v>
      </c>
      <c r="AT1903">
        <v>0</v>
      </c>
      <c r="AU1903">
        <v>22</v>
      </c>
      <c r="AV1903">
        <v>325</v>
      </c>
      <c r="AW1903">
        <v>325</v>
      </c>
      <c r="AX1903">
        <v>515</v>
      </c>
      <c r="BA1903">
        <v>1</v>
      </c>
      <c r="BC1903" t="s">
        <v>3904</v>
      </c>
      <c r="BD1903" s="4">
        <v>43283.432638888888</v>
      </c>
      <c r="BE1903" s="4">
        <v>43283.436701388891</v>
      </c>
      <c r="BF1903" s="4">
        <v>43283.436701388891</v>
      </c>
      <c r="BG1903" t="s">
        <v>83</v>
      </c>
      <c r="BH1903" t="s">
        <v>84</v>
      </c>
      <c r="BI1903" t="s">
        <v>85</v>
      </c>
    </row>
    <row r="1904" spans="1:61" x14ac:dyDescent="0.3">
      <c r="A1904" t="str">
        <f>"201091C0100"</f>
        <v>201091C0100</v>
      </c>
      <c r="B1904" t="s">
        <v>3905</v>
      </c>
      <c r="C1904">
        <v>20</v>
      </c>
      <c r="D1904" t="s">
        <v>79</v>
      </c>
      <c r="E1904">
        <v>9</v>
      </c>
      <c r="F1904" t="s">
        <v>3733</v>
      </c>
      <c r="G1904">
        <v>1091</v>
      </c>
      <c r="H1904">
        <v>1</v>
      </c>
      <c r="I1904" t="s">
        <v>89</v>
      </c>
      <c r="J1904">
        <v>0</v>
      </c>
      <c r="K1904">
        <v>2</v>
      </c>
      <c r="L1904">
        <v>2</v>
      </c>
      <c r="M1904">
        <v>192</v>
      </c>
      <c r="N1904">
        <v>344</v>
      </c>
      <c r="O1904">
        <v>2</v>
      </c>
      <c r="P1904">
        <v>344</v>
      </c>
      <c r="Q1904">
        <v>9</v>
      </c>
      <c r="R1904">
        <v>16</v>
      </c>
      <c r="S1904">
        <v>6</v>
      </c>
      <c r="T1904">
        <v>23</v>
      </c>
      <c r="U1904">
        <v>25</v>
      </c>
      <c r="V1904">
        <v>5</v>
      </c>
      <c r="W1904">
        <v>10</v>
      </c>
      <c r="X1904">
        <v>17</v>
      </c>
      <c r="Y1904">
        <v>165</v>
      </c>
      <c r="Z1904">
        <v>20</v>
      </c>
      <c r="AA1904">
        <v>4</v>
      </c>
      <c r="AB1904">
        <v>7</v>
      </c>
      <c r="AC1904">
        <v>0</v>
      </c>
      <c r="AD1904">
        <v>0</v>
      </c>
      <c r="AE1904">
        <v>1</v>
      </c>
      <c r="AF1904">
        <v>0</v>
      </c>
      <c r="AK1904">
        <v>13</v>
      </c>
      <c r="AL1904">
        <v>3</v>
      </c>
      <c r="AM1904">
        <v>0</v>
      </c>
      <c r="AN1904">
        <v>1</v>
      </c>
      <c r="AT1904">
        <v>0</v>
      </c>
      <c r="AU1904">
        <v>19</v>
      </c>
      <c r="AV1904">
        <v>344</v>
      </c>
      <c r="AW1904">
        <v>344</v>
      </c>
      <c r="AX1904">
        <v>514</v>
      </c>
      <c r="BA1904">
        <v>1</v>
      </c>
      <c r="BC1904" t="s">
        <v>3906</v>
      </c>
      <c r="BD1904" s="4">
        <v>43283.429861111108</v>
      </c>
      <c r="BE1904" s="4">
        <v>43283.433344907404</v>
      </c>
      <c r="BF1904" s="4">
        <v>43283.433344907404</v>
      </c>
      <c r="BG1904" t="s">
        <v>83</v>
      </c>
      <c r="BH1904" t="s">
        <v>84</v>
      </c>
      <c r="BI1904" t="s">
        <v>85</v>
      </c>
    </row>
    <row r="1905" spans="1:61" x14ac:dyDescent="0.3">
      <c r="A1905" t="str">
        <f>"201091E0100"</f>
        <v>201091E0100</v>
      </c>
      <c r="B1905" s="2" t="s">
        <v>3907</v>
      </c>
      <c r="C1905">
        <v>20</v>
      </c>
      <c r="D1905" t="s">
        <v>79</v>
      </c>
      <c r="E1905">
        <v>9</v>
      </c>
      <c r="F1905" t="s">
        <v>3733</v>
      </c>
      <c r="G1905">
        <v>1091</v>
      </c>
      <c r="H1905">
        <v>1</v>
      </c>
      <c r="I1905" t="s">
        <v>145</v>
      </c>
      <c r="J1905">
        <v>0</v>
      </c>
      <c r="K1905">
        <v>2</v>
      </c>
      <c r="L1905">
        <v>2</v>
      </c>
      <c r="M1905">
        <v>104</v>
      </c>
      <c r="N1905">
        <v>286</v>
      </c>
      <c r="O1905">
        <v>4</v>
      </c>
      <c r="P1905">
        <v>286</v>
      </c>
      <c r="Q1905">
        <v>23</v>
      </c>
      <c r="R1905">
        <v>19</v>
      </c>
      <c r="S1905">
        <v>11</v>
      </c>
      <c r="T1905">
        <v>17</v>
      </c>
      <c r="U1905">
        <v>25</v>
      </c>
      <c r="V1905">
        <v>5</v>
      </c>
      <c r="W1905">
        <v>3</v>
      </c>
      <c r="X1905">
        <v>10</v>
      </c>
      <c r="Y1905">
        <v>129</v>
      </c>
      <c r="Z1905">
        <v>14</v>
      </c>
      <c r="AA1905">
        <v>2</v>
      </c>
      <c r="AB1905">
        <v>1</v>
      </c>
      <c r="AC1905">
        <v>1</v>
      </c>
      <c r="AD1905">
        <v>0</v>
      </c>
      <c r="AE1905">
        <v>0</v>
      </c>
      <c r="AF1905">
        <v>0</v>
      </c>
      <c r="AK1905">
        <v>2</v>
      </c>
      <c r="AL1905">
        <v>1</v>
      </c>
      <c r="AM1905">
        <v>0</v>
      </c>
      <c r="AN1905">
        <v>1</v>
      </c>
      <c r="AT1905">
        <v>0</v>
      </c>
      <c r="AU1905">
        <v>22</v>
      </c>
      <c r="AV1905">
        <v>286</v>
      </c>
      <c r="AW1905">
        <v>286</v>
      </c>
      <c r="AX1905">
        <v>368</v>
      </c>
      <c r="BA1905">
        <v>1</v>
      </c>
      <c r="BC1905" t="s">
        <v>3908</v>
      </c>
      <c r="BD1905" s="4">
        <v>43283.427777777775</v>
      </c>
      <c r="BE1905" s="4">
        <v>43283.432673611111</v>
      </c>
      <c r="BF1905" s="4">
        <v>43283.432673611111</v>
      </c>
      <c r="BG1905" t="s">
        <v>83</v>
      </c>
      <c r="BH1905" t="s">
        <v>84</v>
      </c>
      <c r="BI1905" t="s">
        <v>85</v>
      </c>
    </row>
    <row r="1906" spans="1:61" x14ac:dyDescent="0.3">
      <c r="A1906" t="str">
        <f>"201092B0100"</f>
        <v>201092B0100</v>
      </c>
      <c r="B1906" t="s">
        <v>3909</v>
      </c>
      <c r="C1906">
        <v>20</v>
      </c>
      <c r="D1906" t="s">
        <v>79</v>
      </c>
      <c r="E1906">
        <v>9</v>
      </c>
      <c r="F1906" t="s">
        <v>3733</v>
      </c>
      <c r="G1906">
        <v>1092</v>
      </c>
      <c r="H1906">
        <v>1</v>
      </c>
      <c r="I1906" t="s">
        <v>81</v>
      </c>
      <c r="J1906">
        <v>0</v>
      </c>
      <c r="K1906">
        <v>2</v>
      </c>
      <c r="L1906">
        <v>2</v>
      </c>
      <c r="M1906">
        <v>168</v>
      </c>
      <c r="N1906">
        <v>346</v>
      </c>
      <c r="O1906">
        <v>2</v>
      </c>
      <c r="P1906">
        <v>346</v>
      </c>
      <c r="Q1906">
        <v>40</v>
      </c>
      <c r="R1906">
        <v>45</v>
      </c>
      <c r="S1906">
        <v>9</v>
      </c>
      <c r="T1906">
        <v>25</v>
      </c>
      <c r="U1906">
        <v>44</v>
      </c>
      <c r="V1906">
        <v>5</v>
      </c>
      <c r="W1906">
        <v>2</v>
      </c>
      <c r="X1906">
        <v>11</v>
      </c>
      <c r="Y1906">
        <v>104</v>
      </c>
      <c r="Z1906">
        <v>10</v>
      </c>
      <c r="AA1906">
        <v>2</v>
      </c>
      <c r="AB1906">
        <v>0</v>
      </c>
      <c r="AC1906">
        <v>1</v>
      </c>
      <c r="AD1906">
        <v>0</v>
      </c>
      <c r="AE1906">
        <v>2</v>
      </c>
      <c r="AF1906">
        <v>1</v>
      </c>
      <c r="AK1906">
        <v>4</v>
      </c>
      <c r="AL1906">
        <v>1</v>
      </c>
      <c r="AM1906">
        <v>0</v>
      </c>
      <c r="AN1906">
        <v>1</v>
      </c>
      <c r="AT1906">
        <v>0</v>
      </c>
      <c r="AU1906">
        <v>39</v>
      </c>
      <c r="AV1906">
        <v>346</v>
      </c>
      <c r="AW1906">
        <v>346</v>
      </c>
      <c r="AX1906">
        <v>492</v>
      </c>
      <c r="BA1906">
        <v>1</v>
      </c>
      <c r="BC1906" t="s">
        <v>3910</v>
      </c>
      <c r="BD1906" s="4">
        <v>43283.433333333334</v>
      </c>
      <c r="BE1906" s="4">
        <v>43283.437199074076</v>
      </c>
      <c r="BF1906" s="4">
        <v>43283.437199074076</v>
      </c>
      <c r="BG1906" t="s">
        <v>83</v>
      </c>
      <c r="BH1906" t="s">
        <v>84</v>
      </c>
      <c r="BI1906" t="s">
        <v>85</v>
      </c>
    </row>
    <row r="1907" spans="1:61" x14ac:dyDescent="0.3">
      <c r="A1907" t="str">
        <f>"201092E0100"</f>
        <v>201092E0100</v>
      </c>
      <c r="B1907" s="2" t="s">
        <v>3911</v>
      </c>
      <c r="C1907">
        <v>20</v>
      </c>
      <c r="D1907" t="s">
        <v>79</v>
      </c>
      <c r="E1907">
        <v>9</v>
      </c>
      <c r="F1907" t="s">
        <v>3733</v>
      </c>
      <c r="G1907">
        <v>1092</v>
      </c>
      <c r="H1907">
        <v>1</v>
      </c>
      <c r="I1907" t="s">
        <v>145</v>
      </c>
      <c r="J1907">
        <v>0</v>
      </c>
      <c r="K1907">
        <v>2</v>
      </c>
      <c r="L1907">
        <v>2</v>
      </c>
      <c r="M1907">
        <v>109</v>
      </c>
      <c r="N1907">
        <v>277</v>
      </c>
      <c r="O1907">
        <v>0</v>
      </c>
      <c r="P1907">
        <v>277</v>
      </c>
      <c r="Q1907">
        <v>20</v>
      </c>
      <c r="R1907">
        <v>11</v>
      </c>
      <c r="S1907">
        <v>3</v>
      </c>
      <c r="T1907">
        <v>4</v>
      </c>
      <c r="U1907">
        <v>44</v>
      </c>
      <c r="V1907">
        <v>7</v>
      </c>
      <c r="W1907">
        <v>1</v>
      </c>
      <c r="X1907">
        <v>19</v>
      </c>
      <c r="Y1907">
        <v>143</v>
      </c>
      <c r="Z1907">
        <v>9</v>
      </c>
      <c r="AA1907">
        <v>1</v>
      </c>
      <c r="AB1907">
        <v>3</v>
      </c>
      <c r="AC1907">
        <v>3</v>
      </c>
      <c r="AD1907">
        <v>0</v>
      </c>
      <c r="AE1907">
        <v>0</v>
      </c>
      <c r="AF1907">
        <v>0</v>
      </c>
      <c r="AK1907">
        <v>1</v>
      </c>
      <c r="AL1907">
        <v>0</v>
      </c>
      <c r="AM1907">
        <v>0</v>
      </c>
      <c r="AN1907">
        <v>0</v>
      </c>
      <c r="AT1907">
        <v>0</v>
      </c>
      <c r="AU1907">
        <v>8</v>
      </c>
      <c r="AV1907">
        <v>277</v>
      </c>
      <c r="AW1907">
        <v>277</v>
      </c>
      <c r="AX1907">
        <v>364</v>
      </c>
      <c r="BA1907">
        <v>1</v>
      </c>
      <c r="BC1907" t="s">
        <v>3912</v>
      </c>
      <c r="BD1907" s="4">
        <v>43283.431250000001</v>
      </c>
      <c r="BE1907" s="4">
        <v>43283.436307870368</v>
      </c>
      <c r="BF1907" s="4">
        <v>43283.436307870368</v>
      </c>
      <c r="BG1907" t="s">
        <v>83</v>
      </c>
      <c r="BH1907" t="s">
        <v>84</v>
      </c>
      <c r="BI1907" t="s">
        <v>85</v>
      </c>
    </row>
    <row r="1908" spans="1:61" x14ac:dyDescent="0.3">
      <c r="A1908" t="str">
        <f>"201093B0100"</f>
        <v>201093B0100</v>
      </c>
      <c r="B1908" t="s">
        <v>3913</v>
      </c>
      <c r="C1908">
        <v>20</v>
      </c>
      <c r="D1908" t="s">
        <v>79</v>
      </c>
      <c r="E1908">
        <v>9</v>
      </c>
      <c r="F1908" t="s">
        <v>3733</v>
      </c>
      <c r="G1908">
        <v>1093</v>
      </c>
      <c r="H1908">
        <v>1</v>
      </c>
      <c r="I1908" t="s">
        <v>81</v>
      </c>
      <c r="J1908">
        <v>0</v>
      </c>
      <c r="K1908">
        <v>2</v>
      </c>
      <c r="L1908">
        <v>2</v>
      </c>
      <c r="M1908">
        <v>273</v>
      </c>
      <c r="N1908">
        <v>489</v>
      </c>
      <c r="O1908">
        <v>4</v>
      </c>
      <c r="P1908">
        <v>489</v>
      </c>
      <c r="Q1908">
        <v>23</v>
      </c>
      <c r="R1908">
        <v>18</v>
      </c>
      <c r="S1908">
        <v>12</v>
      </c>
      <c r="T1908">
        <v>21</v>
      </c>
      <c r="U1908">
        <v>51</v>
      </c>
      <c r="V1908">
        <v>9</v>
      </c>
      <c r="W1908">
        <v>42</v>
      </c>
      <c r="X1908">
        <v>31</v>
      </c>
      <c r="Y1908">
        <v>104</v>
      </c>
      <c r="Z1908">
        <v>9</v>
      </c>
      <c r="AA1908">
        <v>4</v>
      </c>
      <c r="AB1908">
        <v>94</v>
      </c>
      <c r="AC1908">
        <v>1</v>
      </c>
      <c r="AD1908">
        <v>0</v>
      </c>
      <c r="AE1908">
        <v>0</v>
      </c>
      <c r="AF1908">
        <v>0</v>
      </c>
      <c r="AK1908">
        <v>5</v>
      </c>
      <c r="AL1908">
        <v>1</v>
      </c>
      <c r="AM1908">
        <v>1</v>
      </c>
      <c r="AN1908">
        <v>1</v>
      </c>
      <c r="AT1908">
        <v>0</v>
      </c>
      <c r="AU1908">
        <v>62</v>
      </c>
      <c r="AV1908">
        <v>489</v>
      </c>
      <c r="AW1908">
        <v>489</v>
      </c>
      <c r="AX1908">
        <v>740</v>
      </c>
      <c r="BA1908">
        <v>1</v>
      </c>
      <c r="BC1908" t="s">
        <v>3914</v>
      </c>
      <c r="BD1908" s="4">
        <v>43283.450694444444</v>
      </c>
      <c r="BE1908" s="4">
        <v>43283.455439814818</v>
      </c>
      <c r="BF1908" s="4">
        <v>43283.455439814818</v>
      </c>
      <c r="BG1908" t="s">
        <v>83</v>
      </c>
      <c r="BH1908" t="s">
        <v>84</v>
      </c>
      <c r="BI1908" t="s">
        <v>85</v>
      </c>
    </row>
    <row r="1909" spans="1:61" x14ac:dyDescent="0.3">
      <c r="A1909" t="str">
        <f>"201094B0100"</f>
        <v>201094B0100</v>
      </c>
      <c r="B1909" t="s">
        <v>3915</v>
      </c>
      <c r="C1909">
        <v>20</v>
      </c>
      <c r="D1909" t="s">
        <v>79</v>
      </c>
      <c r="E1909">
        <v>9</v>
      </c>
      <c r="F1909" t="s">
        <v>3733</v>
      </c>
      <c r="G1909">
        <v>1094</v>
      </c>
      <c r="H1909">
        <v>1</v>
      </c>
      <c r="I1909" t="s">
        <v>81</v>
      </c>
      <c r="J1909">
        <v>0</v>
      </c>
      <c r="K1909">
        <v>2</v>
      </c>
      <c r="L1909">
        <v>2</v>
      </c>
      <c r="M1909">
        <v>34</v>
      </c>
      <c r="N1909">
        <v>439</v>
      </c>
      <c r="O1909">
        <v>0</v>
      </c>
      <c r="P1909" t="s">
        <v>100</v>
      </c>
      <c r="Q1909">
        <v>18</v>
      </c>
      <c r="R1909">
        <v>54</v>
      </c>
      <c r="S1909">
        <v>5</v>
      </c>
      <c r="T1909">
        <v>16</v>
      </c>
      <c r="U1909">
        <v>16</v>
      </c>
      <c r="V1909">
        <v>11</v>
      </c>
      <c r="W1909">
        <v>2</v>
      </c>
      <c r="X1909">
        <v>13</v>
      </c>
      <c r="Y1909">
        <v>222</v>
      </c>
      <c r="Z1909">
        <v>20</v>
      </c>
      <c r="AA1909">
        <v>2</v>
      </c>
      <c r="AB1909">
        <v>4</v>
      </c>
      <c r="AC1909">
        <v>0</v>
      </c>
      <c r="AD1909">
        <v>2</v>
      </c>
      <c r="AE1909">
        <v>0</v>
      </c>
      <c r="AF1909">
        <v>0</v>
      </c>
      <c r="AK1909">
        <v>5</v>
      </c>
      <c r="AL1909">
        <v>0</v>
      </c>
      <c r="AM1909">
        <v>0</v>
      </c>
      <c r="AN1909">
        <v>0</v>
      </c>
      <c r="AT1909">
        <v>3</v>
      </c>
      <c r="AU1909">
        <v>11</v>
      </c>
      <c r="AV1909">
        <v>404</v>
      </c>
      <c r="AW1909">
        <v>404</v>
      </c>
      <c r="AX1909">
        <v>517</v>
      </c>
      <c r="BA1909">
        <v>1</v>
      </c>
      <c r="BC1909" t="s">
        <v>3916</v>
      </c>
      <c r="BD1909" s="4">
        <v>43283.451388888891</v>
      </c>
      <c r="BE1909" s="4">
        <v>43283.456400462965</v>
      </c>
      <c r="BF1909" s="4">
        <v>43283.456400462965</v>
      </c>
      <c r="BG1909" t="s">
        <v>83</v>
      </c>
      <c r="BH1909" t="s">
        <v>84</v>
      </c>
      <c r="BI1909" t="s">
        <v>85</v>
      </c>
    </row>
    <row r="1910" spans="1:61" x14ac:dyDescent="0.3">
      <c r="A1910" t="str">
        <f>"201094C0100"</f>
        <v>201094C0100</v>
      </c>
      <c r="B1910" t="s">
        <v>3917</v>
      </c>
      <c r="C1910">
        <v>20</v>
      </c>
      <c r="D1910" t="s">
        <v>79</v>
      </c>
      <c r="E1910">
        <v>9</v>
      </c>
      <c r="F1910" t="s">
        <v>3733</v>
      </c>
      <c r="G1910">
        <v>1094</v>
      </c>
      <c r="H1910">
        <v>1</v>
      </c>
      <c r="I1910" t="s">
        <v>89</v>
      </c>
      <c r="J1910">
        <v>0</v>
      </c>
      <c r="K1910">
        <v>2</v>
      </c>
      <c r="L1910">
        <v>2</v>
      </c>
      <c r="M1910">
        <v>128</v>
      </c>
      <c r="N1910">
        <v>410</v>
      </c>
      <c r="O1910">
        <v>1</v>
      </c>
      <c r="P1910" t="s">
        <v>100</v>
      </c>
      <c r="Q1910">
        <v>26</v>
      </c>
      <c r="R1910">
        <v>57</v>
      </c>
      <c r="S1910">
        <v>7</v>
      </c>
      <c r="T1910">
        <v>21</v>
      </c>
      <c r="U1910">
        <v>26</v>
      </c>
      <c r="V1910">
        <v>11</v>
      </c>
      <c r="W1910">
        <v>4</v>
      </c>
      <c r="X1910">
        <v>13</v>
      </c>
      <c r="Y1910">
        <v>207</v>
      </c>
      <c r="Z1910">
        <v>12</v>
      </c>
      <c r="AA1910">
        <v>0</v>
      </c>
      <c r="AB1910">
        <v>4</v>
      </c>
      <c r="AC1910">
        <v>0</v>
      </c>
      <c r="AD1910">
        <v>0</v>
      </c>
      <c r="AE1910">
        <v>1</v>
      </c>
      <c r="AF1910">
        <v>0</v>
      </c>
      <c r="AK1910">
        <v>3</v>
      </c>
      <c r="AL1910">
        <v>0</v>
      </c>
      <c r="AM1910">
        <v>7</v>
      </c>
      <c r="AN1910">
        <v>0</v>
      </c>
      <c r="AT1910" t="s">
        <v>100</v>
      </c>
      <c r="AU1910">
        <v>12</v>
      </c>
      <c r="AV1910" t="s">
        <v>100</v>
      </c>
      <c r="AW1910">
        <v>411</v>
      </c>
      <c r="AX1910">
        <v>517</v>
      </c>
      <c r="AZ1910" t="s">
        <v>101</v>
      </c>
      <c r="BA1910">
        <v>1</v>
      </c>
      <c r="BC1910" t="s">
        <v>3918</v>
      </c>
      <c r="BD1910" s="4">
        <v>43283.443749999999</v>
      </c>
      <c r="BE1910" s="4">
        <v>43283.450370370374</v>
      </c>
      <c r="BF1910" s="4">
        <v>43283.450370370374</v>
      </c>
      <c r="BG1910" t="s">
        <v>83</v>
      </c>
      <c r="BH1910" t="s">
        <v>84</v>
      </c>
      <c r="BI1910" t="s">
        <v>85</v>
      </c>
    </row>
    <row r="1911" spans="1:61" x14ac:dyDescent="0.3">
      <c r="A1911" t="str">
        <f>"201095B0100"</f>
        <v>201095B0100</v>
      </c>
      <c r="B1911" t="s">
        <v>3919</v>
      </c>
      <c r="C1911">
        <v>20</v>
      </c>
      <c r="D1911" t="s">
        <v>79</v>
      </c>
      <c r="E1911">
        <v>9</v>
      </c>
      <c r="F1911" t="s">
        <v>3733</v>
      </c>
      <c r="G1911">
        <v>1095</v>
      </c>
      <c r="H1911">
        <v>1</v>
      </c>
      <c r="I1911" t="s">
        <v>81</v>
      </c>
      <c r="J1911">
        <v>0</v>
      </c>
      <c r="K1911">
        <v>2</v>
      </c>
      <c r="L1911">
        <v>2</v>
      </c>
      <c r="M1911">
        <v>173</v>
      </c>
      <c r="N1911">
        <v>604</v>
      </c>
      <c r="O1911">
        <v>0</v>
      </c>
      <c r="P1911">
        <v>430</v>
      </c>
      <c r="Q1911">
        <v>38</v>
      </c>
      <c r="R1911">
        <v>59</v>
      </c>
      <c r="S1911">
        <v>5</v>
      </c>
      <c r="T1911">
        <v>19</v>
      </c>
      <c r="U1911">
        <v>17</v>
      </c>
      <c r="V1911">
        <v>11</v>
      </c>
      <c r="W1911">
        <v>9</v>
      </c>
      <c r="X1911">
        <v>12</v>
      </c>
      <c r="Y1911">
        <v>194</v>
      </c>
      <c r="Z1911">
        <v>15</v>
      </c>
      <c r="AA1911">
        <v>2</v>
      </c>
      <c r="AB1911">
        <v>6</v>
      </c>
      <c r="AC1911">
        <v>2</v>
      </c>
      <c r="AD1911">
        <v>0</v>
      </c>
      <c r="AE1911">
        <v>0</v>
      </c>
      <c r="AF1911">
        <v>0</v>
      </c>
      <c r="AK1911">
        <v>12</v>
      </c>
      <c r="AL1911">
        <v>3</v>
      </c>
      <c r="AM1911">
        <v>0</v>
      </c>
      <c r="AN1911">
        <v>2</v>
      </c>
      <c r="AT1911">
        <v>0</v>
      </c>
      <c r="AU1911">
        <v>24</v>
      </c>
      <c r="AV1911">
        <v>430</v>
      </c>
      <c r="AW1911">
        <v>430</v>
      </c>
      <c r="AX1911">
        <v>590</v>
      </c>
      <c r="BA1911">
        <v>1</v>
      </c>
      <c r="BC1911" t="s">
        <v>3920</v>
      </c>
      <c r="BD1911" s="4">
        <v>43283.445833333331</v>
      </c>
      <c r="BE1911" s="4">
        <v>43283.452210648145</v>
      </c>
      <c r="BF1911" s="4">
        <v>43283.452210648145</v>
      </c>
      <c r="BG1911" t="s">
        <v>83</v>
      </c>
      <c r="BH1911" t="s">
        <v>84</v>
      </c>
      <c r="BI1911" t="s">
        <v>85</v>
      </c>
    </row>
    <row r="1912" spans="1:61" x14ac:dyDescent="0.3">
      <c r="A1912" t="str">
        <f>"201095E0100"</f>
        <v>201095E0100</v>
      </c>
      <c r="B1912" s="2" t="s">
        <v>3921</v>
      </c>
      <c r="C1912">
        <v>20</v>
      </c>
      <c r="D1912" t="s">
        <v>79</v>
      </c>
      <c r="E1912">
        <v>9</v>
      </c>
      <c r="F1912" t="s">
        <v>3733</v>
      </c>
      <c r="G1912">
        <v>1095</v>
      </c>
      <c r="H1912">
        <v>1</v>
      </c>
      <c r="I1912" t="s">
        <v>145</v>
      </c>
      <c r="J1912">
        <v>0</v>
      </c>
      <c r="K1912">
        <v>2</v>
      </c>
      <c r="L1912">
        <v>2</v>
      </c>
      <c r="M1912">
        <v>145</v>
      </c>
      <c r="N1912">
        <v>218</v>
      </c>
      <c r="O1912">
        <v>6</v>
      </c>
      <c r="P1912">
        <v>218</v>
      </c>
      <c r="Q1912">
        <v>18</v>
      </c>
      <c r="R1912">
        <v>16</v>
      </c>
      <c r="S1912">
        <v>2</v>
      </c>
      <c r="T1912">
        <v>10</v>
      </c>
      <c r="U1912">
        <v>9</v>
      </c>
      <c r="V1912">
        <v>1</v>
      </c>
      <c r="W1912">
        <v>3</v>
      </c>
      <c r="X1912">
        <v>3</v>
      </c>
      <c r="Y1912">
        <v>121</v>
      </c>
      <c r="Z1912">
        <v>4</v>
      </c>
      <c r="AA1912">
        <v>0</v>
      </c>
      <c r="AB1912">
        <v>1</v>
      </c>
      <c r="AC1912">
        <v>1</v>
      </c>
      <c r="AD1912">
        <v>0</v>
      </c>
      <c r="AE1912">
        <v>1</v>
      </c>
      <c r="AF1912">
        <v>0</v>
      </c>
      <c r="AK1912">
        <v>1</v>
      </c>
      <c r="AL1912">
        <v>2</v>
      </c>
      <c r="AM1912">
        <v>0</v>
      </c>
      <c r="AN1912">
        <v>1</v>
      </c>
      <c r="AT1912">
        <v>0</v>
      </c>
      <c r="AU1912">
        <v>24</v>
      </c>
      <c r="AV1912">
        <v>218</v>
      </c>
      <c r="AW1912">
        <v>218</v>
      </c>
      <c r="AX1912">
        <v>341</v>
      </c>
      <c r="BA1912">
        <v>1</v>
      </c>
      <c r="BC1912" t="s">
        <v>3922</v>
      </c>
      <c r="BD1912" s="4">
        <v>43283.448611111111</v>
      </c>
      <c r="BE1912" s="4">
        <v>43283.457719907405</v>
      </c>
      <c r="BF1912" s="4">
        <v>43283.457719907405</v>
      </c>
      <c r="BG1912" t="s">
        <v>83</v>
      </c>
      <c r="BH1912" t="s">
        <v>84</v>
      </c>
      <c r="BI1912" t="s">
        <v>85</v>
      </c>
    </row>
    <row r="1913" spans="1:61" x14ac:dyDescent="0.3">
      <c r="A1913" t="str">
        <f>"201095E0200"</f>
        <v>201095E0200</v>
      </c>
      <c r="B1913" s="2" t="s">
        <v>3923</v>
      </c>
      <c r="C1913">
        <v>20</v>
      </c>
      <c r="D1913" t="s">
        <v>79</v>
      </c>
      <c r="E1913">
        <v>9</v>
      </c>
      <c r="F1913" t="s">
        <v>3733</v>
      </c>
      <c r="G1913">
        <v>1095</v>
      </c>
      <c r="H1913">
        <v>2</v>
      </c>
      <c r="I1913" t="s">
        <v>145</v>
      </c>
      <c r="J1913">
        <v>0</v>
      </c>
      <c r="K1913">
        <v>2</v>
      </c>
      <c r="L1913">
        <v>2</v>
      </c>
      <c r="M1913">
        <v>105</v>
      </c>
      <c r="N1913">
        <v>202</v>
      </c>
      <c r="O1913">
        <v>3</v>
      </c>
      <c r="P1913">
        <v>202</v>
      </c>
      <c r="Q1913">
        <v>10</v>
      </c>
      <c r="R1913">
        <v>9</v>
      </c>
      <c r="S1913">
        <v>1</v>
      </c>
      <c r="T1913">
        <v>5</v>
      </c>
      <c r="U1913">
        <v>32</v>
      </c>
      <c r="V1913">
        <v>1</v>
      </c>
      <c r="W1913">
        <v>0</v>
      </c>
      <c r="X1913">
        <v>2</v>
      </c>
      <c r="Y1913">
        <v>110</v>
      </c>
      <c r="Z1913">
        <v>14</v>
      </c>
      <c r="AA1913">
        <v>1</v>
      </c>
      <c r="AB1913">
        <v>1</v>
      </c>
      <c r="AC1913">
        <v>1</v>
      </c>
      <c r="AD1913">
        <v>0</v>
      </c>
      <c r="AE1913">
        <v>0</v>
      </c>
      <c r="AF1913">
        <v>0</v>
      </c>
      <c r="AK1913">
        <v>5</v>
      </c>
      <c r="AL1913">
        <v>3</v>
      </c>
      <c r="AM1913">
        <v>0</v>
      </c>
      <c r="AN1913">
        <v>0</v>
      </c>
      <c r="AT1913">
        <v>0</v>
      </c>
      <c r="AU1913">
        <v>7</v>
      </c>
      <c r="AV1913">
        <v>202</v>
      </c>
      <c r="AW1913">
        <v>202</v>
      </c>
      <c r="AX1913">
        <v>285</v>
      </c>
      <c r="BA1913">
        <v>1</v>
      </c>
      <c r="BC1913" t="s">
        <v>3924</v>
      </c>
      <c r="BD1913" s="4">
        <v>43283.449305555558</v>
      </c>
      <c r="BE1913" s="4">
        <v>43283.453599537039</v>
      </c>
      <c r="BF1913" s="4">
        <v>43283.453599537039</v>
      </c>
      <c r="BG1913" t="s">
        <v>83</v>
      </c>
      <c r="BH1913" t="s">
        <v>84</v>
      </c>
      <c r="BI1913" t="s">
        <v>85</v>
      </c>
    </row>
    <row r="1914" spans="1:61" x14ac:dyDescent="0.3">
      <c r="A1914" t="str">
        <f>"201096B0100"</f>
        <v>201096B0100</v>
      </c>
      <c r="B1914" t="s">
        <v>3925</v>
      </c>
      <c r="C1914">
        <v>20</v>
      </c>
      <c r="D1914" t="s">
        <v>79</v>
      </c>
      <c r="E1914">
        <v>9</v>
      </c>
      <c r="F1914" t="s">
        <v>3733</v>
      </c>
      <c r="G1914">
        <v>1096</v>
      </c>
      <c r="H1914">
        <v>1</v>
      </c>
      <c r="I1914" t="s">
        <v>81</v>
      </c>
      <c r="J1914">
        <v>0</v>
      </c>
      <c r="K1914">
        <v>2</v>
      </c>
      <c r="L1914">
        <v>2</v>
      </c>
      <c r="M1914">
        <v>154</v>
      </c>
      <c r="N1914">
        <v>490</v>
      </c>
      <c r="O1914">
        <v>0</v>
      </c>
      <c r="P1914">
        <v>490</v>
      </c>
      <c r="Q1914">
        <v>27</v>
      </c>
      <c r="R1914">
        <v>84</v>
      </c>
      <c r="S1914">
        <v>15</v>
      </c>
      <c r="T1914">
        <v>34</v>
      </c>
      <c r="U1914">
        <v>24</v>
      </c>
      <c r="V1914">
        <v>15</v>
      </c>
      <c r="W1914">
        <v>3</v>
      </c>
      <c r="X1914">
        <v>48</v>
      </c>
      <c r="Y1914">
        <v>169</v>
      </c>
      <c r="Z1914">
        <v>21</v>
      </c>
      <c r="AA1914">
        <v>3</v>
      </c>
      <c r="AB1914">
        <v>4</v>
      </c>
      <c r="AC1914">
        <v>0</v>
      </c>
      <c r="AD1914">
        <v>0</v>
      </c>
      <c r="AE1914">
        <v>0</v>
      </c>
      <c r="AF1914">
        <v>0</v>
      </c>
      <c r="AK1914">
        <v>2</v>
      </c>
      <c r="AL1914">
        <v>4</v>
      </c>
      <c r="AM1914">
        <v>0</v>
      </c>
      <c r="AN1914">
        <v>2</v>
      </c>
      <c r="AT1914">
        <v>0</v>
      </c>
      <c r="AU1914">
        <v>35</v>
      </c>
      <c r="AV1914">
        <v>490</v>
      </c>
      <c r="AW1914">
        <v>490</v>
      </c>
      <c r="AX1914">
        <v>622</v>
      </c>
      <c r="BA1914">
        <v>1</v>
      </c>
      <c r="BC1914" t="s">
        <v>3926</v>
      </c>
      <c r="BD1914" s="4">
        <v>43283.459722222222</v>
      </c>
      <c r="BE1914" s="4">
        <v>43283.467094907406</v>
      </c>
      <c r="BF1914" s="4">
        <v>43283.467094907406</v>
      </c>
      <c r="BG1914" t="s">
        <v>83</v>
      </c>
      <c r="BH1914" t="s">
        <v>84</v>
      </c>
      <c r="BI1914" t="s">
        <v>85</v>
      </c>
    </row>
    <row r="1915" spans="1:61" x14ac:dyDescent="0.3">
      <c r="A1915" t="str">
        <f>"201097B0100"</f>
        <v>201097B0100</v>
      </c>
      <c r="B1915" t="s">
        <v>3927</v>
      </c>
      <c r="C1915">
        <v>20</v>
      </c>
      <c r="D1915" t="s">
        <v>79</v>
      </c>
      <c r="E1915">
        <v>9</v>
      </c>
      <c r="F1915" t="s">
        <v>3733</v>
      </c>
      <c r="G1915">
        <v>1097</v>
      </c>
      <c r="H1915">
        <v>1</v>
      </c>
      <c r="I1915" t="s">
        <v>81</v>
      </c>
      <c r="J1915">
        <v>0</v>
      </c>
      <c r="K1915">
        <v>2</v>
      </c>
      <c r="L1915">
        <v>2</v>
      </c>
      <c r="M1915">
        <v>148</v>
      </c>
      <c r="N1915">
        <v>438</v>
      </c>
      <c r="O1915">
        <v>0</v>
      </c>
      <c r="P1915" t="s">
        <v>315</v>
      </c>
      <c r="Q1915">
        <v>20</v>
      </c>
      <c r="R1915">
        <v>44</v>
      </c>
      <c r="S1915">
        <v>5</v>
      </c>
      <c r="T1915">
        <v>16</v>
      </c>
      <c r="U1915">
        <v>43</v>
      </c>
      <c r="V1915">
        <v>9</v>
      </c>
      <c r="W1915">
        <v>6</v>
      </c>
      <c r="X1915">
        <v>12</v>
      </c>
      <c r="Y1915">
        <v>214</v>
      </c>
      <c r="Z1915">
        <v>21</v>
      </c>
      <c r="AA1915">
        <v>2</v>
      </c>
      <c r="AB1915">
        <v>3</v>
      </c>
      <c r="AC1915">
        <v>1</v>
      </c>
      <c r="AD1915">
        <v>0</v>
      </c>
      <c r="AE1915">
        <v>0</v>
      </c>
      <c r="AF1915">
        <v>0</v>
      </c>
      <c r="AK1915">
        <v>10</v>
      </c>
      <c r="AL1915">
        <v>2</v>
      </c>
      <c r="AM1915">
        <v>1</v>
      </c>
      <c r="AN1915">
        <v>1</v>
      </c>
      <c r="AT1915">
        <v>0</v>
      </c>
      <c r="AU1915">
        <v>27</v>
      </c>
      <c r="AV1915">
        <v>437</v>
      </c>
      <c r="AW1915">
        <v>437</v>
      </c>
      <c r="AX1915">
        <v>564</v>
      </c>
      <c r="BA1915">
        <v>1</v>
      </c>
      <c r="BC1915" t="s">
        <v>3928</v>
      </c>
      <c r="BD1915" s="4">
        <v>43283.538888888892</v>
      </c>
      <c r="BE1915" s="4">
        <v>43283.544907407406</v>
      </c>
      <c r="BF1915" s="4">
        <v>43283.544907407406</v>
      </c>
      <c r="BG1915" t="s">
        <v>83</v>
      </c>
      <c r="BH1915" t="s">
        <v>84</v>
      </c>
      <c r="BI1915" t="s">
        <v>85</v>
      </c>
    </row>
    <row r="1916" spans="1:61" x14ac:dyDescent="0.3">
      <c r="A1916" t="str">
        <f>"201098B0100"</f>
        <v>201098B0100</v>
      </c>
      <c r="B1916" t="s">
        <v>3929</v>
      </c>
      <c r="C1916">
        <v>20</v>
      </c>
      <c r="D1916" t="s">
        <v>79</v>
      </c>
      <c r="E1916">
        <v>9</v>
      </c>
      <c r="F1916" t="s">
        <v>3733</v>
      </c>
      <c r="G1916">
        <v>1098</v>
      </c>
      <c r="H1916">
        <v>1</v>
      </c>
      <c r="I1916" t="s">
        <v>81</v>
      </c>
      <c r="J1916">
        <v>0</v>
      </c>
      <c r="K1916">
        <v>2</v>
      </c>
      <c r="L1916">
        <v>2</v>
      </c>
      <c r="M1916">
        <v>174</v>
      </c>
      <c r="N1916">
        <v>479</v>
      </c>
      <c r="O1916">
        <v>2</v>
      </c>
      <c r="P1916">
        <v>479</v>
      </c>
      <c r="Q1916">
        <v>21</v>
      </c>
      <c r="R1916">
        <v>48</v>
      </c>
      <c r="S1916">
        <v>11</v>
      </c>
      <c r="T1916">
        <v>26</v>
      </c>
      <c r="U1916">
        <v>43</v>
      </c>
      <c r="V1916">
        <v>6</v>
      </c>
      <c r="W1916">
        <v>8</v>
      </c>
      <c r="X1916">
        <v>19</v>
      </c>
      <c r="Y1916">
        <v>197</v>
      </c>
      <c r="Z1916">
        <v>42</v>
      </c>
      <c r="AA1916">
        <v>2</v>
      </c>
      <c r="AB1916">
        <v>1</v>
      </c>
      <c r="AC1916">
        <v>2</v>
      </c>
      <c r="AD1916">
        <v>0</v>
      </c>
      <c r="AE1916">
        <v>0</v>
      </c>
      <c r="AF1916">
        <v>1</v>
      </c>
      <c r="AK1916">
        <v>14</v>
      </c>
      <c r="AL1916">
        <v>5</v>
      </c>
      <c r="AM1916">
        <v>1</v>
      </c>
      <c r="AN1916">
        <v>6</v>
      </c>
      <c r="AT1916">
        <v>0</v>
      </c>
      <c r="AU1916">
        <v>26</v>
      </c>
      <c r="AV1916">
        <v>479</v>
      </c>
      <c r="AW1916">
        <v>479</v>
      </c>
      <c r="AX1916">
        <v>631</v>
      </c>
      <c r="BA1916">
        <v>1</v>
      </c>
      <c r="BC1916" t="s">
        <v>3930</v>
      </c>
      <c r="BD1916" s="4">
        <v>43283.461111111108</v>
      </c>
      <c r="BE1916" s="4">
        <v>43283.466331018521</v>
      </c>
      <c r="BF1916" s="4">
        <v>43283.466331018521</v>
      </c>
      <c r="BG1916" t="s">
        <v>83</v>
      </c>
      <c r="BH1916" t="s">
        <v>84</v>
      </c>
      <c r="BI1916" t="s">
        <v>85</v>
      </c>
    </row>
    <row r="1917" spans="1:61" x14ac:dyDescent="0.3">
      <c r="A1917" t="str">
        <f>"201106B0100"</f>
        <v>201106B0100</v>
      </c>
      <c r="B1917" t="s">
        <v>3931</v>
      </c>
      <c r="C1917">
        <v>20</v>
      </c>
      <c r="D1917" t="s">
        <v>79</v>
      </c>
      <c r="E1917">
        <v>9</v>
      </c>
      <c r="F1917" t="s">
        <v>3733</v>
      </c>
      <c r="G1917">
        <v>1106</v>
      </c>
      <c r="H1917">
        <v>1</v>
      </c>
      <c r="I1917" t="s">
        <v>81</v>
      </c>
      <c r="J1917">
        <v>0</v>
      </c>
      <c r="K1917">
        <v>2</v>
      </c>
      <c r="L1917">
        <v>2</v>
      </c>
      <c r="M1917">
        <v>98</v>
      </c>
      <c r="N1917">
        <v>172</v>
      </c>
      <c r="O1917">
        <v>1</v>
      </c>
      <c r="P1917">
        <v>172</v>
      </c>
      <c r="Q1917">
        <v>14</v>
      </c>
      <c r="R1917">
        <v>52</v>
      </c>
      <c r="S1917">
        <v>2</v>
      </c>
      <c r="T1917">
        <v>1</v>
      </c>
      <c r="U1917">
        <v>14</v>
      </c>
      <c r="V1917">
        <v>3</v>
      </c>
      <c r="W1917">
        <v>6</v>
      </c>
      <c r="X1917">
        <v>2</v>
      </c>
      <c r="Y1917">
        <v>55</v>
      </c>
      <c r="Z1917">
        <v>4</v>
      </c>
      <c r="AA1917">
        <v>1</v>
      </c>
      <c r="AB1917">
        <v>2</v>
      </c>
      <c r="AC1917">
        <v>0</v>
      </c>
      <c r="AD1917">
        <v>0</v>
      </c>
      <c r="AE1917">
        <v>0</v>
      </c>
      <c r="AF1917">
        <v>0</v>
      </c>
      <c r="AK1917">
        <v>1</v>
      </c>
      <c r="AL1917">
        <v>0</v>
      </c>
      <c r="AM1917">
        <v>0</v>
      </c>
      <c r="AN1917">
        <v>2</v>
      </c>
      <c r="AT1917">
        <v>0</v>
      </c>
      <c r="AU1917">
        <v>13</v>
      </c>
      <c r="AV1917">
        <v>172</v>
      </c>
      <c r="AW1917">
        <v>172</v>
      </c>
      <c r="AX1917">
        <v>248</v>
      </c>
      <c r="BA1917">
        <v>1</v>
      </c>
      <c r="BC1917" t="s">
        <v>3932</v>
      </c>
      <c r="BD1917" s="4">
        <v>43283.107638888891</v>
      </c>
      <c r="BE1917" s="4">
        <v>43283.114699074074</v>
      </c>
      <c r="BF1917" s="4">
        <v>43283.114699074074</v>
      </c>
      <c r="BG1917" t="s">
        <v>83</v>
      </c>
      <c r="BH1917" t="s">
        <v>84</v>
      </c>
      <c r="BI1917" t="s">
        <v>85</v>
      </c>
    </row>
    <row r="1918" spans="1:61" x14ac:dyDescent="0.3">
      <c r="A1918" t="str">
        <f>"201131B0100"</f>
        <v>201131B0100</v>
      </c>
      <c r="B1918" t="s">
        <v>3933</v>
      </c>
      <c r="C1918">
        <v>20</v>
      </c>
      <c r="D1918" t="s">
        <v>79</v>
      </c>
      <c r="E1918">
        <v>9</v>
      </c>
      <c r="F1918" t="s">
        <v>3733</v>
      </c>
      <c r="G1918">
        <v>1131</v>
      </c>
      <c r="H1918">
        <v>1</v>
      </c>
      <c r="I1918" t="s">
        <v>81</v>
      </c>
      <c r="J1918">
        <v>0</v>
      </c>
      <c r="K1918">
        <v>1</v>
      </c>
      <c r="L1918">
        <v>2</v>
      </c>
      <c r="M1918">
        <v>193</v>
      </c>
      <c r="N1918">
        <v>272</v>
      </c>
      <c r="O1918">
        <v>0</v>
      </c>
      <c r="P1918">
        <v>272</v>
      </c>
      <c r="Q1918">
        <v>45</v>
      </c>
      <c r="R1918">
        <v>42</v>
      </c>
      <c r="S1918">
        <v>9</v>
      </c>
      <c r="T1918">
        <v>15</v>
      </c>
      <c r="U1918">
        <v>20</v>
      </c>
      <c r="V1918">
        <v>10</v>
      </c>
      <c r="W1918">
        <v>0</v>
      </c>
      <c r="X1918">
        <v>7</v>
      </c>
      <c r="Y1918">
        <v>90</v>
      </c>
      <c r="Z1918">
        <v>3</v>
      </c>
      <c r="AA1918">
        <v>7</v>
      </c>
      <c r="AB1918">
        <v>6</v>
      </c>
      <c r="AC1918">
        <v>2</v>
      </c>
      <c r="AD1918">
        <v>0</v>
      </c>
      <c r="AE1918">
        <v>0</v>
      </c>
      <c r="AF1918">
        <v>0</v>
      </c>
      <c r="AK1918">
        <v>3</v>
      </c>
      <c r="AL1918">
        <v>3</v>
      </c>
      <c r="AM1918">
        <v>0</v>
      </c>
      <c r="AN1918">
        <v>0</v>
      </c>
      <c r="AT1918">
        <v>0</v>
      </c>
      <c r="AU1918">
        <v>10</v>
      </c>
      <c r="AV1918">
        <v>272</v>
      </c>
      <c r="AW1918">
        <v>272</v>
      </c>
      <c r="AX1918">
        <v>443</v>
      </c>
      <c r="BA1918">
        <v>1</v>
      </c>
      <c r="BC1918" t="s">
        <v>3934</v>
      </c>
      <c r="BD1918" s="4">
        <v>43283.1875</v>
      </c>
      <c r="BE1918" s="4">
        <v>43283.20585648148</v>
      </c>
      <c r="BF1918" s="4">
        <v>43283.20585648148</v>
      </c>
      <c r="BG1918" t="s">
        <v>83</v>
      </c>
      <c r="BH1918" t="s">
        <v>84</v>
      </c>
      <c r="BI1918" t="s">
        <v>85</v>
      </c>
    </row>
    <row r="1919" spans="1:61" x14ac:dyDescent="0.3">
      <c r="A1919" t="str">
        <f>"201131C0100"</f>
        <v>201131C0100</v>
      </c>
      <c r="B1919" t="s">
        <v>3935</v>
      </c>
      <c r="C1919">
        <v>20</v>
      </c>
      <c r="D1919" t="s">
        <v>79</v>
      </c>
      <c r="E1919">
        <v>9</v>
      </c>
      <c r="F1919" t="s">
        <v>3733</v>
      </c>
      <c r="G1919">
        <v>1131</v>
      </c>
      <c r="H1919">
        <v>1</v>
      </c>
      <c r="I1919" t="s">
        <v>89</v>
      </c>
      <c r="J1919">
        <v>0</v>
      </c>
      <c r="K1919">
        <v>1</v>
      </c>
      <c r="L1919">
        <v>2</v>
      </c>
      <c r="M1919">
        <v>201</v>
      </c>
      <c r="N1919">
        <v>262</v>
      </c>
      <c r="O1919">
        <v>0</v>
      </c>
      <c r="P1919">
        <v>261</v>
      </c>
      <c r="Q1919">
        <v>34</v>
      </c>
      <c r="R1919">
        <v>32</v>
      </c>
      <c r="S1919">
        <v>11</v>
      </c>
      <c r="T1919">
        <v>16</v>
      </c>
      <c r="U1919">
        <v>25</v>
      </c>
      <c r="V1919">
        <v>6</v>
      </c>
      <c r="W1919">
        <v>2</v>
      </c>
      <c r="X1919">
        <v>3</v>
      </c>
      <c r="Y1919">
        <v>94</v>
      </c>
      <c r="Z1919">
        <v>7</v>
      </c>
      <c r="AA1919">
        <v>6</v>
      </c>
      <c r="AB1919">
        <v>8</v>
      </c>
      <c r="AC1919">
        <v>0</v>
      </c>
      <c r="AD1919">
        <v>0</v>
      </c>
      <c r="AE1919">
        <v>0</v>
      </c>
      <c r="AF1919">
        <v>0</v>
      </c>
      <c r="AK1919">
        <v>4</v>
      </c>
      <c r="AL1919">
        <v>0</v>
      </c>
      <c r="AM1919">
        <v>0</v>
      </c>
      <c r="AN1919">
        <v>0</v>
      </c>
      <c r="AT1919" t="s">
        <v>100</v>
      </c>
      <c r="AU1919">
        <v>13</v>
      </c>
      <c r="AV1919">
        <v>261</v>
      </c>
      <c r="AW1919">
        <v>261</v>
      </c>
      <c r="AX1919">
        <v>442</v>
      </c>
      <c r="AZ1919" t="s">
        <v>101</v>
      </c>
      <c r="BA1919">
        <v>1</v>
      </c>
      <c r="BC1919" t="s">
        <v>3936</v>
      </c>
      <c r="BD1919" s="4">
        <v>43283.188888888886</v>
      </c>
      <c r="BE1919" s="4">
        <v>43283.206412037034</v>
      </c>
      <c r="BF1919" s="4">
        <v>43283.206412037034</v>
      </c>
      <c r="BG1919" t="s">
        <v>83</v>
      </c>
      <c r="BH1919" t="s">
        <v>84</v>
      </c>
      <c r="BI1919" t="s">
        <v>85</v>
      </c>
    </row>
    <row r="1920" spans="1:61" x14ac:dyDescent="0.3">
      <c r="A1920" t="str">
        <f>"201132B0100"</f>
        <v>201132B0100</v>
      </c>
      <c r="B1920" t="s">
        <v>3937</v>
      </c>
      <c r="C1920">
        <v>20</v>
      </c>
      <c r="D1920" t="s">
        <v>79</v>
      </c>
      <c r="E1920">
        <v>9</v>
      </c>
      <c r="F1920" t="s">
        <v>3733</v>
      </c>
      <c r="G1920">
        <v>1132</v>
      </c>
      <c r="H1920">
        <v>1</v>
      </c>
      <c r="I1920" t="s">
        <v>81</v>
      </c>
      <c r="J1920">
        <v>0</v>
      </c>
      <c r="K1920">
        <v>1</v>
      </c>
      <c r="L1920">
        <v>2</v>
      </c>
      <c r="M1920">
        <v>269</v>
      </c>
      <c r="N1920">
        <v>273</v>
      </c>
      <c r="O1920">
        <v>0</v>
      </c>
      <c r="P1920">
        <v>273</v>
      </c>
      <c r="Q1920">
        <v>38</v>
      </c>
      <c r="R1920">
        <v>37</v>
      </c>
      <c r="S1920">
        <v>10</v>
      </c>
      <c r="T1920">
        <v>13</v>
      </c>
      <c r="U1920">
        <v>18</v>
      </c>
      <c r="V1920">
        <v>7</v>
      </c>
      <c r="W1920">
        <v>2</v>
      </c>
      <c r="X1920">
        <v>1</v>
      </c>
      <c r="Y1920">
        <v>105</v>
      </c>
      <c r="Z1920">
        <v>2</v>
      </c>
      <c r="AA1920">
        <v>8</v>
      </c>
      <c r="AB1920">
        <v>15</v>
      </c>
      <c r="AC1920">
        <v>0</v>
      </c>
      <c r="AD1920">
        <v>0</v>
      </c>
      <c r="AE1920">
        <v>0</v>
      </c>
      <c r="AF1920">
        <v>1</v>
      </c>
      <c r="AK1920">
        <v>1</v>
      </c>
      <c r="AL1920">
        <v>2</v>
      </c>
      <c r="AM1920">
        <v>0</v>
      </c>
      <c r="AN1920">
        <v>0</v>
      </c>
      <c r="AT1920">
        <v>0</v>
      </c>
      <c r="AU1920">
        <v>12</v>
      </c>
      <c r="AV1920">
        <v>273</v>
      </c>
      <c r="AW1920">
        <v>272</v>
      </c>
      <c r="AX1920">
        <v>520</v>
      </c>
      <c r="BA1920">
        <v>1</v>
      </c>
      <c r="BC1920" t="s">
        <v>3938</v>
      </c>
      <c r="BD1920" s="4">
        <v>43283.18472222222</v>
      </c>
      <c r="BE1920" s="4">
        <v>43283.202291666668</v>
      </c>
      <c r="BF1920" s="4">
        <v>43283.202291666668</v>
      </c>
      <c r="BG1920" t="s">
        <v>83</v>
      </c>
      <c r="BH1920" t="s">
        <v>84</v>
      </c>
      <c r="BI1920" t="s">
        <v>85</v>
      </c>
    </row>
    <row r="1921" spans="1:61" x14ac:dyDescent="0.3">
      <c r="A1921" t="str">
        <f>"201132C0100"</f>
        <v>201132C0100</v>
      </c>
      <c r="B1921" t="s">
        <v>3939</v>
      </c>
      <c r="C1921">
        <v>20</v>
      </c>
      <c r="D1921" t="s">
        <v>79</v>
      </c>
      <c r="E1921">
        <v>9</v>
      </c>
      <c r="F1921" t="s">
        <v>3733</v>
      </c>
      <c r="G1921">
        <v>1132</v>
      </c>
      <c r="H1921">
        <v>1</v>
      </c>
      <c r="I1921" t="s">
        <v>89</v>
      </c>
      <c r="J1921">
        <v>0</v>
      </c>
      <c r="K1921">
        <v>1</v>
      </c>
      <c r="L1921">
        <v>2</v>
      </c>
      <c r="M1921">
        <v>270</v>
      </c>
      <c r="N1921">
        <v>271</v>
      </c>
      <c r="O1921">
        <v>0</v>
      </c>
      <c r="P1921">
        <v>271</v>
      </c>
      <c r="Q1921">
        <v>26</v>
      </c>
      <c r="R1921">
        <v>37</v>
      </c>
      <c r="S1921">
        <v>1</v>
      </c>
      <c r="T1921">
        <v>12</v>
      </c>
      <c r="U1921">
        <v>11</v>
      </c>
      <c r="V1921">
        <v>7</v>
      </c>
      <c r="W1921">
        <v>6</v>
      </c>
      <c r="X1921">
        <v>6</v>
      </c>
      <c r="Y1921">
        <v>113</v>
      </c>
      <c r="Z1921">
        <v>1</v>
      </c>
      <c r="AA1921">
        <v>10</v>
      </c>
      <c r="AB1921">
        <v>24</v>
      </c>
      <c r="AC1921">
        <v>1</v>
      </c>
      <c r="AD1921">
        <v>0</v>
      </c>
      <c r="AE1921">
        <v>0</v>
      </c>
      <c r="AF1921">
        <v>0</v>
      </c>
      <c r="AK1921">
        <v>2</v>
      </c>
      <c r="AL1921">
        <v>0</v>
      </c>
      <c r="AM1921">
        <v>0</v>
      </c>
      <c r="AN1921">
        <v>0</v>
      </c>
      <c r="AT1921">
        <v>0</v>
      </c>
      <c r="AU1921">
        <v>0</v>
      </c>
      <c r="AV1921">
        <v>271</v>
      </c>
      <c r="AW1921">
        <v>257</v>
      </c>
      <c r="AX1921">
        <v>519</v>
      </c>
      <c r="BA1921">
        <v>1</v>
      </c>
      <c r="BC1921" t="s">
        <v>3940</v>
      </c>
      <c r="BD1921" s="4">
        <v>43283.186805555553</v>
      </c>
      <c r="BE1921" s="4">
        <v>43283.212268518517</v>
      </c>
      <c r="BF1921" s="4">
        <v>43283.212268518517</v>
      </c>
      <c r="BG1921" t="s">
        <v>83</v>
      </c>
      <c r="BH1921" t="s">
        <v>84</v>
      </c>
      <c r="BI1921" t="s">
        <v>85</v>
      </c>
    </row>
    <row r="1922" spans="1:61" x14ac:dyDescent="0.3">
      <c r="A1922" t="str">
        <f>"201136B0100"</f>
        <v>201136B0100</v>
      </c>
      <c r="B1922" t="s">
        <v>3941</v>
      </c>
      <c r="C1922">
        <v>20</v>
      </c>
      <c r="D1922" t="s">
        <v>79</v>
      </c>
      <c r="E1922">
        <v>9</v>
      </c>
      <c r="F1922" t="s">
        <v>3733</v>
      </c>
      <c r="G1922">
        <v>1136</v>
      </c>
      <c r="H1922">
        <v>1</v>
      </c>
      <c r="I1922" t="s">
        <v>81</v>
      </c>
      <c r="J1922">
        <v>0</v>
      </c>
      <c r="K1922">
        <v>1</v>
      </c>
      <c r="L1922">
        <v>2</v>
      </c>
      <c r="M1922">
        <v>113</v>
      </c>
      <c r="N1922">
        <v>239</v>
      </c>
      <c r="O1922">
        <v>0</v>
      </c>
      <c r="P1922">
        <v>239</v>
      </c>
      <c r="Q1922">
        <v>60</v>
      </c>
      <c r="R1922">
        <v>20</v>
      </c>
      <c r="S1922">
        <v>9</v>
      </c>
      <c r="T1922">
        <v>2</v>
      </c>
      <c r="U1922">
        <v>8</v>
      </c>
      <c r="V1922">
        <v>4</v>
      </c>
      <c r="W1922">
        <v>1</v>
      </c>
      <c r="X1922">
        <v>3</v>
      </c>
      <c r="Y1922">
        <v>73</v>
      </c>
      <c r="Z1922">
        <v>2</v>
      </c>
      <c r="AA1922">
        <v>25</v>
      </c>
      <c r="AB1922">
        <v>2</v>
      </c>
      <c r="AC1922">
        <v>7</v>
      </c>
      <c r="AD1922">
        <v>2</v>
      </c>
      <c r="AE1922">
        <v>1</v>
      </c>
      <c r="AF1922">
        <v>0</v>
      </c>
      <c r="AK1922">
        <v>2</v>
      </c>
      <c r="AL1922">
        <v>2</v>
      </c>
      <c r="AM1922">
        <v>1</v>
      </c>
      <c r="AN1922">
        <v>0</v>
      </c>
      <c r="AT1922">
        <v>1</v>
      </c>
      <c r="AU1922">
        <v>15</v>
      </c>
      <c r="AV1922">
        <v>239</v>
      </c>
      <c r="AW1922">
        <v>240</v>
      </c>
      <c r="AX1922">
        <v>330</v>
      </c>
      <c r="BA1922">
        <v>1</v>
      </c>
      <c r="BC1922" t="s">
        <v>3942</v>
      </c>
      <c r="BD1922" s="4">
        <v>43283.21597222222</v>
      </c>
      <c r="BE1922" s="4">
        <v>43283.236793981479</v>
      </c>
      <c r="BF1922" s="4">
        <v>43283.236793981479</v>
      </c>
      <c r="BG1922" t="s">
        <v>83</v>
      </c>
      <c r="BH1922" t="s">
        <v>84</v>
      </c>
      <c r="BI1922" t="s">
        <v>85</v>
      </c>
    </row>
    <row r="1923" spans="1:61" x14ac:dyDescent="0.3">
      <c r="A1923" t="str">
        <f>"201168B0100"</f>
        <v>201168B0100</v>
      </c>
      <c r="B1923" t="s">
        <v>3943</v>
      </c>
      <c r="C1923">
        <v>20</v>
      </c>
      <c r="D1923" t="s">
        <v>79</v>
      </c>
      <c r="E1923">
        <v>9</v>
      </c>
      <c r="F1923" t="s">
        <v>3733</v>
      </c>
      <c r="G1923">
        <v>1168</v>
      </c>
      <c r="H1923">
        <v>1</v>
      </c>
      <c r="I1923" t="s">
        <v>81</v>
      </c>
      <c r="J1923">
        <v>0</v>
      </c>
      <c r="K1923">
        <v>2</v>
      </c>
      <c r="L1923">
        <v>2</v>
      </c>
      <c r="M1923">
        <v>271</v>
      </c>
      <c r="N1923">
        <v>277</v>
      </c>
      <c r="O1923">
        <v>0</v>
      </c>
      <c r="P1923">
        <v>277</v>
      </c>
      <c r="Q1923">
        <v>3</v>
      </c>
      <c r="R1923">
        <v>75</v>
      </c>
      <c r="S1923">
        <v>1</v>
      </c>
      <c r="T1923">
        <v>5</v>
      </c>
      <c r="U1923">
        <v>10</v>
      </c>
      <c r="V1923">
        <v>1</v>
      </c>
      <c r="W1923">
        <v>1</v>
      </c>
      <c r="X1923">
        <v>4</v>
      </c>
      <c r="Y1923">
        <v>153</v>
      </c>
      <c r="Z1923">
        <v>5</v>
      </c>
      <c r="AA1923">
        <v>1</v>
      </c>
      <c r="AB1923">
        <v>0</v>
      </c>
      <c r="AC1923">
        <v>0</v>
      </c>
      <c r="AD1923">
        <v>0</v>
      </c>
      <c r="AE1923">
        <v>0</v>
      </c>
      <c r="AF1923">
        <v>0</v>
      </c>
      <c r="AK1923">
        <v>5</v>
      </c>
      <c r="AL1923">
        <v>0</v>
      </c>
      <c r="AM1923">
        <v>0</v>
      </c>
      <c r="AN1923">
        <v>1</v>
      </c>
      <c r="AT1923">
        <v>0</v>
      </c>
      <c r="AU1923">
        <v>12</v>
      </c>
      <c r="AV1923">
        <v>277</v>
      </c>
      <c r="AW1923">
        <v>277</v>
      </c>
      <c r="AX1923">
        <v>526</v>
      </c>
      <c r="BA1923">
        <v>1</v>
      </c>
      <c r="BC1923" t="s">
        <v>3944</v>
      </c>
      <c r="BD1923" s="4">
        <v>43283.305555555555</v>
      </c>
      <c r="BE1923" s="4">
        <v>43283.330266203702</v>
      </c>
      <c r="BF1923" s="4">
        <v>43283.330266203702</v>
      </c>
      <c r="BG1923" t="s">
        <v>83</v>
      </c>
      <c r="BH1923" t="s">
        <v>84</v>
      </c>
      <c r="BI1923" t="s">
        <v>85</v>
      </c>
    </row>
    <row r="1924" spans="1:61" x14ac:dyDescent="0.3">
      <c r="A1924" t="str">
        <f>"201169B0100"</f>
        <v>201169B0100</v>
      </c>
      <c r="B1924" t="s">
        <v>3945</v>
      </c>
      <c r="C1924">
        <v>20</v>
      </c>
      <c r="D1924" t="s">
        <v>79</v>
      </c>
      <c r="E1924">
        <v>9</v>
      </c>
      <c r="F1924" t="s">
        <v>3733</v>
      </c>
      <c r="G1924">
        <v>1169</v>
      </c>
      <c r="H1924">
        <v>1</v>
      </c>
      <c r="I1924" t="s">
        <v>81</v>
      </c>
      <c r="J1924">
        <v>0</v>
      </c>
      <c r="K1924">
        <v>2</v>
      </c>
      <c r="L1924">
        <v>2</v>
      </c>
      <c r="M1924">
        <v>192</v>
      </c>
      <c r="N1924">
        <v>255</v>
      </c>
      <c r="O1924">
        <v>2</v>
      </c>
      <c r="P1924">
        <v>255</v>
      </c>
      <c r="Q1924">
        <v>5</v>
      </c>
      <c r="R1924">
        <v>22</v>
      </c>
      <c r="S1924">
        <v>16</v>
      </c>
      <c r="T1924">
        <v>3</v>
      </c>
      <c r="U1924">
        <v>58</v>
      </c>
      <c r="V1924">
        <v>2</v>
      </c>
      <c r="W1924">
        <v>6</v>
      </c>
      <c r="X1924">
        <v>2</v>
      </c>
      <c r="Y1924">
        <v>114</v>
      </c>
      <c r="Z1924">
        <v>4</v>
      </c>
      <c r="AA1924">
        <v>1</v>
      </c>
      <c r="AB1924">
        <v>1</v>
      </c>
      <c r="AC1924">
        <v>0</v>
      </c>
      <c r="AD1924">
        <v>0</v>
      </c>
      <c r="AE1924">
        <v>0</v>
      </c>
      <c r="AF1924">
        <v>0</v>
      </c>
      <c r="AK1924">
        <v>0</v>
      </c>
      <c r="AL1924">
        <v>3</v>
      </c>
      <c r="AM1924">
        <v>0</v>
      </c>
      <c r="AN1924">
        <v>0</v>
      </c>
      <c r="AT1924">
        <v>0</v>
      </c>
      <c r="AU1924">
        <v>17</v>
      </c>
      <c r="AV1924" t="s">
        <v>100</v>
      </c>
      <c r="AW1924">
        <v>254</v>
      </c>
      <c r="AX1924">
        <v>425</v>
      </c>
      <c r="BA1924">
        <v>1</v>
      </c>
      <c r="BC1924" t="s">
        <v>3946</v>
      </c>
      <c r="BD1924" s="4">
        <v>43283.304861111108</v>
      </c>
      <c r="BE1924" s="4">
        <v>43283.329398148147</v>
      </c>
      <c r="BF1924" s="4">
        <v>43283.329398148147</v>
      </c>
      <c r="BG1924" t="s">
        <v>83</v>
      </c>
      <c r="BH1924" t="s">
        <v>84</v>
      </c>
      <c r="BI1924" t="s">
        <v>85</v>
      </c>
    </row>
    <row r="1925" spans="1:61" x14ac:dyDescent="0.3">
      <c r="A1925" t="str">
        <f>"201169E0100"</f>
        <v>201169E0100</v>
      </c>
      <c r="B1925" s="2" t="s">
        <v>3947</v>
      </c>
      <c r="C1925">
        <v>20</v>
      </c>
      <c r="D1925" t="s">
        <v>79</v>
      </c>
      <c r="E1925">
        <v>9</v>
      </c>
      <c r="F1925" t="s">
        <v>3733</v>
      </c>
      <c r="G1925">
        <v>1169</v>
      </c>
      <c r="H1925">
        <v>1</v>
      </c>
      <c r="I1925" t="s">
        <v>145</v>
      </c>
      <c r="J1925">
        <v>0</v>
      </c>
      <c r="K1925">
        <v>2</v>
      </c>
      <c r="L1925">
        <v>2</v>
      </c>
      <c r="M1925">
        <v>146</v>
      </c>
      <c r="N1925">
        <v>230</v>
      </c>
      <c r="O1925">
        <v>0</v>
      </c>
      <c r="P1925">
        <v>230</v>
      </c>
      <c r="Q1925">
        <v>7</v>
      </c>
      <c r="R1925">
        <v>39</v>
      </c>
      <c r="S1925">
        <v>4</v>
      </c>
      <c r="T1925">
        <v>1</v>
      </c>
      <c r="U1925">
        <v>24</v>
      </c>
      <c r="V1925">
        <v>0</v>
      </c>
      <c r="W1925">
        <v>2</v>
      </c>
      <c r="X1925">
        <v>3</v>
      </c>
      <c r="Y1925">
        <v>109</v>
      </c>
      <c r="Z1925">
        <v>3</v>
      </c>
      <c r="AA1925">
        <v>0</v>
      </c>
      <c r="AB1925">
        <v>1</v>
      </c>
      <c r="AC1925">
        <v>0</v>
      </c>
      <c r="AD1925">
        <v>0</v>
      </c>
      <c r="AE1925">
        <v>0</v>
      </c>
      <c r="AF1925">
        <v>0</v>
      </c>
      <c r="AK1925">
        <v>5</v>
      </c>
      <c r="AL1925">
        <v>2</v>
      </c>
      <c r="AM1925">
        <v>0</v>
      </c>
      <c r="AN1925">
        <v>1</v>
      </c>
      <c r="AT1925">
        <v>0</v>
      </c>
      <c r="AU1925">
        <v>29</v>
      </c>
      <c r="AV1925">
        <v>230</v>
      </c>
      <c r="AW1925">
        <v>230</v>
      </c>
      <c r="AX1925">
        <v>354</v>
      </c>
      <c r="BA1925">
        <v>1</v>
      </c>
      <c r="BC1925" t="s">
        <v>3948</v>
      </c>
      <c r="BD1925" s="4">
        <v>43283.296527777777</v>
      </c>
      <c r="BE1925" s="4">
        <v>43283.323541666665</v>
      </c>
      <c r="BF1925" s="4">
        <v>43283.323541666665</v>
      </c>
      <c r="BG1925" t="s">
        <v>83</v>
      </c>
      <c r="BH1925" t="s">
        <v>84</v>
      </c>
      <c r="BI1925" t="s">
        <v>85</v>
      </c>
    </row>
    <row r="1926" spans="1:61" x14ac:dyDescent="0.3">
      <c r="A1926" t="str">
        <f>"201213B0100"</f>
        <v>201213B0100</v>
      </c>
      <c r="B1926" t="s">
        <v>3949</v>
      </c>
      <c r="C1926">
        <v>20</v>
      </c>
      <c r="D1926" t="s">
        <v>79</v>
      </c>
      <c r="E1926">
        <v>9</v>
      </c>
      <c r="F1926" t="s">
        <v>3733</v>
      </c>
      <c r="G1926">
        <v>1213</v>
      </c>
      <c r="H1926">
        <v>1</v>
      </c>
      <c r="I1926" t="s">
        <v>81</v>
      </c>
      <c r="J1926">
        <v>0</v>
      </c>
      <c r="K1926">
        <v>2</v>
      </c>
      <c r="L1926">
        <v>2</v>
      </c>
      <c r="M1926">
        <v>156</v>
      </c>
      <c r="N1926">
        <v>474</v>
      </c>
      <c r="O1926">
        <v>0</v>
      </c>
      <c r="P1926">
        <v>318</v>
      </c>
      <c r="Q1926" t="s">
        <v>100</v>
      </c>
      <c r="R1926">
        <v>18</v>
      </c>
      <c r="S1926">
        <v>2</v>
      </c>
      <c r="T1926">
        <v>1</v>
      </c>
      <c r="U1926">
        <v>9</v>
      </c>
      <c r="V1926">
        <v>2</v>
      </c>
      <c r="W1926">
        <v>1</v>
      </c>
      <c r="X1926">
        <v>3</v>
      </c>
      <c r="Y1926">
        <v>252</v>
      </c>
      <c r="Z1926">
        <v>7</v>
      </c>
      <c r="AA1926">
        <v>0</v>
      </c>
      <c r="AB1926">
        <v>1</v>
      </c>
      <c r="AC1926">
        <v>0</v>
      </c>
      <c r="AD1926">
        <v>0</v>
      </c>
      <c r="AE1926">
        <v>0</v>
      </c>
      <c r="AF1926">
        <v>0</v>
      </c>
      <c r="AK1926">
        <v>0</v>
      </c>
      <c r="AL1926">
        <v>0</v>
      </c>
      <c r="AM1926">
        <v>0</v>
      </c>
      <c r="AN1926">
        <v>2</v>
      </c>
      <c r="AT1926">
        <v>0</v>
      </c>
      <c r="AU1926">
        <v>20</v>
      </c>
      <c r="AV1926">
        <v>318</v>
      </c>
      <c r="AW1926">
        <v>318</v>
      </c>
      <c r="AX1926">
        <v>452</v>
      </c>
      <c r="AZ1926" t="s">
        <v>101</v>
      </c>
      <c r="BA1926">
        <v>1</v>
      </c>
      <c r="BC1926" t="s">
        <v>3950</v>
      </c>
      <c r="BD1926" s="4">
        <v>43283.327777777777</v>
      </c>
      <c r="BE1926" s="4">
        <v>43283.347777777781</v>
      </c>
      <c r="BF1926" s="4">
        <v>43283.347777777781</v>
      </c>
      <c r="BG1926" t="s">
        <v>83</v>
      </c>
      <c r="BH1926" t="s">
        <v>84</v>
      </c>
      <c r="BI1926" t="s">
        <v>85</v>
      </c>
    </row>
    <row r="1927" spans="1:61" x14ac:dyDescent="0.3">
      <c r="A1927" t="str">
        <f>"201213C0100"</f>
        <v>201213C0100</v>
      </c>
      <c r="B1927" t="s">
        <v>3951</v>
      </c>
      <c r="C1927">
        <v>20</v>
      </c>
      <c r="D1927" t="s">
        <v>79</v>
      </c>
      <c r="E1927">
        <v>9</v>
      </c>
      <c r="F1927" t="s">
        <v>3733</v>
      </c>
      <c r="G1927">
        <v>1213</v>
      </c>
      <c r="H1927">
        <v>1</v>
      </c>
      <c r="I1927" t="s">
        <v>89</v>
      </c>
      <c r="J1927">
        <v>0</v>
      </c>
      <c r="K1927">
        <v>2</v>
      </c>
      <c r="L1927">
        <v>2</v>
      </c>
      <c r="M1927">
        <v>142</v>
      </c>
      <c r="N1927">
        <v>0</v>
      </c>
      <c r="O1927">
        <v>0</v>
      </c>
      <c r="P1927">
        <v>331</v>
      </c>
      <c r="Q1927">
        <v>0</v>
      </c>
      <c r="R1927">
        <v>31</v>
      </c>
      <c r="S1927">
        <v>6</v>
      </c>
      <c r="T1927">
        <v>5</v>
      </c>
      <c r="U1927">
        <v>4</v>
      </c>
      <c r="V1927">
        <v>1</v>
      </c>
      <c r="W1927">
        <v>2</v>
      </c>
      <c r="X1927">
        <v>1</v>
      </c>
      <c r="Y1927">
        <v>255</v>
      </c>
      <c r="Z1927">
        <v>4</v>
      </c>
      <c r="AA1927">
        <v>0</v>
      </c>
      <c r="AB1927">
        <v>2</v>
      </c>
      <c r="AC1927">
        <v>0</v>
      </c>
      <c r="AD1927">
        <v>0</v>
      </c>
      <c r="AE1927">
        <v>0</v>
      </c>
      <c r="AF1927">
        <v>0</v>
      </c>
      <c r="AK1927">
        <v>2</v>
      </c>
      <c r="AL1927">
        <v>1</v>
      </c>
      <c r="AM1927">
        <v>0</v>
      </c>
      <c r="AN1927">
        <v>1</v>
      </c>
      <c r="AT1927">
        <v>0</v>
      </c>
      <c r="AU1927">
        <v>6</v>
      </c>
      <c r="AV1927">
        <v>331</v>
      </c>
      <c r="AW1927">
        <v>321</v>
      </c>
      <c r="AX1927">
        <v>451</v>
      </c>
      <c r="BA1927">
        <v>1</v>
      </c>
      <c r="BC1927" t="s">
        <v>3952</v>
      </c>
      <c r="BD1927" s="4">
        <v>43283.326388888891</v>
      </c>
      <c r="BE1927" s="4">
        <v>43283.345520833333</v>
      </c>
      <c r="BF1927" s="4">
        <v>43283.345520833333</v>
      </c>
      <c r="BG1927" t="s">
        <v>83</v>
      </c>
      <c r="BH1927" t="s">
        <v>84</v>
      </c>
      <c r="BI1927" t="s">
        <v>85</v>
      </c>
    </row>
    <row r="1928" spans="1:61" x14ac:dyDescent="0.3">
      <c r="A1928" t="str">
        <f>"201214B0100"</f>
        <v>201214B0100</v>
      </c>
      <c r="B1928" t="s">
        <v>3953</v>
      </c>
      <c r="C1928">
        <v>20</v>
      </c>
      <c r="D1928" t="s">
        <v>79</v>
      </c>
      <c r="E1928">
        <v>9</v>
      </c>
      <c r="F1928" t="s">
        <v>3733</v>
      </c>
      <c r="G1928">
        <v>1214</v>
      </c>
      <c r="H1928">
        <v>1</v>
      </c>
      <c r="I1928" t="s">
        <v>81</v>
      </c>
      <c r="J1928">
        <v>0</v>
      </c>
      <c r="K1928">
        <v>2</v>
      </c>
      <c r="L1928">
        <v>2</v>
      </c>
      <c r="M1928" t="s">
        <v>100</v>
      </c>
      <c r="N1928" t="s">
        <v>100</v>
      </c>
      <c r="O1928" t="s">
        <v>100</v>
      </c>
      <c r="P1928" t="s">
        <v>100</v>
      </c>
      <c r="Q1928">
        <v>8</v>
      </c>
      <c r="R1928">
        <v>4</v>
      </c>
      <c r="S1928">
        <v>0</v>
      </c>
      <c r="T1928">
        <v>1</v>
      </c>
      <c r="U1928">
        <v>14</v>
      </c>
      <c r="V1928">
        <v>4</v>
      </c>
      <c r="W1928">
        <v>0</v>
      </c>
      <c r="X1928">
        <v>6</v>
      </c>
      <c r="Y1928">
        <v>218</v>
      </c>
      <c r="Z1928">
        <v>5</v>
      </c>
      <c r="AA1928">
        <v>2</v>
      </c>
      <c r="AB1928">
        <v>0</v>
      </c>
      <c r="AC1928">
        <v>0</v>
      </c>
      <c r="AD1928">
        <v>0</v>
      </c>
      <c r="AE1928">
        <v>0</v>
      </c>
      <c r="AF1928">
        <v>0</v>
      </c>
      <c r="AK1928">
        <v>3</v>
      </c>
      <c r="AL1928">
        <v>5</v>
      </c>
      <c r="AM1928">
        <v>0</v>
      </c>
      <c r="AN1928">
        <v>1</v>
      </c>
      <c r="AT1928">
        <v>0</v>
      </c>
      <c r="AU1928">
        <v>11</v>
      </c>
      <c r="AV1928">
        <v>282</v>
      </c>
      <c r="AW1928">
        <v>282</v>
      </c>
      <c r="AX1928">
        <v>417</v>
      </c>
      <c r="BA1928">
        <v>1</v>
      </c>
      <c r="BC1928" t="s">
        <v>3954</v>
      </c>
      <c r="BD1928" s="4">
        <v>43283.32916666667</v>
      </c>
      <c r="BE1928" s="4">
        <v>43283.348333333335</v>
      </c>
      <c r="BF1928" s="4">
        <v>43283.348333333335</v>
      </c>
      <c r="BG1928" t="s">
        <v>83</v>
      </c>
      <c r="BH1928" t="s">
        <v>84</v>
      </c>
      <c r="BI1928" t="s">
        <v>85</v>
      </c>
    </row>
    <row r="1929" spans="1:61" x14ac:dyDescent="0.3">
      <c r="A1929" t="str">
        <f>"201214E0100"</f>
        <v>201214E0100</v>
      </c>
      <c r="B1929" s="2" t="s">
        <v>3955</v>
      </c>
      <c r="C1929">
        <v>20</v>
      </c>
      <c r="D1929" t="s">
        <v>79</v>
      </c>
      <c r="E1929">
        <v>9</v>
      </c>
      <c r="F1929" t="s">
        <v>3733</v>
      </c>
      <c r="G1929">
        <v>1214</v>
      </c>
      <c r="H1929">
        <v>1</v>
      </c>
      <c r="I1929" t="s">
        <v>145</v>
      </c>
      <c r="J1929">
        <v>0</v>
      </c>
      <c r="K1929">
        <v>2</v>
      </c>
      <c r="L1929">
        <v>2</v>
      </c>
      <c r="M1929">
        <v>183</v>
      </c>
      <c r="N1929">
        <v>304</v>
      </c>
      <c r="O1929">
        <v>0</v>
      </c>
      <c r="P1929">
        <v>304</v>
      </c>
      <c r="Q1929">
        <v>2</v>
      </c>
      <c r="R1929">
        <v>5</v>
      </c>
      <c r="S1929">
        <v>0</v>
      </c>
      <c r="T1929">
        <v>2</v>
      </c>
      <c r="U1929">
        <v>12</v>
      </c>
      <c r="V1929">
        <v>6</v>
      </c>
      <c r="W1929">
        <v>0</v>
      </c>
      <c r="X1929">
        <v>11</v>
      </c>
      <c r="Y1929">
        <v>193</v>
      </c>
      <c r="Z1929">
        <v>14</v>
      </c>
      <c r="AA1929">
        <v>0</v>
      </c>
      <c r="AB1929">
        <v>5</v>
      </c>
      <c r="AC1929">
        <v>0</v>
      </c>
      <c r="AD1929">
        <v>0</v>
      </c>
      <c r="AE1929">
        <v>0</v>
      </c>
      <c r="AF1929">
        <v>0</v>
      </c>
      <c r="AK1929">
        <v>19</v>
      </c>
      <c r="AL1929">
        <v>3</v>
      </c>
      <c r="AM1929">
        <v>0</v>
      </c>
      <c r="AN1929">
        <v>0</v>
      </c>
      <c r="AT1929">
        <v>0</v>
      </c>
      <c r="AU1929">
        <v>32</v>
      </c>
      <c r="AV1929">
        <v>304</v>
      </c>
      <c r="AW1929">
        <v>304</v>
      </c>
      <c r="AX1929">
        <v>465</v>
      </c>
      <c r="BA1929">
        <v>1</v>
      </c>
      <c r="BC1929" t="s">
        <v>3956</v>
      </c>
      <c r="BD1929" s="4">
        <v>43283.331250000003</v>
      </c>
      <c r="BE1929" s="4">
        <v>43283.350277777776</v>
      </c>
      <c r="BF1929" s="4">
        <v>43283.350277777776</v>
      </c>
      <c r="BG1929" t="s">
        <v>83</v>
      </c>
      <c r="BH1929" t="s">
        <v>84</v>
      </c>
      <c r="BI1929" t="s">
        <v>85</v>
      </c>
    </row>
    <row r="1930" spans="1:61" x14ac:dyDescent="0.3">
      <c r="A1930" t="str">
        <f>"201217B0100"</f>
        <v>201217B0100</v>
      </c>
      <c r="B1930" t="s">
        <v>3957</v>
      </c>
      <c r="C1930">
        <v>20</v>
      </c>
      <c r="D1930" t="s">
        <v>79</v>
      </c>
      <c r="E1930">
        <v>9</v>
      </c>
      <c r="F1930" t="s">
        <v>3733</v>
      </c>
      <c r="G1930">
        <v>1217</v>
      </c>
      <c r="H1930">
        <v>1</v>
      </c>
      <c r="I1930" t="s">
        <v>81</v>
      </c>
      <c r="J1930">
        <v>0</v>
      </c>
      <c r="K1930">
        <v>2</v>
      </c>
      <c r="L1930">
        <v>2</v>
      </c>
      <c r="M1930">
        <v>178</v>
      </c>
      <c r="N1930">
        <v>358</v>
      </c>
      <c r="O1930" t="s">
        <v>100</v>
      </c>
      <c r="P1930" t="s">
        <v>100</v>
      </c>
      <c r="Q1930">
        <v>14</v>
      </c>
      <c r="R1930">
        <v>197</v>
      </c>
      <c r="S1930">
        <v>11</v>
      </c>
      <c r="T1930">
        <v>1</v>
      </c>
      <c r="U1930">
        <v>37</v>
      </c>
      <c r="V1930">
        <v>5</v>
      </c>
      <c r="W1930">
        <v>7</v>
      </c>
      <c r="X1930" t="s">
        <v>100</v>
      </c>
      <c r="Y1930">
        <v>72</v>
      </c>
      <c r="Z1930">
        <v>1</v>
      </c>
      <c r="AA1930" t="s">
        <v>100</v>
      </c>
      <c r="AB1930" t="s">
        <v>100</v>
      </c>
      <c r="AC1930">
        <v>1</v>
      </c>
      <c r="AD1930" t="s">
        <v>100</v>
      </c>
      <c r="AE1930">
        <v>1</v>
      </c>
      <c r="AF1930">
        <v>1</v>
      </c>
      <c r="AK1930">
        <v>3</v>
      </c>
      <c r="AL1930">
        <v>1</v>
      </c>
      <c r="AM1930" t="s">
        <v>100</v>
      </c>
      <c r="AN1930">
        <v>1</v>
      </c>
      <c r="AT1930" t="s">
        <v>100</v>
      </c>
      <c r="AU1930" t="s">
        <v>100</v>
      </c>
      <c r="AV1930" t="s">
        <v>100</v>
      </c>
      <c r="AW1930">
        <v>353</v>
      </c>
      <c r="AX1930">
        <v>514</v>
      </c>
      <c r="AZ1930" t="s">
        <v>101</v>
      </c>
      <c r="BA1930">
        <v>1</v>
      </c>
      <c r="BC1930" t="s">
        <v>3958</v>
      </c>
      <c r="BD1930" s="4">
        <v>43283.226388888892</v>
      </c>
      <c r="BE1930" s="4">
        <v>43283.250648148147</v>
      </c>
      <c r="BF1930" s="4">
        <v>43283.250648148147</v>
      </c>
      <c r="BG1930" t="s">
        <v>83</v>
      </c>
      <c r="BH1930" t="s">
        <v>84</v>
      </c>
      <c r="BI1930" t="s">
        <v>85</v>
      </c>
    </row>
    <row r="1931" spans="1:61" x14ac:dyDescent="0.3">
      <c r="A1931" t="str">
        <f>"201217C0100"</f>
        <v>201217C0100</v>
      </c>
      <c r="B1931" t="s">
        <v>3959</v>
      </c>
      <c r="C1931">
        <v>20</v>
      </c>
      <c r="D1931" t="s">
        <v>79</v>
      </c>
      <c r="E1931">
        <v>9</v>
      </c>
      <c r="F1931" t="s">
        <v>3733</v>
      </c>
      <c r="G1931">
        <v>1217</v>
      </c>
      <c r="H1931">
        <v>1</v>
      </c>
      <c r="I1931" t="s">
        <v>89</v>
      </c>
      <c r="J1931">
        <v>0</v>
      </c>
      <c r="K1931">
        <v>2</v>
      </c>
      <c r="L1931">
        <v>2</v>
      </c>
      <c r="M1931">
        <v>161</v>
      </c>
      <c r="N1931">
        <v>374</v>
      </c>
      <c r="O1931" t="s">
        <v>100</v>
      </c>
      <c r="P1931">
        <v>374</v>
      </c>
      <c r="Q1931">
        <v>15</v>
      </c>
      <c r="R1931">
        <v>182</v>
      </c>
      <c r="S1931">
        <v>9</v>
      </c>
      <c r="T1931">
        <v>1</v>
      </c>
      <c r="U1931">
        <v>29</v>
      </c>
      <c r="V1931">
        <v>2</v>
      </c>
      <c r="W1931">
        <v>5</v>
      </c>
      <c r="X1931">
        <v>2</v>
      </c>
      <c r="Y1931">
        <v>93</v>
      </c>
      <c r="Z1931">
        <v>3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K1931">
        <v>8</v>
      </c>
      <c r="AL1931">
        <v>4</v>
      </c>
      <c r="AM1931">
        <v>0</v>
      </c>
      <c r="AN1931">
        <v>1</v>
      </c>
      <c r="AT1931">
        <v>0</v>
      </c>
      <c r="AU1931">
        <v>20</v>
      </c>
      <c r="AV1931">
        <v>374</v>
      </c>
      <c r="AW1931">
        <v>374</v>
      </c>
      <c r="AX1931">
        <v>513</v>
      </c>
      <c r="BA1931">
        <v>1</v>
      </c>
      <c r="BC1931" t="s">
        <v>3960</v>
      </c>
      <c r="BD1931" s="4">
        <v>43283.227777777778</v>
      </c>
      <c r="BE1931" s="4">
        <v>43283.252581018518</v>
      </c>
      <c r="BF1931" s="4">
        <v>43283.252581018518</v>
      </c>
      <c r="BG1931" t="s">
        <v>83</v>
      </c>
      <c r="BH1931" t="s">
        <v>84</v>
      </c>
      <c r="BI1931" t="s">
        <v>85</v>
      </c>
    </row>
    <row r="1932" spans="1:61" x14ac:dyDescent="0.3">
      <c r="A1932" t="str">
        <f>"201217E0100"</f>
        <v>201217E0100</v>
      </c>
      <c r="B1932" s="2" t="s">
        <v>3961</v>
      </c>
      <c r="C1932">
        <v>20</v>
      </c>
      <c r="D1932" t="s">
        <v>79</v>
      </c>
      <c r="E1932">
        <v>9</v>
      </c>
      <c r="F1932" t="s">
        <v>3733</v>
      </c>
      <c r="G1932">
        <v>1217</v>
      </c>
      <c r="H1932">
        <v>1</v>
      </c>
      <c r="I1932" t="s">
        <v>145</v>
      </c>
      <c r="J1932">
        <v>0</v>
      </c>
      <c r="K1932">
        <v>2</v>
      </c>
      <c r="L1932">
        <v>2</v>
      </c>
      <c r="M1932">
        <v>27</v>
      </c>
      <c r="N1932">
        <v>209</v>
      </c>
      <c r="O1932">
        <v>0</v>
      </c>
      <c r="P1932">
        <v>209</v>
      </c>
      <c r="Q1932">
        <v>47</v>
      </c>
      <c r="R1932">
        <v>2</v>
      </c>
      <c r="S1932">
        <v>2</v>
      </c>
      <c r="T1932">
        <v>0</v>
      </c>
      <c r="U1932">
        <v>3</v>
      </c>
      <c r="V1932">
        <v>0</v>
      </c>
      <c r="W1932">
        <v>0</v>
      </c>
      <c r="X1932">
        <v>1</v>
      </c>
      <c r="Y1932">
        <v>149</v>
      </c>
      <c r="Z1932">
        <v>1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K1932">
        <v>1</v>
      </c>
      <c r="AL1932">
        <v>0</v>
      </c>
      <c r="AM1932">
        <v>0</v>
      </c>
      <c r="AN1932">
        <v>0</v>
      </c>
      <c r="AT1932">
        <v>0</v>
      </c>
      <c r="AU1932">
        <v>3</v>
      </c>
      <c r="AV1932">
        <v>209</v>
      </c>
      <c r="AW1932">
        <v>209</v>
      </c>
      <c r="AX1932">
        <v>214</v>
      </c>
      <c r="BA1932">
        <v>1</v>
      </c>
      <c r="BC1932" t="s">
        <v>3962</v>
      </c>
      <c r="BD1932" s="4">
        <v>43283.229166666664</v>
      </c>
      <c r="BE1932" s="4">
        <v>43283.251840277779</v>
      </c>
      <c r="BF1932" s="4">
        <v>43283.251840277779</v>
      </c>
      <c r="BG1932" t="s">
        <v>83</v>
      </c>
      <c r="BH1932" t="s">
        <v>84</v>
      </c>
      <c r="BI1932" t="s">
        <v>85</v>
      </c>
    </row>
    <row r="1933" spans="1:61" x14ac:dyDescent="0.3">
      <c r="A1933" t="str">
        <f>"201218B0100"</f>
        <v>201218B0100</v>
      </c>
      <c r="B1933" t="s">
        <v>3963</v>
      </c>
      <c r="C1933">
        <v>20</v>
      </c>
      <c r="D1933" t="s">
        <v>79</v>
      </c>
      <c r="E1933">
        <v>9</v>
      </c>
      <c r="F1933" t="s">
        <v>3733</v>
      </c>
      <c r="G1933">
        <v>1218</v>
      </c>
      <c r="H1933">
        <v>1</v>
      </c>
      <c r="I1933" t="s">
        <v>81</v>
      </c>
      <c r="J1933">
        <v>0</v>
      </c>
      <c r="K1933">
        <v>2</v>
      </c>
      <c r="L1933">
        <v>2</v>
      </c>
      <c r="M1933">
        <v>170</v>
      </c>
      <c r="N1933">
        <v>218</v>
      </c>
      <c r="O1933">
        <v>0</v>
      </c>
      <c r="P1933">
        <v>218</v>
      </c>
      <c r="Q1933">
        <v>28</v>
      </c>
      <c r="R1933">
        <v>106</v>
      </c>
      <c r="S1933">
        <v>5</v>
      </c>
      <c r="T1933">
        <v>1</v>
      </c>
      <c r="U1933">
        <v>23</v>
      </c>
      <c r="V1933">
        <v>4</v>
      </c>
      <c r="W1933">
        <v>1</v>
      </c>
      <c r="X1933">
        <v>3</v>
      </c>
      <c r="Y1933">
        <v>39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2</v>
      </c>
      <c r="AF1933">
        <v>0</v>
      </c>
      <c r="AK1933">
        <v>0</v>
      </c>
      <c r="AL1933">
        <v>0</v>
      </c>
      <c r="AM1933">
        <v>0</v>
      </c>
      <c r="AN1933">
        <v>0</v>
      </c>
      <c r="AT1933">
        <v>0</v>
      </c>
      <c r="AU1933">
        <v>6</v>
      </c>
      <c r="AV1933">
        <v>218</v>
      </c>
      <c r="AW1933">
        <v>218</v>
      </c>
      <c r="AX1933">
        <v>366</v>
      </c>
      <c r="BA1933">
        <v>1</v>
      </c>
      <c r="BC1933" t="s">
        <v>3964</v>
      </c>
      <c r="BD1933" s="4">
        <v>43283.231249999997</v>
      </c>
      <c r="BE1933" s="4">
        <v>43283.254282407404</v>
      </c>
      <c r="BF1933" s="4">
        <v>43283.254282407404</v>
      </c>
      <c r="BG1933" t="s">
        <v>83</v>
      </c>
      <c r="BH1933" t="s">
        <v>84</v>
      </c>
      <c r="BI1933" t="s">
        <v>85</v>
      </c>
    </row>
    <row r="1934" spans="1:61" x14ac:dyDescent="0.3">
      <c r="A1934" t="str">
        <f>"201220B0100"</f>
        <v>201220B0100</v>
      </c>
      <c r="B1934" t="s">
        <v>3965</v>
      </c>
      <c r="C1934">
        <v>20</v>
      </c>
      <c r="D1934" t="s">
        <v>79</v>
      </c>
      <c r="E1934">
        <v>9</v>
      </c>
      <c r="F1934" t="s">
        <v>3733</v>
      </c>
      <c r="G1934">
        <v>1220</v>
      </c>
      <c r="H1934">
        <v>1</v>
      </c>
      <c r="I1934" t="s">
        <v>81</v>
      </c>
      <c r="J1934">
        <v>0</v>
      </c>
      <c r="K1934">
        <v>1</v>
      </c>
      <c r="L1934">
        <v>2</v>
      </c>
      <c r="M1934">
        <v>255</v>
      </c>
      <c r="N1934">
        <v>166</v>
      </c>
      <c r="O1934">
        <v>0</v>
      </c>
      <c r="P1934">
        <v>166</v>
      </c>
      <c r="Q1934">
        <v>9</v>
      </c>
      <c r="R1934">
        <v>11</v>
      </c>
      <c r="S1934">
        <v>6</v>
      </c>
      <c r="T1934">
        <v>0</v>
      </c>
      <c r="U1934">
        <v>12</v>
      </c>
      <c r="V1934">
        <v>6</v>
      </c>
      <c r="W1934">
        <v>0</v>
      </c>
      <c r="X1934">
        <v>0</v>
      </c>
      <c r="Y1934">
        <v>104</v>
      </c>
      <c r="Z1934">
        <v>1</v>
      </c>
      <c r="AA1934">
        <v>0</v>
      </c>
      <c r="AB1934">
        <v>0</v>
      </c>
      <c r="AC1934">
        <v>2</v>
      </c>
      <c r="AD1934">
        <v>0</v>
      </c>
      <c r="AE1934">
        <v>0</v>
      </c>
      <c r="AF1934">
        <v>0</v>
      </c>
      <c r="AK1934">
        <v>5</v>
      </c>
      <c r="AL1934">
        <v>2</v>
      </c>
      <c r="AM1934">
        <v>0</v>
      </c>
      <c r="AN1934">
        <v>0</v>
      </c>
      <c r="AT1934">
        <v>0</v>
      </c>
      <c r="AU1934">
        <v>8</v>
      </c>
      <c r="AV1934">
        <v>166</v>
      </c>
      <c r="AW1934">
        <v>166</v>
      </c>
      <c r="AX1934">
        <v>399</v>
      </c>
      <c r="BA1934">
        <v>1</v>
      </c>
      <c r="BC1934" t="s">
        <v>3966</v>
      </c>
      <c r="BD1934" s="4">
        <v>43283.195138888892</v>
      </c>
      <c r="BE1934" s="4">
        <v>43283.211041666669</v>
      </c>
      <c r="BF1934" s="4">
        <v>43283.211041666669</v>
      </c>
      <c r="BG1934" t="s">
        <v>83</v>
      </c>
      <c r="BH1934" t="s">
        <v>84</v>
      </c>
      <c r="BI1934" t="s">
        <v>85</v>
      </c>
    </row>
    <row r="1935" spans="1:61" x14ac:dyDescent="0.3">
      <c r="A1935" t="str">
        <f>"201220C0100"</f>
        <v>201220C0100</v>
      </c>
      <c r="B1935" t="s">
        <v>3967</v>
      </c>
      <c r="C1935">
        <v>20</v>
      </c>
      <c r="D1935" t="s">
        <v>79</v>
      </c>
      <c r="E1935">
        <v>9</v>
      </c>
      <c r="F1935" t="s">
        <v>3733</v>
      </c>
      <c r="G1935">
        <v>1220</v>
      </c>
      <c r="H1935">
        <v>1</v>
      </c>
      <c r="I1935" t="s">
        <v>89</v>
      </c>
      <c r="J1935">
        <v>0</v>
      </c>
      <c r="K1935">
        <v>1</v>
      </c>
      <c r="L1935">
        <v>2</v>
      </c>
      <c r="M1935">
        <v>238</v>
      </c>
      <c r="N1935">
        <v>182</v>
      </c>
      <c r="O1935">
        <v>0</v>
      </c>
      <c r="P1935">
        <v>182</v>
      </c>
      <c r="Q1935">
        <v>7</v>
      </c>
      <c r="R1935">
        <v>10</v>
      </c>
      <c r="S1935">
        <v>6</v>
      </c>
      <c r="T1935">
        <v>2</v>
      </c>
      <c r="U1935">
        <v>10</v>
      </c>
      <c r="V1935">
        <v>7</v>
      </c>
      <c r="W1935">
        <v>1</v>
      </c>
      <c r="X1935">
        <v>0</v>
      </c>
      <c r="Y1935">
        <v>120</v>
      </c>
      <c r="Z1935">
        <v>5</v>
      </c>
      <c r="AA1935">
        <v>1</v>
      </c>
      <c r="AB1935">
        <v>1</v>
      </c>
      <c r="AC1935">
        <v>0</v>
      </c>
      <c r="AD1935">
        <v>0</v>
      </c>
      <c r="AE1935">
        <v>0</v>
      </c>
      <c r="AF1935">
        <v>0</v>
      </c>
      <c r="AK1935">
        <v>3</v>
      </c>
      <c r="AL1935">
        <v>3</v>
      </c>
      <c r="AM1935">
        <v>0</v>
      </c>
      <c r="AN1935">
        <v>0</v>
      </c>
      <c r="AT1935">
        <v>0</v>
      </c>
      <c r="AU1935">
        <v>6</v>
      </c>
      <c r="AV1935">
        <v>182</v>
      </c>
      <c r="AW1935">
        <v>182</v>
      </c>
      <c r="AX1935">
        <v>398</v>
      </c>
      <c r="BA1935">
        <v>1</v>
      </c>
      <c r="BC1935" t="s">
        <v>3968</v>
      </c>
      <c r="BD1935" s="4">
        <v>43283.192361111112</v>
      </c>
      <c r="BE1935" s="4">
        <v>43283.208634259259</v>
      </c>
      <c r="BF1935" s="4">
        <v>43283.208634259259</v>
      </c>
      <c r="BG1935" t="s">
        <v>83</v>
      </c>
      <c r="BH1935" t="s">
        <v>84</v>
      </c>
      <c r="BI1935" t="s">
        <v>85</v>
      </c>
    </row>
    <row r="1936" spans="1:61" x14ac:dyDescent="0.3">
      <c r="A1936" t="str">
        <f>"201234B0100"</f>
        <v>201234B0100</v>
      </c>
      <c r="B1936" t="s">
        <v>3969</v>
      </c>
      <c r="C1936">
        <v>20</v>
      </c>
      <c r="D1936" t="s">
        <v>79</v>
      </c>
      <c r="E1936">
        <v>9</v>
      </c>
      <c r="F1936" t="s">
        <v>3733</v>
      </c>
      <c r="G1936">
        <v>1234</v>
      </c>
      <c r="H1936">
        <v>1</v>
      </c>
      <c r="I1936" t="s">
        <v>81</v>
      </c>
      <c r="J1936">
        <v>0</v>
      </c>
      <c r="K1936">
        <v>2</v>
      </c>
      <c r="L1936">
        <v>2</v>
      </c>
      <c r="M1936">
        <v>211</v>
      </c>
      <c r="N1936">
        <v>198</v>
      </c>
      <c r="O1936">
        <v>0</v>
      </c>
      <c r="P1936">
        <v>198</v>
      </c>
      <c r="Q1936">
        <v>5</v>
      </c>
      <c r="R1936">
        <v>23</v>
      </c>
      <c r="S1936">
        <v>0</v>
      </c>
      <c r="T1936">
        <v>0</v>
      </c>
      <c r="U1936">
        <v>19</v>
      </c>
      <c r="V1936">
        <v>2</v>
      </c>
      <c r="W1936">
        <v>1</v>
      </c>
      <c r="X1936">
        <v>2</v>
      </c>
      <c r="Y1936">
        <v>127</v>
      </c>
      <c r="Z1936">
        <v>4</v>
      </c>
      <c r="AA1936">
        <v>0</v>
      </c>
      <c r="AB1936">
        <v>1</v>
      </c>
      <c r="AC1936">
        <v>1</v>
      </c>
      <c r="AD1936">
        <v>0</v>
      </c>
      <c r="AE1936">
        <v>0</v>
      </c>
      <c r="AF1936">
        <v>0</v>
      </c>
      <c r="AK1936">
        <v>3</v>
      </c>
      <c r="AL1936">
        <v>1</v>
      </c>
      <c r="AM1936">
        <v>0</v>
      </c>
      <c r="AN1936">
        <v>0</v>
      </c>
      <c r="AT1936">
        <v>0</v>
      </c>
      <c r="AU1936">
        <v>9</v>
      </c>
      <c r="AV1936">
        <v>198</v>
      </c>
      <c r="AW1936">
        <v>198</v>
      </c>
      <c r="AX1936">
        <v>387</v>
      </c>
      <c r="BA1936">
        <v>1</v>
      </c>
      <c r="BC1936" t="s">
        <v>3970</v>
      </c>
      <c r="BD1936" s="4">
        <v>43283.311805555553</v>
      </c>
      <c r="BE1936" s="4">
        <v>43283.337372685186</v>
      </c>
      <c r="BF1936" s="4">
        <v>43283.337372685186</v>
      </c>
      <c r="BG1936" t="s">
        <v>83</v>
      </c>
      <c r="BH1936" t="s">
        <v>84</v>
      </c>
      <c r="BI1936" t="s">
        <v>85</v>
      </c>
    </row>
    <row r="1937" spans="1:61" x14ac:dyDescent="0.3">
      <c r="A1937" t="str">
        <f>"201234C0100"</f>
        <v>201234C0100</v>
      </c>
      <c r="B1937" t="s">
        <v>3971</v>
      </c>
      <c r="C1937">
        <v>20</v>
      </c>
      <c r="D1937" t="s">
        <v>79</v>
      </c>
      <c r="E1937">
        <v>9</v>
      </c>
      <c r="F1937" t="s">
        <v>3733</v>
      </c>
      <c r="G1937">
        <v>1234</v>
      </c>
      <c r="H1937">
        <v>1</v>
      </c>
      <c r="I1937" t="s">
        <v>89</v>
      </c>
      <c r="J1937">
        <v>0</v>
      </c>
      <c r="K1937">
        <v>2</v>
      </c>
      <c r="L1937">
        <v>2</v>
      </c>
      <c r="M1937">
        <v>220</v>
      </c>
      <c r="N1937">
        <v>187</v>
      </c>
      <c r="O1937">
        <v>0</v>
      </c>
      <c r="P1937" t="s">
        <v>315</v>
      </c>
      <c r="Q1937">
        <v>2</v>
      </c>
      <c r="R1937">
        <v>17</v>
      </c>
      <c r="S1937">
        <v>7</v>
      </c>
      <c r="T1937">
        <v>4</v>
      </c>
      <c r="U1937">
        <v>18</v>
      </c>
      <c r="V1937">
        <v>1</v>
      </c>
      <c r="W1937">
        <v>3</v>
      </c>
      <c r="X1937">
        <v>4</v>
      </c>
      <c r="Y1937">
        <v>111</v>
      </c>
      <c r="Z1937">
        <v>6</v>
      </c>
      <c r="AA1937">
        <v>2</v>
      </c>
      <c r="AB1937">
        <v>1</v>
      </c>
      <c r="AC1937" t="s">
        <v>100</v>
      </c>
      <c r="AD1937" t="s">
        <v>100</v>
      </c>
      <c r="AE1937" t="s">
        <v>100</v>
      </c>
      <c r="AF1937" t="s">
        <v>100</v>
      </c>
      <c r="AK1937">
        <v>4</v>
      </c>
      <c r="AL1937" t="s">
        <v>100</v>
      </c>
      <c r="AM1937" t="s">
        <v>100</v>
      </c>
      <c r="AN1937" t="s">
        <v>100</v>
      </c>
      <c r="AT1937" t="s">
        <v>100</v>
      </c>
      <c r="AU1937">
        <v>7</v>
      </c>
      <c r="AV1937">
        <v>187</v>
      </c>
      <c r="AW1937">
        <v>187</v>
      </c>
      <c r="AX1937">
        <v>386</v>
      </c>
      <c r="AZ1937" t="s">
        <v>101</v>
      </c>
      <c r="BA1937">
        <v>1</v>
      </c>
      <c r="BC1937" t="s">
        <v>3972</v>
      </c>
      <c r="BD1937" s="4">
        <v>43283.316666666666</v>
      </c>
      <c r="BE1937" s="4">
        <v>43283.361250000002</v>
      </c>
      <c r="BF1937" s="4">
        <v>43283.361250000002</v>
      </c>
      <c r="BG1937" t="s">
        <v>83</v>
      </c>
      <c r="BH1937" t="s">
        <v>84</v>
      </c>
      <c r="BI1937" t="s">
        <v>85</v>
      </c>
    </row>
    <row r="1938" spans="1:61" x14ac:dyDescent="0.3">
      <c r="A1938" t="str">
        <f>"201235B0100"</f>
        <v>201235B0100</v>
      </c>
      <c r="B1938" t="s">
        <v>3973</v>
      </c>
      <c r="C1938">
        <v>20</v>
      </c>
      <c r="D1938" t="s">
        <v>79</v>
      </c>
      <c r="E1938">
        <v>9</v>
      </c>
      <c r="F1938" t="s">
        <v>3733</v>
      </c>
      <c r="G1938">
        <v>1235</v>
      </c>
      <c r="H1938">
        <v>1</v>
      </c>
      <c r="I1938" t="s">
        <v>81</v>
      </c>
      <c r="J1938">
        <v>0</v>
      </c>
      <c r="K1938">
        <v>2</v>
      </c>
      <c r="L1938">
        <v>2</v>
      </c>
      <c r="M1938">
        <v>133</v>
      </c>
      <c r="N1938">
        <v>121</v>
      </c>
      <c r="O1938">
        <v>6</v>
      </c>
      <c r="P1938">
        <v>121</v>
      </c>
      <c r="Q1938">
        <v>4</v>
      </c>
      <c r="R1938">
        <v>25</v>
      </c>
      <c r="S1938">
        <v>11</v>
      </c>
      <c r="T1938">
        <v>1</v>
      </c>
      <c r="U1938">
        <v>8</v>
      </c>
      <c r="V1938">
        <v>3</v>
      </c>
      <c r="W1938">
        <v>1</v>
      </c>
      <c r="X1938">
        <v>1</v>
      </c>
      <c r="Y1938">
        <v>56</v>
      </c>
      <c r="Z1938">
        <v>1</v>
      </c>
      <c r="AA1938">
        <v>0</v>
      </c>
      <c r="AB1938">
        <v>0</v>
      </c>
      <c r="AC1938">
        <v>1</v>
      </c>
      <c r="AD1938">
        <v>0</v>
      </c>
      <c r="AE1938">
        <v>0</v>
      </c>
      <c r="AF1938">
        <v>0</v>
      </c>
      <c r="AK1938">
        <v>1</v>
      </c>
      <c r="AL1938">
        <v>0</v>
      </c>
      <c r="AM1938">
        <v>0</v>
      </c>
      <c r="AN1938">
        <v>1</v>
      </c>
      <c r="AT1938">
        <v>0</v>
      </c>
      <c r="AU1938">
        <v>7</v>
      </c>
      <c r="AV1938">
        <v>121</v>
      </c>
      <c r="AW1938">
        <v>121</v>
      </c>
      <c r="AX1938">
        <v>232</v>
      </c>
      <c r="BA1938">
        <v>1</v>
      </c>
      <c r="BC1938" t="s">
        <v>3974</v>
      </c>
      <c r="BD1938" s="4">
        <v>43283.315972222219</v>
      </c>
      <c r="BE1938" s="4">
        <v>43283.338587962964</v>
      </c>
      <c r="BF1938" s="4">
        <v>43283.338587962964</v>
      </c>
      <c r="BG1938" t="s">
        <v>83</v>
      </c>
      <c r="BH1938" t="s">
        <v>84</v>
      </c>
      <c r="BI1938" t="s">
        <v>85</v>
      </c>
    </row>
    <row r="1939" spans="1:61" x14ac:dyDescent="0.3">
      <c r="A1939" t="str">
        <f>"201236B0100"</f>
        <v>201236B0100</v>
      </c>
      <c r="B1939" t="s">
        <v>3975</v>
      </c>
      <c r="C1939">
        <v>20</v>
      </c>
      <c r="D1939" t="s">
        <v>79</v>
      </c>
      <c r="E1939">
        <v>9</v>
      </c>
      <c r="F1939" t="s">
        <v>3733</v>
      </c>
      <c r="G1939">
        <v>1236</v>
      </c>
      <c r="H1939">
        <v>1</v>
      </c>
      <c r="I1939" t="s">
        <v>81</v>
      </c>
      <c r="J1939">
        <v>0</v>
      </c>
      <c r="K1939">
        <v>1</v>
      </c>
      <c r="L1939">
        <v>2</v>
      </c>
      <c r="M1939">
        <v>103</v>
      </c>
      <c r="N1939">
        <v>240</v>
      </c>
      <c r="O1939">
        <v>0</v>
      </c>
      <c r="P1939">
        <v>240</v>
      </c>
      <c r="Q1939">
        <v>5</v>
      </c>
      <c r="R1939">
        <v>42</v>
      </c>
      <c r="S1939">
        <v>8</v>
      </c>
      <c r="T1939">
        <v>3</v>
      </c>
      <c r="U1939">
        <v>7</v>
      </c>
      <c r="V1939">
        <v>3</v>
      </c>
      <c r="W1939">
        <v>8</v>
      </c>
      <c r="X1939">
        <v>5</v>
      </c>
      <c r="Y1939">
        <v>141</v>
      </c>
      <c r="Z1939">
        <v>1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K1939">
        <v>0</v>
      </c>
      <c r="AL1939">
        <v>1</v>
      </c>
      <c r="AM1939">
        <v>0</v>
      </c>
      <c r="AN1939">
        <v>0</v>
      </c>
      <c r="AT1939">
        <v>0</v>
      </c>
      <c r="AU1939">
        <v>16</v>
      </c>
      <c r="AV1939">
        <v>240</v>
      </c>
      <c r="AW1939">
        <v>240</v>
      </c>
      <c r="AX1939">
        <v>321</v>
      </c>
      <c r="BA1939">
        <v>1</v>
      </c>
      <c r="BC1939" t="s">
        <v>3976</v>
      </c>
      <c r="BD1939" s="4">
        <v>43283.260416666664</v>
      </c>
      <c r="BE1939" s="4">
        <v>43283.286956018521</v>
      </c>
      <c r="BF1939" s="4">
        <v>43283.286956018521</v>
      </c>
      <c r="BG1939" t="s">
        <v>83</v>
      </c>
      <c r="BH1939" t="s">
        <v>84</v>
      </c>
      <c r="BI1939" t="s">
        <v>85</v>
      </c>
    </row>
    <row r="1940" spans="1:61" x14ac:dyDescent="0.3">
      <c r="A1940" t="str">
        <f>"201296B0100"</f>
        <v>201296B0100</v>
      </c>
      <c r="B1940" t="s">
        <v>3977</v>
      </c>
      <c r="C1940">
        <v>20</v>
      </c>
      <c r="D1940" t="s">
        <v>79</v>
      </c>
      <c r="E1940">
        <v>9</v>
      </c>
      <c r="F1940" t="s">
        <v>3733</v>
      </c>
      <c r="G1940">
        <v>1296</v>
      </c>
      <c r="H1940">
        <v>1</v>
      </c>
      <c r="I1940" t="s">
        <v>81</v>
      </c>
      <c r="J1940">
        <v>0</v>
      </c>
      <c r="K1940">
        <v>2</v>
      </c>
      <c r="L1940">
        <v>2</v>
      </c>
      <c r="M1940">
        <v>219</v>
      </c>
      <c r="N1940">
        <v>239</v>
      </c>
      <c r="O1940">
        <v>0</v>
      </c>
      <c r="P1940">
        <v>239</v>
      </c>
      <c r="Q1940">
        <v>7</v>
      </c>
      <c r="R1940">
        <v>33</v>
      </c>
      <c r="S1940">
        <v>5</v>
      </c>
      <c r="T1940">
        <v>4</v>
      </c>
      <c r="U1940">
        <v>11</v>
      </c>
      <c r="V1940">
        <v>4</v>
      </c>
      <c r="W1940">
        <v>0</v>
      </c>
      <c r="X1940">
        <v>1</v>
      </c>
      <c r="Y1940">
        <v>152</v>
      </c>
      <c r="Z1940">
        <v>3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K1940">
        <v>5</v>
      </c>
      <c r="AL1940">
        <v>0</v>
      </c>
      <c r="AM1940">
        <v>0</v>
      </c>
      <c r="AN1940">
        <v>3</v>
      </c>
      <c r="AT1940">
        <v>0</v>
      </c>
      <c r="AU1940">
        <v>11</v>
      </c>
      <c r="AV1940">
        <v>239</v>
      </c>
      <c r="AW1940">
        <v>239</v>
      </c>
      <c r="AX1940">
        <v>436</v>
      </c>
      <c r="BA1940">
        <v>1</v>
      </c>
      <c r="BC1940" t="s">
        <v>3978</v>
      </c>
      <c r="BD1940" s="4">
        <v>43283.238888888889</v>
      </c>
      <c r="BE1940" s="4">
        <v>43283.261435185188</v>
      </c>
      <c r="BF1940" s="4">
        <v>43283.261435185188</v>
      </c>
      <c r="BG1940" t="s">
        <v>83</v>
      </c>
      <c r="BH1940" t="s">
        <v>84</v>
      </c>
      <c r="BI1940" t="s">
        <v>85</v>
      </c>
    </row>
    <row r="1941" spans="1:61" x14ac:dyDescent="0.3">
      <c r="A1941" t="str">
        <f>"201318B0100"</f>
        <v>201318B0100</v>
      </c>
      <c r="B1941" t="s">
        <v>3979</v>
      </c>
      <c r="C1941">
        <v>20</v>
      </c>
      <c r="D1941" t="s">
        <v>79</v>
      </c>
      <c r="E1941">
        <v>9</v>
      </c>
      <c r="F1941" t="s">
        <v>3733</v>
      </c>
      <c r="G1941">
        <v>1318</v>
      </c>
      <c r="H1941">
        <v>1</v>
      </c>
      <c r="I1941" t="s">
        <v>81</v>
      </c>
      <c r="J1941">
        <v>0</v>
      </c>
      <c r="K1941">
        <v>2</v>
      </c>
      <c r="L1941">
        <v>2</v>
      </c>
      <c r="M1941">
        <v>373</v>
      </c>
      <c r="N1941">
        <v>613</v>
      </c>
      <c r="O1941">
        <v>0</v>
      </c>
      <c r="P1941">
        <v>240</v>
      </c>
      <c r="Q1941">
        <v>6</v>
      </c>
      <c r="R1941">
        <v>69</v>
      </c>
      <c r="S1941">
        <v>10</v>
      </c>
      <c r="T1941">
        <v>1</v>
      </c>
      <c r="U1941">
        <v>7</v>
      </c>
      <c r="V1941">
        <v>5</v>
      </c>
      <c r="W1941">
        <v>3</v>
      </c>
      <c r="X1941">
        <v>8</v>
      </c>
      <c r="Y1941">
        <v>100</v>
      </c>
      <c r="Z1941">
        <v>0</v>
      </c>
      <c r="AA1941">
        <v>0</v>
      </c>
      <c r="AB1941">
        <v>10</v>
      </c>
      <c r="AC1941">
        <v>0</v>
      </c>
      <c r="AD1941">
        <v>1</v>
      </c>
      <c r="AE1941">
        <v>0</v>
      </c>
      <c r="AF1941">
        <v>0</v>
      </c>
      <c r="AK1941">
        <v>0</v>
      </c>
      <c r="AL1941">
        <v>0</v>
      </c>
      <c r="AM1941">
        <v>0</v>
      </c>
      <c r="AN1941">
        <v>0</v>
      </c>
      <c r="AT1941">
        <v>0</v>
      </c>
      <c r="AU1941">
        <v>19</v>
      </c>
      <c r="AV1941">
        <v>240</v>
      </c>
      <c r="AW1941">
        <v>239</v>
      </c>
      <c r="AX1941">
        <v>591</v>
      </c>
      <c r="BA1941">
        <v>1</v>
      </c>
      <c r="BC1941" t="s">
        <v>3980</v>
      </c>
      <c r="BD1941" s="4">
        <v>43283.17083333333</v>
      </c>
      <c r="BE1941" s="4">
        <v>43283.183692129627</v>
      </c>
      <c r="BF1941" s="4">
        <v>43283.183692129627</v>
      </c>
      <c r="BG1941" t="s">
        <v>83</v>
      </c>
      <c r="BH1941" t="s">
        <v>84</v>
      </c>
      <c r="BI1941" t="s">
        <v>85</v>
      </c>
    </row>
    <row r="1942" spans="1:61" x14ac:dyDescent="0.3">
      <c r="A1942" t="str">
        <f>"201318E0100"</f>
        <v>201318E0100</v>
      </c>
      <c r="B1942" s="2" t="s">
        <v>3981</v>
      </c>
      <c r="C1942">
        <v>20</v>
      </c>
      <c r="D1942" t="s">
        <v>79</v>
      </c>
      <c r="E1942">
        <v>9</v>
      </c>
      <c r="F1942" t="s">
        <v>3733</v>
      </c>
      <c r="G1942">
        <v>1318</v>
      </c>
      <c r="H1942">
        <v>1</v>
      </c>
      <c r="I1942" t="s">
        <v>145</v>
      </c>
      <c r="J1942">
        <v>0</v>
      </c>
      <c r="K1942">
        <v>2</v>
      </c>
      <c r="L1942">
        <v>2</v>
      </c>
      <c r="M1942">
        <v>63</v>
      </c>
      <c r="N1942">
        <v>169</v>
      </c>
      <c r="O1942">
        <v>0</v>
      </c>
      <c r="P1942">
        <v>169</v>
      </c>
      <c r="Q1942">
        <v>3</v>
      </c>
      <c r="R1942">
        <v>10</v>
      </c>
      <c r="S1942">
        <v>4</v>
      </c>
      <c r="T1942">
        <v>2</v>
      </c>
      <c r="U1942">
        <v>3</v>
      </c>
      <c r="V1942">
        <v>1</v>
      </c>
      <c r="W1942">
        <v>1</v>
      </c>
      <c r="X1942">
        <v>1</v>
      </c>
      <c r="Y1942">
        <v>86</v>
      </c>
      <c r="Z1942">
        <v>2</v>
      </c>
      <c r="AA1942">
        <v>2</v>
      </c>
      <c r="AB1942">
        <v>46</v>
      </c>
      <c r="AC1942">
        <v>0</v>
      </c>
      <c r="AD1942">
        <v>0</v>
      </c>
      <c r="AE1942">
        <v>0</v>
      </c>
      <c r="AF1942">
        <v>0</v>
      </c>
      <c r="AK1942">
        <v>1</v>
      </c>
      <c r="AL1942">
        <v>0</v>
      </c>
      <c r="AM1942">
        <v>0</v>
      </c>
      <c r="AN1942">
        <v>0</v>
      </c>
      <c r="AT1942">
        <v>0</v>
      </c>
      <c r="AU1942">
        <v>7</v>
      </c>
      <c r="AV1942">
        <v>169</v>
      </c>
      <c r="AW1942">
        <v>169</v>
      </c>
      <c r="AX1942">
        <v>210</v>
      </c>
      <c r="BA1942">
        <v>1</v>
      </c>
      <c r="BC1942" t="s">
        <v>3982</v>
      </c>
      <c r="BD1942" s="4">
        <v>43283.171527777777</v>
      </c>
      <c r="BE1942" s="4">
        <v>43283.184490740743</v>
      </c>
      <c r="BF1942" s="4">
        <v>43283.184490740743</v>
      </c>
      <c r="BG1942" t="s">
        <v>83</v>
      </c>
      <c r="BH1942" t="s">
        <v>84</v>
      </c>
      <c r="BI1942" t="s">
        <v>85</v>
      </c>
    </row>
    <row r="1943" spans="1:61" x14ac:dyDescent="0.3">
      <c r="A1943" t="str">
        <f>"201322B0100"</f>
        <v>201322B0100</v>
      </c>
      <c r="B1943" t="s">
        <v>3983</v>
      </c>
      <c r="C1943">
        <v>20</v>
      </c>
      <c r="D1943" t="s">
        <v>79</v>
      </c>
      <c r="E1943">
        <v>9</v>
      </c>
      <c r="F1943" t="s">
        <v>3733</v>
      </c>
      <c r="G1943">
        <v>1322</v>
      </c>
      <c r="H1943">
        <v>1</v>
      </c>
      <c r="I1943" t="s">
        <v>81</v>
      </c>
      <c r="J1943">
        <v>0</v>
      </c>
      <c r="K1943">
        <v>1</v>
      </c>
      <c r="L1943">
        <v>2</v>
      </c>
      <c r="AX1943">
        <v>652</v>
      </c>
      <c r="AZ1943" t="s">
        <v>156</v>
      </c>
      <c r="BA1943">
        <v>0</v>
      </c>
      <c r="BC1943" t="s">
        <v>3984</v>
      </c>
      <c r="BD1943" s="4">
        <v>43283.645833333336</v>
      </c>
      <c r="BE1943" s="4">
        <v>43283.649236111109</v>
      </c>
      <c r="BF1943" s="4">
        <v>43283.649236111109</v>
      </c>
      <c r="BG1943" t="s">
        <v>83</v>
      </c>
      <c r="BH1943" t="s">
        <v>84</v>
      </c>
      <c r="BI1943" t="s">
        <v>85</v>
      </c>
    </row>
    <row r="1944" spans="1:61" x14ac:dyDescent="0.3">
      <c r="A1944" t="str">
        <f>"201322C0100"</f>
        <v>201322C0100</v>
      </c>
      <c r="B1944" t="s">
        <v>3985</v>
      </c>
      <c r="C1944">
        <v>20</v>
      </c>
      <c r="D1944" t="s">
        <v>79</v>
      </c>
      <c r="E1944">
        <v>9</v>
      </c>
      <c r="F1944" t="s">
        <v>3733</v>
      </c>
      <c r="G1944">
        <v>1322</v>
      </c>
      <c r="H1944">
        <v>1</v>
      </c>
      <c r="I1944" t="s">
        <v>89</v>
      </c>
      <c r="J1944">
        <v>0</v>
      </c>
      <c r="K1944">
        <v>1</v>
      </c>
      <c r="L1944">
        <v>2</v>
      </c>
      <c r="M1944">
        <v>324</v>
      </c>
      <c r="N1944">
        <v>350</v>
      </c>
      <c r="O1944">
        <v>0</v>
      </c>
      <c r="P1944">
        <v>350</v>
      </c>
      <c r="Q1944">
        <v>73</v>
      </c>
      <c r="R1944">
        <v>84</v>
      </c>
      <c r="S1944">
        <v>24</v>
      </c>
      <c r="T1944">
        <v>3</v>
      </c>
      <c r="U1944">
        <v>24</v>
      </c>
      <c r="V1944">
        <v>10</v>
      </c>
      <c r="W1944">
        <v>4</v>
      </c>
      <c r="X1944">
        <v>1</v>
      </c>
      <c r="Y1944">
        <v>86</v>
      </c>
      <c r="Z1944">
        <v>3</v>
      </c>
      <c r="AA1944">
        <v>3</v>
      </c>
      <c r="AB1944">
        <v>4</v>
      </c>
      <c r="AC1944">
        <v>1</v>
      </c>
      <c r="AD1944">
        <v>0</v>
      </c>
      <c r="AE1944">
        <v>0</v>
      </c>
      <c r="AF1944">
        <v>0</v>
      </c>
      <c r="AK1944">
        <v>0</v>
      </c>
      <c r="AL1944">
        <v>2</v>
      </c>
      <c r="AM1944">
        <v>0</v>
      </c>
      <c r="AN1944">
        <v>0</v>
      </c>
      <c r="AT1944">
        <v>0</v>
      </c>
      <c r="AU1944">
        <v>28</v>
      </c>
      <c r="AV1944">
        <v>350</v>
      </c>
      <c r="AW1944">
        <v>350</v>
      </c>
      <c r="AX1944">
        <v>652</v>
      </c>
      <c r="BA1944">
        <v>1</v>
      </c>
      <c r="BC1944" t="s">
        <v>3986</v>
      </c>
      <c r="BD1944" s="4">
        <v>43283.322916666664</v>
      </c>
      <c r="BE1944" s="4">
        <v>43283.343599537038</v>
      </c>
      <c r="BF1944" s="4">
        <v>43283.343599537038</v>
      </c>
      <c r="BG1944" t="s">
        <v>83</v>
      </c>
      <c r="BH1944" t="s">
        <v>84</v>
      </c>
      <c r="BI1944" t="s">
        <v>85</v>
      </c>
    </row>
    <row r="1945" spans="1:61" x14ac:dyDescent="0.3">
      <c r="A1945" t="str">
        <f>"201323B0100"</f>
        <v>201323B0100</v>
      </c>
      <c r="B1945" t="s">
        <v>3987</v>
      </c>
      <c r="C1945">
        <v>20</v>
      </c>
      <c r="D1945" t="s">
        <v>79</v>
      </c>
      <c r="E1945">
        <v>9</v>
      </c>
      <c r="F1945" t="s">
        <v>3733</v>
      </c>
      <c r="G1945">
        <v>1323</v>
      </c>
      <c r="H1945">
        <v>1</v>
      </c>
      <c r="I1945" t="s">
        <v>81</v>
      </c>
      <c r="J1945">
        <v>0</v>
      </c>
      <c r="K1945">
        <v>2</v>
      </c>
      <c r="L1945">
        <v>2</v>
      </c>
      <c r="M1945">
        <v>189</v>
      </c>
      <c r="N1945">
        <v>274</v>
      </c>
      <c r="O1945">
        <v>1</v>
      </c>
      <c r="P1945">
        <v>274</v>
      </c>
      <c r="Q1945">
        <v>21</v>
      </c>
      <c r="R1945">
        <v>60</v>
      </c>
      <c r="S1945">
        <v>9</v>
      </c>
      <c r="T1945">
        <v>4</v>
      </c>
      <c r="U1945">
        <v>28</v>
      </c>
      <c r="V1945">
        <v>5</v>
      </c>
      <c r="W1945">
        <v>6</v>
      </c>
      <c r="X1945">
        <v>6</v>
      </c>
      <c r="Y1945">
        <v>114</v>
      </c>
      <c r="Z1945">
        <v>7</v>
      </c>
      <c r="AA1945">
        <v>1</v>
      </c>
      <c r="AB1945">
        <v>0</v>
      </c>
      <c r="AC1945">
        <v>0</v>
      </c>
      <c r="AD1945">
        <v>0</v>
      </c>
      <c r="AE1945">
        <v>0</v>
      </c>
      <c r="AF1945">
        <v>0</v>
      </c>
      <c r="AK1945">
        <v>3</v>
      </c>
      <c r="AL1945">
        <v>1</v>
      </c>
      <c r="AM1945">
        <v>0</v>
      </c>
      <c r="AN1945">
        <v>2</v>
      </c>
      <c r="AT1945">
        <v>0</v>
      </c>
      <c r="AU1945">
        <v>7</v>
      </c>
      <c r="AV1945">
        <v>274</v>
      </c>
      <c r="AW1945">
        <v>274</v>
      </c>
      <c r="AX1945">
        <v>441</v>
      </c>
      <c r="BA1945">
        <v>1</v>
      </c>
      <c r="BC1945" t="s">
        <v>3988</v>
      </c>
      <c r="BD1945" s="4">
        <v>43283.321527777778</v>
      </c>
      <c r="BE1945" s="4">
        <v>43283.342951388891</v>
      </c>
      <c r="BF1945" s="4">
        <v>43283.342951388891</v>
      </c>
      <c r="BG1945" t="s">
        <v>83</v>
      </c>
      <c r="BH1945" t="s">
        <v>84</v>
      </c>
      <c r="BI1945" t="s">
        <v>85</v>
      </c>
    </row>
    <row r="1946" spans="1:61" x14ac:dyDescent="0.3">
      <c r="A1946" t="str">
        <f>"201333B0100"</f>
        <v>201333B0100</v>
      </c>
      <c r="B1946" t="s">
        <v>3989</v>
      </c>
      <c r="C1946">
        <v>20</v>
      </c>
      <c r="D1946" t="s">
        <v>79</v>
      </c>
      <c r="E1946">
        <v>9</v>
      </c>
      <c r="F1946" t="s">
        <v>3733</v>
      </c>
      <c r="G1946">
        <v>1333</v>
      </c>
      <c r="H1946">
        <v>1</v>
      </c>
      <c r="I1946" t="s">
        <v>81</v>
      </c>
      <c r="J1946">
        <v>0</v>
      </c>
      <c r="K1946">
        <v>2</v>
      </c>
      <c r="L1946">
        <v>2</v>
      </c>
      <c r="M1946">
        <v>97</v>
      </c>
      <c r="N1946">
        <v>121</v>
      </c>
      <c r="O1946">
        <v>0</v>
      </c>
      <c r="P1946">
        <v>121</v>
      </c>
      <c r="Q1946">
        <v>6</v>
      </c>
      <c r="R1946">
        <v>44</v>
      </c>
      <c r="S1946">
        <v>1</v>
      </c>
      <c r="T1946">
        <v>0</v>
      </c>
      <c r="U1946">
        <v>7</v>
      </c>
      <c r="V1946">
        <v>0</v>
      </c>
      <c r="W1946">
        <v>1</v>
      </c>
      <c r="X1946">
        <v>3</v>
      </c>
      <c r="Y1946">
        <v>48</v>
      </c>
      <c r="Z1946">
        <v>1</v>
      </c>
      <c r="AA1946">
        <v>0</v>
      </c>
      <c r="AB1946">
        <v>1</v>
      </c>
      <c r="AC1946">
        <v>0</v>
      </c>
      <c r="AD1946">
        <v>0</v>
      </c>
      <c r="AE1946">
        <v>0</v>
      </c>
      <c r="AF1946">
        <v>0</v>
      </c>
      <c r="AK1946">
        <v>1</v>
      </c>
      <c r="AL1946">
        <v>0</v>
      </c>
      <c r="AM1946">
        <v>0</v>
      </c>
      <c r="AN1946">
        <v>0</v>
      </c>
      <c r="AT1946">
        <v>0</v>
      </c>
      <c r="AU1946">
        <v>8</v>
      </c>
      <c r="AV1946">
        <v>121</v>
      </c>
      <c r="AW1946">
        <v>121</v>
      </c>
      <c r="AX1946">
        <v>196</v>
      </c>
      <c r="BA1946">
        <v>1</v>
      </c>
      <c r="BC1946" t="s">
        <v>3990</v>
      </c>
      <c r="BD1946" s="4">
        <v>43283.103472222225</v>
      </c>
      <c r="BE1946" s="4">
        <v>43283.106736111113</v>
      </c>
      <c r="BF1946" s="4">
        <v>43283.106736111113</v>
      </c>
      <c r="BG1946" t="s">
        <v>83</v>
      </c>
      <c r="BH1946" t="s">
        <v>84</v>
      </c>
      <c r="BI1946" t="s">
        <v>85</v>
      </c>
    </row>
    <row r="1947" spans="1:61" x14ac:dyDescent="0.3">
      <c r="A1947" t="str">
        <f>"201334B0100"</f>
        <v>201334B0100</v>
      </c>
      <c r="B1947" t="s">
        <v>3991</v>
      </c>
      <c r="C1947">
        <v>20</v>
      </c>
      <c r="D1947" t="s">
        <v>79</v>
      </c>
      <c r="E1947">
        <v>9</v>
      </c>
      <c r="F1947" t="s">
        <v>3733</v>
      </c>
      <c r="G1947">
        <v>1334</v>
      </c>
      <c r="H1947">
        <v>1</v>
      </c>
      <c r="I1947" t="s">
        <v>81</v>
      </c>
      <c r="J1947">
        <v>0</v>
      </c>
      <c r="K1947">
        <v>2</v>
      </c>
      <c r="L1947">
        <v>2</v>
      </c>
      <c r="M1947">
        <v>29</v>
      </c>
      <c r="N1947">
        <v>54</v>
      </c>
      <c r="O1947">
        <v>1</v>
      </c>
      <c r="P1947">
        <v>54</v>
      </c>
      <c r="Q1947">
        <v>4</v>
      </c>
      <c r="R1947">
        <v>18</v>
      </c>
      <c r="S1947">
        <v>0</v>
      </c>
      <c r="T1947">
        <v>3</v>
      </c>
      <c r="U1947">
        <v>3</v>
      </c>
      <c r="V1947">
        <v>1</v>
      </c>
      <c r="W1947">
        <v>0</v>
      </c>
      <c r="X1947">
        <v>3</v>
      </c>
      <c r="Y1947">
        <v>13</v>
      </c>
      <c r="Z1947">
        <v>0</v>
      </c>
      <c r="AA1947">
        <v>0</v>
      </c>
      <c r="AB1947">
        <v>2</v>
      </c>
      <c r="AC1947">
        <v>0</v>
      </c>
      <c r="AD1947">
        <v>0</v>
      </c>
      <c r="AE1947">
        <v>0</v>
      </c>
      <c r="AF1947">
        <v>0</v>
      </c>
      <c r="AK1947">
        <v>0</v>
      </c>
      <c r="AL1947">
        <v>1</v>
      </c>
      <c r="AM1947">
        <v>0</v>
      </c>
      <c r="AN1947">
        <v>1</v>
      </c>
      <c r="AT1947">
        <v>0</v>
      </c>
      <c r="AU1947">
        <v>5</v>
      </c>
      <c r="AV1947">
        <v>54</v>
      </c>
      <c r="AW1947">
        <v>54</v>
      </c>
      <c r="AX1947">
        <v>61</v>
      </c>
      <c r="BA1947">
        <v>1</v>
      </c>
      <c r="BC1947" t="s">
        <v>3992</v>
      </c>
      <c r="BD1947" s="4">
        <v>43283.015972222223</v>
      </c>
      <c r="BE1947" s="4">
        <v>43283.019687499997</v>
      </c>
      <c r="BF1947" s="4">
        <v>43283.019687499997</v>
      </c>
      <c r="BG1947" t="s">
        <v>83</v>
      </c>
      <c r="BH1947" t="s">
        <v>84</v>
      </c>
      <c r="BI1947" t="s">
        <v>85</v>
      </c>
    </row>
    <row r="1948" spans="1:61" x14ac:dyDescent="0.3">
      <c r="A1948" t="str">
        <f>"201335B0100"</f>
        <v>201335B0100</v>
      </c>
      <c r="B1948" t="s">
        <v>3993</v>
      </c>
      <c r="C1948">
        <v>20</v>
      </c>
      <c r="D1948" t="s">
        <v>79</v>
      </c>
      <c r="E1948">
        <v>9</v>
      </c>
      <c r="F1948" t="s">
        <v>3733</v>
      </c>
      <c r="G1948">
        <v>1335</v>
      </c>
      <c r="H1948">
        <v>1</v>
      </c>
      <c r="I1948" t="s">
        <v>81</v>
      </c>
      <c r="J1948">
        <v>0</v>
      </c>
      <c r="K1948">
        <v>2</v>
      </c>
      <c r="L1948">
        <v>2</v>
      </c>
      <c r="M1948">
        <v>248</v>
      </c>
      <c r="N1948">
        <v>262</v>
      </c>
      <c r="O1948">
        <v>2</v>
      </c>
      <c r="P1948">
        <v>262</v>
      </c>
      <c r="Q1948">
        <v>10</v>
      </c>
      <c r="R1948">
        <v>89</v>
      </c>
      <c r="S1948">
        <v>5</v>
      </c>
      <c r="T1948">
        <v>5</v>
      </c>
      <c r="U1948">
        <v>13</v>
      </c>
      <c r="V1948">
        <v>4</v>
      </c>
      <c r="W1948">
        <v>1</v>
      </c>
      <c r="X1948">
        <v>26</v>
      </c>
      <c r="Y1948">
        <v>85</v>
      </c>
      <c r="Z1948">
        <v>3</v>
      </c>
      <c r="AA1948">
        <v>0</v>
      </c>
      <c r="AB1948">
        <v>1</v>
      </c>
      <c r="AC1948">
        <v>0</v>
      </c>
      <c r="AD1948">
        <v>0</v>
      </c>
      <c r="AE1948">
        <v>1</v>
      </c>
      <c r="AF1948">
        <v>0</v>
      </c>
      <c r="AK1948">
        <v>1</v>
      </c>
      <c r="AL1948">
        <v>2</v>
      </c>
      <c r="AM1948">
        <v>0</v>
      </c>
      <c r="AN1948">
        <v>0</v>
      </c>
      <c r="AT1948">
        <v>0</v>
      </c>
      <c r="AU1948">
        <v>16</v>
      </c>
      <c r="AV1948">
        <v>262</v>
      </c>
      <c r="AW1948">
        <v>262</v>
      </c>
      <c r="AX1948">
        <v>488</v>
      </c>
      <c r="BA1948">
        <v>1</v>
      </c>
      <c r="BC1948" t="s">
        <v>3994</v>
      </c>
      <c r="BD1948" s="4">
        <v>43283.017361111109</v>
      </c>
      <c r="BE1948" s="4">
        <v>43283.024409722224</v>
      </c>
      <c r="BF1948" s="4">
        <v>43283.024409722224</v>
      </c>
      <c r="BG1948" t="s">
        <v>83</v>
      </c>
      <c r="BH1948" t="s">
        <v>84</v>
      </c>
      <c r="BI1948" t="s">
        <v>85</v>
      </c>
    </row>
    <row r="1949" spans="1:61" x14ac:dyDescent="0.3">
      <c r="A1949" t="str">
        <f>"201352B0100"</f>
        <v>201352B0100</v>
      </c>
      <c r="B1949" t="s">
        <v>3995</v>
      </c>
      <c r="C1949">
        <v>20</v>
      </c>
      <c r="D1949" t="s">
        <v>79</v>
      </c>
      <c r="E1949">
        <v>9</v>
      </c>
      <c r="F1949" t="s">
        <v>3733</v>
      </c>
      <c r="G1949">
        <v>1352</v>
      </c>
      <c r="H1949">
        <v>1</v>
      </c>
      <c r="I1949" t="s">
        <v>81</v>
      </c>
      <c r="J1949">
        <v>0</v>
      </c>
      <c r="K1949">
        <v>1</v>
      </c>
      <c r="L1949">
        <v>2</v>
      </c>
      <c r="M1949">
        <v>103</v>
      </c>
      <c r="N1949">
        <v>132</v>
      </c>
      <c r="O1949">
        <v>0</v>
      </c>
      <c r="P1949">
        <v>129</v>
      </c>
      <c r="Q1949">
        <v>5</v>
      </c>
      <c r="R1949">
        <v>3</v>
      </c>
      <c r="S1949">
        <v>7</v>
      </c>
      <c r="T1949">
        <v>1</v>
      </c>
      <c r="U1949">
        <v>9</v>
      </c>
      <c r="V1949">
        <v>3</v>
      </c>
      <c r="W1949">
        <v>4</v>
      </c>
      <c r="X1949">
        <v>2</v>
      </c>
      <c r="Y1949">
        <v>62</v>
      </c>
      <c r="Z1949">
        <v>2</v>
      </c>
      <c r="AA1949" t="s">
        <v>100</v>
      </c>
      <c r="AB1949">
        <v>1</v>
      </c>
      <c r="AC1949" t="s">
        <v>100</v>
      </c>
      <c r="AD1949" t="s">
        <v>100</v>
      </c>
      <c r="AE1949" t="s">
        <v>100</v>
      </c>
      <c r="AF1949" t="s">
        <v>100</v>
      </c>
      <c r="AK1949" t="s">
        <v>100</v>
      </c>
      <c r="AL1949" t="s">
        <v>100</v>
      </c>
      <c r="AM1949" t="s">
        <v>100</v>
      </c>
      <c r="AN1949" t="s">
        <v>100</v>
      </c>
      <c r="AT1949" t="s">
        <v>100</v>
      </c>
      <c r="AU1949">
        <v>5</v>
      </c>
      <c r="AV1949">
        <v>129</v>
      </c>
      <c r="AW1949">
        <v>104</v>
      </c>
      <c r="AX1949">
        <v>210</v>
      </c>
      <c r="AZ1949" t="s">
        <v>101</v>
      </c>
      <c r="BA1949">
        <v>1</v>
      </c>
      <c r="BC1949" t="s">
        <v>3996</v>
      </c>
      <c r="BD1949" s="4">
        <v>43283.071527777778</v>
      </c>
      <c r="BE1949" s="4">
        <v>43283.076377314814</v>
      </c>
      <c r="BF1949" s="4">
        <v>43283.076377314814</v>
      </c>
      <c r="BG1949" t="s">
        <v>83</v>
      </c>
      <c r="BH1949" t="s">
        <v>84</v>
      </c>
      <c r="BI1949" t="s">
        <v>85</v>
      </c>
    </row>
    <row r="1950" spans="1:61" x14ac:dyDescent="0.3">
      <c r="A1950" t="str">
        <f>"201398B0100"</f>
        <v>201398B0100</v>
      </c>
      <c r="B1950" t="s">
        <v>3997</v>
      </c>
      <c r="C1950">
        <v>20</v>
      </c>
      <c r="D1950" t="s">
        <v>79</v>
      </c>
      <c r="E1950">
        <v>9</v>
      </c>
      <c r="F1950" t="s">
        <v>3733</v>
      </c>
      <c r="G1950">
        <v>1398</v>
      </c>
      <c r="H1950">
        <v>1</v>
      </c>
      <c r="I1950" t="s">
        <v>81</v>
      </c>
      <c r="J1950">
        <v>0</v>
      </c>
      <c r="K1950">
        <v>2</v>
      </c>
      <c r="L1950">
        <v>2</v>
      </c>
      <c r="M1950">
        <v>294</v>
      </c>
      <c r="N1950">
        <v>365</v>
      </c>
      <c r="O1950">
        <v>0</v>
      </c>
      <c r="P1950">
        <v>365</v>
      </c>
      <c r="Q1950">
        <v>11</v>
      </c>
      <c r="R1950">
        <v>60</v>
      </c>
      <c r="S1950">
        <v>15</v>
      </c>
      <c r="T1950">
        <v>5</v>
      </c>
      <c r="U1950">
        <v>46</v>
      </c>
      <c r="V1950">
        <v>4</v>
      </c>
      <c r="W1950">
        <v>6</v>
      </c>
      <c r="X1950">
        <v>8</v>
      </c>
      <c r="Y1950">
        <v>142</v>
      </c>
      <c r="Z1950">
        <v>6</v>
      </c>
      <c r="AA1950">
        <v>0</v>
      </c>
      <c r="AB1950">
        <v>27</v>
      </c>
      <c r="AC1950">
        <v>4</v>
      </c>
      <c r="AD1950">
        <v>2</v>
      </c>
      <c r="AE1950">
        <v>0</v>
      </c>
      <c r="AF1950">
        <v>0</v>
      </c>
      <c r="AK1950">
        <v>10</v>
      </c>
      <c r="AL1950">
        <v>1</v>
      </c>
      <c r="AM1950">
        <v>0</v>
      </c>
      <c r="AN1950">
        <v>5</v>
      </c>
      <c r="AT1950">
        <v>0</v>
      </c>
      <c r="AU1950">
        <v>13</v>
      </c>
      <c r="AV1950" t="s">
        <v>100</v>
      </c>
      <c r="AW1950">
        <v>365</v>
      </c>
      <c r="AX1950">
        <v>637</v>
      </c>
      <c r="BA1950">
        <v>1</v>
      </c>
      <c r="BC1950" t="s">
        <v>3998</v>
      </c>
      <c r="BD1950" s="4">
        <v>43283.29791666667</v>
      </c>
      <c r="BE1950" s="4">
        <v>43283.324143518519</v>
      </c>
      <c r="BF1950" s="4">
        <v>43283.324143518519</v>
      </c>
      <c r="BG1950" t="s">
        <v>83</v>
      </c>
      <c r="BH1950" t="s">
        <v>84</v>
      </c>
      <c r="BI1950" t="s">
        <v>85</v>
      </c>
    </row>
    <row r="1951" spans="1:61" x14ac:dyDescent="0.3">
      <c r="A1951" t="str">
        <f>"201399B0100"</f>
        <v>201399B0100</v>
      </c>
      <c r="B1951" t="s">
        <v>3999</v>
      </c>
      <c r="C1951">
        <v>20</v>
      </c>
      <c r="D1951" t="s">
        <v>79</v>
      </c>
      <c r="E1951">
        <v>9</v>
      </c>
      <c r="F1951" t="s">
        <v>3733</v>
      </c>
      <c r="G1951">
        <v>1399</v>
      </c>
      <c r="H1951">
        <v>1</v>
      </c>
      <c r="I1951" t="s">
        <v>81</v>
      </c>
      <c r="J1951">
        <v>0</v>
      </c>
      <c r="K1951">
        <v>1</v>
      </c>
      <c r="L1951">
        <v>2</v>
      </c>
      <c r="M1951">
        <v>313</v>
      </c>
      <c r="N1951">
        <v>388</v>
      </c>
      <c r="O1951">
        <v>0</v>
      </c>
      <c r="P1951">
        <v>388</v>
      </c>
      <c r="Q1951">
        <v>7</v>
      </c>
      <c r="R1951">
        <v>50</v>
      </c>
      <c r="S1951">
        <v>6</v>
      </c>
      <c r="T1951">
        <v>2</v>
      </c>
      <c r="U1951">
        <v>83</v>
      </c>
      <c r="V1951">
        <v>3</v>
      </c>
      <c r="W1951">
        <v>1</v>
      </c>
      <c r="X1951">
        <v>2</v>
      </c>
      <c r="Y1951">
        <v>168</v>
      </c>
      <c r="Z1951">
        <v>9</v>
      </c>
      <c r="AA1951">
        <v>1</v>
      </c>
      <c r="AB1951">
        <v>19</v>
      </c>
      <c r="AC1951">
        <v>1</v>
      </c>
      <c r="AD1951">
        <v>0</v>
      </c>
      <c r="AE1951">
        <v>0</v>
      </c>
      <c r="AF1951">
        <v>1</v>
      </c>
      <c r="AK1951">
        <v>11</v>
      </c>
      <c r="AL1951">
        <v>8</v>
      </c>
      <c r="AM1951">
        <v>2</v>
      </c>
      <c r="AN1951">
        <v>0</v>
      </c>
      <c r="AT1951">
        <v>16</v>
      </c>
      <c r="AU1951" t="s">
        <v>315</v>
      </c>
      <c r="AV1951">
        <v>388</v>
      </c>
      <c r="AW1951">
        <v>390</v>
      </c>
      <c r="AX1951">
        <v>680</v>
      </c>
      <c r="AZ1951" t="s">
        <v>101</v>
      </c>
      <c r="BA1951">
        <v>1</v>
      </c>
      <c r="BC1951" t="s">
        <v>4000</v>
      </c>
      <c r="BD1951" s="4">
        <v>43283.304166666669</v>
      </c>
      <c r="BE1951" s="4">
        <v>43283.347812499997</v>
      </c>
      <c r="BF1951" s="4">
        <v>43283.347812499997</v>
      </c>
      <c r="BG1951" t="s">
        <v>83</v>
      </c>
      <c r="BH1951" t="s">
        <v>84</v>
      </c>
      <c r="BI1951" t="s">
        <v>85</v>
      </c>
    </row>
    <row r="1952" spans="1:61" x14ac:dyDescent="0.3">
      <c r="A1952" t="str">
        <f>"201400B0100"</f>
        <v>201400B0100</v>
      </c>
      <c r="B1952" t="s">
        <v>4001</v>
      </c>
      <c r="C1952">
        <v>20</v>
      </c>
      <c r="D1952" t="s">
        <v>79</v>
      </c>
      <c r="E1952">
        <v>9</v>
      </c>
      <c r="F1952" t="s">
        <v>3733</v>
      </c>
      <c r="G1952">
        <v>1400</v>
      </c>
      <c r="H1952">
        <v>1</v>
      </c>
      <c r="I1952" t="s">
        <v>81</v>
      </c>
      <c r="J1952">
        <v>0</v>
      </c>
      <c r="K1952">
        <v>2</v>
      </c>
      <c r="L1952">
        <v>2</v>
      </c>
      <c r="M1952">
        <v>215</v>
      </c>
      <c r="N1952" t="s">
        <v>100</v>
      </c>
      <c r="O1952">
        <v>363</v>
      </c>
      <c r="P1952" t="s">
        <v>100</v>
      </c>
      <c r="Q1952">
        <v>2</v>
      </c>
      <c r="R1952">
        <v>21</v>
      </c>
      <c r="S1952">
        <v>2</v>
      </c>
      <c r="T1952">
        <v>1</v>
      </c>
      <c r="U1952">
        <v>19</v>
      </c>
      <c r="V1952">
        <v>2</v>
      </c>
      <c r="W1952">
        <v>2</v>
      </c>
      <c r="X1952">
        <v>2</v>
      </c>
      <c r="Y1952">
        <v>79</v>
      </c>
      <c r="Z1952">
        <v>3</v>
      </c>
      <c r="AA1952">
        <v>1</v>
      </c>
      <c r="AB1952">
        <v>10</v>
      </c>
      <c r="AC1952">
        <v>0</v>
      </c>
      <c r="AD1952">
        <v>0</v>
      </c>
      <c r="AE1952">
        <v>0</v>
      </c>
      <c r="AF1952">
        <v>0</v>
      </c>
      <c r="AK1952">
        <v>1</v>
      </c>
      <c r="AL1952">
        <v>1</v>
      </c>
      <c r="AM1952">
        <v>0</v>
      </c>
      <c r="AN1952">
        <v>0</v>
      </c>
      <c r="AT1952" t="s">
        <v>100</v>
      </c>
      <c r="AU1952">
        <v>3</v>
      </c>
      <c r="AV1952">
        <v>148</v>
      </c>
      <c r="AW1952">
        <v>149</v>
      </c>
      <c r="AX1952">
        <v>341</v>
      </c>
      <c r="AZ1952" t="s">
        <v>101</v>
      </c>
      <c r="BA1952">
        <v>1</v>
      </c>
      <c r="BC1952" t="s">
        <v>4002</v>
      </c>
      <c r="BD1952" s="4">
        <v>43283.314583333333</v>
      </c>
      <c r="BE1952" s="4">
        <v>43283.336967592593</v>
      </c>
      <c r="BF1952" s="4">
        <v>43283.336967592593</v>
      </c>
      <c r="BG1952" t="s">
        <v>83</v>
      </c>
      <c r="BH1952" t="s">
        <v>84</v>
      </c>
      <c r="BI1952" t="s">
        <v>85</v>
      </c>
    </row>
    <row r="1953" spans="1:61" x14ac:dyDescent="0.3">
      <c r="A1953" t="str">
        <f>"201416B0100"</f>
        <v>201416B0100</v>
      </c>
      <c r="B1953" t="s">
        <v>4003</v>
      </c>
      <c r="C1953">
        <v>20</v>
      </c>
      <c r="D1953" t="s">
        <v>79</v>
      </c>
      <c r="E1953">
        <v>9</v>
      </c>
      <c r="F1953" t="s">
        <v>3733</v>
      </c>
      <c r="G1953">
        <v>1416</v>
      </c>
      <c r="H1953">
        <v>1</v>
      </c>
      <c r="I1953" t="s">
        <v>81</v>
      </c>
      <c r="J1953">
        <v>0</v>
      </c>
      <c r="K1953">
        <v>1</v>
      </c>
      <c r="L1953">
        <v>2</v>
      </c>
      <c r="M1953">
        <v>166</v>
      </c>
      <c r="N1953">
        <v>292</v>
      </c>
      <c r="O1953">
        <v>7</v>
      </c>
      <c r="P1953">
        <v>292</v>
      </c>
      <c r="Q1953">
        <v>5</v>
      </c>
      <c r="R1953">
        <v>80</v>
      </c>
      <c r="S1953">
        <v>0</v>
      </c>
      <c r="T1953">
        <v>1</v>
      </c>
      <c r="U1953">
        <v>8</v>
      </c>
      <c r="V1953">
        <v>8</v>
      </c>
      <c r="W1953">
        <v>8</v>
      </c>
      <c r="X1953">
        <v>9</v>
      </c>
      <c r="Y1953">
        <v>154</v>
      </c>
      <c r="Z1953">
        <v>3</v>
      </c>
      <c r="AA1953">
        <v>2</v>
      </c>
      <c r="AB1953">
        <v>5</v>
      </c>
      <c r="AC1953">
        <v>0</v>
      </c>
      <c r="AD1953">
        <v>0</v>
      </c>
      <c r="AE1953">
        <v>0</v>
      </c>
      <c r="AF1953">
        <v>0</v>
      </c>
      <c r="AK1953">
        <v>0</v>
      </c>
      <c r="AL1953">
        <v>0</v>
      </c>
      <c r="AM1953">
        <v>0</v>
      </c>
      <c r="AN1953">
        <v>0</v>
      </c>
      <c r="AT1953">
        <v>0</v>
      </c>
      <c r="AU1953">
        <v>9</v>
      </c>
      <c r="AV1953">
        <v>292</v>
      </c>
      <c r="AW1953">
        <v>292</v>
      </c>
      <c r="AX1953">
        <v>436</v>
      </c>
      <c r="BA1953">
        <v>1</v>
      </c>
      <c r="BC1953" t="s">
        <v>4004</v>
      </c>
      <c r="BD1953" s="4">
        <v>43283.320138888892</v>
      </c>
      <c r="BE1953" s="4">
        <v>43283.340983796297</v>
      </c>
      <c r="BF1953" s="4">
        <v>43283.340983796297</v>
      </c>
      <c r="BG1953" t="s">
        <v>83</v>
      </c>
      <c r="BH1953" t="s">
        <v>84</v>
      </c>
      <c r="BI1953" t="s">
        <v>85</v>
      </c>
    </row>
    <row r="1954" spans="1:61" x14ac:dyDescent="0.3">
      <c r="A1954" t="str">
        <f>"201437B0100"</f>
        <v>201437B0100</v>
      </c>
      <c r="B1954" t="s">
        <v>4005</v>
      </c>
      <c r="C1954">
        <v>20</v>
      </c>
      <c r="D1954" t="s">
        <v>79</v>
      </c>
      <c r="E1954">
        <v>9</v>
      </c>
      <c r="F1954" t="s">
        <v>3733</v>
      </c>
      <c r="G1954">
        <v>1437</v>
      </c>
      <c r="H1954">
        <v>1</v>
      </c>
      <c r="I1954" t="s">
        <v>81</v>
      </c>
      <c r="J1954">
        <v>0</v>
      </c>
      <c r="K1954">
        <v>2</v>
      </c>
      <c r="L1954">
        <v>2</v>
      </c>
      <c r="M1954">
        <v>141</v>
      </c>
      <c r="N1954">
        <v>214</v>
      </c>
      <c r="O1954">
        <v>1</v>
      </c>
      <c r="P1954">
        <v>214</v>
      </c>
      <c r="Q1954">
        <v>7</v>
      </c>
      <c r="R1954">
        <v>5</v>
      </c>
      <c r="S1954">
        <v>6</v>
      </c>
      <c r="T1954">
        <v>2</v>
      </c>
      <c r="U1954">
        <v>12</v>
      </c>
      <c r="V1954">
        <v>2</v>
      </c>
      <c r="W1954">
        <v>1</v>
      </c>
      <c r="X1954">
        <v>3</v>
      </c>
      <c r="Y1954">
        <v>158</v>
      </c>
      <c r="Z1954">
        <v>3</v>
      </c>
      <c r="AA1954">
        <v>1</v>
      </c>
      <c r="AB1954">
        <v>0</v>
      </c>
      <c r="AC1954">
        <v>0</v>
      </c>
      <c r="AD1954">
        <v>0</v>
      </c>
      <c r="AE1954">
        <v>0</v>
      </c>
      <c r="AF1954">
        <v>0</v>
      </c>
      <c r="AK1954">
        <v>5</v>
      </c>
      <c r="AL1954">
        <v>1</v>
      </c>
      <c r="AM1954">
        <v>0</v>
      </c>
      <c r="AN1954">
        <v>2</v>
      </c>
      <c r="AT1954">
        <v>0</v>
      </c>
      <c r="AU1954">
        <v>6</v>
      </c>
      <c r="AV1954">
        <v>214</v>
      </c>
      <c r="AW1954">
        <v>214</v>
      </c>
      <c r="AX1954">
        <v>333</v>
      </c>
      <c r="BA1954">
        <v>1</v>
      </c>
      <c r="BC1954" t="s">
        <v>4006</v>
      </c>
      <c r="BD1954" s="4">
        <v>43283.052777777775</v>
      </c>
      <c r="BE1954" s="4">
        <v>43283.057395833333</v>
      </c>
      <c r="BF1954" s="4">
        <v>43283.057395833333</v>
      </c>
      <c r="BG1954" t="s">
        <v>83</v>
      </c>
      <c r="BH1954" t="s">
        <v>84</v>
      </c>
      <c r="BI1954" t="s">
        <v>85</v>
      </c>
    </row>
    <row r="1955" spans="1:61" x14ac:dyDescent="0.3">
      <c r="A1955" t="str">
        <f>"201437E0100"</f>
        <v>201437E0100</v>
      </c>
      <c r="B1955" s="2" t="s">
        <v>4007</v>
      </c>
      <c r="C1955">
        <v>20</v>
      </c>
      <c r="D1955" t="s">
        <v>79</v>
      </c>
      <c r="E1955">
        <v>9</v>
      </c>
      <c r="F1955" t="s">
        <v>3733</v>
      </c>
      <c r="G1955">
        <v>1437</v>
      </c>
      <c r="H1955">
        <v>1</v>
      </c>
      <c r="I1955" t="s">
        <v>145</v>
      </c>
      <c r="J1955">
        <v>0</v>
      </c>
      <c r="K1955">
        <v>2</v>
      </c>
      <c r="L1955">
        <v>2</v>
      </c>
      <c r="M1955">
        <v>168</v>
      </c>
      <c r="N1955">
        <v>277</v>
      </c>
      <c r="O1955">
        <v>0</v>
      </c>
      <c r="P1955">
        <v>277</v>
      </c>
      <c r="Q1955">
        <v>1</v>
      </c>
      <c r="R1955">
        <v>11</v>
      </c>
      <c r="S1955">
        <v>2</v>
      </c>
      <c r="T1955">
        <v>1</v>
      </c>
      <c r="U1955">
        <v>16</v>
      </c>
      <c r="V1955">
        <v>1</v>
      </c>
      <c r="W1955">
        <v>1</v>
      </c>
      <c r="X1955">
        <v>4</v>
      </c>
      <c r="Y1955">
        <v>177</v>
      </c>
      <c r="Z1955">
        <v>13</v>
      </c>
      <c r="AA1955">
        <v>38</v>
      </c>
      <c r="AB1955">
        <v>3</v>
      </c>
      <c r="AC1955">
        <v>0</v>
      </c>
      <c r="AD1955">
        <v>0</v>
      </c>
      <c r="AE1955">
        <v>0</v>
      </c>
      <c r="AF1955">
        <v>0</v>
      </c>
      <c r="AK1955">
        <v>3</v>
      </c>
      <c r="AL1955">
        <v>0</v>
      </c>
      <c r="AM1955">
        <v>0</v>
      </c>
      <c r="AN1955">
        <v>1</v>
      </c>
      <c r="AT1955">
        <v>0</v>
      </c>
      <c r="AU1955">
        <v>5</v>
      </c>
      <c r="AV1955">
        <v>277</v>
      </c>
      <c r="AW1955">
        <v>277</v>
      </c>
      <c r="AX1955">
        <v>423</v>
      </c>
      <c r="BA1955">
        <v>1</v>
      </c>
      <c r="BC1955" t="s">
        <v>4008</v>
      </c>
      <c r="BD1955" s="4">
        <v>43283.056250000001</v>
      </c>
      <c r="BE1955" s="4">
        <v>43283.060439814813</v>
      </c>
      <c r="BF1955" s="4">
        <v>43283.060439814813</v>
      </c>
      <c r="BG1955" t="s">
        <v>83</v>
      </c>
      <c r="BH1955" t="s">
        <v>84</v>
      </c>
      <c r="BI1955" t="s">
        <v>85</v>
      </c>
    </row>
    <row r="1956" spans="1:61" x14ac:dyDescent="0.3">
      <c r="A1956" t="str">
        <f>"201448B0100"</f>
        <v>201448B0100</v>
      </c>
      <c r="B1956" t="s">
        <v>4009</v>
      </c>
      <c r="C1956">
        <v>20</v>
      </c>
      <c r="D1956" t="s">
        <v>79</v>
      </c>
      <c r="E1956">
        <v>9</v>
      </c>
      <c r="F1956" t="s">
        <v>3733</v>
      </c>
      <c r="G1956">
        <v>1448</v>
      </c>
      <c r="H1956">
        <v>1</v>
      </c>
      <c r="I1956" t="s">
        <v>81</v>
      </c>
      <c r="J1956">
        <v>0</v>
      </c>
      <c r="K1956">
        <v>1</v>
      </c>
      <c r="L1956">
        <v>2</v>
      </c>
      <c r="M1956">
        <v>188</v>
      </c>
      <c r="N1956">
        <v>229</v>
      </c>
      <c r="O1956">
        <v>0</v>
      </c>
      <c r="P1956">
        <v>229</v>
      </c>
      <c r="Q1956">
        <v>1</v>
      </c>
      <c r="R1956">
        <v>37</v>
      </c>
      <c r="S1956">
        <v>9</v>
      </c>
      <c r="T1956">
        <v>0</v>
      </c>
      <c r="U1956">
        <v>8</v>
      </c>
      <c r="V1956">
        <v>4</v>
      </c>
      <c r="W1956">
        <v>3</v>
      </c>
      <c r="X1956">
        <v>2</v>
      </c>
      <c r="Y1956">
        <v>148</v>
      </c>
      <c r="Z1956">
        <v>5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K1956">
        <v>4</v>
      </c>
      <c r="AL1956">
        <v>0</v>
      </c>
      <c r="AM1956">
        <v>0</v>
      </c>
      <c r="AN1956">
        <v>1</v>
      </c>
      <c r="AT1956">
        <v>0</v>
      </c>
      <c r="AU1956">
        <v>7</v>
      </c>
      <c r="AV1956">
        <v>229</v>
      </c>
      <c r="AW1956">
        <v>229</v>
      </c>
      <c r="AX1956">
        <v>395</v>
      </c>
      <c r="BA1956">
        <v>1</v>
      </c>
      <c r="BC1956" t="s">
        <v>4010</v>
      </c>
      <c r="BD1956" s="4">
        <v>43283.251388888886</v>
      </c>
      <c r="BE1956" s="4">
        <v>43283.276342592595</v>
      </c>
      <c r="BF1956" s="4">
        <v>43283.276342592595</v>
      </c>
      <c r="BG1956" t="s">
        <v>83</v>
      </c>
      <c r="BH1956" t="s">
        <v>84</v>
      </c>
      <c r="BI1956" t="s">
        <v>85</v>
      </c>
    </row>
    <row r="1957" spans="1:61" x14ac:dyDescent="0.3">
      <c r="A1957" t="str">
        <f>"201448C0100"</f>
        <v>201448C0100</v>
      </c>
      <c r="B1957" t="s">
        <v>4011</v>
      </c>
      <c r="C1957">
        <v>20</v>
      </c>
      <c r="D1957" t="s">
        <v>79</v>
      </c>
      <c r="E1957">
        <v>9</v>
      </c>
      <c r="F1957" t="s">
        <v>3733</v>
      </c>
      <c r="G1957">
        <v>1448</v>
      </c>
      <c r="H1957">
        <v>1</v>
      </c>
      <c r="I1957" t="s">
        <v>89</v>
      </c>
      <c r="J1957">
        <v>0</v>
      </c>
      <c r="K1957">
        <v>1</v>
      </c>
      <c r="L1957">
        <v>2</v>
      </c>
      <c r="M1957">
        <v>199</v>
      </c>
      <c r="N1957">
        <v>219</v>
      </c>
      <c r="O1957">
        <v>0</v>
      </c>
      <c r="P1957">
        <v>219</v>
      </c>
      <c r="Q1957">
        <v>1</v>
      </c>
      <c r="R1957">
        <v>22</v>
      </c>
      <c r="S1957">
        <v>8</v>
      </c>
      <c r="T1957">
        <v>3</v>
      </c>
      <c r="U1957">
        <v>12</v>
      </c>
      <c r="V1957">
        <v>4</v>
      </c>
      <c r="W1957">
        <v>0</v>
      </c>
      <c r="X1957">
        <v>2</v>
      </c>
      <c r="Y1957">
        <v>154</v>
      </c>
      <c r="Z1957">
        <v>4</v>
      </c>
      <c r="AA1957">
        <v>0</v>
      </c>
      <c r="AB1957">
        <v>3</v>
      </c>
      <c r="AC1957">
        <v>0</v>
      </c>
      <c r="AD1957">
        <v>0</v>
      </c>
      <c r="AE1957">
        <v>0</v>
      </c>
      <c r="AF1957">
        <v>0</v>
      </c>
      <c r="AK1957">
        <v>1</v>
      </c>
      <c r="AL1957">
        <v>0</v>
      </c>
      <c r="AM1957">
        <v>0</v>
      </c>
      <c r="AN1957">
        <v>1</v>
      </c>
      <c r="AT1957">
        <v>0</v>
      </c>
      <c r="AU1957">
        <v>4</v>
      </c>
      <c r="AV1957">
        <v>219</v>
      </c>
      <c r="AW1957">
        <v>219</v>
      </c>
      <c r="AX1957">
        <v>395</v>
      </c>
      <c r="BA1957">
        <v>1</v>
      </c>
      <c r="BC1957" t="s">
        <v>4012</v>
      </c>
      <c r="BD1957" s="4">
        <v>43283.572916666664</v>
      </c>
      <c r="BE1957" s="4">
        <v>43283.576631944445</v>
      </c>
      <c r="BF1957" s="4">
        <v>43283.576631944445</v>
      </c>
      <c r="BG1957" t="s">
        <v>83</v>
      </c>
      <c r="BH1957" t="s">
        <v>84</v>
      </c>
      <c r="BI1957" t="s">
        <v>85</v>
      </c>
    </row>
    <row r="1958" spans="1:61" x14ac:dyDescent="0.3">
      <c r="A1958" t="str">
        <f>"201458B0100"</f>
        <v>201458B0100</v>
      </c>
      <c r="B1958" t="s">
        <v>4013</v>
      </c>
      <c r="C1958">
        <v>20</v>
      </c>
      <c r="D1958" t="s">
        <v>79</v>
      </c>
      <c r="E1958">
        <v>9</v>
      </c>
      <c r="F1958" t="s">
        <v>3733</v>
      </c>
      <c r="G1958">
        <v>1458</v>
      </c>
      <c r="H1958">
        <v>1</v>
      </c>
      <c r="I1958" t="s">
        <v>81</v>
      </c>
      <c r="J1958">
        <v>0</v>
      </c>
      <c r="K1958">
        <v>1</v>
      </c>
      <c r="L1958">
        <v>2</v>
      </c>
      <c r="M1958" t="s">
        <v>100</v>
      </c>
      <c r="N1958">
        <v>227</v>
      </c>
      <c r="O1958">
        <v>0</v>
      </c>
      <c r="P1958">
        <v>227</v>
      </c>
      <c r="Q1958">
        <v>3</v>
      </c>
      <c r="R1958">
        <v>41</v>
      </c>
      <c r="S1958">
        <v>8</v>
      </c>
      <c r="T1958">
        <v>1</v>
      </c>
      <c r="U1958">
        <v>13</v>
      </c>
      <c r="V1958">
        <v>3</v>
      </c>
      <c r="W1958">
        <v>1</v>
      </c>
      <c r="X1958">
        <v>0</v>
      </c>
      <c r="Y1958">
        <v>145</v>
      </c>
      <c r="Z1958">
        <v>2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K1958">
        <v>1</v>
      </c>
      <c r="AL1958">
        <v>1</v>
      </c>
      <c r="AM1958">
        <v>0</v>
      </c>
      <c r="AN1958">
        <v>2</v>
      </c>
      <c r="AT1958" t="s">
        <v>100</v>
      </c>
      <c r="AU1958">
        <v>1</v>
      </c>
      <c r="AV1958">
        <v>227</v>
      </c>
      <c r="AW1958">
        <v>222</v>
      </c>
      <c r="AX1958">
        <v>406</v>
      </c>
      <c r="AZ1958" t="s">
        <v>101</v>
      </c>
      <c r="BA1958">
        <v>1</v>
      </c>
      <c r="BC1958" t="s">
        <v>4014</v>
      </c>
      <c r="BD1958" s="4">
        <v>43283.241666666669</v>
      </c>
      <c r="BE1958" s="4">
        <v>43283.263888888891</v>
      </c>
      <c r="BF1958" s="4">
        <v>43283.263888888891</v>
      </c>
      <c r="BG1958" t="s">
        <v>83</v>
      </c>
      <c r="BH1958" t="s">
        <v>84</v>
      </c>
      <c r="BI1958" t="s">
        <v>85</v>
      </c>
    </row>
    <row r="1959" spans="1:61" x14ac:dyDescent="0.3">
      <c r="A1959" t="str">
        <f>"201458C0100"</f>
        <v>201458C0100</v>
      </c>
      <c r="B1959" t="s">
        <v>4015</v>
      </c>
      <c r="C1959">
        <v>20</v>
      </c>
      <c r="D1959" t="s">
        <v>79</v>
      </c>
      <c r="E1959">
        <v>9</v>
      </c>
      <c r="F1959" t="s">
        <v>3733</v>
      </c>
      <c r="G1959">
        <v>1458</v>
      </c>
      <c r="H1959">
        <v>1</v>
      </c>
      <c r="I1959" t="s">
        <v>89</v>
      </c>
      <c r="J1959">
        <v>0</v>
      </c>
      <c r="K1959">
        <v>1</v>
      </c>
      <c r="L1959">
        <v>2</v>
      </c>
      <c r="M1959">
        <v>190</v>
      </c>
      <c r="N1959">
        <v>237</v>
      </c>
      <c r="O1959">
        <v>0</v>
      </c>
      <c r="P1959">
        <v>232</v>
      </c>
      <c r="Q1959">
        <v>6</v>
      </c>
      <c r="R1959">
        <v>47</v>
      </c>
      <c r="S1959">
        <v>4</v>
      </c>
      <c r="T1959">
        <v>0</v>
      </c>
      <c r="U1959">
        <v>12</v>
      </c>
      <c r="V1959">
        <v>4</v>
      </c>
      <c r="W1959">
        <v>1</v>
      </c>
      <c r="X1959">
        <v>2</v>
      </c>
      <c r="Y1959">
        <v>147</v>
      </c>
      <c r="Z1959">
        <v>1</v>
      </c>
      <c r="AA1959">
        <v>1</v>
      </c>
      <c r="AB1959">
        <v>2</v>
      </c>
      <c r="AC1959">
        <v>0</v>
      </c>
      <c r="AD1959">
        <v>0</v>
      </c>
      <c r="AE1959">
        <v>0</v>
      </c>
      <c r="AF1959">
        <v>0</v>
      </c>
      <c r="AK1959">
        <v>4</v>
      </c>
      <c r="AL1959">
        <v>0</v>
      </c>
      <c r="AM1959">
        <v>0</v>
      </c>
      <c r="AN1959">
        <v>0</v>
      </c>
      <c r="AT1959">
        <v>0</v>
      </c>
      <c r="AU1959">
        <v>6</v>
      </c>
      <c r="AV1959">
        <v>237</v>
      </c>
      <c r="AW1959">
        <v>237</v>
      </c>
      <c r="AX1959">
        <v>405</v>
      </c>
      <c r="BA1959">
        <v>1</v>
      </c>
      <c r="BC1959" t="s">
        <v>4016</v>
      </c>
      <c r="BD1959" s="4">
        <v>43283.245138888888</v>
      </c>
      <c r="BE1959" s="4">
        <v>43283.267881944441</v>
      </c>
      <c r="BF1959" s="4">
        <v>43283.267881944441</v>
      </c>
      <c r="BG1959" t="s">
        <v>83</v>
      </c>
      <c r="BH1959" t="s">
        <v>84</v>
      </c>
      <c r="BI1959" t="s">
        <v>85</v>
      </c>
    </row>
    <row r="1960" spans="1:61" x14ac:dyDescent="0.3">
      <c r="A1960" t="str">
        <f>"201601B0100"</f>
        <v>201601B0100</v>
      </c>
      <c r="B1960" t="s">
        <v>4017</v>
      </c>
      <c r="C1960">
        <v>20</v>
      </c>
      <c r="D1960" t="s">
        <v>79</v>
      </c>
      <c r="E1960">
        <v>9</v>
      </c>
      <c r="F1960" t="s">
        <v>3733</v>
      </c>
      <c r="G1960">
        <v>1601</v>
      </c>
      <c r="H1960">
        <v>1</v>
      </c>
      <c r="I1960" t="s">
        <v>81</v>
      </c>
      <c r="J1960">
        <v>0</v>
      </c>
      <c r="K1960">
        <v>2</v>
      </c>
      <c r="L1960">
        <v>2</v>
      </c>
      <c r="M1960">
        <v>147</v>
      </c>
      <c r="N1960">
        <v>237</v>
      </c>
      <c r="O1960">
        <v>1</v>
      </c>
      <c r="P1960">
        <v>237</v>
      </c>
      <c r="Q1960">
        <v>8</v>
      </c>
      <c r="R1960">
        <v>27</v>
      </c>
      <c r="S1960">
        <v>4</v>
      </c>
      <c r="T1960">
        <v>2</v>
      </c>
      <c r="U1960">
        <v>20</v>
      </c>
      <c r="V1960">
        <v>1</v>
      </c>
      <c r="W1960">
        <v>0</v>
      </c>
      <c r="X1960">
        <v>4</v>
      </c>
      <c r="Y1960">
        <v>126</v>
      </c>
      <c r="Z1960">
        <v>3</v>
      </c>
      <c r="AA1960">
        <v>1</v>
      </c>
      <c r="AB1960">
        <v>4</v>
      </c>
      <c r="AC1960">
        <v>0</v>
      </c>
      <c r="AD1960">
        <v>0</v>
      </c>
      <c r="AE1960">
        <v>0</v>
      </c>
      <c r="AF1960">
        <v>0</v>
      </c>
      <c r="AK1960">
        <v>0</v>
      </c>
      <c r="AL1960">
        <v>2</v>
      </c>
      <c r="AM1960">
        <v>0</v>
      </c>
      <c r="AN1960">
        <v>2</v>
      </c>
      <c r="AT1960">
        <v>0</v>
      </c>
      <c r="AU1960">
        <v>26</v>
      </c>
      <c r="AV1960">
        <v>237</v>
      </c>
      <c r="AW1960">
        <v>230</v>
      </c>
      <c r="AX1960">
        <v>362</v>
      </c>
      <c r="BA1960">
        <v>1</v>
      </c>
      <c r="BC1960" t="s">
        <v>4018</v>
      </c>
      <c r="BD1960" s="4">
        <v>43283.26666666667</v>
      </c>
      <c r="BE1960" s="4">
        <v>43283.292696759258</v>
      </c>
      <c r="BF1960" s="4">
        <v>43283.292696759258</v>
      </c>
      <c r="BG1960" t="s">
        <v>83</v>
      </c>
      <c r="BH1960" t="s">
        <v>84</v>
      </c>
      <c r="BI1960" t="s">
        <v>85</v>
      </c>
    </row>
    <row r="1961" spans="1:61" x14ac:dyDescent="0.3">
      <c r="A1961" t="str">
        <f>"201601E0100"</f>
        <v>201601E0100</v>
      </c>
      <c r="B1961" s="2" t="s">
        <v>4019</v>
      </c>
      <c r="C1961">
        <v>20</v>
      </c>
      <c r="D1961" t="s">
        <v>79</v>
      </c>
      <c r="E1961">
        <v>9</v>
      </c>
      <c r="F1961" t="s">
        <v>3733</v>
      </c>
      <c r="G1961">
        <v>1601</v>
      </c>
      <c r="H1961">
        <v>1</v>
      </c>
      <c r="I1961" t="s">
        <v>145</v>
      </c>
      <c r="J1961">
        <v>0</v>
      </c>
      <c r="K1961">
        <v>2</v>
      </c>
      <c r="L1961">
        <v>2</v>
      </c>
      <c r="M1961">
        <v>144</v>
      </c>
      <c r="N1961">
        <v>184</v>
      </c>
      <c r="O1961">
        <v>0</v>
      </c>
      <c r="P1961">
        <v>184</v>
      </c>
      <c r="Q1961">
        <v>8</v>
      </c>
      <c r="R1961">
        <v>12</v>
      </c>
      <c r="S1961">
        <v>13</v>
      </c>
      <c r="T1961">
        <v>1</v>
      </c>
      <c r="U1961">
        <v>13</v>
      </c>
      <c r="V1961">
        <v>4</v>
      </c>
      <c r="W1961">
        <v>1</v>
      </c>
      <c r="X1961">
        <v>3</v>
      </c>
      <c r="Y1961">
        <v>101</v>
      </c>
      <c r="Z1961">
        <v>9</v>
      </c>
      <c r="AA1961">
        <v>1</v>
      </c>
      <c r="AB1961">
        <v>3</v>
      </c>
      <c r="AC1961">
        <v>0</v>
      </c>
      <c r="AD1961">
        <v>0</v>
      </c>
      <c r="AE1961">
        <v>0</v>
      </c>
      <c r="AF1961">
        <v>0</v>
      </c>
      <c r="AK1961">
        <v>0</v>
      </c>
      <c r="AL1961">
        <v>0</v>
      </c>
      <c r="AM1961">
        <v>0</v>
      </c>
      <c r="AN1961">
        <v>0</v>
      </c>
      <c r="AT1961">
        <v>0</v>
      </c>
      <c r="AU1961">
        <v>0</v>
      </c>
      <c r="AV1961">
        <v>184</v>
      </c>
      <c r="AW1961">
        <v>169</v>
      </c>
      <c r="AX1961">
        <v>306</v>
      </c>
      <c r="BA1961">
        <v>1</v>
      </c>
      <c r="BC1961" t="s">
        <v>4020</v>
      </c>
      <c r="BD1961" s="4">
        <v>43283.265277777777</v>
      </c>
      <c r="BE1961" s="4">
        <v>43283.291689814818</v>
      </c>
      <c r="BF1961" s="4">
        <v>43283.291689814818</v>
      </c>
      <c r="BG1961" t="s">
        <v>83</v>
      </c>
      <c r="BH1961" t="s">
        <v>84</v>
      </c>
      <c r="BI1961" t="s">
        <v>85</v>
      </c>
    </row>
    <row r="1962" spans="1:61" x14ac:dyDescent="0.3">
      <c r="A1962" t="str">
        <f>"201602B0100"</f>
        <v>201602B0100</v>
      </c>
      <c r="B1962" t="s">
        <v>4021</v>
      </c>
      <c r="C1962">
        <v>20</v>
      </c>
      <c r="D1962" t="s">
        <v>79</v>
      </c>
      <c r="E1962">
        <v>9</v>
      </c>
      <c r="F1962" t="s">
        <v>3733</v>
      </c>
      <c r="G1962">
        <v>1602</v>
      </c>
      <c r="H1962">
        <v>1</v>
      </c>
      <c r="I1962" t="s">
        <v>81</v>
      </c>
      <c r="J1962">
        <v>0</v>
      </c>
      <c r="K1962">
        <v>2</v>
      </c>
      <c r="L1962">
        <v>2</v>
      </c>
      <c r="M1962">
        <v>217</v>
      </c>
      <c r="N1962">
        <v>302</v>
      </c>
      <c r="O1962">
        <v>0</v>
      </c>
      <c r="P1962">
        <v>302</v>
      </c>
      <c r="Q1962">
        <v>23</v>
      </c>
      <c r="R1962">
        <v>63</v>
      </c>
      <c r="S1962">
        <v>20</v>
      </c>
      <c r="T1962">
        <v>9</v>
      </c>
      <c r="U1962">
        <v>31</v>
      </c>
      <c r="V1962">
        <v>13</v>
      </c>
      <c r="W1962">
        <v>1</v>
      </c>
      <c r="X1962">
        <v>7</v>
      </c>
      <c r="Y1962">
        <v>105</v>
      </c>
      <c r="Z1962">
        <v>8</v>
      </c>
      <c r="AA1962">
        <v>0</v>
      </c>
      <c r="AB1962">
        <v>1</v>
      </c>
      <c r="AC1962" t="s">
        <v>100</v>
      </c>
      <c r="AD1962" t="s">
        <v>100</v>
      </c>
      <c r="AE1962" t="s">
        <v>100</v>
      </c>
      <c r="AF1962" t="s">
        <v>100</v>
      </c>
      <c r="AK1962">
        <v>2</v>
      </c>
      <c r="AL1962">
        <v>1</v>
      </c>
      <c r="AM1962" t="s">
        <v>100</v>
      </c>
      <c r="AN1962">
        <v>1</v>
      </c>
      <c r="AT1962" t="s">
        <v>100</v>
      </c>
      <c r="AU1962">
        <v>17</v>
      </c>
      <c r="AV1962">
        <v>302</v>
      </c>
      <c r="AW1962">
        <v>302</v>
      </c>
      <c r="AX1962">
        <v>497</v>
      </c>
      <c r="AZ1962" t="s">
        <v>101</v>
      </c>
      <c r="BA1962">
        <v>1</v>
      </c>
      <c r="BC1962" t="s">
        <v>4022</v>
      </c>
      <c r="BD1962" s="4">
        <v>43283.232638888891</v>
      </c>
      <c r="BE1962" s="4">
        <v>43283.255960648145</v>
      </c>
      <c r="BF1962" s="4">
        <v>43283.255960648145</v>
      </c>
      <c r="BG1962" t="s">
        <v>83</v>
      </c>
      <c r="BH1962" t="s">
        <v>84</v>
      </c>
      <c r="BI1962" t="s">
        <v>85</v>
      </c>
    </row>
    <row r="1963" spans="1:61" x14ac:dyDescent="0.3">
      <c r="A1963" t="str">
        <f>"201602C0100"</f>
        <v>201602C0100</v>
      </c>
      <c r="B1963" t="s">
        <v>4023</v>
      </c>
      <c r="C1963">
        <v>20</v>
      </c>
      <c r="D1963" t="s">
        <v>79</v>
      </c>
      <c r="E1963">
        <v>9</v>
      </c>
      <c r="F1963" t="s">
        <v>3733</v>
      </c>
      <c r="G1963">
        <v>1602</v>
      </c>
      <c r="H1963">
        <v>1</v>
      </c>
      <c r="I1963" t="s">
        <v>89</v>
      </c>
      <c r="J1963">
        <v>0</v>
      </c>
      <c r="K1963">
        <v>2</v>
      </c>
      <c r="L1963">
        <v>2</v>
      </c>
      <c r="M1963">
        <v>216</v>
      </c>
      <c r="N1963">
        <v>303</v>
      </c>
      <c r="O1963">
        <v>1</v>
      </c>
      <c r="P1963">
        <v>303</v>
      </c>
      <c r="Q1963">
        <v>22</v>
      </c>
      <c r="R1963">
        <v>63</v>
      </c>
      <c r="S1963">
        <v>12</v>
      </c>
      <c r="T1963">
        <v>13</v>
      </c>
      <c r="U1963">
        <v>37</v>
      </c>
      <c r="V1963">
        <v>10</v>
      </c>
      <c r="W1963">
        <v>2</v>
      </c>
      <c r="X1963">
        <v>7</v>
      </c>
      <c r="Y1963">
        <v>112</v>
      </c>
      <c r="Z1963">
        <v>5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K1963">
        <v>3</v>
      </c>
      <c r="AL1963">
        <v>3</v>
      </c>
      <c r="AM1963">
        <v>0</v>
      </c>
      <c r="AN1963">
        <v>0</v>
      </c>
      <c r="AT1963">
        <v>0</v>
      </c>
      <c r="AU1963">
        <v>14</v>
      </c>
      <c r="AV1963">
        <v>303</v>
      </c>
      <c r="AW1963">
        <v>303</v>
      </c>
      <c r="AX1963">
        <v>497</v>
      </c>
      <c r="BA1963">
        <v>1</v>
      </c>
      <c r="BC1963" t="s">
        <v>4024</v>
      </c>
      <c r="BD1963" s="4">
        <v>43283.234027777777</v>
      </c>
      <c r="BE1963" s="4">
        <v>43283.256331018521</v>
      </c>
      <c r="BF1963" s="4">
        <v>43283.256331018521</v>
      </c>
      <c r="BG1963" t="s">
        <v>83</v>
      </c>
      <c r="BH1963" t="s">
        <v>84</v>
      </c>
      <c r="BI1963" t="s">
        <v>85</v>
      </c>
    </row>
    <row r="1964" spans="1:61" x14ac:dyDescent="0.3">
      <c r="A1964" t="str">
        <f>"201602E0100"</f>
        <v>201602E0100</v>
      </c>
      <c r="B1964" s="2" t="s">
        <v>4025</v>
      </c>
      <c r="C1964">
        <v>20</v>
      </c>
      <c r="D1964" t="s">
        <v>79</v>
      </c>
      <c r="E1964">
        <v>9</v>
      </c>
      <c r="F1964" t="s">
        <v>3733</v>
      </c>
      <c r="G1964">
        <v>1602</v>
      </c>
      <c r="H1964">
        <v>1</v>
      </c>
      <c r="I1964" t="s">
        <v>145</v>
      </c>
      <c r="J1964">
        <v>0</v>
      </c>
      <c r="K1964">
        <v>2</v>
      </c>
      <c r="L1964">
        <v>2</v>
      </c>
      <c r="M1964">
        <v>112</v>
      </c>
      <c r="N1964">
        <v>175</v>
      </c>
      <c r="O1964">
        <v>0</v>
      </c>
      <c r="P1964">
        <v>175</v>
      </c>
      <c r="Q1964">
        <v>10</v>
      </c>
      <c r="R1964">
        <v>38</v>
      </c>
      <c r="S1964">
        <v>6</v>
      </c>
      <c r="T1964">
        <v>4</v>
      </c>
      <c r="U1964">
        <v>11</v>
      </c>
      <c r="V1964">
        <v>3</v>
      </c>
      <c r="W1964">
        <v>1</v>
      </c>
      <c r="X1964">
        <v>3</v>
      </c>
      <c r="Y1964">
        <v>73</v>
      </c>
      <c r="Z1964">
        <v>10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K1964">
        <v>0</v>
      </c>
      <c r="AL1964">
        <v>0</v>
      </c>
      <c r="AM1964">
        <v>0</v>
      </c>
      <c r="AN1964">
        <v>0</v>
      </c>
      <c r="AT1964">
        <v>0</v>
      </c>
      <c r="AU1964">
        <v>13</v>
      </c>
      <c r="AV1964">
        <v>175</v>
      </c>
      <c r="AW1964">
        <v>172</v>
      </c>
      <c r="AX1964">
        <v>265</v>
      </c>
      <c r="BA1964">
        <v>1</v>
      </c>
      <c r="BC1964" t="s">
        <v>4026</v>
      </c>
      <c r="BD1964" s="4">
        <v>43283.57916666667</v>
      </c>
      <c r="BE1964" s="4">
        <v>43283.582245370373</v>
      </c>
      <c r="BF1964" s="4">
        <v>43283.582245370373</v>
      </c>
      <c r="BG1964" t="s">
        <v>83</v>
      </c>
      <c r="BH1964" t="s">
        <v>84</v>
      </c>
      <c r="BI1964" t="s">
        <v>85</v>
      </c>
    </row>
    <row r="1965" spans="1:61" x14ac:dyDescent="0.3">
      <c r="A1965" t="str">
        <f>"201602E0200"</f>
        <v>201602E0200</v>
      </c>
      <c r="B1965" s="2" t="s">
        <v>4027</v>
      </c>
      <c r="C1965">
        <v>20</v>
      </c>
      <c r="D1965" t="s">
        <v>79</v>
      </c>
      <c r="E1965">
        <v>9</v>
      </c>
      <c r="F1965" t="s">
        <v>3733</v>
      </c>
      <c r="G1965">
        <v>1602</v>
      </c>
      <c r="H1965">
        <v>2</v>
      </c>
      <c r="I1965" t="s">
        <v>145</v>
      </c>
      <c r="J1965">
        <v>0</v>
      </c>
      <c r="K1965">
        <v>2</v>
      </c>
      <c r="L1965">
        <v>2</v>
      </c>
      <c r="M1965">
        <v>143</v>
      </c>
      <c r="N1965">
        <v>167</v>
      </c>
      <c r="O1965">
        <v>0</v>
      </c>
      <c r="P1965">
        <v>167</v>
      </c>
      <c r="Q1965">
        <v>7</v>
      </c>
      <c r="R1965">
        <v>75</v>
      </c>
      <c r="S1965">
        <v>4</v>
      </c>
      <c r="T1965">
        <v>0</v>
      </c>
      <c r="U1965">
        <v>3</v>
      </c>
      <c r="V1965">
        <v>4</v>
      </c>
      <c r="W1965">
        <v>0</v>
      </c>
      <c r="X1965">
        <v>2</v>
      </c>
      <c r="Y1965">
        <v>67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K1965">
        <v>0</v>
      </c>
      <c r="AL1965">
        <v>0</v>
      </c>
      <c r="AM1965">
        <v>0</v>
      </c>
      <c r="AN1965">
        <v>0</v>
      </c>
      <c r="AT1965">
        <v>0</v>
      </c>
      <c r="AU1965">
        <v>5</v>
      </c>
      <c r="AV1965" t="s">
        <v>100</v>
      </c>
      <c r="AW1965">
        <v>167</v>
      </c>
      <c r="AX1965">
        <v>288</v>
      </c>
      <c r="BA1965">
        <v>1</v>
      </c>
      <c r="BC1965" t="s">
        <v>4028</v>
      </c>
      <c r="BD1965" s="4">
        <v>43283.237500000003</v>
      </c>
      <c r="BE1965" s="4">
        <v>43283.259641203702</v>
      </c>
      <c r="BF1965" s="4">
        <v>43283.259641203702</v>
      </c>
      <c r="BG1965" t="s">
        <v>83</v>
      </c>
      <c r="BH1965" t="s">
        <v>84</v>
      </c>
      <c r="BI1965" t="s">
        <v>85</v>
      </c>
    </row>
    <row r="1966" spans="1:61" x14ac:dyDescent="0.3">
      <c r="A1966" t="str">
        <f>"201603B0100"</f>
        <v>201603B0100</v>
      </c>
      <c r="B1966" t="s">
        <v>4029</v>
      </c>
      <c r="C1966">
        <v>20</v>
      </c>
      <c r="D1966" t="s">
        <v>79</v>
      </c>
      <c r="E1966">
        <v>9</v>
      </c>
      <c r="F1966" t="s">
        <v>3733</v>
      </c>
      <c r="G1966">
        <v>1603</v>
      </c>
      <c r="H1966">
        <v>1</v>
      </c>
      <c r="I1966" t="s">
        <v>81</v>
      </c>
      <c r="J1966">
        <v>0</v>
      </c>
      <c r="K1966">
        <v>2</v>
      </c>
      <c r="L1966">
        <v>2</v>
      </c>
      <c r="M1966">
        <v>24</v>
      </c>
      <c r="N1966">
        <v>126</v>
      </c>
      <c r="O1966">
        <v>0</v>
      </c>
      <c r="P1966">
        <v>126</v>
      </c>
      <c r="Q1966">
        <v>0</v>
      </c>
      <c r="R1966">
        <v>105</v>
      </c>
      <c r="S1966">
        <v>0</v>
      </c>
      <c r="T1966">
        <v>0</v>
      </c>
      <c r="U1966">
        <v>1</v>
      </c>
      <c r="V1966">
        <v>1</v>
      </c>
      <c r="W1966">
        <v>1</v>
      </c>
      <c r="X1966">
        <v>0</v>
      </c>
      <c r="Y1966">
        <v>14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K1966">
        <v>0</v>
      </c>
      <c r="AL1966">
        <v>0</v>
      </c>
      <c r="AM1966">
        <v>0</v>
      </c>
      <c r="AN1966">
        <v>0</v>
      </c>
      <c r="AT1966">
        <v>0</v>
      </c>
      <c r="AU1966">
        <v>4</v>
      </c>
      <c r="AV1966" t="s">
        <v>100</v>
      </c>
      <c r="AW1966">
        <v>126</v>
      </c>
      <c r="AX1966">
        <v>128</v>
      </c>
      <c r="BA1966">
        <v>1</v>
      </c>
      <c r="BC1966" t="s">
        <v>4030</v>
      </c>
      <c r="BD1966" s="4">
        <v>43283.061805555553</v>
      </c>
      <c r="BE1966" s="4">
        <v>43283.066631944443</v>
      </c>
      <c r="BF1966" s="4">
        <v>43283.066631944443</v>
      </c>
      <c r="BG1966" t="s">
        <v>83</v>
      </c>
      <c r="BH1966" t="s">
        <v>84</v>
      </c>
      <c r="BI1966" t="s">
        <v>85</v>
      </c>
    </row>
    <row r="1967" spans="1:61" x14ac:dyDescent="0.3">
      <c r="A1967" t="str">
        <f>"201649B0100"</f>
        <v>201649B0100</v>
      </c>
      <c r="B1967" t="s">
        <v>4031</v>
      </c>
      <c r="C1967">
        <v>20</v>
      </c>
      <c r="D1967" t="s">
        <v>79</v>
      </c>
      <c r="E1967">
        <v>9</v>
      </c>
      <c r="F1967" t="s">
        <v>3733</v>
      </c>
      <c r="G1967">
        <v>1649</v>
      </c>
      <c r="H1967">
        <v>1</v>
      </c>
      <c r="I1967" t="s">
        <v>81</v>
      </c>
      <c r="J1967">
        <v>0</v>
      </c>
      <c r="K1967">
        <v>1</v>
      </c>
      <c r="L1967">
        <v>2</v>
      </c>
      <c r="M1967">
        <v>363</v>
      </c>
      <c r="N1967">
        <v>316</v>
      </c>
      <c r="O1967">
        <v>0</v>
      </c>
      <c r="P1967">
        <v>316</v>
      </c>
      <c r="Q1967">
        <v>24</v>
      </c>
      <c r="R1967">
        <v>30</v>
      </c>
      <c r="S1967">
        <v>24</v>
      </c>
      <c r="T1967">
        <v>7</v>
      </c>
      <c r="U1967">
        <v>56</v>
      </c>
      <c r="V1967">
        <v>9</v>
      </c>
      <c r="W1967">
        <v>6</v>
      </c>
      <c r="X1967">
        <v>10</v>
      </c>
      <c r="Y1967">
        <v>110</v>
      </c>
      <c r="Z1967">
        <v>9</v>
      </c>
      <c r="AA1967">
        <v>2</v>
      </c>
      <c r="AB1967">
        <v>1</v>
      </c>
      <c r="AC1967">
        <v>0</v>
      </c>
      <c r="AD1967">
        <v>0</v>
      </c>
      <c r="AE1967">
        <v>0</v>
      </c>
      <c r="AF1967">
        <v>0</v>
      </c>
      <c r="AK1967">
        <v>3</v>
      </c>
      <c r="AL1967">
        <v>2</v>
      </c>
      <c r="AM1967">
        <v>1</v>
      </c>
      <c r="AN1967">
        <v>0</v>
      </c>
      <c r="AT1967">
        <v>0</v>
      </c>
      <c r="AU1967">
        <v>22</v>
      </c>
      <c r="AV1967">
        <v>316</v>
      </c>
      <c r="AW1967">
        <v>316</v>
      </c>
      <c r="AX1967">
        <v>657</v>
      </c>
      <c r="BA1967">
        <v>1</v>
      </c>
      <c r="BC1967" t="s">
        <v>4032</v>
      </c>
      <c r="BD1967" s="4">
        <v>43283.084722222222</v>
      </c>
      <c r="BE1967" s="4">
        <v>43283.090196759258</v>
      </c>
      <c r="BF1967" s="4">
        <v>43283.090196759258</v>
      </c>
      <c r="BG1967" t="s">
        <v>83</v>
      </c>
      <c r="BH1967" t="s">
        <v>84</v>
      </c>
      <c r="BI1967" t="s">
        <v>85</v>
      </c>
    </row>
    <row r="1968" spans="1:61" x14ac:dyDescent="0.3">
      <c r="A1968" t="str">
        <f>"201654B0100"</f>
        <v>201654B0100</v>
      </c>
      <c r="B1968" t="s">
        <v>4033</v>
      </c>
      <c r="C1968">
        <v>20</v>
      </c>
      <c r="D1968" t="s">
        <v>79</v>
      </c>
      <c r="E1968">
        <v>9</v>
      </c>
      <c r="F1968" t="s">
        <v>3733</v>
      </c>
      <c r="G1968">
        <v>1654</v>
      </c>
      <c r="H1968">
        <v>1</v>
      </c>
      <c r="I1968" t="s">
        <v>81</v>
      </c>
      <c r="J1968">
        <v>0</v>
      </c>
      <c r="K1968">
        <v>2</v>
      </c>
      <c r="L1968">
        <v>2</v>
      </c>
      <c r="M1968">
        <v>328</v>
      </c>
      <c r="N1968">
        <v>429</v>
      </c>
      <c r="O1968">
        <v>1</v>
      </c>
      <c r="P1968">
        <v>429</v>
      </c>
      <c r="Q1968">
        <v>26</v>
      </c>
      <c r="R1968">
        <v>92</v>
      </c>
      <c r="S1968">
        <v>6</v>
      </c>
      <c r="T1968">
        <v>11</v>
      </c>
      <c r="U1968">
        <v>35</v>
      </c>
      <c r="V1968">
        <v>8</v>
      </c>
      <c r="W1968">
        <v>12</v>
      </c>
      <c r="X1968">
        <v>7</v>
      </c>
      <c r="Y1968">
        <v>188</v>
      </c>
      <c r="Z1968">
        <v>12</v>
      </c>
      <c r="AA1968">
        <v>1</v>
      </c>
      <c r="AB1968">
        <v>4</v>
      </c>
      <c r="AC1968">
        <v>0</v>
      </c>
      <c r="AD1968">
        <v>1</v>
      </c>
      <c r="AE1968">
        <v>0</v>
      </c>
      <c r="AF1968">
        <v>0</v>
      </c>
      <c r="AK1968">
        <v>6</v>
      </c>
      <c r="AL1968">
        <v>1</v>
      </c>
      <c r="AM1968">
        <v>0</v>
      </c>
      <c r="AN1968">
        <v>3</v>
      </c>
      <c r="AT1968">
        <v>0</v>
      </c>
      <c r="AU1968">
        <v>16</v>
      </c>
      <c r="AV1968">
        <v>429</v>
      </c>
      <c r="AW1968">
        <v>429</v>
      </c>
      <c r="AX1968">
        <v>735</v>
      </c>
      <c r="BA1968">
        <v>1</v>
      </c>
      <c r="BC1968" t="s">
        <v>4034</v>
      </c>
      <c r="BD1968" s="4">
        <v>43283.072916666664</v>
      </c>
      <c r="BE1968" s="4">
        <v>43283.078587962962</v>
      </c>
      <c r="BF1968" s="4">
        <v>43283.078587962962</v>
      </c>
      <c r="BG1968" t="s">
        <v>83</v>
      </c>
      <c r="BH1968" t="s">
        <v>84</v>
      </c>
      <c r="BI1968" t="s">
        <v>85</v>
      </c>
    </row>
    <row r="1969" spans="1:61" x14ac:dyDescent="0.3">
      <c r="A1969" t="str">
        <f>"201655B0100"</f>
        <v>201655B0100</v>
      </c>
      <c r="B1969" t="s">
        <v>4035</v>
      </c>
      <c r="C1969">
        <v>20</v>
      </c>
      <c r="D1969" t="s">
        <v>79</v>
      </c>
      <c r="E1969">
        <v>9</v>
      </c>
      <c r="F1969" t="s">
        <v>3733</v>
      </c>
      <c r="G1969">
        <v>1655</v>
      </c>
      <c r="H1969">
        <v>1</v>
      </c>
      <c r="I1969" t="s">
        <v>81</v>
      </c>
      <c r="J1969">
        <v>0</v>
      </c>
      <c r="K1969">
        <v>2</v>
      </c>
      <c r="L1969">
        <v>2</v>
      </c>
      <c r="M1969">
        <v>231</v>
      </c>
      <c r="N1969">
        <v>312</v>
      </c>
      <c r="O1969">
        <v>0</v>
      </c>
      <c r="P1969">
        <v>312</v>
      </c>
      <c r="Q1969">
        <v>17</v>
      </c>
      <c r="R1969">
        <v>82</v>
      </c>
      <c r="S1969">
        <v>6</v>
      </c>
      <c r="T1969">
        <v>6</v>
      </c>
      <c r="U1969">
        <v>23</v>
      </c>
      <c r="V1969">
        <v>5</v>
      </c>
      <c r="W1969">
        <v>2</v>
      </c>
      <c r="X1969">
        <v>6</v>
      </c>
      <c r="Y1969">
        <v>139</v>
      </c>
      <c r="Z1969">
        <v>3</v>
      </c>
      <c r="AA1969">
        <v>1</v>
      </c>
      <c r="AB1969">
        <v>1</v>
      </c>
      <c r="AC1969">
        <v>1</v>
      </c>
      <c r="AD1969">
        <v>0</v>
      </c>
      <c r="AE1969">
        <v>0</v>
      </c>
      <c r="AF1969">
        <v>0</v>
      </c>
      <c r="AK1969">
        <v>8</v>
      </c>
      <c r="AL1969">
        <v>3</v>
      </c>
      <c r="AM1969">
        <v>0</v>
      </c>
      <c r="AN1969">
        <v>2</v>
      </c>
      <c r="AT1969" t="s">
        <v>100</v>
      </c>
      <c r="AU1969">
        <v>7</v>
      </c>
      <c r="AV1969">
        <v>312</v>
      </c>
      <c r="AW1969">
        <v>312</v>
      </c>
      <c r="AX1969">
        <v>508</v>
      </c>
      <c r="AZ1969" t="s">
        <v>101</v>
      </c>
      <c r="BA1969">
        <v>1</v>
      </c>
      <c r="BC1969" t="s">
        <v>4036</v>
      </c>
      <c r="BD1969" s="4">
        <v>43283.07708333333</v>
      </c>
      <c r="BE1969" s="4">
        <v>43283.080879629626</v>
      </c>
      <c r="BF1969" s="4">
        <v>43283.080879629626</v>
      </c>
      <c r="BG1969" t="s">
        <v>83</v>
      </c>
      <c r="BH1969" t="s">
        <v>84</v>
      </c>
      <c r="BI1969" t="s">
        <v>85</v>
      </c>
    </row>
    <row r="1970" spans="1:61" x14ac:dyDescent="0.3">
      <c r="A1970" t="str">
        <f>"201656B0100"</f>
        <v>201656B0100</v>
      </c>
      <c r="B1970" t="s">
        <v>4037</v>
      </c>
      <c r="C1970">
        <v>20</v>
      </c>
      <c r="D1970" t="s">
        <v>79</v>
      </c>
      <c r="E1970">
        <v>9</v>
      </c>
      <c r="F1970" t="s">
        <v>3733</v>
      </c>
      <c r="G1970">
        <v>1656</v>
      </c>
      <c r="H1970">
        <v>1</v>
      </c>
      <c r="I1970" t="s">
        <v>81</v>
      </c>
      <c r="J1970">
        <v>0</v>
      </c>
      <c r="K1970">
        <v>2</v>
      </c>
      <c r="L1970">
        <v>2</v>
      </c>
      <c r="M1970">
        <v>118</v>
      </c>
      <c r="N1970">
        <v>146</v>
      </c>
      <c r="O1970">
        <v>0</v>
      </c>
      <c r="P1970">
        <v>146</v>
      </c>
      <c r="Q1970">
        <v>14</v>
      </c>
      <c r="R1970">
        <v>66</v>
      </c>
      <c r="S1970">
        <v>4</v>
      </c>
      <c r="T1970">
        <v>4</v>
      </c>
      <c r="U1970">
        <v>9</v>
      </c>
      <c r="V1970">
        <v>1</v>
      </c>
      <c r="W1970">
        <v>0</v>
      </c>
      <c r="X1970">
        <v>5</v>
      </c>
      <c r="Y1970">
        <v>33</v>
      </c>
      <c r="Z1970">
        <v>1</v>
      </c>
      <c r="AA1970">
        <v>0</v>
      </c>
      <c r="AB1970">
        <v>0</v>
      </c>
      <c r="AC1970">
        <v>1</v>
      </c>
      <c r="AD1970">
        <v>0</v>
      </c>
      <c r="AE1970">
        <v>0</v>
      </c>
      <c r="AF1970">
        <v>0</v>
      </c>
      <c r="AK1970">
        <v>4</v>
      </c>
      <c r="AL1970">
        <v>0</v>
      </c>
      <c r="AM1970">
        <v>0</v>
      </c>
      <c r="AN1970">
        <v>0</v>
      </c>
      <c r="AT1970">
        <v>0</v>
      </c>
      <c r="AU1970">
        <v>4</v>
      </c>
      <c r="AV1970">
        <v>146</v>
      </c>
      <c r="AW1970">
        <v>146</v>
      </c>
      <c r="AX1970">
        <v>242</v>
      </c>
      <c r="BA1970">
        <v>1</v>
      </c>
      <c r="BC1970" t="s">
        <v>4038</v>
      </c>
      <c r="BD1970" s="4">
        <v>43283.077777777777</v>
      </c>
      <c r="BE1970" s="4">
        <v>43283.088263888887</v>
      </c>
      <c r="BF1970" s="4">
        <v>43283.088263888887</v>
      </c>
      <c r="BG1970" t="s">
        <v>83</v>
      </c>
      <c r="BH1970" t="s">
        <v>84</v>
      </c>
      <c r="BI1970" t="s">
        <v>85</v>
      </c>
    </row>
    <row r="1971" spans="1:61" x14ac:dyDescent="0.3">
      <c r="A1971" t="str">
        <f>"201657B0100"</f>
        <v>201657B0100</v>
      </c>
      <c r="B1971" t="s">
        <v>4039</v>
      </c>
      <c r="C1971">
        <v>20</v>
      </c>
      <c r="D1971" t="s">
        <v>79</v>
      </c>
      <c r="E1971">
        <v>9</v>
      </c>
      <c r="F1971" t="s">
        <v>3733</v>
      </c>
      <c r="G1971">
        <v>1657</v>
      </c>
      <c r="H1971">
        <v>1</v>
      </c>
      <c r="I1971" t="s">
        <v>81</v>
      </c>
      <c r="J1971">
        <v>0</v>
      </c>
      <c r="K1971">
        <v>2</v>
      </c>
      <c r="L1971">
        <v>2</v>
      </c>
      <c r="M1971">
        <v>330</v>
      </c>
      <c r="N1971">
        <v>247</v>
      </c>
      <c r="O1971">
        <v>5</v>
      </c>
      <c r="P1971">
        <v>247</v>
      </c>
      <c r="Q1971">
        <v>14</v>
      </c>
      <c r="R1971">
        <v>84</v>
      </c>
      <c r="S1971">
        <v>0</v>
      </c>
      <c r="T1971">
        <v>2</v>
      </c>
      <c r="U1971">
        <v>11</v>
      </c>
      <c r="V1971">
        <v>4</v>
      </c>
      <c r="W1971">
        <v>18</v>
      </c>
      <c r="X1971">
        <v>2</v>
      </c>
      <c r="Y1971">
        <v>92</v>
      </c>
      <c r="Z1971">
        <v>3</v>
      </c>
      <c r="AA1971">
        <v>3</v>
      </c>
      <c r="AB1971">
        <v>1</v>
      </c>
      <c r="AC1971">
        <v>0</v>
      </c>
      <c r="AD1971">
        <v>0</v>
      </c>
      <c r="AE1971">
        <v>0</v>
      </c>
      <c r="AF1971">
        <v>0</v>
      </c>
      <c r="AK1971">
        <v>2</v>
      </c>
      <c r="AL1971">
        <v>2</v>
      </c>
      <c r="AM1971">
        <v>2</v>
      </c>
      <c r="AN1971">
        <v>0</v>
      </c>
      <c r="AT1971">
        <v>0</v>
      </c>
      <c r="AU1971">
        <v>9</v>
      </c>
      <c r="AV1971">
        <v>247</v>
      </c>
      <c r="AW1971">
        <v>249</v>
      </c>
      <c r="AX1971">
        <v>555</v>
      </c>
      <c r="BA1971">
        <v>1</v>
      </c>
      <c r="BC1971" t="s">
        <v>4040</v>
      </c>
      <c r="BD1971" s="4">
        <v>43283.069444444445</v>
      </c>
      <c r="BE1971" s="4">
        <v>43283.073425925926</v>
      </c>
      <c r="BF1971" s="4">
        <v>43283.073425925926</v>
      </c>
      <c r="BG1971" t="s">
        <v>83</v>
      </c>
      <c r="BH1971" t="s">
        <v>84</v>
      </c>
      <c r="BI1971" t="s">
        <v>85</v>
      </c>
    </row>
    <row r="1972" spans="1:61" x14ac:dyDescent="0.3">
      <c r="A1972" t="str">
        <f>"201665B0100"</f>
        <v>201665B0100</v>
      </c>
      <c r="B1972" t="s">
        <v>4041</v>
      </c>
      <c r="C1972">
        <v>20</v>
      </c>
      <c r="D1972" t="s">
        <v>79</v>
      </c>
      <c r="E1972">
        <v>9</v>
      </c>
      <c r="F1972" t="s">
        <v>3733</v>
      </c>
      <c r="G1972">
        <v>1665</v>
      </c>
      <c r="H1972">
        <v>1</v>
      </c>
      <c r="I1972" t="s">
        <v>81</v>
      </c>
      <c r="J1972">
        <v>0</v>
      </c>
      <c r="K1972">
        <v>2</v>
      </c>
      <c r="L1972">
        <v>2</v>
      </c>
      <c r="M1972">
        <v>112</v>
      </c>
      <c r="N1972">
        <v>105</v>
      </c>
      <c r="O1972">
        <v>1</v>
      </c>
      <c r="P1972">
        <v>105</v>
      </c>
      <c r="Q1972">
        <v>4</v>
      </c>
      <c r="R1972">
        <v>19</v>
      </c>
      <c r="S1972">
        <v>0</v>
      </c>
      <c r="T1972">
        <v>3</v>
      </c>
      <c r="U1972">
        <v>5</v>
      </c>
      <c r="V1972">
        <v>1</v>
      </c>
      <c r="W1972">
        <v>1</v>
      </c>
      <c r="X1972">
        <v>5</v>
      </c>
      <c r="Y1972">
        <v>57</v>
      </c>
      <c r="Z1972">
        <v>3</v>
      </c>
      <c r="AA1972">
        <v>0</v>
      </c>
      <c r="AB1972">
        <v>1</v>
      </c>
      <c r="AC1972">
        <v>0</v>
      </c>
      <c r="AD1972">
        <v>0</v>
      </c>
      <c r="AE1972">
        <v>0</v>
      </c>
      <c r="AF1972">
        <v>0</v>
      </c>
      <c r="AK1972">
        <v>2</v>
      </c>
      <c r="AL1972">
        <v>0</v>
      </c>
      <c r="AM1972">
        <v>0</v>
      </c>
      <c r="AN1972">
        <v>0</v>
      </c>
      <c r="AT1972">
        <v>0</v>
      </c>
      <c r="AU1972">
        <v>4</v>
      </c>
      <c r="AV1972">
        <v>105</v>
      </c>
      <c r="AW1972">
        <v>105</v>
      </c>
      <c r="AX1972">
        <v>195</v>
      </c>
      <c r="BA1972">
        <v>1</v>
      </c>
      <c r="BC1972" t="s">
        <v>4042</v>
      </c>
      <c r="BD1972" s="4">
        <v>43283.101388888892</v>
      </c>
      <c r="BE1972" s="4">
        <v>43283.105370370373</v>
      </c>
      <c r="BF1972" s="4">
        <v>43283.105370370373</v>
      </c>
      <c r="BG1972" t="s">
        <v>83</v>
      </c>
      <c r="BH1972" t="s">
        <v>84</v>
      </c>
      <c r="BI1972" t="s">
        <v>85</v>
      </c>
    </row>
    <row r="1973" spans="1:61" x14ac:dyDescent="0.3">
      <c r="A1973" t="str">
        <f>"201666B0100"</f>
        <v>201666B0100</v>
      </c>
      <c r="B1973" t="s">
        <v>4043</v>
      </c>
      <c r="C1973">
        <v>20</v>
      </c>
      <c r="D1973" t="s">
        <v>79</v>
      </c>
      <c r="E1973">
        <v>9</v>
      </c>
      <c r="F1973" t="s">
        <v>3733</v>
      </c>
      <c r="G1973">
        <v>1666</v>
      </c>
      <c r="H1973">
        <v>1</v>
      </c>
      <c r="I1973" t="s">
        <v>81</v>
      </c>
      <c r="J1973">
        <v>0</v>
      </c>
      <c r="K1973">
        <v>2</v>
      </c>
      <c r="L1973">
        <v>2</v>
      </c>
      <c r="M1973">
        <v>168</v>
      </c>
      <c r="N1973">
        <v>372</v>
      </c>
      <c r="O1973">
        <v>0</v>
      </c>
      <c r="P1973">
        <v>372</v>
      </c>
      <c r="Q1973">
        <v>9</v>
      </c>
      <c r="R1973">
        <v>105</v>
      </c>
      <c r="S1973">
        <v>4</v>
      </c>
      <c r="T1973">
        <v>8</v>
      </c>
      <c r="U1973">
        <v>27</v>
      </c>
      <c r="V1973">
        <v>4</v>
      </c>
      <c r="W1973">
        <v>17</v>
      </c>
      <c r="X1973">
        <v>24</v>
      </c>
      <c r="Y1973">
        <v>121</v>
      </c>
      <c r="Z1973">
        <v>4</v>
      </c>
      <c r="AA1973">
        <v>1</v>
      </c>
      <c r="AB1973">
        <v>29</v>
      </c>
      <c r="AC1973">
        <v>0</v>
      </c>
      <c r="AD1973">
        <v>0</v>
      </c>
      <c r="AE1973">
        <v>0</v>
      </c>
      <c r="AF1973">
        <v>0</v>
      </c>
      <c r="AK1973">
        <v>1</v>
      </c>
      <c r="AL1973">
        <v>0</v>
      </c>
      <c r="AM1973">
        <v>0</v>
      </c>
      <c r="AN1973">
        <v>0</v>
      </c>
      <c r="AT1973">
        <v>0</v>
      </c>
      <c r="AU1973">
        <v>17</v>
      </c>
      <c r="AV1973" t="s">
        <v>100</v>
      </c>
      <c r="AW1973">
        <v>371</v>
      </c>
      <c r="AX1973">
        <v>519</v>
      </c>
      <c r="BA1973">
        <v>1</v>
      </c>
      <c r="BC1973" t="s">
        <v>4044</v>
      </c>
      <c r="BD1973" s="4">
        <v>43283.009027777778</v>
      </c>
      <c r="BE1973" s="4">
        <v>43283.013194444444</v>
      </c>
      <c r="BF1973" s="4">
        <v>43283.013194444444</v>
      </c>
      <c r="BG1973" t="s">
        <v>83</v>
      </c>
      <c r="BH1973" t="s">
        <v>84</v>
      </c>
      <c r="BI1973" t="s">
        <v>85</v>
      </c>
    </row>
    <row r="1974" spans="1:61" x14ac:dyDescent="0.3">
      <c r="A1974" t="str">
        <f>"201667B0100"</f>
        <v>201667B0100</v>
      </c>
      <c r="B1974" t="s">
        <v>4045</v>
      </c>
      <c r="C1974">
        <v>20</v>
      </c>
      <c r="D1974" t="s">
        <v>79</v>
      </c>
      <c r="E1974">
        <v>9</v>
      </c>
      <c r="F1974" t="s">
        <v>3733</v>
      </c>
      <c r="G1974">
        <v>1667</v>
      </c>
      <c r="H1974">
        <v>1</v>
      </c>
      <c r="I1974" t="s">
        <v>81</v>
      </c>
      <c r="J1974">
        <v>0</v>
      </c>
      <c r="K1974">
        <v>2</v>
      </c>
      <c r="L1974">
        <v>2</v>
      </c>
      <c r="M1974">
        <v>120</v>
      </c>
      <c r="N1974">
        <v>184</v>
      </c>
      <c r="O1974">
        <v>1</v>
      </c>
      <c r="P1974">
        <v>184</v>
      </c>
      <c r="Q1974">
        <v>9</v>
      </c>
      <c r="R1974">
        <v>78</v>
      </c>
      <c r="S1974">
        <v>3</v>
      </c>
      <c r="T1974">
        <v>5</v>
      </c>
      <c r="U1974">
        <v>16</v>
      </c>
      <c r="V1974">
        <v>3</v>
      </c>
      <c r="W1974">
        <v>0</v>
      </c>
      <c r="X1974">
        <v>6</v>
      </c>
      <c r="Y1974">
        <v>54</v>
      </c>
      <c r="Z1974">
        <v>0</v>
      </c>
      <c r="AA1974">
        <v>1</v>
      </c>
      <c r="AB1974">
        <v>1</v>
      </c>
      <c r="AC1974">
        <v>0</v>
      </c>
      <c r="AD1974">
        <v>0</v>
      </c>
      <c r="AE1974">
        <v>0</v>
      </c>
      <c r="AF1974">
        <v>1</v>
      </c>
      <c r="AK1974">
        <v>0</v>
      </c>
      <c r="AL1974">
        <v>0</v>
      </c>
      <c r="AM1974">
        <v>0</v>
      </c>
      <c r="AN1974">
        <v>0</v>
      </c>
      <c r="AT1974">
        <v>0</v>
      </c>
      <c r="AU1974">
        <v>7</v>
      </c>
      <c r="AV1974">
        <v>184</v>
      </c>
      <c r="AW1974">
        <v>184</v>
      </c>
      <c r="AX1974">
        <v>282</v>
      </c>
      <c r="BA1974">
        <v>1</v>
      </c>
      <c r="BC1974" t="s">
        <v>4046</v>
      </c>
      <c r="BD1974" s="4">
        <v>43283.013194444444</v>
      </c>
      <c r="BE1974" s="4">
        <v>43283.017453703702</v>
      </c>
      <c r="BF1974" s="4">
        <v>43283.017453703702</v>
      </c>
      <c r="BG1974" t="s">
        <v>83</v>
      </c>
      <c r="BH1974" t="s">
        <v>84</v>
      </c>
      <c r="BI1974" t="s">
        <v>85</v>
      </c>
    </row>
    <row r="1975" spans="1:61" x14ac:dyDescent="0.3">
      <c r="A1975" t="str">
        <f>"201873B0100"</f>
        <v>201873B0100</v>
      </c>
      <c r="B1975" t="s">
        <v>4047</v>
      </c>
      <c r="C1975">
        <v>20</v>
      </c>
      <c r="D1975" t="s">
        <v>79</v>
      </c>
      <c r="E1975">
        <v>9</v>
      </c>
      <c r="F1975" t="s">
        <v>3733</v>
      </c>
      <c r="G1975">
        <v>1873</v>
      </c>
      <c r="H1975">
        <v>1</v>
      </c>
      <c r="I1975" t="s">
        <v>81</v>
      </c>
      <c r="J1975">
        <v>0</v>
      </c>
      <c r="K1975">
        <v>1</v>
      </c>
      <c r="L1975">
        <v>2</v>
      </c>
      <c r="M1975">
        <v>185</v>
      </c>
      <c r="N1975">
        <v>280</v>
      </c>
      <c r="O1975">
        <v>0</v>
      </c>
      <c r="P1975">
        <v>280</v>
      </c>
      <c r="Q1975">
        <v>32</v>
      </c>
      <c r="R1975">
        <v>30</v>
      </c>
      <c r="S1975">
        <v>18</v>
      </c>
      <c r="T1975">
        <v>3</v>
      </c>
      <c r="U1975">
        <v>16</v>
      </c>
      <c r="V1975">
        <v>11</v>
      </c>
      <c r="W1975">
        <v>5</v>
      </c>
      <c r="X1975">
        <v>3</v>
      </c>
      <c r="Y1975">
        <v>127</v>
      </c>
      <c r="Z1975">
        <v>4</v>
      </c>
      <c r="AA1975">
        <v>11</v>
      </c>
      <c r="AB1975">
        <v>0</v>
      </c>
      <c r="AC1975">
        <v>1</v>
      </c>
      <c r="AD1975">
        <v>0</v>
      </c>
      <c r="AE1975">
        <v>0</v>
      </c>
      <c r="AF1975">
        <v>0</v>
      </c>
      <c r="AK1975">
        <v>1</v>
      </c>
      <c r="AL1975">
        <v>3</v>
      </c>
      <c r="AM1975">
        <v>0</v>
      </c>
      <c r="AN1975">
        <v>4</v>
      </c>
      <c r="AT1975">
        <v>0</v>
      </c>
      <c r="AU1975">
        <v>11</v>
      </c>
      <c r="AV1975">
        <v>280</v>
      </c>
      <c r="AW1975">
        <v>280</v>
      </c>
      <c r="AX1975">
        <v>443</v>
      </c>
      <c r="BA1975">
        <v>1</v>
      </c>
      <c r="BC1975" t="s">
        <v>4048</v>
      </c>
      <c r="BD1975" s="4">
        <v>43283.217361111114</v>
      </c>
      <c r="BE1975" s="4">
        <v>43283.239918981482</v>
      </c>
      <c r="BF1975" s="4">
        <v>43283.239918981482</v>
      </c>
      <c r="BG1975" t="s">
        <v>83</v>
      </c>
      <c r="BH1975" t="s">
        <v>84</v>
      </c>
      <c r="BI1975" t="s">
        <v>85</v>
      </c>
    </row>
    <row r="1976" spans="1:61" x14ac:dyDescent="0.3">
      <c r="A1976" t="str">
        <f>"201907B0100"</f>
        <v>201907B0100</v>
      </c>
      <c r="B1976" t="s">
        <v>4049</v>
      </c>
      <c r="C1976">
        <v>20</v>
      </c>
      <c r="D1976" t="s">
        <v>79</v>
      </c>
      <c r="E1976">
        <v>9</v>
      </c>
      <c r="F1976" t="s">
        <v>3733</v>
      </c>
      <c r="G1976">
        <v>1907</v>
      </c>
      <c r="H1976">
        <v>1</v>
      </c>
      <c r="I1976" t="s">
        <v>81</v>
      </c>
      <c r="J1976">
        <v>0</v>
      </c>
      <c r="K1976">
        <v>1</v>
      </c>
      <c r="L1976">
        <v>2</v>
      </c>
      <c r="M1976">
        <v>321</v>
      </c>
      <c r="N1976">
        <v>412</v>
      </c>
      <c r="O1976">
        <v>0</v>
      </c>
      <c r="P1976">
        <v>412</v>
      </c>
      <c r="Q1976">
        <v>13</v>
      </c>
      <c r="R1976">
        <v>50</v>
      </c>
      <c r="S1976">
        <v>27</v>
      </c>
      <c r="T1976">
        <v>1</v>
      </c>
      <c r="U1976">
        <v>16</v>
      </c>
      <c r="V1976">
        <v>9</v>
      </c>
      <c r="W1976">
        <v>3</v>
      </c>
      <c r="X1976">
        <v>0</v>
      </c>
      <c r="Y1976">
        <v>222</v>
      </c>
      <c r="Z1976">
        <v>14</v>
      </c>
      <c r="AA1976">
        <v>0</v>
      </c>
      <c r="AB1976">
        <v>10</v>
      </c>
      <c r="AC1976">
        <v>0</v>
      </c>
      <c r="AD1976">
        <v>0</v>
      </c>
      <c r="AE1976">
        <v>0</v>
      </c>
      <c r="AF1976">
        <v>1</v>
      </c>
      <c r="AK1976">
        <v>9</v>
      </c>
      <c r="AL1976">
        <v>3</v>
      </c>
      <c r="AM1976">
        <v>1</v>
      </c>
      <c r="AN1976">
        <v>5</v>
      </c>
      <c r="AT1976">
        <v>0</v>
      </c>
      <c r="AU1976">
        <v>29</v>
      </c>
      <c r="AV1976">
        <v>412</v>
      </c>
      <c r="AW1976">
        <v>413</v>
      </c>
      <c r="AX1976">
        <v>711</v>
      </c>
      <c r="BA1976">
        <v>1</v>
      </c>
      <c r="BC1976" t="s">
        <v>4050</v>
      </c>
      <c r="BD1976" s="4">
        <v>43283.367361111108</v>
      </c>
      <c r="BE1976" s="4">
        <v>43283.376446759263</v>
      </c>
      <c r="BF1976" s="4">
        <v>43283.376446759263</v>
      </c>
      <c r="BG1976" t="s">
        <v>83</v>
      </c>
      <c r="BH1976" t="s">
        <v>84</v>
      </c>
      <c r="BI1976" t="s">
        <v>85</v>
      </c>
    </row>
    <row r="1977" spans="1:61" x14ac:dyDescent="0.3">
      <c r="A1977" t="str">
        <f>"201933B0100"</f>
        <v>201933B0100</v>
      </c>
      <c r="B1977" t="s">
        <v>4051</v>
      </c>
      <c r="C1977">
        <v>20</v>
      </c>
      <c r="D1977" t="s">
        <v>79</v>
      </c>
      <c r="E1977">
        <v>9</v>
      </c>
      <c r="F1977" t="s">
        <v>3733</v>
      </c>
      <c r="G1977">
        <v>1933</v>
      </c>
      <c r="H1977">
        <v>1</v>
      </c>
      <c r="I1977" t="s">
        <v>81</v>
      </c>
      <c r="J1977">
        <v>0</v>
      </c>
      <c r="K1977">
        <v>1</v>
      </c>
      <c r="L1977">
        <v>2</v>
      </c>
      <c r="M1977">
        <v>131</v>
      </c>
      <c r="N1977">
        <v>110</v>
      </c>
      <c r="O1977">
        <v>0</v>
      </c>
      <c r="P1977">
        <v>110</v>
      </c>
      <c r="Q1977">
        <v>3</v>
      </c>
      <c r="R1977">
        <v>23</v>
      </c>
      <c r="S1977">
        <v>4</v>
      </c>
      <c r="T1977">
        <v>5</v>
      </c>
      <c r="U1977">
        <v>10</v>
      </c>
      <c r="V1977">
        <v>3</v>
      </c>
      <c r="W1977">
        <v>1</v>
      </c>
      <c r="X1977">
        <v>1</v>
      </c>
      <c r="Y1977">
        <v>56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K1977">
        <v>1</v>
      </c>
      <c r="AL1977">
        <v>0</v>
      </c>
      <c r="AM1977">
        <v>0</v>
      </c>
      <c r="AN1977">
        <v>0</v>
      </c>
      <c r="AT1977">
        <v>0</v>
      </c>
      <c r="AU1977">
        <v>3</v>
      </c>
      <c r="AV1977">
        <v>110</v>
      </c>
      <c r="AW1977">
        <v>110</v>
      </c>
      <c r="AX1977">
        <v>219</v>
      </c>
      <c r="BA1977">
        <v>1</v>
      </c>
      <c r="BC1977" t="s">
        <v>4052</v>
      </c>
      <c r="BD1977" s="4">
        <v>43283.091666666667</v>
      </c>
      <c r="BE1977" s="4">
        <v>43283.095775462964</v>
      </c>
      <c r="BF1977" s="4">
        <v>43283.095775462964</v>
      </c>
      <c r="BG1977" t="s">
        <v>83</v>
      </c>
      <c r="BH1977" t="s">
        <v>84</v>
      </c>
      <c r="BI1977" t="s">
        <v>85</v>
      </c>
    </row>
    <row r="1978" spans="1:61" x14ac:dyDescent="0.3">
      <c r="A1978" t="str">
        <f>"201934B0100"</f>
        <v>201934B0100</v>
      </c>
      <c r="B1978" t="s">
        <v>4053</v>
      </c>
      <c r="C1978">
        <v>20</v>
      </c>
      <c r="D1978" t="s">
        <v>79</v>
      </c>
      <c r="E1978">
        <v>9</v>
      </c>
      <c r="F1978" t="s">
        <v>3733</v>
      </c>
      <c r="G1978">
        <v>1934</v>
      </c>
      <c r="H1978">
        <v>1</v>
      </c>
      <c r="I1978" t="s">
        <v>81</v>
      </c>
      <c r="J1978">
        <v>0</v>
      </c>
      <c r="K1978">
        <v>1</v>
      </c>
      <c r="L1978">
        <v>2</v>
      </c>
      <c r="M1978">
        <v>151</v>
      </c>
      <c r="N1978">
        <v>209</v>
      </c>
      <c r="O1978">
        <v>0</v>
      </c>
      <c r="P1978">
        <v>209</v>
      </c>
      <c r="Q1978">
        <v>4</v>
      </c>
      <c r="R1978">
        <v>46</v>
      </c>
      <c r="S1978">
        <v>2</v>
      </c>
      <c r="T1978">
        <v>0</v>
      </c>
      <c r="U1978">
        <v>6</v>
      </c>
      <c r="V1978">
        <v>2</v>
      </c>
      <c r="W1978">
        <v>12</v>
      </c>
      <c r="X1978">
        <v>1</v>
      </c>
      <c r="Y1978">
        <v>99</v>
      </c>
      <c r="Z1978">
        <v>5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K1978">
        <v>13</v>
      </c>
      <c r="AL1978">
        <v>7</v>
      </c>
      <c r="AM1978">
        <v>0</v>
      </c>
      <c r="AN1978">
        <v>3</v>
      </c>
      <c r="AT1978">
        <v>0</v>
      </c>
      <c r="AU1978">
        <v>9</v>
      </c>
      <c r="AV1978">
        <v>209</v>
      </c>
      <c r="AW1978">
        <v>209</v>
      </c>
      <c r="AX1978">
        <v>338</v>
      </c>
      <c r="BA1978">
        <v>1</v>
      </c>
      <c r="BC1978" t="s">
        <v>4054</v>
      </c>
      <c r="BD1978" s="4">
        <v>43283.104861111111</v>
      </c>
      <c r="BE1978" s="4">
        <v>43283.10832175926</v>
      </c>
      <c r="BF1978" s="4">
        <v>43283.10832175926</v>
      </c>
      <c r="BG1978" t="s">
        <v>83</v>
      </c>
      <c r="BH1978" t="s">
        <v>84</v>
      </c>
      <c r="BI1978" t="s">
        <v>85</v>
      </c>
    </row>
    <row r="1979" spans="1:61" x14ac:dyDescent="0.3">
      <c r="A1979" t="str">
        <f>"201976B0100"</f>
        <v>201976B0100</v>
      </c>
      <c r="B1979" t="s">
        <v>4055</v>
      </c>
      <c r="C1979">
        <v>20</v>
      </c>
      <c r="D1979" t="s">
        <v>79</v>
      </c>
      <c r="E1979">
        <v>9</v>
      </c>
      <c r="F1979" t="s">
        <v>3733</v>
      </c>
      <c r="G1979">
        <v>1976</v>
      </c>
      <c r="H1979">
        <v>1</v>
      </c>
      <c r="I1979" t="s">
        <v>81</v>
      </c>
      <c r="J1979">
        <v>0</v>
      </c>
      <c r="K1979">
        <v>2</v>
      </c>
      <c r="L1979">
        <v>2</v>
      </c>
      <c r="M1979">
        <v>237</v>
      </c>
      <c r="N1979">
        <v>311</v>
      </c>
      <c r="O1979">
        <v>0</v>
      </c>
      <c r="P1979">
        <v>311</v>
      </c>
      <c r="Q1979">
        <v>16</v>
      </c>
      <c r="R1979">
        <v>8</v>
      </c>
      <c r="S1979">
        <v>28</v>
      </c>
      <c r="T1979">
        <v>4</v>
      </c>
      <c r="U1979">
        <v>9</v>
      </c>
      <c r="V1979">
        <v>4</v>
      </c>
      <c r="W1979">
        <v>1</v>
      </c>
      <c r="X1979">
        <v>5</v>
      </c>
      <c r="Y1979">
        <v>209</v>
      </c>
      <c r="Z1979">
        <v>10</v>
      </c>
      <c r="AA1979">
        <v>0</v>
      </c>
      <c r="AB1979">
        <v>2</v>
      </c>
      <c r="AC1979">
        <v>0</v>
      </c>
      <c r="AD1979">
        <v>0</v>
      </c>
      <c r="AE1979">
        <v>0</v>
      </c>
      <c r="AF1979">
        <v>0</v>
      </c>
      <c r="AK1979">
        <v>0</v>
      </c>
      <c r="AL1979">
        <v>0</v>
      </c>
      <c r="AM1979">
        <v>0</v>
      </c>
      <c r="AN1979">
        <v>0</v>
      </c>
      <c r="AT1979">
        <v>0</v>
      </c>
      <c r="AU1979">
        <v>15</v>
      </c>
      <c r="AV1979">
        <v>311</v>
      </c>
      <c r="AW1979">
        <v>311</v>
      </c>
      <c r="AX1979">
        <v>526</v>
      </c>
      <c r="BA1979">
        <v>1</v>
      </c>
      <c r="BC1979" t="s">
        <v>4056</v>
      </c>
      <c r="BD1979" s="4">
        <v>43283.255555555559</v>
      </c>
      <c r="BE1979" s="4">
        <v>43283.281435185185</v>
      </c>
      <c r="BF1979" s="4">
        <v>43283.281435185185</v>
      </c>
      <c r="BG1979" t="s">
        <v>83</v>
      </c>
      <c r="BH1979" t="s">
        <v>84</v>
      </c>
      <c r="BI1979" t="s">
        <v>85</v>
      </c>
    </row>
    <row r="1980" spans="1:61" x14ac:dyDescent="0.3">
      <c r="A1980" t="str">
        <f>"201976E0100"</f>
        <v>201976E0100</v>
      </c>
      <c r="B1980" s="2" t="s">
        <v>4057</v>
      </c>
      <c r="C1980">
        <v>20</v>
      </c>
      <c r="D1980" t="s">
        <v>79</v>
      </c>
      <c r="E1980">
        <v>9</v>
      </c>
      <c r="F1980" t="s">
        <v>3733</v>
      </c>
      <c r="G1980">
        <v>1976</v>
      </c>
      <c r="H1980">
        <v>1</v>
      </c>
      <c r="I1980" t="s">
        <v>145</v>
      </c>
      <c r="J1980">
        <v>0</v>
      </c>
      <c r="K1980">
        <v>2</v>
      </c>
      <c r="L1980">
        <v>2</v>
      </c>
      <c r="M1980">
        <v>168</v>
      </c>
      <c r="N1980">
        <v>161</v>
      </c>
      <c r="O1980">
        <v>0</v>
      </c>
      <c r="P1980">
        <v>161</v>
      </c>
      <c r="Q1980">
        <v>14</v>
      </c>
      <c r="R1980">
        <v>32</v>
      </c>
      <c r="S1980">
        <v>2</v>
      </c>
      <c r="T1980">
        <v>2</v>
      </c>
      <c r="U1980">
        <v>3</v>
      </c>
      <c r="V1980">
        <v>0</v>
      </c>
      <c r="W1980">
        <v>2</v>
      </c>
      <c r="X1980">
        <v>0</v>
      </c>
      <c r="Y1980">
        <v>97</v>
      </c>
      <c r="Z1980">
        <v>0</v>
      </c>
      <c r="AA1980">
        <v>2</v>
      </c>
      <c r="AB1980">
        <v>1</v>
      </c>
      <c r="AC1980">
        <v>1</v>
      </c>
      <c r="AD1980">
        <v>0</v>
      </c>
      <c r="AE1980">
        <v>0</v>
      </c>
      <c r="AF1980">
        <v>0</v>
      </c>
      <c r="AK1980">
        <v>0</v>
      </c>
      <c r="AL1980">
        <v>0</v>
      </c>
      <c r="AM1980">
        <v>0</v>
      </c>
      <c r="AN1980">
        <v>0</v>
      </c>
      <c r="AT1980">
        <v>0</v>
      </c>
      <c r="AU1980">
        <v>5</v>
      </c>
      <c r="AV1980">
        <v>161</v>
      </c>
      <c r="AW1980">
        <v>161</v>
      </c>
      <c r="AX1980">
        <v>307</v>
      </c>
      <c r="BA1980">
        <v>1</v>
      </c>
      <c r="BC1980" t="s">
        <v>4058</v>
      </c>
      <c r="BD1980" s="4">
        <v>43283.257638888892</v>
      </c>
      <c r="BE1980" s="4">
        <v>43283.282997685186</v>
      </c>
      <c r="BF1980" s="4">
        <v>43283.282997685186</v>
      </c>
      <c r="BG1980" t="s">
        <v>83</v>
      </c>
      <c r="BH1980" t="s">
        <v>84</v>
      </c>
      <c r="BI1980" t="s">
        <v>85</v>
      </c>
    </row>
    <row r="1981" spans="1:61" x14ac:dyDescent="0.3">
      <c r="A1981" t="str">
        <f>"201977B0100"</f>
        <v>201977B0100</v>
      </c>
      <c r="B1981" t="s">
        <v>4059</v>
      </c>
      <c r="C1981">
        <v>20</v>
      </c>
      <c r="D1981" t="s">
        <v>79</v>
      </c>
      <c r="E1981">
        <v>9</v>
      </c>
      <c r="F1981" t="s">
        <v>3733</v>
      </c>
      <c r="G1981">
        <v>1977</v>
      </c>
      <c r="H1981">
        <v>1</v>
      </c>
      <c r="I1981" t="s">
        <v>81</v>
      </c>
      <c r="J1981">
        <v>0</v>
      </c>
      <c r="K1981">
        <v>2</v>
      </c>
      <c r="L1981">
        <v>2</v>
      </c>
      <c r="M1981">
        <v>211</v>
      </c>
      <c r="N1981">
        <v>603</v>
      </c>
      <c r="O1981">
        <v>0</v>
      </c>
      <c r="P1981">
        <v>603</v>
      </c>
      <c r="Q1981">
        <v>1</v>
      </c>
      <c r="R1981">
        <v>104</v>
      </c>
      <c r="S1981">
        <v>3</v>
      </c>
      <c r="T1981">
        <v>4</v>
      </c>
      <c r="U1981">
        <v>27</v>
      </c>
      <c r="V1981">
        <v>5</v>
      </c>
      <c r="W1981">
        <v>3</v>
      </c>
      <c r="X1981">
        <v>4</v>
      </c>
      <c r="Y1981">
        <v>197</v>
      </c>
      <c r="Z1981">
        <v>8</v>
      </c>
      <c r="AA1981">
        <v>0</v>
      </c>
      <c r="AB1981">
        <v>4</v>
      </c>
      <c r="AC1981">
        <v>0</v>
      </c>
      <c r="AD1981">
        <v>1</v>
      </c>
      <c r="AE1981">
        <v>0</v>
      </c>
      <c r="AF1981">
        <v>0</v>
      </c>
      <c r="AK1981">
        <v>5</v>
      </c>
      <c r="AL1981">
        <v>1</v>
      </c>
      <c r="AM1981">
        <v>0</v>
      </c>
      <c r="AN1981">
        <v>1</v>
      </c>
      <c r="AT1981">
        <v>0</v>
      </c>
      <c r="AU1981">
        <v>24</v>
      </c>
      <c r="AV1981">
        <v>392</v>
      </c>
      <c r="AW1981">
        <v>392</v>
      </c>
      <c r="AX1981">
        <v>581</v>
      </c>
      <c r="BA1981">
        <v>1</v>
      </c>
      <c r="BC1981" t="s">
        <v>4060</v>
      </c>
      <c r="BD1981" s="4">
        <v>43283.359722222223</v>
      </c>
      <c r="BE1981" s="4">
        <v>43283.373460648145</v>
      </c>
      <c r="BF1981" s="4">
        <v>43283.373460648145</v>
      </c>
      <c r="BG1981" t="s">
        <v>83</v>
      </c>
      <c r="BH1981" t="s">
        <v>84</v>
      </c>
      <c r="BI1981" t="s">
        <v>85</v>
      </c>
    </row>
    <row r="1982" spans="1:61" x14ac:dyDescent="0.3">
      <c r="A1982" t="str">
        <f>"201977E0100"</f>
        <v>201977E0100</v>
      </c>
      <c r="B1982" s="2" t="s">
        <v>4061</v>
      </c>
      <c r="C1982">
        <v>20</v>
      </c>
      <c r="D1982" t="s">
        <v>79</v>
      </c>
      <c r="E1982">
        <v>9</v>
      </c>
      <c r="F1982" t="s">
        <v>3733</v>
      </c>
      <c r="G1982">
        <v>1977</v>
      </c>
      <c r="H1982">
        <v>1</v>
      </c>
      <c r="I1982" t="s">
        <v>145</v>
      </c>
      <c r="J1982">
        <v>0</v>
      </c>
      <c r="K1982">
        <v>2</v>
      </c>
      <c r="L1982">
        <v>2</v>
      </c>
      <c r="M1982">
        <v>124</v>
      </c>
      <c r="N1982">
        <v>290</v>
      </c>
      <c r="O1982">
        <v>0</v>
      </c>
      <c r="P1982">
        <v>290</v>
      </c>
      <c r="Q1982">
        <v>1</v>
      </c>
      <c r="R1982">
        <v>33</v>
      </c>
      <c r="S1982">
        <v>3</v>
      </c>
      <c r="T1982">
        <v>0</v>
      </c>
      <c r="U1982">
        <v>4</v>
      </c>
      <c r="V1982">
        <v>1</v>
      </c>
      <c r="W1982">
        <v>2</v>
      </c>
      <c r="X1982">
        <v>6</v>
      </c>
      <c r="Y1982">
        <v>229</v>
      </c>
      <c r="Z1982">
        <v>2</v>
      </c>
      <c r="AA1982">
        <v>0</v>
      </c>
      <c r="AB1982">
        <v>0</v>
      </c>
      <c r="AC1982">
        <v>1</v>
      </c>
      <c r="AD1982">
        <v>0</v>
      </c>
      <c r="AE1982">
        <v>0</v>
      </c>
      <c r="AF1982">
        <v>0</v>
      </c>
      <c r="AK1982">
        <v>3</v>
      </c>
      <c r="AL1982">
        <v>0</v>
      </c>
      <c r="AM1982">
        <v>0</v>
      </c>
      <c r="AN1982">
        <v>0</v>
      </c>
      <c r="AT1982">
        <v>0</v>
      </c>
      <c r="AU1982">
        <v>5</v>
      </c>
      <c r="AV1982">
        <v>290</v>
      </c>
      <c r="AW1982">
        <v>290</v>
      </c>
      <c r="AX1982">
        <v>392</v>
      </c>
      <c r="BA1982">
        <v>1</v>
      </c>
      <c r="BC1982" t="s">
        <v>4062</v>
      </c>
      <c r="BD1982" s="4">
        <v>43283.261805555558</v>
      </c>
      <c r="BE1982" s="4">
        <v>43283.286990740744</v>
      </c>
      <c r="BF1982" s="4">
        <v>43283.286990740744</v>
      </c>
      <c r="BG1982" t="s">
        <v>83</v>
      </c>
      <c r="BH1982" t="s">
        <v>84</v>
      </c>
      <c r="BI1982" t="s">
        <v>85</v>
      </c>
    </row>
    <row r="1983" spans="1:61" x14ac:dyDescent="0.3">
      <c r="A1983" t="str">
        <f>"201977E0200"</f>
        <v>201977E0200</v>
      </c>
      <c r="B1983" s="2" t="s">
        <v>4063</v>
      </c>
      <c r="C1983">
        <v>20</v>
      </c>
      <c r="D1983" t="s">
        <v>79</v>
      </c>
      <c r="E1983">
        <v>9</v>
      </c>
      <c r="F1983" t="s">
        <v>3733</v>
      </c>
      <c r="G1983">
        <v>1977</v>
      </c>
      <c r="H1983">
        <v>2</v>
      </c>
      <c r="I1983" t="s">
        <v>145</v>
      </c>
      <c r="J1983">
        <v>0</v>
      </c>
      <c r="K1983">
        <v>2</v>
      </c>
      <c r="L1983">
        <v>2</v>
      </c>
      <c r="M1983">
        <v>77</v>
      </c>
      <c r="N1983">
        <v>261</v>
      </c>
      <c r="O1983">
        <v>0</v>
      </c>
      <c r="P1983">
        <v>261</v>
      </c>
      <c r="Q1983">
        <v>1</v>
      </c>
      <c r="R1983">
        <v>0</v>
      </c>
      <c r="S1983">
        <v>3</v>
      </c>
      <c r="T1983">
        <v>0</v>
      </c>
      <c r="U1983">
        <v>1</v>
      </c>
      <c r="V1983">
        <v>0</v>
      </c>
      <c r="W1983">
        <v>1</v>
      </c>
      <c r="X1983">
        <v>1</v>
      </c>
      <c r="Y1983">
        <v>249</v>
      </c>
      <c r="Z1983">
        <v>0</v>
      </c>
      <c r="AA1983">
        <v>2</v>
      </c>
      <c r="AB1983">
        <v>0</v>
      </c>
      <c r="AC1983">
        <v>0</v>
      </c>
      <c r="AD1983">
        <v>0</v>
      </c>
      <c r="AE1983">
        <v>0</v>
      </c>
      <c r="AF1983">
        <v>0</v>
      </c>
      <c r="AK1983">
        <v>0</v>
      </c>
      <c r="AL1983">
        <v>1</v>
      </c>
      <c r="AM1983">
        <v>0</v>
      </c>
      <c r="AN1983">
        <v>0</v>
      </c>
      <c r="AT1983">
        <v>0</v>
      </c>
      <c r="AU1983">
        <v>2</v>
      </c>
      <c r="AV1983">
        <v>261</v>
      </c>
      <c r="AW1983">
        <v>261</v>
      </c>
      <c r="AX1983">
        <v>316</v>
      </c>
      <c r="BA1983">
        <v>1</v>
      </c>
      <c r="BC1983" t="s">
        <v>4064</v>
      </c>
      <c r="BD1983" s="4">
        <v>43283.262499999997</v>
      </c>
      <c r="BE1983" s="4">
        <v>43283.289699074077</v>
      </c>
      <c r="BF1983" s="4">
        <v>43283.289699074077</v>
      </c>
      <c r="BG1983" t="s">
        <v>83</v>
      </c>
      <c r="BH1983" t="s">
        <v>84</v>
      </c>
      <c r="BI1983" t="s">
        <v>85</v>
      </c>
    </row>
    <row r="1984" spans="1:61" x14ac:dyDescent="0.3">
      <c r="A1984" t="str">
        <f>"201991B0100"</f>
        <v>201991B0100</v>
      </c>
      <c r="B1984" t="s">
        <v>4065</v>
      </c>
      <c r="C1984">
        <v>20</v>
      </c>
      <c r="D1984" t="s">
        <v>79</v>
      </c>
      <c r="E1984">
        <v>9</v>
      </c>
      <c r="F1984" t="s">
        <v>3733</v>
      </c>
      <c r="G1984">
        <v>1991</v>
      </c>
      <c r="H1984">
        <v>1</v>
      </c>
      <c r="I1984" t="s">
        <v>81</v>
      </c>
      <c r="J1984">
        <v>0</v>
      </c>
      <c r="K1984">
        <v>2</v>
      </c>
      <c r="L1984">
        <v>2</v>
      </c>
      <c r="M1984">
        <v>163</v>
      </c>
      <c r="N1984">
        <v>241</v>
      </c>
      <c r="O1984">
        <v>0</v>
      </c>
      <c r="P1984">
        <v>241</v>
      </c>
      <c r="Q1984">
        <v>7</v>
      </c>
      <c r="R1984">
        <v>37</v>
      </c>
      <c r="S1984">
        <v>7</v>
      </c>
      <c r="T1984">
        <v>2</v>
      </c>
      <c r="U1984">
        <v>30</v>
      </c>
      <c r="V1984">
        <v>6</v>
      </c>
      <c r="W1984">
        <v>2</v>
      </c>
      <c r="X1984">
        <v>0</v>
      </c>
      <c r="Y1984">
        <v>119</v>
      </c>
      <c r="Z1984">
        <v>8</v>
      </c>
      <c r="AA1984">
        <v>0</v>
      </c>
      <c r="AB1984">
        <v>1</v>
      </c>
      <c r="AC1984">
        <v>0</v>
      </c>
      <c r="AD1984">
        <v>0</v>
      </c>
      <c r="AE1984">
        <v>1</v>
      </c>
      <c r="AF1984">
        <v>0</v>
      </c>
      <c r="AK1984">
        <v>5</v>
      </c>
      <c r="AL1984">
        <v>4</v>
      </c>
      <c r="AM1984">
        <v>0</v>
      </c>
      <c r="AN1984">
        <v>1</v>
      </c>
      <c r="AT1984">
        <v>0</v>
      </c>
      <c r="AU1984">
        <v>11</v>
      </c>
      <c r="AV1984">
        <v>241</v>
      </c>
      <c r="AW1984">
        <v>241</v>
      </c>
      <c r="AX1984">
        <v>382</v>
      </c>
      <c r="BA1984">
        <v>1</v>
      </c>
      <c r="BC1984" t="s">
        <v>4066</v>
      </c>
      <c r="BD1984" s="4">
        <v>43283.057638888888</v>
      </c>
      <c r="BE1984" s="4">
        <v>43283.064039351855</v>
      </c>
      <c r="BF1984" s="4">
        <v>43283.064039351855</v>
      </c>
      <c r="BG1984" t="s">
        <v>83</v>
      </c>
      <c r="BH1984" t="s">
        <v>84</v>
      </c>
      <c r="BI1984" t="s">
        <v>85</v>
      </c>
    </row>
    <row r="1985" spans="1:61" x14ac:dyDescent="0.3">
      <c r="A1985" t="str">
        <f>"201991C0100"</f>
        <v>201991C0100</v>
      </c>
      <c r="B1985" t="s">
        <v>4067</v>
      </c>
      <c r="C1985">
        <v>20</v>
      </c>
      <c r="D1985" t="s">
        <v>79</v>
      </c>
      <c r="E1985">
        <v>9</v>
      </c>
      <c r="F1985" t="s">
        <v>3733</v>
      </c>
      <c r="G1985">
        <v>1991</v>
      </c>
      <c r="H1985">
        <v>1</v>
      </c>
      <c r="I1985" t="s">
        <v>89</v>
      </c>
      <c r="J1985">
        <v>0</v>
      </c>
      <c r="K1985">
        <v>2</v>
      </c>
      <c r="L1985">
        <v>2</v>
      </c>
      <c r="M1985">
        <v>168</v>
      </c>
      <c r="N1985">
        <v>236</v>
      </c>
      <c r="O1985">
        <v>1</v>
      </c>
      <c r="P1985">
        <v>236</v>
      </c>
      <c r="Q1985">
        <v>6</v>
      </c>
      <c r="R1985">
        <v>43</v>
      </c>
      <c r="S1985">
        <v>6</v>
      </c>
      <c r="T1985">
        <v>2</v>
      </c>
      <c r="U1985">
        <v>26</v>
      </c>
      <c r="V1985">
        <v>5</v>
      </c>
      <c r="W1985">
        <v>0</v>
      </c>
      <c r="X1985">
        <v>1</v>
      </c>
      <c r="Y1985">
        <v>115</v>
      </c>
      <c r="Z1985">
        <v>6</v>
      </c>
      <c r="AA1985">
        <v>0</v>
      </c>
      <c r="AB1985">
        <v>2</v>
      </c>
      <c r="AC1985">
        <v>0</v>
      </c>
      <c r="AD1985">
        <v>0</v>
      </c>
      <c r="AE1985">
        <v>0</v>
      </c>
      <c r="AF1985">
        <v>0</v>
      </c>
      <c r="AK1985">
        <v>8</v>
      </c>
      <c r="AL1985">
        <v>1</v>
      </c>
      <c r="AM1985">
        <v>1</v>
      </c>
      <c r="AN1985">
        <v>0</v>
      </c>
      <c r="AT1985">
        <v>0</v>
      </c>
      <c r="AU1985">
        <v>14</v>
      </c>
      <c r="AV1985">
        <v>236</v>
      </c>
      <c r="AW1985">
        <v>236</v>
      </c>
      <c r="AX1985">
        <v>382</v>
      </c>
      <c r="BA1985">
        <v>1</v>
      </c>
      <c r="BC1985" t="s">
        <v>4068</v>
      </c>
      <c r="BD1985" s="4">
        <v>43283.054166666669</v>
      </c>
      <c r="BE1985" s="4">
        <v>43283.058425925927</v>
      </c>
      <c r="BF1985" s="4">
        <v>43283.058425925927</v>
      </c>
      <c r="BG1985" t="s">
        <v>83</v>
      </c>
      <c r="BH1985" t="s">
        <v>84</v>
      </c>
      <c r="BI1985" t="s">
        <v>85</v>
      </c>
    </row>
    <row r="1986" spans="1:61" x14ac:dyDescent="0.3">
      <c r="A1986" t="str">
        <f>"201992B0100"</f>
        <v>201992B0100</v>
      </c>
      <c r="B1986" t="s">
        <v>4069</v>
      </c>
      <c r="C1986">
        <v>20</v>
      </c>
      <c r="D1986" t="s">
        <v>79</v>
      </c>
      <c r="E1986">
        <v>9</v>
      </c>
      <c r="F1986" t="s">
        <v>3733</v>
      </c>
      <c r="G1986">
        <v>1992</v>
      </c>
      <c r="H1986">
        <v>1</v>
      </c>
      <c r="I1986" t="s">
        <v>81</v>
      </c>
      <c r="J1986">
        <v>0</v>
      </c>
      <c r="K1986">
        <v>2</v>
      </c>
      <c r="L1986">
        <v>2</v>
      </c>
      <c r="M1986">
        <v>134</v>
      </c>
      <c r="N1986">
        <v>111</v>
      </c>
      <c r="O1986">
        <v>0</v>
      </c>
      <c r="P1986">
        <v>111</v>
      </c>
      <c r="Q1986">
        <v>0</v>
      </c>
      <c r="R1986">
        <v>23</v>
      </c>
      <c r="S1986">
        <v>5</v>
      </c>
      <c r="T1986">
        <v>0</v>
      </c>
      <c r="U1986">
        <v>7</v>
      </c>
      <c r="V1986">
        <v>0</v>
      </c>
      <c r="W1986">
        <v>1</v>
      </c>
      <c r="X1986">
        <v>2</v>
      </c>
      <c r="Y1986">
        <v>56</v>
      </c>
      <c r="Z1986">
        <v>4</v>
      </c>
      <c r="AA1986">
        <v>0</v>
      </c>
      <c r="AB1986">
        <v>1</v>
      </c>
      <c r="AC1986">
        <v>0</v>
      </c>
      <c r="AD1986">
        <v>0</v>
      </c>
      <c r="AE1986">
        <v>0</v>
      </c>
      <c r="AF1986">
        <v>0</v>
      </c>
      <c r="AK1986">
        <v>2</v>
      </c>
      <c r="AL1986">
        <v>4</v>
      </c>
      <c r="AM1986">
        <v>0</v>
      </c>
      <c r="AN1986">
        <v>0</v>
      </c>
      <c r="AT1986">
        <v>0</v>
      </c>
      <c r="AU1986">
        <v>6</v>
      </c>
      <c r="AV1986" t="s">
        <v>100</v>
      </c>
      <c r="AW1986">
        <v>111</v>
      </c>
      <c r="AX1986">
        <v>223</v>
      </c>
      <c r="BA1986">
        <v>1</v>
      </c>
      <c r="BC1986" t="s">
        <v>4070</v>
      </c>
      <c r="BD1986" s="4">
        <v>43283.05972222222</v>
      </c>
      <c r="BE1986" s="4">
        <v>43283.062824074077</v>
      </c>
      <c r="BF1986" s="4">
        <v>43283.062824074077</v>
      </c>
      <c r="BG1986" t="s">
        <v>83</v>
      </c>
      <c r="BH1986" t="s">
        <v>84</v>
      </c>
      <c r="BI1986" t="s">
        <v>85</v>
      </c>
    </row>
    <row r="1987" spans="1:61" x14ac:dyDescent="0.3">
      <c r="A1987" t="str">
        <f>"202056B0100"</f>
        <v>202056B0100</v>
      </c>
      <c r="B1987" t="s">
        <v>4071</v>
      </c>
      <c r="C1987">
        <v>20</v>
      </c>
      <c r="D1987" t="s">
        <v>79</v>
      </c>
      <c r="E1987">
        <v>9</v>
      </c>
      <c r="F1987" t="s">
        <v>3733</v>
      </c>
      <c r="G1987">
        <v>2056</v>
      </c>
      <c r="H1987">
        <v>1</v>
      </c>
      <c r="I1987" t="s">
        <v>81</v>
      </c>
      <c r="J1987">
        <v>0</v>
      </c>
      <c r="K1987">
        <v>1</v>
      </c>
      <c r="L1987">
        <v>2</v>
      </c>
      <c r="M1987">
        <v>126</v>
      </c>
      <c r="N1987">
        <v>226</v>
      </c>
      <c r="O1987">
        <v>1</v>
      </c>
      <c r="P1987">
        <v>226</v>
      </c>
      <c r="Q1987">
        <v>3</v>
      </c>
      <c r="R1987">
        <v>35</v>
      </c>
      <c r="S1987">
        <v>5</v>
      </c>
      <c r="T1987">
        <v>1</v>
      </c>
      <c r="U1987">
        <v>14</v>
      </c>
      <c r="V1987">
        <v>1</v>
      </c>
      <c r="W1987">
        <v>0</v>
      </c>
      <c r="X1987">
        <v>1</v>
      </c>
      <c r="Y1987">
        <v>154</v>
      </c>
      <c r="Z1987">
        <v>4</v>
      </c>
      <c r="AA1987">
        <v>1</v>
      </c>
      <c r="AB1987">
        <v>1</v>
      </c>
      <c r="AC1987">
        <v>1</v>
      </c>
      <c r="AD1987">
        <v>1</v>
      </c>
      <c r="AE1987">
        <v>0</v>
      </c>
      <c r="AF1987">
        <v>0</v>
      </c>
      <c r="AK1987">
        <v>2</v>
      </c>
      <c r="AL1987">
        <v>0</v>
      </c>
      <c r="AM1987">
        <v>0</v>
      </c>
      <c r="AN1987">
        <v>0</v>
      </c>
      <c r="AT1987" t="s">
        <v>100</v>
      </c>
      <c r="AU1987">
        <v>2</v>
      </c>
      <c r="AV1987">
        <v>226</v>
      </c>
      <c r="AW1987">
        <v>226</v>
      </c>
      <c r="AX1987">
        <v>330</v>
      </c>
      <c r="AZ1987" t="s">
        <v>101</v>
      </c>
      <c r="BA1987">
        <v>1</v>
      </c>
      <c r="BC1987" t="s">
        <v>4072</v>
      </c>
      <c r="BD1987" s="4">
        <v>43283.313194444447</v>
      </c>
      <c r="BE1987" s="4">
        <v>43283.337696759256</v>
      </c>
      <c r="BF1987" s="4">
        <v>43283.337696759256</v>
      </c>
      <c r="BG1987" t="s">
        <v>83</v>
      </c>
      <c r="BH1987" t="s">
        <v>84</v>
      </c>
      <c r="BI1987" t="s">
        <v>85</v>
      </c>
    </row>
    <row r="1988" spans="1:61" x14ac:dyDescent="0.3">
      <c r="A1988" t="str">
        <f>"202060B0100"</f>
        <v>202060B0100</v>
      </c>
      <c r="B1988" t="s">
        <v>4073</v>
      </c>
      <c r="C1988">
        <v>20</v>
      </c>
      <c r="D1988" t="s">
        <v>79</v>
      </c>
      <c r="E1988">
        <v>9</v>
      </c>
      <c r="F1988" t="s">
        <v>3733</v>
      </c>
      <c r="G1988">
        <v>2060</v>
      </c>
      <c r="H1988">
        <v>1</v>
      </c>
      <c r="I1988" t="s">
        <v>81</v>
      </c>
      <c r="J1988">
        <v>0</v>
      </c>
      <c r="K1988">
        <v>1</v>
      </c>
      <c r="L1988">
        <v>2</v>
      </c>
      <c r="M1988">
        <v>218</v>
      </c>
      <c r="N1988">
        <v>286</v>
      </c>
      <c r="O1988">
        <v>3</v>
      </c>
      <c r="P1988">
        <v>286</v>
      </c>
      <c r="Q1988">
        <v>6</v>
      </c>
      <c r="R1988">
        <v>81</v>
      </c>
      <c r="S1988">
        <v>2</v>
      </c>
      <c r="T1988">
        <v>4</v>
      </c>
      <c r="U1988">
        <v>12</v>
      </c>
      <c r="V1988">
        <v>3</v>
      </c>
      <c r="W1988">
        <v>2</v>
      </c>
      <c r="X1988">
        <v>1</v>
      </c>
      <c r="Y1988">
        <v>67</v>
      </c>
      <c r="Z1988">
        <v>3</v>
      </c>
      <c r="AA1988">
        <v>58</v>
      </c>
      <c r="AB1988">
        <v>15</v>
      </c>
      <c r="AC1988">
        <v>2</v>
      </c>
      <c r="AD1988">
        <v>3</v>
      </c>
      <c r="AE1988">
        <v>1</v>
      </c>
      <c r="AF1988">
        <v>0</v>
      </c>
      <c r="AK1988">
        <v>0</v>
      </c>
      <c r="AL1988">
        <v>0</v>
      </c>
      <c r="AM1988">
        <v>0</v>
      </c>
      <c r="AN1988">
        <v>0</v>
      </c>
      <c r="AT1988">
        <v>0</v>
      </c>
      <c r="AU1988">
        <v>26</v>
      </c>
      <c r="AV1988">
        <v>286</v>
      </c>
      <c r="AW1988">
        <v>286</v>
      </c>
      <c r="AX1988">
        <v>482</v>
      </c>
      <c r="BA1988">
        <v>1</v>
      </c>
      <c r="BC1988" t="s">
        <v>4074</v>
      </c>
      <c r="BD1988" s="4">
        <v>43283.095138888886</v>
      </c>
      <c r="BE1988" s="4">
        <v>43283.098263888889</v>
      </c>
      <c r="BF1988" s="4">
        <v>43283.098263888889</v>
      </c>
      <c r="BG1988" t="s">
        <v>83</v>
      </c>
      <c r="BH1988" t="s">
        <v>84</v>
      </c>
      <c r="BI1988" t="s">
        <v>85</v>
      </c>
    </row>
    <row r="1989" spans="1:61" x14ac:dyDescent="0.3">
      <c r="A1989" t="str">
        <f>"202061B0100"</f>
        <v>202061B0100</v>
      </c>
      <c r="B1989" t="s">
        <v>4075</v>
      </c>
      <c r="C1989">
        <v>20</v>
      </c>
      <c r="D1989" t="s">
        <v>79</v>
      </c>
      <c r="E1989">
        <v>9</v>
      </c>
      <c r="F1989" t="s">
        <v>3733</v>
      </c>
      <c r="G1989">
        <v>2061</v>
      </c>
      <c r="H1989">
        <v>1</v>
      </c>
      <c r="I1989" t="s">
        <v>81</v>
      </c>
      <c r="J1989">
        <v>0</v>
      </c>
      <c r="K1989">
        <v>2</v>
      </c>
      <c r="L1989">
        <v>2</v>
      </c>
      <c r="M1989">
        <v>335</v>
      </c>
      <c r="N1989" t="s">
        <v>315</v>
      </c>
      <c r="O1989">
        <v>0</v>
      </c>
      <c r="P1989">
        <v>154</v>
      </c>
      <c r="Q1989">
        <v>3</v>
      </c>
      <c r="R1989">
        <v>14</v>
      </c>
      <c r="S1989">
        <v>5</v>
      </c>
      <c r="T1989">
        <v>0</v>
      </c>
      <c r="U1989">
        <v>19</v>
      </c>
      <c r="V1989">
        <v>5</v>
      </c>
      <c r="W1989">
        <v>0</v>
      </c>
      <c r="X1989">
        <v>0</v>
      </c>
      <c r="Y1989">
        <v>88</v>
      </c>
      <c r="Z1989">
        <v>2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K1989">
        <v>0</v>
      </c>
      <c r="AL1989">
        <v>0</v>
      </c>
      <c r="AM1989">
        <v>0</v>
      </c>
      <c r="AN1989">
        <v>0</v>
      </c>
      <c r="AT1989">
        <v>0</v>
      </c>
      <c r="AU1989">
        <v>18</v>
      </c>
      <c r="AV1989">
        <v>154</v>
      </c>
      <c r="AW1989">
        <v>154</v>
      </c>
      <c r="AX1989">
        <v>466</v>
      </c>
      <c r="BA1989">
        <v>1</v>
      </c>
      <c r="BC1989" s="2" t="s">
        <v>4076</v>
      </c>
      <c r="BD1989" s="4">
        <v>43283.097222222219</v>
      </c>
      <c r="BE1989" s="4">
        <v>43283.1018287037</v>
      </c>
      <c r="BF1989" s="4">
        <v>43283.1018287037</v>
      </c>
      <c r="BG1989" t="s">
        <v>83</v>
      </c>
      <c r="BH1989" t="s">
        <v>84</v>
      </c>
      <c r="BI1989" t="s">
        <v>85</v>
      </c>
    </row>
    <row r="1990" spans="1:61" x14ac:dyDescent="0.3">
      <c r="A1990" t="str">
        <f>"202148B0100"</f>
        <v>202148B0100</v>
      </c>
      <c r="B1990" t="s">
        <v>4077</v>
      </c>
      <c r="C1990">
        <v>20</v>
      </c>
      <c r="D1990" t="s">
        <v>79</v>
      </c>
      <c r="E1990">
        <v>9</v>
      </c>
      <c r="F1990" t="s">
        <v>3733</v>
      </c>
      <c r="G1990">
        <v>2148</v>
      </c>
      <c r="H1990">
        <v>1</v>
      </c>
      <c r="I1990" t="s">
        <v>81</v>
      </c>
      <c r="J1990">
        <v>0</v>
      </c>
      <c r="K1990">
        <v>2</v>
      </c>
      <c r="L1990">
        <v>2</v>
      </c>
      <c r="M1990">
        <v>135</v>
      </c>
      <c r="N1990">
        <v>207</v>
      </c>
      <c r="O1990">
        <v>0</v>
      </c>
      <c r="P1990">
        <v>207</v>
      </c>
      <c r="Q1990">
        <v>23</v>
      </c>
      <c r="R1990">
        <v>63</v>
      </c>
      <c r="S1990">
        <v>19</v>
      </c>
      <c r="T1990">
        <v>1</v>
      </c>
      <c r="U1990">
        <v>13</v>
      </c>
      <c r="V1990">
        <v>2</v>
      </c>
      <c r="W1990">
        <v>4</v>
      </c>
      <c r="X1990">
        <v>1</v>
      </c>
      <c r="Y1990">
        <v>63</v>
      </c>
      <c r="Z1990">
        <v>3</v>
      </c>
      <c r="AA1990">
        <v>1</v>
      </c>
      <c r="AB1990">
        <v>2</v>
      </c>
      <c r="AC1990">
        <v>0</v>
      </c>
      <c r="AD1990">
        <v>0</v>
      </c>
      <c r="AE1990">
        <v>0</v>
      </c>
      <c r="AF1990">
        <v>0</v>
      </c>
      <c r="AK1990">
        <v>2</v>
      </c>
      <c r="AL1990">
        <v>0</v>
      </c>
      <c r="AM1990">
        <v>0</v>
      </c>
      <c r="AN1990">
        <v>0</v>
      </c>
      <c r="AT1990">
        <v>0</v>
      </c>
      <c r="AU1990">
        <v>10</v>
      </c>
      <c r="AV1990">
        <v>207</v>
      </c>
      <c r="AW1990">
        <v>207</v>
      </c>
      <c r="AX1990">
        <v>320</v>
      </c>
      <c r="BA1990">
        <v>1</v>
      </c>
      <c r="BC1990" t="s">
        <v>4078</v>
      </c>
      <c r="BD1990" s="4">
        <v>43283.136805555558</v>
      </c>
      <c r="BE1990" s="4">
        <v>43283.142962962964</v>
      </c>
      <c r="BF1990" s="4">
        <v>43283.142962962964</v>
      </c>
      <c r="BG1990" t="s">
        <v>83</v>
      </c>
      <c r="BH1990" t="s">
        <v>84</v>
      </c>
      <c r="BI1990" t="s">
        <v>85</v>
      </c>
    </row>
    <row r="1991" spans="1:61" x14ac:dyDescent="0.3">
      <c r="A1991" t="str">
        <f>"202148E0100"</f>
        <v>202148E0100</v>
      </c>
      <c r="B1991" s="2" t="s">
        <v>4079</v>
      </c>
      <c r="C1991">
        <v>20</v>
      </c>
      <c r="D1991" t="s">
        <v>79</v>
      </c>
      <c r="E1991">
        <v>9</v>
      </c>
      <c r="F1991" t="s">
        <v>3733</v>
      </c>
      <c r="G1991">
        <v>2148</v>
      </c>
      <c r="H1991">
        <v>1</v>
      </c>
      <c r="I1991" t="s">
        <v>145</v>
      </c>
      <c r="J1991">
        <v>0</v>
      </c>
      <c r="K1991">
        <v>2</v>
      </c>
      <c r="L1991">
        <v>2</v>
      </c>
      <c r="M1991">
        <v>68</v>
      </c>
      <c r="N1991">
        <v>164</v>
      </c>
      <c r="O1991">
        <v>0</v>
      </c>
      <c r="P1991" t="s">
        <v>315</v>
      </c>
      <c r="Q1991">
        <v>10</v>
      </c>
      <c r="R1991">
        <v>45</v>
      </c>
      <c r="S1991">
        <v>5</v>
      </c>
      <c r="T1991">
        <v>0</v>
      </c>
      <c r="U1991">
        <v>16</v>
      </c>
      <c r="V1991">
        <v>9</v>
      </c>
      <c r="W1991">
        <v>1</v>
      </c>
      <c r="X1991">
        <v>2</v>
      </c>
      <c r="Y1991">
        <v>65</v>
      </c>
      <c r="Z1991">
        <v>3</v>
      </c>
      <c r="AA1991">
        <v>1</v>
      </c>
      <c r="AB1991">
        <v>1</v>
      </c>
      <c r="AC1991">
        <v>0</v>
      </c>
      <c r="AD1991">
        <v>0</v>
      </c>
      <c r="AE1991">
        <v>0</v>
      </c>
      <c r="AF1991">
        <v>0</v>
      </c>
      <c r="AK1991">
        <v>2</v>
      </c>
      <c r="AL1991">
        <v>0</v>
      </c>
      <c r="AM1991">
        <v>0</v>
      </c>
      <c r="AN1991">
        <v>0</v>
      </c>
      <c r="AT1991">
        <v>0</v>
      </c>
      <c r="AU1991">
        <v>3</v>
      </c>
      <c r="AV1991">
        <v>164</v>
      </c>
      <c r="AW1991">
        <v>163</v>
      </c>
      <c r="AX1991">
        <v>210</v>
      </c>
      <c r="BA1991">
        <v>1</v>
      </c>
      <c r="BC1991" t="s">
        <v>4080</v>
      </c>
      <c r="BD1991" s="4">
        <v>43283.136111111111</v>
      </c>
      <c r="BE1991" s="4">
        <v>43283.141550925924</v>
      </c>
      <c r="BF1991" s="4">
        <v>43283.141550925924</v>
      </c>
      <c r="BG1991" t="s">
        <v>83</v>
      </c>
      <c r="BH1991" t="s">
        <v>84</v>
      </c>
      <c r="BI1991" t="s">
        <v>85</v>
      </c>
    </row>
    <row r="1992" spans="1:61" x14ac:dyDescent="0.3">
      <c r="A1992" t="str">
        <f>"202149B0100"</f>
        <v>202149B0100</v>
      </c>
      <c r="B1992" t="s">
        <v>4081</v>
      </c>
      <c r="C1992">
        <v>20</v>
      </c>
      <c r="D1992" t="s">
        <v>79</v>
      </c>
      <c r="E1992">
        <v>9</v>
      </c>
      <c r="F1992" t="s">
        <v>3733</v>
      </c>
      <c r="G1992">
        <v>2149</v>
      </c>
      <c r="H1992">
        <v>1</v>
      </c>
      <c r="I1992" t="s">
        <v>81</v>
      </c>
      <c r="J1992">
        <v>0</v>
      </c>
      <c r="K1992">
        <v>2</v>
      </c>
      <c r="L1992">
        <v>2</v>
      </c>
      <c r="M1992">
        <v>184</v>
      </c>
      <c r="N1992">
        <v>389</v>
      </c>
      <c r="O1992">
        <v>1</v>
      </c>
      <c r="P1992">
        <v>389</v>
      </c>
      <c r="Q1992">
        <v>10</v>
      </c>
      <c r="R1992">
        <v>130</v>
      </c>
      <c r="S1992">
        <v>6</v>
      </c>
      <c r="T1992">
        <v>6</v>
      </c>
      <c r="U1992">
        <v>11</v>
      </c>
      <c r="V1992">
        <v>6</v>
      </c>
      <c r="W1992">
        <v>56</v>
      </c>
      <c r="X1992">
        <v>1</v>
      </c>
      <c r="Y1992">
        <v>139</v>
      </c>
      <c r="Z1992">
        <v>6</v>
      </c>
      <c r="AA1992">
        <v>0</v>
      </c>
      <c r="AB1992">
        <v>3</v>
      </c>
      <c r="AC1992">
        <v>0</v>
      </c>
      <c r="AD1992">
        <v>0</v>
      </c>
      <c r="AE1992">
        <v>0</v>
      </c>
      <c r="AF1992">
        <v>0</v>
      </c>
      <c r="AK1992">
        <v>2</v>
      </c>
      <c r="AL1992">
        <v>1</v>
      </c>
      <c r="AM1992">
        <v>0</v>
      </c>
      <c r="AN1992">
        <v>0</v>
      </c>
      <c r="AT1992">
        <v>0</v>
      </c>
      <c r="AU1992">
        <v>12</v>
      </c>
      <c r="AV1992">
        <v>389</v>
      </c>
      <c r="AW1992">
        <v>389</v>
      </c>
      <c r="AX1992">
        <v>551</v>
      </c>
      <c r="BA1992">
        <v>1</v>
      </c>
      <c r="BC1992" t="s">
        <v>4082</v>
      </c>
      <c r="BD1992" s="4">
        <v>43283.137499999997</v>
      </c>
      <c r="BE1992" s="4">
        <v>43283.143136574072</v>
      </c>
      <c r="BF1992" s="4">
        <v>43283.143136574072</v>
      </c>
      <c r="BG1992" t="s">
        <v>83</v>
      </c>
      <c r="BH1992" t="s">
        <v>84</v>
      </c>
      <c r="BI1992" t="s">
        <v>85</v>
      </c>
    </row>
    <row r="1993" spans="1:61" x14ac:dyDescent="0.3">
      <c r="A1993" t="str">
        <f>"202149E0100"</f>
        <v>202149E0100</v>
      </c>
      <c r="B1993" s="2" t="s">
        <v>4083</v>
      </c>
      <c r="C1993">
        <v>20</v>
      </c>
      <c r="D1993" t="s">
        <v>79</v>
      </c>
      <c r="E1993">
        <v>9</v>
      </c>
      <c r="F1993" t="s">
        <v>3733</v>
      </c>
      <c r="G1993">
        <v>2149</v>
      </c>
      <c r="H1993">
        <v>1</v>
      </c>
      <c r="I1993" t="s">
        <v>145</v>
      </c>
      <c r="J1993">
        <v>0</v>
      </c>
      <c r="K1993">
        <v>2</v>
      </c>
      <c r="L1993">
        <v>2</v>
      </c>
      <c r="M1993">
        <v>80</v>
      </c>
      <c r="N1993">
        <v>115</v>
      </c>
      <c r="O1993">
        <v>0</v>
      </c>
      <c r="P1993">
        <v>115</v>
      </c>
      <c r="Q1993">
        <v>2</v>
      </c>
      <c r="R1993">
        <v>29</v>
      </c>
      <c r="S1993">
        <v>1</v>
      </c>
      <c r="T1993">
        <v>2</v>
      </c>
      <c r="U1993">
        <v>16</v>
      </c>
      <c r="V1993">
        <v>0</v>
      </c>
      <c r="W1993">
        <v>1</v>
      </c>
      <c r="X1993">
        <v>3</v>
      </c>
      <c r="Y1993">
        <v>47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K1993">
        <v>7</v>
      </c>
      <c r="AL1993">
        <v>3</v>
      </c>
      <c r="AM1993">
        <v>0</v>
      </c>
      <c r="AN1993">
        <v>1</v>
      </c>
      <c r="AT1993">
        <v>0</v>
      </c>
      <c r="AU1993">
        <v>3</v>
      </c>
      <c r="AV1993">
        <v>115</v>
      </c>
      <c r="AW1993">
        <v>115</v>
      </c>
      <c r="AX1993">
        <v>173</v>
      </c>
      <c r="BA1993">
        <v>1</v>
      </c>
      <c r="BC1993" t="s">
        <v>4084</v>
      </c>
      <c r="BD1993" s="4">
        <v>43283.311111111114</v>
      </c>
      <c r="BE1993" s="4">
        <v>43283.338356481479</v>
      </c>
      <c r="BF1993" s="4">
        <v>43283.338356481479</v>
      </c>
      <c r="BG1993" t="s">
        <v>83</v>
      </c>
      <c r="BH1993" t="s">
        <v>84</v>
      </c>
      <c r="BI1993" t="s">
        <v>85</v>
      </c>
    </row>
    <row r="1994" spans="1:61" x14ac:dyDescent="0.3">
      <c r="A1994" t="str">
        <f>"202171B0100"</f>
        <v>202171B0100</v>
      </c>
      <c r="B1994" t="s">
        <v>4085</v>
      </c>
      <c r="C1994">
        <v>20</v>
      </c>
      <c r="D1994" t="s">
        <v>79</v>
      </c>
      <c r="E1994">
        <v>9</v>
      </c>
      <c r="F1994" t="s">
        <v>3733</v>
      </c>
      <c r="G1994">
        <v>2171</v>
      </c>
      <c r="H1994">
        <v>1</v>
      </c>
      <c r="I1994" t="s">
        <v>81</v>
      </c>
      <c r="J1994">
        <v>0</v>
      </c>
      <c r="K1994">
        <v>1</v>
      </c>
      <c r="L1994">
        <v>2</v>
      </c>
      <c r="M1994">
        <v>148</v>
      </c>
      <c r="N1994">
        <v>193</v>
      </c>
      <c r="O1994">
        <v>0</v>
      </c>
      <c r="P1994">
        <v>193</v>
      </c>
      <c r="Q1994">
        <v>5</v>
      </c>
      <c r="R1994">
        <v>9</v>
      </c>
      <c r="S1994">
        <v>4</v>
      </c>
      <c r="T1994">
        <v>1</v>
      </c>
      <c r="U1994">
        <v>17</v>
      </c>
      <c r="V1994">
        <v>5</v>
      </c>
      <c r="W1994">
        <v>1</v>
      </c>
      <c r="X1994">
        <v>3</v>
      </c>
      <c r="Y1994">
        <v>123</v>
      </c>
      <c r="Z1994">
        <v>6</v>
      </c>
      <c r="AA1994">
        <v>0</v>
      </c>
      <c r="AB1994">
        <v>1</v>
      </c>
      <c r="AC1994">
        <v>0</v>
      </c>
      <c r="AD1994">
        <v>0</v>
      </c>
      <c r="AE1994">
        <v>0</v>
      </c>
      <c r="AF1994">
        <v>0</v>
      </c>
      <c r="AK1994">
        <v>3</v>
      </c>
      <c r="AL1994">
        <v>4</v>
      </c>
      <c r="AM1994">
        <v>0</v>
      </c>
      <c r="AN1994">
        <v>1</v>
      </c>
      <c r="AT1994">
        <v>0</v>
      </c>
      <c r="AU1994">
        <v>10</v>
      </c>
      <c r="AV1994">
        <v>193</v>
      </c>
      <c r="AW1994">
        <v>193</v>
      </c>
      <c r="AX1994">
        <v>319</v>
      </c>
      <c r="BA1994">
        <v>1</v>
      </c>
      <c r="BC1994" t="s">
        <v>4086</v>
      </c>
      <c r="BD1994" s="4">
        <v>43283.100694444445</v>
      </c>
      <c r="BE1994" s="4">
        <v>43283.104259259257</v>
      </c>
      <c r="BF1994" s="4">
        <v>43283.104259259257</v>
      </c>
      <c r="BG1994" t="s">
        <v>83</v>
      </c>
      <c r="BH1994" t="s">
        <v>84</v>
      </c>
      <c r="BI1994" t="s">
        <v>85</v>
      </c>
    </row>
    <row r="1995" spans="1:61" x14ac:dyDescent="0.3">
      <c r="A1995" t="str">
        <f>"202199B0100"</f>
        <v>202199B0100</v>
      </c>
      <c r="B1995" t="s">
        <v>4087</v>
      </c>
      <c r="C1995">
        <v>20</v>
      </c>
      <c r="D1995" t="s">
        <v>79</v>
      </c>
      <c r="E1995">
        <v>9</v>
      </c>
      <c r="F1995" t="s">
        <v>3733</v>
      </c>
      <c r="G1995">
        <v>2199</v>
      </c>
      <c r="H1995">
        <v>1</v>
      </c>
      <c r="I1995" t="s">
        <v>81</v>
      </c>
      <c r="J1995">
        <v>0</v>
      </c>
      <c r="K1995">
        <v>2</v>
      </c>
      <c r="L1995">
        <v>2</v>
      </c>
      <c r="M1995">
        <v>215</v>
      </c>
      <c r="N1995">
        <v>153</v>
      </c>
      <c r="O1995">
        <v>0</v>
      </c>
      <c r="P1995">
        <v>153</v>
      </c>
      <c r="Q1995">
        <v>5</v>
      </c>
      <c r="R1995">
        <v>24</v>
      </c>
      <c r="S1995">
        <v>2</v>
      </c>
      <c r="T1995">
        <v>2</v>
      </c>
      <c r="U1995">
        <v>10</v>
      </c>
      <c r="V1995">
        <v>5</v>
      </c>
      <c r="W1995">
        <v>0</v>
      </c>
      <c r="X1995">
        <v>2</v>
      </c>
      <c r="Y1995">
        <v>88</v>
      </c>
      <c r="Z1995">
        <v>5</v>
      </c>
      <c r="AA1995">
        <v>0</v>
      </c>
      <c r="AB1995">
        <v>1</v>
      </c>
      <c r="AC1995" t="s">
        <v>100</v>
      </c>
      <c r="AD1995" t="s">
        <v>100</v>
      </c>
      <c r="AE1995" t="s">
        <v>100</v>
      </c>
      <c r="AF1995" t="s">
        <v>100</v>
      </c>
      <c r="AK1995" t="s">
        <v>100</v>
      </c>
      <c r="AL1995">
        <v>3</v>
      </c>
      <c r="AM1995" t="s">
        <v>100</v>
      </c>
      <c r="AN1995">
        <v>1</v>
      </c>
      <c r="AT1995" t="s">
        <v>100</v>
      </c>
      <c r="AU1995" t="s">
        <v>100</v>
      </c>
      <c r="AV1995">
        <v>153</v>
      </c>
      <c r="AW1995">
        <v>148</v>
      </c>
      <c r="AX1995">
        <v>346</v>
      </c>
      <c r="AZ1995" t="s">
        <v>101</v>
      </c>
      <c r="BA1995">
        <v>1</v>
      </c>
      <c r="BC1995" t="s">
        <v>4088</v>
      </c>
      <c r="BD1995" s="4">
        <v>43283.227777777778</v>
      </c>
      <c r="BE1995" s="4">
        <v>43283.251203703701</v>
      </c>
      <c r="BF1995" s="4">
        <v>43283.251203703701</v>
      </c>
      <c r="BG1995" t="s">
        <v>83</v>
      </c>
      <c r="BH1995" t="s">
        <v>84</v>
      </c>
      <c r="BI1995" t="s">
        <v>85</v>
      </c>
    </row>
    <row r="1996" spans="1:61" x14ac:dyDescent="0.3">
      <c r="A1996" t="str">
        <f>"202199E0100"</f>
        <v>202199E0100</v>
      </c>
      <c r="B1996" s="2" t="s">
        <v>4089</v>
      </c>
      <c r="C1996">
        <v>20</v>
      </c>
      <c r="D1996" t="s">
        <v>79</v>
      </c>
      <c r="E1996">
        <v>9</v>
      </c>
      <c r="F1996" t="s">
        <v>3733</v>
      </c>
      <c r="G1996">
        <v>2199</v>
      </c>
      <c r="H1996">
        <v>1</v>
      </c>
      <c r="I1996" t="s">
        <v>145</v>
      </c>
      <c r="J1996">
        <v>0</v>
      </c>
      <c r="K1996">
        <v>2</v>
      </c>
      <c r="L1996">
        <v>2</v>
      </c>
      <c r="M1996">
        <v>120</v>
      </c>
      <c r="N1996">
        <v>166</v>
      </c>
      <c r="O1996">
        <v>0</v>
      </c>
      <c r="P1996">
        <v>166</v>
      </c>
      <c r="Q1996">
        <v>0</v>
      </c>
      <c r="R1996">
        <v>116</v>
      </c>
      <c r="S1996">
        <v>1</v>
      </c>
      <c r="T1996">
        <v>2</v>
      </c>
      <c r="U1996">
        <v>3</v>
      </c>
      <c r="V1996">
        <v>0</v>
      </c>
      <c r="W1996">
        <v>1</v>
      </c>
      <c r="X1996">
        <v>2</v>
      </c>
      <c r="Y1996">
        <v>30</v>
      </c>
      <c r="Z1996">
        <v>1</v>
      </c>
      <c r="AA1996">
        <v>0</v>
      </c>
      <c r="AB1996">
        <v>1</v>
      </c>
      <c r="AC1996">
        <v>0</v>
      </c>
      <c r="AD1996">
        <v>0</v>
      </c>
      <c r="AE1996">
        <v>0</v>
      </c>
      <c r="AF1996">
        <v>0</v>
      </c>
      <c r="AK1996">
        <v>1</v>
      </c>
      <c r="AL1996">
        <v>1</v>
      </c>
      <c r="AM1996">
        <v>0</v>
      </c>
      <c r="AN1996">
        <v>0</v>
      </c>
      <c r="AT1996">
        <v>0</v>
      </c>
      <c r="AU1996">
        <v>7</v>
      </c>
      <c r="AV1996">
        <v>166</v>
      </c>
      <c r="AW1996">
        <v>166</v>
      </c>
      <c r="AX1996">
        <v>264</v>
      </c>
      <c r="BA1996">
        <v>1</v>
      </c>
      <c r="BC1996" t="s">
        <v>4090</v>
      </c>
      <c r="BD1996" s="4">
        <v>43283.222916666666</v>
      </c>
      <c r="BE1996" s="4">
        <v>43283.247106481482</v>
      </c>
      <c r="BF1996" s="4">
        <v>43283.247106481482</v>
      </c>
      <c r="BG1996" t="s">
        <v>83</v>
      </c>
      <c r="BH1996" t="s">
        <v>84</v>
      </c>
      <c r="BI1996" t="s">
        <v>85</v>
      </c>
    </row>
    <row r="1997" spans="1:61" x14ac:dyDescent="0.3">
      <c r="A1997" t="str">
        <f>"202235B0100"</f>
        <v>202235B0100</v>
      </c>
      <c r="B1997" t="s">
        <v>4091</v>
      </c>
      <c r="C1997">
        <v>20</v>
      </c>
      <c r="D1997" t="s">
        <v>79</v>
      </c>
      <c r="E1997">
        <v>9</v>
      </c>
      <c r="F1997" t="s">
        <v>3733</v>
      </c>
      <c r="G1997">
        <v>2235</v>
      </c>
      <c r="H1997">
        <v>1</v>
      </c>
      <c r="I1997" t="s">
        <v>81</v>
      </c>
      <c r="J1997">
        <v>0</v>
      </c>
      <c r="K1997">
        <v>1</v>
      </c>
      <c r="L1997">
        <v>2</v>
      </c>
      <c r="M1997">
        <v>232</v>
      </c>
      <c r="N1997">
        <v>336</v>
      </c>
      <c r="O1997">
        <v>0</v>
      </c>
      <c r="P1997">
        <v>336</v>
      </c>
      <c r="Q1997">
        <v>40</v>
      </c>
      <c r="R1997">
        <v>36</v>
      </c>
      <c r="S1997">
        <v>3</v>
      </c>
      <c r="T1997">
        <v>5</v>
      </c>
      <c r="U1997">
        <v>30</v>
      </c>
      <c r="V1997">
        <v>4</v>
      </c>
      <c r="W1997">
        <v>5</v>
      </c>
      <c r="X1997">
        <v>4</v>
      </c>
      <c r="Y1997">
        <v>162</v>
      </c>
      <c r="Z1997">
        <v>7</v>
      </c>
      <c r="AA1997">
        <v>3</v>
      </c>
      <c r="AB1997">
        <v>4</v>
      </c>
      <c r="AC1997">
        <v>0</v>
      </c>
      <c r="AD1997">
        <v>0</v>
      </c>
      <c r="AE1997">
        <v>0</v>
      </c>
      <c r="AF1997">
        <v>0</v>
      </c>
      <c r="AK1997">
        <v>19</v>
      </c>
      <c r="AL1997">
        <v>5</v>
      </c>
      <c r="AM1997">
        <v>0</v>
      </c>
      <c r="AN1997">
        <v>0</v>
      </c>
      <c r="AT1997">
        <v>0</v>
      </c>
      <c r="AU1997">
        <v>9</v>
      </c>
      <c r="AV1997">
        <v>336</v>
      </c>
      <c r="AW1997">
        <v>336</v>
      </c>
      <c r="AX1997">
        <v>546</v>
      </c>
      <c r="BA1997">
        <v>1</v>
      </c>
      <c r="BC1997" t="s">
        <v>4092</v>
      </c>
      <c r="BD1997" s="4">
        <v>43282.991388888891</v>
      </c>
      <c r="BE1997" s="4">
        <v>43282.996018518519</v>
      </c>
      <c r="BF1997" s="4">
        <v>43282.996018518519</v>
      </c>
      <c r="BG1997" t="s">
        <v>373</v>
      </c>
      <c r="BH1997" t="s">
        <v>374</v>
      </c>
      <c r="BI1997" t="s">
        <v>85</v>
      </c>
    </row>
    <row r="1998" spans="1:61" x14ac:dyDescent="0.3">
      <c r="A1998" t="str">
        <f>"202235C0100"</f>
        <v>202235C0100</v>
      </c>
      <c r="B1998" t="s">
        <v>4093</v>
      </c>
      <c r="C1998">
        <v>20</v>
      </c>
      <c r="D1998" t="s">
        <v>79</v>
      </c>
      <c r="E1998">
        <v>9</v>
      </c>
      <c r="F1998" t="s">
        <v>3733</v>
      </c>
      <c r="G1998">
        <v>2235</v>
      </c>
      <c r="H1998">
        <v>1</v>
      </c>
      <c r="I1998" t="s">
        <v>89</v>
      </c>
      <c r="J1998">
        <v>0</v>
      </c>
      <c r="K1998">
        <v>1</v>
      </c>
      <c r="L1998">
        <v>2</v>
      </c>
      <c r="M1998">
        <v>238</v>
      </c>
      <c r="N1998">
        <v>330</v>
      </c>
      <c r="O1998">
        <v>0</v>
      </c>
      <c r="P1998">
        <v>330</v>
      </c>
      <c r="Q1998">
        <v>33</v>
      </c>
      <c r="R1998">
        <v>40</v>
      </c>
      <c r="S1998">
        <v>5</v>
      </c>
      <c r="T1998">
        <v>8</v>
      </c>
      <c r="U1998">
        <v>38</v>
      </c>
      <c r="V1998">
        <v>6</v>
      </c>
      <c r="W1998">
        <v>6</v>
      </c>
      <c r="X1998">
        <v>0</v>
      </c>
      <c r="Y1998">
        <v>152</v>
      </c>
      <c r="Z1998">
        <v>11</v>
      </c>
      <c r="AA1998">
        <v>0</v>
      </c>
      <c r="AB1998">
        <v>3</v>
      </c>
      <c r="AC1998">
        <v>0</v>
      </c>
      <c r="AD1998">
        <v>1</v>
      </c>
      <c r="AE1998">
        <v>2</v>
      </c>
      <c r="AF1998">
        <v>0</v>
      </c>
      <c r="AK1998">
        <v>4</v>
      </c>
      <c r="AL1998">
        <v>9</v>
      </c>
      <c r="AM1998">
        <v>1</v>
      </c>
      <c r="AN1998">
        <v>3</v>
      </c>
      <c r="AT1998">
        <v>0</v>
      </c>
      <c r="AU1998">
        <v>8</v>
      </c>
      <c r="AV1998">
        <v>330</v>
      </c>
      <c r="AW1998">
        <v>330</v>
      </c>
      <c r="AX1998">
        <v>546</v>
      </c>
      <c r="BA1998">
        <v>1</v>
      </c>
      <c r="BC1998" t="s">
        <v>4094</v>
      </c>
      <c r="BD1998" s="4">
        <v>43282.985196759262</v>
      </c>
      <c r="BE1998" s="4">
        <v>43282.988541666666</v>
      </c>
      <c r="BF1998" s="4">
        <v>43282.988541666666</v>
      </c>
      <c r="BG1998" t="s">
        <v>373</v>
      </c>
      <c r="BH1998" t="s">
        <v>374</v>
      </c>
      <c r="BI1998" t="s">
        <v>85</v>
      </c>
    </row>
    <row r="1999" spans="1:61" x14ac:dyDescent="0.3">
      <c r="A1999" t="str">
        <f>"202236B0100"</f>
        <v>202236B0100</v>
      </c>
      <c r="B1999" t="s">
        <v>4095</v>
      </c>
      <c r="C1999">
        <v>20</v>
      </c>
      <c r="D1999" t="s">
        <v>79</v>
      </c>
      <c r="E1999">
        <v>9</v>
      </c>
      <c r="F1999" t="s">
        <v>3733</v>
      </c>
      <c r="G1999">
        <v>2236</v>
      </c>
      <c r="H1999">
        <v>1</v>
      </c>
      <c r="I1999" t="s">
        <v>81</v>
      </c>
      <c r="J1999">
        <v>0</v>
      </c>
      <c r="K1999">
        <v>1</v>
      </c>
      <c r="L1999">
        <v>2</v>
      </c>
      <c r="M1999">
        <v>268</v>
      </c>
      <c r="N1999">
        <v>357</v>
      </c>
      <c r="O1999">
        <v>3</v>
      </c>
      <c r="P1999">
        <v>357</v>
      </c>
      <c r="Q1999">
        <v>47</v>
      </c>
      <c r="R1999">
        <v>32</v>
      </c>
      <c r="S1999">
        <v>3</v>
      </c>
      <c r="T1999">
        <v>10</v>
      </c>
      <c r="U1999">
        <v>21</v>
      </c>
      <c r="V1999">
        <v>1</v>
      </c>
      <c r="W1999">
        <v>3</v>
      </c>
      <c r="X1999">
        <v>1</v>
      </c>
      <c r="Y1999">
        <v>198</v>
      </c>
      <c r="Z1999">
        <v>14</v>
      </c>
      <c r="AA1999">
        <v>0</v>
      </c>
      <c r="AB1999">
        <v>4</v>
      </c>
      <c r="AC1999">
        <v>1</v>
      </c>
      <c r="AD1999">
        <v>1</v>
      </c>
      <c r="AE1999">
        <v>0</v>
      </c>
      <c r="AF1999">
        <v>0</v>
      </c>
      <c r="AK1999">
        <v>3</v>
      </c>
      <c r="AL1999">
        <v>2</v>
      </c>
      <c r="AM1999">
        <v>0</v>
      </c>
      <c r="AN1999">
        <v>4</v>
      </c>
      <c r="AT1999">
        <v>0</v>
      </c>
      <c r="AU1999">
        <v>12</v>
      </c>
      <c r="AV1999">
        <v>357</v>
      </c>
      <c r="AW1999">
        <v>357</v>
      </c>
      <c r="AX1999">
        <v>603</v>
      </c>
      <c r="BA1999">
        <v>1</v>
      </c>
      <c r="BC1999" t="s">
        <v>4096</v>
      </c>
      <c r="BD1999" s="4">
        <v>43283.167361111111</v>
      </c>
      <c r="BE1999" s="4">
        <v>43283.180312500001</v>
      </c>
      <c r="BF1999" s="4">
        <v>43283.180312500001</v>
      </c>
      <c r="BG1999" t="s">
        <v>83</v>
      </c>
      <c r="BH1999" t="s">
        <v>84</v>
      </c>
      <c r="BI1999" t="s">
        <v>85</v>
      </c>
    </row>
    <row r="2000" spans="1:61" x14ac:dyDescent="0.3">
      <c r="A2000" t="str">
        <f>"202236C0100"</f>
        <v>202236C0100</v>
      </c>
      <c r="B2000" t="s">
        <v>4097</v>
      </c>
      <c r="C2000">
        <v>20</v>
      </c>
      <c r="D2000" t="s">
        <v>79</v>
      </c>
      <c r="E2000">
        <v>9</v>
      </c>
      <c r="F2000" t="s">
        <v>3733</v>
      </c>
      <c r="G2000">
        <v>2236</v>
      </c>
      <c r="H2000">
        <v>1</v>
      </c>
      <c r="I2000" t="s">
        <v>89</v>
      </c>
      <c r="J2000">
        <v>0</v>
      </c>
      <c r="K2000">
        <v>1</v>
      </c>
      <c r="L2000">
        <v>2</v>
      </c>
      <c r="M2000">
        <v>283</v>
      </c>
      <c r="N2000">
        <v>342</v>
      </c>
      <c r="O2000">
        <v>0</v>
      </c>
      <c r="P2000">
        <v>342</v>
      </c>
      <c r="Q2000">
        <v>41</v>
      </c>
      <c r="R2000">
        <v>14</v>
      </c>
      <c r="S2000">
        <v>5</v>
      </c>
      <c r="T2000">
        <v>5</v>
      </c>
      <c r="U2000">
        <v>37</v>
      </c>
      <c r="V2000">
        <v>11</v>
      </c>
      <c r="W2000">
        <v>5</v>
      </c>
      <c r="X2000">
        <v>3</v>
      </c>
      <c r="Y2000">
        <v>180</v>
      </c>
      <c r="Z2000">
        <v>7</v>
      </c>
      <c r="AA2000">
        <v>1</v>
      </c>
      <c r="AB2000">
        <v>4</v>
      </c>
      <c r="AC2000">
        <v>0</v>
      </c>
      <c r="AD2000">
        <v>1</v>
      </c>
      <c r="AE2000">
        <v>0</v>
      </c>
      <c r="AF2000">
        <v>0</v>
      </c>
      <c r="AK2000">
        <v>5</v>
      </c>
      <c r="AL2000">
        <v>7</v>
      </c>
      <c r="AM2000" t="s">
        <v>315</v>
      </c>
      <c r="AN2000">
        <v>4</v>
      </c>
      <c r="AT2000" t="s">
        <v>315</v>
      </c>
      <c r="AU2000">
        <v>12</v>
      </c>
      <c r="AV2000">
        <v>342</v>
      </c>
      <c r="AW2000">
        <v>342</v>
      </c>
      <c r="AX2000">
        <v>603</v>
      </c>
      <c r="AZ2000" t="s">
        <v>101</v>
      </c>
      <c r="BA2000">
        <v>1</v>
      </c>
      <c r="BC2000" t="s">
        <v>4098</v>
      </c>
      <c r="BD2000" s="4">
        <v>43283.168749999997</v>
      </c>
      <c r="BE2000" s="4">
        <v>43283.186990740738</v>
      </c>
      <c r="BF2000" s="4">
        <v>43283.186990740738</v>
      </c>
      <c r="BG2000" t="s">
        <v>83</v>
      </c>
      <c r="BH2000" t="s">
        <v>84</v>
      </c>
      <c r="BI2000" t="s">
        <v>85</v>
      </c>
    </row>
    <row r="2001" spans="1:61" x14ac:dyDescent="0.3">
      <c r="A2001" t="str">
        <f>"202245B0100"</f>
        <v>202245B0100</v>
      </c>
      <c r="B2001" t="s">
        <v>4099</v>
      </c>
      <c r="C2001">
        <v>20</v>
      </c>
      <c r="D2001" t="s">
        <v>79</v>
      </c>
      <c r="E2001">
        <v>9</v>
      </c>
      <c r="F2001" t="s">
        <v>3733</v>
      </c>
      <c r="G2001">
        <v>2245</v>
      </c>
      <c r="H2001">
        <v>1</v>
      </c>
      <c r="I2001" t="s">
        <v>81</v>
      </c>
      <c r="J2001">
        <v>0</v>
      </c>
      <c r="K2001">
        <v>1</v>
      </c>
      <c r="L2001">
        <v>2</v>
      </c>
      <c r="M2001">
        <v>387</v>
      </c>
      <c r="N2001">
        <v>353</v>
      </c>
      <c r="O2001">
        <v>0</v>
      </c>
      <c r="P2001">
        <v>353</v>
      </c>
      <c r="Q2001">
        <v>13</v>
      </c>
      <c r="R2001">
        <v>75</v>
      </c>
      <c r="S2001">
        <v>2</v>
      </c>
      <c r="T2001">
        <v>3</v>
      </c>
      <c r="U2001">
        <v>17</v>
      </c>
      <c r="V2001">
        <v>5</v>
      </c>
      <c r="W2001">
        <v>4</v>
      </c>
      <c r="X2001">
        <v>2</v>
      </c>
      <c r="Y2001">
        <v>197</v>
      </c>
      <c r="Z2001">
        <v>4</v>
      </c>
      <c r="AA2001">
        <v>4</v>
      </c>
      <c r="AB2001">
        <v>0</v>
      </c>
      <c r="AC2001">
        <v>1</v>
      </c>
      <c r="AD2001">
        <v>0</v>
      </c>
      <c r="AE2001">
        <v>0</v>
      </c>
      <c r="AF2001">
        <v>0</v>
      </c>
      <c r="AK2001">
        <v>4</v>
      </c>
      <c r="AL2001">
        <v>2</v>
      </c>
      <c r="AM2001">
        <v>0</v>
      </c>
      <c r="AN2001">
        <v>0</v>
      </c>
      <c r="AT2001">
        <v>0</v>
      </c>
      <c r="AU2001">
        <v>20</v>
      </c>
      <c r="AV2001">
        <v>353</v>
      </c>
      <c r="AW2001">
        <v>353</v>
      </c>
      <c r="AX2001">
        <v>718</v>
      </c>
      <c r="BA2001">
        <v>1</v>
      </c>
      <c r="BC2001" t="s">
        <v>4100</v>
      </c>
      <c r="BD2001" s="4">
        <v>43283.253472222219</v>
      </c>
      <c r="BE2001" s="4">
        <v>43283.279328703706</v>
      </c>
      <c r="BF2001" s="4">
        <v>43283.279328703706</v>
      </c>
      <c r="BG2001" t="s">
        <v>83</v>
      </c>
      <c r="BH2001" t="s">
        <v>84</v>
      </c>
      <c r="BI2001" t="s">
        <v>85</v>
      </c>
    </row>
    <row r="2002" spans="1:61" x14ac:dyDescent="0.3">
      <c r="A2002" t="str">
        <f>"202316B0100"</f>
        <v>202316B0100</v>
      </c>
      <c r="B2002" t="s">
        <v>4101</v>
      </c>
      <c r="C2002">
        <v>20</v>
      </c>
      <c r="D2002" t="s">
        <v>79</v>
      </c>
      <c r="E2002">
        <v>9</v>
      </c>
      <c r="F2002" t="s">
        <v>3733</v>
      </c>
      <c r="G2002">
        <v>2316</v>
      </c>
      <c r="H2002">
        <v>1</v>
      </c>
      <c r="I2002" t="s">
        <v>81</v>
      </c>
      <c r="J2002">
        <v>0</v>
      </c>
      <c r="K2002">
        <v>2</v>
      </c>
      <c r="L2002">
        <v>2</v>
      </c>
      <c r="M2002">
        <v>130</v>
      </c>
      <c r="N2002">
        <v>131</v>
      </c>
      <c r="O2002">
        <v>6</v>
      </c>
      <c r="P2002">
        <v>131</v>
      </c>
      <c r="Q2002">
        <v>3</v>
      </c>
      <c r="R2002">
        <v>20</v>
      </c>
      <c r="S2002">
        <v>2</v>
      </c>
      <c r="T2002">
        <v>1</v>
      </c>
      <c r="U2002">
        <v>10</v>
      </c>
      <c r="V2002" t="s">
        <v>100</v>
      </c>
      <c r="W2002">
        <v>22</v>
      </c>
      <c r="X2002" t="s">
        <v>100</v>
      </c>
      <c r="Y2002">
        <v>63</v>
      </c>
      <c r="Z2002">
        <v>2</v>
      </c>
      <c r="AA2002">
        <v>1</v>
      </c>
      <c r="AB2002">
        <v>2</v>
      </c>
      <c r="AC2002" t="s">
        <v>100</v>
      </c>
      <c r="AD2002" t="s">
        <v>100</v>
      </c>
      <c r="AE2002" t="s">
        <v>100</v>
      </c>
      <c r="AF2002" t="s">
        <v>100</v>
      </c>
      <c r="AK2002" t="s">
        <v>100</v>
      </c>
      <c r="AL2002">
        <v>1</v>
      </c>
      <c r="AM2002" t="s">
        <v>100</v>
      </c>
      <c r="AN2002" t="s">
        <v>100</v>
      </c>
      <c r="AT2002" t="s">
        <v>100</v>
      </c>
      <c r="AU2002">
        <v>4</v>
      </c>
      <c r="AV2002">
        <v>131</v>
      </c>
      <c r="AW2002">
        <v>131</v>
      </c>
      <c r="AX2002">
        <v>239</v>
      </c>
      <c r="AZ2002" t="s">
        <v>101</v>
      </c>
      <c r="BA2002">
        <v>1</v>
      </c>
      <c r="BC2002" t="s">
        <v>4102</v>
      </c>
      <c r="BD2002" s="4">
        <v>43283.301388888889</v>
      </c>
      <c r="BE2002" s="4">
        <v>43283.326608796298</v>
      </c>
      <c r="BF2002" s="4">
        <v>43283.326608796298</v>
      </c>
      <c r="BG2002" t="s">
        <v>83</v>
      </c>
      <c r="BH2002" t="s">
        <v>84</v>
      </c>
      <c r="BI2002" t="s">
        <v>85</v>
      </c>
    </row>
    <row r="2003" spans="1:61" x14ac:dyDescent="0.3">
      <c r="A2003" t="str">
        <f>"202316E0100"</f>
        <v>202316E0100</v>
      </c>
      <c r="B2003" s="2" t="s">
        <v>4103</v>
      </c>
      <c r="C2003">
        <v>20</v>
      </c>
      <c r="D2003" t="s">
        <v>79</v>
      </c>
      <c r="E2003">
        <v>9</v>
      </c>
      <c r="F2003" t="s">
        <v>3733</v>
      </c>
      <c r="G2003">
        <v>2316</v>
      </c>
      <c r="H2003">
        <v>1</v>
      </c>
      <c r="I2003" t="s">
        <v>145</v>
      </c>
      <c r="J2003">
        <v>0</v>
      </c>
      <c r="K2003">
        <v>2</v>
      </c>
      <c r="L2003">
        <v>2</v>
      </c>
      <c r="M2003">
        <v>221</v>
      </c>
      <c r="N2003">
        <v>191</v>
      </c>
      <c r="O2003">
        <v>1</v>
      </c>
      <c r="P2003">
        <v>191</v>
      </c>
      <c r="Q2003">
        <v>14</v>
      </c>
      <c r="R2003">
        <v>31</v>
      </c>
      <c r="S2003">
        <v>4</v>
      </c>
      <c r="T2003">
        <v>1</v>
      </c>
      <c r="U2003">
        <v>12</v>
      </c>
      <c r="V2003">
        <v>0</v>
      </c>
      <c r="W2003">
        <v>1</v>
      </c>
      <c r="X2003">
        <v>2</v>
      </c>
      <c r="Y2003">
        <v>111</v>
      </c>
      <c r="Z2003">
        <v>4</v>
      </c>
      <c r="AA2003">
        <v>0</v>
      </c>
      <c r="AB2003">
        <v>2</v>
      </c>
      <c r="AC2003">
        <v>0</v>
      </c>
      <c r="AD2003">
        <v>0</v>
      </c>
      <c r="AE2003">
        <v>0</v>
      </c>
      <c r="AF2003">
        <v>0</v>
      </c>
      <c r="AK2003">
        <v>2</v>
      </c>
      <c r="AL2003">
        <v>0</v>
      </c>
      <c r="AM2003">
        <v>0</v>
      </c>
      <c r="AN2003">
        <v>0</v>
      </c>
      <c r="AT2003" t="s">
        <v>100</v>
      </c>
      <c r="AU2003">
        <v>7</v>
      </c>
      <c r="AV2003">
        <v>191</v>
      </c>
      <c r="AW2003">
        <v>191</v>
      </c>
      <c r="AX2003">
        <v>390</v>
      </c>
      <c r="AZ2003" t="s">
        <v>101</v>
      </c>
      <c r="BA2003">
        <v>1</v>
      </c>
      <c r="BC2003" t="s">
        <v>4104</v>
      </c>
      <c r="BD2003" s="4">
        <v>43283.302083333336</v>
      </c>
      <c r="BE2003" s="4">
        <v>43283.327199074076</v>
      </c>
      <c r="BF2003" s="4">
        <v>43283.327199074076</v>
      </c>
      <c r="BG2003" t="s">
        <v>83</v>
      </c>
      <c r="BH2003" t="s">
        <v>84</v>
      </c>
      <c r="BI2003" t="s">
        <v>85</v>
      </c>
    </row>
    <row r="2004" spans="1:61" x14ac:dyDescent="0.3">
      <c r="A2004" t="str">
        <f>"202317B0100"</f>
        <v>202317B0100</v>
      </c>
      <c r="B2004" t="s">
        <v>4105</v>
      </c>
      <c r="C2004">
        <v>20</v>
      </c>
      <c r="D2004" t="s">
        <v>79</v>
      </c>
      <c r="E2004">
        <v>9</v>
      </c>
      <c r="F2004" t="s">
        <v>3733</v>
      </c>
      <c r="G2004">
        <v>2317</v>
      </c>
      <c r="H2004">
        <v>1</v>
      </c>
      <c r="I2004" t="s">
        <v>81</v>
      </c>
      <c r="J2004">
        <v>0</v>
      </c>
      <c r="K2004">
        <v>1</v>
      </c>
      <c r="L2004">
        <v>2</v>
      </c>
      <c r="M2004">
        <v>240</v>
      </c>
      <c r="N2004">
        <v>285</v>
      </c>
      <c r="O2004">
        <v>0</v>
      </c>
      <c r="P2004">
        <v>285</v>
      </c>
      <c r="Q2004">
        <v>5</v>
      </c>
      <c r="R2004">
        <v>32</v>
      </c>
      <c r="S2004">
        <v>6</v>
      </c>
      <c r="T2004">
        <v>2</v>
      </c>
      <c r="U2004">
        <v>22</v>
      </c>
      <c r="V2004">
        <v>5</v>
      </c>
      <c r="W2004">
        <v>70</v>
      </c>
      <c r="X2004">
        <v>6</v>
      </c>
      <c r="Y2004">
        <v>107</v>
      </c>
      <c r="Z2004">
        <v>2</v>
      </c>
      <c r="AA2004" t="s">
        <v>100</v>
      </c>
      <c r="AB2004" t="s">
        <v>100</v>
      </c>
      <c r="AC2004" t="s">
        <v>100</v>
      </c>
      <c r="AD2004" t="s">
        <v>100</v>
      </c>
      <c r="AE2004" t="s">
        <v>100</v>
      </c>
      <c r="AF2004" t="s">
        <v>100</v>
      </c>
      <c r="AK2004" t="s">
        <v>100</v>
      </c>
      <c r="AL2004" t="s">
        <v>100</v>
      </c>
      <c r="AM2004" t="s">
        <v>100</v>
      </c>
      <c r="AN2004">
        <v>1</v>
      </c>
      <c r="AT2004">
        <v>0</v>
      </c>
      <c r="AU2004">
        <v>27</v>
      </c>
      <c r="AV2004" t="s">
        <v>315</v>
      </c>
      <c r="AW2004">
        <v>285</v>
      </c>
      <c r="AX2004">
        <v>503</v>
      </c>
      <c r="AZ2004" t="s">
        <v>101</v>
      </c>
      <c r="BA2004">
        <v>1</v>
      </c>
      <c r="BC2004" t="s">
        <v>4106</v>
      </c>
      <c r="BD2004" s="4">
        <v>43283.309027777781</v>
      </c>
      <c r="BE2004" s="4">
        <v>43283.333935185183</v>
      </c>
      <c r="BF2004" s="4">
        <v>43283.333935185183</v>
      </c>
      <c r="BG2004" t="s">
        <v>83</v>
      </c>
      <c r="BH2004" t="s">
        <v>84</v>
      </c>
      <c r="BI2004" t="s">
        <v>85</v>
      </c>
    </row>
    <row r="2005" spans="1:61" x14ac:dyDescent="0.3">
      <c r="A2005" t="str">
        <f>"202324B0100"</f>
        <v>202324B0100</v>
      </c>
      <c r="B2005" t="s">
        <v>4107</v>
      </c>
      <c r="C2005">
        <v>20</v>
      </c>
      <c r="D2005" t="s">
        <v>79</v>
      </c>
      <c r="E2005">
        <v>9</v>
      </c>
      <c r="F2005" t="s">
        <v>3733</v>
      </c>
      <c r="G2005">
        <v>2324</v>
      </c>
      <c r="H2005">
        <v>1</v>
      </c>
      <c r="I2005" t="s">
        <v>81</v>
      </c>
      <c r="J2005">
        <v>0</v>
      </c>
      <c r="K2005">
        <v>2</v>
      </c>
      <c r="L2005">
        <v>2</v>
      </c>
      <c r="AX2005">
        <v>452</v>
      </c>
      <c r="AZ2005" t="s">
        <v>156</v>
      </c>
      <c r="BA2005">
        <v>0</v>
      </c>
      <c r="BC2005" t="s">
        <v>4108</v>
      </c>
      <c r="BD2005" s="4">
        <v>43283.67291666667</v>
      </c>
      <c r="BE2005" s="4">
        <v>43283.677847222221</v>
      </c>
      <c r="BF2005" s="4">
        <v>43283.677847222221</v>
      </c>
      <c r="BG2005" t="s">
        <v>83</v>
      </c>
      <c r="BH2005" t="s">
        <v>84</v>
      </c>
      <c r="BI2005" t="s">
        <v>85</v>
      </c>
    </row>
    <row r="2006" spans="1:61" x14ac:dyDescent="0.3">
      <c r="A2006" t="str">
        <f>"202324C0100"</f>
        <v>202324C0100</v>
      </c>
      <c r="B2006" t="s">
        <v>4109</v>
      </c>
      <c r="C2006">
        <v>20</v>
      </c>
      <c r="D2006" t="s">
        <v>79</v>
      </c>
      <c r="E2006">
        <v>9</v>
      </c>
      <c r="F2006" t="s">
        <v>3733</v>
      </c>
      <c r="G2006">
        <v>2324</v>
      </c>
      <c r="H2006">
        <v>1</v>
      </c>
      <c r="I2006" t="s">
        <v>89</v>
      </c>
      <c r="J2006">
        <v>0</v>
      </c>
      <c r="K2006">
        <v>2</v>
      </c>
      <c r="L2006">
        <v>2</v>
      </c>
      <c r="M2006">
        <v>272</v>
      </c>
      <c r="N2006">
        <v>200</v>
      </c>
      <c r="O2006">
        <v>0</v>
      </c>
      <c r="P2006">
        <v>200</v>
      </c>
      <c r="Q2006">
        <v>16</v>
      </c>
      <c r="R2006">
        <v>40</v>
      </c>
      <c r="S2006">
        <v>6</v>
      </c>
      <c r="T2006">
        <v>2</v>
      </c>
      <c r="U2006">
        <v>12</v>
      </c>
      <c r="V2006">
        <v>9</v>
      </c>
      <c r="W2006">
        <v>3</v>
      </c>
      <c r="X2006">
        <v>2</v>
      </c>
      <c r="Y2006">
        <v>87</v>
      </c>
      <c r="Z2006">
        <v>5</v>
      </c>
      <c r="AA2006">
        <v>0</v>
      </c>
      <c r="AB2006">
        <v>4</v>
      </c>
      <c r="AC2006">
        <v>2</v>
      </c>
      <c r="AD2006">
        <v>0</v>
      </c>
      <c r="AE2006">
        <v>0</v>
      </c>
      <c r="AF2006">
        <v>0</v>
      </c>
      <c r="AK2006">
        <v>1</v>
      </c>
      <c r="AL2006">
        <v>3</v>
      </c>
      <c r="AM2006">
        <v>1</v>
      </c>
      <c r="AN2006">
        <v>0</v>
      </c>
      <c r="AT2006">
        <v>0</v>
      </c>
      <c r="AU2006">
        <v>7</v>
      </c>
      <c r="AV2006">
        <v>200</v>
      </c>
      <c r="AW2006">
        <v>200</v>
      </c>
      <c r="AX2006">
        <v>451</v>
      </c>
      <c r="BA2006">
        <v>1</v>
      </c>
      <c r="BC2006" t="s">
        <v>4110</v>
      </c>
      <c r="BD2006" s="4">
        <v>43283.086805555555</v>
      </c>
      <c r="BE2006" s="4">
        <v>43283.091192129628</v>
      </c>
      <c r="BF2006" s="4">
        <v>43283.091192129628</v>
      </c>
      <c r="BG2006" t="s">
        <v>83</v>
      </c>
      <c r="BH2006" t="s">
        <v>84</v>
      </c>
      <c r="BI2006" t="s">
        <v>85</v>
      </c>
    </row>
    <row r="2007" spans="1:61" x14ac:dyDescent="0.3">
      <c r="A2007" t="str">
        <f>"202331B0100"</f>
        <v>202331B0100</v>
      </c>
      <c r="B2007" t="s">
        <v>4111</v>
      </c>
      <c r="C2007">
        <v>20</v>
      </c>
      <c r="D2007" t="s">
        <v>79</v>
      </c>
      <c r="E2007">
        <v>9</v>
      </c>
      <c r="F2007" t="s">
        <v>3733</v>
      </c>
      <c r="G2007">
        <v>2331</v>
      </c>
      <c r="H2007">
        <v>1</v>
      </c>
      <c r="I2007" t="s">
        <v>81</v>
      </c>
      <c r="J2007">
        <v>0</v>
      </c>
      <c r="K2007">
        <v>1</v>
      </c>
      <c r="L2007">
        <v>2</v>
      </c>
      <c r="M2007">
        <v>236</v>
      </c>
      <c r="N2007">
        <v>405</v>
      </c>
      <c r="O2007">
        <v>0</v>
      </c>
      <c r="P2007">
        <v>405</v>
      </c>
      <c r="Q2007">
        <v>22</v>
      </c>
      <c r="R2007">
        <v>37</v>
      </c>
      <c r="S2007">
        <v>5</v>
      </c>
      <c r="T2007">
        <v>5</v>
      </c>
      <c r="U2007">
        <v>50</v>
      </c>
      <c r="V2007">
        <v>2</v>
      </c>
      <c r="W2007">
        <v>4</v>
      </c>
      <c r="X2007">
        <v>6</v>
      </c>
      <c r="Y2007">
        <v>220</v>
      </c>
      <c r="Z2007">
        <v>7</v>
      </c>
      <c r="AA2007">
        <v>1</v>
      </c>
      <c r="AB2007">
        <v>10</v>
      </c>
      <c r="AC2007">
        <v>0</v>
      </c>
      <c r="AD2007">
        <v>0</v>
      </c>
      <c r="AE2007">
        <v>0</v>
      </c>
      <c r="AF2007">
        <v>0</v>
      </c>
      <c r="AK2007">
        <v>4</v>
      </c>
      <c r="AL2007">
        <v>3</v>
      </c>
      <c r="AM2007">
        <v>1</v>
      </c>
      <c r="AN2007">
        <v>5</v>
      </c>
      <c r="AT2007">
        <v>0</v>
      </c>
      <c r="AU2007">
        <v>23</v>
      </c>
      <c r="AV2007">
        <v>405</v>
      </c>
      <c r="AW2007">
        <v>405</v>
      </c>
      <c r="AX2007">
        <v>633</v>
      </c>
      <c r="BA2007">
        <v>1</v>
      </c>
      <c r="BC2007" t="s">
        <v>4112</v>
      </c>
      <c r="BD2007" s="4">
        <v>43283.134317129632</v>
      </c>
      <c r="BE2007" s="4">
        <v>43283.139062499999</v>
      </c>
      <c r="BF2007" s="4">
        <v>43283.139062499999</v>
      </c>
      <c r="BG2007" t="s">
        <v>373</v>
      </c>
      <c r="BH2007" t="s">
        <v>374</v>
      </c>
      <c r="BI2007" t="s">
        <v>85</v>
      </c>
    </row>
    <row r="2008" spans="1:61" x14ac:dyDescent="0.3">
      <c r="A2008" t="str">
        <f>"202331C0100"</f>
        <v>202331C0100</v>
      </c>
      <c r="B2008" t="s">
        <v>4113</v>
      </c>
      <c r="C2008">
        <v>20</v>
      </c>
      <c r="D2008" t="s">
        <v>79</v>
      </c>
      <c r="E2008">
        <v>9</v>
      </c>
      <c r="F2008" t="s">
        <v>3733</v>
      </c>
      <c r="G2008">
        <v>2331</v>
      </c>
      <c r="H2008">
        <v>1</v>
      </c>
      <c r="I2008" t="s">
        <v>89</v>
      </c>
      <c r="J2008">
        <v>0</v>
      </c>
      <c r="K2008">
        <v>1</v>
      </c>
      <c r="L2008">
        <v>2</v>
      </c>
      <c r="M2008">
        <v>248</v>
      </c>
      <c r="N2008">
        <v>402</v>
      </c>
      <c r="O2008">
        <v>1</v>
      </c>
      <c r="P2008">
        <v>402</v>
      </c>
      <c r="Q2008">
        <v>30</v>
      </c>
      <c r="R2008">
        <v>45</v>
      </c>
      <c r="S2008">
        <v>12</v>
      </c>
      <c r="T2008">
        <v>4</v>
      </c>
      <c r="U2008">
        <v>45</v>
      </c>
      <c r="V2008">
        <v>2</v>
      </c>
      <c r="W2008">
        <v>4</v>
      </c>
      <c r="X2008">
        <v>4</v>
      </c>
      <c r="Y2008">
        <v>212</v>
      </c>
      <c r="Z2008">
        <v>6</v>
      </c>
      <c r="AA2008">
        <v>1</v>
      </c>
      <c r="AB2008">
        <v>10</v>
      </c>
      <c r="AC2008">
        <v>0</v>
      </c>
      <c r="AD2008">
        <v>0</v>
      </c>
      <c r="AE2008">
        <v>0</v>
      </c>
      <c r="AF2008">
        <v>0</v>
      </c>
      <c r="AK2008">
        <v>5</v>
      </c>
      <c r="AL2008">
        <v>8</v>
      </c>
      <c r="AM2008">
        <v>0</v>
      </c>
      <c r="AN2008">
        <v>3</v>
      </c>
      <c r="AT2008">
        <v>0</v>
      </c>
      <c r="AU2008">
        <v>11</v>
      </c>
      <c r="AV2008">
        <v>402</v>
      </c>
      <c r="AW2008">
        <v>402</v>
      </c>
      <c r="AX2008">
        <v>632</v>
      </c>
      <c r="BA2008">
        <v>1</v>
      </c>
      <c r="BC2008" s="2" t="s">
        <v>4114</v>
      </c>
      <c r="BD2008" s="4">
        <v>43283.124884259261</v>
      </c>
      <c r="BE2008" s="4">
        <v>43283.130983796298</v>
      </c>
      <c r="BF2008" s="4">
        <v>43283.130983796298</v>
      </c>
      <c r="BG2008" t="s">
        <v>373</v>
      </c>
      <c r="BH2008" t="s">
        <v>374</v>
      </c>
      <c r="BI2008" t="s">
        <v>85</v>
      </c>
    </row>
    <row r="2009" spans="1:61" x14ac:dyDescent="0.3">
      <c r="A2009" t="str">
        <f>"202332B0100"</f>
        <v>202332B0100</v>
      </c>
      <c r="B2009" t="s">
        <v>4115</v>
      </c>
      <c r="C2009">
        <v>20</v>
      </c>
      <c r="D2009" t="s">
        <v>79</v>
      </c>
      <c r="E2009">
        <v>9</v>
      </c>
      <c r="F2009" t="s">
        <v>3733</v>
      </c>
      <c r="G2009">
        <v>2332</v>
      </c>
      <c r="H2009">
        <v>1</v>
      </c>
      <c r="I2009" t="s">
        <v>81</v>
      </c>
      <c r="J2009">
        <v>0</v>
      </c>
      <c r="K2009">
        <v>1</v>
      </c>
      <c r="L2009">
        <v>2</v>
      </c>
      <c r="M2009">
        <v>283</v>
      </c>
      <c r="N2009" t="s">
        <v>100</v>
      </c>
      <c r="O2009" t="s">
        <v>100</v>
      </c>
      <c r="P2009">
        <v>353</v>
      </c>
      <c r="Q2009">
        <v>26</v>
      </c>
      <c r="R2009">
        <v>29</v>
      </c>
      <c r="S2009">
        <v>12</v>
      </c>
      <c r="T2009">
        <v>10</v>
      </c>
      <c r="U2009">
        <v>37</v>
      </c>
      <c r="V2009">
        <v>2</v>
      </c>
      <c r="W2009">
        <v>4</v>
      </c>
      <c r="X2009">
        <v>6</v>
      </c>
      <c r="Y2009">
        <v>187</v>
      </c>
      <c r="Z2009">
        <v>12</v>
      </c>
      <c r="AA2009">
        <v>0</v>
      </c>
      <c r="AB2009">
        <v>12</v>
      </c>
      <c r="AC2009" t="s">
        <v>100</v>
      </c>
      <c r="AD2009" t="s">
        <v>100</v>
      </c>
      <c r="AE2009" t="s">
        <v>100</v>
      </c>
      <c r="AF2009" t="s">
        <v>100</v>
      </c>
      <c r="AK2009">
        <v>8</v>
      </c>
      <c r="AL2009">
        <v>2</v>
      </c>
      <c r="AM2009" t="s">
        <v>100</v>
      </c>
      <c r="AN2009" t="s">
        <v>100</v>
      </c>
      <c r="AT2009" t="s">
        <v>100</v>
      </c>
      <c r="AU2009">
        <v>6</v>
      </c>
      <c r="AV2009">
        <v>353</v>
      </c>
      <c r="AW2009">
        <v>353</v>
      </c>
      <c r="AX2009">
        <v>614</v>
      </c>
      <c r="AZ2009" t="s">
        <v>101</v>
      </c>
      <c r="BA2009">
        <v>1</v>
      </c>
      <c r="BC2009" t="s">
        <v>4116</v>
      </c>
      <c r="BD2009" s="4">
        <v>43283.140370370369</v>
      </c>
      <c r="BE2009" s="4">
        <v>43283.166620370372</v>
      </c>
      <c r="BF2009" s="4">
        <v>43283.166620370372</v>
      </c>
      <c r="BG2009" t="s">
        <v>373</v>
      </c>
      <c r="BH2009" t="s">
        <v>374</v>
      </c>
      <c r="BI2009" t="s">
        <v>85</v>
      </c>
    </row>
    <row r="2010" spans="1:61" x14ac:dyDescent="0.3">
      <c r="A2010" t="str">
        <f>"202332C0100"</f>
        <v>202332C0100</v>
      </c>
      <c r="B2010" t="s">
        <v>4117</v>
      </c>
      <c r="C2010">
        <v>20</v>
      </c>
      <c r="D2010" t="s">
        <v>79</v>
      </c>
      <c r="E2010">
        <v>9</v>
      </c>
      <c r="F2010" t="s">
        <v>3733</v>
      </c>
      <c r="G2010">
        <v>2332</v>
      </c>
      <c r="H2010">
        <v>1</v>
      </c>
      <c r="I2010" t="s">
        <v>89</v>
      </c>
      <c r="J2010">
        <v>0</v>
      </c>
      <c r="K2010">
        <v>1</v>
      </c>
      <c r="L2010">
        <v>2</v>
      </c>
      <c r="M2010">
        <v>260</v>
      </c>
      <c r="N2010">
        <v>374</v>
      </c>
      <c r="O2010">
        <v>0</v>
      </c>
      <c r="P2010">
        <v>374</v>
      </c>
      <c r="Q2010">
        <v>33</v>
      </c>
      <c r="R2010">
        <v>29</v>
      </c>
      <c r="S2010">
        <v>5</v>
      </c>
      <c r="T2010">
        <v>5</v>
      </c>
      <c r="U2010">
        <v>42</v>
      </c>
      <c r="V2010">
        <v>7</v>
      </c>
      <c r="W2010">
        <v>3</v>
      </c>
      <c r="X2010">
        <v>2</v>
      </c>
      <c r="Y2010">
        <v>206</v>
      </c>
      <c r="Z2010">
        <v>6</v>
      </c>
      <c r="AA2010">
        <v>1</v>
      </c>
      <c r="AB2010">
        <v>6</v>
      </c>
      <c r="AC2010">
        <v>3</v>
      </c>
      <c r="AD2010">
        <v>1</v>
      </c>
      <c r="AE2010">
        <v>0</v>
      </c>
      <c r="AF2010">
        <v>0</v>
      </c>
      <c r="AK2010">
        <v>10</v>
      </c>
      <c r="AL2010">
        <v>6</v>
      </c>
      <c r="AM2010">
        <v>1</v>
      </c>
      <c r="AN2010">
        <v>1</v>
      </c>
      <c r="AT2010">
        <v>0</v>
      </c>
      <c r="AU2010">
        <v>9</v>
      </c>
      <c r="AV2010">
        <v>376</v>
      </c>
      <c r="AW2010">
        <v>376</v>
      </c>
      <c r="AX2010">
        <v>614</v>
      </c>
      <c r="BA2010">
        <v>1</v>
      </c>
      <c r="BC2010" t="s">
        <v>4118</v>
      </c>
      <c r="BD2010" s="4">
        <v>43283.134259259263</v>
      </c>
      <c r="BE2010" s="4">
        <v>43283.15388888889</v>
      </c>
      <c r="BF2010" s="4">
        <v>43283.15388888889</v>
      </c>
      <c r="BG2010" t="s">
        <v>373</v>
      </c>
      <c r="BH2010" t="s">
        <v>374</v>
      </c>
      <c r="BI2010" t="s">
        <v>85</v>
      </c>
    </row>
    <row r="2011" spans="1:61" x14ac:dyDescent="0.3">
      <c r="A2011" t="str">
        <f>"202333B0100"</f>
        <v>202333B0100</v>
      </c>
      <c r="B2011" t="s">
        <v>4119</v>
      </c>
      <c r="C2011">
        <v>20</v>
      </c>
      <c r="D2011" t="s">
        <v>79</v>
      </c>
      <c r="E2011">
        <v>9</v>
      </c>
      <c r="F2011" t="s">
        <v>3733</v>
      </c>
      <c r="G2011">
        <v>2333</v>
      </c>
      <c r="H2011">
        <v>1</v>
      </c>
      <c r="I2011" t="s">
        <v>81</v>
      </c>
      <c r="J2011">
        <v>0</v>
      </c>
      <c r="K2011">
        <v>1</v>
      </c>
      <c r="L2011">
        <v>2</v>
      </c>
      <c r="M2011">
        <v>308</v>
      </c>
      <c r="N2011">
        <v>443</v>
      </c>
      <c r="O2011">
        <v>1</v>
      </c>
      <c r="P2011">
        <v>443</v>
      </c>
      <c r="Q2011">
        <v>29</v>
      </c>
      <c r="R2011">
        <v>37</v>
      </c>
      <c r="S2011">
        <v>5</v>
      </c>
      <c r="T2011">
        <v>6</v>
      </c>
      <c r="U2011">
        <v>63</v>
      </c>
      <c r="V2011">
        <v>4</v>
      </c>
      <c r="W2011">
        <v>6</v>
      </c>
      <c r="X2011">
        <v>2</v>
      </c>
      <c r="Y2011">
        <v>243</v>
      </c>
      <c r="Z2011">
        <v>10</v>
      </c>
      <c r="AA2011">
        <v>1</v>
      </c>
      <c r="AB2011">
        <v>5</v>
      </c>
      <c r="AC2011">
        <v>0</v>
      </c>
      <c r="AD2011">
        <v>0</v>
      </c>
      <c r="AE2011">
        <v>0</v>
      </c>
      <c r="AF2011">
        <v>0</v>
      </c>
      <c r="AK2011">
        <v>8</v>
      </c>
      <c r="AL2011">
        <v>8</v>
      </c>
      <c r="AM2011">
        <v>1</v>
      </c>
      <c r="AN2011">
        <v>1</v>
      </c>
      <c r="AT2011">
        <v>0</v>
      </c>
      <c r="AU2011">
        <v>14</v>
      </c>
      <c r="AV2011">
        <v>443</v>
      </c>
      <c r="AW2011">
        <v>443</v>
      </c>
      <c r="AX2011">
        <v>729</v>
      </c>
      <c r="BA2011">
        <v>1</v>
      </c>
      <c r="BC2011" t="s">
        <v>4120</v>
      </c>
      <c r="BD2011" s="4">
        <v>43283.134293981479</v>
      </c>
      <c r="BE2011" s="4">
        <v>43283.140046296299</v>
      </c>
      <c r="BF2011" s="4">
        <v>43283.140046296299</v>
      </c>
      <c r="BG2011" t="s">
        <v>373</v>
      </c>
      <c r="BH2011" t="s">
        <v>374</v>
      </c>
      <c r="BI2011" t="s">
        <v>85</v>
      </c>
    </row>
    <row r="2012" spans="1:61" x14ac:dyDescent="0.3">
      <c r="A2012" t="str">
        <f>"202333C0100"</f>
        <v>202333C0100</v>
      </c>
      <c r="B2012" t="s">
        <v>4121</v>
      </c>
      <c r="C2012">
        <v>20</v>
      </c>
      <c r="D2012" t="s">
        <v>79</v>
      </c>
      <c r="E2012">
        <v>9</v>
      </c>
      <c r="F2012" t="s">
        <v>3733</v>
      </c>
      <c r="G2012">
        <v>2333</v>
      </c>
      <c r="H2012">
        <v>1</v>
      </c>
      <c r="I2012" t="s">
        <v>89</v>
      </c>
      <c r="J2012">
        <v>0</v>
      </c>
      <c r="K2012">
        <v>1</v>
      </c>
      <c r="L2012">
        <v>2</v>
      </c>
      <c r="AX2012">
        <v>728</v>
      </c>
      <c r="AZ2012" t="s">
        <v>1868</v>
      </c>
      <c r="BA2012">
        <v>0</v>
      </c>
      <c r="BC2012" t="s">
        <v>4122</v>
      </c>
      <c r="BD2012" s="4">
        <v>43283.161111111112</v>
      </c>
      <c r="BE2012" s="4">
        <v>43283.185810185183</v>
      </c>
      <c r="BF2012" s="4">
        <v>43283.185810185183</v>
      </c>
      <c r="BG2012" t="s">
        <v>83</v>
      </c>
      <c r="BH2012" t="s">
        <v>84</v>
      </c>
      <c r="BI2012" t="s">
        <v>85</v>
      </c>
    </row>
    <row r="2013" spans="1:61" x14ac:dyDescent="0.3">
      <c r="A2013" t="str">
        <f>"202334B0100"</f>
        <v>202334B0100</v>
      </c>
      <c r="B2013" t="s">
        <v>4123</v>
      </c>
      <c r="C2013">
        <v>20</v>
      </c>
      <c r="D2013" t="s">
        <v>79</v>
      </c>
      <c r="E2013">
        <v>9</v>
      </c>
      <c r="F2013" t="s">
        <v>3733</v>
      </c>
      <c r="G2013">
        <v>2334</v>
      </c>
      <c r="H2013">
        <v>1</v>
      </c>
      <c r="I2013" t="s">
        <v>81</v>
      </c>
      <c r="J2013">
        <v>0</v>
      </c>
      <c r="K2013">
        <v>1</v>
      </c>
      <c r="L2013">
        <v>2</v>
      </c>
      <c r="M2013">
        <v>292</v>
      </c>
      <c r="N2013">
        <v>465</v>
      </c>
      <c r="O2013">
        <v>1</v>
      </c>
      <c r="P2013">
        <v>465</v>
      </c>
      <c r="Q2013">
        <v>21</v>
      </c>
      <c r="R2013">
        <v>40</v>
      </c>
      <c r="S2013">
        <v>6</v>
      </c>
      <c r="T2013">
        <v>3</v>
      </c>
      <c r="U2013">
        <v>41</v>
      </c>
      <c r="V2013">
        <v>4</v>
      </c>
      <c r="W2013">
        <v>1</v>
      </c>
      <c r="X2013">
        <v>5</v>
      </c>
      <c r="Y2013">
        <v>286</v>
      </c>
      <c r="Z2013">
        <v>13</v>
      </c>
      <c r="AA2013">
        <v>2</v>
      </c>
      <c r="AB2013">
        <v>15</v>
      </c>
      <c r="AC2013">
        <v>0</v>
      </c>
      <c r="AD2013">
        <v>0</v>
      </c>
      <c r="AE2013">
        <v>0</v>
      </c>
      <c r="AF2013">
        <v>0</v>
      </c>
      <c r="AK2013">
        <v>6</v>
      </c>
      <c r="AL2013">
        <v>8</v>
      </c>
      <c r="AM2013">
        <v>0</v>
      </c>
      <c r="AN2013">
        <v>0</v>
      </c>
      <c r="AT2013">
        <v>0</v>
      </c>
      <c r="AU2013">
        <v>14</v>
      </c>
      <c r="AV2013">
        <v>465</v>
      </c>
      <c r="AW2013">
        <v>465</v>
      </c>
      <c r="AX2013">
        <v>735</v>
      </c>
      <c r="BA2013">
        <v>1</v>
      </c>
      <c r="BC2013" t="s">
        <v>4124</v>
      </c>
      <c r="BD2013" s="4">
        <v>43282.925659722219</v>
      </c>
      <c r="BE2013" s="4">
        <v>43282.93005787037</v>
      </c>
      <c r="BF2013" s="4">
        <v>43282.93005787037</v>
      </c>
      <c r="BG2013" t="s">
        <v>373</v>
      </c>
      <c r="BH2013" t="s">
        <v>374</v>
      </c>
      <c r="BI2013" t="s">
        <v>85</v>
      </c>
    </row>
    <row r="2014" spans="1:61" x14ac:dyDescent="0.3">
      <c r="A2014" t="str">
        <f>"202363B0100"</f>
        <v>202363B0100</v>
      </c>
      <c r="B2014" t="s">
        <v>4125</v>
      </c>
      <c r="C2014">
        <v>20</v>
      </c>
      <c r="D2014" t="s">
        <v>79</v>
      </c>
      <c r="E2014">
        <v>9</v>
      </c>
      <c r="F2014" t="s">
        <v>3733</v>
      </c>
      <c r="G2014">
        <v>2363</v>
      </c>
      <c r="H2014">
        <v>1</v>
      </c>
      <c r="I2014" t="s">
        <v>81</v>
      </c>
      <c r="J2014">
        <v>0</v>
      </c>
      <c r="K2014">
        <v>1</v>
      </c>
      <c r="L2014">
        <v>2</v>
      </c>
      <c r="M2014">
        <v>231</v>
      </c>
      <c r="N2014">
        <v>296</v>
      </c>
      <c r="O2014">
        <v>4</v>
      </c>
      <c r="P2014">
        <v>296</v>
      </c>
      <c r="Q2014">
        <v>37</v>
      </c>
      <c r="R2014">
        <v>43</v>
      </c>
      <c r="S2014">
        <v>5</v>
      </c>
      <c r="T2014">
        <v>4</v>
      </c>
      <c r="U2014">
        <v>17</v>
      </c>
      <c r="V2014">
        <v>2</v>
      </c>
      <c r="W2014">
        <v>10</v>
      </c>
      <c r="X2014">
        <v>7</v>
      </c>
      <c r="Y2014">
        <v>128</v>
      </c>
      <c r="Z2014">
        <v>9</v>
      </c>
      <c r="AA2014">
        <v>1</v>
      </c>
      <c r="AB2014">
        <v>7</v>
      </c>
      <c r="AC2014">
        <v>2</v>
      </c>
      <c r="AD2014">
        <v>0</v>
      </c>
      <c r="AE2014">
        <v>0</v>
      </c>
      <c r="AF2014">
        <v>0</v>
      </c>
      <c r="AK2014">
        <v>3</v>
      </c>
      <c r="AL2014">
        <v>3</v>
      </c>
      <c r="AM2014">
        <v>0</v>
      </c>
      <c r="AN2014">
        <v>3</v>
      </c>
      <c r="AT2014">
        <v>0</v>
      </c>
      <c r="AU2014">
        <v>15</v>
      </c>
      <c r="AV2014">
        <v>296</v>
      </c>
      <c r="AW2014">
        <v>296</v>
      </c>
      <c r="AX2014">
        <v>518</v>
      </c>
      <c r="BA2014">
        <v>1</v>
      </c>
      <c r="BC2014" t="s">
        <v>4126</v>
      </c>
      <c r="BD2014" s="4">
        <v>43283.116666666669</v>
      </c>
      <c r="BE2014" s="4">
        <v>43283.124513888892</v>
      </c>
      <c r="BF2014" s="4">
        <v>43283.124513888892</v>
      </c>
      <c r="BG2014" t="s">
        <v>83</v>
      </c>
      <c r="BH2014" t="s">
        <v>84</v>
      </c>
      <c r="BI2014" t="s">
        <v>85</v>
      </c>
    </row>
    <row r="2015" spans="1:61" x14ac:dyDescent="0.3">
      <c r="A2015" t="str">
        <f>"202363C0100"</f>
        <v>202363C0100</v>
      </c>
      <c r="B2015" t="s">
        <v>4127</v>
      </c>
      <c r="C2015">
        <v>20</v>
      </c>
      <c r="D2015" t="s">
        <v>79</v>
      </c>
      <c r="E2015">
        <v>9</v>
      </c>
      <c r="F2015" t="s">
        <v>3733</v>
      </c>
      <c r="G2015">
        <v>2363</v>
      </c>
      <c r="H2015">
        <v>1</v>
      </c>
      <c r="I2015" t="s">
        <v>89</v>
      </c>
      <c r="J2015">
        <v>0</v>
      </c>
      <c r="K2015">
        <v>1</v>
      </c>
      <c r="L2015">
        <v>2</v>
      </c>
      <c r="M2015">
        <v>276</v>
      </c>
      <c r="N2015">
        <v>264</v>
      </c>
      <c r="O2015">
        <v>3</v>
      </c>
      <c r="P2015">
        <v>264</v>
      </c>
      <c r="Q2015">
        <v>15</v>
      </c>
      <c r="R2015">
        <v>44</v>
      </c>
      <c r="S2015">
        <v>5</v>
      </c>
      <c r="T2015">
        <v>5</v>
      </c>
      <c r="U2015">
        <v>20</v>
      </c>
      <c r="V2015">
        <v>4</v>
      </c>
      <c r="W2015">
        <v>10</v>
      </c>
      <c r="X2015">
        <v>7</v>
      </c>
      <c r="Y2015">
        <v>117</v>
      </c>
      <c r="Z2015">
        <v>5</v>
      </c>
      <c r="AA2015">
        <v>1</v>
      </c>
      <c r="AB2015">
        <v>8</v>
      </c>
      <c r="AC2015">
        <v>0</v>
      </c>
      <c r="AD2015">
        <v>0</v>
      </c>
      <c r="AE2015">
        <v>0</v>
      </c>
      <c r="AF2015">
        <v>0</v>
      </c>
      <c r="AK2015">
        <v>5</v>
      </c>
      <c r="AL2015">
        <v>1</v>
      </c>
      <c r="AM2015">
        <v>1</v>
      </c>
      <c r="AN2015">
        <v>2</v>
      </c>
      <c r="AT2015">
        <v>1</v>
      </c>
      <c r="AU2015">
        <v>13</v>
      </c>
      <c r="AV2015">
        <v>264</v>
      </c>
      <c r="AW2015">
        <v>264</v>
      </c>
      <c r="AX2015">
        <v>518</v>
      </c>
      <c r="BA2015">
        <v>1</v>
      </c>
      <c r="BC2015" s="2" t="s">
        <v>4128</v>
      </c>
      <c r="BD2015" s="4">
        <v>43282.842719907407</v>
      </c>
      <c r="BE2015" s="4">
        <v>43282.871018518519</v>
      </c>
      <c r="BF2015" s="4">
        <v>43282.871018518519</v>
      </c>
      <c r="BG2015" t="s">
        <v>373</v>
      </c>
      <c r="BH2015" t="s">
        <v>374</v>
      </c>
      <c r="BI2015" t="s">
        <v>85</v>
      </c>
    </row>
    <row r="2016" spans="1:61" x14ac:dyDescent="0.3">
      <c r="A2016" t="str">
        <f>"202363C0200"</f>
        <v>202363C0200</v>
      </c>
      <c r="B2016" t="s">
        <v>4129</v>
      </c>
      <c r="C2016">
        <v>20</v>
      </c>
      <c r="D2016" t="s">
        <v>79</v>
      </c>
      <c r="E2016">
        <v>9</v>
      </c>
      <c r="F2016" t="s">
        <v>3733</v>
      </c>
      <c r="G2016">
        <v>2363</v>
      </c>
      <c r="H2016">
        <v>2</v>
      </c>
      <c r="I2016" t="s">
        <v>89</v>
      </c>
      <c r="J2016">
        <v>0</v>
      </c>
      <c r="K2016">
        <v>1</v>
      </c>
      <c r="L2016">
        <v>2</v>
      </c>
      <c r="M2016">
        <v>220</v>
      </c>
      <c r="N2016">
        <v>306</v>
      </c>
      <c r="O2016">
        <v>3</v>
      </c>
      <c r="P2016">
        <v>300</v>
      </c>
      <c r="Q2016">
        <v>24</v>
      </c>
      <c r="R2016">
        <v>55</v>
      </c>
      <c r="S2016">
        <v>2</v>
      </c>
      <c r="T2016">
        <v>10</v>
      </c>
      <c r="U2016">
        <v>14</v>
      </c>
      <c r="V2016">
        <v>10</v>
      </c>
      <c r="W2016">
        <v>24</v>
      </c>
      <c r="X2016">
        <v>6</v>
      </c>
      <c r="Y2016">
        <v>121</v>
      </c>
      <c r="Z2016">
        <v>4</v>
      </c>
      <c r="AA2016">
        <v>0</v>
      </c>
      <c r="AB2016">
        <v>18</v>
      </c>
      <c r="AC2016">
        <v>1</v>
      </c>
      <c r="AD2016">
        <v>0</v>
      </c>
      <c r="AE2016">
        <v>0</v>
      </c>
      <c r="AF2016">
        <v>0</v>
      </c>
      <c r="AK2016">
        <v>1</v>
      </c>
      <c r="AL2016">
        <v>0</v>
      </c>
      <c r="AM2016">
        <v>0</v>
      </c>
      <c r="AN2016">
        <v>0</v>
      </c>
      <c r="AT2016">
        <v>0</v>
      </c>
      <c r="AU2016">
        <v>9</v>
      </c>
      <c r="AV2016">
        <v>300</v>
      </c>
      <c r="AW2016">
        <v>299</v>
      </c>
      <c r="AX2016">
        <v>517</v>
      </c>
      <c r="BA2016">
        <v>1</v>
      </c>
      <c r="BC2016" t="s">
        <v>4130</v>
      </c>
      <c r="BD2016" s="4">
        <v>43282.959479166668</v>
      </c>
      <c r="BE2016" s="4">
        <v>43282.964120370372</v>
      </c>
      <c r="BF2016" s="4">
        <v>43282.964120370372</v>
      </c>
      <c r="BG2016" t="s">
        <v>373</v>
      </c>
      <c r="BH2016" t="s">
        <v>374</v>
      </c>
      <c r="BI2016" t="s">
        <v>85</v>
      </c>
    </row>
    <row r="2017" spans="1:61" x14ac:dyDescent="0.3">
      <c r="A2017" t="str">
        <f>"202364B0100"</f>
        <v>202364B0100</v>
      </c>
      <c r="B2017" t="s">
        <v>4131</v>
      </c>
      <c r="C2017">
        <v>20</v>
      </c>
      <c r="D2017" t="s">
        <v>79</v>
      </c>
      <c r="E2017">
        <v>9</v>
      </c>
      <c r="F2017" t="s">
        <v>3733</v>
      </c>
      <c r="G2017">
        <v>2364</v>
      </c>
      <c r="H2017">
        <v>1</v>
      </c>
      <c r="I2017" t="s">
        <v>81</v>
      </c>
      <c r="J2017">
        <v>0</v>
      </c>
      <c r="K2017">
        <v>2</v>
      </c>
      <c r="L2017">
        <v>2</v>
      </c>
      <c r="M2017">
        <v>438</v>
      </c>
      <c r="N2017">
        <v>324</v>
      </c>
      <c r="O2017">
        <v>1</v>
      </c>
      <c r="P2017">
        <v>0</v>
      </c>
      <c r="Q2017">
        <v>37</v>
      </c>
      <c r="R2017">
        <v>48</v>
      </c>
      <c r="S2017">
        <v>4</v>
      </c>
      <c r="T2017">
        <v>10</v>
      </c>
      <c r="U2017">
        <v>18</v>
      </c>
      <c r="V2017">
        <v>11</v>
      </c>
      <c r="W2017">
        <v>8</v>
      </c>
      <c r="X2017">
        <v>4</v>
      </c>
      <c r="Y2017">
        <v>131</v>
      </c>
      <c r="Z2017">
        <v>9</v>
      </c>
      <c r="AA2017">
        <v>2</v>
      </c>
      <c r="AB2017">
        <v>14</v>
      </c>
      <c r="AC2017">
        <v>1</v>
      </c>
      <c r="AD2017">
        <v>0</v>
      </c>
      <c r="AE2017">
        <v>0</v>
      </c>
      <c r="AF2017">
        <v>0</v>
      </c>
      <c r="AK2017">
        <v>5</v>
      </c>
      <c r="AL2017">
        <v>1</v>
      </c>
      <c r="AM2017">
        <v>0</v>
      </c>
      <c r="AN2017">
        <v>1</v>
      </c>
      <c r="AT2017">
        <v>0</v>
      </c>
      <c r="AU2017">
        <v>20</v>
      </c>
      <c r="AV2017">
        <v>324</v>
      </c>
      <c r="AW2017">
        <v>324</v>
      </c>
      <c r="AX2017">
        <v>740</v>
      </c>
      <c r="BA2017">
        <v>1</v>
      </c>
      <c r="BC2017" t="s">
        <v>4132</v>
      </c>
      <c r="BD2017" s="4">
        <v>43282.926076388889</v>
      </c>
      <c r="BE2017" s="4">
        <v>43282.929537037038</v>
      </c>
      <c r="BF2017" s="4">
        <v>43282.929537037038</v>
      </c>
      <c r="BG2017" t="s">
        <v>373</v>
      </c>
      <c r="BH2017" t="s">
        <v>374</v>
      </c>
      <c r="BI2017" t="s">
        <v>85</v>
      </c>
    </row>
    <row r="2018" spans="1:61" x14ac:dyDescent="0.3">
      <c r="A2018" t="str">
        <f>"202364C0100"</f>
        <v>202364C0100</v>
      </c>
      <c r="B2018" t="s">
        <v>4133</v>
      </c>
      <c r="C2018">
        <v>20</v>
      </c>
      <c r="D2018" t="s">
        <v>79</v>
      </c>
      <c r="E2018">
        <v>9</v>
      </c>
      <c r="F2018" t="s">
        <v>3733</v>
      </c>
      <c r="G2018">
        <v>2364</v>
      </c>
      <c r="H2018">
        <v>1</v>
      </c>
      <c r="I2018" t="s">
        <v>89</v>
      </c>
      <c r="J2018">
        <v>0</v>
      </c>
      <c r="K2018">
        <v>2</v>
      </c>
      <c r="L2018">
        <v>2</v>
      </c>
      <c r="M2018" t="s">
        <v>315</v>
      </c>
      <c r="N2018">
        <v>761</v>
      </c>
      <c r="O2018">
        <v>0</v>
      </c>
      <c r="P2018" t="s">
        <v>100</v>
      </c>
      <c r="Q2018">
        <v>28</v>
      </c>
      <c r="R2018">
        <v>61</v>
      </c>
      <c r="S2018">
        <v>4</v>
      </c>
      <c r="T2018">
        <v>5</v>
      </c>
      <c r="U2018">
        <v>19</v>
      </c>
      <c r="V2018">
        <v>4</v>
      </c>
      <c r="W2018">
        <v>10</v>
      </c>
      <c r="X2018">
        <v>3</v>
      </c>
      <c r="Y2018">
        <v>122</v>
      </c>
      <c r="Z2018">
        <v>4</v>
      </c>
      <c r="AA2018">
        <v>2</v>
      </c>
      <c r="AB2018">
        <v>7</v>
      </c>
      <c r="AC2018">
        <v>1</v>
      </c>
      <c r="AD2018">
        <v>2</v>
      </c>
      <c r="AE2018">
        <v>0</v>
      </c>
      <c r="AF2018">
        <v>0</v>
      </c>
      <c r="AK2018">
        <v>3</v>
      </c>
      <c r="AL2018">
        <v>2</v>
      </c>
      <c r="AM2018">
        <v>1</v>
      </c>
      <c r="AN2018">
        <v>2</v>
      </c>
      <c r="AT2018">
        <v>0</v>
      </c>
      <c r="AU2018">
        <v>13</v>
      </c>
      <c r="AV2018">
        <v>293</v>
      </c>
      <c r="AW2018">
        <v>293</v>
      </c>
      <c r="AX2018">
        <v>739</v>
      </c>
      <c r="BA2018">
        <v>1</v>
      </c>
      <c r="BC2018" t="s">
        <v>4134</v>
      </c>
      <c r="BD2018" s="4">
        <v>43282.89508101852</v>
      </c>
      <c r="BE2018" s="4">
        <v>43282.897962962961</v>
      </c>
      <c r="BF2018" s="4">
        <v>43282.897962962961</v>
      </c>
      <c r="BG2018" t="s">
        <v>373</v>
      </c>
      <c r="BH2018" t="s">
        <v>374</v>
      </c>
      <c r="BI2018" t="s">
        <v>85</v>
      </c>
    </row>
    <row r="2019" spans="1:61" x14ac:dyDescent="0.3">
      <c r="A2019" t="str">
        <f>"202364C0200"</f>
        <v>202364C0200</v>
      </c>
      <c r="B2019" t="s">
        <v>4135</v>
      </c>
      <c r="C2019">
        <v>20</v>
      </c>
      <c r="D2019" t="s">
        <v>79</v>
      </c>
      <c r="E2019">
        <v>9</v>
      </c>
      <c r="F2019" t="s">
        <v>3733</v>
      </c>
      <c r="G2019">
        <v>2364</v>
      </c>
      <c r="H2019">
        <v>2</v>
      </c>
      <c r="I2019" t="s">
        <v>89</v>
      </c>
      <c r="J2019">
        <v>0</v>
      </c>
      <c r="K2019">
        <v>2</v>
      </c>
      <c r="L2019">
        <v>2</v>
      </c>
      <c r="M2019">
        <v>428</v>
      </c>
      <c r="N2019">
        <v>332</v>
      </c>
      <c r="O2019">
        <v>3</v>
      </c>
      <c r="P2019">
        <v>331</v>
      </c>
      <c r="Q2019">
        <v>25</v>
      </c>
      <c r="R2019">
        <v>50</v>
      </c>
      <c r="S2019">
        <v>5</v>
      </c>
      <c r="T2019">
        <v>7</v>
      </c>
      <c r="U2019">
        <v>23</v>
      </c>
      <c r="V2019">
        <v>4</v>
      </c>
      <c r="W2019">
        <v>20</v>
      </c>
      <c r="X2019">
        <v>3</v>
      </c>
      <c r="Y2019">
        <v>142</v>
      </c>
      <c r="Z2019">
        <v>5</v>
      </c>
      <c r="AA2019">
        <v>0</v>
      </c>
      <c r="AB2019">
        <v>16</v>
      </c>
      <c r="AC2019">
        <v>1</v>
      </c>
      <c r="AD2019">
        <v>0</v>
      </c>
      <c r="AE2019">
        <v>0</v>
      </c>
      <c r="AF2019">
        <v>0</v>
      </c>
      <c r="AK2019">
        <v>6</v>
      </c>
      <c r="AL2019">
        <v>3</v>
      </c>
      <c r="AM2019">
        <v>0</v>
      </c>
      <c r="AN2019">
        <v>1</v>
      </c>
      <c r="AT2019">
        <v>0</v>
      </c>
      <c r="AU2019">
        <v>20</v>
      </c>
      <c r="AV2019">
        <v>331</v>
      </c>
      <c r="AW2019">
        <v>331</v>
      </c>
      <c r="AX2019">
        <v>739</v>
      </c>
      <c r="BA2019">
        <v>1</v>
      </c>
      <c r="BC2019" t="s">
        <v>4136</v>
      </c>
      <c r="BD2019" s="4">
        <v>43282.929502314815</v>
      </c>
      <c r="BE2019" s="4">
        <v>43282.934537037036</v>
      </c>
      <c r="BF2019" s="4">
        <v>43282.934537037036</v>
      </c>
      <c r="BG2019" t="s">
        <v>373</v>
      </c>
      <c r="BH2019" t="s">
        <v>374</v>
      </c>
      <c r="BI2019" t="s">
        <v>85</v>
      </c>
    </row>
    <row r="2020" spans="1:61" x14ac:dyDescent="0.3">
      <c r="A2020" t="str">
        <f>"202364E0100"</f>
        <v>202364E0100</v>
      </c>
      <c r="B2020" s="2" t="s">
        <v>4137</v>
      </c>
      <c r="C2020">
        <v>20</v>
      </c>
      <c r="D2020" t="s">
        <v>79</v>
      </c>
      <c r="E2020">
        <v>9</v>
      </c>
      <c r="F2020" t="s">
        <v>3733</v>
      </c>
      <c r="G2020">
        <v>2364</v>
      </c>
      <c r="H2020">
        <v>1</v>
      </c>
      <c r="I2020" t="s">
        <v>145</v>
      </c>
      <c r="J2020">
        <v>0</v>
      </c>
      <c r="K2020">
        <v>2</v>
      </c>
      <c r="L2020">
        <v>2</v>
      </c>
      <c r="M2020">
        <v>103</v>
      </c>
      <c r="N2020">
        <v>101</v>
      </c>
      <c r="O2020">
        <v>4</v>
      </c>
      <c r="P2020">
        <v>101</v>
      </c>
      <c r="Q2020">
        <v>15</v>
      </c>
      <c r="R2020">
        <v>10</v>
      </c>
      <c r="S2020">
        <v>3</v>
      </c>
      <c r="T2020">
        <v>3</v>
      </c>
      <c r="U2020">
        <v>6</v>
      </c>
      <c r="V2020">
        <v>2</v>
      </c>
      <c r="W2020">
        <v>1</v>
      </c>
      <c r="X2020">
        <v>1</v>
      </c>
      <c r="Y2020">
        <v>44</v>
      </c>
      <c r="Z2020">
        <v>3</v>
      </c>
      <c r="AA2020">
        <v>1</v>
      </c>
      <c r="AB2020">
        <v>1</v>
      </c>
      <c r="AC2020">
        <v>0</v>
      </c>
      <c r="AD2020">
        <v>1</v>
      </c>
      <c r="AE2020">
        <v>0</v>
      </c>
      <c r="AF2020">
        <v>0</v>
      </c>
      <c r="AK2020">
        <v>3</v>
      </c>
      <c r="AL2020">
        <v>0</v>
      </c>
      <c r="AM2020">
        <v>0</v>
      </c>
      <c r="AN2020">
        <v>1</v>
      </c>
      <c r="AT2020">
        <v>0</v>
      </c>
      <c r="AU2020">
        <v>6</v>
      </c>
      <c r="AV2020">
        <v>101</v>
      </c>
      <c r="AW2020">
        <v>101</v>
      </c>
      <c r="AX2020">
        <v>182</v>
      </c>
      <c r="BA2020">
        <v>1</v>
      </c>
      <c r="BC2020" t="s">
        <v>4138</v>
      </c>
      <c r="BD2020" s="4">
        <v>43282.985335648147</v>
      </c>
      <c r="BE2020" s="4">
        <v>43282.989039351851</v>
      </c>
      <c r="BF2020" s="4">
        <v>43282.989039351851</v>
      </c>
      <c r="BG2020" t="s">
        <v>373</v>
      </c>
      <c r="BH2020" t="s">
        <v>374</v>
      </c>
      <c r="BI2020" t="s">
        <v>85</v>
      </c>
    </row>
    <row r="2021" spans="1:61" x14ac:dyDescent="0.3">
      <c r="A2021" t="str">
        <f>"202365B0100"</f>
        <v>202365B0100</v>
      </c>
      <c r="B2021" t="s">
        <v>4139</v>
      </c>
      <c r="C2021">
        <v>20</v>
      </c>
      <c r="D2021" t="s">
        <v>79</v>
      </c>
      <c r="E2021">
        <v>9</v>
      </c>
      <c r="F2021" t="s">
        <v>3733</v>
      </c>
      <c r="G2021">
        <v>2365</v>
      </c>
      <c r="H2021">
        <v>1</v>
      </c>
      <c r="I2021" t="s">
        <v>81</v>
      </c>
      <c r="J2021">
        <v>0</v>
      </c>
      <c r="K2021">
        <v>1</v>
      </c>
      <c r="L2021">
        <v>2</v>
      </c>
      <c r="M2021">
        <v>291</v>
      </c>
      <c r="N2021">
        <v>267</v>
      </c>
      <c r="O2021">
        <v>0</v>
      </c>
      <c r="P2021">
        <v>268</v>
      </c>
      <c r="Q2021">
        <v>25</v>
      </c>
      <c r="R2021">
        <v>43</v>
      </c>
      <c r="S2021">
        <v>8</v>
      </c>
      <c r="T2021">
        <v>6</v>
      </c>
      <c r="U2021">
        <v>18</v>
      </c>
      <c r="V2021">
        <v>9</v>
      </c>
      <c r="W2021">
        <v>5</v>
      </c>
      <c r="X2021">
        <v>3</v>
      </c>
      <c r="Y2021">
        <v>117</v>
      </c>
      <c r="Z2021">
        <v>3</v>
      </c>
      <c r="AA2021">
        <v>6</v>
      </c>
      <c r="AB2021">
        <v>8</v>
      </c>
      <c r="AC2021">
        <v>0</v>
      </c>
      <c r="AD2021">
        <v>0</v>
      </c>
      <c r="AE2021">
        <v>0</v>
      </c>
      <c r="AF2021">
        <v>0</v>
      </c>
      <c r="AK2021">
        <v>12</v>
      </c>
      <c r="AL2021">
        <v>0</v>
      </c>
      <c r="AM2021">
        <v>0</v>
      </c>
      <c r="AN2021">
        <v>0</v>
      </c>
      <c r="AT2021">
        <v>0</v>
      </c>
      <c r="AU2021">
        <v>5</v>
      </c>
      <c r="AV2021">
        <v>268</v>
      </c>
      <c r="AW2021">
        <v>268</v>
      </c>
      <c r="AX2021">
        <v>536</v>
      </c>
      <c r="BA2021">
        <v>1</v>
      </c>
      <c r="BC2021" t="s">
        <v>4140</v>
      </c>
      <c r="BD2021" s="4">
        <v>43283.128472222219</v>
      </c>
      <c r="BE2021" s="4">
        <v>43283.134837962964</v>
      </c>
      <c r="BF2021" s="4">
        <v>43283.134837962964</v>
      </c>
      <c r="BG2021" t="s">
        <v>83</v>
      </c>
      <c r="BH2021" t="s">
        <v>84</v>
      </c>
      <c r="BI2021" t="s">
        <v>85</v>
      </c>
    </row>
    <row r="2022" spans="1:61" x14ac:dyDescent="0.3">
      <c r="A2022" t="str">
        <f>"202365C0100"</f>
        <v>202365C0100</v>
      </c>
      <c r="B2022" t="s">
        <v>4141</v>
      </c>
      <c r="C2022">
        <v>20</v>
      </c>
      <c r="D2022" t="s">
        <v>79</v>
      </c>
      <c r="E2022">
        <v>9</v>
      </c>
      <c r="F2022" t="s">
        <v>3733</v>
      </c>
      <c r="G2022">
        <v>2365</v>
      </c>
      <c r="H2022">
        <v>1</v>
      </c>
      <c r="I2022" t="s">
        <v>89</v>
      </c>
      <c r="J2022">
        <v>0</v>
      </c>
      <c r="K2022">
        <v>1</v>
      </c>
      <c r="L2022">
        <v>2</v>
      </c>
      <c r="M2022">
        <v>310</v>
      </c>
      <c r="N2022">
        <v>247</v>
      </c>
      <c r="O2022">
        <v>1</v>
      </c>
      <c r="P2022">
        <v>246</v>
      </c>
      <c r="Q2022">
        <v>30</v>
      </c>
      <c r="R2022">
        <v>29</v>
      </c>
      <c r="S2022">
        <v>3</v>
      </c>
      <c r="T2022">
        <v>6</v>
      </c>
      <c r="U2022">
        <v>19</v>
      </c>
      <c r="V2022">
        <v>4</v>
      </c>
      <c r="W2022">
        <v>12</v>
      </c>
      <c r="X2022">
        <v>3</v>
      </c>
      <c r="Y2022">
        <v>106</v>
      </c>
      <c r="Z2022">
        <v>6</v>
      </c>
      <c r="AA2022">
        <v>1</v>
      </c>
      <c r="AB2022">
        <v>9</v>
      </c>
      <c r="AC2022">
        <v>2</v>
      </c>
      <c r="AD2022">
        <v>0</v>
      </c>
      <c r="AE2022">
        <v>0</v>
      </c>
      <c r="AF2022">
        <v>0</v>
      </c>
      <c r="AK2022">
        <v>2</v>
      </c>
      <c r="AL2022">
        <v>3</v>
      </c>
      <c r="AM2022">
        <v>0</v>
      </c>
      <c r="AN2022">
        <v>1</v>
      </c>
      <c r="AT2022">
        <v>1</v>
      </c>
      <c r="AU2022">
        <v>9</v>
      </c>
      <c r="AV2022">
        <v>246</v>
      </c>
      <c r="AW2022">
        <v>246</v>
      </c>
      <c r="AX2022">
        <v>535</v>
      </c>
      <c r="BA2022">
        <v>1</v>
      </c>
      <c r="BC2022" t="s">
        <v>4142</v>
      </c>
      <c r="BD2022" s="4">
        <v>43283.118750000001</v>
      </c>
      <c r="BE2022" s="4">
        <v>43283.125428240739</v>
      </c>
      <c r="BF2022" s="4">
        <v>43283.125428240739</v>
      </c>
      <c r="BG2022" t="s">
        <v>83</v>
      </c>
      <c r="BH2022" t="s">
        <v>84</v>
      </c>
      <c r="BI2022" t="s">
        <v>85</v>
      </c>
    </row>
    <row r="2023" spans="1:61" x14ac:dyDescent="0.3">
      <c r="A2023" t="str">
        <f>"202365C0200"</f>
        <v>202365C0200</v>
      </c>
      <c r="B2023" t="s">
        <v>4143</v>
      </c>
      <c r="C2023">
        <v>20</v>
      </c>
      <c r="D2023" t="s">
        <v>79</v>
      </c>
      <c r="E2023">
        <v>9</v>
      </c>
      <c r="F2023" t="s">
        <v>3733</v>
      </c>
      <c r="G2023">
        <v>2365</v>
      </c>
      <c r="H2023">
        <v>2</v>
      </c>
      <c r="I2023" t="s">
        <v>89</v>
      </c>
      <c r="J2023">
        <v>0</v>
      </c>
      <c r="K2023">
        <v>1</v>
      </c>
      <c r="L2023">
        <v>2</v>
      </c>
      <c r="M2023">
        <v>276</v>
      </c>
      <c r="N2023">
        <v>281</v>
      </c>
      <c r="O2023">
        <v>276</v>
      </c>
      <c r="P2023">
        <v>279</v>
      </c>
      <c r="Q2023">
        <v>23</v>
      </c>
      <c r="R2023">
        <v>46</v>
      </c>
      <c r="S2023">
        <v>7</v>
      </c>
      <c r="T2023">
        <v>3</v>
      </c>
      <c r="U2023">
        <v>15</v>
      </c>
      <c r="V2023">
        <v>1</v>
      </c>
      <c r="W2023">
        <v>8</v>
      </c>
      <c r="X2023">
        <v>3</v>
      </c>
      <c r="Y2023">
        <v>145</v>
      </c>
      <c r="Z2023">
        <v>4</v>
      </c>
      <c r="AA2023">
        <v>3</v>
      </c>
      <c r="AB2023">
        <v>8</v>
      </c>
      <c r="AC2023">
        <v>2</v>
      </c>
      <c r="AD2023">
        <v>1</v>
      </c>
      <c r="AE2023">
        <v>0</v>
      </c>
      <c r="AF2023">
        <v>0</v>
      </c>
      <c r="AK2023">
        <v>4</v>
      </c>
      <c r="AL2023">
        <v>0</v>
      </c>
      <c r="AM2023">
        <v>0</v>
      </c>
      <c r="AN2023">
        <v>0</v>
      </c>
      <c r="AT2023">
        <v>0</v>
      </c>
      <c r="AU2023">
        <v>6</v>
      </c>
      <c r="AV2023">
        <v>279</v>
      </c>
      <c r="AW2023">
        <v>279</v>
      </c>
      <c r="AX2023">
        <v>535</v>
      </c>
      <c r="BA2023">
        <v>1</v>
      </c>
      <c r="BC2023" t="s">
        <v>4144</v>
      </c>
      <c r="BD2023" s="4">
        <v>43283.133333333331</v>
      </c>
      <c r="BE2023" s="4">
        <v>43283.138356481482</v>
      </c>
      <c r="BF2023" s="4">
        <v>43283.138356481482</v>
      </c>
      <c r="BG2023" t="s">
        <v>83</v>
      </c>
      <c r="BH2023" t="s">
        <v>84</v>
      </c>
      <c r="BI2023" t="s">
        <v>85</v>
      </c>
    </row>
    <row r="2024" spans="1:61" x14ac:dyDescent="0.3">
      <c r="A2024" t="str">
        <f>"202366B0100"</f>
        <v>202366B0100</v>
      </c>
      <c r="B2024" t="s">
        <v>4145</v>
      </c>
      <c r="C2024">
        <v>20</v>
      </c>
      <c r="D2024" t="s">
        <v>79</v>
      </c>
      <c r="E2024">
        <v>9</v>
      </c>
      <c r="F2024" t="s">
        <v>3733</v>
      </c>
      <c r="G2024">
        <v>2366</v>
      </c>
      <c r="H2024">
        <v>1</v>
      </c>
      <c r="I2024" t="s">
        <v>81</v>
      </c>
      <c r="J2024">
        <v>0</v>
      </c>
      <c r="K2024">
        <v>1</v>
      </c>
      <c r="L2024">
        <v>2</v>
      </c>
      <c r="M2024">
        <v>272</v>
      </c>
      <c r="N2024">
        <v>265</v>
      </c>
      <c r="O2024">
        <v>1</v>
      </c>
      <c r="P2024">
        <v>267</v>
      </c>
      <c r="Q2024">
        <v>37</v>
      </c>
      <c r="R2024">
        <v>39</v>
      </c>
      <c r="S2024">
        <v>3</v>
      </c>
      <c r="T2024">
        <v>4</v>
      </c>
      <c r="U2024">
        <v>14</v>
      </c>
      <c r="V2024">
        <v>3</v>
      </c>
      <c r="W2024">
        <v>7</v>
      </c>
      <c r="X2024">
        <v>6</v>
      </c>
      <c r="Y2024">
        <v>114</v>
      </c>
      <c r="Z2024">
        <v>9</v>
      </c>
      <c r="AA2024">
        <v>4</v>
      </c>
      <c r="AB2024">
        <v>8</v>
      </c>
      <c r="AC2024">
        <v>1</v>
      </c>
      <c r="AD2024">
        <v>0</v>
      </c>
      <c r="AE2024">
        <v>0</v>
      </c>
      <c r="AF2024">
        <v>0</v>
      </c>
      <c r="AK2024">
        <v>2</v>
      </c>
      <c r="AL2024">
        <v>1</v>
      </c>
      <c r="AM2024">
        <v>1</v>
      </c>
      <c r="AN2024">
        <v>0</v>
      </c>
      <c r="AT2024">
        <v>0</v>
      </c>
      <c r="AU2024">
        <v>14</v>
      </c>
      <c r="AV2024">
        <v>267</v>
      </c>
      <c r="AW2024">
        <v>267</v>
      </c>
      <c r="AX2024">
        <v>516</v>
      </c>
      <c r="BA2024">
        <v>1</v>
      </c>
      <c r="BC2024" t="s">
        <v>4146</v>
      </c>
      <c r="BD2024" s="4">
        <v>43283.127083333333</v>
      </c>
      <c r="BE2024" s="4">
        <v>43283.132719907408</v>
      </c>
      <c r="BF2024" s="4">
        <v>43283.132719907408</v>
      </c>
      <c r="BG2024" t="s">
        <v>83</v>
      </c>
      <c r="BH2024" t="s">
        <v>84</v>
      </c>
      <c r="BI2024" t="s">
        <v>85</v>
      </c>
    </row>
    <row r="2025" spans="1:61" x14ac:dyDescent="0.3">
      <c r="A2025" t="str">
        <f>"202366C0100"</f>
        <v>202366C0100</v>
      </c>
      <c r="B2025" t="s">
        <v>4147</v>
      </c>
      <c r="C2025">
        <v>20</v>
      </c>
      <c r="D2025" t="s">
        <v>79</v>
      </c>
      <c r="E2025">
        <v>9</v>
      </c>
      <c r="F2025" t="s">
        <v>3733</v>
      </c>
      <c r="G2025">
        <v>2366</v>
      </c>
      <c r="H2025">
        <v>1</v>
      </c>
      <c r="I2025" t="s">
        <v>89</v>
      </c>
      <c r="J2025">
        <v>0</v>
      </c>
      <c r="K2025">
        <v>1</v>
      </c>
      <c r="L2025">
        <v>2</v>
      </c>
      <c r="M2025">
        <v>254</v>
      </c>
      <c r="N2025">
        <v>279</v>
      </c>
      <c r="O2025">
        <v>0</v>
      </c>
      <c r="P2025">
        <v>282</v>
      </c>
      <c r="Q2025">
        <v>33</v>
      </c>
      <c r="R2025">
        <v>36</v>
      </c>
      <c r="S2025">
        <v>10</v>
      </c>
      <c r="T2025">
        <v>6</v>
      </c>
      <c r="U2025">
        <v>17</v>
      </c>
      <c r="V2025">
        <v>3</v>
      </c>
      <c r="W2025">
        <v>6</v>
      </c>
      <c r="X2025">
        <v>2</v>
      </c>
      <c r="Y2025">
        <v>122</v>
      </c>
      <c r="Z2025">
        <v>7</v>
      </c>
      <c r="AA2025">
        <v>1</v>
      </c>
      <c r="AB2025">
        <v>10</v>
      </c>
      <c r="AC2025">
        <v>2</v>
      </c>
      <c r="AD2025">
        <v>0</v>
      </c>
      <c r="AE2025">
        <v>0</v>
      </c>
      <c r="AF2025">
        <v>0</v>
      </c>
      <c r="AK2025">
        <v>7</v>
      </c>
      <c r="AL2025">
        <v>2</v>
      </c>
      <c r="AM2025">
        <v>2</v>
      </c>
      <c r="AN2025">
        <v>0</v>
      </c>
      <c r="AT2025">
        <v>0</v>
      </c>
      <c r="AU2025">
        <v>16</v>
      </c>
      <c r="AV2025">
        <v>282</v>
      </c>
      <c r="AW2025">
        <v>282</v>
      </c>
      <c r="AX2025">
        <v>516</v>
      </c>
      <c r="BA2025">
        <v>1</v>
      </c>
      <c r="BC2025" t="s">
        <v>4148</v>
      </c>
      <c r="BD2025" s="4">
        <v>43283.119444444441</v>
      </c>
      <c r="BE2025" s="4">
        <v>43283.13480324074</v>
      </c>
      <c r="BF2025" s="4">
        <v>43283.13480324074</v>
      </c>
      <c r="BG2025" t="s">
        <v>83</v>
      </c>
      <c r="BH2025" t="s">
        <v>84</v>
      </c>
      <c r="BI2025" t="s">
        <v>85</v>
      </c>
    </row>
    <row r="2026" spans="1:61" x14ac:dyDescent="0.3">
      <c r="A2026" t="str">
        <f>"202366C0200"</f>
        <v>202366C0200</v>
      </c>
      <c r="B2026" t="s">
        <v>4149</v>
      </c>
      <c r="C2026">
        <v>20</v>
      </c>
      <c r="D2026" t="s">
        <v>79</v>
      </c>
      <c r="E2026">
        <v>9</v>
      </c>
      <c r="F2026" t="s">
        <v>3733</v>
      </c>
      <c r="G2026">
        <v>2366</v>
      </c>
      <c r="H2026">
        <v>2</v>
      </c>
      <c r="I2026" t="s">
        <v>89</v>
      </c>
      <c r="J2026">
        <v>0</v>
      </c>
      <c r="K2026">
        <v>1</v>
      </c>
      <c r="L2026">
        <v>2</v>
      </c>
      <c r="M2026">
        <v>259</v>
      </c>
      <c r="N2026">
        <v>351</v>
      </c>
      <c r="O2026">
        <v>3</v>
      </c>
      <c r="P2026">
        <v>273</v>
      </c>
      <c r="Q2026">
        <v>42</v>
      </c>
      <c r="R2026">
        <v>36</v>
      </c>
      <c r="S2026">
        <v>7</v>
      </c>
      <c r="T2026">
        <v>3</v>
      </c>
      <c r="U2026">
        <v>3</v>
      </c>
      <c r="V2026">
        <v>5</v>
      </c>
      <c r="W2026">
        <v>11</v>
      </c>
      <c r="X2026">
        <v>1</v>
      </c>
      <c r="Y2026">
        <v>121</v>
      </c>
      <c r="Z2026">
        <v>8</v>
      </c>
      <c r="AA2026">
        <v>1</v>
      </c>
      <c r="AB2026">
        <v>10</v>
      </c>
      <c r="AC2026">
        <v>2</v>
      </c>
      <c r="AD2026">
        <v>0</v>
      </c>
      <c r="AE2026">
        <v>0</v>
      </c>
      <c r="AF2026">
        <v>0</v>
      </c>
      <c r="AK2026">
        <v>4</v>
      </c>
      <c r="AL2026">
        <v>2</v>
      </c>
      <c r="AM2026">
        <v>0</v>
      </c>
      <c r="AN2026">
        <v>10</v>
      </c>
      <c r="AT2026">
        <v>0</v>
      </c>
      <c r="AU2026">
        <v>1</v>
      </c>
      <c r="AV2026">
        <v>276</v>
      </c>
      <c r="AW2026">
        <v>267</v>
      </c>
      <c r="AX2026">
        <v>516</v>
      </c>
      <c r="BA2026">
        <v>1</v>
      </c>
      <c r="BC2026" t="s">
        <v>4150</v>
      </c>
      <c r="BD2026" s="4">
        <v>43283.129861111112</v>
      </c>
      <c r="BE2026" s="4">
        <v>43283.134583333333</v>
      </c>
      <c r="BF2026" s="4">
        <v>43283.134583333333</v>
      </c>
      <c r="BG2026" t="s">
        <v>83</v>
      </c>
      <c r="BH2026" t="s">
        <v>84</v>
      </c>
      <c r="BI2026" t="s">
        <v>85</v>
      </c>
    </row>
    <row r="2027" spans="1:61" x14ac:dyDescent="0.3">
      <c r="A2027" t="str">
        <f>"202407B0100"</f>
        <v>202407B0100</v>
      </c>
      <c r="B2027" t="s">
        <v>4151</v>
      </c>
      <c r="C2027">
        <v>20</v>
      </c>
      <c r="D2027" t="s">
        <v>79</v>
      </c>
      <c r="E2027">
        <v>9</v>
      </c>
      <c r="F2027" t="s">
        <v>3733</v>
      </c>
      <c r="G2027">
        <v>2407</v>
      </c>
      <c r="H2027">
        <v>1</v>
      </c>
      <c r="I2027" t="s">
        <v>81</v>
      </c>
      <c r="J2027">
        <v>0</v>
      </c>
      <c r="K2027">
        <v>1</v>
      </c>
      <c r="L2027">
        <v>2</v>
      </c>
      <c r="M2027">
        <v>245</v>
      </c>
      <c r="N2027">
        <v>339</v>
      </c>
      <c r="O2027">
        <v>0</v>
      </c>
      <c r="P2027">
        <v>339</v>
      </c>
      <c r="Q2027">
        <v>64</v>
      </c>
      <c r="R2027">
        <v>31</v>
      </c>
      <c r="S2027">
        <v>11</v>
      </c>
      <c r="T2027">
        <v>3</v>
      </c>
      <c r="U2027">
        <v>18</v>
      </c>
      <c r="V2027">
        <v>11</v>
      </c>
      <c r="W2027">
        <v>1</v>
      </c>
      <c r="X2027">
        <v>3</v>
      </c>
      <c r="Y2027">
        <v>170</v>
      </c>
      <c r="Z2027">
        <v>5</v>
      </c>
      <c r="AA2027">
        <v>0</v>
      </c>
      <c r="AB2027">
        <v>1</v>
      </c>
      <c r="AC2027">
        <v>2</v>
      </c>
      <c r="AD2027">
        <v>0</v>
      </c>
      <c r="AE2027">
        <v>0</v>
      </c>
      <c r="AF2027">
        <v>0</v>
      </c>
      <c r="AK2027">
        <v>6</v>
      </c>
      <c r="AL2027">
        <v>1</v>
      </c>
      <c r="AM2027">
        <v>0</v>
      </c>
      <c r="AN2027">
        <v>0</v>
      </c>
      <c r="AT2027">
        <v>0</v>
      </c>
      <c r="AU2027">
        <v>12</v>
      </c>
      <c r="AV2027">
        <v>339</v>
      </c>
      <c r="AW2027">
        <v>339</v>
      </c>
      <c r="AX2027">
        <v>562</v>
      </c>
      <c r="BA2027">
        <v>1</v>
      </c>
      <c r="BC2027" t="s">
        <v>4152</v>
      </c>
      <c r="BD2027" s="4">
        <v>43283.13958333333</v>
      </c>
      <c r="BE2027" s="4">
        <v>43283.146643518521</v>
      </c>
      <c r="BF2027" s="4">
        <v>43283.146643518521</v>
      </c>
      <c r="BG2027" t="s">
        <v>83</v>
      </c>
      <c r="BH2027" t="s">
        <v>84</v>
      </c>
      <c r="BI2027" t="s">
        <v>85</v>
      </c>
    </row>
    <row r="2028" spans="1:61" x14ac:dyDescent="0.3">
      <c r="A2028" t="str">
        <f>"202407C0100"</f>
        <v>202407C0100</v>
      </c>
      <c r="B2028" t="s">
        <v>4153</v>
      </c>
      <c r="C2028">
        <v>20</v>
      </c>
      <c r="D2028" t="s">
        <v>79</v>
      </c>
      <c r="E2028">
        <v>9</v>
      </c>
      <c r="F2028" t="s">
        <v>3733</v>
      </c>
      <c r="G2028">
        <v>2407</v>
      </c>
      <c r="H2028">
        <v>1</v>
      </c>
      <c r="I2028" t="s">
        <v>89</v>
      </c>
      <c r="J2028">
        <v>0</v>
      </c>
      <c r="K2028">
        <v>1</v>
      </c>
      <c r="L2028">
        <v>2</v>
      </c>
      <c r="M2028">
        <v>243</v>
      </c>
      <c r="N2028">
        <v>342</v>
      </c>
      <c r="O2028">
        <v>0</v>
      </c>
      <c r="P2028">
        <v>342</v>
      </c>
      <c r="Q2028">
        <v>66</v>
      </c>
      <c r="R2028">
        <v>31</v>
      </c>
      <c r="S2028">
        <v>19</v>
      </c>
      <c r="T2028">
        <v>2</v>
      </c>
      <c r="U2028">
        <v>27</v>
      </c>
      <c r="V2028">
        <v>7</v>
      </c>
      <c r="W2028">
        <v>0</v>
      </c>
      <c r="X2028">
        <v>0</v>
      </c>
      <c r="Y2028">
        <v>156</v>
      </c>
      <c r="Z2028">
        <v>1</v>
      </c>
      <c r="AA2028">
        <v>0</v>
      </c>
      <c r="AB2028">
        <v>4</v>
      </c>
      <c r="AC2028">
        <v>2</v>
      </c>
      <c r="AD2028">
        <v>0</v>
      </c>
      <c r="AE2028">
        <v>0</v>
      </c>
      <c r="AF2028">
        <v>0</v>
      </c>
      <c r="AK2028">
        <v>17</v>
      </c>
      <c r="AL2028">
        <v>0</v>
      </c>
      <c r="AM2028">
        <v>0</v>
      </c>
      <c r="AN2028">
        <v>0</v>
      </c>
      <c r="AT2028">
        <v>0</v>
      </c>
      <c r="AU2028">
        <v>10</v>
      </c>
      <c r="AV2028">
        <v>342</v>
      </c>
      <c r="AW2028">
        <v>342</v>
      </c>
      <c r="AX2028">
        <v>561</v>
      </c>
      <c r="BA2028">
        <v>1</v>
      </c>
      <c r="BC2028" t="s">
        <v>4154</v>
      </c>
      <c r="BD2028" s="4">
        <v>43283.146527777775</v>
      </c>
      <c r="BE2028" s="4">
        <v>43283.156041666669</v>
      </c>
      <c r="BF2028" s="4">
        <v>43283.156041666669</v>
      </c>
      <c r="BG2028" t="s">
        <v>83</v>
      </c>
      <c r="BH2028" t="s">
        <v>84</v>
      </c>
      <c r="BI2028" t="s">
        <v>85</v>
      </c>
    </row>
    <row r="2029" spans="1:61" x14ac:dyDescent="0.3">
      <c r="A2029" t="str">
        <f>"202408B0100"</f>
        <v>202408B0100</v>
      </c>
      <c r="B2029" t="s">
        <v>4155</v>
      </c>
      <c r="C2029">
        <v>20</v>
      </c>
      <c r="D2029" t="s">
        <v>79</v>
      </c>
      <c r="E2029">
        <v>9</v>
      </c>
      <c r="F2029" t="s">
        <v>3733</v>
      </c>
      <c r="G2029">
        <v>2408</v>
      </c>
      <c r="H2029">
        <v>1</v>
      </c>
      <c r="I2029" t="s">
        <v>81</v>
      </c>
      <c r="J2029">
        <v>0</v>
      </c>
      <c r="K2029">
        <v>1</v>
      </c>
      <c r="L2029">
        <v>2</v>
      </c>
      <c r="M2029">
        <v>244</v>
      </c>
      <c r="N2029">
        <v>459</v>
      </c>
      <c r="O2029">
        <v>4</v>
      </c>
      <c r="P2029">
        <v>459</v>
      </c>
      <c r="Q2029">
        <v>25</v>
      </c>
      <c r="R2029">
        <v>80</v>
      </c>
      <c r="S2029">
        <v>16</v>
      </c>
      <c r="T2029">
        <v>6</v>
      </c>
      <c r="U2029">
        <v>18</v>
      </c>
      <c r="V2029">
        <v>36</v>
      </c>
      <c r="W2029">
        <v>33</v>
      </c>
      <c r="X2029">
        <v>5</v>
      </c>
      <c r="Y2029">
        <v>176</v>
      </c>
      <c r="Z2029">
        <v>11</v>
      </c>
      <c r="AA2029">
        <v>5</v>
      </c>
      <c r="AB2029">
        <v>11</v>
      </c>
      <c r="AC2029">
        <v>0</v>
      </c>
      <c r="AD2029">
        <v>2</v>
      </c>
      <c r="AE2029">
        <v>0</v>
      </c>
      <c r="AF2029">
        <v>0</v>
      </c>
      <c r="AK2029">
        <v>7</v>
      </c>
      <c r="AL2029">
        <v>0</v>
      </c>
      <c r="AM2029">
        <v>0</v>
      </c>
      <c r="AN2029">
        <v>0</v>
      </c>
      <c r="AT2029">
        <v>0</v>
      </c>
      <c r="AU2029">
        <v>28</v>
      </c>
      <c r="AV2029">
        <v>459</v>
      </c>
      <c r="AW2029">
        <v>459</v>
      </c>
      <c r="AX2029">
        <v>681</v>
      </c>
      <c r="BA2029">
        <v>1</v>
      </c>
      <c r="BC2029" t="s">
        <v>4156</v>
      </c>
      <c r="BD2029" s="4">
        <v>43283.272222222222</v>
      </c>
      <c r="BE2029" s="4">
        <v>43283.298483796294</v>
      </c>
      <c r="BF2029" s="4">
        <v>43283.298483796294</v>
      </c>
      <c r="BG2029" t="s">
        <v>83</v>
      </c>
      <c r="BH2029" t="s">
        <v>84</v>
      </c>
      <c r="BI2029" t="s">
        <v>85</v>
      </c>
    </row>
    <row r="2030" spans="1:61" x14ac:dyDescent="0.3">
      <c r="A2030" t="str">
        <f>"202408C0100"</f>
        <v>202408C0100</v>
      </c>
      <c r="B2030" t="s">
        <v>4157</v>
      </c>
      <c r="C2030">
        <v>20</v>
      </c>
      <c r="D2030" t="s">
        <v>79</v>
      </c>
      <c r="E2030">
        <v>9</v>
      </c>
      <c r="F2030" t="s">
        <v>3733</v>
      </c>
      <c r="G2030">
        <v>2408</v>
      </c>
      <c r="H2030">
        <v>1</v>
      </c>
      <c r="I2030" t="s">
        <v>89</v>
      </c>
      <c r="J2030">
        <v>0</v>
      </c>
      <c r="K2030">
        <v>1</v>
      </c>
      <c r="L2030">
        <v>2</v>
      </c>
      <c r="M2030">
        <v>232</v>
      </c>
      <c r="N2030">
        <v>471</v>
      </c>
      <c r="O2030">
        <v>12</v>
      </c>
      <c r="P2030">
        <v>471</v>
      </c>
      <c r="Q2030">
        <v>31</v>
      </c>
      <c r="R2030">
        <v>81</v>
      </c>
      <c r="S2030">
        <v>25</v>
      </c>
      <c r="T2030">
        <v>4</v>
      </c>
      <c r="U2030">
        <v>24</v>
      </c>
      <c r="V2030">
        <v>58</v>
      </c>
      <c r="W2030">
        <v>20</v>
      </c>
      <c r="X2030">
        <v>5</v>
      </c>
      <c r="Y2030">
        <v>169</v>
      </c>
      <c r="Z2030">
        <v>4</v>
      </c>
      <c r="AA2030">
        <v>0</v>
      </c>
      <c r="AB2030">
        <v>17</v>
      </c>
      <c r="AC2030">
        <v>0</v>
      </c>
      <c r="AD2030">
        <v>0</v>
      </c>
      <c r="AE2030">
        <v>0</v>
      </c>
      <c r="AF2030">
        <v>0</v>
      </c>
      <c r="AK2030">
        <v>5</v>
      </c>
      <c r="AL2030">
        <v>4</v>
      </c>
      <c r="AM2030">
        <v>0</v>
      </c>
      <c r="AN2030">
        <v>1</v>
      </c>
      <c r="AT2030">
        <v>0</v>
      </c>
      <c r="AU2030">
        <v>23</v>
      </c>
      <c r="AV2030">
        <v>471</v>
      </c>
      <c r="AW2030">
        <v>471</v>
      </c>
      <c r="AX2030">
        <v>681</v>
      </c>
      <c r="BA2030">
        <v>1</v>
      </c>
      <c r="BC2030" t="s">
        <v>4158</v>
      </c>
      <c r="BD2030" s="4">
        <v>43283.28125</v>
      </c>
      <c r="BE2030" s="4">
        <v>43283.312060185184</v>
      </c>
      <c r="BF2030" s="4">
        <v>43283.312060185184</v>
      </c>
      <c r="BG2030" t="s">
        <v>83</v>
      </c>
      <c r="BH2030" t="s">
        <v>84</v>
      </c>
      <c r="BI2030" t="s">
        <v>85</v>
      </c>
    </row>
    <row r="2031" spans="1:61" x14ac:dyDescent="0.3">
      <c r="A2031" t="str">
        <f>"202409B0100"</f>
        <v>202409B0100</v>
      </c>
      <c r="B2031" t="s">
        <v>4159</v>
      </c>
      <c r="C2031">
        <v>20</v>
      </c>
      <c r="D2031" t="s">
        <v>79</v>
      </c>
      <c r="E2031">
        <v>9</v>
      </c>
      <c r="F2031" t="s">
        <v>3733</v>
      </c>
      <c r="G2031">
        <v>2409</v>
      </c>
      <c r="H2031">
        <v>1</v>
      </c>
      <c r="I2031" t="s">
        <v>81</v>
      </c>
      <c r="J2031">
        <v>0</v>
      </c>
      <c r="K2031">
        <v>1</v>
      </c>
      <c r="L2031">
        <v>2</v>
      </c>
      <c r="M2031">
        <v>160</v>
      </c>
      <c r="N2031">
        <v>388</v>
      </c>
      <c r="O2031">
        <v>0</v>
      </c>
      <c r="P2031">
        <v>390</v>
      </c>
      <c r="Q2031">
        <v>23</v>
      </c>
      <c r="R2031">
        <v>70</v>
      </c>
      <c r="S2031">
        <v>19</v>
      </c>
      <c r="T2031">
        <v>3</v>
      </c>
      <c r="U2031">
        <v>4</v>
      </c>
      <c r="V2031">
        <v>54</v>
      </c>
      <c r="W2031">
        <v>25</v>
      </c>
      <c r="X2031">
        <v>2</v>
      </c>
      <c r="Y2031">
        <v>143</v>
      </c>
      <c r="Z2031">
        <v>5</v>
      </c>
      <c r="AA2031">
        <v>5</v>
      </c>
      <c r="AB2031">
        <v>12</v>
      </c>
      <c r="AC2031">
        <v>1</v>
      </c>
      <c r="AD2031">
        <v>1</v>
      </c>
      <c r="AE2031" t="s">
        <v>100</v>
      </c>
      <c r="AF2031" t="s">
        <v>100</v>
      </c>
      <c r="AK2031" t="s">
        <v>100</v>
      </c>
      <c r="AL2031" t="s">
        <v>100</v>
      </c>
      <c r="AM2031" t="s">
        <v>100</v>
      </c>
      <c r="AN2031" t="s">
        <v>100</v>
      </c>
      <c r="AT2031" t="s">
        <v>100</v>
      </c>
      <c r="AU2031">
        <v>19</v>
      </c>
      <c r="AV2031">
        <v>390</v>
      </c>
      <c r="AW2031">
        <v>386</v>
      </c>
      <c r="AX2031">
        <v>528</v>
      </c>
      <c r="AZ2031" t="s">
        <v>101</v>
      </c>
      <c r="BA2031">
        <v>1</v>
      </c>
      <c r="BC2031" t="s">
        <v>4160</v>
      </c>
      <c r="BD2031" s="4">
        <v>43283.273611111108</v>
      </c>
      <c r="BE2031" s="4">
        <v>43283.301817129628</v>
      </c>
      <c r="BF2031" s="4">
        <v>43283.301817129628</v>
      </c>
      <c r="BG2031" t="s">
        <v>83</v>
      </c>
      <c r="BH2031" t="s">
        <v>84</v>
      </c>
      <c r="BI2031" t="s">
        <v>85</v>
      </c>
    </row>
    <row r="2032" spans="1:61" x14ac:dyDescent="0.3">
      <c r="A2032" t="str">
        <f>"202409C0100"</f>
        <v>202409C0100</v>
      </c>
      <c r="B2032" t="s">
        <v>4161</v>
      </c>
      <c r="C2032">
        <v>20</v>
      </c>
      <c r="D2032" t="s">
        <v>79</v>
      </c>
      <c r="E2032">
        <v>9</v>
      </c>
      <c r="F2032" t="s">
        <v>3733</v>
      </c>
      <c r="G2032">
        <v>2409</v>
      </c>
      <c r="H2032">
        <v>1</v>
      </c>
      <c r="I2032" t="s">
        <v>89</v>
      </c>
      <c r="J2032">
        <v>0</v>
      </c>
      <c r="K2032">
        <v>1</v>
      </c>
      <c r="L2032">
        <v>2</v>
      </c>
      <c r="M2032">
        <v>173</v>
      </c>
      <c r="N2032" t="s">
        <v>100</v>
      </c>
      <c r="O2032">
        <v>0</v>
      </c>
      <c r="P2032">
        <v>377</v>
      </c>
      <c r="Q2032">
        <v>32</v>
      </c>
      <c r="R2032">
        <v>63</v>
      </c>
      <c r="S2032">
        <v>14</v>
      </c>
      <c r="T2032">
        <v>7</v>
      </c>
      <c r="U2032">
        <v>8</v>
      </c>
      <c r="V2032">
        <v>55</v>
      </c>
      <c r="W2032">
        <v>34</v>
      </c>
      <c r="X2032">
        <v>3</v>
      </c>
      <c r="Y2032">
        <v>126</v>
      </c>
      <c r="Z2032">
        <v>4</v>
      </c>
      <c r="AA2032">
        <v>1</v>
      </c>
      <c r="AB2032">
        <v>7</v>
      </c>
      <c r="AC2032">
        <v>0</v>
      </c>
      <c r="AD2032">
        <v>0</v>
      </c>
      <c r="AE2032">
        <v>1</v>
      </c>
      <c r="AF2032">
        <v>0</v>
      </c>
      <c r="AK2032">
        <v>3</v>
      </c>
      <c r="AL2032">
        <v>1</v>
      </c>
      <c r="AM2032">
        <v>1</v>
      </c>
      <c r="AN2032">
        <v>0</v>
      </c>
      <c r="AT2032">
        <v>0</v>
      </c>
      <c r="AU2032">
        <v>17</v>
      </c>
      <c r="AV2032">
        <v>377</v>
      </c>
      <c r="AW2032">
        <v>377</v>
      </c>
      <c r="AX2032">
        <v>528</v>
      </c>
      <c r="BA2032">
        <v>1</v>
      </c>
      <c r="BC2032" t="s">
        <v>4162</v>
      </c>
      <c r="BD2032" s="4">
        <v>43283.281944444447</v>
      </c>
      <c r="BE2032" s="4">
        <v>43283.311990740738</v>
      </c>
      <c r="BF2032" s="4">
        <v>43283.311990740738</v>
      </c>
      <c r="BG2032" t="s">
        <v>83</v>
      </c>
      <c r="BH2032" t="s">
        <v>84</v>
      </c>
      <c r="BI2032" t="s">
        <v>85</v>
      </c>
    </row>
    <row r="2033" spans="1:61" x14ac:dyDescent="0.3">
      <c r="A2033" t="str">
        <f>"202409C0200"</f>
        <v>202409C0200</v>
      </c>
      <c r="B2033" t="s">
        <v>4163</v>
      </c>
      <c r="C2033">
        <v>20</v>
      </c>
      <c r="D2033" t="s">
        <v>79</v>
      </c>
      <c r="E2033">
        <v>9</v>
      </c>
      <c r="F2033" t="s">
        <v>3733</v>
      </c>
      <c r="G2033">
        <v>2409</v>
      </c>
      <c r="H2033">
        <v>2</v>
      </c>
      <c r="I2033" t="s">
        <v>89</v>
      </c>
      <c r="J2033">
        <v>0</v>
      </c>
      <c r="K2033">
        <v>1</v>
      </c>
      <c r="L2033">
        <v>2</v>
      </c>
      <c r="M2033">
        <v>202</v>
      </c>
      <c r="N2033">
        <v>348</v>
      </c>
      <c r="O2033">
        <v>3</v>
      </c>
      <c r="P2033">
        <v>347</v>
      </c>
      <c r="Q2033">
        <v>34</v>
      </c>
      <c r="R2033">
        <v>64</v>
      </c>
      <c r="S2033">
        <v>27</v>
      </c>
      <c r="T2033">
        <v>3</v>
      </c>
      <c r="U2033">
        <v>7</v>
      </c>
      <c r="V2033">
        <v>40</v>
      </c>
      <c r="W2033">
        <v>21</v>
      </c>
      <c r="X2033">
        <v>3</v>
      </c>
      <c r="Y2033">
        <v>121</v>
      </c>
      <c r="Z2033">
        <v>2</v>
      </c>
      <c r="AA2033">
        <v>0</v>
      </c>
      <c r="AB2033">
        <v>4</v>
      </c>
      <c r="AC2033">
        <v>3</v>
      </c>
      <c r="AD2033">
        <v>0</v>
      </c>
      <c r="AE2033">
        <v>0</v>
      </c>
      <c r="AF2033">
        <v>0</v>
      </c>
      <c r="AK2033">
        <v>0</v>
      </c>
      <c r="AL2033">
        <v>0</v>
      </c>
      <c r="AM2033">
        <v>0</v>
      </c>
      <c r="AN2033">
        <v>0</v>
      </c>
      <c r="AT2033">
        <v>0</v>
      </c>
      <c r="AU2033">
        <v>18</v>
      </c>
      <c r="AV2033">
        <v>347</v>
      </c>
      <c r="AW2033">
        <v>347</v>
      </c>
      <c r="AX2033">
        <v>528</v>
      </c>
      <c r="BA2033">
        <v>1</v>
      </c>
      <c r="BC2033" t="s">
        <v>4164</v>
      </c>
      <c r="BD2033" s="4">
        <v>43283.286805555559</v>
      </c>
      <c r="BE2033" s="4">
        <v>43283.315983796296</v>
      </c>
      <c r="BF2033" s="4">
        <v>43283.315983796296</v>
      </c>
      <c r="BG2033" t="s">
        <v>83</v>
      </c>
      <c r="BH2033" t="s">
        <v>84</v>
      </c>
      <c r="BI2033" t="s">
        <v>85</v>
      </c>
    </row>
    <row r="2034" spans="1:61" x14ac:dyDescent="0.3">
      <c r="A2034" t="str">
        <f>"202409S0100"</f>
        <v>202409S0100</v>
      </c>
      <c r="B2034" t="s">
        <v>4165</v>
      </c>
      <c r="C2034">
        <v>20</v>
      </c>
      <c r="D2034" t="s">
        <v>79</v>
      </c>
      <c r="E2034">
        <v>9</v>
      </c>
      <c r="F2034" t="s">
        <v>3733</v>
      </c>
      <c r="G2034">
        <v>2409</v>
      </c>
      <c r="H2034">
        <v>1</v>
      </c>
      <c r="I2034" t="s">
        <v>104</v>
      </c>
      <c r="J2034">
        <v>0</v>
      </c>
      <c r="K2034">
        <v>1</v>
      </c>
      <c r="L2034">
        <v>3</v>
      </c>
      <c r="M2034">
        <v>318</v>
      </c>
      <c r="N2034" t="s">
        <v>100</v>
      </c>
      <c r="O2034">
        <v>0</v>
      </c>
      <c r="P2034" t="s">
        <v>100</v>
      </c>
      <c r="Q2034" t="s">
        <v>315</v>
      </c>
      <c r="R2034" t="s">
        <v>315</v>
      </c>
      <c r="S2034" t="s">
        <v>315</v>
      </c>
      <c r="T2034" t="s">
        <v>315</v>
      </c>
      <c r="U2034" t="s">
        <v>315</v>
      </c>
      <c r="V2034" t="s">
        <v>315</v>
      </c>
      <c r="W2034" t="s">
        <v>315</v>
      </c>
      <c r="X2034" t="s">
        <v>315</v>
      </c>
      <c r="Y2034">
        <v>313</v>
      </c>
      <c r="Z2034">
        <v>6</v>
      </c>
      <c r="AA2034">
        <v>5</v>
      </c>
      <c r="AB2034">
        <v>10</v>
      </c>
      <c r="AC2034">
        <v>0</v>
      </c>
      <c r="AD2034">
        <v>0</v>
      </c>
      <c r="AE2034">
        <v>0</v>
      </c>
      <c r="AF2034">
        <v>0</v>
      </c>
      <c r="AK2034">
        <v>3</v>
      </c>
      <c r="AL2034">
        <v>3</v>
      </c>
      <c r="AM2034">
        <v>0</v>
      </c>
      <c r="AN2034" t="s">
        <v>315</v>
      </c>
      <c r="AT2034">
        <v>0</v>
      </c>
      <c r="AU2034" t="s">
        <v>315</v>
      </c>
      <c r="AV2034" t="s">
        <v>100</v>
      </c>
      <c r="AW2034">
        <v>340</v>
      </c>
      <c r="AX2034">
        <v>0</v>
      </c>
      <c r="AZ2034" t="s">
        <v>101</v>
      </c>
      <c r="BA2034">
        <v>1</v>
      </c>
      <c r="BC2034" t="s">
        <v>4166</v>
      </c>
      <c r="BD2034" s="4">
        <v>43283.282638888886</v>
      </c>
      <c r="BE2034" s="4">
        <v>43283.330277777779</v>
      </c>
      <c r="BF2034" s="4">
        <v>43283.330277777779</v>
      </c>
      <c r="BG2034" t="s">
        <v>83</v>
      </c>
      <c r="BH2034" t="s">
        <v>84</v>
      </c>
      <c r="BI2034" t="s">
        <v>85</v>
      </c>
    </row>
    <row r="2035" spans="1:61" x14ac:dyDescent="0.3">
      <c r="A2035" t="str">
        <f>"202410B0100"</f>
        <v>202410B0100</v>
      </c>
      <c r="B2035" t="s">
        <v>4167</v>
      </c>
      <c r="C2035">
        <v>20</v>
      </c>
      <c r="D2035" t="s">
        <v>79</v>
      </c>
      <c r="E2035">
        <v>9</v>
      </c>
      <c r="F2035" t="s">
        <v>3733</v>
      </c>
      <c r="G2035">
        <v>2410</v>
      </c>
      <c r="H2035">
        <v>1</v>
      </c>
      <c r="I2035" t="s">
        <v>81</v>
      </c>
      <c r="J2035">
        <v>0</v>
      </c>
      <c r="K2035">
        <v>1</v>
      </c>
      <c r="L2035">
        <v>2</v>
      </c>
      <c r="M2035">
        <v>229</v>
      </c>
      <c r="N2035">
        <v>445</v>
      </c>
      <c r="O2035" t="s">
        <v>315</v>
      </c>
      <c r="P2035">
        <v>445</v>
      </c>
      <c r="Q2035">
        <v>31</v>
      </c>
      <c r="R2035">
        <v>85</v>
      </c>
      <c r="S2035">
        <v>12</v>
      </c>
      <c r="T2035">
        <v>11</v>
      </c>
      <c r="U2035">
        <v>12</v>
      </c>
      <c r="V2035">
        <v>44</v>
      </c>
      <c r="W2035">
        <v>22</v>
      </c>
      <c r="X2035">
        <v>5</v>
      </c>
      <c r="Y2035">
        <v>174</v>
      </c>
      <c r="Z2035">
        <v>2</v>
      </c>
      <c r="AA2035">
        <v>14</v>
      </c>
      <c r="AB2035">
        <v>12</v>
      </c>
      <c r="AC2035">
        <v>1</v>
      </c>
      <c r="AD2035">
        <v>0</v>
      </c>
      <c r="AE2035">
        <v>0</v>
      </c>
      <c r="AF2035">
        <v>0</v>
      </c>
      <c r="AK2035">
        <v>1</v>
      </c>
      <c r="AL2035">
        <v>1</v>
      </c>
      <c r="AM2035">
        <v>0</v>
      </c>
      <c r="AN2035">
        <v>1</v>
      </c>
      <c r="AT2035">
        <v>0</v>
      </c>
      <c r="AU2035">
        <v>16</v>
      </c>
      <c r="AV2035">
        <v>445</v>
      </c>
      <c r="AW2035">
        <v>444</v>
      </c>
      <c r="AX2035">
        <v>652</v>
      </c>
      <c r="BA2035">
        <v>1</v>
      </c>
      <c r="BC2035" t="s">
        <v>4168</v>
      </c>
      <c r="BD2035" s="4">
        <v>43283.35</v>
      </c>
      <c r="BE2035" s="4">
        <v>43283.363032407404</v>
      </c>
      <c r="BF2035" s="4">
        <v>43283.363032407404</v>
      </c>
      <c r="BG2035" t="s">
        <v>83</v>
      </c>
      <c r="BH2035" t="s">
        <v>84</v>
      </c>
      <c r="BI2035" t="s">
        <v>85</v>
      </c>
    </row>
    <row r="2036" spans="1:61" x14ac:dyDescent="0.3">
      <c r="A2036" t="str">
        <f>"202410C0100"</f>
        <v>202410C0100</v>
      </c>
      <c r="B2036" t="s">
        <v>4169</v>
      </c>
      <c r="C2036">
        <v>20</v>
      </c>
      <c r="D2036" t="s">
        <v>79</v>
      </c>
      <c r="E2036">
        <v>9</v>
      </c>
      <c r="F2036" t="s">
        <v>3733</v>
      </c>
      <c r="G2036">
        <v>2410</v>
      </c>
      <c r="H2036">
        <v>1</v>
      </c>
      <c r="I2036" t="s">
        <v>89</v>
      </c>
      <c r="J2036">
        <v>0</v>
      </c>
      <c r="K2036">
        <v>1</v>
      </c>
      <c r="L2036">
        <v>2</v>
      </c>
      <c r="M2036">
        <v>239</v>
      </c>
      <c r="N2036">
        <v>435</v>
      </c>
      <c r="O2036">
        <v>3</v>
      </c>
      <c r="P2036">
        <v>435</v>
      </c>
      <c r="Q2036">
        <v>33</v>
      </c>
      <c r="R2036">
        <v>98</v>
      </c>
      <c r="S2036">
        <v>13</v>
      </c>
      <c r="T2036">
        <v>5</v>
      </c>
      <c r="U2036">
        <v>15</v>
      </c>
      <c r="V2036">
        <v>44</v>
      </c>
      <c r="W2036">
        <v>31</v>
      </c>
      <c r="X2036">
        <v>3</v>
      </c>
      <c r="Y2036">
        <v>163</v>
      </c>
      <c r="Z2036">
        <v>5</v>
      </c>
      <c r="AA2036">
        <v>6</v>
      </c>
      <c r="AB2036">
        <v>4</v>
      </c>
      <c r="AC2036">
        <v>2</v>
      </c>
      <c r="AD2036">
        <v>0</v>
      </c>
      <c r="AE2036">
        <v>0</v>
      </c>
      <c r="AF2036">
        <v>0</v>
      </c>
      <c r="AK2036">
        <v>1</v>
      </c>
      <c r="AL2036">
        <v>0</v>
      </c>
      <c r="AM2036">
        <v>0</v>
      </c>
      <c r="AN2036">
        <v>0</v>
      </c>
      <c r="AT2036">
        <v>0</v>
      </c>
      <c r="AU2036">
        <v>12</v>
      </c>
      <c r="AV2036">
        <v>435</v>
      </c>
      <c r="AW2036">
        <v>435</v>
      </c>
      <c r="AX2036">
        <v>652</v>
      </c>
      <c r="BA2036">
        <v>1</v>
      </c>
      <c r="BC2036" t="s">
        <v>4170</v>
      </c>
      <c r="BD2036" s="4">
        <v>43283.351388888892</v>
      </c>
      <c r="BE2036" s="4">
        <v>43283.364641203705</v>
      </c>
      <c r="BF2036" s="4">
        <v>43283.364641203705</v>
      </c>
      <c r="BG2036" t="s">
        <v>83</v>
      </c>
      <c r="BH2036" t="s">
        <v>84</v>
      </c>
      <c r="BI2036" t="s">
        <v>85</v>
      </c>
    </row>
    <row r="2037" spans="1:61" x14ac:dyDescent="0.3">
      <c r="A2037" t="str">
        <f>"202410C0200"</f>
        <v>202410C0200</v>
      </c>
      <c r="B2037" t="s">
        <v>4171</v>
      </c>
      <c r="C2037">
        <v>20</v>
      </c>
      <c r="D2037" t="s">
        <v>79</v>
      </c>
      <c r="E2037">
        <v>9</v>
      </c>
      <c r="F2037" t="s">
        <v>3733</v>
      </c>
      <c r="G2037">
        <v>2410</v>
      </c>
      <c r="H2037">
        <v>2</v>
      </c>
      <c r="I2037" t="s">
        <v>89</v>
      </c>
      <c r="J2037">
        <v>0</v>
      </c>
      <c r="K2037">
        <v>1</v>
      </c>
      <c r="L2037">
        <v>2</v>
      </c>
      <c r="M2037">
        <v>224</v>
      </c>
      <c r="N2037">
        <v>450</v>
      </c>
      <c r="O2037">
        <v>5</v>
      </c>
      <c r="P2037">
        <v>450</v>
      </c>
      <c r="Q2037" t="s">
        <v>315</v>
      </c>
      <c r="R2037" t="s">
        <v>315</v>
      </c>
      <c r="S2037" t="s">
        <v>315</v>
      </c>
      <c r="T2037" t="s">
        <v>315</v>
      </c>
      <c r="U2037">
        <v>75</v>
      </c>
      <c r="V2037">
        <v>27</v>
      </c>
      <c r="W2037" t="s">
        <v>315</v>
      </c>
      <c r="X2037">
        <v>15</v>
      </c>
      <c r="Y2037">
        <v>179</v>
      </c>
      <c r="Z2037">
        <v>14</v>
      </c>
      <c r="AA2037">
        <v>6</v>
      </c>
      <c r="AB2037">
        <v>10</v>
      </c>
      <c r="AC2037">
        <v>3</v>
      </c>
      <c r="AD2037">
        <v>1</v>
      </c>
      <c r="AE2037">
        <v>1</v>
      </c>
      <c r="AF2037">
        <v>0</v>
      </c>
      <c r="AK2037">
        <v>3</v>
      </c>
      <c r="AL2037">
        <v>1</v>
      </c>
      <c r="AM2037">
        <v>1</v>
      </c>
      <c r="AN2037">
        <v>3</v>
      </c>
      <c r="AT2037">
        <v>0</v>
      </c>
      <c r="AU2037">
        <v>16</v>
      </c>
      <c r="AV2037">
        <v>450</v>
      </c>
      <c r="AW2037">
        <v>355</v>
      </c>
      <c r="AX2037">
        <v>652</v>
      </c>
      <c r="AZ2037" t="s">
        <v>101</v>
      </c>
      <c r="BA2037">
        <v>1</v>
      </c>
      <c r="BC2037" t="s">
        <v>4172</v>
      </c>
      <c r="BD2037" s="4">
        <v>43283.349305555559</v>
      </c>
      <c r="BE2037" s="4">
        <v>43283.387349537035</v>
      </c>
      <c r="BF2037" s="4">
        <v>43283.387349537035</v>
      </c>
      <c r="BG2037" t="s">
        <v>83</v>
      </c>
      <c r="BH2037" t="s">
        <v>84</v>
      </c>
      <c r="BI2037" t="s">
        <v>85</v>
      </c>
    </row>
    <row r="2038" spans="1:61" x14ac:dyDescent="0.3">
      <c r="A2038" t="str">
        <f>"202410C0300"</f>
        <v>202410C0300</v>
      </c>
      <c r="B2038" t="s">
        <v>4173</v>
      </c>
      <c r="C2038">
        <v>20</v>
      </c>
      <c r="D2038" t="s">
        <v>79</v>
      </c>
      <c r="E2038">
        <v>9</v>
      </c>
      <c r="F2038" t="s">
        <v>3733</v>
      </c>
      <c r="G2038">
        <v>2410</v>
      </c>
      <c r="H2038">
        <v>3</v>
      </c>
      <c r="I2038" t="s">
        <v>89</v>
      </c>
      <c r="J2038">
        <v>0</v>
      </c>
      <c r="K2038">
        <v>1</v>
      </c>
      <c r="L2038">
        <v>2</v>
      </c>
      <c r="M2038">
        <v>231</v>
      </c>
      <c r="N2038">
        <v>442</v>
      </c>
      <c r="O2038">
        <v>4</v>
      </c>
      <c r="P2038">
        <v>442</v>
      </c>
      <c r="Q2038">
        <v>27</v>
      </c>
      <c r="R2038">
        <v>61</v>
      </c>
      <c r="S2038">
        <v>15</v>
      </c>
      <c r="T2038">
        <v>3</v>
      </c>
      <c r="U2038">
        <v>22</v>
      </c>
      <c r="V2038">
        <v>50</v>
      </c>
      <c r="W2038">
        <v>25</v>
      </c>
      <c r="X2038">
        <v>4</v>
      </c>
      <c r="Y2038">
        <v>171</v>
      </c>
      <c r="Z2038">
        <v>6</v>
      </c>
      <c r="AA2038">
        <v>4</v>
      </c>
      <c r="AB2038">
        <v>19</v>
      </c>
      <c r="AC2038">
        <v>1</v>
      </c>
      <c r="AD2038">
        <v>0</v>
      </c>
      <c r="AE2038">
        <v>1</v>
      </c>
      <c r="AF2038">
        <v>1</v>
      </c>
      <c r="AK2038">
        <v>4</v>
      </c>
      <c r="AL2038">
        <v>1</v>
      </c>
      <c r="AM2038">
        <v>0</v>
      </c>
      <c r="AN2038">
        <v>0</v>
      </c>
      <c r="AT2038">
        <v>0</v>
      </c>
      <c r="AU2038">
        <v>27</v>
      </c>
      <c r="AV2038">
        <v>442</v>
      </c>
      <c r="AW2038">
        <v>442</v>
      </c>
      <c r="AX2038">
        <v>651</v>
      </c>
      <c r="BA2038">
        <v>1</v>
      </c>
      <c r="BC2038" t="s">
        <v>4174</v>
      </c>
      <c r="BD2038" s="4">
        <v>43283.345833333333</v>
      </c>
      <c r="BE2038" s="4">
        <v>43283.361793981479</v>
      </c>
      <c r="BF2038" s="4">
        <v>43283.361793981479</v>
      </c>
      <c r="BG2038" t="s">
        <v>83</v>
      </c>
      <c r="BH2038" t="s">
        <v>84</v>
      </c>
      <c r="BI2038" t="s">
        <v>85</v>
      </c>
    </row>
    <row r="2039" spans="1:61" x14ac:dyDescent="0.3">
      <c r="A2039" t="str">
        <f>"202411B0100"</f>
        <v>202411B0100</v>
      </c>
      <c r="B2039" t="s">
        <v>4175</v>
      </c>
      <c r="C2039">
        <v>20</v>
      </c>
      <c r="D2039" t="s">
        <v>79</v>
      </c>
      <c r="E2039">
        <v>9</v>
      </c>
      <c r="F2039" t="s">
        <v>3733</v>
      </c>
      <c r="G2039">
        <v>2411</v>
      </c>
      <c r="H2039">
        <v>1</v>
      </c>
      <c r="I2039" t="s">
        <v>81</v>
      </c>
      <c r="J2039">
        <v>0</v>
      </c>
      <c r="K2039">
        <v>2</v>
      </c>
      <c r="L2039">
        <v>2</v>
      </c>
      <c r="M2039">
        <v>179</v>
      </c>
      <c r="N2039">
        <v>427</v>
      </c>
      <c r="O2039">
        <v>2</v>
      </c>
      <c r="P2039">
        <v>428</v>
      </c>
      <c r="Q2039">
        <v>34</v>
      </c>
      <c r="R2039">
        <v>58</v>
      </c>
      <c r="S2039">
        <v>22</v>
      </c>
      <c r="T2039">
        <v>0</v>
      </c>
      <c r="U2039">
        <v>28</v>
      </c>
      <c r="V2039">
        <v>27</v>
      </c>
      <c r="W2039">
        <v>27</v>
      </c>
      <c r="X2039">
        <v>4</v>
      </c>
      <c r="Y2039">
        <v>185</v>
      </c>
      <c r="Z2039">
        <v>1</v>
      </c>
      <c r="AA2039">
        <v>0</v>
      </c>
      <c r="AB2039">
        <v>13</v>
      </c>
      <c r="AC2039">
        <v>1</v>
      </c>
      <c r="AD2039">
        <v>0</v>
      </c>
      <c r="AE2039">
        <v>0</v>
      </c>
      <c r="AF2039">
        <v>2</v>
      </c>
      <c r="AK2039">
        <v>5</v>
      </c>
      <c r="AL2039">
        <v>2</v>
      </c>
      <c r="AM2039">
        <v>0</v>
      </c>
      <c r="AN2039">
        <v>1</v>
      </c>
      <c r="AT2039">
        <v>0</v>
      </c>
      <c r="AU2039">
        <v>18</v>
      </c>
      <c r="AV2039">
        <v>428</v>
      </c>
      <c r="AW2039">
        <v>428</v>
      </c>
      <c r="AX2039">
        <v>594</v>
      </c>
      <c r="BA2039">
        <v>1</v>
      </c>
      <c r="BC2039" t="s">
        <v>4176</v>
      </c>
      <c r="BD2039" s="4">
        <v>43283.030543981484</v>
      </c>
      <c r="BE2039" s="4">
        <v>43283.035393518519</v>
      </c>
      <c r="BF2039" s="4">
        <v>43283.035393518519</v>
      </c>
      <c r="BG2039" t="s">
        <v>373</v>
      </c>
      <c r="BH2039" t="s">
        <v>374</v>
      </c>
      <c r="BI2039" t="s">
        <v>85</v>
      </c>
    </row>
    <row r="2040" spans="1:61" x14ac:dyDescent="0.3">
      <c r="A2040" t="str">
        <f>"202411C0100"</f>
        <v>202411C0100</v>
      </c>
      <c r="B2040" t="s">
        <v>4177</v>
      </c>
      <c r="C2040">
        <v>20</v>
      </c>
      <c r="D2040" t="s">
        <v>79</v>
      </c>
      <c r="E2040">
        <v>9</v>
      </c>
      <c r="F2040" t="s">
        <v>3733</v>
      </c>
      <c r="G2040">
        <v>2411</v>
      </c>
      <c r="H2040">
        <v>1</v>
      </c>
      <c r="I2040" t="s">
        <v>89</v>
      </c>
      <c r="J2040">
        <v>0</v>
      </c>
      <c r="K2040">
        <v>2</v>
      </c>
      <c r="L2040">
        <v>2</v>
      </c>
      <c r="M2040">
        <v>176</v>
      </c>
      <c r="N2040">
        <v>438</v>
      </c>
      <c r="O2040">
        <v>6</v>
      </c>
      <c r="P2040">
        <v>439</v>
      </c>
      <c r="Q2040">
        <v>33</v>
      </c>
      <c r="R2040">
        <v>38</v>
      </c>
      <c r="S2040">
        <v>15</v>
      </c>
      <c r="T2040">
        <v>9</v>
      </c>
      <c r="U2040">
        <v>28</v>
      </c>
      <c r="V2040">
        <v>20</v>
      </c>
      <c r="W2040">
        <v>39</v>
      </c>
      <c r="X2040">
        <v>4</v>
      </c>
      <c r="Y2040">
        <v>191</v>
      </c>
      <c r="Z2040">
        <v>5</v>
      </c>
      <c r="AA2040">
        <v>3</v>
      </c>
      <c r="AB2040">
        <v>18</v>
      </c>
      <c r="AC2040">
        <v>5</v>
      </c>
      <c r="AD2040">
        <v>0</v>
      </c>
      <c r="AE2040">
        <v>1</v>
      </c>
      <c r="AF2040">
        <v>0</v>
      </c>
      <c r="AK2040">
        <v>2</v>
      </c>
      <c r="AL2040">
        <v>2</v>
      </c>
      <c r="AM2040">
        <v>1</v>
      </c>
      <c r="AN2040">
        <v>2</v>
      </c>
      <c r="AT2040">
        <v>2</v>
      </c>
      <c r="AU2040">
        <v>21</v>
      </c>
      <c r="AV2040">
        <v>439</v>
      </c>
      <c r="AW2040">
        <v>439</v>
      </c>
      <c r="AX2040">
        <v>593</v>
      </c>
      <c r="BA2040">
        <v>1</v>
      </c>
      <c r="BC2040" t="s">
        <v>4178</v>
      </c>
      <c r="BD2040" s="4">
        <v>43283.044502314813</v>
      </c>
      <c r="BE2040" s="4">
        <v>43283.048113425924</v>
      </c>
      <c r="BF2040" s="4">
        <v>43283.048113425924</v>
      </c>
      <c r="BG2040" t="s">
        <v>373</v>
      </c>
      <c r="BH2040" t="s">
        <v>374</v>
      </c>
      <c r="BI2040" t="s">
        <v>85</v>
      </c>
    </row>
    <row r="2041" spans="1:61" x14ac:dyDescent="0.3">
      <c r="A2041" t="str">
        <f>"202411C0200"</f>
        <v>202411C0200</v>
      </c>
      <c r="B2041" t="s">
        <v>4179</v>
      </c>
      <c r="C2041">
        <v>20</v>
      </c>
      <c r="D2041" t="s">
        <v>79</v>
      </c>
      <c r="E2041">
        <v>9</v>
      </c>
      <c r="F2041" t="s">
        <v>3733</v>
      </c>
      <c r="G2041">
        <v>2411</v>
      </c>
      <c r="H2041">
        <v>2</v>
      </c>
      <c r="I2041" t="s">
        <v>89</v>
      </c>
      <c r="J2041">
        <v>0</v>
      </c>
      <c r="K2041">
        <v>2</v>
      </c>
      <c r="L2041">
        <v>2</v>
      </c>
      <c r="M2041">
        <v>199</v>
      </c>
      <c r="N2041">
        <v>416</v>
      </c>
      <c r="O2041">
        <v>9</v>
      </c>
      <c r="P2041">
        <v>415</v>
      </c>
      <c r="Q2041">
        <v>32</v>
      </c>
      <c r="R2041">
        <v>33</v>
      </c>
      <c r="S2041">
        <v>19</v>
      </c>
      <c r="T2041">
        <v>4</v>
      </c>
      <c r="U2041">
        <v>23</v>
      </c>
      <c r="V2041">
        <v>22</v>
      </c>
      <c r="W2041">
        <v>45</v>
      </c>
      <c r="X2041">
        <v>5</v>
      </c>
      <c r="Y2041">
        <v>178</v>
      </c>
      <c r="Z2041">
        <v>5</v>
      </c>
      <c r="AA2041">
        <v>4</v>
      </c>
      <c r="AB2041">
        <v>16</v>
      </c>
      <c r="AC2041">
        <v>2</v>
      </c>
      <c r="AD2041">
        <v>0</v>
      </c>
      <c r="AE2041">
        <v>0</v>
      </c>
      <c r="AF2041">
        <v>0</v>
      </c>
      <c r="AK2041">
        <v>4</v>
      </c>
      <c r="AL2041">
        <v>2</v>
      </c>
      <c r="AM2041">
        <v>0</v>
      </c>
      <c r="AN2041">
        <v>0</v>
      </c>
      <c r="AT2041">
        <v>0</v>
      </c>
      <c r="AU2041">
        <v>21</v>
      </c>
      <c r="AV2041">
        <v>415</v>
      </c>
      <c r="AW2041">
        <v>415</v>
      </c>
      <c r="AX2041">
        <v>593</v>
      </c>
      <c r="BA2041">
        <v>1</v>
      </c>
      <c r="BC2041" t="s">
        <v>4180</v>
      </c>
      <c r="BD2041" s="4">
        <v>43283.028599537036</v>
      </c>
      <c r="BE2041" s="4">
        <v>43283.033067129632</v>
      </c>
      <c r="BF2041" s="4">
        <v>43283.033067129632</v>
      </c>
      <c r="BG2041" t="s">
        <v>373</v>
      </c>
      <c r="BH2041" t="s">
        <v>374</v>
      </c>
      <c r="BI2041" t="s">
        <v>85</v>
      </c>
    </row>
    <row r="2042" spans="1:61" x14ac:dyDescent="0.3">
      <c r="A2042" t="str">
        <f>"202411C0300"</f>
        <v>202411C0300</v>
      </c>
      <c r="B2042" t="s">
        <v>4181</v>
      </c>
      <c r="C2042">
        <v>20</v>
      </c>
      <c r="D2042" t="s">
        <v>79</v>
      </c>
      <c r="E2042">
        <v>9</v>
      </c>
      <c r="F2042" t="s">
        <v>3733</v>
      </c>
      <c r="G2042">
        <v>2411</v>
      </c>
      <c r="H2042">
        <v>3</v>
      </c>
      <c r="I2042" t="s">
        <v>89</v>
      </c>
      <c r="J2042">
        <v>0</v>
      </c>
      <c r="K2042">
        <v>2</v>
      </c>
      <c r="L2042">
        <v>2</v>
      </c>
      <c r="M2042" t="s">
        <v>100</v>
      </c>
      <c r="N2042" t="s">
        <v>100</v>
      </c>
      <c r="O2042" t="s">
        <v>100</v>
      </c>
      <c r="P2042" t="s">
        <v>100</v>
      </c>
      <c r="Q2042">
        <v>33</v>
      </c>
      <c r="R2042">
        <v>68</v>
      </c>
      <c r="S2042">
        <v>22</v>
      </c>
      <c r="T2042">
        <v>7</v>
      </c>
      <c r="U2042">
        <v>22</v>
      </c>
      <c r="V2042">
        <v>22</v>
      </c>
      <c r="W2042">
        <v>38</v>
      </c>
      <c r="X2042">
        <v>10</v>
      </c>
      <c r="Y2042">
        <v>166</v>
      </c>
      <c r="Z2042">
        <v>2</v>
      </c>
      <c r="AA2042">
        <v>3</v>
      </c>
      <c r="AB2042">
        <v>21</v>
      </c>
      <c r="AC2042" t="s">
        <v>315</v>
      </c>
      <c r="AD2042" t="s">
        <v>100</v>
      </c>
      <c r="AE2042" t="s">
        <v>100</v>
      </c>
      <c r="AF2042">
        <v>1</v>
      </c>
      <c r="AK2042">
        <v>2</v>
      </c>
      <c r="AL2042">
        <v>1</v>
      </c>
      <c r="AM2042" t="s">
        <v>100</v>
      </c>
      <c r="AN2042" t="s">
        <v>100</v>
      </c>
      <c r="AT2042" t="s">
        <v>100</v>
      </c>
      <c r="AU2042" t="s">
        <v>100</v>
      </c>
      <c r="AV2042" t="s">
        <v>100</v>
      </c>
      <c r="AW2042">
        <v>418</v>
      </c>
      <c r="AX2042">
        <v>593</v>
      </c>
      <c r="AZ2042" t="s">
        <v>101</v>
      </c>
      <c r="BA2042">
        <v>1</v>
      </c>
      <c r="BC2042" t="s">
        <v>4182</v>
      </c>
      <c r="BD2042" s="4">
        <v>43282.984039351853</v>
      </c>
      <c r="BE2042" s="4">
        <v>43282.991296296299</v>
      </c>
      <c r="BF2042" s="4">
        <v>43282.991296296299</v>
      </c>
      <c r="BG2042" t="s">
        <v>373</v>
      </c>
      <c r="BH2042" t="s">
        <v>374</v>
      </c>
      <c r="BI2042" t="s">
        <v>85</v>
      </c>
    </row>
    <row r="2043" spans="1:61" x14ac:dyDescent="0.3">
      <c r="A2043" t="str">
        <f>"202417B0100"</f>
        <v>202417B0100</v>
      </c>
      <c r="B2043" t="s">
        <v>4183</v>
      </c>
      <c r="C2043">
        <v>20</v>
      </c>
      <c r="D2043" t="s">
        <v>79</v>
      </c>
      <c r="E2043">
        <v>9</v>
      </c>
      <c r="F2043" t="s">
        <v>3733</v>
      </c>
      <c r="G2043">
        <v>2417</v>
      </c>
      <c r="H2043">
        <v>1</v>
      </c>
      <c r="I2043" t="s">
        <v>81</v>
      </c>
      <c r="J2043">
        <v>0</v>
      </c>
      <c r="K2043">
        <v>2</v>
      </c>
      <c r="L2043">
        <v>2</v>
      </c>
      <c r="M2043">
        <v>323</v>
      </c>
      <c r="N2043">
        <v>285</v>
      </c>
      <c r="O2043">
        <v>0</v>
      </c>
      <c r="P2043">
        <v>285</v>
      </c>
      <c r="Q2043">
        <v>11</v>
      </c>
      <c r="R2043">
        <v>48</v>
      </c>
      <c r="S2043">
        <v>6</v>
      </c>
      <c r="T2043">
        <v>1</v>
      </c>
      <c r="U2043">
        <v>14</v>
      </c>
      <c r="V2043">
        <v>3</v>
      </c>
      <c r="W2043">
        <v>0</v>
      </c>
      <c r="X2043">
        <v>0</v>
      </c>
      <c r="Y2043">
        <v>177</v>
      </c>
      <c r="Z2043">
        <v>4</v>
      </c>
      <c r="AA2043">
        <v>2</v>
      </c>
      <c r="AB2043">
        <v>2</v>
      </c>
      <c r="AC2043">
        <v>0</v>
      </c>
      <c r="AD2043">
        <v>0</v>
      </c>
      <c r="AE2043">
        <v>0</v>
      </c>
      <c r="AF2043">
        <v>0</v>
      </c>
      <c r="AK2043">
        <v>2</v>
      </c>
      <c r="AL2043">
        <v>1</v>
      </c>
      <c r="AM2043">
        <v>0</v>
      </c>
      <c r="AN2043">
        <v>2</v>
      </c>
      <c r="AT2043">
        <v>0</v>
      </c>
      <c r="AU2043">
        <v>12</v>
      </c>
      <c r="AV2043">
        <v>285</v>
      </c>
      <c r="AW2043">
        <v>285</v>
      </c>
      <c r="AX2043">
        <v>586</v>
      </c>
      <c r="BA2043">
        <v>1</v>
      </c>
      <c r="BC2043" t="s">
        <v>4184</v>
      </c>
      <c r="BD2043" s="4">
        <v>43283.252083333333</v>
      </c>
      <c r="BE2043" s="4">
        <v>43283.278020833335</v>
      </c>
      <c r="BF2043" s="4">
        <v>43283.278020833335</v>
      </c>
      <c r="BG2043" t="s">
        <v>83</v>
      </c>
      <c r="BH2043" t="s">
        <v>84</v>
      </c>
      <c r="BI2043" t="s">
        <v>85</v>
      </c>
    </row>
    <row r="2044" spans="1:61" x14ac:dyDescent="0.3">
      <c r="A2044" t="str">
        <f>"202418B0100"</f>
        <v>202418B0100</v>
      </c>
      <c r="B2044" t="s">
        <v>4185</v>
      </c>
      <c r="C2044">
        <v>20</v>
      </c>
      <c r="D2044" t="s">
        <v>79</v>
      </c>
      <c r="E2044">
        <v>9</v>
      </c>
      <c r="F2044" t="s">
        <v>3733</v>
      </c>
      <c r="G2044">
        <v>2418</v>
      </c>
      <c r="H2044">
        <v>1</v>
      </c>
      <c r="I2044" t="s">
        <v>81</v>
      </c>
      <c r="J2044">
        <v>0</v>
      </c>
      <c r="K2044">
        <v>2</v>
      </c>
      <c r="L2044">
        <v>2</v>
      </c>
      <c r="M2044">
        <v>219</v>
      </c>
      <c r="N2044">
        <v>194</v>
      </c>
      <c r="O2044">
        <v>0</v>
      </c>
      <c r="P2044">
        <v>194</v>
      </c>
      <c r="Q2044">
        <v>12</v>
      </c>
      <c r="R2044">
        <v>60</v>
      </c>
      <c r="S2044">
        <v>7</v>
      </c>
      <c r="T2044">
        <v>0</v>
      </c>
      <c r="U2044">
        <v>11</v>
      </c>
      <c r="V2044">
        <v>2</v>
      </c>
      <c r="W2044">
        <v>0</v>
      </c>
      <c r="X2044">
        <v>3</v>
      </c>
      <c r="Y2044">
        <v>80</v>
      </c>
      <c r="Z2044">
        <v>3</v>
      </c>
      <c r="AA2044">
        <v>0</v>
      </c>
      <c r="AB2044">
        <v>1</v>
      </c>
      <c r="AC2044">
        <v>0</v>
      </c>
      <c r="AD2044">
        <v>1</v>
      </c>
      <c r="AE2044">
        <v>0</v>
      </c>
      <c r="AF2044">
        <v>0</v>
      </c>
      <c r="AK2044">
        <v>1</v>
      </c>
      <c r="AL2044">
        <v>2</v>
      </c>
      <c r="AM2044">
        <v>0</v>
      </c>
      <c r="AN2044">
        <v>0</v>
      </c>
      <c r="AT2044">
        <v>0</v>
      </c>
      <c r="AU2044">
        <v>11</v>
      </c>
      <c r="AV2044">
        <v>194</v>
      </c>
      <c r="AW2044">
        <v>194</v>
      </c>
      <c r="AX2044">
        <v>391</v>
      </c>
      <c r="BA2044">
        <v>1</v>
      </c>
      <c r="BC2044" t="s">
        <v>4186</v>
      </c>
      <c r="BD2044" s="4">
        <v>43283.245833333334</v>
      </c>
      <c r="BE2044" s="4">
        <v>43283.269618055558</v>
      </c>
      <c r="BF2044" s="4">
        <v>43283.269618055558</v>
      </c>
      <c r="BG2044" t="s">
        <v>83</v>
      </c>
      <c r="BH2044" t="s">
        <v>84</v>
      </c>
      <c r="BI2044" t="s">
        <v>85</v>
      </c>
    </row>
    <row r="2045" spans="1:61" x14ac:dyDescent="0.3">
      <c r="A2045" t="str">
        <f>"202418C0100"</f>
        <v>202418C0100</v>
      </c>
      <c r="B2045" t="s">
        <v>4187</v>
      </c>
      <c r="C2045">
        <v>20</v>
      </c>
      <c r="D2045" t="s">
        <v>79</v>
      </c>
      <c r="E2045">
        <v>9</v>
      </c>
      <c r="F2045" t="s">
        <v>3733</v>
      </c>
      <c r="G2045">
        <v>2418</v>
      </c>
      <c r="H2045">
        <v>1</v>
      </c>
      <c r="I2045" t="s">
        <v>89</v>
      </c>
      <c r="J2045">
        <v>0</v>
      </c>
      <c r="K2045">
        <v>2</v>
      </c>
      <c r="L2045">
        <v>2</v>
      </c>
      <c r="M2045">
        <v>239</v>
      </c>
      <c r="N2045">
        <v>174</v>
      </c>
      <c r="O2045">
        <v>1</v>
      </c>
      <c r="P2045">
        <v>174</v>
      </c>
      <c r="Q2045">
        <v>4</v>
      </c>
      <c r="R2045">
        <v>76</v>
      </c>
      <c r="S2045">
        <v>4</v>
      </c>
      <c r="T2045">
        <v>2</v>
      </c>
      <c r="U2045">
        <v>7</v>
      </c>
      <c r="V2045">
        <v>1</v>
      </c>
      <c r="W2045">
        <v>2</v>
      </c>
      <c r="X2045">
        <v>2</v>
      </c>
      <c r="Y2045">
        <v>55</v>
      </c>
      <c r="Z2045">
        <v>5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K2045">
        <v>5</v>
      </c>
      <c r="AL2045">
        <v>1</v>
      </c>
      <c r="AM2045">
        <v>0</v>
      </c>
      <c r="AN2045">
        <v>0</v>
      </c>
      <c r="AT2045">
        <v>0</v>
      </c>
      <c r="AU2045">
        <v>10</v>
      </c>
      <c r="AV2045">
        <v>174</v>
      </c>
      <c r="AW2045">
        <v>174</v>
      </c>
      <c r="AX2045">
        <v>391</v>
      </c>
      <c r="BA2045">
        <v>1</v>
      </c>
      <c r="BC2045" t="s">
        <v>4188</v>
      </c>
      <c r="BD2045" s="4">
        <v>43283.247916666667</v>
      </c>
      <c r="BE2045" s="4">
        <v>43283.274039351854</v>
      </c>
      <c r="BF2045" s="4">
        <v>43283.274039351854</v>
      </c>
      <c r="BG2045" t="s">
        <v>83</v>
      </c>
      <c r="BH2045" t="s">
        <v>84</v>
      </c>
      <c r="BI2045" t="s">
        <v>85</v>
      </c>
    </row>
    <row r="2046" spans="1:61" x14ac:dyDescent="0.3">
      <c r="A2046" t="str">
        <f>"200039B0100"</f>
        <v>200039B0100</v>
      </c>
      <c r="B2046" t="s">
        <v>4189</v>
      </c>
      <c r="C2046">
        <v>20</v>
      </c>
      <c r="D2046" t="s">
        <v>79</v>
      </c>
      <c r="E2046">
        <v>10</v>
      </c>
      <c r="F2046" t="s">
        <v>4190</v>
      </c>
      <c r="G2046">
        <v>39</v>
      </c>
      <c r="H2046">
        <v>1</v>
      </c>
      <c r="I2046" t="s">
        <v>81</v>
      </c>
      <c r="J2046">
        <v>0</v>
      </c>
      <c r="K2046">
        <v>2</v>
      </c>
      <c r="L2046">
        <v>2</v>
      </c>
      <c r="M2046">
        <v>248</v>
      </c>
      <c r="N2046" t="s">
        <v>100</v>
      </c>
      <c r="O2046" t="s">
        <v>100</v>
      </c>
      <c r="P2046" t="s">
        <v>100</v>
      </c>
      <c r="Q2046">
        <v>33</v>
      </c>
      <c r="R2046">
        <v>72</v>
      </c>
      <c r="S2046">
        <v>8</v>
      </c>
      <c r="T2046">
        <v>6</v>
      </c>
      <c r="U2046">
        <v>70</v>
      </c>
      <c r="V2046">
        <v>6</v>
      </c>
      <c r="W2046">
        <v>5</v>
      </c>
      <c r="X2046">
        <v>3</v>
      </c>
      <c r="Y2046">
        <v>206</v>
      </c>
      <c r="Z2046">
        <v>6</v>
      </c>
      <c r="AB2046">
        <v>2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4</v>
      </c>
      <c r="AL2046">
        <v>4</v>
      </c>
      <c r="AM2046">
        <v>0</v>
      </c>
      <c r="AN2046">
        <v>4</v>
      </c>
      <c r="AT2046">
        <v>0</v>
      </c>
      <c r="AU2046">
        <v>10</v>
      </c>
      <c r="AV2046">
        <v>439</v>
      </c>
      <c r="AW2046">
        <v>439</v>
      </c>
      <c r="AX2046">
        <v>665</v>
      </c>
      <c r="BA2046">
        <v>1</v>
      </c>
      <c r="BC2046" t="s">
        <v>4191</v>
      </c>
      <c r="BD2046" s="4">
        <v>43283.086875000001</v>
      </c>
      <c r="BE2046" s="4">
        <v>43283.090868055559</v>
      </c>
      <c r="BF2046" s="4">
        <v>43283.090868055559</v>
      </c>
      <c r="BG2046" t="s">
        <v>83</v>
      </c>
      <c r="BH2046" t="s">
        <v>84</v>
      </c>
      <c r="BI2046" t="s">
        <v>85</v>
      </c>
    </row>
    <row r="2047" spans="1:61" x14ac:dyDescent="0.3">
      <c r="A2047" t="str">
        <f>"200040B0100"</f>
        <v>200040B0100</v>
      </c>
      <c r="B2047" t="s">
        <v>4192</v>
      </c>
      <c r="C2047">
        <v>20</v>
      </c>
      <c r="D2047" t="s">
        <v>79</v>
      </c>
      <c r="E2047">
        <v>10</v>
      </c>
      <c r="F2047" t="s">
        <v>4190</v>
      </c>
      <c r="G2047">
        <v>40</v>
      </c>
      <c r="H2047">
        <v>1</v>
      </c>
      <c r="I2047" t="s">
        <v>81</v>
      </c>
      <c r="J2047">
        <v>0</v>
      </c>
      <c r="K2047">
        <v>2</v>
      </c>
      <c r="L2047">
        <v>2</v>
      </c>
      <c r="M2047">
        <v>116</v>
      </c>
      <c r="N2047">
        <v>247</v>
      </c>
      <c r="O2047">
        <v>0</v>
      </c>
      <c r="P2047">
        <v>0</v>
      </c>
      <c r="Q2047">
        <v>17</v>
      </c>
      <c r="R2047">
        <v>15</v>
      </c>
      <c r="S2047">
        <v>1</v>
      </c>
      <c r="T2047">
        <v>3</v>
      </c>
      <c r="U2047">
        <v>36</v>
      </c>
      <c r="V2047">
        <v>1</v>
      </c>
      <c r="W2047">
        <v>2</v>
      </c>
      <c r="X2047">
        <v>0</v>
      </c>
      <c r="Y2047">
        <v>42</v>
      </c>
      <c r="Z2047">
        <v>4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2</v>
      </c>
      <c r="AI2047">
        <v>0</v>
      </c>
      <c r="AJ2047">
        <v>0</v>
      </c>
      <c r="AK2047">
        <v>0</v>
      </c>
      <c r="AL2047">
        <v>1</v>
      </c>
      <c r="AM2047">
        <v>0</v>
      </c>
      <c r="AN2047">
        <v>0</v>
      </c>
      <c r="AT2047">
        <v>0</v>
      </c>
      <c r="AU2047">
        <v>7</v>
      </c>
      <c r="AV2047">
        <v>131</v>
      </c>
      <c r="AW2047">
        <v>131</v>
      </c>
      <c r="AX2047">
        <v>225</v>
      </c>
      <c r="BA2047">
        <v>1</v>
      </c>
      <c r="BC2047" t="s">
        <v>4193</v>
      </c>
      <c r="BD2047" s="4">
        <v>43283.079351851855</v>
      </c>
      <c r="BE2047" s="4">
        <v>43283.081747685188</v>
      </c>
      <c r="BF2047" s="4">
        <v>43283.081747685188</v>
      </c>
      <c r="BG2047" t="s">
        <v>83</v>
      </c>
      <c r="BH2047" t="s">
        <v>84</v>
      </c>
      <c r="BI2047" t="s">
        <v>85</v>
      </c>
    </row>
    <row r="2048" spans="1:61" x14ac:dyDescent="0.3">
      <c r="A2048" t="str">
        <f>"200040E0100"</f>
        <v>200040E0100</v>
      </c>
      <c r="B2048" s="2" t="s">
        <v>4194</v>
      </c>
      <c r="C2048">
        <v>20</v>
      </c>
      <c r="D2048" t="s">
        <v>79</v>
      </c>
      <c r="E2048">
        <v>10</v>
      </c>
      <c r="F2048" t="s">
        <v>4190</v>
      </c>
      <c r="G2048">
        <v>40</v>
      </c>
      <c r="H2048">
        <v>1</v>
      </c>
      <c r="I2048" t="s">
        <v>145</v>
      </c>
      <c r="J2048">
        <v>0</v>
      </c>
      <c r="K2048">
        <v>2</v>
      </c>
      <c r="L2048">
        <v>2</v>
      </c>
      <c r="M2048">
        <v>137</v>
      </c>
      <c r="N2048">
        <v>256</v>
      </c>
      <c r="O2048" t="s">
        <v>100</v>
      </c>
      <c r="P2048">
        <v>119</v>
      </c>
      <c r="Q2048">
        <v>26</v>
      </c>
      <c r="R2048">
        <v>5</v>
      </c>
      <c r="S2048">
        <v>3</v>
      </c>
      <c r="T2048">
        <v>1</v>
      </c>
      <c r="U2048">
        <v>16</v>
      </c>
      <c r="V2048">
        <v>1</v>
      </c>
      <c r="W2048">
        <v>1</v>
      </c>
      <c r="X2048">
        <v>1</v>
      </c>
      <c r="Y2048">
        <v>34</v>
      </c>
      <c r="Z2048">
        <v>5</v>
      </c>
      <c r="AB2048">
        <v>2</v>
      </c>
      <c r="AC2048">
        <v>1</v>
      </c>
      <c r="AD2048">
        <v>0</v>
      </c>
      <c r="AE2048">
        <v>0</v>
      </c>
      <c r="AF2048">
        <v>0</v>
      </c>
      <c r="AG2048">
        <v>1</v>
      </c>
      <c r="AH2048">
        <v>0</v>
      </c>
      <c r="AI2048">
        <v>0</v>
      </c>
      <c r="AJ2048">
        <v>0</v>
      </c>
      <c r="AK2048">
        <v>4</v>
      </c>
      <c r="AL2048">
        <v>3</v>
      </c>
      <c r="AM2048">
        <v>0</v>
      </c>
      <c r="AN2048">
        <v>0</v>
      </c>
      <c r="AT2048" t="s">
        <v>100</v>
      </c>
      <c r="AU2048">
        <v>15</v>
      </c>
      <c r="AV2048" t="s">
        <v>100</v>
      </c>
      <c r="AW2048">
        <v>119</v>
      </c>
      <c r="AX2048">
        <v>234</v>
      </c>
      <c r="AZ2048" t="s">
        <v>101</v>
      </c>
      <c r="BA2048">
        <v>1</v>
      </c>
      <c r="BC2048" t="s">
        <v>4195</v>
      </c>
      <c r="BD2048" s="4">
        <v>43283.087523148148</v>
      </c>
      <c r="BE2048" s="4">
        <v>43283.090324074074</v>
      </c>
      <c r="BF2048" s="4">
        <v>43283.090324074074</v>
      </c>
      <c r="BG2048" t="s">
        <v>83</v>
      </c>
      <c r="BH2048" t="s">
        <v>84</v>
      </c>
      <c r="BI2048" t="s">
        <v>85</v>
      </c>
    </row>
    <row r="2049" spans="1:61" x14ac:dyDescent="0.3">
      <c r="A2049" t="str">
        <f>"200041B0100"</f>
        <v>200041B0100</v>
      </c>
      <c r="B2049" t="s">
        <v>4196</v>
      </c>
      <c r="C2049">
        <v>20</v>
      </c>
      <c r="D2049" t="s">
        <v>79</v>
      </c>
      <c r="E2049">
        <v>10</v>
      </c>
      <c r="F2049" t="s">
        <v>4190</v>
      </c>
      <c r="G2049">
        <v>41</v>
      </c>
      <c r="H2049">
        <v>1</v>
      </c>
      <c r="I2049" t="s">
        <v>81</v>
      </c>
      <c r="J2049">
        <v>0</v>
      </c>
      <c r="K2049">
        <v>2</v>
      </c>
      <c r="L2049">
        <v>2</v>
      </c>
      <c r="M2049">
        <v>272</v>
      </c>
      <c r="N2049">
        <v>344</v>
      </c>
      <c r="O2049">
        <v>0</v>
      </c>
      <c r="P2049" t="s">
        <v>315</v>
      </c>
      <c r="Q2049">
        <v>21</v>
      </c>
      <c r="R2049">
        <v>28</v>
      </c>
      <c r="S2049">
        <v>9</v>
      </c>
      <c r="T2049">
        <v>3</v>
      </c>
      <c r="U2049">
        <v>125</v>
      </c>
      <c r="V2049">
        <v>5</v>
      </c>
      <c r="W2049">
        <v>3</v>
      </c>
      <c r="X2049">
        <v>1</v>
      </c>
      <c r="Y2049">
        <v>92</v>
      </c>
      <c r="Z2049">
        <v>5</v>
      </c>
      <c r="AB2049">
        <v>1</v>
      </c>
      <c r="AC2049">
        <v>0</v>
      </c>
      <c r="AD2049">
        <v>0</v>
      </c>
      <c r="AE2049">
        <v>0</v>
      </c>
      <c r="AF2049">
        <v>0</v>
      </c>
      <c r="AG2049">
        <v>1</v>
      </c>
      <c r="AH2049">
        <v>0</v>
      </c>
      <c r="AI2049">
        <v>0</v>
      </c>
      <c r="AJ2049">
        <v>0</v>
      </c>
      <c r="AK2049">
        <v>6</v>
      </c>
      <c r="AL2049">
        <v>12</v>
      </c>
      <c r="AM2049">
        <v>1</v>
      </c>
      <c r="AN2049">
        <v>2</v>
      </c>
      <c r="AT2049">
        <v>0</v>
      </c>
      <c r="AU2049">
        <v>30</v>
      </c>
      <c r="AV2049">
        <v>344</v>
      </c>
      <c r="AW2049">
        <v>345</v>
      </c>
      <c r="AX2049">
        <v>596</v>
      </c>
      <c r="BA2049">
        <v>1</v>
      </c>
      <c r="BC2049" t="s">
        <v>4197</v>
      </c>
      <c r="BD2049" s="4">
        <v>43283.088148148148</v>
      </c>
      <c r="BE2049" s="4">
        <v>43283.096365740741</v>
      </c>
      <c r="BF2049" s="4">
        <v>43283.096365740741</v>
      </c>
      <c r="BG2049" t="s">
        <v>83</v>
      </c>
      <c r="BH2049" t="s">
        <v>84</v>
      </c>
      <c r="BI2049" t="s">
        <v>85</v>
      </c>
    </row>
    <row r="2050" spans="1:61" x14ac:dyDescent="0.3">
      <c r="A2050" t="str">
        <f>"200454B0100"</f>
        <v>200454B0100</v>
      </c>
      <c r="B2050" t="s">
        <v>4198</v>
      </c>
      <c r="C2050">
        <v>20</v>
      </c>
      <c r="D2050" t="s">
        <v>79</v>
      </c>
      <c r="E2050">
        <v>10</v>
      </c>
      <c r="F2050" t="s">
        <v>4190</v>
      </c>
      <c r="G2050">
        <v>454</v>
      </c>
      <c r="H2050">
        <v>1</v>
      </c>
      <c r="I2050" t="s">
        <v>81</v>
      </c>
      <c r="J2050">
        <v>0</v>
      </c>
      <c r="K2050">
        <v>2</v>
      </c>
      <c r="L2050">
        <v>2</v>
      </c>
      <c r="M2050">
        <v>188</v>
      </c>
      <c r="N2050">
        <v>235</v>
      </c>
      <c r="O2050">
        <v>0</v>
      </c>
      <c r="P2050">
        <v>235</v>
      </c>
      <c r="Q2050">
        <v>12</v>
      </c>
      <c r="R2050">
        <v>35</v>
      </c>
      <c r="S2050">
        <v>4</v>
      </c>
      <c r="T2050">
        <v>3</v>
      </c>
      <c r="U2050">
        <v>40</v>
      </c>
      <c r="V2050">
        <v>6</v>
      </c>
      <c r="W2050">
        <v>0</v>
      </c>
      <c r="X2050">
        <v>4</v>
      </c>
      <c r="Y2050">
        <v>102</v>
      </c>
      <c r="Z2050">
        <v>6</v>
      </c>
      <c r="AB2050">
        <v>1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3</v>
      </c>
      <c r="AL2050">
        <v>4</v>
      </c>
      <c r="AM2050">
        <v>0</v>
      </c>
      <c r="AN2050">
        <v>1</v>
      </c>
      <c r="AT2050">
        <v>0</v>
      </c>
      <c r="AU2050">
        <v>14</v>
      </c>
      <c r="AV2050">
        <v>235</v>
      </c>
      <c r="AW2050">
        <v>235</v>
      </c>
      <c r="AX2050">
        <v>401</v>
      </c>
      <c r="BA2050">
        <v>1</v>
      </c>
      <c r="BC2050" t="s">
        <v>4199</v>
      </c>
      <c r="BD2050" s="4">
        <v>43283.136608796296</v>
      </c>
      <c r="BE2050" s="4">
        <v>43283.140196759261</v>
      </c>
      <c r="BF2050" s="4">
        <v>43283.140196759261</v>
      </c>
      <c r="BG2050" t="s">
        <v>83</v>
      </c>
      <c r="BH2050" t="s">
        <v>84</v>
      </c>
      <c r="BI2050" t="s">
        <v>85</v>
      </c>
    </row>
    <row r="2051" spans="1:61" x14ac:dyDescent="0.3">
      <c r="A2051" t="str">
        <f>"200454C0100"</f>
        <v>200454C0100</v>
      </c>
      <c r="B2051" t="s">
        <v>4200</v>
      </c>
      <c r="C2051">
        <v>20</v>
      </c>
      <c r="D2051" t="s">
        <v>79</v>
      </c>
      <c r="E2051">
        <v>10</v>
      </c>
      <c r="F2051" t="s">
        <v>4190</v>
      </c>
      <c r="G2051">
        <v>454</v>
      </c>
      <c r="H2051">
        <v>1</v>
      </c>
      <c r="I2051" t="s">
        <v>89</v>
      </c>
      <c r="J2051">
        <v>0</v>
      </c>
      <c r="K2051">
        <v>2</v>
      </c>
      <c r="L2051">
        <v>2</v>
      </c>
      <c r="M2051">
        <v>196</v>
      </c>
      <c r="N2051">
        <v>227</v>
      </c>
      <c r="O2051">
        <v>0</v>
      </c>
      <c r="P2051">
        <v>227</v>
      </c>
      <c r="Q2051">
        <v>13</v>
      </c>
      <c r="R2051">
        <v>29</v>
      </c>
      <c r="S2051">
        <v>4</v>
      </c>
      <c r="T2051">
        <v>2</v>
      </c>
      <c r="U2051">
        <v>32</v>
      </c>
      <c r="V2051">
        <v>5</v>
      </c>
      <c r="W2051">
        <v>2</v>
      </c>
      <c r="X2051">
        <v>4</v>
      </c>
      <c r="Y2051">
        <v>92</v>
      </c>
      <c r="Z2051">
        <v>8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8</v>
      </c>
      <c r="AL2051">
        <v>3</v>
      </c>
      <c r="AM2051">
        <v>1</v>
      </c>
      <c r="AN2051">
        <v>3</v>
      </c>
      <c r="AT2051">
        <v>0</v>
      </c>
      <c r="AU2051">
        <v>21</v>
      </c>
      <c r="AV2051">
        <v>227</v>
      </c>
      <c r="AW2051">
        <v>227</v>
      </c>
      <c r="AX2051">
        <v>401</v>
      </c>
      <c r="BA2051">
        <v>1</v>
      </c>
      <c r="BC2051" t="s">
        <v>4201</v>
      </c>
      <c r="BD2051" s="4">
        <v>43283.137442129628</v>
      </c>
      <c r="BE2051" s="4">
        <v>43283.140497685185</v>
      </c>
      <c r="BF2051" s="4">
        <v>43283.140497685185</v>
      </c>
      <c r="BG2051" t="s">
        <v>83</v>
      </c>
      <c r="BH2051" t="s">
        <v>84</v>
      </c>
      <c r="BI2051" t="s">
        <v>85</v>
      </c>
    </row>
    <row r="2052" spans="1:61" x14ac:dyDescent="0.3">
      <c r="A2052" t="str">
        <f>"200454E0100"</f>
        <v>200454E0100</v>
      </c>
      <c r="B2052" s="2" t="s">
        <v>4202</v>
      </c>
      <c r="C2052">
        <v>20</v>
      </c>
      <c r="D2052" t="s">
        <v>79</v>
      </c>
      <c r="E2052">
        <v>10</v>
      </c>
      <c r="F2052" t="s">
        <v>4190</v>
      </c>
      <c r="G2052">
        <v>454</v>
      </c>
      <c r="H2052">
        <v>1</v>
      </c>
      <c r="I2052" t="s">
        <v>145</v>
      </c>
      <c r="J2052">
        <v>0</v>
      </c>
      <c r="K2052">
        <v>2</v>
      </c>
      <c r="L2052">
        <v>2</v>
      </c>
      <c r="M2052">
        <v>209</v>
      </c>
      <c r="N2052">
        <v>326</v>
      </c>
      <c r="O2052">
        <v>0</v>
      </c>
      <c r="P2052">
        <v>326</v>
      </c>
      <c r="Q2052">
        <v>5</v>
      </c>
      <c r="R2052">
        <v>6</v>
      </c>
      <c r="S2052">
        <v>1</v>
      </c>
      <c r="T2052">
        <v>2</v>
      </c>
      <c r="U2052">
        <v>53</v>
      </c>
      <c r="V2052">
        <v>2</v>
      </c>
      <c r="W2052">
        <v>34</v>
      </c>
      <c r="X2052">
        <v>3</v>
      </c>
      <c r="Y2052">
        <v>158</v>
      </c>
      <c r="Z2052">
        <v>5</v>
      </c>
      <c r="AB2052">
        <v>3</v>
      </c>
      <c r="AC2052" t="s">
        <v>100</v>
      </c>
      <c r="AD2052" t="s">
        <v>100</v>
      </c>
      <c r="AE2052" t="s">
        <v>100</v>
      </c>
      <c r="AF2052" t="s">
        <v>100</v>
      </c>
      <c r="AG2052" t="s">
        <v>100</v>
      </c>
      <c r="AH2052" t="s">
        <v>100</v>
      </c>
      <c r="AI2052" t="s">
        <v>100</v>
      </c>
      <c r="AJ2052" t="s">
        <v>100</v>
      </c>
      <c r="AK2052">
        <v>10</v>
      </c>
      <c r="AL2052">
        <v>28</v>
      </c>
      <c r="AM2052">
        <v>1</v>
      </c>
      <c r="AN2052" t="s">
        <v>100</v>
      </c>
      <c r="AT2052" t="s">
        <v>100</v>
      </c>
      <c r="AU2052">
        <v>15</v>
      </c>
      <c r="AV2052">
        <v>326</v>
      </c>
      <c r="AW2052">
        <v>326</v>
      </c>
      <c r="AX2052">
        <v>513</v>
      </c>
      <c r="AZ2052" t="s">
        <v>101</v>
      </c>
      <c r="BA2052">
        <v>1</v>
      </c>
      <c r="BC2052" t="s">
        <v>4203</v>
      </c>
      <c r="BD2052" s="4">
        <v>43283.139189814814</v>
      </c>
      <c r="BE2052" s="4">
        <v>43283.142824074072</v>
      </c>
      <c r="BF2052" s="4">
        <v>43283.142824074072</v>
      </c>
      <c r="BG2052" t="s">
        <v>83</v>
      </c>
      <c r="BH2052" t="s">
        <v>84</v>
      </c>
      <c r="BI2052" t="s">
        <v>85</v>
      </c>
    </row>
    <row r="2053" spans="1:61" x14ac:dyDescent="0.3">
      <c r="A2053" t="str">
        <f>"200455B0100"</f>
        <v>200455B0100</v>
      </c>
      <c r="B2053" t="s">
        <v>4204</v>
      </c>
      <c r="C2053">
        <v>20</v>
      </c>
      <c r="D2053" t="s">
        <v>79</v>
      </c>
      <c r="E2053">
        <v>10</v>
      </c>
      <c r="F2053" t="s">
        <v>4190</v>
      </c>
      <c r="G2053">
        <v>455</v>
      </c>
      <c r="H2053">
        <v>1</v>
      </c>
      <c r="I2053" t="s">
        <v>81</v>
      </c>
      <c r="J2053">
        <v>0</v>
      </c>
      <c r="K2053">
        <v>2</v>
      </c>
      <c r="L2053">
        <v>2</v>
      </c>
      <c r="M2053">
        <v>162</v>
      </c>
      <c r="N2053">
        <v>253</v>
      </c>
      <c r="O2053">
        <v>0</v>
      </c>
      <c r="P2053">
        <v>253</v>
      </c>
      <c r="Q2053">
        <v>105</v>
      </c>
      <c r="R2053">
        <v>9</v>
      </c>
      <c r="S2053">
        <v>13</v>
      </c>
      <c r="T2053">
        <v>0</v>
      </c>
      <c r="U2053">
        <v>27</v>
      </c>
      <c r="V2053">
        <v>4</v>
      </c>
      <c r="W2053">
        <v>2</v>
      </c>
      <c r="X2053">
        <v>2</v>
      </c>
      <c r="Y2053">
        <v>82</v>
      </c>
      <c r="Z2053">
        <v>0</v>
      </c>
      <c r="AB2053">
        <v>2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1</v>
      </c>
      <c r="AM2053">
        <v>0</v>
      </c>
      <c r="AN2053">
        <v>0</v>
      </c>
      <c r="AT2053">
        <v>0</v>
      </c>
      <c r="AU2053">
        <v>6</v>
      </c>
      <c r="AV2053">
        <v>253</v>
      </c>
      <c r="AW2053">
        <v>253</v>
      </c>
      <c r="AX2053">
        <v>393</v>
      </c>
      <c r="BA2053">
        <v>1</v>
      </c>
      <c r="BC2053" t="s">
        <v>4205</v>
      </c>
      <c r="BD2053" s="4">
        <v>43283.138437499998</v>
      </c>
      <c r="BE2053" s="4">
        <v>43283.14266203704</v>
      </c>
      <c r="BF2053" s="4">
        <v>43283.14266203704</v>
      </c>
      <c r="BG2053" t="s">
        <v>83</v>
      </c>
      <c r="BH2053" t="s">
        <v>84</v>
      </c>
      <c r="BI2053" t="s">
        <v>85</v>
      </c>
    </row>
    <row r="2054" spans="1:61" x14ac:dyDescent="0.3">
      <c r="A2054" t="str">
        <f>"201117B0100"</f>
        <v>201117B0100</v>
      </c>
      <c r="B2054" t="s">
        <v>4206</v>
      </c>
      <c r="C2054">
        <v>20</v>
      </c>
      <c r="D2054" t="s">
        <v>79</v>
      </c>
      <c r="E2054">
        <v>10</v>
      </c>
      <c r="F2054" t="s">
        <v>4190</v>
      </c>
      <c r="G2054">
        <v>1117</v>
      </c>
      <c r="H2054">
        <v>1</v>
      </c>
      <c r="I2054" t="s">
        <v>81</v>
      </c>
      <c r="J2054">
        <v>0</v>
      </c>
      <c r="K2054">
        <v>2</v>
      </c>
      <c r="L2054">
        <v>2</v>
      </c>
      <c r="M2054">
        <v>215</v>
      </c>
      <c r="N2054">
        <v>299</v>
      </c>
      <c r="O2054">
        <v>0</v>
      </c>
      <c r="P2054">
        <v>299</v>
      </c>
      <c r="Q2054">
        <v>38</v>
      </c>
      <c r="R2054">
        <v>64</v>
      </c>
      <c r="S2054">
        <v>8</v>
      </c>
      <c r="T2054">
        <v>2</v>
      </c>
      <c r="U2054">
        <v>36</v>
      </c>
      <c r="V2054">
        <v>5</v>
      </c>
      <c r="W2054">
        <v>1</v>
      </c>
      <c r="X2054">
        <v>1</v>
      </c>
      <c r="Y2054">
        <v>105</v>
      </c>
      <c r="Z2054">
        <v>5</v>
      </c>
      <c r="AB2054">
        <v>3</v>
      </c>
      <c r="AC2054">
        <v>2</v>
      </c>
      <c r="AD2054">
        <v>0</v>
      </c>
      <c r="AE2054">
        <v>1</v>
      </c>
      <c r="AF2054">
        <v>0</v>
      </c>
      <c r="AG2054">
        <v>0</v>
      </c>
      <c r="AH2054">
        <v>1</v>
      </c>
      <c r="AI2054">
        <v>0</v>
      </c>
      <c r="AJ2054">
        <v>0</v>
      </c>
      <c r="AK2054">
        <v>1</v>
      </c>
      <c r="AL2054">
        <v>2</v>
      </c>
      <c r="AM2054">
        <v>1</v>
      </c>
      <c r="AN2054">
        <v>3</v>
      </c>
      <c r="AT2054">
        <v>0</v>
      </c>
      <c r="AU2054">
        <v>20</v>
      </c>
      <c r="AV2054">
        <v>299</v>
      </c>
      <c r="AW2054">
        <v>299</v>
      </c>
      <c r="AX2054">
        <v>492</v>
      </c>
      <c r="BA2054">
        <v>1</v>
      </c>
      <c r="BC2054" s="2" t="s">
        <v>4207</v>
      </c>
      <c r="BD2054" s="4">
        <v>43283.183645833335</v>
      </c>
      <c r="BE2054" s="4">
        <v>43283.200370370374</v>
      </c>
      <c r="BF2054" s="4">
        <v>43283.200370370374</v>
      </c>
      <c r="BG2054" t="s">
        <v>83</v>
      </c>
      <c r="BH2054" t="s">
        <v>84</v>
      </c>
      <c r="BI2054" t="s">
        <v>85</v>
      </c>
    </row>
    <row r="2055" spans="1:61" x14ac:dyDescent="0.3">
      <c r="A2055" t="str">
        <f>"201117E0100"</f>
        <v>201117E0100</v>
      </c>
      <c r="B2055" s="2" t="s">
        <v>4208</v>
      </c>
      <c r="C2055">
        <v>20</v>
      </c>
      <c r="D2055" t="s">
        <v>79</v>
      </c>
      <c r="E2055">
        <v>10</v>
      </c>
      <c r="F2055" t="s">
        <v>4190</v>
      </c>
      <c r="G2055">
        <v>1117</v>
      </c>
      <c r="H2055">
        <v>1</v>
      </c>
      <c r="I2055" t="s">
        <v>145</v>
      </c>
      <c r="J2055">
        <v>0</v>
      </c>
      <c r="K2055">
        <v>2</v>
      </c>
      <c r="L2055">
        <v>2</v>
      </c>
      <c r="M2055">
        <v>285</v>
      </c>
      <c r="N2055">
        <v>232</v>
      </c>
      <c r="O2055">
        <v>2</v>
      </c>
      <c r="P2055">
        <v>232</v>
      </c>
      <c r="Q2055">
        <v>22</v>
      </c>
      <c r="R2055">
        <v>19</v>
      </c>
      <c r="S2055">
        <v>2</v>
      </c>
      <c r="T2055">
        <v>0</v>
      </c>
      <c r="U2055">
        <v>28</v>
      </c>
      <c r="V2055">
        <v>6</v>
      </c>
      <c r="W2055">
        <v>1</v>
      </c>
      <c r="X2055">
        <v>2</v>
      </c>
      <c r="Y2055">
        <v>126</v>
      </c>
      <c r="Z2055">
        <v>3</v>
      </c>
      <c r="AB2055">
        <v>0</v>
      </c>
      <c r="AC2055">
        <v>1</v>
      </c>
      <c r="AD2055">
        <v>0</v>
      </c>
      <c r="AE2055">
        <v>0</v>
      </c>
      <c r="AF2055">
        <v>0</v>
      </c>
      <c r="AG2055">
        <v>1</v>
      </c>
      <c r="AH2055">
        <v>0</v>
      </c>
      <c r="AI2055">
        <v>0</v>
      </c>
      <c r="AJ2055">
        <v>0</v>
      </c>
      <c r="AK2055">
        <v>2</v>
      </c>
      <c r="AL2055">
        <v>3</v>
      </c>
      <c r="AM2055">
        <v>0</v>
      </c>
      <c r="AN2055">
        <v>2</v>
      </c>
      <c r="AT2055">
        <v>0</v>
      </c>
      <c r="AU2055">
        <v>14</v>
      </c>
      <c r="AV2055">
        <v>232</v>
      </c>
      <c r="AW2055">
        <v>232</v>
      </c>
      <c r="AX2055">
        <v>495</v>
      </c>
      <c r="BA2055">
        <v>1</v>
      </c>
      <c r="BC2055" t="s">
        <v>4209</v>
      </c>
      <c r="BD2055" s="4">
        <v>43283.182766203703</v>
      </c>
      <c r="BE2055" s="4">
        <v>43283.199143518519</v>
      </c>
      <c r="BF2055" s="4">
        <v>43283.199143518519</v>
      </c>
      <c r="BG2055" t="s">
        <v>83</v>
      </c>
      <c r="BH2055" t="s">
        <v>84</v>
      </c>
      <c r="BI2055" t="s">
        <v>85</v>
      </c>
    </row>
    <row r="2056" spans="1:61" x14ac:dyDescent="0.3">
      <c r="A2056" t="str">
        <f>"201118B0100"</f>
        <v>201118B0100</v>
      </c>
      <c r="B2056" t="s">
        <v>4210</v>
      </c>
      <c r="C2056">
        <v>20</v>
      </c>
      <c r="D2056" t="s">
        <v>79</v>
      </c>
      <c r="E2056">
        <v>10</v>
      </c>
      <c r="F2056" t="s">
        <v>4190</v>
      </c>
      <c r="G2056">
        <v>1118</v>
      </c>
      <c r="H2056">
        <v>1</v>
      </c>
      <c r="I2056" t="s">
        <v>81</v>
      </c>
      <c r="J2056">
        <v>0</v>
      </c>
      <c r="K2056">
        <v>2</v>
      </c>
      <c r="L2056">
        <v>2</v>
      </c>
      <c r="M2056">
        <v>244</v>
      </c>
      <c r="N2056">
        <v>206</v>
      </c>
      <c r="O2056">
        <v>2</v>
      </c>
      <c r="P2056">
        <v>206</v>
      </c>
      <c r="Q2056">
        <v>17</v>
      </c>
      <c r="R2056">
        <v>17</v>
      </c>
      <c r="S2056">
        <v>2</v>
      </c>
      <c r="T2056">
        <v>3</v>
      </c>
      <c r="U2056">
        <v>21</v>
      </c>
      <c r="V2056">
        <v>5</v>
      </c>
      <c r="W2056">
        <v>5</v>
      </c>
      <c r="X2056">
        <v>6</v>
      </c>
      <c r="Y2056">
        <v>117</v>
      </c>
      <c r="Z2056">
        <v>2</v>
      </c>
      <c r="AB2056">
        <v>1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1</v>
      </c>
      <c r="AT2056">
        <v>0</v>
      </c>
      <c r="AU2056">
        <v>9</v>
      </c>
      <c r="AV2056">
        <v>206</v>
      </c>
      <c r="AW2056">
        <v>206</v>
      </c>
      <c r="AX2056">
        <v>428</v>
      </c>
      <c r="BA2056">
        <v>1</v>
      </c>
      <c r="BC2056" t="s">
        <v>4211</v>
      </c>
      <c r="BD2056" s="4">
        <v>43283.212407407409</v>
      </c>
      <c r="BE2056" s="4">
        <v>43283.231585648151</v>
      </c>
      <c r="BF2056" s="4">
        <v>43283.231585648151</v>
      </c>
      <c r="BG2056" t="s">
        <v>83</v>
      </c>
      <c r="BH2056" t="s">
        <v>84</v>
      </c>
      <c r="BI2056" t="s">
        <v>85</v>
      </c>
    </row>
    <row r="2057" spans="1:61" x14ac:dyDescent="0.3">
      <c r="A2057" t="str">
        <f>"201118C0100"</f>
        <v>201118C0100</v>
      </c>
      <c r="B2057" t="s">
        <v>4212</v>
      </c>
      <c r="C2057">
        <v>20</v>
      </c>
      <c r="D2057" t="s">
        <v>79</v>
      </c>
      <c r="E2057">
        <v>10</v>
      </c>
      <c r="F2057" t="s">
        <v>4190</v>
      </c>
      <c r="G2057">
        <v>1118</v>
      </c>
      <c r="H2057">
        <v>1</v>
      </c>
      <c r="I2057" t="s">
        <v>89</v>
      </c>
      <c r="J2057">
        <v>0</v>
      </c>
      <c r="K2057">
        <v>2</v>
      </c>
      <c r="L2057">
        <v>2</v>
      </c>
      <c r="M2057">
        <v>238</v>
      </c>
      <c r="N2057">
        <v>211</v>
      </c>
      <c r="O2057">
        <v>0</v>
      </c>
      <c r="P2057">
        <v>211</v>
      </c>
      <c r="Q2057">
        <v>13</v>
      </c>
      <c r="R2057">
        <v>16</v>
      </c>
      <c r="S2057">
        <v>6</v>
      </c>
      <c r="T2057">
        <v>4</v>
      </c>
      <c r="U2057">
        <v>30</v>
      </c>
      <c r="V2057">
        <v>2</v>
      </c>
      <c r="W2057">
        <v>2</v>
      </c>
      <c r="X2057">
        <v>12</v>
      </c>
      <c r="Y2057">
        <v>118</v>
      </c>
      <c r="Z2057">
        <v>0</v>
      </c>
      <c r="AB2057">
        <v>2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1</v>
      </c>
      <c r="AL2057">
        <v>1</v>
      </c>
      <c r="AM2057">
        <v>0</v>
      </c>
      <c r="AN2057">
        <v>0</v>
      </c>
      <c r="AT2057">
        <v>0</v>
      </c>
      <c r="AU2057">
        <v>4</v>
      </c>
      <c r="AV2057">
        <v>211</v>
      </c>
      <c r="AW2057">
        <v>211</v>
      </c>
      <c r="AX2057">
        <v>427</v>
      </c>
      <c r="BA2057">
        <v>1</v>
      </c>
      <c r="BC2057" t="s">
        <v>4213</v>
      </c>
      <c r="BD2057" s="4">
        <v>43283.213946759257</v>
      </c>
      <c r="BE2057" s="4">
        <v>43283.23400462963</v>
      </c>
      <c r="BF2057" s="4">
        <v>43283.23400462963</v>
      </c>
      <c r="BG2057" t="s">
        <v>83</v>
      </c>
      <c r="BH2057" t="s">
        <v>84</v>
      </c>
      <c r="BI2057" t="s">
        <v>85</v>
      </c>
    </row>
    <row r="2058" spans="1:61" x14ac:dyDescent="0.3">
      <c r="A2058" t="str">
        <f>"201119B0100"</f>
        <v>201119B0100</v>
      </c>
      <c r="B2058" t="s">
        <v>4214</v>
      </c>
      <c r="C2058">
        <v>20</v>
      </c>
      <c r="D2058" t="s">
        <v>79</v>
      </c>
      <c r="E2058">
        <v>10</v>
      </c>
      <c r="F2058" t="s">
        <v>4190</v>
      </c>
      <c r="G2058">
        <v>1119</v>
      </c>
      <c r="H2058">
        <v>1</v>
      </c>
      <c r="I2058" t="s">
        <v>81</v>
      </c>
      <c r="J2058">
        <v>0</v>
      </c>
      <c r="K2058">
        <v>1</v>
      </c>
      <c r="L2058">
        <v>2</v>
      </c>
      <c r="M2058" t="s">
        <v>100</v>
      </c>
      <c r="N2058" t="s">
        <v>100</v>
      </c>
      <c r="O2058" t="s">
        <v>100</v>
      </c>
      <c r="P2058" t="s">
        <v>100</v>
      </c>
      <c r="Q2058" t="s">
        <v>100</v>
      </c>
      <c r="R2058" t="s">
        <v>100</v>
      </c>
      <c r="S2058" t="s">
        <v>100</v>
      </c>
      <c r="T2058" t="s">
        <v>100</v>
      </c>
      <c r="U2058" t="s">
        <v>100</v>
      </c>
      <c r="V2058" t="s">
        <v>100</v>
      </c>
      <c r="W2058" t="s">
        <v>100</v>
      </c>
      <c r="X2058" t="s">
        <v>100</v>
      </c>
      <c r="Y2058" t="s">
        <v>100</v>
      </c>
      <c r="Z2058" t="s">
        <v>100</v>
      </c>
      <c r="AB2058" t="s">
        <v>100</v>
      </c>
      <c r="AC2058" t="s">
        <v>100</v>
      </c>
      <c r="AD2058" t="s">
        <v>100</v>
      </c>
      <c r="AE2058" t="s">
        <v>100</v>
      </c>
      <c r="AF2058" t="s">
        <v>100</v>
      </c>
      <c r="AG2058" t="s">
        <v>100</v>
      </c>
      <c r="AH2058" t="s">
        <v>100</v>
      </c>
      <c r="AI2058" t="s">
        <v>100</v>
      </c>
      <c r="AJ2058" t="s">
        <v>100</v>
      </c>
      <c r="AK2058" t="s">
        <v>100</v>
      </c>
      <c r="AL2058" t="s">
        <v>100</v>
      </c>
      <c r="AM2058" t="s">
        <v>100</v>
      </c>
      <c r="AN2058" t="s">
        <v>100</v>
      </c>
      <c r="AT2058" t="s">
        <v>100</v>
      </c>
      <c r="AU2058" t="s">
        <v>100</v>
      </c>
      <c r="AX2058">
        <v>565</v>
      </c>
      <c r="AZ2058" t="s">
        <v>794</v>
      </c>
      <c r="BA2058">
        <v>0</v>
      </c>
      <c r="BC2058" t="s">
        <v>4215</v>
      </c>
      <c r="BD2058" s="4">
        <v>43283.726539351854</v>
      </c>
      <c r="BE2058" s="4">
        <v>43283.733946759261</v>
      </c>
      <c r="BF2058" s="4">
        <v>43283.733946759261</v>
      </c>
      <c r="BG2058" t="s">
        <v>83</v>
      </c>
      <c r="BH2058" t="s">
        <v>84</v>
      </c>
      <c r="BI2058" t="s">
        <v>85</v>
      </c>
    </row>
    <row r="2059" spans="1:61" x14ac:dyDescent="0.3">
      <c r="A2059" t="str">
        <f>"201119C0100"</f>
        <v>201119C0100</v>
      </c>
      <c r="B2059" t="s">
        <v>4216</v>
      </c>
      <c r="C2059">
        <v>20</v>
      </c>
      <c r="D2059" t="s">
        <v>79</v>
      </c>
      <c r="E2059">
        <v>10</v>
      </c>
      <c r="F2059" t="s">
        <v>4190</v>
      </c>
      <c r="G2059">
        <v>1119</v>
      </c>
      <c r="H2059">
        <v>1</v>
      </c>
      <c r="I2059" t="s">
        <v>89</v>
      </c>
      <c r="J2059">
        <v>0</v>
      </c>
      <c r="K2059">
        <v>1</v>
      </c>
      <c r="L2059">
        <v>2</v>
      </c>
      <c r="M2059">
        <v>587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T2059">
        <v>0</v>
      </c>
      <c r="AU2059">
        <v>0</v>
      </c>
      <c r="AV2059">
        <v>0</v>
      </c>
      <c r="AW2059">
        <v>0</v>
      </c>
      <c r="AX2059">
        <v>565</v>
      </c>
      <c r="BA2059">
        <v>1</v>
      </c>
      <c r="BC2059" t="s">
        <v>4217</v>
      </c>
      <c r="BD2059" s="4">
        <v>43283.725011574075</v>
      </c>
      <c r="BE2059" s="4">
        <v>43283.727800925924</v>
      </c>
      <c r="BF2059" s="4">
        <v>43283.727800925924</v>
      </c>
      <c r="BG2059" t="s">
        <v>83</v>
      </c>
      <c r="BH2059" t="s">
        <v>84</v>
      </c>
      <c r="BI2059" t="s">
        <v>85</v>
      </c>
    </row>
    <row r="2060" spans="1:61" x14ac:dyDescent="0.3">
      <c r="A2060" t="str">
        <f>"201119C0200"</f>
        <v>201119C0200</v>
      </c>
      <c r="B2060" t="s">
        <v>4218</v>
      </c>
      <c r="C2060">
        <v>20</v>
      </c>
      <c r="D2060" t="s">
        <v>79</v>
      </c>
      <c r="E2060">
        <v>10</v>
      </c>
      <c r="F2060" t="s">
        <v>4190</v>
      </c>
      <c r="G2060">
        <v>1119</v>
      </c>
      <c r="H2060">
        <v>2</v>
      </c>
      <c r="I2060" t="s">
        <v>89</v>
      </c>
      <c r="J2060">
        <v>0</v>
      </c>
      <c r="K2060">
        <v>1</v>
      </c>
      <c r="L2060">
        <v>2</v>
      </c>
      <c r="AX2060">
        <v>565</v>
      </c>
      <c r="AZ2060" t="s">
        <v>156</v>
      </c>
      <c r="BA2060">
        <v>0</v>
      </c>
      <c r="BC2060" t="s">
        <v>4219</v>
      </c>
      <c r="BD2060" s="4">
        <v>43283.822222222225</v>
      </c>
      <c r="BE2060" s="4">
        <v>43283.830254629633</v>
      </c>
      <c r="BF2060" s="4">
        <v>43283.830254629633</v>
      </c>
      <c r="BG2060" t="s">
        <v>83</v>
      </c>
      <c r="BH2060" t="s">
        <v>84</v>
      </c>
      <c r="BI2060" t="s">
        <v>85</v>
      </c>
    </row>
    <row r="2061" spans="1:61" x14ac:dyDescent="0.3">
      <c r="A2061" t="str">
        <f>"201119C0300"</f>
        <v>201119C0300</v>
      </c>
      <c r="B2061" t="s">
        <v>4220</v>
      </c>
      <c r="C2061">
        <v>20</v>
      </c>
      <c r="D2061" t="s">
        <v>79</v>
      </c>
      <c r="E2061">
        <v>10</v>
      </c>
      <c r="F2061" t="s">
        <v>4190</v>
      </c>
      <c r="G2061">
        <v>1119</v>
      </c>
      <c r="H2061">
        <v>3</v>
      </c>
      <c r="I2061" t="s">
        <v>89</v>
      </c>
      <c r="J2061">
        <v>0</v>
      </c>
      <c r="K2061">
        <v>1</v>
      </c>
      <c r="L2061">
        <v>2</v>
      </c>
      <c r="M2061">
        <v>585</v>
      </c>
      <c r="N2061">
        <v>1</v>
      </c>
      <c r="O2061">
        <v>0</v>
      </c>
      <c r="P2061">
        <v>1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T2061">
        <v>0</v>
      </c>
      <c r="AU2061">
        <v>1</v>
      </c>
      <c r="AV2061">
        <v>1</v>
      </c>
      <c r="AW2061">
        <v>1</v>
      </c>
      <c r="AX2061">
        <v>564</v>
      </c>
      <c r="BA2061">
        <v>1</v>
      </c>
      <c r="BC2061" t="s">
        <v>4221</v>
      </c>
      <c r="BD2061" s="4">
        <v>43283.757673611108</v>
      </c>
      <c r="BE2061" s="4">
        <v>43283.761759259258</v>
      </c>
      <c r="BF2061" s="4">
        <v>43283.761759259258</v>
      </c>
      <c r="BG2061" t="s">
        <v>83</v>
      </c>
      <c r="BH2061" t="s">
        <v>84</v>
      </c>
      <c r="BI2061" t="s">
        <v>85</v>
      </c>
    </row>
    <row r="2062" spans="1:61" x14ac:dyDescent="0.3">
      <c r="A2062" t="str">
        <f>"201120B0100"</f>
        <v>201120B0100</v>
      </c>
      <c r="B2062" t="s">
        <v>4222</v>
      </c>
      <c r="C2062">
        <v>20</v>
      </c>
      <c r="D2062" t="s">
        <v>79</v>
      </c>
      <c r="E2062">
        <v>10</v>
      </c>
      <c r="F2062" t="s">
        <v>4190</v>
      </c>
      <c r="G2062">
        <v>1120</v>
      </c>
      <c r="H2062">
        <v>1</v>
      </c>
      <c r="I2062" t="s">
        <v>81</v>
      </c>
      <c r="J2062">
        <v>0</v>
      </c>
      <c r="K2062">
        <v>2</v>
      </c>
      <c r="L2062">
        <v>2</v>
      </c>
      <c r="M2062">
        <v>213</v>
      </c>
      <c r="N2062">
        <v>228</v>
      </c>
      <c r="O2062">
        <v>0</v>
      </c>
      <c r="P2062">
        <v>228</v>
      </c>
      <c r="Q2062">
        <v>30</v>
      </c>
      <c r="R2062">
        <v>86</v>
      </c>
      <c r="S2062">
        <v>3</v>
      </c>
      <c r="T2062">
        <v>5</v>
      </c>
      <c r="U2062">
        <v>13</v>
      </c>
      <c r="V2062">
        <v>7</v>
      </c>
      <c r="W2062">
        <v>0</v>
      </c>
      <c r="X2062">
        <v>2</v>
      </c>
      <c r="Y2062">
        <v>52</v>
      </c>
      <c r="Z2062">
        <v>5</v>
      </c>
      <c r="AB2062">
        <v>1</v>
      </c>
      <c r="AC2062">
        <v>0</v>
      </c>
      <c r="AD2062">
        <v>1</v>
      </c>
      <c r="AE2062">
        <v>0</v>
      </c>
      <c r="AF2062">
        <v>0</v>
      </c>
      <c r="AG2062">
        <v>3</v>
      </c>
      <c r="AH2062">
        <v>2</v>
      </c>
      <c r="AI2062">
        <v>0</v>
      </c>
      <c r="AJ2062">
        <v>0</v>
      </c>
      <c r="AK2062">
        <v>5</v>
      </c>
      <c r="AL2062">
        <v>3</v>
      </c>
      <c r="AM2062">
        <v>0</v>
      </c>
      <c r="AN2062">
        <v>2</v>
      </c>
      <c r="AT2062">
        <v>0</v>
      </c>
      <c r="AU2062">
        <v>8</v>
      </c>
      <c r="AV2062" t="s">
        <v>100</v>
      </c>
      <c r="AW2062">
        <v>228</v>
      </c>
      <c r="AX2062">
        <v>419</v>
      </c>
      <c r="BA2062">
        <v>1</v>
      </c>
      <c r="BC2062" t="s">
        <v>4223</v>
      </c>
      <c r="BD2062" s="4">
        <v>43283.731851851851</v>
      </c>
      <c r="BE2062" s="4">
        <v>43283.737187500003</v>
      </c>
      <c r="BF2062" s="4">
        <v>43283.737187500003</v>
      </c>
      <c r="BG2062" t="s">
        <v>83</v>
      </c>
      <c r="BH2062" t="s">
        <v>84</v>
      </c>
      <c r="BI2062" t="s">
        <v>85</v>
      </c>
    </row>
    <row r="2063" spans="1:61" x14ac:dyDescent="0.3">
      <c r="A2063" t="str">
        <f>"201120C0100"</f>
        <v>201120C0100</v>
      </c>
      <c r="B2063" t="s">
        <v>4224</v>
      </c>
      <c r="C2063">
        <v>20</v>
      </c>
      <c r="D2063" t="s">
        <v>79</v>
      </c>
      <c r="E2063">
        <v>10</v>
      </c>
      <c r="F2063" t="s">
        <v>4190</v>
      </c>
      <c r="G2063">
        <v>1120</v>
      </c>
      <c r="H2063">
        <v>1</v>
      </c>
      <c r="I2063" t="s">
        <v>89</v>
      </c>
      <c r="J2063">
        <v>0</v>
      </c>
      <c r="K2063">
        <v>2</v>
      </c>
      <c r="L2063">
        <v>2</v>
      </c>
      <c r="M2063">
        <v>215</v>
      </c>
      <c r="N2063">
        <v>226</v>
      </c>
      <c r="O2063">
        <v>0</v>
      </c>
      <c r="P2063">
        <v>226</v>
      </c>
      <c r="Q2063">
        <v>26</v>
      </c>
      <c r="R2063">
        <v>95</v>
      </c>
      <c r="S2063">
        <v>3</v>
      </c>
      <c r="T2063">
        <v>2</v>
      </c>
      <c r="U2063">
        <v>10</v>
      </c>
      <c r="V2063">
        <v>3</v>
      </c>
      <c r="W2063">
        <v>1</v>
      </c>
      <c r="X2063">
        <v>3</v>
      </c>
      <c r="Y2063">
        <v>59</v>
      </c>
      <c r="Z2063">
        <v>5</v>
      </c>
      <c r="AB2063">
        <v>1</v>
      </c>
      <c r="AC2063">
        <v>0</v>
      </c>
      <c r="AD2063">
        <v>0</v>
      </c>
      <c r="AE2063">
        <v>0</v>
      </c>
      <c r="AF2063">
        <v>0</v>
      </c>
      <c r="AG2063">
        <v>2</v>
      </c>
      <c r="AH2063">
        <v>1</v>
      </c>
      <c r="AI2063">
        <v>0</v>
      </c>
      <c r="AJ2063">
        <v>0</v>
      </c>
      <c r="AK2063">
        <v>6</v>
      </c>
      <c r="AL2063">
        <v>0</v>
      </c>
      <c r="AM2063">
        <v>0</v>
      </c>
      <c r="AN2063">
        <v>0</v>
      </c>
      <c r="AT2063">
        <v>0</v>
      </c>
      <c r="AU2063">
        <v>9</v>
      </c>
      <c r="AV2063">
        <v>226</v>
      </c>
      <c r="AW2063">
        <v>226</v>
      </c>
      <c r="AX2063">
        <v>419</v>
      </c>
      <c r="BA2063">
        <v>1</v>
      </c>
      <c r="BC2063" t="s">
        <v>4225</v>
      </c>
      <c r="BD2063" s="4">
        <v>43283.811342592591</v>
      </c>
      <c r="BE2063" s="4">
        <v>43283.814317129632</v>
      </c>
      <c r="BF2063" s="4">
        <v>43283.814317129632</v>
      </c>
      <c r="BG2063" t="s">
        <v>83</v>
      </c>
      <c r="BH2063" t="s">
        <v>84</v>
      </c>
      <c r="BI2063" t="s">
        <v>85</v>
      </c>
    </row>
    <row r="2064" spans="1:61" x14ac:dyDescent="0.3">
      <c r="A2064" t="str">
        <f>"201120E0100"</f>
        <v>201120E0100</v>
      </c>
      <c r="B2064" s="2" t="s">
        <v>4226</v>
      </c>
      <c r="C2064">
        <v>20</v>
      </c>
      <c r="D2064" t="s">
        <v>79</v>
      </c>
      <c r="E2064">
        <v>10</v>
      </c>
      <c r="F2064" t="s">
        <v>4190</v>
      </c>
      <c r="G2064">
        <v>1120</v>
      </c>
      <c r="H2064">
        <v>1</v>
      </c>
      <c r="I2064" t="s">
        <v>145</v>
      </c>
      <c r="J2064">
        <v>0</v>
      </c>
      <c r="K2064">
        <v>2</v>
      </c>
      <c r="L2064">
        <v>2</v>
      </c>
      <c r="M2064">
        <v>265</v>
      </c>
      <c r="N2064">
        <v>463</v>
      </c>
      <c r="O2064">
        <v>0</v>
      </c>
      <c r="P2064">
        <v>463</v>
      </c>
      <c r="Q2064">
        <v>19</v>
      </c>
      <c r="R2064">
        <v>85</v>
      </c>
      <c r="S2064">
        <v>3</v>
      </c>
      <c r="T2064">
        <v>8</v>
      </c>
      <c r="U2064">
        <v>64</v>
      </c>
      <c r="V2064">
        <v>8</v>
      </c>
      <c r="W2064">
        <v>5</v>
      </c>
      <c r="X2064">
        <v>8</v>
      </c>
      <c r="Y2064">
        <v>211</v>
      </c>
      <c r="Z2064">
        <v>10</v>
      </c>
      <c r="AB2064">
        <v>3</v>
      </c>
      <c r="AC2064">
        <v>1</v>
      </c>
      <c r="AD2064">
        <v>0</v>
      </c>
      <c r="AE2064">
        <v>0</v>
      </c>
      <c r="AF2064">
        <v>1</v>
      </c>
      <c r="AG2064">
        <v>1</v>
      </c>
      <c r="AH2064">
        <v>1</v>
      </c>
      <c r="AI2064">
        <v>0</v>
      </c>
      <c r="AJ2064">
        <v>0</v>
      </c>
      <c r="AK2064">
        <v>8</v>
      </c>
      <c r="AL2064">
        <v>6</v>
      </c>
      <c r="AM2064">
        <v>0</v>
      </c>
      <c r="AN2064">
        <v>1</v>
      </c>
      <c r="AT2064">
        <v>0</v>
      </c>
      <c r="AU2064">
        <v>20</v>
      </c>
      <c r="AV2064">
        <v>463</v>
      </c>
      <c r="AW2064">
        <v>463</v>
      </c>
      <c r="AX2064">
        <v>706</v>
      </c>
      <c r="BA2064">
        <v>1</v>
      </c>
      <c r="BC2064" t="s">
        <v>4227</v>
      </c>
      <c r="BD2064" s="4">
        <v>43283.820717592593</v>
      </c>
      <c r="BE2064" s="4">
        <v>43283.824849537035</v>
      </c>
      <c r="BF2064" s="4">
        <v>43283.824849537035</v>
      </c>
      <c r="BG2064" t="s">
        <v>83</v>
      </c>
      <c r="BH2064" t="s">
        <v>84</v>
      </c>
      <c r="BI2064" t="s">
        <v>85</v>
      </c>
    </row>
    <row r="2065" spans="1:61" x14ac:dyDescent="0.3">
      <c r="A2065" t="str">
        <f>"201121B0100"</f>
        <v>201121B0100</v>
      </c>
      <c r="B2065" t="s">
        <v>4228</v>
      </c>
      <c r="C2065">
        <v>20</v>
      </c>
      <c r="D2065" t="s">
        <v>79</v>
      </c>
      <c r="E2065">
        <v>10</v>
      </c>
      <c r="F2065" t="s">
        <v>4190</v>
      </c>
      <c r="G2065">
        <v>1121</v>
      </c>
      <c r="H2065">
        <v>1</v>
      </c>
      <c r="I2065" t="s">
        <v>81</v>
      </c>
      <c r="J2065">
        <v>0</v>
      </c>
      <c r="K2065">
        <v>2</v>
      </c>
      <c r="L2065">
        <v>2</v>
      </c>
      <c r="M2065">
        <v>370</v>
      </c>
      <c r="N2065">
        <v>379</v>
      </c>
      <c r="O2065">
        <v>7</v>
      </c>
      <c r="P2065">
        <v>379</v>
      </c>
      <c r="Q2065">
        <v>61</v>
      </c>
      <c r="R2065">
        <v>140</v>
      </c>
      <c r="S2065">
        <v>8</v>
      </c>
      <c r="T2065">
        <v>5</v>
      </c>
      <c r="U2065">
        <v>18</v>
      </c>
      <c r="V2065">
        <v>6</v>
      </c>
      <c r="W2065">
        <v>3</v>
      </c>
      <c r="X2065">
        <v>1</v>
      </c>
      <c r="Y2065">
        <v>108</v>
      </c>
      <c r="Z2065">
        <v>5</v>
      </c>
      <c r="AB2065">
        <v>3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1</v>
      </c>
      <c r="AI2065">
        <v>0</v>
      </c>
      <c r="AJ2065">
        <v>0</v>
      </c>
      <c r="AK2065">
        <v>2</v>
      </c>
      <c r="AL2065">
        <v>2</v>
      </c>
      <c r="AM2065">
        <v>0</v>
      </c>
      <c r="AN2065">
        <v>2</v>
      </c>
      <c r="AT2065">
        <v>0</v>
      </c>
      <c r="AU2065">
        <v>14</v>
      </c>
      <c r="AV2065">
        <v>379</v>
      </c>
      <c r="AW2065">
        <v>379</v>
      </c>
      <c r="AX2065">
        <v>727</v>
      </c>
      <c r="BA2065">
        <v>1</v>
      </c>
      <c r="BC2065" t="s">
        <v>4229</v>
      </c>
      <c r="BD2065" s="4">
        <v>43283.810416666667</v>
      </c>
      <c r="BE2065" s="4">
        <v>43283.813576388886</v>
      </c>
      <c r="BF2065" s="4">
        <v>43283.813576388886</v>
      </c>
      <c r="BG2065" t="s">
        <v>83</v>
      </c>
      <c r="BH2065" t="s">
        <v>84</v>
      </c>
      <c r="BI2065" t="s">
        <v>85</v>
      </c>
    </row>
    <row r="2066" spans="1:61" x14ac:dyDescent="0.3">
      <c r="A2066" t="str">
        <f>"201121E0100"</f>
        <v>201121E0100</v>
      </c>
      <c r="B2066" s="2" t="s">
        <v>4230</v>
      </c>
      <c r="C2066">
        <v>20</v>
      </c>
      <c r="D2066" t="s">
        <v>79</v>
      </c>
      <c r="E2066">
        <v>10</v>
      </c>
      <c r="F2066" t="s">
        <v>4190</v>
      </c>
      <c r="G2066">
        <v>1121</v>
      </c>
      <c r="H2066">
        <v>1</v>
      </c>
      <c r="I2066" t="s">
        <v>145</v>
      </c>
      <c r="J2066">
        <v>0</v>
      </c>
      <c r="K2066">
        <v>2</v>
      </c>
      <c r="L2066">
        <v>2</v>
      </c>
      <c r="M2066">
        <v>143</v>
      </c>
      <c r="N2066">
        <v>188</v>
      </c>
      <c r="O2066">
        <v>0</v>
      </c>
      <c r="P2066">
        <v>188</v>
      </c>
      <c r="Q2066">
        <v>14</v>
      </c>
      <c r="R2066">
        <v>68</v>
      </c>
      <c r="S2066">
        <v>8</v>
      </c>
      <c r="T2066">
        <v>1</v>
      </c>
      <c r="U2066">
        <v>9</v>
      </c>
      <c r="V2066">
        <v>5</v>
      </c>
      <c r="W2066">
        <v>1</v>
      </c>
      <c r="X2066">
        <v>1</v>
      </c>
      <c r="Y2066">
        <v>45</v>
      </c>
      <c r="Z2066">
        <v>7</v>
      </c>
      <c r="AB2066">
        <v>1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2</v>
      </c>
      <c r="AI2066">
        <v>0</v>
      </c>
      <c r="AJ2066">
        <v>0</v>
      </c>
      <c r="AK2066">
        <v>4</v>
      </c>
      <c r="AL2066">
        <v>3</v>
      </c>
      <c r="AM2066">
        <v>0</v>
      </c>
      <c r="AN2066">
        <v>0</v>
      </c>
      <c r="AT2066">
        <v>0</v>
      </c>
      <c r="AU2066">
        <v>19</v>
      </c>
      <c r="AV2066">
        <v>188</v>
      </c>
      <c r="AW2066">
        <v>188</v>
      </c>
      <c r="AX2066">
        <v>309</v>
      </c>
      <c r="BA2066">
        <v>1</v>
      </c>
      <c r="BC2066" t="s">
        <v>4231</v>
      </c>
      <c r="BD2066" s="4">
        <v>43283.785578703704</v>
      </c>
      <c r="BE2066" s="4">
        <v>43283.788969907408</v>
      </c>
      <c r="BF2066" s="4">
        <v>43283.788969907408</v>
      </c>
      <c r="BG2066" t="s">
        <v>83</v>
      </c>
      <c r="BH2066" t="s">
        <v>84</v>
      </c>
      <c r="BI2066" t="s">
        <v>85</v>
      </c>
    </row>
    <row r="2067" spans="1:61" x14ac:dyDescent="0.3">
      <c r="A2067" t="str">
        <f>"201122B0100"</f>
        <v>201122B0100</v>
      </c>
      <c r="B2067" t="s">
        <v>4232</v>
      </c>
      <c r="C2067">
        <v>20</v>
      </c>
      <c r="D2067" t="s">
        <v>79</v>
      </c>
      <c r="E2067">
        <v>10</v>
      </c>
      <c r="F2067" t="s">
        <v>4190</v>
      </c>
      <c r="G2067">
        <v>1122</v>
      </c>
      <c r="H2067">
        <v>1</v>
      </c>
      <c r="I2067" t="s">
        <v>81</v>
      </c>
      <c r="J2067">
        <v>0</v>
      </c>
      <c r="K2067">
        <v>2</v>
      </c>
      <c r="L2067">
        <v>2</v>
      </c>
      <c r="M2067">
        <v>356</v>
      </c>
      <c r="N2067">
        <v>764</v>
      </c>
      <c r="O2067">
        <v>0</v>
      </c>
      <c r="P2067">
        <v>407</v>
      </c>
      <c r="Q2067">
        <v>31</v>
      </c>
      <c r="R2067">
        <v>90</v>
      </c>
      <c r="S2067">
        <v>15</v>
      </c>
      <c r="T2067">
        <v>15</v>
      </c>
      <c r="U2067">
        <v>34</v>
      </c>
      <c r="V2067">
        <v>3</v>
      </c>
      <c r="W2067">
        <v>4</v>
      </c>
      <c r="X2067">
        <v>10</v>
      </c>
      <c r="Y2067">
        <v>163</v>
      </c>
      <c r="Z2067">
        <v>4</v>
      </c>
      <c r="AB2067">
        <v>1</v>
      </c>
      <c r="AC2067">
        <v>5</v>
      </c>
      <c r="AD2067">
        <v>0</v>
      </c>
      <c r="AE2067">
        <v>0</v>
      </c>
      <c r="AF2067">
        <v>0</v>
      </c>
      <c r="AG2067">
        <v>3</v>
      </c>
      <c r="AH2067">
        <v>0</v>
      </c>
      <c r="AI2067">
        <v>0</v>
      </c>
      <c r="AJ2067">
        <v>0</v>
      </c>
      <c r="AK2067">
        <v>6</v>
      </c>
      <c r="AL2067">
        <v>6</v>
      </c>
      <c r="AM2067">
        <v>0</v>
      </c>
      <c r="AN2067">
        <v>1</v>
      </c>
      <c r="AT2067">
        <v>0</v>
      </c>
      <c r="AU2067">
        <v>16</v>
      </c>
      <c r="AV2067">
        <v>407</v>
      </c>
      <c r="AW2067">
        <v>407</v>
      </c>
      <c r="AX2067">
        <v>750</v>
      </c>
      <c r="BA2067">
        <v>1</v>
      </c>
      <c r="BC2067" t="s">
        <v>4233</v>
      </c>
      <c r="BD2067" s="4">
        <v>43283.753634259258</v>
      </c>
      <c r="BE2067" s="4">
        <v>43283.762442129628</v>
      </c>
      <c r="BF2067" s="4">
        <v>43283.762442129628</v>
      </c>
      <c r="BG2067" t="s">
        <v>83</v>
      </c>
      <c r="BH2067" t="s">
        <v>84</v>
      </c>
      <c r="BI2067" t="s">
        <v>85</v>
      </c>
    </row>
    <row r="2068" spans="1:61" x14ac:dyDescent="0.3">
      <c r="A2068" t="str">
        <f>"201122E0100"</f>
        <v>201122E0100</v>
      </c>
      <c r="B2068" s="2" t="s">
        <v>4234</v>
      </c>
      <c r="C2068">
        <v>20</v>
      </c>
      <c r="D2068" t="s">
        <v>79</v>
      </c>
      <c r="E2068">
        <v>10</v>
      </c>
      <c r="F2068" t="s">
        <v>4190</v>
      </c>
      <c r="G2068">
        <v>1122</v>
      </c>
      <c r="H2068">
        <v>1</v>
      </c>
      <c r="I2068" t="s">
        <v>145</v>
      </c>
      <c r="J2068">
        <v>0</v>
      </c>
      <c r="K2068">
        <v>2</v>
      </c>
      <c r="L2068">
        <v>2</v>
      </c>
      <c r="M2068">
        <v>135</v>
      </c>
      <c r="N2068">
        <v>271</v>
      </c>
      <c r="O2068">
        <v>3</v>
      </c>
      <c r="P2068">
        <v>271</v>
      </c>
      <c r="Q2068">
        <v>14</v>
      </c>
      <c r="R2068">
        <v>114</v>
      </c>
      <c r="S2068">
        <v>4</v>
      </c>
      <c r="T2068">
        <v>7</v>
      </c>
      <c r="U2068">
        <v>16</v>
      </c>
      <c r="V2068">
        <v>5</v>
      </c>
      <c r="W2068">
        <v>8</v>
      </c>
      <c r="X2068">
        <v>19</v>
      </c>
      <c r="Y2068">
        <v>51</v>
      </c>
      <c r="Z2068">
        <v>6</v>
      </c>
      <c r="AB2068">
        <v>0</v>
      </c>
      <c r="AC2068">
        <v>1</v>
      </c>
      <c r="AD2068">
        <v>0</v>
      </c>
      <c r="AE2068">
        <v>0</v>
      </c>
      <c r="AF2068">
        <v>1</v>
      </c>
      <c r="AG2068">
        <v>1</v>
      </c>
      <c r="AH2068">
        <v>0</v>
      </c>
      <c r="AI2068">
        <v>1</v>
      </c>
      <c r="AJ2068">
        <v>0</v>
      </c>
      <c r="AK2068">
        <v>1</v>
      </c>
      <c r="AL2068">
        <v>2</v>
      </c>
      <c r="AM2068">
        <v>0</v>
      </c>
      <c r="AN2068">
        <v>0</v>
      </c>
      <c r="AT2068" t="s">
        <v>100</v>
      </c>
      <c r="AU2068">
        <v>11</v>
      </c>
      <c r="AV2068">
        <v>251</v>
      </c>
      <c r="AW2068">
        <v>262</v>
      </c>
      <c r="AX2068">
        <v>385</v>
      </c>
      <c r="AZ2068" t="s">
        <v>101</v>
      </c>
      <c r="BA2068">
        <v>1</v>
      </c>
      <c r="BC2068" t="s">
        <v>4235</v>
      </c>
      <c r="BD2068" s="4">
        <v>43283.786608796298</v>
      </c>
      <c r="BE2068" s="4">
        <v>43283.790532407409</v>
      </c>
      <c r="BF2068" s="4">
        <v>43283.790532407409</v>
      </c>
      <c r="BG2068" t="s">
        <v>83</v>
      </c>
      <c r="BH2068" t="s">
        <v>84</v>
      </c>
      <c r="BI2068" t="s">
        <v>85</v>
      </c>
    </row>
    <row r="2069" spans="1:61" x14ac:dyDescent="0.3">
      <c r="A2069" t="str">
        <f>"201122E0200"</f>
        <v>201122E0200</v>
      </c>
      <c r="B2069" s="2" t="s">
        <v>4236</v>
      </c>
      <c r="C2069">
        <v>20</v>
      </c>
      <c r="D2069" t="s">
        <v>79</v>
      </c>
      <c r="E2069">
        <v>10</v>
      </c>
      <c r="F2069" t="s">
        <v>4190</v>
      </c>
      <c r="G2069">
        <v>1122</v>
      </c>
      <c r="H2069">
        <v>2</v>
      </c>
      <c r="I2069" t="s">
        <v>145</v>
      </c>
      <c r="J2069">
        <v>0</v>
      </c>
      <c r="K2069">
        <v>2</v>
      </c>
      <c r="L2069">
        <v>2</v>
      </c>
      <c r="M2069">
        <v>185</v>
      </c>
      <c r="N2069">
        <v>310</v>
      </c>
      <c r="O2069">
        <v>3</v>
      </c>
      <c r="P2069">
        <v>309</v>
      </c>
      <c r="Q2069">
        <v>42</v>
      </c>
      <c r="R2069">
        <v>45</v>
      </c>
      <c r="S2069">
        <v>9</v>
      </c>
      <c r="T2069">
        <v>4</v>
      </c>
      <c r="U2069">
        <v>26</v>
      </c>
      <c r="V2069">
        <v>4</v>
      </c>
      <c r="W2069">
        <v>0</v>
      </c>
      <c r="X2069">
        <v>2</v>
      </c>
      <c r="Y2069">
        <v>137</v>
      </c>
      <c r="Z2069">
        <v>3</v>
      </c>
      <c r="AB2069">
        <v>3</v>
      </c>
      <c r="AC2069">
        <v>3</v>
      </c>
      <c r="AD2069">
        <v>0</v>
      </c>
      <c r="AE2069">
        <v>0</v>
      </c>
      <c r="AF2069">
        <v>0</v>
      </c>
      <c r="AG2069">
        <v>1</v>
      </c>
      <c r="AH2069">
        <v>2</v>
      </c>
      <c r="AI2069">
        <v>0</v>
      </c>
      <c r="AJ2069">
        <v>0</v>
      </c>
      <c r="AK2069">
        <v>6</v>
      </c>
      <c r="AL2069">
        <v>1</v>
      </c>
      <c r="AM2069">
        <v>0</v>
      </c>
      <c r="AN2069">
        <v>4</v>
      </c>
      <c r="AT2069">
        <v>0</v>
      </c>
      <c r="AU2069">
        <v>18</v>
      </c>
      <c r="AV2069">
        <v>310</v>
      </c>
      <c r="AW2069">
        <v>310</v>
      </c>
      <c r="AX2069">
        <v>473</v>
      </c>
      <c r="BA2069">
        <v>1</v>
      </c>
      <c r="BC2069" t="s">
        <v>4237</v>
      </c>
      <c r="BD2069" s="4">
        <v>43283.806655092594</v>
      </c>
      <c r="BE2069" s="4">
        <v>43283.810312499998</v>
      </c>
      <c r="BF2069" s="4">
        <v>43283.810312499998</v>
      </c>
      <c r="BG2069" t="s">
        <v>83</v>
      </c>
      <c r="BH2069" t="s">
        <v>84</v>
      </c>
      <c r="BI2069" t="s">
        <v>85</v>
      </c>
    </row>
    <row r="2070" spans="1:61" x14ac:dyDescent="0.3">
      <c r="A2070" t="str">
        <f>"201123B0100"</f>
        <v>201123B0100</v>
      </c>
      <c r="B2070" t="s">
        <v>4238</v>
      </c>
      <c r="C2070">
        <v>20</v>
      </c>
      <c r="D2070" t="s">
        <v>79</v>
      </c>
      <c r="E2070">
        <v>10</v>
      </c>
      <c r="F2070" t="s">
        <v>4190</v>
      </c>
      <c r="G2070">
        <v>1123</v>
      </c>
      <c r="H2070">
        <v>1</v>
      </c>
      <c r="I2070" t="s">
        <v>81</v>
      </c>
      <c r="J2070">
        <v>0</v>
      </c>
      <c r="K2070">
        <v>2</v>
      </c>
      <c r="L2070">
        <v>2</v>
      </c>
      <c r="M2070">
        <v>210</v>
      </c>
      <c r="N2070">
        <v>345</v>
      </c>
      <c r="O2070">
        <v>0</v>
      </c>
      <c r="P2070">
        <v>345</v>
      </c>
      <c r="Q2070">
        <v>23</v>
      </c>
      <c r="R2070">
        <v>61</v>
      </c>
      <c r="S2070">
        <v>3</v>
      </c>
      <c r="T2070">
        <v>1</v>
      </c>
      <c r="U2070">
        <v>33</v>
      </c>
      <c r="V2070">
        <v>8</v>
      </c>
      <c r="W2070">
        <v>1</v>
      </c>
      <c r="X2070">
        <v>1</v>
      </c>
      <c r="Y2070">
        <v>178</v>
      </c>
      <c r="Z2070">
        <v>8</v>
      </c>
      <c r="AB2070">
        <v>0</v>
      </c>
      <c r="AC2070">
        <v>0</v>
      </c>
      <c r="AD2070">
        <v>0</v>
      </c>
      <c r="AE2070">
        <v>1</v>
      </c>
      <c r="AF2070">
        <v>0</v>
      </c>
      <c r="AG2070">
        <v>2</v>
      </c>
      <c r="AH2070">
        <v>2</v>
      </c>
      <c r="AI2070">
        <v>0</v>
      </c>
      <c r="AJ2070">
        <v>0</v>
      </c>
      <c r="AK2070">
        <v>6</v>
      </c>
      <c r="AL2070">
        <v>2</v>
      </c>
      <c r="AM2070">
        <v>1</v>
      </c>
      <c r="AN2070">
        <v>0</v>
      </c>
      <c r="AT2070" t="s">
        <v>100</v>
      </c>
      <c r="AU2070">
        <v>13</v>
      </c>
      <c r="AV2070">
        <v>345</v>
      </c>
      <c r="AW2070">
        <v>344</v>
      </c>
      <c r="AX2070">
        <v>533</v>
      </c>
      <c r="AZ2070" t="s">
        <v>101</v>
      </c>
      <c r="BA2070">
        <v>1</v>
      </c>
      <c r="BC2070" t="s">
        <v>4239</v>
      </c>
      <c r="BD2070" s="4">
        <v>43283.81422453704</v>
      </c>
      <c r="BE2070" s="4">
        <v>43283.817210648151</v>
      </c>
      <c r="BF2070" s="4">
        <v>43283.817210648151</v>
      </c>
      <c r="BG2070" t="s">
        <v>83</v>
      </c>
      <c r="BH2070" t="s">
        <v>84</v>
      </c>
      <c r="BI2070" t="s">
        <v>85</v>
      </c>
    </row>
    <row r="2071" spans="1:61" x14ac:dyDescent="0.3">
      <c r="A2071" t="str">
        <f>"201123C0100"</f>
        <v>201123C0100</v>
      </c>
      <c r="B2071" t="s">
        <v>4240</v>
      </c>
      <c r="C2071">
        <v>20</v>
      </c>
      <c r="D2071" t="s">
        <v>79</v>
      </c>
      <c r="E2071">
        <v>10</v>
      </c>
      <c r="F2071" t="s">
        <v>4190</v>
      </c>
      <c r="G2071">
        <v>1123</v>
      </c>
      <c r="H2071">
        <v>1</v>
      </c>
      <c r="I2071" t="s">
        <v>89</v>
      </c>
      <c r="J2071">
        <v>0</v>
      </c>
      <c r="K2071">
        <v>2</v>
      </c>
      <c r="L2071">
        <v>2</v>
      </c>
      <c r="M2071">
        <v>206</v>
      </c>
      <c r="N2071">
        <v>349</v>
      </c>
      <c r="O2071">
        <v>0</v>
      </c>
      <c r="P2071">
        <v>349</v>
      </c>
      <c r="Q2071">
        <v>39</v>
      </c>
      <c r="R2071">
        <v>49</v>
      </c>
      <c r="S2071">
        <v>5</v>
      </c>
      <c r="T2071">
        <v>0</v>
      </c>
      <c r="U2071">
        <v>17</v>
      </c>
      <c r="V2071">
        <v>3</v>
      </c>
      <c r="W2071">
        <v>0</v>
      </c>
      <c r="X2071">
        <v>5</v>
      </c>
      <c r="Y2071">
        <v>192</v>
      </c>
      <c r="Z2071">
        <v>11</v>
      </c>
      <c r="AB2071">
        <v>1</v>
      </c>
      <c r="AC2071">
        <v>0</v>
      </c>
      <c r="AD2071">
        <v>0</v>
      </c>
      <c r="AE2071">
        <v>0</v>
      </c>
      <c r="AF2071">
        <v>0</v>
      </c>
      <c r="AG2071">
        <v>1</v>
      </c>
      <c r="AH2071">
        <v>1</v>
      </c>
      <c r="AI2071">
        <v>0</v>
      </c>
      <c r="AJ2071">
        <v>0</v>
      </c>
      <c r="AK2071">
        <v>8</v>
      </c>
      <c r="AL2071">
        <v>3</v>
      </c>
      <c r="AM2071">
        <v>0</v>
      </c>
      <c r="AN2071">
        <v>2</v>
      </c>
      <c r="AT2071">
        <v>0</v>
      </c>
      <c r="AU2071">
        <v>12</v>
      </c>
      <c r="AV2071">
        <v>349</v>
      </c>
      <c r="AW2071">
        <v>349</v>
      </c>
      <c r="AX2071">
        <v>533</v>
      </c>
      <c r="BA2071">
        <v>1</v>
      </c>
      <c r="BC2071" t="s">
        <v>4241</v>
      </c>
      <c r="BD2071" s="4">
        <v>43283.718124999999</v>
      </c>
      <c r="BE2071" s="4">
        <v>43283.72074074074</v>
      </c>
      <c r="BF2071" s="4">
        <v>43283.72074074074</v>
      </c>
      <c r="BG2071" t="s">
        <v>83</v>
      </c>
      <c r="BH2071" t="s">
        <v>84</v>
      </c>
      <c r="BI2071" t="s">
        <v>85</v>
      </c>
    </row>
    <row r="2072" spans="1:61" x14ac:dyDescent="0.3">
      <c r="A2072" t="str">
        <f>"201123C0200"</f>
        <v>201123C0200</v>
      </c>
      <c r="B2072" t="s">
        <v>4242</v>
      </c>
      <c r="C2072">
        <v>20</v>
      </c>
      <c r="D2072" t="s">
        <v>79</v>
      </c>
      <c r="E2072">
        <v>10</v>
      </c>
      <c r="F2072" t="s">
        <v>4190</v>
      </c>
      <c r="G2072">
        <v>1123</v>
      </c>
      <c r="H2072">
        <v>2</v>
      </c>
      <c r="I2072" t="s">
        <v>89</v>
      </c>
      <c r="J2072">
        <v>0</v>
      </c>
      <c r="K2072">
        <v>2</v>
      </c>
      <c r="L2072">
        <v>2</v>
      </c>
      <c r="AX2072">
        <v>533</v>
      </c>
      <c r="AZ2072" t="s">
        <v>156</v>
      </c>
      <c r="BA2072">
        <v>0</v>
      </c>
      <c r="BC2072" t="s">
        <v>4243</v>
      </c>
      <c r="BD2072" s="4">
        <v>43283.820833333331</v>
      </c>
      <c r="BE2072" s="4">
        <v>43283.830335648148</v>
      </c>
      <c r="BF2072" s="4">
        <v>43283.830335648148</v>
      </c>
      <c r="BG2072" t="s">
        <v>83</v>
      </c>
      <c r="BH2072" t="s">
        <v>84</v>
      </c>
      <c r="BI2072" t="s">
        <v>85</v>
      </c>
    </row>
    <row r="2073" spans="1:61" x14ac:dyDescent="0.3">
      <c r="A2073" t="str">
        <f>"201124B0100"</f>
        <v>201124B0100</v>
      </c>
      <c r="B2073" t="s">
        <v>4244</v>
      </c>
      <c r="C2073">
        <v>20</v>
      </c>
      <c r="D2073" t="s">
        <v>79</v>
      </c>
      <c r="E2073">
        <v>10</v>
      </c>
      <c r="F2073" t="s">
        <v>4190</v>
      </c>
      <c r="G2073">
        <v>1124</v>
      </c>
      <c r="H2073">
        <v>1</v>
      </c>
      <c r="I2073" t="s">
        <v>81</v>
      </c>
      <c r="J2073">
        <v>0</v>
      </c>
      <c r="K2073">
        <v>2</v>
      </c>
      <c r="L2073">
        <v>2</v>
      </c>
      <c r="M2073">
        <v>253</v>
      </c>
      <c r="N2073">
        <v>416</v>
      </c>
      <c r="O2073">
        <v>0</v>
      </c>
      <c r="P2073">
        <v>416</v>
      </c>
      <c r="Q2073">
        <v>26</v>
      </c>
      <c r="R2073">
        <v>64</v>
      </c>
      <c r="S2073">
        <v>17</v>
      </c>
      <c r="T2073">
        <v>4</v>
      </c>
      <c r="U2073">
        <v>37</v>
      </c>
      <c r="V2073">
        <v>7</v>
      </c>
      <c r="W2073">
        <v>2</v>
      </c>
      <c r="X2073">
        <v>4</v>
      </c>
      <c r="Y2073">
        <v>222</v>
      </c>
      <c r="Z2073">
        <v>3</v>
      </c>
      <c r="AB2073">
        <v>1</v>
      </c>
      <c r="AC2073">
        <v>1</v>
      </c>
      <c r="AD2073">
        <v>2</v>
      </c>
      <c r="AE2073">
        <v>0</v>
      </c>
      <c r="AF2073">
        <v>0</v>
      </c>
      <c r="AG2073">
        <v>1</v>
      </c>
      <c r="AH2073">
        <v>3</v>
      </c>
      <c r="AI2073">
        <v>0</v>
      </c>
      <c r="AJ2073">
        <v>0</v>
      </c>
      <c r="AK2073">
        <v>4</v>
      </c>
      <c r="AL2073">
        <v>1</v>
      </c>
      <c r="AM2073">
        <v>0</v>
      </c>
      <c r="AN2073">
        <v>2</v>
      </c>
      <c r="AT2073">
        <v>0</v>
      </c>
      <c r="AU2073">
        <v>14</v>
      </c>
      <c r="AV2073">
        <v>415</v>
      </c>
      <c r="AW2073">
        <v>415</v>
      </c>
      <c r="AX2073">
        <v>647</v>
      </c>
      <c r="BA2073">
        <v>1</v>
      </c>
      <c r="BC2073" t="s">
        <v>4245</v>
      </c>
      <c r="BD2073" s="4">
        <v>43283.77107638889</v>
      </c>
      <c r="BE2073" s="4">
        <v>43283.774641203701</v>
      </c>
      <c r="BF2073" s="4">
        <v>43283.774641203701</v>
      </c>
      <c r="BG2073" t="s">
        <v>83</v>
      </c>
      <c r="BH2073" t="s">
        <v>84</v>
      </c>
      <c r="BI2073" t="s">
        <v>85</v>
      </c>
    </row>
    <row r="2074" spans="1:61" x14ac:dyDescent="0.3">
      <c r="A2074" t="str">
        <f>"201124C0100"</f>
        <v>201124C0100</v>
      </c>
      <c r="B2074" t="s">
        <v>4246</v>
      </c>
      <c r="C2074">
        <v>20</v>
      </c>
      <c r="D2074" t="s">
        <v>79</v>
      </c>
      <c r="E2074">
        <v>10</v>
      </c>
      <c r="F2074" t="s">
        <v>4190</v>
      </c>
      <c r="G2074">
        <v>1124</v>
      </c>
      <c r="H2074">
        <v>1</v>
      </c>
      <c r="I2074" t="s">
        <v>89</v>
      </c>
      <c r="J2074">
        <v>0</v>
      </c>
      <c r="K2074">
        <v>2</v>
      </c>
      <c r="L2074">
        <v>2</v>
      </c>
      <c r="M2074">
        <v>302</v>
      </c>
      <c r="N2074">
        <v>669</v>
      </c>
      <c r="O2074">
        <v>0</v>
      </c>
      <c r="P2074">
        <v>367</v>
      </c>
      <c r="Q2074">
        <v>25</v>
      </c>
      <c r="R2074">
        <v>70</v>
      </c>
      <c r="S2074">
        <v>7</v>
      </c>
      <c r="T2074">
        <v>4</v>
      </c>
      <c r="U2074">
        <v>37</v>
      </c>
      <c r="V2074">
        <v>6</v>
      </c>
      <c r="W2074">
        <v>4</v>
      </c>
      <c r="X2074">
        <v>0</v>
      </c>
      <c r="Y2074">
        <v>177</v>
      </c>
      <c r="Z2074">
        <v>7</v>
      </c>
      <c r="AB2074">
        <v>2</v>
      </c>
      <c r="AC2074">
        <v>2</v>
      </c>
      <c r="AD2074">
        <v>0</v>
      </c>
      <c r="AE2074">
        <v>0</v>
      </c>
      <c r="AF2074">
        <v>0</v>
      </c>
      <c r="AG2074">
        <v>2</v>
      </c>
      <c r="AH2074">
        <v>1</v>
      </c>
      <c r="AI2074">
        <v>0</v>
      </c>
      <c r="AJ2074">
        <v>0</v>
      </c>
      <c r="AK2074">
        <v>9</v>
      </c>
      <c r="AL2074">
        <v>2</v>
      </c>
      <c r="AM2074">
        <v>2</v>
      </c>
      <c r="AN2074">
        <v>0</v>
      </c>
      <c r="AT2074" t="s">
        <v>100</v>
      </c>
      <c r="AU2074">
        <v>10</v>
      </c>
      <c r="AV2074">
        <v>367</v>
      </c>
      <c r="AW2074">
        <v>367</v>
      </c>
      <c r="AX2074">
        <v>647</v>
      </c>
      <c r="AZ2074" t="s">
        <v>101</v>
      </c>
      <c r="BA2074">
        <v>1</v>
      </c>
      <c r="BC2074" t="s">
        <v>4247</v>
      </c>
      <c r="BD2074" s="4">
        <v>43283.773981481485</v>
      </c>
      <c r="BE2074" s="4">
        <v>43283.777592592596</v>
      </c>
      <c r="BF2074" s="4">
        <v>43283.777592592596</v>
      </c>
      <c r="BG2074" t="s">
        <v>83</v>
      </c>
      <c r="BH2074" t="s">
        <v>84</v>
      </c>
      <c r="BI2074" t="s">
        <v>85</v>
      </c>
    </row>
    <row r="2075" spans="1:61" x14ac:dyDescent="0.3">
      <c r="A2075" t="str">
        <f>"201124C0200"</f>
        <v>201124C0200</v>
      </c>
      <c r="B2075" t="s">
        <v>4248</v>
      </c>
      <c r="C2075">
        <v>20</v>
      </c>
      <c r="D2075" t="s">
        <v>79</v>
      </c>
      <c r="E2075">
        <v>10</v>
      </c>
      <c r="F2075" t="s">
        <v>4190</v>
      </c>
      <c r="G2075">
        <v>1124</v>
      </c>
      <c r="H2075">
        <v>2</v>
      </c>
      <c r="I2075" t="s">
        <v>89</v>
      </c>
      <c r="J2075">
        <v>0</v>
      </c>
      <c r="K2075">
        <v>2</v>
      </c>
      <c r="L2075">
        <v>2</v>
      </c>
      <c r="M2075">
        <v>284</v>
      </c>
      <c r="N2075">
        <v>384</v>
      </c>
      <c r="O2075">
        <v>0</v>
      </c>
      <c r="P2075">
        <v>384</v>
      </c>
      <c r="Q2075">
        <v>27</v>
      </c>
      <c r="R2075">
        <v>87</v>
      </c>
      <c r="S2075">
        <v>6</v>
      </c>
      <c r="T2075">
        <v>3</v>
      </c>
      <c r="U2075">
        <v>37</v>
      </c>
      <c r="V2075">
        <v>7</v>
      </c>
      <c r="W2075">
        <v>0</v>
      </c>
      <c r="X2075">
        <v>3</v>
      </c>
      <c r="Y2075">
        <v>179</v>
      </c>
      <c r="Z2075">
        <v>3</v>
      </c>
      <c r="AB2075">
        <v>2</v>
      </c>
      <c r="AC2075">
        <v>1</v>
      </c>
      <c r="AD2075">
        <v>1</v>
      </c>
      <c r="AE2075">
        <v>1</v>
      </c>
      <c r="AF2075">
        <v>0</v>
      </c>
      <c r="AG2075">
        <v>1</v>
      </c>
      <c r="AH2075">
        <v>2</v>
      </c>
      <c r="AI2075">
        <v>0</v>
      </c>
      <c r="AJ2075">
        <v>0</v>
      </c>
      <c r="AK2075">
        <v>10</v>
      </c>
      <c r="AL2075">
        <v>2</v>
      </c>
      <c r="AM2075">
        <v>0</v>
      </c>
      <c r="AN2075">
        <v>2</v>
      </c>
      <c r="AT2075">
        <v>0</v>
      </c>
      <c r="AU2075">
        <v>10</v>
      </c>
      <c r="AV2075" t="s">
        <v>100</v>
      </c>
      <c r="AW2075">
        <v>384</v>
      </c>
      <c r="AX2075">
        <v>647</v>
      </c>
      <c r="BA2075">
        <v>1</v>
      </c>
      <c r="BC2075" t="s">
        <v>4249</v>
      </c>
      <c r="BD2075" s="4">
        <v>43283.816840277781</v>
      </c>
      <c r="BE2075" s="4">
        <v>43283.819895833331</v>
      </c>
      <c r="BF2075" s="4">
        <v>43283.819895833331</v>
      </c>
      <c r="BG2075" t="s">
        <v>83</v>
      </c>
      <c r="BH2075" t="s">
        <v>84</v>
      </c>
      <c r="BI2075" t="s">
        <v>85</v>
      </c>
    </row>
    <row r="2076" spans="1:61" x14ac:dyDescent="0.3">
      <c r="A2076" t="str">
        <f>"201124C0300"</f>
        <v>201124C0300</v>
      </c>
      <c r="B2076" t="s">
        <v>4250</v>
      </c>
      <c r="C2076">
        <v>20</v>
      </c>
      <c r="D2076" t="s">
        <v>79</v>
      </c>
      <c r="E2076">
        <v>10</v>
      </c>
      <c r="F2076" t="s">
        <v>4190</v>
      </c>
      <c r="G2076">
        <v>1124</v>
      </c>
      <c r="H2076">
        <v>3</v>
      </c>
      <c r="I2076" t="s">
        <v>89</v>
      </c>
      <c r="J2076">
        <v>0</v>
      </c>
      <c r="K2076">
        <v>2</v>
      </c>
      <c r="L2076">
        <v>2</v>
      </c>
      <c r="M2076">
        <v>274</v>
      </c>
      <c r="N2076">
        <v>393</v>
      </c>
      <c r="O2076">
        <v>0</v>
      </c>
      <c r="P2076">
        <v>393</v>
      </c>
      <c r="Q2076">
        <v>22</v>
      </c>
      <c r="R2076">
        <v>71</v>
      </c>
      <c r="S2076">
        <v>6</v>
      </c>
      <c r="T2076">
        <v>4</v>
      </c>
      <c r="U2076">
        <v>35</v>
      </c>
      <c r="V2076">
        <v>5</v>
      </c>
      <c r="W2076">
        <v>4</v>
      </c>
      <c r="X2076">
        <v>2</v>
      </c>
      <c r="Y2076">
        <v>206</v>
      </c>
      <c r="Z2076">
        <v>6</v>
      </c>
      <c r="AB2076">
        <v>1</v>
      </c>
      <c r="AC2076" t="s">
        <v>100</v>
      </c>
      <c r="AD2076" t="s">
        <v>100</v>
      </c>
      <c r="AE2076" t="s">
        <v>100</v>
      </c>
      <c r="AF2076" t="s">
        <v>100</v>
      </c>
      <c r="AG2076">
        <v>6</v>
      </c>
      <c r="AH2076">
        <v>2</v>
      </c>
      <c r="AI2076">
        <v>1</v>
      </c>
      <c r="AJ2076" t="s">
        <v>100</v>
      </c>
      <c r="AK2076">
        <v>8</v>
      </c>
      <c r="AL2076">
        <v>6</v>
      </c>
      <c r="AM2076" t="s">
        <v>100</v>
      </c>
      <c r="AN2076" t="s">
        <v>100</v>
      </c>
      <c r="AT2076" t="s">
        <v>100</v>
      </c>
      <c r="AU2076">
        <v>8</v>
      </c>
      <c r="AV2076">
        <v>393</v>
      </c>
      <c r="AW2076">
        <v>393</v>
      </c>
      <c r="AX2076">
        <v>647</v>
      </c>
      <c r="AZ2076" t="s">
        <v>101</v>
      </c>
      <c r="BA2076">
        <v>1</v>
      </c>
      <c r="BC2076" t="s">
        <v>4251</v>
      </c>
      <c r="BD2076" s="4">
        <v>43283.724618055552</v>
      </c>
      <c r="BE2076" s="4">
        <v>43283.728194444448</v>
      </c>
      <c r="BF2076" s="4">
        <v>43283.728194444448</v>
      </c>
      <c r="BG2076" t="s">
        <v>83</v>
      </c>
      <c r="BH2076" t="s">
        <v>84</v>
      </c>
      <c r="BI2076" t="s">
        <v>85</v>
      </c>
    </row>
    <row r="2077" spans="1:61" x14ac:dyDescent="0.3">
      <c r="A2077" t="str">
        <f>"201124C0400"</f>
        <v>201124C0400</v>
      </c>
      <c r="B2077" t="s">
        <v>4252</v>
      </c>
      <c r="C2077">
        <v>20</v>
      </c>
      <c r="D2077" t="s">
        <v>79</v>
      </c>
      <c r="E2077">
        <v>10</v>
      </c>
      <c r="F2077" t="s">
        <v>4190</v>
      </c>
      <c r="G2077">
        <v>1124</v>
      </c>
      <c r="H2077">
        <v>4</v>
      </c>
      <c r="I2077" t="s">
        <v>89</v>
      </c>
      <c r="J2077">
        <v>0</v>
      </c>
      <c r="K2077">
        <v>2</v>
      </c>
      <c r="L2077">
        <v>2</v>
      </c>
      <c r="M2077">
        <v>275</v>
      </c>
      <c r="N2077">
        <v>669</v>
      </c>
      <c r="O2077">
        <v>0</v>
      </c>
      <c r="P2077">
        <v>394</v>
      </c>
      <c r="Q2077">
        <v>23</v>
      </c>
      <c r="R2077">
        <v>69</v>
      </c>
      <c r="S2077">
        <v>13</v>
      </c>
      <c r="T2077">
        <v>2</v>
      </c>
      <c r="U2077">
        <v>36</v>
      </c>
      <c r="V2077">
        <v>3</v>
      </c>
      <c r="W2077">
        <v>1</v>
      </c>
      <c r="X2077">
        <v>1</v>
      </c>
      <c r="Y2077">
        <v>216</v>
      </c>
      <c r="Z2077">
        <v>4</v>
      </c>
      <c r="AB2077">
        <v>1</v>
      </c>
      <c r="AC2077">
        <v>2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8</v>
      </c>
      <c r="AL2077">
        <v>2</v>
      </c>
      <c r="AM2077">
        <v>0</v>
      </c>
      <c r="AN2077">
        <v>1</v>
      </c>
      <c r="AT2077">
        <v>0</v>
      </c>
      <c r="AU2077">
        <v>12</v>
      </c>
      <c r="AV2077">
        <v>394</v>
      </c>
      <c r="AW2077">
        <v>394</v>
      </c>
      <c r="AX2077">
        <v>647</v>
      </c>
      <c r="BA2077">
        <v>1</v>
      </c>
      <c r="BC2077" t="s">
        <v>4253</v>
      </c>
      <c r="BD2077" s="4">
        <v>43283.778946759259</v>
      </c>
      <c r="BE2077" s="4">
        <v>43283.782083333332</v>
      </c>
      <c r="BF2077" s="4">
        <v>43283.782083333332</v>
      </c>
      <c r="BG2077" t="s">
        <v>83</v>
      </c>
      <c r="BH2077" t="s">
        <v>84</v>
      </c>
      <c r="BI2077" t="s">
        <v>85</v>
      </c>
    </row>
    <row r="2078" spans="1:61" x14ac:dyDescent="0.3">
      <c r="A2078" t="str">
        <f>"201124C0500"</f>
        <v>201124C0500</v>
      </c>
      <c r="B2078" t="s">
        <v>4254</v>
      </c>
      <c r="C2078">
        <v>20</v>
      </c>
      <c r="D2078" t="s">
        <v>79</v>
      </c>
      <c r="E2078">
        <v>10</v>
      </c>
      <c r="F2078" t="s">
        <v>4190</v>
      </c>
      <c r="G2078">
        <v>1124</v>
      </c>
      <c r="H2078">
        <v>5</v>
      </c>
      <c r="I2078" t="s">
        <v>89</v>
      </c>
      <c r="J2078">
        <v>0</v>
      </c>
      <c r="K2078">
        <v>2</v>
      </c>
      <c r="L2078">
        <v>2</v>
      </c>
      <c r="M2078">
        <v>298</v>
      </c>
      <c r="N2078">
        <v>370</v>
      </c>
      <c r="O2078">
        <v>0</v>
      </c>
      <c r="P2078">
        <v>370</v>
      </c>
      <c r="Q2078">
        <v>18</v>
      </c>
      <c r="R2078">
        <v>78</v>
      </c>
      <c r="S2078">
        <v>7</v>
      </c>
      <c r="T2078">
        <v>2</v>
      </c>
      <c r="U2078">
        <v>35</v>
      </c>
      <c r="V2078">
        <v>1</v>
      </c>
      <c r="W2078">
        <v>2</v>
      </c>
      <c r="X2078">
        <v>3</v>
      </c>
      <c r="Y2078">
        <v>175</v>
      </c>
      <c r="Z2078">
        <v>13</v>
      </c>
      <c r="AB2078">
        <v>1</v>
      </c>
      <c r="AC2078">
        <v>0</v>
      </c>
      <c r="AD2078">
        <v>2</v>
      </c>
      <c r="AE2078">
        <v>0</v>
      </c>
      <c r="AF2078">
        <v>0</v>
      </c>
      <c r="AG2078">
        <v>2</v>
      </c>
      <c r="AH2078">
        <v>1</v>
      </c>
      <c r="AI2078">
        <v>0</v>
      </c>
      <c r="AJ2078">
        <v>0</v>
      </c>
      <c r="AK2078">
        <v>8</v>
      </c>
      <c r="AL2078">
        <v>3</v>
      </c>
      <c r="AM2078">
        <v>0</v>
      </c>
      <c r="AN2078">
        <v>0</v>
      </c>
      <c r="AT2078">
        <v>0</v>
      </c>
      <c r="AU2078">
        <v>9</v>
      </c>
      <c r="AV2078">
        <v>370</v>
      </c>
      <c r="AW2078">
        <v>360</v>
      </c>
      <c r="AX2078">
        <v>646</v>
      </c>
      <c r="BA2078">
        <v>1</v>
      </c>
      <c r="BC2078" t="s">
        <v>4255</v>
      </c>
      <c r="BD2078" s="4">
        <v>43283.767314814817</v>
      </c>
      <c r="BE2078" s="4">
        <v>43283.77202546296</v>
      </c>
      <c r="BF2078" s="4">
        <v>43283.77202546296</v>
      </c>
      <c r="BG2078" t="s">
        <v>83</v>
      </c>
      <c r="BH2078" t="s">
        <v>84</v>
      </c>
      <c r="BI2078" t="s">
        <v>85</v>
      </c>
    </row>
    <row r="2079" spans="1:61" x14ac:dyDescent="0.3">
      <c r="A2079" t="str">
        <f>"201124S0100"</f>
        <v>201124S0100</v>
      </c>
      <c r="B2079" t="s">
        <v>4256</v>
      </c>
      <c r="C2079">
        <v>20</v>
      </c>
      <c r="D2079" t="s">
        <v>79</v>
      </c>
      <c r="E2079">
        <v>10</v>
      </c>
      <c r="F2079" t="s">
        <v>4190</v>
      </c>
      <c r="G2079">
        <v>1124</v>
      </c>
      <c r="H2079">
        <v>1</v>
      </c>
      <c r="I2079" t="s">
        <v>104</v>
      </c>
      <c r="J2079">
        <v>0</v>
      </c>
      <c r="K2079">
        <v>2</v>
      </c>
      <c r="L2079">
        <v>3</v>
      </c>
      <c r="M2079">
        <v>414</v>
      </c>
      <c r="N2079">
        <v>149</v>
      </c>
      <c r="O2079">
        <v>0</v>
      </c>
      <c r="P2079">
        <v>149</v>
      </c>
      <c r="Q2079">
        <v>11</v>
      </c>
      <c r="R2079">
        <v>23</v>
      </c>
      <c r="S2079">
        <v>5</v>
      </c>
      <c r="T2079">
        <v>0</v>
      </c>
      <c r="U2079">
        <v>14</v>
      </c>
      <c r="V2079">
        <v>1</v>
      </c>
      <c r="W2079">
        <v>1</v>
      </c>
      <c r="X2079">
        <v>1</v>
      </c>
      <c r="Y2079">
        <v>83</v>
      </c>
      <c r="Z2079">
        <v>3</v>
      </c>
      <c r="AB2079">
        <v>1</v>
      </c>
      <c r="AC2079">
        <v>0</v>
      </c>
      <c r="AD2079">
        <v>1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2</v>
      </c>
      <c r="AM2079">
        <v>0</v>
      </c>
      <c r="AN2079">
        <v>1</v>
      </c>
      <c r="AT2079">
        <v>0</v>
      </c>
      <c r="AU2079">
        <v>2</v>
      </c>
      <c r="AV2079">
        <v>149</v>
      </c>
      <c r="AW2079">
        <v>149</v>
      </c>
      <c r="AX2079">
        <v>0</v>
      </c>
      <c r="BA2079">
        <v>1</v>
      </c>
      <c r="BC2079" t="s">
        <v>4257</v>
      </c>
      <c r="BD2079" s="4">
        <v>43283.806550925925</v>
      </c>
      <c r="BE2079" s="4">
        <v>43283.809212962966</v>
      </c>
      <c r="BF2079" s="4">
        <v>43283.809212962966</v>
      </c>
      <c r="BG2079" t="s">
        <v>83</v>
      </c>
      <c r="BH2079" t="s">
        <v>84</v>
      </c>
      <c r="BI2079" t="s">
        <v>85</v>
      </c>
    </row>
    <row r="2080" spans="1:61" x14ac:dyDescent="0.3">
      <c r="A2080" t="str">
        <f>"201125B0100"</f>
        <v>201125B0100</v>
      </c>
      <c r="B2080" t="s">
        <v>4258</v>
      </c>
      <c r="C2080">
        <v>20</v>
      </c>
      <c r="D2080" t="s">
        <v>79</v>
      </c>
      <c r="E2080">
        <v>10</v>
      </c>
      <c r="F2080" t="s">
        <v>4190</v>
      </c>
      <c r="G2080">
        <v>1125</v>
      </c>
      <c r="H2080">
        <v>1</v>
      </c>
      <c r="I2080" t="s">
        <v>81</v>
      </c>
      <c r="J2080">
        <v>0</v>
      </c>
      <c r="K2080">
        <v>2</v>
      </c>
      <c r="L2080">
        <v>2</v>
      </c>
      <c r="M2080">
        <v>208</v>
      </c>
      <c r="N2080">
        <v>294</v>
      </c>
      <c r="O2080">
        <v>1</v>
      </c>
      <c r="P2080">
        <v>294</v>
      </c>
      <c r="Q2080">
        <v>16</v>
      </c>
      <c r="R2080">
        <v>97</v>
      </c>
      <c r="S2080">
        <v>6</v>
      </c>
      <c r="T2080">
        <v>4</v>
      </c>
      <c r="U2080">
        <v>15</v>
      </c>
      <c r="V2080">
        <v>2</v>
      </c>
      <c r="W2080">
        <v>1</v>
      </c>
      <c r="X2080">
        <v>3</v>
      </c>
      <c r="Y2080">
        <v>20</v>
      </c>
      <c r="Z2080">
        <v>4</v>
      </c>
      <c r="AB2080">
        <v>0</v>
      </c>
      <c r="AC2080">
        <v>1</v>
      </c>
      <c r="AD2080">
        <v>0</v>
      </c>
      <c r="AE2080">
        <v>0</v>
      </c>
      <c r="AF2080">
        <v>0</v>
      </c>
      <c r="AG2080">
        <v>1</v>
      </c>
      <c r="AH2080">
        <v>1</v>
      </c>
      <c r="AI2080">
        <v>0</v>
      </c>
      <c r="AJ2080">
        <v>0</v>
      </c>
      <c r="AK2080">
        <v>6</v>
      </c>
      <c r="AL2080">
        <v>0</v>
      </c>
      <c r="AM2080">
        <v>5</v>
      </c>
      <c r="AN2080">
        <v>2</v>
      </c>
      <c r="AT2080">
        <v>0</v>
      </c>
      <c r="AU2080">
        <v>10</v>
      </c>
      <c r="AV2080">
        <v>294</v>
      </c>
      <c r="AW2080">
        <v>194</v>
      </c>
      <c r="AX2080">
        <v>480</v>
      </c>
      <c r="BA2080">
        <v>1</v>
      </c>
      <c r="BC2080" t="s">
        <v>4259</v>
      </c>
      <c r="BD2080" s="4">
        <v>43283.814895833333</v>
      </c>
      <c r="BE2080" s="4">
        <v>43283.818379629629</v>
      </c>
      <c r="BF2080" s="4">
        <v>43283.818379629629</v>
      </c>
      <c r="BG2080" t="s">
        <v>83</v>
      </c>
      <c r="BH2080" t="s">
        <v>84</v>
      </c>
      <c r="BI2080" t="s">
        <v>85</v>
      </c>
    </row>
    <row r="2081" spans="1:61" x14ac:dyDescent="0.3">
      <c r="A2081" t="str">
        <f>"201125C0100"</f>
        <v>201125C0100</v>
      </c>
      <c r="B2081" t="s">
        <v>4260</v>
      </c>
      <c r="C2081">
        <v>20</v>
      </c>
      <c r="D2081" t="s">
        <v>79</v>
      </c>
      <c r="E2081">
        <v>10</v>
      </c>
      <c r="F2081" t="s">
        <v>4190</v>
      </c>
      <c r="G2081">
        <v>1125</v>
      </c>
      <c r="H2081">
        <v>1</v>
      </c>
      <c r="I2081" t="s">
        <v>89</v>
      </c>
      <c r="J2081">
        <v>0</v>
      </c>
      <c r="K2081">
        <v>2</v>
      </c>
      <c r="L2081">
        <v>2</v>
      </c>
      <c r="M2081">
        <v>203</v>
      </c>
      <c r="N2081">
        <v>299</v>
      </c>
      <c r="O2081">
        <v>0</v>
      </c>
      <c r="P2081">
        <v>299</v>
      </c>
      <c r="Q2081">
        <v>22</v>
      </c>
      <c r="R2081">
        <v>74</v>
      </c>
      <c r="S2081">
        <v>6</v>
      </c>
      <c r="T2081">
        <v>0</v>
      </c>
      <c r="U2081">
        <v>18</v>
      </c>
      <c r="V2081">
        <v>3</v>
      </c>
      <c r="W2081">
        <v>1</v>
      </c>
      <c r="X2081">
        <v>3</v>
      </c>
      <c r="Y2081">
        <v>137</v>
      </c>
      <c r="Z2081">
        <v>9</v>
      </c>
      <c r="AB2081">
        <v>1</v>
      </c>
      <c r="AC2081">
        <v>1</v>
      </c>
      <c r="AD2081">
        <v>0</v>
      </c>
      <c r="AE2081">
        <v>1</v>
      </c>
      <c r="AF2081">
        <v>0</v>
      </c>
      <c r="AG2081">
        <v>1</v>
      </c>
      <c r="AH2081">
        <v>1</v>
      </c>
      <c r="AI2081">
        <v>0</v>
      </c>
      <c r="AJ2081">
        <v>0</v>
      </c>
      <c r="AK2081">
        <v>5</v>
      </c>
      <c r="AL2081">
        <v>2</v>
      </c>
      <c r="AM2081">
        <v>0</v>
      </c>
      <c r="AN2081">
        <v>1</v>
      </c>
      <c r="AT2081">
        <v>1</v>
      </c>
      <c r="AU2081">
        <v>12</v>
      </c>
      <c r="AV2081">
        <v>299</v>
      </c>
      <c r="AW2081">
        <v>299</v>
      </c>
      <c r="AX2081">
        <v>480</v>
      </c>
      <c r="BA2081">
        <v>1</v>
      </c>
      <c r="BC2081" t="s">
        <v>4261</v>
      </c>
      <c r="BD2081" s="4">
        <v>43283.791388888887</v>
      </c>
      <c r="BE2081" s="4">
        <v>43283.794490740744</v>
      </c>
      <c r="BF2081" s="4">
        <v>43283.794490740744</v>
      </c>
      <c r="BG2081" t="s">
        <v>83</v>
      </c>
      <c r="BH2081" t="s">
        <v>84</v>
      </c>
      <c r="BI2081" t="s">
        <v>85</v>
      </c>
    </row>
    <row r="2082" spans="1:61" x14ac:dyDescent="0.3">
      <c r="A2082" t="str">
        <f>"201125E0100"</f>
        <v>201125E0100</v>
      </c>
      <c r="B2082" s="2" t="s">
        <v>4262</v>
      </c>
      <c r="C2082">
        <v>20</v>
      </c>
      <c r="D2082" t="s">
        <v>79</v>
      </c>
      <c r="E2082">
        <v>10</v>
      </c>
      <c r="F2082" t="s">
        <v>4190</v>
      </c>
      <c r="G2082">
        <v>1125</v>
      </c>
      <c r="H2082">
        <v>1</v>
      </c>
      <c r="I2082" t="s">
        <v>145</v>
      </c>
      <c r="J2082">
        <v>0</v>
      </c>
      <c r="K2082">
        <v>2</v>
      </c>
      <c r="L2082">
        <v>2</v>
      </c>
      <c r="M2082">
        <v>203</v>
      </c>
      <c r="N2082">
        <v>332</v>
      </c>
      <c r="O2082">
        <v>0</v>
      </c>
      <c r="P2082">
        <v>330</v>
      </c>
      <c r="Q2082">
        <v>28</v>
      </c>
      <c r="R2082">
        <v>34</v>
      </c>
      <c r="S2082">
        <v>15</v>
      </c>
      <c r="T2082">
        <v>6</v>
      </c>
      <c r="U2082">
        <v>49</v>
      </c>
      <c r="V2082">
        <v>5</v>
      </c>
      <c r="W2082">
        <v>1</v>
      </c>
      <c r="X2082">
        <v>5</v>
      </c>
      <c r="Y2082">
        <v>140</v>
      </c>
      <c r="Z2082">
        <v>14</v>
      </c>
      <c r="AB2082">
        <v>0</v>
      </c>
      <c r="AC2082">
        <v>1</v>
      </c>
      <c r="AD2082">
        <v>0</v>
      </c>
      <c r="AE2082">
        <v>1</v>
      </c>
      <c r="AF2082">
        <v>0</v>
      </c>
      <c r="AG2082">
        <v>1</v>
      </c>
      <c r="AH2082">
        <v>1</v>
      </c>
      <c r="AI2082">
        <v>0</v>
      </c>
      <c r="AJ2082">
        <v>0</v>
      </c>
      <c r="AK2082">
        <v>6</v>
      </c>
      <c r="AL2082">
        <v>4</v>
      </c>
      <c r="AM2082">
        <v>0</v>
      </c>
      <c r="AN2082">
        <v>3</v>
      </c>
      <c r="AT2082">
        <v>0</v>
      </c>
      <c r="AU2082">
        <v>16</v>
      </c>
      <c r="AV2082">
        <v>330</v>
      </c>
      <c r="AW2082">
        <v>330</v>
      </c>
      <c r="AX2082">
        <v>512</v>
      </c>
      <c r="BA2082">
        <v>1</v>
      </c>
      <c r="BC2082" t="s">
        <v>4263</v>
      </c>
      <c r="BD2082" s="4">
        <v>43283.809861111113</v>
      </c>
      <c r="BE2082" s="4">
        <v>43283.813657407409</v>
      </c>
      <c r="BF2082" s="4">
        <v>43283.813657407409</v>
      </c>
      <c r="BG2082" t="s">
        <v>83</v>
      </c>
      <c r="BH2082" t="s">
        <v>84</v>
      </c>
      <c r="BI2082" t="s">
        <v>85</v>
      </c>
    </row>
    <row r="2083" spans="1:61" x14ac:dyDescent="0.3">
      <c r="A2083" t="str">
        <f>"201126B0100"</f>
        <v>201126B0100</v>
      </c>
      <c r="B2083" t="s">
        <v>4264</v>
      </c>
      <c r="C2083">
        <v>20</v>
      </c>
      <c r="D2083" t="s">
        <v>79</v>
      </c>
      <c r="E2083">
        <v>10</v>
      </c>
      <c r="F2083" t="s">
        <v>4190</v>
      </c>
      <c r="G2083">
        <v>1126</v>
      </c>
      <c r="H2083">
        <v>1</v>
      </c>
      <c r="I2083" t="s">
        <v>81</v>
      </c>
      <c r="J2083">
        <v>0</v>
      </c>
      <c r="K2083">
        <v>2</v>
      </c>
      <c r="L2083">
        <v>2</v>
      </c>
      <c r="M2083">
        <v>349</v>
      </c>
      <c r="N2083">
        <v>411</v>
      </c>
      <c r="O2083">
        <v>6</v>
      </c>
      <c r="P2083">
        <v>411</v>
      </c>
      <c r="Q2083">
        <v>37</v>
      </c>
      <c r="R2083">
        <v>11</v>
      </c>
      <c r="S2083">
        <v>12</v>
      </c>
      <c r="T2083">
        <v>1</v>
      </c>
      <c r="U2083">
        <v>34</v>
      </c>
      <c r="V2083">
        <v>15</v>
      </c>
      <c r="W2083">
        <v>2</v>
      </c>
      <c r="X2083">
        <v>19</v>
      </c>
      <c r="Y2083">
        <v>248</v>
      </c>
      <c r="Z2083">
        <v>3</v>
      </c>
      <c r="AB2083">
        <v>3</v>
      </c>
      <c r="AC2083">
        <v>3</v>
      </c>
      <c r="AD2083">
        <v>1</v>
      </c>
      <c r="AE2083">
        <v>0</v>
      </c>
      <c r="AF2083">
        <v>0</v>
      </c>
      <c r="AG2083">
        <v>1</v>
      </c>
      <c r="AH2083">
        <v>0</v>
      </c>
      <c r="AI2083">
        <v>0</v>
      </c>
      <c r="AJ2083">
        <v>0</v>
      </c>
      <c r="AK2083">
        <v>8</v>
      </c>
      <c r="AL2083">
        <v>4</v>
      </c>
      <c r="AM2083">
        <v>0</v>
      </c>
      <c r="AN2083">
        <v>2</v>
      </c>
      <c r="AT2083">
        <v>0</v>
      </c>
      <c r="AU2083">
        <v>9</v>
      </c>
      <c r="AV2083">
        <v>411</v>
      </c>
      <c r="AW2083">
        <v>413</v>
      </c>
      <c r="AX2083">
        <v>738</v>
      </c>
      <c r="BA2083">
        <v>1</v>
      </c>
      <c r="BC2083" t="s">
        <v>4265</v>
      </c>
      <c r="BD2083" s="4">
        <v>43283.787442129629</v>
      </c>
      <c r="BE2083" s="4">
        <v>43283.790543981479</v>
      </c>
      <c r="BF2083" s="4">
        <v>43283.790543981479</v>
      </c>
      <c r="BG2083" t="s">
        <v>83</v>
      </c>
      <c r="BH2083" t="s">
        <v>84</v>
      </c>
      <c r="BI2083" t="s">
        <v>85</v>
      </c>
    </row>
    <row r="2084" spans="1:61" x14ac:dyDescent="0.3">
      <c r="A2084" t="str">
        <f>"201126C0100"</f>
        <v>201126C0100</v>
      </c>
      <c r="B2084" t="s">
        <v>4266</v>
      </c>
      <c r="C2084">
        <v>20</v>
      </c>
      <c r="D2084" t="s">
        <v>79</v>
      </c>
      <c r="E2084">
        <v>10</v>
      </c>
      <c r="F2084" t="s">
        <v>4190</v>
      </c>
      <c r="G2084">
        <v>1126</v>
      </c>
      <c r="H2084">
        <v>1</v>
      </c>
      <c r="I2084" t="s">
        <v>89</v>
      </c>
      <c r="J2084">
        <v>0</v>
      </c>
      <c r="K2084">
        <v>2</v>
      </c>
      <c r="L2084">
        <v>2</v>
      </c>
      <c r="AX2084">
        <v>738</v>
      </c>
      <c r="AZ2084" t="s">
        <v>156</v>
      </c>
      <c r="BA2084">
        <v>0</v>
      </c>
      <c r="BC2084" t="s">
        <v>4267</v>
      </c>
      <c r="BD2084" s="4">
        <v>43283.818749999999</v>
      </c>
      <c r="BE2084" s="4">
        <v>43283.830891203703</v>
      </c>
      <c r="BF2084" s="4">
        <v>43283.830891203703</v>
      </c>
      <c r="BG2084" t="s">
        <v>83</v>
      </c>
      <c r="BH2084" t="s">
        <v>84</v>
      </c>
      <c r="BI2084" t="s">
        <v>85</v>
      </c>
    </row>
    <row r="2085" spans="1:61" x14ac:dyDescent="0.3">
      <c r="A2085" t="str">
        <f>"201127B0100"</f>
        <v>201127B0100</v>
      </c>
      <c r="B2085" t="s">
        <v>4268</v>
      </c>
      <c r="C2085">
        <v>20</v>
      </c>
      <c r="D2085" t="s">
        <v>79</v>
      </c>
      <c r="E2085">
        <v>10</v>
      </c>
      <c r="F2085" t="s">
        <v>4190</v>
      </c>
      <c r="G2085">
        <v>1127</v>
      </c>
      <c r="H2085">
        <v>1</v>
      </c>
      <c r="I2085" t="s">
        <v>81</v>
      </c>
      <c r="J2085">
        <v>0</v>
      </c>
      <c r="K2085">
        <v>2</v>
      </c>
      <c r="L2085">
        <v>2</v>
      </c>
      <c r="M2085">
        <v>212</v>
      </c>
      <c r="N2085">
        <v>463</v>
      </c>
      <c r="O2085">
        <v>1</v>
      </c>
      <c r="P2085">
        <v>463</v>
      </c>
      <c r="Q2085">
        <v>34</v>
      </c>
      <c r="R2085">
        <v>107</v>
      </c>
      <c r="S2085">
        <v>26</v>
      </c>
      <c r="T2085">
        <v>10</v>
      </c>
      <c r="U2085">
        <v>68</v>
      </c>
      <c r="V2085">
        <v>7</v>
      </c>
      <c r="W2085">
        <v>4</v>
      </c>
      <c r="X2085">
        <v>12</v>
      </c>
      <c r="Y2085">
        <v>143</v>
      </c>
      <c r="Z2085">
        <v>15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1</v>
      </c>
      <c r="AH2085">
        <v>3</v>
      </c>
      <c r="AI2085">
        <v>1</v>
      </c>
      <c r="AJ2085">
        <v>1</v>
      </c>
      <c r="AK2085">
        <v>2</v>
      </c>
      <c r="AL2085">
        <v>0</v>
      </c>
      <c r="AM2085">
        <v>2</v>
      </c>
      <c r="AN2085">
        <v>1</v>
      </c>
      <c r="AT2085">
        <v>0</v>
      </c>
      <c r="AU2085">
        <v>26</v>
      </c>
      <c r="AV2085">
        <v>463</v>
      </c>
      <c r="AW2085">
        <v>463</v>
      </c>
      <c r="AX2085">
        <v>653</v>
      </c>
      <c r="BA2085">
        <v>1</v>
      </c>
      <c r="BC2085" t="s">
        <v>4269</v>
      </c>
      <c r="BD2085" s="4">
        <v>43283.753541666665</v>
      </c>
      <c r="BE2085" s="4">
        <v>43283.757280092592</v>
      </c>
      <c r="BF2085" s="4">
        <v>43283.757280092592</v>
      </c>
      <c r="BG2085" t="s">
        <v>83</v>
      </c>
      <c r="BH2085" t="s">
        <v>84</v>
      </c>
      <c r="BI2085" t="s">
        <v>85</v>
      </c>
    </row>
    <row r="2086" spans="1:61" x14ac:dyDescent="0.3">
      <c r="A2086" t="str">
        <f>"201127E0100"</f>
        <v>201127E0100</v>
      </c>
      <c r="B2086" s="2" t="s">
        <v>4270</v>
      </c>
      <c r="C2086">
        <v>20</v>
      </c>
      <c r="D2086" t="s">
        <v>79</v>
      </c>
      <c r="E2086">
        <v>10</v>
      </c>
      <c r="F2086" t="s">
        <v>4190</v>
      </c>
      <c r="G2086">
        <v>1127</v>
      </c>
      <c r="H2086">
        <v>1</v>
      </c>
      <c r="I2086" t="s">
        <v>145</v>
      </c>
      <c r="J2086">
        <v>0</v>
      </c>
      <c r="K2086">
        <v>2</v>
      </c>
      <c r="L2086">
        <v>2</v>
      </c>
      <c r="M2086">
        <v>115</v>
      </c>
      <c r="N2086">
        <v>339</v>
      </c>
      <c r="O2086">
        <v>4</v>
      </c>
      <c r="P2086">
        <v>339</v>
      </c>
      <c r="Q2086">
        <v>191</v>
      </c>
      <c r="R2086">
        <v>11</v>
      </c>
      <c r="S2086">
        <v>8</v>
      </c>
      <c r="T2086">
        <v>4</v>
      </c>
      <c r="U2086">
        <v>14</v>
      </c>
      <c r="V2086">
        <v>15</v>
      </c>
      <c r="W2086">
        <v>1</v>
      </c>
      <c r="X2086">
        <v>6</v>
      </c>
      <c r="Y2086">
        <v>39</v>
      </c>
      <c r="Z2086">
        <v>5</v>
      </c>
      <c r="AB2086">
        <v>0</v>
      </c>
      <c r="AC2086">
        <v>0</v>
      </c>
      <c r="AD2086">
        <v>2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2</v>
      </c>
      <c r="AL2086">
        <v>1</v>
      </c>
      <c r="AM2086">
        <v>1</v>
      </c>
      <c r="AN2086">
        <v>0</v>
      </c>
      <c r="AT2086">
        <v>0</v>
      </c>
      <c r="AU2086">
        <v>49</v>
      </c>
      <c r="AV2086">
        <v>339</v>
      </c>
      <c r="AW2086">
        <v>349</v>
      </c>
      <c r="AX2086">
        <v>432</v>
      </c>
      <c r="BA2086">
        <v>1</v>
      </c>
      <c r="BC2086" t="s">
        <v>4271</v>
      </c>
      <c r="BD2086" s="4">
        <v>43283.75681712963</v>
      </c>
      <c r="BE2086" s="4">
        <v>43283.760474537034</v>
      </c>
      <c r="BF2086" s="4">
        <v>43283.760474537034</v>
      </c>
      <c r="BG2086" t="s">
        <v>83</v>
      </c>
      <c r="BH2086" t="s">
        <v>84</v>
      </c>
      <c r="BI2086" t="s">
        <v>85</v>
      </c>
    </row>
    <row r="2087" spans="1:61" x14ac:dyDescent="0.3">
      <c r="A2087" t="str">
        <f>"201127E0101"</f>
        <v>201127E0101</v>
      </c>
      <c r="B2087" s="2" t="s">
        <v>4272</v>
      </c>
      <c r="C2087">
        <v>20</v>
      </c>
      <c r="D2087" t="s">
        <v>79</v>
      </c>
      <c r="E2087">
        <v>10</v>
      </c>
      <c r="F2087" t="s">
        <v>4190</v>
      </c>
      <c r="G2087">
        <v>1127</v>
      </c>
      <c r="H2087">
        <v>1</v>
      </c>
      <c r="I2087" t="s">
        <v>145</v>
      </c>
      <c r="J2087">
        <v>1</v>
      </c>
      <c r="K2087">
        <v>2</v>
      </c>
      <c r="L2087">
        <v>2</v>
      </c>
      <c r="M2087">
        <v>118</v>
      </c>
      <c r="N2087">
        <v>336</v>
      </c>
      <c r="O2087">
        <v>3</v>
      </c>
      <c r="P2087">
        <v>336</v>
      </c>
      <c r="Q2087">
        <v>191</v>
      </c>
      <c r="R2087">
        <v>5</v>
      </c>
      <c r="S2087">
        <v>12</v>
      </c>
      <c r="T2087">
        <v>2</v>
      </c>
      <c r="U2087">
        <v>20</v>
      </c>
      <c r="V2087">
        <v>7</v>
      </c>
      <c r="W2087">
        <v>1</v>
      </c>
      <c r="X2087">
        <v>2</v>
      </c>
      <c r="Y2087">
        <v>42</v>
      </c>
      <c r="Z2087">
        <v>4</v>
      </c>
      <c r="AB2087">
        <v>1</v>
      </c>
      <c r="AC2087">
        <v>0</v>
      </c>
      <c r="AD2087">
        <v>1</v>
      </c>
      <c r="AE2087">
        <v>2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1</v>
      </c>
      <c r="AT2087">
        <v>0</v>
      </c>
      <c r="AU2087">
        <v>45</v>
      </c>
      <c r="AV2087">
        <v>336</v>
      </c>
      <c r="AW2087">
        <v>336</v>
      </c>
      <c r="AX2087">
        <v>432</v>
      </c>
      <c r="BA2087">
        <v>1</v>
      </c>
      <c r="BC2087" t="s">
        <v>4273</v>
      </c>
      <c r="BD2087" s="4">
        <v>43283.722939814812</v>
      </c>
      <c r="BE2087" s="4">
        <v>43283.725937499999</v>
      </c>
      <c r="BF2087" s="4">
        <v>43283.725937499999</v>
      </c>
      <c r="BG2087" t="s">
        <v>83</v>
      </c>
      <c r="BH2087" t="s">
        <v>84</v>
      </c>
      <c r="BI2087" t="s">
        <v>85</v>
      </c>
    </row>
    <row r="2088" spans="1:61" x14ac:dyDescent="0.3">
      <c r="A2088" t="str">
        <f>"201128B0100"</f>
        <v>201128B0100</v>
      </c>
      <c r="B2088" t="s">
        <v>4274</v>
      </c>
      <c r="C2088">
        <v>20</v>
      </c>
      <c r="D2088" t="s">
        <v>79</v>
      </c>
      <c r="E2088">
        <v>10</v>
      </c>
      <c r="F2088" t="s">
        <v>4190</v>
      </c>
      <c r="G2088">
        <v>1128</v>
      </c>
      <c r="H2088">
        <v>1</v>
      </c>
      <c r="I2088" t="s">
        <v>81</v>
      </c>
      <c r="J2088">
        <v>0</v>
      </c>
      <c r="K2088">
        <v>2</v>
      </c>
      <c r="L2088">
        <v>2</v>
      </c>
      <c r="M2088">
        <v>63</v>
      </c>
      <c r="N2088">
        <v>125</v>
      </c>
      <c r="O2088">
        <v>1</v>
      </c>
      <c r="P2088">
        <v>125</v>
      </c>
      <c r="Q2088">
        <v>4</v>
      </c>
      <c r="R2088">
        <v>5</v>
      </c>
      <c r="S2088">
        <v>3</v>
      </c>
      <c r="T2088">
        <v>2</v>
      </c>
      <c r="U2088">
        <v>17</v>
      </c>
      <c r="V2088">
        <v>2</v>
      </c>
      <c r="W2088">
        <v>1</v>
      </c>
      <c r="X2088">
        <v>0</v>
      </c>
      <c r="Y2088">
        <v>84</v>
      </c>
      <c r="Z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1</v>
      </c>
      <c r="AM2088">
        <v>0</v>
      </c>
      <c r="AN2088">
        <v>0</v>
      </c>
      <c r="AT2088">
        <v>0</v>
      </c>
      <c r="AU2088">
        <v>6</v>
      </c>
      <c r="AV2088">
        <v>125</v>
      </c>
      <c r="AW2088">
        <v>125</v>
      </c>
      <c r="AX2088">
        <v>166</v>
      </c>
      <c r="BA2088">
        <v>1</v>
      </c>
      <c r="BC2088" t="s">
        <v>4275</v>
      </c>
      <c r="BD2088" s="4">
        <v>43283.813518518517</v>
      </c>
      <c r="BE2088" s="4">
        <v>43283.816689814812</v>
      </c>
      <c r="BF2088" s="4">
        <v>43283.816689814812</v>
      </c>
      <c r="BG2088" t="s">
        <v>83</v>
      </c>
      <c r="BH2088" t="s">
        <v>84</v>
      </c>
      <c r="BI2088" t="s">
        <v>85</v>
      </c>
    </row>
    <row r="2089" spans="1:61" x14ac:dyDescent="0.3">
      <c r="A2089" t="str">
        <f>"201128E0100"</f>
        <v>201128E0100</v>
      </c>
      <c r="B2089" s="2" t="s">
        <v>4276</v>
      </c>
      <c r="C2089">
        <v>20</v>
      </c>
      <c r="D2089" t="s">
        <v>79</v>
      </c>
      <c r="E2089">
        <v>10</v>
      </c>
      <c r="F2089" t="s">
        <v>4190</v>
      </c>
      <c r="G2089">
        <v>1128</v>
      </c>
      <c r="H2089">
        <v>1</v>
      </c>
      <c r="I2089" t="s">
        <v>145</v>
      </c>
      <c r="J2089">
        <v>0</v>
      </c>
      <c r="K2089">
        <v>2</v>
      </c>
      <c r="L2089">
        <v>2</v>
      </c>
      <c r="M2089">
        <v>61</v>
      </c>
      <c r="N2089">
        <v>117</v>
      </c>
      <c r="O2089">
        <v>1</v>
      </c>
      <c r="P2089">
        <v>117</v>
      </c>
      <c r="Q2089">
        <v>13</v>
      </c>
      <c r="R2089">
        <v>30</v>
      </c>
      <c r="S2089">
        <v>10</v>
      </c>
      <c r="T2089">
        <v>2</v>
      </c>
      <c r="U2089">
        <v>6</v>
      </c>
      <c r="V2089">
        <v>0</v>
      </c>
      <c r="W2089">
        <v>0</v>
      </c>
      <c r="X2089">
        <v>1</v>
      </c>
      <c r="Y2089">
        <v>34</v>
      </c>
      <c r="Z2089">
        <v>3</v>
      </c>
      <c r="AB2089" t="s">
        <v>100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T2089">
        <v>0</v>
      </c>
      <c r="AU2089">
        <v>18</v>
      </c>
      <c r="AV2089">
        <v>117</v>
      </c>
      <c r="AW2089">
        <v>117</v>
      </c>
      <c r="AX2089">
        <v>156</v>
      </c>
      <c r="AZ2089" t="s">
        <v>101</v>
      </c>
      <c r="BA2089">
        <v>1</v>
      </c>
      <c r="BC2089" t="s">
        <v>4277</v>
      </c>
      <c r="BD2089" s="4">
        <v>43283.815416666665</v>
      </c>
      <c r="BE2089" s="4">
        <v>43283.818148148152</v>
      </c>
      <c r="BF2089" s="4">
        <v>43283.818148148152</v>
      </c>
      <c r="BG2089" t="s">
        <v>83</v>
      </c>
      <c r="BH2089" t="s">
        <v>84</v>
      </c>
      <c r="BI2089" t="s">
        <v>85</v>
      </c>
    </row>
    <row r="2090" spans="1:61" x14ac:dyDescent="0.3">
      <c r="A2090" t="str">
        <f>"201164B0100"</f>
        <v>201164B0100</v>
      </c>
      <c r="B2090" t="s">
        <v>4278</v>
      </c>
      <c r="C2090">
        <v>20</v>
      </c>
      <c r="D2090" t="s">
        <v>79</v>
      </c>
      <c r="E2090">
        <v>10</v>
      </c>
      <c r="F2090" t="s">
        <v>4190</v>
      </c>
      <c r="G2090">
        <v>1164</v>
      </c>
      <c r="H2090">
        <v>1</v>
      </c>
      <c r="I2090" t="s">
        <v>81</v>
      </c>
      <c r="J2090">
        <v>0</v>
      </c>
      <c r="K2090">
        <v>1</v>
      </c>
      <c r="L2090">
        <v>2</v>
      </c>
      <c r="M2090">
        <v>498</v>
      </c>
      <c r="N2090">
        <v>255</v>
      </c>
      <c r="O2090">
        <v>0</v>
      </c>
      <c r="P2090">
        <v>255</v>
      </c>
      <c r="Q2090">
        <v>16</v>
      </c>
      <c r="R2090">
        <v>20</v>
      </c>
      <c r="S2090">
        <v>10</v>
      </c>
      <c r="T2090">
        <v>5</v>
      </c>
      <c r="U2090">
        <v>36</v>
      </c>
      <c r="V2090">
        <v>6</v>
      </c>
      <c r="W2090">
        <v>1</v>
      </c>
      <c r="X2090">
        <v>8</v>
      </c>
      <c r="Y2090">
        <v>114</v>
      </c>
      <c r="Z2090">
        <v>5</v>
      </c>
      <c r="AB2090">
        <v>4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1</v>
      </c>
      <c r="AK2090">
        <v>3</v>
      </c>
      <c r="AL2090">
        <v>4</v>
      </c>
      <c r="AM2090">
        <v>0</v>
      </c>
      <c r="AN2090">
        <v>0</v>
      </c>
      <c r="AT2090">
        <v>1</v>
      </c>
      <c r="AU2090">
        <v>21</v>
      </c>
      <c r="AV2090">
        <v>255</v>
      </c>
      <c r="AW2090">
        <v>255</v>
      </c>
      <c r="AX2090">
        <v>677</v>
      </c>
      <c r="BA2090">
        <v>1</v>
      </c>
      <c r="BC2090" t="s">
        <v>4279</v>
      </c>
      <c r="BD2090" s="4">
        <v>43283.671446759261</v>
      </c>
      <c r="BE2090" s="4">
        <v>43283.676006944443</v>
      </c>
      <c r="BF2090" s="4">
        <v>43283.676006944443</v>
      </c>
      <c r="BG2090" t="s">
        <v>83</v>
      </c>
      <c r="BH2090" t="s">
        <v>84</v>
      </c>
      <c r="BI2090" t="s">
        <v>85</v>
      </c>
    </row>
    <row r="2091" spans="1:61" x14ac:dyDescent="0.3">
      <c r="A2091" t="str">
        <f>"201165B0100"</f>
        <v>201165B0100</v>
      </c>
      <c r="B2091" t="s">
        <v>4280</v>
      </c>
      <c r="C2091">
        <v>20</v>
      </c>
      <c r="D2091" t="s">
        <v>79</v>
      </c>
      <c r="E2091">
        <v>10</v>
      </c>
      <c r="F2091" t="s">
        <v>4190</v>
      </c>
      <c r="G2091">
        <v>1165</v>
      </c>
      <c r="H2091">
        <v>1</v>
      </c>
      <c r="I2091" t="s">
        <v>81</v>
      </c>
      <c r="J2091">
        <v>0</v>
      </c>
      <c r="K2091">
        <v>1</v>
      </c>
      <c r="L2091">
        <v>2</v>
      </c>
      <c r="M2091">
        <v>350</v>
      </c>
      <c r="N2091">
        <v>615</v>
      </c>
      <c r="O2091">
        <v>0</v>
      </c>
      <c r="P2091">
        <v>265</v>
      </c>
      <c r="Q2091">
        <v>12</v>
      </c>
      <c r="R2091">
        <v>6</v>
      </c>
      <c r="S2091">
        <v>9</v>
      </c>
      <c r="T2091">
        <v>3</v>
      </c>
      <c r="U2091">
        <v>51</v>
      </c>
      <c r="V2091">
        <v>3</v>
      </c>
      <c r="W2091">
        <v>4</v>
      </c>
      <c r="X2091">
        <v>5</v>
      </c>
      <c r="Y2091">
        <v>143</v>
      </c>
      <c r="Z2091">
        <v>1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1</v>
      </c>
      <c r="AI2091">
        <v>0</v>
      </c>
      <c r="AJ2091">
        <v>0</v>
      </c>
      <c r="AK2091">
        <v>10</v>
      </c>
      <c r="AL2091">
        <v>10</v>
      </c>
      <c r="AM2091">
        <v>0</v>
      </c>
      <c r="AN2091">
        <v>0</v>
      </c>
      <c r="AT2091">
        <v>0</v>
      </c>
      <c r="AU2091">
        <v>7</v>
      </c>
      <c r="AV2091">
        <v>265</v>
      </c>
      <c r="AW2091">
        <v>265</v>
      </c>
      <c r="AX2091">
        <v>593</v>
      </c>
      <c r="BA2091">
        <v>1</v>
      </c>
      <c r="BC2091" t="s">
        <v>4281</v>
      </c>
      <c r="BD2091" s="4">
        <v>43283.116226851853</v>
      </c>
      <c r="BE2091" s="4">
        <v>43283.120486111111</v>
      </c>
      <c r="BF2091" s="4">
        <v>43283.120486111111</v>
      </c>
      <c r="BG2091" t="s">
        <v>83</v>
      </c>
      <c r="BH2091" t="s">
        <v>84</v>
      </c>
      <c r="BI2091" t="s">
        <v>85</v>
      </c>
    </row>
    <row r="2092" spans="1:61" x14ac:dyDescent="0.3">
      <c r="A2092" t="str">
        <f>"201166B0100"</f>
        <v>201166B0100</v>
      </c>
      <c r="B2092" t="s">
        <v>4282</v>
      </c>
      <c r="C2092">
        <v>20</v>
      </c>
      <c r="D2092" t="s">
        <v>79</v>
      </c>
      <c r="E2092">
        <v>10</v>
      </c>
      <c r="F2092" t="s">
        <v>4190</v>
      </c>
      <c r="G2092">
        <v>1166</v>
      </c>
      <c r="H2092">
        <v>1</v>
      </c>
      <c r="I2092" t="s">
        <v>81</v>
      </c>
      <c r="J2092">
        <v>0</v>
      </c>
      <c r="K2092">
        <v>2</v>
      </c>
      <c r="L2092">
        <v>2</v>
      </c>
      <c r="M2092">
        <v>172</v>
      </c>
      <c r="N2092">
        <v>160</v>
      </c>
      <c r="O2092">
        <v>0</v>
      </c>
      <c r="P2092">
        <v>160</v>
      </c>
      <c r="Q2092">
        <v>6</v>
      </c>
      <c r="R2092">
        <v>9</v>
      </c>
      <c r="S2092">
        <v>2</v>
      </c>
      <c r="T2092">
        <v>2</v>
      </c>
      <c r="U2092">
        <v>24</v>
      </c>
      <c r="V2092">
        <v>1</v>
      </c>
      <c r="W2092">
        <v>5</v>
      </c>
      <c r="X2092">
        <v>1</v>
      </c>
      <c r="Y2092">
        <v>89</v>
      </c>
      <c r="Z2092">
        <v>1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1</v>
      </c>
      <c r="AI2092">
        <v>0</v>
      </c>
      <c r="AJ2092">
        <v>0</v>
      </c>
      <c r="AK2092">
        <v>7</v>
      </c>
      <c r="AL2092">
        <v>0</v>
      </c>
      <c r="AM2092">
        <v>0</v>
      </c>
      <c r="AN2092">
        <v>1</v>
      </c>
      <c r="AT2092">
        <v>0</v>
      </c>
      <c r="AU2092">
        <v>11</v>
      </c>
      <c r="AV2092">
        <v>160</v>
      </c>
      <c r="AW2092">
        <v>160</v>
      </c>
      <c r="AX2092">
        <v>310</v>
      </c>
      <c r="BA2092">
        <v>1</v>
      </c>
      <c r="BC2092" t="s">
        <v>4283</v>
      </c>
      <c r="BD2092" s="4">
        <v>43283.116932870369</v>
      </c>
      <c r="BE2092" s="4">
        <v>43283.124826388892</v>
      </c>
      <c r="BF2092" s="4">
        <v>43283.124826388892</v>
      </c>
      <c r="BG2092" t="s">
        <v>83</v>
      </c>
      <c r="BH2092" t="s">
        <v>84</v>
      </c>
      <c r="BI2092" t="s">
        <v>85</v>
      </c>
    </row>
    <row r="2093" spans="1:61" x14ac:dyDescent="0.3">
      <c r="A2093" t="str">
        <f>"201167B0100"</f>
        <v>201167B0100</v>
      </c>
      <c r="B2093" t="s">
        <v>4284</v>
      </c>
      <c r="C2093">
        <v>20</v>
      </c>
      <c r="D2093" t="s">
        <v>79</v>
      </c>
      <c r="E2093">
        <v>10</v>
      </c>
      <c r="F2093" t="s">
        <v>4190</v>
      </c>
      <c r="G2093">
        <v>1167</v>
      </c>
      <c r="H2093">
        <v>1</v>
      </c>
      <c r="I2093" t="s">
        <v>81</v>
      </c>
      <c r="J2093">
        <v>0</v>
      </c>
      <c r="K2093">
        <v>2</v>
      </c>
      <c r="L2093">
        <v>2</v>
      </c>
      <c r="M2093" t="s">
        <v>100</v>
      </c>
      <c r="N2093" t="s">
        <v>100</v>
      </c>
      <c r="O2093" t="s">
        <v>100</v>
      </c>
      <c r="P2093" t="s">
        <v>100</v>
      </c>
      <c r="Q2093">
        <v>24</v>
      </c>
      <c r="R2093">
        <v>9</v>
      </c>
      <c r="S2093">
        <v>1</v>
      </c>
      <c r="T2093">
        <v>6</v>
      </c>
      <c r="U2093">
        <v>16</v>
      </c>
      <c r="V2093">
        <v>2</v>
      </c>
      <c r="W2093">
        <v>1</v>
      </c>
      <c r="X2093">
        <v>0</v>
      </c>
      <c r="Y2093">
        <v>40</v>
      </c>
      <c r="Z2093">
        <v>2</v>
      </c>
      <c r="AB2093">
        <v>2</v>
      </c>
      <c r="AC2093" t="s">
        <v>100</v>
      </c>
      <c r="AD2093" t="s">
        <v>100</v>
      </c>
      <c r="AE2093" t="s">
        <v>100</v>
      </c>
      <c r="AF2093" t="s">
        <v>100</v>
      </c>
      <c r="AG2093" t="s">
        <v>100</v>
      </c>
      <c r="AH2093" t="s">
        <v>100</v>
      </c>
      <c r="AI2093" t="s">
        <v>100</v>
      </c>
      <c r="AJ2093" t="s">
        <v>100</v>
      </c>
      <c r="AK2093" t="s">
        <v>100</v>
      </c>
      <c r="AL2093" t="s">
        <v>100</v>
      </c>
      <c r="AM2093" t="s">
        <v>100</v>
      </c>
      <c r="AN2093" t="s">
        <v>100</v>
      </c>
      <c r="AT2093" t="s">
        <v>100</v>
      </c>
      <c r="AU2093" t="s">
        <v>100</v>
      </c>
      <c r="AV2093" t="s">
        <v>100</v>
      </c>
      <c r="AW2093">
        <v>103</v>
      </c>
      <c r="AX2093">
        <v>673</v>
      </c>
      <c r="AZ2093" t="s">
        <v>101</v>
      </c>
      <c r="BA2093">
        <v>1</v>
      </c>
      <c r="BC2093" t="s">
        <v>4285</v>
      </c>
      <c r="BD2093" s="4">
        <v>43283.226273148146</v>
      </c>
      <c r="BE2093" s="4">
        <v>43283.253761574073</v>
      </c>
      <c r="BF2093" s="4">
        <v>43283.253761574073</v>
      </c>
      <c r="BG2093" t="s">
        <v>83</v>
      </c>
      <c r="BH2093" t="s">
        <v>84</v>
      </c>
      <c r="BI2093" t="s">
        <v>85</v>
      </c>
    </row>
    <row r="2094" spans="1:61" x14ac:dyDescent="0.3">
      <c r="A2094" t="str">
        <f>"201167E0100"</f>
        <v>201167E0100</v>
      </c>
      <c r="B2094" s="2" t="s">
        <v>4286</v>
      </c>
      <c r="C2094">
        <v>20</v>
      </c>
      <c r="D2094" t="s">
        <v>79</v>
      </c>
      <c r="E2094">
        <v>10</v>
      </c>
      <c r="F2094" t="s">
        <v>4190</v>
      </c>
      <c r="G2094">
        <v>1167</v>
      </c>
      <c r="H2094">
        <v>1</v>
      </c>
      <c r="I2094" t="s">
        <v>145</v>
      </c>
      <c r="J2094">
        <v>0</v>
      </c>
      <c r="K2094">
        <v>2</v>
      </c>
      <c r="L2094">
        <v>2</v>
      </c>
      <c r="M2094">
        <v>141</v>
      </c>
      <c r="N2094">
        <v>291</v>
      </c>
      <c r="O2094">
        <v>0</v>
      </c>
      <c r="P2094">
        <v>150</v>
      </c>
      <c r="Q2094">
        <v>0</v>
      </c>
      <c r="R2094">
        <v>1</v>
      </c>
      <c r="S2094">
        <v>2</v>
      </c>
      <c r="T2094">
        <v>0</v>
      </c>
      <c r="U2094">
        <v>18</v>
      </c>
      <c r="V2094">
        <v>3</v>
      </c>
      <c r="W2094">
        <v>0</v>
      </c>
      <c r="X2094">
        <v>2</v>
      </c>
      <c r="Y2094">
        <v>83</v>
      </c>
      <c r="Z2094">
        <v>2</v>
      </c>
      <c r="AB2094">
        <v>27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3</v>
      </c>
      <c r="AL2094">
        <v>2</v>
      </c>
      <c r="AM2094">
        <v>0</v>
      </c>
      <c r="AN2094">
        <v>0</v>
      </c>
      <c r="AT2094">
        <v>0</v>
      </c>
      <c r="AU2094">
        <v>6</v>
      </c>
      <c r="AV2094">
        <v>150</v>
      </c>
      <c r="AW2094">
        <v>149</v>
      </c>
      <c r="AX2094">
        <v>290</v>
      </c>
      <c r="BA2094">
        <v>1</v>
      </c>
      <c r="BC2094" t="s">
        <v>4287</v>
      </c>
      <c r="BD2094" s="4">
        <v>43283.117488425924</v>
      </c>
      <c r="BE2094" s="4">
        <v>43283.12327546296</v>
      </c>
      <c r="BF2094" s="4">
        <v>43283.12327546296</v>
      </c>
      <c r="BG2094" t="s">
        <v>83</v>
      </c>
      <c r="BH2094" t="s">
        <v>84</v>
      </c>
      <c r="BI2094" t="s">
        <v>85</v>
      </c>
    </row>
    <row r="2095" spans="1:61" x14ac:dyDescent="0.3">
      <c r="A2095" t="str">
        <f>"201177B0100"</f>
        <v>201177B0100</v>
      </c>
      <c r="B2095" t="s">
        <v>4288</v>
      </c>
      <c r="C2095">
        <v>20</v>
      </c>
      <c r="D2095" t="s">
        <v>79</v>
      </c>
      <c r="E2095">
        <v>10</v>
      </c>
      <c r="F2095" t="s">
        <v>4190</v>
      </c>
      <c r="G2095">
        <v>1177</v>
      </c>
      <c r="H2095">
        <v>1</v>
      </c>
      <c r="I2095" t="s">
        <v>81</v>
      </c>
      <c r="J2095">
        <v>0</v>
      </c>
      <c r="K2095">
        <v>2</v>
      </c>
      <c r="L2095">
        <v>2</v>
      </c>
      <c r="AX2095">
        <v>555</v>
      </c>
      <c r="AZ2095" t="s">
        <v>156</v>
      </c>
      <c r="BA2095">
        <v>0</v>
      </c>
      <c r="BC2095" s="2" t="s">
        <v>4289</v>
      </c>
      <c r="BD2095" s="4">
        <v>43283.825694444444</v>
      </c>
      <c r="BE2095" s="4">
        <v>43283.829652777778</v>
      </c>
      <c r="BF2095" s="4">
        <v>43283.829652777778</v>
      </c>
      <c r="BG2095" t="s">
        <v>83</v>
      </c>
      <c r="BH2095" t="s">
        <v>84</v>
      </c>
      <c r="BI2095" t="s">
        <v>85</v>
      </c>
    </row>
    <row r="2096" spans="1:61" x14ac:dyDescent="0.3">
      <c r="A2096" t="str">
        <f>"201177E0100"</f>
        <v>201177E0100</v>
      </c>
      <c r="B2096" s="2" t="s">
        <v>4290</v>
      </c>
      <c r="C2096">
        <v>20</v>
      </c>
      <c r="D2096" t="s">
        <v>79</v>
      </c>
      <c r="E2096">
        <v>10</v>
      </c>
      <c r="F2096" t="s">
        <v>4190</v>
      </c>
      <c r="G2096">
        <v>1177</v>
      </c>
      <c r="H2096">
        <v>1</v>
      </c>
      <c r="I2096" t="s">
        <v>145</v>
      </c>
      <c r="J2096">
        <v>0</v>
      </c>
      <c r="K2096">
        <v>2</v>
      </c>
      <c r="L2096">
        <v>2</v>
      </c>
      <c r="M2096">
        <v>152</v>
      </c>
      <c r="N2096">
        <v>546</v>
      </c>
      <c r="O2096">
        <v>0</v>
      </c>
      <c r="P2096">
        <v>546</v>
      </c>
      <c r="Q2096">
        <v>6</v>
      </c>
      <c r="R2096">
        <v>370</v>
      </c>
      <c r="S2096">
        <v>6</v>
      </c>
      <c r="T2096">
        <v>10</v>
      </c>
      <c r="U2096">
        <v>46</v>
      </c>
      <c r="V2096">
        <v>7</v>
      </c>
      <c r="W2096">
        <v>2</v>
      </c>
      <c r="X2096">
        <v>4</v>
      </c>
      <c r="Y2096">
        <v>48</v>
      </c>
      <c r="Z2096">
        <v>2</v>
      </c>
      <c r="AB2096">
        <v>1</v>
      </c>
      <c r="AC2096">
        <v>0</v>
      </c>
      <c r="AD2096">
        <v>0</v>
      </c>
      <c r="AE2096">
        <v>0</v>
      </c>
      <c r="AF2096">
        <v>0</v>
      </c>
      <c r="AG2096">
        <v>3</v>
      </c>
      <c r="AH2096">
        <v>14</v>
      </c>
      <c r="AI2096">
        <v>0</v>
      </c>
      <c r="AJ2096">
        <v>1</v>
      </c>
      <c r="AK2096">
        <v>1</v>
      </c>
      <c r="AL2096">
        <v>2</v>
      </c>
      <c r="AM2096">
        <v>1</v>
      </c>
      <c r="AN2096">
        <v>0</v>
      </c>
      <c r="AT2096">
        <v>0</v>
      </c>
      <c r="AU2096">
        <v>22</v>
      </c>
      <c r="AV2096">
        <v>546</v>
      </c>
      <c r="AW2096">
        <v>546</v>
      </c>
      <c r="AX2096">
        <v>676</v>
      </c>
      <c r="BA2096">
        <v>1</v>
      </c>
      <c r="BC2096" t="s">
        <v>4291</v>
      </c>
      <c r="BD2096" s="4">
        <v>43283.716747685183</v>
      </c>
      <c r="BE2096" s="4">
        <v>43283.720393518517</v>
      </c>
      <c r="BF2096" s="4">
        <v>43283.720393518517</v>
      </c>
      <c r="BG2096" t="s">
        <v>83</v>
      </c>
      <c r="BH2096" t="s">
        <v>84</v>
      </c>
      <c r="BI2096" t="s">
        <v>85</v>
      </c>
    </row>
    <row r="2097" spans="1:61" x14ac:dyDescent="0.3">
      <c r="A2097" t="str">
        <f>"201178B0100"</f>
        <v>201178B0100</v>
      </c>
      <c r="B2097" t="s">
        <v>4292</v>
      </c>
      <c r="C2097">
        <v>20</v>
      </c>
      <c r="D2097" t="s">
        <v>79</v>
      </c>
      <c r="E2097">
        <v>10</v>
      </c>
      <c r="F2097" t="s">
        <v>4190</v>
      </c>
      <c r="G2097">
        <v>1178</v>
      </c>
      <c r="H2097">
        <v>1</v>
      </c>
      <c r="I2097" t="s">
        <v>81</v>
      </c>
      <c r="J2097">
        <v>0</v>
      </c>
      <c r="K2097">
        <v>2</v>
      </c>
      <c r="L2097">
        <v>2</v>
      </c>
      <c r="M2097">
        <v>284</v>
      </c>
      <c r="N2097">
        <v>413</v>
      </c>
      <c r="O2097">
        <v>0</v>
      </c>
      <c r="P2097">
        <v>413</v>
      </c>
      <c r="Q2097">
        <v>22</v>
      </c>
      <c r="R2097">
        <v>169</v>
      </c>
      <c r="S2097">
        <v>5</v>
      </c>
      <c r="T2097">
        <v>7</v>
      </c>
      <c r="U2097">
        <v>8</v>
      </c>
      <c r="V2097">
        <v>1</v>
      </c>
      <c r="W2097">
        <v>1</v>
      </c>
      <c r="X2097">
        <v>1</v>
      </c>
      <c r="Y2097">
        <v>165</v>
      </c>
      <c r="Z2097">
        <v>5</v>
      </c>
      <c r="AB2097">
        <v>1</v>
      </c>
      <c r="AC2097">
        <v>1</v>
      </c>
      <c r="AD2097">
        <v>0</v>
      </c>
      <c r="AE2097">
        <v>0</v>
      </c>
      <c r="AF2097">
        <v>0</v>
      </c>
      <c r="AG2097">
        <v>1</v>
      </c>
      <c r="AH2097">
        <v>3</v>
      </c>
      <c r="AI2097">
        <v>0</v>
      </c>
      <c r="AJ2097">
        <v>0</v>
      </c>
      <c r="AK2097">
        <v>4</v>
      </c>
      <c r="AL2097">
        <v>2</v>
      </c>
      <c r="AM2097">
        <v>1</v>
      </c>
      <c r="AN2097">
        <v>2</v>
      </c>
      <c r="AT2097">
        <v>0</v>
      </c>
      <c r="AU2097">
        <v>14</v>
      </c>
      <c r="AV2097">
        <v>413</v>
      </c>
      <c r="AW2097">
        <v>413</v>
      </c>
      <c r="AX2097">
        <v>675</v>
      </c>
      <c r="BA2097">
        <v>1</v>
      </c>
      <c r="BC2097" t="s">
        <v>4293</v>
      </c>
      <c r="BD2097" s="4">
        <v>43283.768310185187</v>
      </c>
      <c r="BE2097" s="4">
        <v>43283.770729166667</v>
      </c>
      <c r="BF2097" s="4">
        <v>43283.770729166667</v>
      </c>
      <c r="BG2097" t="s">
        <v>83</v>
      </c>
      <c r="BH2097" t="s">
        <v>84</v>
      </c>
      <c r="BI2097" t="s">
        <v>85</v>
      </c>
    </row>
    <row r="2098" spans="1:61" x14ac:dyDescent="0.3">
      <c r="A2098" t="str">
        <f>"201178C0100"</f>
        <v>201178C0100</v>
      </c>
      <c r="B2098" t="s">
        <v>4294</v>
      </c>
      <c r="C2098">
        <v>20</v>
      </c>
      <c r="D2098" t="s">
        <v>79</v>
      </c>
      <c r="E2098">
        <v>10</v>
      </c>
      <c r="F2098" t="s">
        <v>4190</v>
      </c>
      <c r="G2098">
        <v>1178</v>
      </c>
      <c r="H2098">
        <v>1</v>
      </c>
      <c r="I2098" t="s">
        <v>89</v>
      </c>
      <c r="J2098">
        <v>0</v>
      </c>
      <c r="K2098">
        <v>2</v>
      </c>
      <c r="L2098">
        <v>2</v>
      </c>
      <c r="M2098">
        <v>269</v>
      </c>
      <c r="N2098">
        <v>427</v>
      </c>
      <c r="O2098">
        <v>0</v>
      </c>
      <c r="P2098">
        <v>427</v>
      </c>
      <c r="Q2098">
        <v>21</v>
      </c>
      <c r="R2098">
        <v>143</v>
      </c>
      <c r="S2098">
        <v>11</v>
      </c>
      <c r="T2098">
        <v>6</v>
      </c>
      <c r="U2098">
        <v>23</v>
      </c>
      <c r="V2098">
        <v>7</v>
      </c>
      <c r="W2098">
        <v>2</v>
      </c>
      <c r="X2098">
        <v>4</v>
      </c>
      <c r="Y2098">
        <v>178</v>
      </c>
      <c r="Z2098">
        <v>1</v>
      </c>
      <c r="AB2098">
        <v>2</v>
      </c>
      <c r="AC2098">
        <v>0</v>
      </c>
      <c r="AD2098">
        <v>0</v>
      </c>
      <c r="AE2098">
        <v>0</v>
      </c>
      <c r="AF2098">
        <v>0</v>
      </c>
      <c r="AG2098">
        <v>3</v>
      </c>
      <c r="AH2098">
        <v>2</v>
      </c>
      <c r="AI2098">
        <v>0</v>
      </c>
      <c r="AJ2098">
        <v>0</v>
      </c>
      <c r="AK2098">
        <v>6</v>
      </c>
      <c r="AL2098">
        <v>1</v>
      </c>
      <c r="AM2098">
        <v>0</v>
      </c>
      <c r="AN2098">
        <v>1</v>
      </c>
      <c r="AT2098" t="s">
        <v>100</v>
      </c>
      <c r="AU2098">
        <v>15</v>
      </c>
      <c r="AV2098">
        <v>427</v>
      </c>
      <c r="AW2098">
        <v>426</v>
      </c>
      <c r="AX2098">
        <v>674</v>
      </c>
      <c r="AZ2098" t="s">
        <v>101</v>
      </c>
      <c r="BA2098">
        <v>1</v>
      </c>
      <c r="BC2098" t="s">
        <v>4295</v>
      </c>
      <c r="BD2098" s="4">
        <v>43283.785254629627</v>
      </c>
      <c r="BE2098" s="4">
        <v>43283.788483796299</v>
      </c>
      <c r="BF2098" s="4">
        <v>43283.788483796299</v>
      </c>
      <c r="BG2098" t="s">
        <v>83</v>
      </c>
      <c r="BH2098" t="s">
        <v>84</v>
      </c>
      <c r="BI2098" t="s">
        <v>85</v>
      </c>
    </row>
    <row r="2099" spans="1:61" x14ac:dyDescent="0.3">
      <c r="A2099" t="str">
        <f>"201178E0100"</f>
        <v>201178E0100</v>
      </c>
      <c r="B2099" s="2" t="s">
        <v>4296</v>
      </c>
      <c r="C2099">
        <v>20</v>
      </c>
      <c r="D2099" t="s">
        <v>79</v>
      </c>
      <c r="E2099">
        <v>10</v>
      </c>
      <c r="F2099" t="s">
        <v>4190</v>
      </c>
      <c r="G2099">
        <v>1178</v>
      </c>
      <c r="H2099">
        <v>1</v>
      </c>
      <c r="I2099" t="s">
        <v>145</v>
      </c>
      <c r="J2099">
        <v>0</v>
      </c>
      <c r="K2099">
        <v>2</v>
      </c>
      <c r="L2099">
        <v>2</v>
      </c>
      <c r="M2099">
        <v>184</v>
      </c>
      <c r="N2099">
        <v>328</v>
      </c>
      <c r="O2099">
        <v>0</v>
      </c>
      <c r="P2099">
        <v>328</v>
      </c>
      <c r="Q2099">
        <v>53</v>
      </c>
      <c r="R2099">
        <v>33</v>
      </c>
      <c r="S2099">
        <v>11</v>
      </c>
      <c r="T2099">
        <v>5</v>
      </c>
      <c r="U2099">
        <v>65</v>
      </c>
      <c r="V2099">
        <v>4</v>
      </c>
      <c r="W2099">
        <v>4</v>
      </c>
      <c r="X2099">
        <v>1</v>
      </c>
      <c r="Y2099">
        <v>123</v>
      </c>
      <c r="Z2099">
        <v>5</v>
      </c>
      <c r="AB2099">
        <v>1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2</v>
      </c>
      <c r="AL2099">
        <v>5</v>
      </c>
      <c r="AM2099">
        <v>0</v>
      </c>
      <c r="AN2099">
        <v>0</v>
      </c>
      <c r="AT2099">
        <v>0</v>
      </c>
      <c r="AU2099">
        <v>16</v>
      </c>
      <c r="AV2099">
        <v>328</v>
      </c>
      <c r="AW2099">
        <v>328</v>
      </c>
      <c r="AX2099">
        <v>490</v>
      </c>
      <c r="BA2099">
        <v>1</v>
      </c>
      <c r="BC2099" t="s">
        <v>4297</v>
      </c>
      <c r="BD2099" s="4">
        <v>43283.775405092594</v>
      </c>
      <c r="BE2099" s="4">
        <v>43283.794062499997</v>
      </c>
      <c r="BF2099" s="4">
        <v>43283.794062499997</v>
      </c>
      <c r="BG2099" t="s">
        <v>83</v>
      </c>
      <c r="BH2099" t="s">
        <v>84</v>
      </c>
      <c r="BI2099" t="s">
        <v>85</v>
      </c>
    </row>
    <row r="2100" spans="1:61" x14ac:dyDescent="0.3">
      <c r="A2100" t="str">
        <f>"201179B0100"</f>
        <v>201179B0100</v>
      </c>
      <c r="B2100" t="s">
        <v>4298</v>
      </c>
      <c r="C2100">
        <v>20</v>
      </c>
      <c r="D2100" t="s">
        <v>79</v>
      </c>
      <c r="E2100">
        <v>10</v>
      </c>
      <c r="F2100" t="s">
        <v>4190</v>
      </c>
      <c r="G2100">
        <v>1179</v>
      </c>
      <c r="H2100">
        <v>1</v>
      </c>
      <c r="I2100" t="s">
        <v>81</v>
      </c>
      <c r="J2100">
        <v>0</v>
      </c>
      <c r="K2100">
        <v>2</v>
      </c>
      <c r="L2100">
        <v>2</v>
      </c>
      <c r="M2100">
        <v>188</v>
      </c>
      <c r="N2100">
        <v>378</v>
      </c>
      <c r="O2100">
        <v>0</v>
      </c>
      <c r="P2100">
        <v>378</v>
      </c>
      <c r="Q2100">
        <v>5</v>
      </c>
      <c r="R2100">
        <v>97</v>
      </c>
      <c r="S2100">
        <v>18</v>
      </c>
      <c r="T2100">
        <v>4</v>
      </c>
      <c r="U2100">
        <v>86</v>
      </c>
      <c r="V2100">
        <v>3</v>
      </c>
      <c r="W2100">
        <v>1</v>
      </c>
      <c r="X2100">
        <v>1</v>
      </c>
      <c r="Y2100">
        <v>30</v>
      </c>
      <c r="Z2100">
        <v>4</v>
      </c>
      <c r="AB2100">
        <v>2</v>
      </c>
      <c r="AC2100">
        <v>0</v>
      </c>
      <c r="AD2100">
        <v>0</v>
      </c>
      <c r="AE2100">
        <v>0</v>
      </c>
      <c r="AF2100">
        <v>0</v>
      </c>
      <c r="AG2100">
        <v>1</v>
      </c>
      <c r="AH2100">
        <v>0</v>
      </c>
      <c r="AI2100">
        <v>0</v>
      </c>
      <c r="AJ2100">
        <v>0</v>
      </c>
      <c r="AK2100">
        <v>1</v>
      </c>
      <c r="AL2100">
        <v>4</v>
      </c>
      <c r="AM2100">
        <v>1</v>
      </c>
      <c r="AN2100">
        <v>5</v>
      </c>
      <c r="AT2100">
        <v>0</v>
      </c>
      <c r="AU2100">
        <v>16</v>
      </c>
      <c r="AV2100">
        <v>279</v>
      </c>
      <c r="AW2100">
        <v>279</v>
      </c>
      <c r="AX2100">
        <v>544</v>
      </c>
      <c r="BA2100">
        <v>1</v>
      </c>
      <c r="BC2100" t="s">
        <v>4299</v>
      </c>
      <c r="BD2100" s="4">
        <v>43283.816400462965</v>
      </c>
      <c r="BE2100" s="4">
        <v>43283.821238425924</v>
      </c>
      <c r="BF2100" s="4">
        <v>43283.821238425924</v>
      </c>
      <c r="BG2100" t="s">
        <v>83</v>
      </c>
      <c r="BH2100" t="s">
        <v>84</v>
      </c>
      <c r="BI2100" t="s">
        <v>85</v>
      </c>
    </row>
    <row r="2101" spans="1:61" x14ac:dyDescent="0.3">
      <c r="A2101" t="str">
        <f>"201179C0100"</f>
        <v>201179C0100</v>
      </c>
      <c r="B2101" t="s">
        <v>4300</v>
      </c>
      <c r="C2101">
        <v>20</v>
      </c>
      <c r="D2101" t="s">
        <v>79</v>
      </c>
      <c r="E2101">
        <v>10</v>
      </c>
      <c r="F2101" t="s">
        <v>4190</v>
      </c>
      <c r="G2101">
        <v>1179</v>
      </c>
      <c r="H2101">
        <v>1</v>
      </c>
      <c r="I2101" t="s">
        <v>89</v>
      </c>
      <c r="J2101">
        <v>0</v>
      </c>
      <c r="K2101">
        <v>2</v>
      </c>
      <c r="L2101">
        <v>2</v>
      </c>
      <c r="M2101">
        <v>177</v>
      </c>
      <c r="N2101">
        <v>389</v>
      </c>
      <c r="O2101">
        <v>0</v>
      </c>
      <c r="P2101">
        <v>389</v>
      </c>
      <c r="Q2101">
        <v>14</v>
      </c>
      <c r="R2101">
        <v>102</v>
      </c>
      <c r="S2101">
        <v>25</v>
      </c>
      <c r="T2101">
        <v>0</v>
      </c>
      <c r="U2101">
        <v>75</v>
      </c>
      <c r="V2101">
        <v>6</v>
      </c>
      <c r="W2101">
        <v>7</v>
      </c>
      <c r="X2101">
        <v>2</v>
      </c>
      <c r="Y2101">
        <v>118</v>
      </c>
      <c r="Z2101">
        <v>4</v>
      </c>
      <c r="AB2101">
        <v>2</v>
      </c>
      <c r="AC2101">
        <v>0</v>
      </c>
      <c r="AD2101">
        <v>1</v>
      </c>
      <c r="AE2101">
        <v>0</v>
      </c>
      <c r="AF2101">
        <v>0</v>
      </c>
      <c r="AG2101">
        <v>1</v>
      </c>
      <c r="AH2101">
        <v>0</v>
      </c>
      <c r="AI2101">
        <v>0</v>
      </c>
      <c r="AJ2101">
        <v>0</v>
      </c>
      <c r="AK2101">
        <v>4</v>
      </c>
      <c r="AL2101">
        <v>1</v>
      </c>
      <c r="AM2101">
        <v>1</v>
      </c>
      <c r="AN2101">
        <v>0</v>
      </c>
      <c r="AT2101">
        <v>0</v>
      </c>
      <c r="AU2101">
        <v>23</v>
      </c>
      <c r="AV2101">
        <v>389</v>
      </c>
      <c r="AW2101">
        <v>386</v>
      </c>
      <c r="AX2101">
        <v>544</v>
      </c>
      <c r="BA2101">
        <v>1</v>
      </c>
      <c r="BC2101" t="s">
        <v>4301</v>
      </c>
      <c r="BD2101" s="4">
        <v>43283.806041666663</v>
      </c>
      <c r="BE2101" s="4">
        <v>43283.809583333335</v>
      </c>
      <c r="BF2101" s="4">
        <v>43283.809583333335</v>
      </c>
      <c r="BG2101" t="s">
        <v>83</v>
      </c>
      <c r="BH2101" t="s">
        <v>84</v>
      </c>
      <c r="BI2101" t="s">
        <v>85</v>
      </c>
    </row>
    <row r="2102" spans="1:61" x14ac:dyDescent="0.3">
      <c r="A2102" t="str">
        <f>"201179C0200"</f>
        <v>201179C0200</v>
      </c>
      <c r="B2102" t="s">
        <v>4302</v>
      </c>
      <c r="C2102">
        <v>20</v>
      </c>
      <c r="D2102" t="s">
        <v>79</v>
      </c>
      <c r="E2102">
        <v>10</v>
      </c>
      <c r="F2102" t="s">
        <v>4190</v>
      </c>
      <c r="G2102">
        <v>1179</v>
      </c>
      <c r="H2102">
        <v>2</v>
      </c>
      <c r="I2102" t="s">
        <v>89</v>
      </c>
      <c r="J2102">
        <v>0</v>
      </c>
      <c r="K2102">
        <v>2</v>
      </c>
      <c r="L2102">
        <v>2</v>
      </c>
      <c r="M2102">
        <v>177</v>
      </c>
      <c r="N2102">
        <v>381</v>
      </c>
      <c r="O2102">
        <v>0</v>
      </c>
      <c r="P2102">
        <v>381</v>
      </c>
      <c r="Q2102">
        <v>21</v>
      </c>
      <c r="R2102">
        <v>80</v>
      </c>
      <c r="S2102">
        <v>15</v>
      </c>
      <c r="T2102">
        <v>4</v>
      </c>
      <c r="U2102">
        <v>85</v>
      </c>
      <c r="V2102">
        <v>7</v>
      </c>
      <c r="W2102">
        <v>1</v>
      </c>
      <c r="X2102">
        <v>9</v>
      </c>
      <c r="Y2102">
        <v>136</v>
      </c>
      <c r="Z2102">
        <v>5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1</v>
      </c>
      <c r="AI2102">
        <v>1</v>
      </c>
      <c r="AJ2102">
        <v>0</v>
      </c>
      <c r="AK2102">
        <v>7</v>
      </c>
      <c r="AL2102">
        <v>6</v>
      </c>
      <c r="AM2102">
        <v>0</v>
      </c>
      <c r="AN2102">
        <v>0</v>
      </c>
      <c r="AT2102">
        <v>0</v>
      </c>
      <c r="AU2102">
        <v>20</v>
      </c>
      <c r="AV2102">
        <v>398</v>
      </c>
      <c r="AW2102">
        <v>398</v>
      </c>
      <c r="AX2102">
        <v>543</v>
      </c>
      <c r="BA2102">
        <v>1</v>
      </c>
      <c r="BC2102" t="s">
        <v>4303</v>
      </c>
      <c r="BD2102" s="4">
        <v>43283.821759259263</v>
      </c>
      <c r="BE2102" s="4">
        <v>43283.827060185184</v>
      </c>
      <c r="BF2102" s="4">
        <v>43283.827060185184</v>
      </c>
      <c r="BG2102" t="s">
        <v>83</v>
      </c>
      <c r="BH2102" t="s">
        <v>84</v>
      </c>
      <c r="BI2102" t="s">
        <v>85</v>
      </c>
    </row>
    <row r="2103" spans="1:61" x14ac:dyDescent="0.3">
      <c r="A2103" t="str">
        <f>"201180B0100"</f>
        <v>201180B0100</v>
      </c>
      <c r="B2103" t="s">
        <v>4304</v>
      </c>
      <c r="C2103">
        <v>20</v>
      </c>
      <c r="D2103" t="s">
        <v>79</v>
      </c>
      <c r="E2103">
        <v>10</v>
      </c>
      <c r="F2103" t="s">
        <v>4190</v>
      </c>
      <c r="G2103">
        <v>1180</v>
      </c>
      <c r="H2103">
        <v>1</v>
      </c>
      <c r="I2103" t="s">
        <v>81</v>
      </c>
      <c r="J2103">
        <v>0</v>
      </c>
      <c r="K2103">
        <v>2</v>
      </c>
      <c r="L2103">
        <v>2</v>
      </c>
      <c r="M2103" t="s">
        <v>100</v>
      </c>
      <c r="N2103">
        <v>327</v>
      </c>
      <c r="O2103">
        <v>2</v>
      </c>
      <c r="P2103">
        <v>323</v>
      </c>
      <c r="Q2103">
        <v>13</v>
      </c>
      <c r="R2103">
        <v>60</v>
      </c>
      <c r="S2103">
        <v>12</v>
      </c>
      <c r="T2103">
        <v>1</v>
      </c>
      <c r="U2103">
        <v>68</v>
      </c>
      <c r="V2103">
        <v>1</v>
      </c>
      <c r="W2103">
        <v>1</v>
      </c>
      <c r="X2103">
        <v>1</v>
      </c>
      <c r="Y2103">
        <v>137</v>
      </c>
      <c r="Z2103">
        <v>7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1</v>
      </c>
      <c r="AL2103">
        <v>3</v>
      </c>
      <c r="AM2103">
        <v>0</v>
      </c>
      <c r="AN2103">
        <v>0</v>
      </c>
      <c r="AT2103">
        <v>0</v>
      </c>
      <c r="AU2103">
        <v>18</v>
      </c>
      <c r="AV2103">
        <v>323</v>
      </c>
      <c r="AW2103">
        <v>323</v>
      </c>
      <c r="AX2103">
        <v>513</v>
      </c>
      <c r="BA2103">
        <v>1</v>
      </c>
      <c r="BC2103" t="s">
        <v>4305</v>
      </c>
      <c r="BD2103" s="4">
        <v>43283.769062500003</v>
      </c>
      <c r="BE2103" s="4">
        <v>43283.771354166667</v>
      </c>
      <c r="BF2103" s="4">
        <v>43283.771354166667</v>
      </c>
      <c r="BG2103" t="s">
        <v>83</v>
      </c>
      <c r="BH2103" t="s">
        <v>84</v>
      </c>
      <c r="BI2103" t="s">
        <v>85</v>
      </c>
    </row>
    <row r="2104" spans="1:61" x14ac:dyDescent="0.3">
      <c r="A2104" t="str">
        <f>"201180C0100"</f>
        <v>201180C0100</v>
      </c>
      <c r="B2104" t="s">
        <v>4306</v>
      </c>
      <c r="C2104">
        <v>20</v>
      </c>
      <c r="D2104" t="s">
        <v>79</v>
      </c>
      <c r="E2104">
        <v>10</v>
      </c>
      <c r="F2104" t="s">
        <v>4190</v>
      </c>
      <c r="G2104">
        <v>1180</v>
      </c>
      <c r="H2104">
        <v>1</v>
      </c>
      <c r="I2104" t="s">
        <v>89</v>
      </c>
      <c r="J2104">
        <v>0</v>
      </c>
      <c r="K2104">
        <v>2</v>
      </c>
      <c r="L2104">
        <v>2</v>
      </c>
      <c r="M2104">
        <v>192</v>
      </c>
      <c r="N2104">
        <v>343</v>
      </c>
      <c r="O2104">
        <v>0</v>
      </c>
      <c r="P2104">
        <v>343</v>
      </c>
      <c r="Q2104">
        <v>4</v>
      </c>
      <c r="R2104">
        <v>65</v>
      </c>
      <c r="S2104">
        <v>3</v>
      </c>
      <c r="T2104">
        <v>3</v>
      </c>
      <c r="U2104">
        <v>75</v>
      </c>
      <c r="V2104">
        <v>6</v>
      </c>
      <c r="W2104">
        <v>0</v>
      </c>
      <c r="X2104">
        <v>2</v>
      </c>
      <c r="Y2104">
        <v>148</v>
      </c>
      <c r="Z2104">
        <v>9</v>
      </c>
      <c r="AB2104">
        <v>2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4</v>
      </c>
      <c r="AL2104">
        <v>2</v>
      </c>
      <c r="AM2104">
        <v>0</v>
      </c>
      <c r="AN2104">
        <v>1</v>
      </c>
      <c r="AT2104">
        <v>0</v>
      </c>
      <c r="AU2104">
        <v>19</v>
      </c>
      <c r="AV2104">
        <v>343</v>
      </c>
      <c r="AW2104">
        <v>343</v>
      </c>
      <c r="AX2104">
        <v>513</v>
      </c>
      <c r="BA2104">
        <v>1</v>
      </c>
      <c r="BC2104" t="s">
        <v>4307</v>
      </c>
      <c r="BD2104" s="4">
        <v>43283.770358796297</v>
      </c>
      <c r="BE2104" s="4">
        <v>43283.772916666669</v>
      </c>
      <c r="BF2104" s="4">
        <v>43283.772916666669</v>
      </c>
      <c r="BG2104" t="s">
        <v>83</v>
      </c>
      <c r="BH2104" t="s">
        <v>84</v>
      </c>
      <c r="BI2104" t="s">
        <v>85</v>
      </c>
    </row>
    <row r="2105" spans="1:61" x14ac:dyDescent="0.3">
      <c r="A2105" t="str">
        <f>"201181B0100"</f>
        <v>201181B0100</v>
      </c>
      <c r="B2105" t="s">
        <v>4308</v>
      </c>
      <c r="C2105">
        <v>20</v>
      </c>
      <c r="D2105" t="s">
        <v>79</v>
      </c>
      <c r="E2105">
        <v>10</v>
      </c>
      <c r="F2105" t="s">
        <v>4190</v>
      </c>
      <c r="G2105">
        <v>1181</v>
      </c>
      <c r="H2105">
        <v>1</v>
      </c>
      <c r="I2105" t="s">
        <v>81</v>
      </c>
      <c r="J2105">
        <v>0</v>
      </c>
      <c r="K2105">
        <v>2</v>
      </c>
      <c r="L2105">
        <v>2</v>
      </c>
      <c r="M2105">
        <v>203</v>
      </c>
      <c r="N2105">
        <v>336</v>
      </c>
      <c r="O2105">
        <v>0</v>
      </c>
      <c r="P2105">
        <v>336</v>
      </c>
      <c r="Q2105">
        <v>16</v>
      </c>
      <c r="R2105">
        <v>92</v>
      </c>
      <c r="S2105">
        <v>8</v>
      </c>
      <c r="T2105">
        <v>5</v>
      </c>
      <c r="U2105">
        <v>36</v>
      </c>
      <c r="V2105">
        <v>2</v>
      </c>
      <c r="W2105">
        <v>3</v>
      </c>
      <c r="X2105">
        <v>5</v>
      </c>
      <c r="Y2105">
        <v>122</v>
      </c>
      <c r="Z2105">
        <v>10</v>
      </c>
      <c r="AB2105">
        <v>2</v>
      </c>
      <c r="AC2105">
        <v>2</v>
      </c>
      <c r="AD2105">
        <v>0</v>
      </c>
      <c r="AE2105">
        <v>0</v>
      </c>
      <c r="AF2105">
        <v>0</v>
      </c>
      <c r="AG2105">
        <v>2</v>
      </c>
      <c r="AH2105">
        <v>1</v>
      </c>
      <c r="AI2105">
        <v>0</v>
      </c>
      <c r="AJ2105">
        <v>0</v>
      </c>
      <c r="AK2105">
        <v>5</v>
      </c>
      <c r="AL2105">
        <v>6</v>
      </c>
      <c r="AM2105">
        <v>1</v>
      </c>
      <c r="AN2105">
        <v>3</v>
      </c>
      <c r="AT2105">
        <v>2</v>
      </c>
      <c r="AU2105">
        <v>13</v>
      </c>
      <c r="AV2105">
        <v>336</v>
      </c>
      <c r="AW2105">
        <v>336</v>
      </c>
      <c r="AX2105">
        <v>517</v>
      </c>
      <c r="BA2105">
        <v>1</v>
      </c>
      <c r="BC2105" t="s">
        <v>4309</v>
      </c>
      <c r="BD2105" s="4">
        <v>43283.810879629629</v>
      </c>
      <c r="BE2105" s="4">
        <v>43283.815451388888</v>
      </c>
      <c r="BF2105" s="4">
        <v>43283.815451388888</v>
      </c>
      <c r="BG2105" t="s">
        <v>83</v>
      </c>
      <c r="BH2105" t="s">
        <v>84</v>
      </c>
      <c r="BI2105" t="s">
        <v>85</v>
      </c>
    </row>
    <row r="2106" spans="1:61" x14ac:dyDescent="0.3">
      <c r="A2106" t="str">
        <f>"201181E0100"</f>
        <v>201181E0100</v>
      </c>
      <c r="B2106" s="2" t="s">
        <v>4310</v>
      </c>
      <c r="C2106">
        <v>20</v>
      </c>
      <c r="D2106" t="s">
        <v>79</v>
      </c>
      <c r="E2106">
        <v>10</v>
      </c>
      <c r="F2106" t="s">
        <v>4190</v>
      </c>
      <c r="G2106">
        <v>1181</v>
      </c>
      <c r="H2106">
        <v>1</v>
      </c>
      <c r="I2106" t="s">
        <v>145</v>
      </c>
      <c r="J2106">
        <v>0</v>
      </c>
      <c r="K2106">
        <v>2</v>
      </c>
      <c r="L2106">
        <v>2</v>
      </c>
      <c r="M2106">
        <v>72</v>
      </c>
      <c r="N2106">
        <v>309</v>
      </c>
      <c r="O2106">
        <v>1</v>
      </c>
      <c r="P2106">
        <v>309</v>
      </c>
      <c r="Q2106">
        <v>5</v>
      </c>
      <c r="R2106">
        <v>56</v>
      </c>
      <c r="S2106">
        <v>3</v>
      </c>
      <c r="T2106">
        <v>4</v>
      </c>
      <c r="U2106">
        <v>49</v>
      </c>
      <c r="V2106">
        <v>2</v>
      </c>
      <c r="W2106">
        <v>3</v>
      </c>
      <c r="X2106">
        <v>7</v>
      </c>
      <c r="Y2106">
        <v>132</v>
      </c>
      <c r="Z2106">
        <v>4</v>
      </c>
      <c r="AB2106">
        <v>2</v>
      </c>
      <c r="AC2106">
        <v>0</v>
      </c>
      <c r="AD2106">
        <v>0</v>
      </c>
      <c r="AE2106">
        <v>0</v>
      </c>
      <c r="AF2106">
        <v>0</v>
      </c>
      <c r="AG2106">
        <v>2</v>
      </c>
      <c r="AH2106">
        <v>0</v>
      </c>
      <c r="AI2106">
        <v>1</v>
      </c>
      <c r="AJ2106">
        <v>0</v>
      </c>
      <c r="AK2106">
        <v>6</v>
      </c>
      <c r="AL2106">
        <v>7</v>
      </c>
      <c r="AM2106">
        <v>1</v>
      </c>
      <c r="AN2106">
        <v>3</v>
      </c>
      <c r="AT2106">
        <v>0</v>
      </c>
      <c r="AU2106">
        <v>22</v>
      </c>
      <c r="AV2106">
        <v>287</v>
      </c>
      <c r="AW2106">
        <v>309</v>
      </c>
      <c r="AX2106">
        <v>359</v>
      </c>
      <c r="BA2106">
        <v>1</v>
      </c>
      <c r="BC2106" t="s">
        <v>4311</v>
      </c>
      <c r="BD2106" s="4">
        <v>43283.738495370373</v>
      </c>
      <c r="BE2106" s="4">
        <v>43283.741354166668</v>
      </c>
      <c r="BF2106" s="4">
        <v>43283.741354166668</v>
      </c>
      <c r="BG2106" t="s">
        <v>83</v>
      </c>
      <c r="BH2106" t="s">
        <v>84</v>
      </c>
      <c r="BI2106" t="s">
        <v>85</v>
      </c>
    </row>
    <row r="2107" spans="1:61" x14ac:dyDescent="0.3">
      <c r="A2107" t="str">
        <f>"201182B0100"</f>
        <v>201182B0100</v>
      </c>
      <c r="B2107" t="s">
        <v>4312</v>
      </c>
      <c r="C2107">
        <v>20</v>
      </c>
      <c r="D2107" t="s">
        <v>79</v>
      </c>
      <c r="E2107">
        <v>10</v>
      </c>
      <c r="F2107" t="s">
        <v>4190</v>
      </c>
      <c r="G2107">
        <v>1182</v>
      </c>
      <c r="H2107">
        <v>1</v>
      </c>
      <c r="I2107" t="s">
        <v>81</v>
      </c>
      <c r="J2107">
        <v>0</v>
      </c>
      <c r="K2107">
        <v>2</v>
      </c>
      <c r="L2107">
        <v>2</v>
      </c>
      <c r="M2107">
        <v>152</v>
      </c>
      <c r="N2107">
        <v>304</v>
      </c>
      <c r="O2107">
        <v>2</v>
      </c>
      <c r="P2107" t="s">
        <v>100</v>
      </c>
      <c r="Q2107">
        <v>8</v>
      </c>
      <c r="R2107">
        <v>73</v>
      </c>
      <c r="S2107">
        <v>11</v>
      </c>
      <c r="T2107">
        <v>4</v>
      </c>
      <c r="U2107">
        <v>34</v>
      </c>
      <c r="V2107">
        <v>3</v>
      </c>
      <c r="W2107">
        <v>5</v>
      </c>
      <c r="X2107">
        <v>5</v>
      </c>
      <c r="Y2107">
        <v>141</v>
      </c>
      <c r="Z2107">
        <v>3</v>
      </c>
      <c r="AB2107">
        <v>1</v>
      </c>
      <c r="AC2107">
        <v>0</v>
      </c>
      <c r="AD2107">
        <v>0</v>
      </c>
      <c r="AE2107">
        <v>0</v>
      </c>
      <c r="AF2107">
        <v>0</v>
      </c>
      <c r="AG2107">
        <v>1</v>
      </c>
      <c r="AH2107">
        <v>0</v>
      </c>
      <c r="AI2107">
        <v>0</v>
      </c>
      <c r="AJ2107">
        <v>1</v>
      </c>
      <c r="AK2107">
        <v>5</v>
      </c>
      <c r="AL2107">
        <v>1</v>
      </c>
      <c r="AM2107">
        <v>0</v>
      </c>
      <c r="AN2107">
        <v>0</v>
      </c>
      <c r="AT2107">
        <v>0</v>
      </c>
      <c r="AU2107">
        <v>8</v>
      </c>
      <c r="AV2107">
        <v>304</v>
      </c>
      <c r="AW2107">
        <v>304</v>
      </c>
      <c r="AX2107">
        <v>434</v>
      </c>
      <c r="BA2107">
        <v>1</v>
      </c>
      <c r="BC2107" t="s">
        <v>4313</v>
      </c>
      <c r="BD2107" s="4">
        <v>43283.759479166663</v>
      </c>
      <c r="BE2107" s="4">
        <v>43283.76525462963</v>
      </c>
      <c r="BF2107" s="4">
        <v>43283.76525462963</v>
      </c>
      <c r="BG2107" t="s">
        <v>83</v>
      </c>
      <c r="BH2107" t="s">
        <v>84</v>
      </c>
      <c r="BI2107" t="s">
        <v>85</v>
      </c>
    </row>
    <row r="2108" spans="1:61" x14ac:dyDescent="0.3">
      <c r="A2108" t="str">
        <f>"201182C0100"</f>
        <v>201182C0100</v>
      </c>
      <c r="B2108" t="s">
        <v>4314</v>
      </c>
      <c r="C2108">
        <v>20</v>
      </c>
      <c r="D2108" t="s">
        <v>79</v>
      </c>
      <c r="E2108">
        <v>10</v>
      </c>
      <c r="F2108" t="s">
        <v>4190</v>
      </c>
      <c r="G2108">
        <v>1182</v>
      </c>
      <c r="H2108">
        <v>1</v>
      </c>
      <c r="I2108" t="s">
        <v>89</v>
      </c>
      <c r="J2108">
        <v>0</v>
      </c>
      <c r="K2108">
        <v>2</v>
      </c>
      <c r="L2108">
        <v>2</v>
      </c>
      <c r="M2108">
        <v>143</v>
      </c>
      <c r="N2108">
        <v>313</v>
      </c>
      <c r="O2108">
        <v>2</v>
      </c>
      <c r="P2108">
        <v>313</v>
      </c>
      <c r="Q2108">
        <v>13</v>
      </c>
      <c r="R2108">
        <v>69</v>
      </c>
      <c r="S2108">
        <v>6</v>
      </c>
      <c r="T2108">
        <v>2</v>
      </c>
      <c r="U2108">
        <v>31</v>
      </c>
      <c r="V2108">
        <v>6</v>
      </c>
      <c r="W2108">
        <v>9</v>
      </c>
      <c r="X2108">
        <v>2</v>
      </c>
      <c r="Y2108">
        <v>143</v>
      </c>
      <c r="Z2108">
        <v>5</v>
      </c>
      <c r="AB2108">
        <v>1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1</v>
      </c>
      <c r="AN2108">
        <v>0</v>
      </c>
      <c r="AT2108">
        <v>0</v>
      </c>
      <c r="AU2108">
        <v>21</v>
      </c>
      <c r="AV2108">
        <v>313</v>
      </c>
      <c r="AW2108">
        <v>309</v>
      </c>
      <c r="AX2108">
        <v>434</v>
      </c>
      <c r="BA2108">
        <v>1</v>
      </c>
      <c r="BC2108" t="s">
        <v>4315</v>
      </c>
      <c r="BD2108" s="4">
        <v>43283.814791666664</v>
      </c>
      <c r="BE2108" s="4">
        <v>43283.818194444444</v>
      </c>
      <c r="BF2108" s="4">
        <v>43283.818194444444</v>
      </c>
      <c r="BG2108" t="s">
        <v>83</v>
      </c>
      <c r="BH2108" t="s">
        <v>84</v>
      </c>
      <c r="BI2108" t="s">
        <v>85</v>
      </c>
    </row>
    <row r="2109" spans="1:61" x14ac:dyDescent="0.3">
      <c r="A2109" t="str">
        <f>"201182E0100"</f>
        <v>201182E0100</v>
      </c>
      <c r="B2109" s="2" t="s">
        <v>4316</v>
      </c>
      <c r="C2109">
        <v>20</v>
      </c>
      <c r="D2109" t="s">
        <v>79</v>
      </c>
      <c r="E2109">
        <v>10</v>
      </c>
      <c r="F2109" t="s">
        <v>4190</v>
      </c>
      <c r="G2109">
        <v>1182</v>
      </c>
      <c r="H2109">
        <v>1</v>
      </c>
      <c r="I2109" t="s">
        <v>145</v>
      </c>
      <c r="J2109">
        <v>0</v>
      </c>
      <c r="K2109">
        <v>2</v>
      </c>
      <c r="L2109">
        <v>2</v>
      </c>
      <c r="M2109">
        <v>269</v>
      </c>
      <c r="N2109">
        <v>398</v>
      </c>
      <c r="O2109">
        <v>0</v>
      </c>
      <c r="P2109">
        <v>398</v>
      </c>
      <c r="Q2109">
        <v>15</v>
      </c>
      <c r="R2109">
        <v>97</v>
      </c>
      <c r="S2109">
        <v>15</v>
      </c>
      <c r="T2109">
        <v>12</v>
      </c>
      <c r="U2109">
        <v>38</v>
      </c>
      <c r="V2109">
        <v>5</v>
      </c>
      <c r="W2109">
        <v>4</v>
      </c>
      <c r="X2109">
        <v>10</v>
      </c>
      <c r="Y2109">
        <v>154</v>
      </c>
      <c r="Z2109">
        <v>4</v>
      </c>
      <c r="AB2109">
        <v>1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4</v>
      </c>
      <c r="AL2109">
        <v>2</v>
      </c>
      <c r="AM2109">
        <v>0</v>
      </c>
      <c r="AN2109">
        <v>1</v>
      </c>
      <c r="AT2109">
        <v>0</v>
      </c>
      <c r="AU2109">
        <v>36</v>
      </c>
      <c r="AV2109">
        <v>398</v>
      </c>
      <c r="AW2109">
        <v>398</v>
      </c>
      <c r="AX2109">
        <v>645</v>
      </c>
      <c r="BA2109">
        <v>1</v>
      </c>
      <c r="BC2109" t="s">
        <v>4317</v>
      </c>
      <c r="BD2109" s="4">
        <v>43283.819467592592</v>
      </c>
      <c r="BE2109" s="4">
        <v>43283.822939814818</v>
      </c>
      <c r="BF2109" s="4">
        <v>43283.822939814818</v>
      </c>
      <c r="BG2109" t="s">
        <v>83</v>
      </c>
      <c r="BH2109" t="s">
        <v>84</v>
      </c>
      <c r="BI2109" t="s">
        <v>85</v>
      </c>
    </row>
    <row r="2110" spans="1:61" x14ac:dyDescent="0.3">
      <c r="A2110" t="str">
        <f>"201182E0200"</f>
        <v>201182E0200</v>
      </c>
      <c r="B2110" s="2" t="s">
        <v>4318</v>
      </c>
      <c r="C2110">
        <v>20</v>
      </c>
      <c r="D2110" t="s">
        <v>79</v>
      </c>
      <c r="E2110">
        <v>10</v>
      </c>
      <c r="F2110" t="s">
        <v>4190</v>
      </c>
      <c r="G2110">
        <v>1182</v>
      </c>
      <c r="H2110">
        <v>2</v>
      </c>
      <c r="I2110" t="s">
        <v>145</v>
      </c>
      <c r="J2110">
        <v>0</v>
      </c>
      <c r="K2110">
        <v>2</v>
      </c>
      <c r="L2110">
        <v>2</v>
      </c>
      <c r="M2110">
        <v>69</v>
      </c>
      <c r="N2110">
        <v>126</v>
      </c>
      <c r="O2110" t="s">
        <v>100</v>
      </c>
      <c r="P2110" t="s">
        <v>100</v>
      </c>
      <c r="Q2110">
        <v>1</v>
      </c>
      <c r="R2110">
        <v>27</v>
      </c>
      <c r="S2110" t="s">
        <v>100</v>
      </c>
      <c r="T2110">
        <v>3</v>
      </c>
      <c r="U2110">
        <v>22</v>
      </c>
      <c r="V2110" t="s">
        <v>100</v>
      </c>
      <c r="W2110" t="s">
        <v>100</v>
      </c>
      <c r="X2110">
        <v>3</v>
      </c>
      <c r="Y2110">
        <v>55</v>
      </c>
      <c r="Z2110">
        <v>1</v>
      </c>
      <c r="AB2110" t="s">
        <v>100</v>
      </c>
      <c r="AC2110" t="s">
        <v>100</v>
      </c>
      <c r="AD2110" t="s">
        <v>100</v>
      </c>
      <c r="AE2110" t="s">
        <v>100</v>
      </c>
      <c r="AF2110" t="s">
        <v>100</v>
      </c>
      <c r="AG2110" t="s">
        <v>100</v>
      </c>
      <c r="AH2110">
        <v>1</v>
      </c>
      <c r="AI2110" t="s">
        <v>100</v>
      </c>
      <c r="AJ2110">
        <v>4</v>
      </c>
      <c r="AK2110">
        <v>4</v>
      </c>
      <c r="AL2110" t="s">
        <v>100</v>
      </c>
      <c r="AM2110" t="s">
        <v>100</v>
      </c>
      <c r="AN2110" t="s">
        <v>100</v>
      </c>
      <c r="AT2110" t="s">
        <v>100</v>
      </c>
      <c r="AU2110">
        <v>9</v>
      </c>
      <c r="AV2110">
        <v>126</v>
      </c>
      <c r="AW2110">
        <v>130</v>
      </c>
      <c r="AX2110">
        <v>173</v>
      </c>
      <c r="AZ2110" t="s">
        <v>101</v>
      </c>
      <c r="BA2110">
        <v>1</v>
      </c>
      <c r="BC2110" t="s">
        <v>4319</v>
      </c>
      <c r="BD2110" s="4">
        <v>43283.789710648147</v>
      </c>
      <c r="BE2110" s="4">
        <v>43283.792997685188</v>
      </c>
      <c r="BF2110" s="4">
        <v>43283.792997685188</v>
      </c>
      <c r="BG2110" t="s">
        <v>83</v>
      </c>
      <c r="BH2110" t="s">
        <v>84</v>
      </c>
      <c r="BI2110" t="s">
        <v>85</v>
      </c>
    </row>
    <row r="2111" spans="1:61" x14ac:dyDescent="0.3">
      <c r="A2111" t="str">
        <f>"201182E0300"</f>
        <v>201182E0300</v>
      </c>
      <c r="B2111" s="2" t="s">
        <v>4320</v>
      </c>
      <c r="C2111">
        <v>20</v>
      </c>
      <c r="D2111" t="s">
        <v>79</v>
      </c>
      <c r="E2111">
        <v>10</v>
      </c>
      <c r="F2111" t="s">
        <v>4190</v>
      </c>
      <c r="G2111">
        <v>1182</v>
      </c>
      <c r="H2111">
        <v>3</v>
      </c>
      <c r="I2111" t="s">
        <v>145</v>
      </c>
      <c r="J2111">
        <v>0</v>
      </c>
      <c r="K2111">
        <v>2</v>
      </c>
      <c r="L2111">
        <v>2</v>
      </c>
      <c r="M2111">
        <v>202</v>
      </c>
      <c r="N2111" t="s">
        <v>100</v>
      </c>
      <c r="O2111">
        <v>0</v>
      </c>
      <c r="P2111">
        <v>399</v>
      </c>
      <c r="Q2111">
        <v>1</v>
      </c>
      <c r="R2111">
        <v>37</v>
      </c>
      <c r="S2111">
        <v>10</v>
      </c>
      <c r="T2111">
        <v>1</v>
      </c>
      <c r="U2111">
        <v>86</v>
      </c>
      <c r="V2111">
        <v>3</v>
      </c>
      <c r="W2111">
        <v>2</v>
      </c>
      <c r="X2111">
        <v>3</v>
      </c>
      <c r="Y2111">
        <v>186</v>
      </c>
      <c r="Z2111">
        <v>11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2</v>
      </c>
      <c r="AH2111">
        <v>1</v>
      </c>
      <c r="AI2111">
        <v>0</v>
      </c>
      <c r="AJ2111">
        <v>0</v>
      </c>
      <c r="AK2111">
        <v>14</v>
      </c>
      <c r="AL2111">
        <v>15</v>
      </c>
      <c r="AM2111">
        <v>1</v>
      </c>
      <c r="AN2111">
        <v>2</v>
      </c>
      <c r="AT2111">
        <v>0</v>
      </c>
      <c r="AU2111">
        <v>24</v>
      </c>
      <c r="AV2111" t="s">
        <v>100</v>
      </c>
      <c r="AW2111">
        <v>399</v>
      </c>
      <c r="AX2111">
        <v>579</v>
      </c>
      <c r="BA2111">
        <v>1</v>
      </c>
      <c r="BC2111" t="s">
        <v>4321</v>
      </c>
      <c r="BD2111" s="4">
        <v>43283.812326388892</v>
      </c>
      <c r="BE2111" s="4">
        <v>43283.815069444441</v>
      </c>
      <c r="BF2111" s="4">
        <v>43283.815069444441</v>
      </c>
      <c r="BG2111" t="s">
        <v>83</v>
      </c>
      <c r="BH2111" t="s">
        <v>84</v>
      </c>
      <c r="BI2111" t="s">
        <v>85</v>
      </c>
    </row>
    <row r="2112" spans="1:61" x14ac:dyDescent="0.3">
      <c r="A2112" t="str">
        <f>"201183B0100"</f>
        <v>201183B0100</v>
      </c>
      <c r="B2112" t="s">
        <v>4322</v>
      </c>
      <c r="C2112">
        <v>20</v>
      </c>
      <c r="D2112" t="s">
        <v>79</v>
      </c>
      <c r="E2112">
        <v>10</v>
      </c>
      <c r="F2112" t="s">
        <v>4190</v>
      </c>
      <c r="G2112">
        <v>1183</v>
      </c>
      <c r="H2112">
        <v>1</v>
      </c>
      <c r="I2112" t="s">
        <v>81</v>
      </c>
      <c r="J2112">
        <v>0</v>
      </c>
      <c r="K2112">
        <v>2</v>
      </c>
      <c r="L2112">
        <v>2</v>
      </c>
      <c r="M2112">
        <v>134</v>
      </c>
      <c r="N2112" t="s">
        <v>100</v>
      </c>
      <c r="O2112">
        <v>134</v>
      </c>
      <c r="P2112" t="s">
        <v>100</v>
      </c>
      <c r="Q2112">
        <v>17</v>
      </c>
      <c r="R2112">
        <v>228</v>
      </c>
      <c r="S2112">
        <v>4</v>
      </c>
      <c r="T2112">
        <v>3</v>
      </c>
      <c r="U2112">
        <v>75</v>
      </c>
      <c r="V2112">
        <v>6</v>
      </c>
      <c r="W2112">
        <v>1</v>
      </c>
      <c r="X2112">
        <v>8</v>
      </c>
      <c r="Y2112">
        <v>152</v>
      </c>
      <c r="Z2112">
        <v>22</v>
      </c>
      <c r="AB2112">
        <v>1</v>
      </c>
      <c r="AC2112" t="s">
        <v>100</v>
      </c>
      <c r="AD2112" t="s">
        <v>100</v>
      </c>
      <c r="AE2112" t="s">
        <v>100</v>
      </c>
      <c r="AF2112" t="s">
        <v>100</v>
      </c>
      <c r="AG2112" t="s">
        <v>100</v>
      </c>
      <c r="AH2112">
        <v>1</v>
      </c>
      <c r="AI2112" t="s">
        <v>100</v>
      </c>
      <c r="AJ2112" t="s">
        <v>100</v>
      </c>
      <c r="AK2112">
        <v>3</v>
      </c>
      <c r="AL2112">
        <v>7</v>
      </c>
      <c r="AM2112">
        <v>2</v>
      </c>
      <c r="AN2112">
        <v>12</v>
      </c>
      <c r="AT2112" t="s">
        <v>315</v>
      </c>
      <c r="AU2112">
        <v>27</v>
      </c>
      <c r="AV2112">
        <v>569</v>
      </c>
      <c r="AW2112">
        <v>569</v>
      </c>
      <c r="AX2112">
        <v>682</v>
      </c>
      <c r="AZ2112" t="s">
        <v>101</v>
      </c>
      <c r="BA2112">
        <v>1</v>
      </c>
      <c r="BC2112" t="s">
        <v>4323</v>
      </c>
      <c r="BD2112" s="4">
        <v>43283.754884259259</v>
      </c>
      <c r="BE2112" s="4">
        <v>43283.763055555559</v>
      </c>
      <c r="BF2112" s="4">
        <v>43283.763055555559</v>
      </c>
      <c r="BG2112" t="s">
        <v>83</v>
      </c>
      <c r="BH2112" t="s">
        <v>84</v>
      </c>
      <c r="BI2112" t="s">
        <v>85</v>
      </c>
    </row>
    <row r="2113" spans="1:61" x14ac:dyDescent="0.3">
      <c r="A2113" t="str">
        <f>"201183C0100"</f>
        <v>201183C0100</v>
      </c>
      <c r="B2113" t="s">
        <v>4324</v>
      </c>
      <c r="C2113">
        <v>20</v>
      </c>
      <c r="D2113" t="s">
        <v>79</v>
      </c>
      <c r="E2113">
        <v>10</v>
      </c>
      <c r="F2113" t="s">
        <v>4190</v>
      </c>
      <c r="G2113">
        <v>1183</v>
      </c>
      <c r="H2113">
        <v>1</v>
      </c>
      <c r="I2113" t="s">
        <v>89</v>
      </c>
      <c r="J2113">
        <v>0</v>
      </c>
      <c r="K2113">
        <v>2</v>
      </c>
      <c r="L2113">
        <v>2</v>
      </c>
      <c r="M2113">
        <v>162</v>
      </c>
      <c r="N2113" t="s">
        <v>100</v>
      </c>
      <c r="O2113" t="s">
        <v>100</v>
      </c>
      <c r="P2113" t="s">
        <v>100</v>
      </c>
      <c r="Q2113">
        <v>9</v>
      </c>
      <c r="R2113">
        <v>198</v>
      </c>
      <c r="S2113">
        <v>6</v>
      </c>
      <c r="T2113">
        <v>1</v>
      </c>
      <c r="U2113">
        <v>89</v>
      </c>
      <c r="V2113">
        <v>5</v>
      </c>
      <c r="W2113" t="s">
        <v>100</v>
      </c>
      <c r="X2113">
        <v>6</v>
      </c>
      <c r="Y2113">
        <v>161</v>
      </c>
      <c r="Z2113">
        <v>13</v>
      </c>
      <c r="AB2113" t="s">
        <v>100</v>
      </c>
      <c r="AC2113" t="s">
        <v>100</v>
      </c>
      <c r="AD2113" t="s">
        <v>100</v>
      </c>
      <c r="AE2113" t="s">
        <v>100</v>
      </c>
      <c r="AF2113" t="s">
        <v>100</v>
      </c>
      <c r="AG2113" t="s">
        <v>100</v>
      </c>
      <c r="AH2113">
        <v>2</v>
      </c>
      <c r="AI2113">
        <v>1</v>
      </c>
      <c r="AJ2113" t="s">
        <v>100</v>
      </c>
      <c r="AK2113">
        <v>2</v>
      </c>
      <c r="AL2113">
        <v>7</v>
      </c>
      <c r="AM2113">
        <v>5</v>
      </c>
      <c r="AN2113">
        <v>4</v>
      </c>
      <c r="AT2113" t="s">
        <v>100</v>
      </c>
      <c r="AU2113">
        <v>31</v>
      </c>
      <c r="AV2113">
        <v>482</v>
      </c>
      <c r="AW2113">
        <v>540</v>
      </c>
      <c r="AX2113">
        <v>681</v>
      </c>
      <c r="AZ2113" t="s">
        <v>101</v>
      </c>
      <c r="BA2113">
        <v>1</v>
      </c>
      <c r="BC2113" t="s">
        <v>4325</v>
      </c>
      <c r="BD2113" s="4">
        <v>43283.766504629632</v>
      </c>
      <c r="BE2113" s="4">
        <v>43283.770312499997</v>
      </c>
      <c r="BF2113" s="4">
        <v>43283.770312499997</v>
      </c>
      <c r="BG2113" t="s">
        <v>83</v>
      </c>
      <c r="BH2113" t="s">
        <v>84</v>
      </c>
      <c r="BI2113" t="s">
        <v>85</v>
      </c>
    </row>
    <row r="2114" spans="1:61" x14ac:dyDescent="0.3">
      <c r="A2114" t="str">
        <f>"201183E0100"</f>
        <v>201183E0100</v>
      </c>
      <c r="B2114" s="2" t="s">
        <v>4326</v>
      </c>
      <c r="C2114">
        <v>20</v>
      </c>
      <c r="D2114" t="s">
        <v>79</v>
      </c>
      <c r="E2114">
        <v>10</v>
      </c>
      <c r="F2114" t="s">
        <v>4190</v>
      </c>
      <c r="G2114">
        <v>1183</v>
      </c>
      <c r="H2114">
        <v>1</v>
      </c>
      <c r="I2114" t="s">
        <v>145</v>
      </c>
      <c r="J2114">
        <v>0</v>
      </c>
      <c r="K2114">
        <v>2</v>
      </c>
      <c r="L2114">
        <v>2</v>
      </c>
      <c r="M2114">
        <v>71</v>
      </c>
      <c r="N2114">
        <v>108</v>
      </c>
      <c r="O2114">
        <v>4</v>
      </c>
      <c r="P2114">
        <v>108</v>
      </c>
      <c r="Q2114">
        <v>0</v>
      </c>
      <c r="R2114">
        <v>19</v>
      </c>
      <c r="S2114">
        <v>1</v>
      </c>
      <c r="T2114">
        <v>0</v>
      </c>
      <c r="U2114">
        <v>57</v>
      </c>
      <c r="V2114">
        <v>0</v>
      </c>
      <c r="W2114">
        <v>0</v>
      </c>
      <c r="X2114">
        <v>1</v>
      </c>
      <c r="Y2114">
        <v>16</v>
      </c>
      <c r="Z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4</v>
      </c>
      <c r="AL2114">
        <v>0</v>
      </c>
      <c r="AM2114">
        <v>0</v>
      </c>
      <c r="AN2114">
        <v>0</v>
      </c>
      <c r="AT2114" t="s">
        <v>100</v>
      </c>
      <c r="AU2114">
        <v>10</v>
      </c>
      <c r="AV2114">
        <v>108</v>
      </c>
      <c r="AW2114">
        <v>108</v>
      </c>
      <c r="AX2114">
        <v>157</v>
      </c>
      <c r="AZ2114" t="s">
        <v>101</v>
      </c>
      <c r="BA2114">
        <v>1</v>
      </c>
      <c r="BC2114" t="s">
        <v>4327</v>
      </c>
      <c r="BD2114" s="4">
        <v>43283.810324074075</v>
      </c>
      <c r="BE2114" s="4">
        <v>43283.813761574071</v>
      </c>
      <c r="BF2114" s="4">
        <v>43283.813761574071</v>
      </c>
      <c r="BG2114" t="s">
        <v>83</v>
      </c>
      <c r="BH2114" t="s">
        <v>84</v>
      </c>
      <c r="BI2114" t="s">
        <v>85</v>
      </c>
    </row>
    <row r="2115" spans="1:61" x14ac:dyDescent="0.3">
      <c r="A2115" t="str">
        <f>"201183E0200"</f>
        <v>201183E0200</v>
      </c>
      <c r="B2115" s="2" t="s">
        <v>4328</v>
      </c>
      <c r="C2115">
        <v>20</v>
      </c>
      <c r="D2115" t="s">
        <v>79</v>
      </c>
      <c r="E2115">
        <v>10</v>
      </c>
      <c r="F2115" t="s">
        <v>4190</v>
      </c>
      <c r="G2115">
        <v>1183</v>
      </c>
      <c r="H2115">
        <v>2</v>
      </c>
      <c r="I2115" t="s">
        <v>145</v>
      </c>
      <c r="J2115">
        <v>0</v>
      </c>
      <c r="K2115">
        <v>2</v>
      </c>
      <c r="L2115">
        <v>2</v>
      </c>
      <c r="M2115">
        <v>164</v>
      </c>
      <c r="N2115">
        <v>573</v>
      </c>
      <c r="O2115">
        <v>7</v>
      </c>
      <c r="P2115">
        <v>573</v>
      </c>
      <c r="Q2115">
        <v>19</v>
      </c>
      <c r="R2115">
        <v>221</v>
      </c>
      <c r="S2115" t="s">
        <v>100</v>
      </c>
      <c r="T2115" t="s">
        <v>100</v>
      </c>
      <c r="U2115">
        <v>176</v>
      </c>
      <c r="V2115" t="s">
        <v>100</v>
      </c>
      <c r="W2115" t="s">
        <v>100</v>
      </c>
      <c r="X2115" t="s">
        <v>100</v>
      </c>
      <c r="Y2115">
        <v>135</v>
      </c>
      <c r="Z2115" t="s">
        <v>100</v>
      </c>
      <c r="AB2115" t="s">
        <v>100</v>
      </c>
      <c r="AC2115" t="s">
        <v>100</v>
      </c>
      <c r="AD2115" t="s">
        <v>100</v>
      </c>
      <c r="AE2115" t="s">
        <v>100</v>
      </c>
      <c r="AF2115" t="s">
        <v>100</v>
      </c>
      <c r="AG2115" t="s">
        <v>100</v>
      </c>
      <c r="AH2115" t="s">
        <v>100</v>
      </c>
      <c r="AI2115" t="s">
        <v>100</v>
      </c>
      <c r="AJ2115" t="s">
        <v>100</v>
      </c>
      <c r="AK2115" t="s">
        <v>100</v>
      </c>
      <c r="AL2115" t="s">
        <v>100</v>
      </c>
      <c r="AM2115" t="s">
        <v>100</v>
      </c>
      <c r="AN2115" t="s">
        <v>100</v>
      </c>
      <c r="AT2115" t="s">
        <v>100</v>
      </c>
      <c r="AU2115">
        <v>19</v>
      </c>
      <c r="AV2115">
        <v>570</v>
      </c>
      <c r="AW2115">
        <v>570</v>
      </c>
      <c r="AX2115">
        <v>717</v>
      </c>
      <c r="AZ2115" t="s">
        <v>101</v>
      </c>
      <c r="BA2115">
        <v>1</v>
      </c>
      <c r="BC2115" t="s">
        <v>4329</v>
      </c>
      <c r="BD2115" s="4">
        <v>43283.79215277778</v>
      </c>
      <c r="BE2115" s="4">
        <v>43283.799525462964</v>
      </c>
      <c r="BF2115" s="4">
        <v>43283.799525462964</v>
      </c>
      <c r="BG2115" t="s">
        <v>83</v>
      </c>
      <c r="BH2115" t="s">
        <v>84</v>
      </c>
      <c r="BI2115" t="s">
        <v>85</v>
      </c>
    </row>
    <row r="2116" spans="1:61" x14ac:dyDescent="0.3">
      <c r="A2116" t="str">
        <f>"201184B0100"</f>
        <v>201184B0100</v>
      </c>
      <c r="B2116" t="s">
        <v>4330</v>
      </c>
      <c r="C2116">
        <v>20</v>
      </c>
      <c r="D2116" t="s">
        <v>79</v>
      </c>
      <c r="E2116">
        <v>10</v>
      </c>
      <c r="F2116" t="s">
        <v>4190</v>
      </c>
      <c r="G2116">
        <v>1184</v>
      </c>
      <c r="H2116">
        <v>1</v>
      </c>
      <c r="I2116" t="s">
        <v>81</v>
      </c>
      <c r="J2116">
        <v>0</v>
      </c>
      <c r="K2116">
        <v>2</v>
      </c>
      <c r="L2116">
        <v>2</v>
      </c>
      <c r="AX2116">
        <v>648</v>
      </c>
      <c r="AZ2116" t="s">
        <v>156</v>
      </c>
      <c r="BA2116">
        <v>0</v>
      </c>
      <c r="BC2116" t="s">
        <v>4331</v>
      </c>
      <c r="BD2116" s="4">
        <v>43283.825694444444</v>
      </c>
      <c r="BE2116" s="4">
        <v>43283.83021990741</v>
      </c>
      <c r="BF2116" s="4">
        <v>43283.83021990741</v>
      </c>
      <c r="BG2116" t="s">
        <v>83</v>
      </c>
      <c r="BH2116" t="s">
        <v>84</v>
      </c>
      <c r="BI2116" t="s">
        <v>85</v>
      </c>
    </row>
    <row r="2117" spans="1:61" x14ac:dyDescent="0.3">
      <c r="A2117" t="str">
        <f>"201184C0100"</f>
        <v>201184C0100</v>
      </c>
      <c r="B2117" t="s">
        <v>4332</v>
      </c>
      <c r="C2117">
        <v>20</v>
      </c>
      <c r="D2117" t="s">
        <v>79</v>
      </c>
      <c r="E2117">
        <v>10</v>
      </c>
      <c r="F2117" t="s">
        <v>4190</v>
      </c>
      <c r="G2117">
        <v>1184</v>
      </c>
      <c r="H2117">
        <v>1</v>
      </c>
      <c r="I2117" t="s">
        <v>89</v>
      </c>
      <c r="J2117">
        <v>0</v>
      </c>
      <c r="K2117">
        <v>2</v>
      </c>
      <c r="L2117">
        <v>2</v>
      </c>
      <c r="M2117">
        <v>22</v>
      </c>
      <c r="N2117">
        <v>648</v>
      </c>
      <c r="O2117">
        <v>4</v>
      </c>
      <c r="P2117">
        <v>0</v>
      </c>
      <c r="Q2117">
        <v>2</v>
      </c>
      <c r="R2117">
        <v>4</v>
      </c>
      <c r="S2117" t="s">
        <v>100</v>
      </c>
      <c r="T2117" t="s">
        <v>100</v>
      </c>
      <c r="U2117" t="s">
        <v>100</v>
      </c>
      <c r="V2117" t="s">
        <v>100</v>
      </c>
      <c r="W2117" t="s">
        <v>100</v>
      </c>
      <c r="X2117" t="s">
        <v>100</v>
      </c>
      <c r="Y2117">
        <v>642</v>
      </c>
      <c r="Z2117" t="s">
        <v>100</v>
      </c>
      <c r="AB2117" t="s">
        <v>100</v>
      </c>
      <c r="AC2117" t="s">
        <v>100</v>
      </c>
      <c r="AD2117" t="s">
        <v>100</v>
      </c>
      <c r="AE2117" t="s">
        <v>100</v>
      </c>
      <c r="AF2117" t="s">
        <v>100</v>
      </c>
      <c r="AG2117" t="s">
        <v>100</v>
      </c>
      <c r="AH2117" t="s">
        <v>100</v>
      </c>
      <c r="AI2117" t="s">
        <v>100</v>
      </c>
      <c r="AJ2117" t="s">
        <v>100</v>
      </c>
      <c r="AK2117" t="s">
        <v>100</v>
      </c>
      <c r="AL2117" t="s">
        <v>100</v>
      </c>
      <c r="AM2117" t="s">
        <v>100</v>
      </c>
      <c r="AN2117" t="s">
        <v>100</v>
      </c>
      <c r="AT2117" t="s">
        <v>100</v>
      </c>
      <c r="AU2117" t="s">
        <v>100</v>
      </c>
      <c r="AV2117" t="s">
        <v>100</v>
      </c>
      <c r="AW2117">
        <v>648</v>
      </c>
      <c r="AX2117">
        <v>648</v>
      </c>
      <c r="AZ2117" t="s">
        <v>101</v>
      </c>
      <c r="BA2117">
        <v>1</v>
      </c>
      <c r="BC2117" t="s">
        <v>4333</v>
      </c>
      <c r="BD2117" s="4">
        <v>43283.773020833331</v>
      </c>
      <c r="BE2117" s="4">
        <v>43283.775787037041</v>
      </c>
      <c r="BF2117" s="4">
        <v>43283.775787037041</v>
      </c>
      <c r="BG2117" t="s">
        <v>83</v>
      </c>
      <c r="BH2117" t="s">
        <v>84</v>
      </c>
      <c r="BI2117" t="s">
        <v>85</v>
      </c>
    </row>
    <row r="2118" spans="1:61" x14ac:dyDescent="0.3">
      <c r="A2118" t="str">
        <f>"201184E0100"</f>
        <v>201184E0100</v>
      </c>
      <c r="B2118" s="2" t="s">
        <v>4334</v>
      </c>
      <c r="C2118">
        <v>20</v>
      </c>
      <c r="D2118" t="s">
        <v>79</v>
      </c>
      <c r="E2118">
        <v>10</v>
      </c>
      <c r="F2118" t="s">
        <v>4190</v>
      </c>
      <c r="G2118">
        <v>1184</v>
      </c>
      <c r="H2118">
        <v>1</v>
      </c>
      <c r="I2118" t="s">
        <v>145</v>
      </c>
      <c r="J2118">
        <v>0</v>
      </c>
      <c r="K2118">
        <v>2</v>
      </c>
      <c r="L2118">
        <v>2</v>
      </c>
      <c r="AX2118">
        <v>425</v>
      </c>
      <c r="AZ2118" t="s">
        <v>156</v>
      </c>
      <c r="BA2118">
        <v>0</v>
      </c>
      <c r="BC2118" t="s">
        <v>4335</v>
      </c>
      <c r="BD2118" s="4">
        <v>43283.820138888892</v>
      </c>
      <c r="BE2118" s="4">
        <v>43283.832743055558</v>
      </c>
      <c r="BF2118" s="4">
        <v>43283.832743055558</v>
      </c>
      <c r="BG2118" t="s">
        <v>83</v>
      </c>
      <c r="BH2118" t="s">
        <v>84</v>
      </c>
      <c r="BI2118" t="s">
        <v>85</v>
      </c>
    </row>
    <row r="2119" spans="1:61" x14ac:dyDescent="0.3">
      <c r="A2119" t="str">
        <f>"201185B0100"</f>
        <v>201185B0100</v>
      </c>
      <c r="B2119" t="s">
        <v>4336</v>
      </c>
      <c r="C2119">
        <v>20</v>
      </c>
      <c r="D2119" t="s">
        <v>79</v>
      </c>
      <c r="E2119">
        <v>10</v>
      </c>
      <c r="F2119" t="s">
        <v>4190</v>
      </c>
      <c r="G2119">
        <v>1185</v>
      </c>
      <c r="H2119">
        <v>1</v>
      </c>
      <c r="I2119" t="s">
        <v>81</v>
      </c>
      <c r="J2119">
        <v>0</v>
      </c>
      <c r="K2119">
        <v>2</v>
      </c>
      <c r="L2119">
        <v>2</v>
      </c>
      <c r="M2119">
        <v>224</v>
      </c>
      <c r="N2119">
        <v>477</v>
      </c>
      <c r="O2119">
        <v>0</v>
      </c>
      <c r="P2119">
        <v>253</v>
      </c>
      <c r="Q2119">
        <v>16</v>
      </c>
      <c r="R2119">
        <v>33</v>
      </c>
      <c r="S2119">
        <v>5</v>
      </c>
      <c r="T2119">
        <v>3</v>
      </c>
      <c r="U2119">
        <v>22</v>
      </c>
      <c r="V2119">
        <v>6</v>
      </c>
      <c r="W2119">
        <v>0</v>
      </c>
      <c r="X2119">
        <v>0</v>
      </c>
      <c r="Y2119">
        <v>132</v>
      </c>
      <c r="Z2119">
        <v>7</v>
      </c>
      <c r="AB2119">
        <v>1</v>
      </c>
      <c r="AC2119">
        <v>0</v>
      </c>
      <c r="AD2119">
        <v>0</v>
      </c>
      <c r="AE2119">
        <v>0</v>
      </c>
      <c r="AF2119">
        <v>0</v>
      </c>
      <c r="AG2119">
        <v>1</v>
      </c>
      <c r="AH2119">
        <v>0</v>
      </c>
      <c r="AI2119">
        <v>0</v>
      </c>
      <c r="AJ2119">
        <v>0</v>
      </c>
      <c r="AK2119">
        <v>16</v>
      </c>
      <c r="AL2119">
        <v>0</v>
      </c>
      <c r="AM2119">
        <v>1</v>
      </c>
      <c r="AN2119">
        <v>2</v>
      </c>
      <c r="AT2119">
        <v>0</v>
      </c>
      <c r="AU2119">
        <v>8</v>
      </c>
      <c r="AV2119">
        <v>253</v>
      </c>
      <c r="AW2119">
        <v>253</v>
      </c>
      <c r="AX2119">
        <v>455</v>
      </c>
      <c r="BA2119">
        <v>1</v>
      </c>
      <c r="BC2119" t="s">
        <v>4337</v>
      </c>
      <c r="BD2119" s="4">
        <v>43283.812835648147</v>
      </c>
      <c r="BE2119" s="4">
        <v>43283.816851851851</v>
      </c>
      <c r="BF2119" s="4">
        <v>43283.816851851851</v>
      </c>
      <c r="BG2119" t="s">
        <v>83</v>
      </c>
      <c r="BH2119" t="s">
        <v>84</v>
      </c>
      <c r="BI2119" t="s">
        <v>85</v>
      </c>
    </row>
    <row r="2120" spans="1:61" x14ac:dyDescent="0.3">
      <c r="A2120" t="str">
        <f>"201185C0100"</f>
        <v>201185C0100</v>
      </c>
      <c r="B2120" t="s">
        <v>4338</v>
      </c>
      <c r="C2120">
        <v>20</v>
      </c>
      <c r="D2120" t="s">
        <v>79</v>
      </c>
      <c r="E2120">
        <v>10</v>
      </c>
      <c r="F2120" t="s">
        <v>4190</v>
      </c>
      <c r="G2120">
        <v>1185</v>
      </c>
      <c r="H2120">
        <v>1</v>
      </c>
      <c r="I2120" t="s">
        <v>89</v>
      </c>
      <c r="J2120">
        <v>0</v>
      </c>
      <c r="K2120">
        <v>2</v>
      </c>
      <c r="L2120">
        <v>2</v>
      </c>
      <c r="M2120">
        <v>204</v>
      </c>
      <c r="N2120">
        <v>273</v>
      </c>
      <c r="O2120">
        <v>0</v>
      </c>
      <c r="P2120">
        <v>273</v>
      </c>
      <c r="Q2120">
        <v>14</v>
      </c>
      <c r="R2120">
        <v>50</v>
      </c>
      <c r="S2120">
        <v>4</v>
      </c>
      <c r="T2120">
        <v>3</v>
      </c>
      <c r="U2120">
        <v>23</v>
      </c>
      <c r="V2120">
        <v>5</v>
      </c>
      <c r="W2120">
        <v>2</v>
      </c>
      <c r="X2120">
        <v>3</v>
      </c>
      <c r="Y2120">
        <v>130</v>
      </c>
      <c r="Z2120">
        <v>8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12</v>
      </c>
      <c r="AL2120">
        <v>4</v>
      </c>
      <c r="AM2120">
        <v>1</v>
      </c>
      <c r="AN2120">
        <v>2</v>
      </c>
      <c r="AT2120">
        <v>0</v>
      </c>
      <c r="AU2120">
        <v>12</v>
      </c>
      <c r="AV2120">
        <v>273</v>
      </c>
      <c r="AW2120">
        <v>273</v>
      </c>
      <c r="AX2120">
        <v>455</v>
      </c>
      <c r="BA2120">
        <v>1</v>
      </c>
      <c r="BC2120" t="s">
        <v>4339</v>
      </c>
      <c r="BD2120" s="4">
        <v>43283.818576388891</v>
      </c>
      <c r="BE2120" s="4">
        <v>43283.821238425924</v>
      </c>
      <c r="BF2120" s="4">
        <v>43283.821238425924</v>
      </c>
      <c r="BG2120" t="s">
        <v>83</v>
      </c>
      <c r="BH2120" t="s">
        <v>84</v>
      </c>
      <c r="BI2120" t="s">
        <v>85</v>
      </c>
    </row>
    <row r="2121" spans="1:61" x14ac:dyDescent="0.3">
      <c r="A2121" t="str">
        <f>"201185E0100"</f>
        <v>201185E0100</v>
      </c>
      <c r="B2121" s="2" t="s">
        <v>4340</v>
      </c>
      <c r="C2121">
        <v>20</v>
      </c>
      <c r="D2121" t="s">
        <v>79</v>
      </c>
      <c r="E2121">
        <v>10</v>
      </c>
      <c r="F2121" t="s">
        <v>4190</v>
      </c>
      <c r="G2121">
        <v>1185</v>
      </c>
      <c r="H2121">
        <v>1</v>
      </c>
      <c r="I2121" t="s">
        <v>145</v>
      </c>
      <c r="J2121">
        <v>0</v>
      </c>
      <c r="K2121">
        <v>2</v>
      </c>
      <c r="L2121">
        <v>2</v>
      </c>
      <c r="M2121">
        <v>371</v>
      </c>
      <c r="N2121">
        <v>383</v>
      </c>
      <c r="O2121">
        <v>2</v>
      </c>
      <c r="P2121">
        <v>383</v>
      </c>
      <c r="Q2121">
        <v>21</v>
      </c>
      <c r="R2121">
        <v>78</v>
      </c>
      <c r="S2121">
        <v>12</v>
      </c>
      <c r="T2121">
        <v>6</v>
      </c>
      <c r="U2121">
        <v>30</v>
      </c>
      <c r="V2121">
        <v>4</v>
      </c>
      <c r="W2121">
        <v>3</v>
      </c>
      <c r="X2121">
        <v>6</v>
      </c>
      <c r="Y2121">
        <v>178</v>
      </c>
      <c r="Z2121">
        <v>4</v>
      </c>
      <c r="AB2121">
        <v>1</v>
      </c>
      <c r="AC2121">
        <v>2</v>
      </c>
      <c r="AD2121">
        <v>1</v>
      </c>
      <c r="AE2121">
        <v>0</v>
      </c>
      <c r="AF2121">
        <v>0</v>
      </c>
      <c r="AG2121">
        <v>1</v>
      </c>
      <c r="AH2121">
        <v>2</v>
      </c>
      <c r="AI2121">
        <v>1</v>
      </c>
      <c r="AJ2121">
        <v>0</v>
      </c>
      <c r="AK2121">
        <v>7</v>
      </c>
      <c r="AL2121">
        <v>5</v>
      </c>
      <c r="AM2121">
        <v>0</v>
      </c>
      <c r="AN2121">
        <v>4</v>
      </c>
      <c r="AT2121">
        <v>0</v>
      </c>
      <c r="AU2121">
        <v>16</v>
      </c>
      <c r="AV2121">
        <v>383</v>
      </c>
      <c r="AW2121">
        <v>382</v>
      </c>
      <c r="AX2121">
        <v>732</v>
      </c>
      <c r="BA2121">
        <v>1</v>
      </c>
      <c r="BC2121" t="s">
        <v>4341</v>
      </c>
      <c r="BD2121" s="4">
        <v>43283.815312500003</v>
      </c>
      <c r="BE2121" s="4">
        <v>43283.817870370367</v>
      </c>
      <c r="BF2121" s="4">
        <v>43283.817870370367</v>
      </c>
      <c r="BG2121" t="s">
        <v>83</v>
      </c>
      <c r="BH2121" t="s">
        <v>84</v>
      </c>
      <c r="BI2121" t="s">
        <v>85</v>
      </c>
    </row>
    <row r="2122" spans="1:61" x14ac:dyDescent="0.3">
      <c r="A2122" t="str">
        <f>"201186B0100"</f>
        <v>201186B0100</v>
      </c>
      <c r="B2122" t="s">
        <v>4342</v>
      </c>
      <c r="C2122">
        <v>20</v>
      </c>
      <c r="D2122" t="s">
        <v>79</v>
      </c>
      <c r="E2122">
        <v>10</v>
      </c>
      <c r="F2122" t="s">
        <v>4190</v>
      </c>
      <c r="G2122">
        <v>1186</v>
      </c>
      <c r="H2122">
        <v>1</v>
      </c>
      <c r="I2122" t="s">
        <v>81</v>
      </c>
      <c r="J2122">
        <v>0</v>
      </c>
      <c r="K2122">
        <v>2</v>
      </c>
      <c r="L2122">
        <v>2</v>
      </c>
      <c r="M2122">
        <v>258</v>
      </c>
      <c r="N2122">
        <v>324</v>
      </c>
      <c r="O2122">
        <v>2</v>
      </c>
      <c r="P2122">
        <v>323</v>
      </c>
      <c r="Q2122">
        <v>40</v>
      </c>
      <c r="R2122">
        <v>87</v>
      </c>
      <c r="S2122">
        <v>6</v>
      </c>
      <c r="T2122">
        <v>5</v>
      </c>
      <c r="U2122">
        <v>25</v>
      </c>
      <c r="V2122">
        <v>4</v>
      </c>
      <c r="W2122">
        <v>0</v>
      </c>
      <c r="X2122">
        <v>1</v>
      </c>
      <c r="Y2122">
        <v>134</v>
      </c>
      <c r="Z2122">
        <v>4</v>
      </c>
      <c r="AB2122">
        <v>2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5</v>
      </c>
      <c r="AL2122">
        <v>2</v>
      </c>
      <c r="AM2122">
        <v>0</v>
      </c>
      <c r="AN2122">
        <v>0</v>
      </c>
      <c r="AT2122">
        <v>0</v>
      </c>
      <c r="AU2122">
        <v>8</v>
      </c>
      <c r="AV2122">
        <v>323</v>
      </c>
      <c r="AW2122">
        <v>323</v>
      </c>
      <c r="AX2122">
        <v>561</v>
      </c>
      <c r="BA2122">
        <v>1</v>
      </c>
      <c r="BC2122" t="s">
        <v>4343</v>
      </c>
      <c r="BD2122" s="4">
        <v>43283.727465277778</v>
      </c>
      <c r="BE2122" s="4">
        <v>43283.733391203707</v>
      </c>
      <c r="BF2122" s="4">
        <v>43283.733391203707</v>
      </c>
      <c r="BG2122" t="s">
        <v>83</v>
      </c>
      <c r="BH2122" t="s">
        <v>84</v>
      </c>
      <c r="BI2122" t="s">
        <v>85</v>
      </c>
    </row>
    <row r="2123" spans="1:61" x14ac:dyDescent="0.3">
      <c r="A2123" t="str">
        <f>"201186C0100"</f>
        <v>201186C0100</v>
      </c>
      <c r="B2123" t="s">
        <v>4344</v>
      </c>
      <c r="C2123">
        <v>20</v>
      </c>
      <c r="D2123" t="s">
        <v>79</v>
      </c>
      <c r="E2123">
        <v>10</v>
      </c>
      <c r="F2123" t="s">
        <v>4190</v>
      </c>
      <c r="G2123">
        <v>1186</v>
      </c>
      <c r="H2123">
        <v>1</v>
      </c>
      <c r="I2123" t="s">
        <v>89</v>
      </c>
      <c r="J2123">
        <v>0</v>
      </c>
      <c r="K2123">
        <v>2</v>
      </c>
      <c r="L2123">
        <v>2</v>
      </c>
      <c r="M2123">
        <v>263</v>
      </c>
      <c r="N2123">
        <v>321</v>
      </c>
      <c r="O2123">
        <v>0</v>
      </c>
      <c r="P2123">
        <v>321</v>
      </c>
      <c r="Q2123">
        <v>47</v>
      </c>
      <c r="R2123">
        <v>86</v>
      </c>
      <c r="S2123">
        <v>3</v>
      </c>
      <c r="T2123">
        <v>8</v>
      </c>
      <c r="U2123">
        <v>23</v>
      </c>
      <c r="V2123">
        <v>5</v>
      </c>
      <c r="W2123">
        <v>0</v>
      </c>
      <c r="X2123">
        <v>0</v>
      </c>
      <c r="Y2123">
        <v>113</v>
      </c>
      <c r="Z2123">
        <v>7</v>
      </c>
      <c r="AB2123">
        <v>1</v>
      </c>
      <c r="AC2123">
        <v>1</v>
      </c>
      <c r="AD2123">
        <v>0</v>
      </c>
      <c r="AE2123">
        <v>0</v>
      </c>
      <c r="AF2123">
        <v>0</v>
      </c>
      <c r="AG2123">
        <v>1</v>
      </c>
      <c r="AH2123">
        <v>4</v>
      </c>
      <c r="AI2123">
        <v>0</v>
      </c>
      <c r="AJ2123">
        <v>0</v>
      </c>
      <c r="AK2123">
        <v>3</v>
      </c>
      <c r="AL2123">
        <v>2</v>
      </c>
      <c r="AM2123">
        <v>0</v>
      </c>
      <c r="AN2123">
        <v>1</v>
      </c>
      <c r="AT2123">
        <v>0</v>
      </c>
      <c r="AU2123">
        <v>16</v>
      </c>
      <c r="AV2123">
        <v>321</v>
      </c>
      <c r="AW2123">
        <v>321</v>
      </c>
      <c r="AX2123">
        <v>561</v>
      </c>
      <c r="BA2123">
        <v>1</v>
      </c>
      <c r="BC2123" t="s">
        <v>4345</v>
      </c>
      <c r="BD2123" s="4">
        <v>43283.813194444447</v>
      </c>
      <c r="BE2123" s="4">
        <v>43283.816319444442</v>
      </c>
      <c r="BF2123" s="4">
        <v>43283.816319444442</v>
      </c>
      <c r="BG2123" t="s">
        <v>83</v>
      </c>
      <c r="BH2123" t="s">
        <v>84</v>
      </c>
      <c r="BI2123" t="s">
        <v>85</v>
      </c>
    </row>
    <row r="2124" spans="1:61" x14ac:dyDescent="0.3">
      <c r="A2124" t="str">
        <f>"201186E0100"</f>
        <v>201186E0100</v>
      </c>
      <c r="B2124" s="2" t="s">
        <v>4346</v>
      </c>
      <c r="C2124">
        <v>20</v>
      </c>
      <c r="D2124" t="s">
        <v>79</v>
      </c>
      <c r="E2124">
        <v>10</v>
      </c>
      <c r="F2124" t="s">
        <v>4190</v>
      </c>
      <c r="G2124">
        <v>1186</v>
      </c>
      <c r="H2124">
        <v>1</v>
      </c>
      <c r="I2124" t="s">
        <v>145</v>
      </c>
      <c r="J2124">
        <v>0</v>
      </c>
      <c r="K2124">
        <v>2</v>
      </c>
      <c r="L2124">
        <v>2</v>
      </c>
      <c r="M2124">
        <v>294</v>
      </c>
      <c r="N2124">
        <v>420</v>
      </c>
      <c r="O2124">
        <v>0</v>
      </c>
      <c r="P2124">
        <v>420</v>
      </c>
      <c r="Q2124">
        <v>39</v>
      </c>
      <c r="R2124">
        <v>108</v>
      </c>
      <c r="S2124">
        <v>7</v>
      </c>
      <c r="T2124">
        <v>7</v>
      </c>
      <c r="U2124">
        <v>58</v>
      </c>
      <c r="V2124">
        <v>4</v>
      </c>
      <c r="W2124">
        <v>4</v>
      </c>
      <c r="X2124">
        <v>10</v>
      </c>
      <c r="Y2124">
        <v>140</v>
      </c>
      <c r="Z2124">
        <v>7</v>
      </c>
      <c r="AB2124">
        <v>0</v>
      </c>
      <c r="AC2124">
        <v>0</v>
      </c>
      <c r="AD2124">
        <v>1</v>
      </c>
      <c r="AE2124">
        <v>1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9</v>
      </c>
      <c r="AL2124">
        <v>4</v>
      </c>
      <c r="AM2124">
        <v>0</v>
      </c>
      <c r="AN2124">
        <v>0</v>
      </c>
      <c r="AT2124">
        <v>0</v>
      </c>
      <c r="AU2124">
        <v>20</v>
      </c>
      <c r="AV2124">
        <v>420</v>
      </c>
      <c r="AW2124">
        <v>419</v>
      </c>
      <c r="AX2124">
        <v>692</v>
      </c>
      <c r="BA2124">
        <v>1</v>
      </c>
      <c r="BC2124" t="s">
        <v>4347</v>
      </c>
      <c r="BD2124" s="4">
        <v>43283.776469907411</v>
      </c>
      <c r="BE2124" s="4">
        <v>43283.780115740738</v>
      </c>
      <c r="BF2124" s="4">
        <v>43283.780115740738</v>
      </c>
      <c r="BG2124" t="s">
        <v>83</v>
      </c>
      <c r="BH2124" t="s">
        <v>84</v>
      </c>
      <c r="BI2124" t="s">
        <v>85</v>
      </c>
    </row>
    <row r="2125" spans="1:61" x14ac:dyDescent="0.3">
      <c r="A2125" t="str">
        <f>"201187B0100"</f>
        <v>201187B0100</v>
      </c>
      <c r="B2125" t="s">
        <v>4348</v>
      </c>
      <c r="C2125">
        <v>20</v>
      </c>
      <c r="D2125" t="s">
        <v>79</v>
      </c>
      <c r="E2125">
        <v>10</v>
      </c>
      <c r="F2125" t="s">
        <v>4190</v>
      </c>
      <c r="G2125">
        <v>1187</v>
      </c>
      <c r="H2125">
        <v>1</v>
      </c>
      <c r="I2125" t="s">
        <v>81</v>
      </c>
      <c r="J2125">
        <v>0</v>
      </c>
      <c r="K2125">
        <v>2</v>
      </c>
      <c r="L2125">
        <v>2</v>
      </c>
      <c r="M2125">
        <v>217</v>
      </c>
      <c r="N2125">
        <v>429</v>
      </c>
      <c r="O2125">
        <v>0</v>
      </c>
      <c r="P2125">
        <v>429</v>
      </c>
      <c r="Q2125">
        <v>30</v>
      </c>
      <c r="R2125">
        <v>58</v>
      </c>
      <c r="S2125">
        <v>9</v>
      </c>
      <c r="T2125">
        <v>9</v>
      </c>
      <c r="U2125">
        <v>49</v>
      </c>
      <c r="V2125">
        <v>3</v>
      </c>
      <c r="W2125">
        <v>2</v>
      </c>
      <c r="X2125">
        <v>3</v>
      </c>
      <c r="Y2125">
        <v>220</v>
      </c>
      <c r="Z2125">
        <v>8</v>
      </c>
      <c r="AB2125">
        <v>2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6</v>
      </c>
      <c r="AL2125">
        <v>2</v>
      </c>
      <c r="AM2125">
        <v>0</v>
      </c>
      <c r="AN2125">
        <v>0</v>
      </c>
      <c r="AT2125">
        <v>0</v>
      </c>
      <c r="AU2125">
        <v>28</v>
      </c>
      <c r="AV2125">
        <v>429</v>
      </c>
      <c r="AW2125">
        <v>429</v>
      </c>
      <c r="AX2125">
        <v>624</v>
      </c>
      <c r="BA2125">
        <v>1</v>
      </c>
      <c r="BC2125" t="s">
        <v>4349</v>
      </c>
      <c r="BD2125" s="4">
        <v>43283.777187500003</v>
      </c>
      <c r="BE2125" s="4">
        <v>43283.783136574071</v>
      </c>
      <c r="BF2125" s="4">
        <v>43283.783136574071</v>
      </c>
      <c r="BG2125" t="s">
        <v>83</v>
      </c>
      <c r="BH2125" t="s">
        <v>84</v>
      </c>
      <c r="BI2125" t="s">
        <v>85</v>
      </c>
    </row>
    <row r="2126" spans="1:61" x14ac:dyDescent="0.3">
      <c r="A2126" t="str">
        <f>"201187E0100"</f>
        <v>201187E0100</v>
      </c>
      <c r="B2126" s="2" t="s">
        <v>4350</v>
      </c>
      <c r="C2126">
        <v>20</v>
      </c>
      <c r="D2126" t="s">
        <v>79</v>
      </c>
      <c r="E2126">
        <v>10</v>
      </c>
      <c r="F2126" t="s">
        <v>4190</v>
      </c>
      <c r="G2126">
        <v>1187</v>
      </c>
      <c r="H2126">
        <v>1</v>
      </c>
      <c r="I2126" t="s">
        <v>145</v>
      </c>
      <c r="J2126">
        <v>0</v>
      </c>
      <c r="K2126">
        <v>2</v>
      </c>
      <c r="L2126">
        <v>2</v>
      </c>
      <c r="M2126">
        <v>320</v>
      </c>
      <c r="N2126">
        <v>382</v>
      </c>
      <c r="O2126">
        <v>1</v>
      </c>
      <c r="P2126">
        <v>382</v>
      </c>
      <c r="Q2126">
        <v>28</v>
      </c>
      <c r="R2126">
        <v>89</v>
      </c>
      <c r="S2126">
        <v>12</v>
      </c>
      <c r="T2126">
        <v>5</v>
      </c>
      <c r="U2126">
        <v>46</v>
      </c>
      <c r="V2126">
        <v>8</v>
      </c>
      <c r="W2126">
        <v>2</v>
      </c>
      <c r="X2126">
        <v>9</v>
      </c>
      <c r="Y2126">
        <v>132</v>
      </c>
      <c r="Z2126">
        <v>11</v>
      </c>
      <c r="AB2126">
        <v>2</v>
      </c>
      <c r="AC2126">
        <v>0</v>
      </c>
      <c r="AD2126">
        <v>1</v>
      </c>
      <c r="AE2126">
        <v>0</v>
      </c>
      <c r="AF2126">
        <v>0</v>
      </c>
      <c r="AG2126">
        <v>1</v>
      </c>
      <c r="AH2126">
        <v>3</v>
      </c>
      <c r="AI2126">
        <v>0</v>
      </c>
      <c r="AJ2126">
        <v>0</v>
      </c>
      <c r="AK2126">
        <v>6</v>
      </c>
      <c r="AL2126">
        <v>4</v>
      </c>
      <c r="AM2126">
        <v>2</v>
      </c>
      <c r="AN2126">
        <v>2</v>
      </c>
      <c r="AT2126">
        <v>0</v>
      </c>
      <c r="AU2126">
        <v>19</v>
      </c>
      <c r="AV2126">
        <v>382</v>
      </c>
      <c r="AW2126">
        <v>382</v>
      </c>
      <c r="AX2126">
        <v>680</v>
      </c>
      <c r="BA2126">
        <v>1</v>
      </c>
      <c r="BC2126" s="2" t="s">
        <v>4351</v>
      </c>
      <c r="BD2126" s="4">
        <v>43283.818182870367</v>
      </c>
      <c r="BE2126" s="4">
        <v>43283.820983796293</v>
      </c>
      <c r="BF2126" s="4">
        <v>43283.820983796293</v>
      </c>
      <c r="BG2126" t="s">
        <v>83</v>
      </c>
      <c r="BH2126" t="s">
        <v>84</v>
      </c>
      <c r="BI2126" t="s">
        <v>85</v>
      </c>
    </row>
    <row r="2127" spans="1:61" x14ac:dyDescent="0.3">
      <c r="A2127" t="str">
        <f>"201187E0200"</f>
        <v>201187E0200</v>
      </c>
      <c r="B2127" s="2" t="s">
        <v>4352</v>
      </c>
      <c r="C2127">
        <v>20</v>
      </c>
      <c r="D2127" t="s">
        <v>79</v>
      </c>
      <c r="E2127">
        <v>10</v>
      </c>
      <c r="F2127" t="s">
        <v>4190</v>
      </c>
      <c r="G2127">
        <v>1187</v>
      </c>
      <c r="H2127">
        <v>2</v>
      </c>
      <c r="I2127" t="s">
        <v>145</v>
      </c>
      <c r="J2127">
        <v>0</v>
      </c>
      <c r="K2127">
        <v>2</v>
      </c>
      <c r="L2127">
        <v>2</v>
      </c>
      <c r="M2127">
        <v>68</v>
      </c>
      <c r="N2127">
        <v>134</v>
      </c>
      <c r="O2127">
        <v>3</v>
      </c>
      <c r="P2127">
        <v>134</v>
      </c>
      <c r="Q2127">
        <v>7</v>
      </c>
      <c r="R2127">
        <v>5</v>
      </c>
      <c r="S2127">
        <v>1</v>
      </c>
      <c r="T2127">
        <v>0</v>
      </c>
      <c r="U2127">
        <v>9</v>
      </c>
      <c r="V2127">
        <v>1</v>
      </c>
      <c r="W2127">
        <v>3</v>
      </c>
      <c r="X2127">
        <v>2</v>
      </c>
      <c r="Y2127">
        <v>88</v>
      </c>
      <c r="Z2127">
        <v>1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5</v>
      </c>
      <c r="AL2127">
        <v>6</v>
      </c>
      <c r="AM2127">
        <v>1</v>
      </c>
      <c r="AN2127">
        <v>1</v>
      </c>
      <c r="AT2127">
        <v>0</v>
      </c>
      <c r="AU2127">
        <v>4</v>
      </c>
      <c r="AV2127">
        <v>134</v>
      </c>
      <c r="AW2127">
        <v>134</v>
      </c>
      <c r="AX2127">
        <v>180</v>
      </c>
      <c r="BA2127">
        <v>1</v>
      </c>
      <c r="BC2127" t="s">
        <v>4353</v>
      </c>
      <c r="BD2127" s="4">
        <v>43283.810972222222</v>
      </c>
      <c r="BE2127" s="4">
        <v>43283.814780092594</v>
      </c>
      <c r="BF2127" s="4">
        <v>43283.814780092594</v>
      </c>
      <c r="BG2127" t="s">
        <v>83</v>
      </c>
      <c r="BH2127" t="s">
        <v>84</v>
      </c>
      <c r="BI2127" t="s">
        <v>85</v>
      </c>
    </row>
    <row r="2128" spans="1:61" x14ac:dyDescent="0.3">
      <c r="A2128" t="str">
        <f>"201187E0300"</f>
        <v>201187E0300</v>
      </c>
      <c r="B2128" s="2" t="s">
        <v>4354</v>
      </c>
      <c r="C2128">
        <v>20</v>
      </c>
      <c r="D2128" t="s">
        <v>79</v>
      </c>
      <c r="E2128">
        <v>10</v>
      </c>
      <c r="F2128" t="s">
        <v>4190</v>
      </c>
      <c r="G2128">
        <v>1187</v>
      </c>
      <c r="H2128">
        <v>3</v>
      </c>
      <c r="I2128" t="s">
        <v>145</v>
      </c>
      <c r="J2128">
        <v>0</v>
      </c>
      <c r="K2128">
        <v>2</v>
      </c>
      <c r="L2128">
        <v>2</v>
      </c>
      <c r="AX2128">
        <v>284</v>
      </c>
      <c r="AZ2128" t="s">
        <v>156</v>
      </c>
      <c r="BA2128">
        <v>0</v>
      </c>
      <c r="BC2128" t="s">
        <v>4355</v>
      </c>
      <c r="BD2128" s="4">
        <v>43283.822222222225</v>
      </c>
      <c r="BE2128" s="4">
        <v>43283.834143518521</v>
      </c>
      <c r="BF2128" s="4">
        <v>43283.834143518521</v>
      </c>
      <c r="BG2128" t="s">
        <v>83</v>
      </c>
      <c r="BH2128" t="s">
        <v>84</v>
      </c>
      <c r="BI2128" t="s">
        <v>85</v>
      </c>
    </row>
    <row r="2129" spans="1:61" x14ac:dyDescent="0.3">
      <c r="A2129" t="str">
        <f>"201188B0100"</f>
        <v>201188B0100</v>
      </c>
      <c r="B2129" t="s">
        <v>4356</v>
      </c>
      <c r="C2129">
        <v>20</v>
      </c>
      <c r="D2129" t="s">
        <v>79</v>
      </c>
      <c r="E2129">
        <v>10</v>
      </c>
      <c r="F2129" t="s">
        <v>4190</v>
      </c>
      <c r="G2129">
        <v>1188</v>
      </c>
      <c r="H2129">
        <v>1</v>
      </c>
      <c r="I2129" t="s">
        <v>81</v>
      </c>
      <c r="J2129">
        <v>0</v>
      </c>
      <c r="K2129">
        <v>2</v>
      </c>
      <c r="L2129">
        <v>2</v>
      </c>
      <c r="M2129">
        <v>193</v>
      </c>
      <c r="N2129">
        <v>281</v>
      </c>
      <c r="O2129">
        <v>4</v>
      </c>
      <c r="P2129">
        <v>281</v>
      </c>
      <c r="Q2129">
        <v>1</v>
      </c>
      <c r="R2129">
        <v>277</v>
      </c>
      <c r="S2129">
        <v>0</v>
      </c>
      <c r="T2129">
        <v>0</v>
      </c>
      <c r="U2129">
        <v>1</v>
      </c>
      <c r="V2129">
        <v>0</v>
      </c>
      <c r="W2129">
        <v>0</v>
      </c>
      <c r="X2129">
        <v>0</v>
      </c>
      <c r="Y2129">
        <v>2</v>
      </c>
      <c r="Z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T2129">
        <v>0</v>
      </c>
      <c r="AU2129">
        <v>0</v>
      </c>
      <c r="AV2129">
        <v>281</v>
      </c>
      <c r="AW2129">
        <v>281</v>
      </c>
      <c r="AX2129">
        <v>452</v>
      </c>
      <c r="BA2129">
        <v>1</v>
      </c>
      <c r="BC2129" t="s">
        <v>4357</v>
      </c>
      <c r="BD2129" s="4">
        <v>43283.721215277779</v>
      </c>
      <c r="BE2129" s="4">
        <v>43283.724317129629</v>
      </c>
      <c r="BF2129" s="4">
        <v>43283.724317129629</v>
      </c>
      <c r="BG2129" t="s">
        <v>83</v>
      </c>
      <c r="BH2129" t="s">
        <v>84</v>
      </c>
      <c r="BI2129" t="s">
        <v>85</v>
      </c>
    </row>
    <row r="2130" spans="1:61" x14ac:dyDescent="0.3">
      <c r="A2130" t="str">
        <f>"201190B0100"</f>
        <v>201190B0100</v>
      </c>
      <c r="B2130" t="s">
        <v>4358</v>
      </c>
      <c r="C2130">
        <v>20</v>
      </c>
      <c r="D2130" t="s">
        <v>79</v>
      </c>
      <c r="E2130">
        <v>10</v>
      </c>
      <c r="F2130" t="s">
        <v>4190</v>
      </c>
      <c r="G2130">
        <v>1190</v>
      </c>
      <c r="H2130">
        <v>1</v>
      </c>
      <c r="I2130" t="s">
        <v>81</v>
      </c>
      <c r="J2130">
        <v>0</v>
      </c>
      <c r="K2130">
        <v>2</v>
      </c>
      <c r="L2130">
        <v>2</v>
      </c>
      <c r="M2130">
        <v>102</v>
      </c>
      <c r="N2130">
        <v>650</v>
      </c>
      <c r="O2130">
        <v>2</v>
      </c>
      <c r="P2130">
        <v>648</v>
      </c>
      <c r="Q2130">
        <v>0</v>
      </c>
      <c r="R2130">
        <v>1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648</v>
      </c>
      <c r="Z2130">
        <v>0</v>
      </c>
      <c r="AB2130" t="s">
        <v>100</v>
      </c>
      <c r="AC2130" t="s">
        <v>100</v>
      </c>
      <c r="AD2130" t="s">
        <v>100</v>
      </c>
      <c r="AE2130" t="s">
        <v>100</v>
      </c>
      <c r="AF2130" t="s">
        <v>100</v>
      </c>
      <c r="AG2130" t="s">
        <v>100</v>
      </c>
      <c r="AH2130" t="s">
        <v>100</v>
      </c>
      <c r="AI2130" t="s">
        <v>100</v>
      </c>
      <c r="AJ2130" t="s">
        <v>100</v>
      </c>
      <c r="AK2130" t="s">
        <v>100</v>
      </c>
      <c r="AL2130" t="s">
        <v>100</v>
      </c>
      <c r="AM2130" t="s">
        <v>100</v>
      </c>
      <c r="AN2130" t="s">
        <v>100</v>
      </c>
      <c r="AT2130" t="s">
        <v>100</v>
      </c>
      <c r="AU2130" t="s">
        <v>100</v>
      </c>
      <c r="AV2130" t="s">
        <v>100</v>
      </c>
      <c r="AW2130">
        <v>649</v>
      </c>
      <c r="AX2130">
        <v>728</v>
      </c>
      <c r="AZ2130" t="s">
        <v>101</v>
      </c>
      <c r="BA2130">
        <v>1</v>
      </c>
      <c r="BC2130" t="s">
        <v>4359</v>
      </c>
      <c r="BD2130" s="4">
        <v>43283.734583333331</v>
      </c>
      <c r="BE2130" s="4">
        <v>43283.736851851849</v>
      </c>
      <c r="BF2130" s="4">
        <v>43283.736851851849</v>
      </c>
      <c r="BG2130" t="s">
        <v>83</v>
      </c>
      <c r="BH2130" t="s">
        <v>84</v>
      </c>
      <c r="BI2130" t="s">
        <v>85</v>
      </c>
    </row>
    <row r="2131" spans="1:61" x14ac:dyDescent="0.3">
      <c r="A2131" t="str">
        <f>"201190E0100"</f>
        <v>201190E0100</v>
      </c>
      <c r="B2131" s="2" t="s">
        <v>4360</v>
      </c>
      <c r="C2131">
        <v>20</v>
      </c>
      <c r="D2131" t="s">
        <v>79</v>
      </c>
      <c r="E2131">
        <v>10</v>
      </c>
      <c r="F2131" t="s">
        <v>4190</v>
      </c>
      <c r="G2131">
        <v>1190</v>
      </c>
      <c r="H2131">
        <v>1</v>
      </c>
      <c r="I2131" t="s">
        <v>145</v>
      </c>
      <c r="J2131">
        <v>0</v>
      </c>
      <c r="K2131">
        <v>2</v>
      </c>
      <c r="L2131">
        <v>2</v>
      </c>
      <c r="M2131">
        <v>54</v>
      </c>
      <c r="N2131">
        <v>144</v>
      </c>
      <c r="O2131" t="s">
        <v>315</v>
      </c>
      <c r="P2131">
        <v>144</v>
      </c>
      <c r="Q2131" t="s">
        <v>100</v>
      </c>
      <c r="R2131">
        <v>6</v>
      </c>
      <c r="S2131">
        <v>3</v>
      </c>
      <c r="T2131" t="s">
        <v>100</v>
      </c>
      <c r="U2131" t="s">
        <v>100</v>
      </c>
      <c r="V2131" t="s">
        <v>100</v>
      </c>
      <c r="W2131" t="s">
        <v>100</v>
      </c>
      <c r="X2131" t="s">
        <v>100</v>
      </c>
      <c r="Y2131">
        <v>126</v>
      </c>
      <c r="Z2131" t="s">
        <v>100</v>
      </c>
      <c r="AB2131" t="s">
        <v>100</v>
      </c>
      <c r="AC2131" t="s">
        <v>100</v>
      </c>
      <c r="AD2131" t="s">
        <v>100</v>
      </c>
      <c r="AE2131" t="s">
        <v>100</v>
      </c>
      <c r="AF2131" t="s">
        <v>100</v>
      </c>
      <c r="AG2131" t="s">
        <v>100</v>
      </c>
      <c r="AH2131" t="s">
        <v>100</v>
      </c>
      <c r="AI2131" t="s">
        <v>100</v>
      </c>
      <c r="AJ2131" t="s">
        <v>100</v>
      </c>
      <c r="AK2131" t="s">
        <v>100</v>
      </c>
      <c r="AL2131" t="s">
        <v>100</v>
      </c>
      <c r="AM2131" t="s">
        <v>100</v>
      </c>
      <c r="AN2131" t="s">
        <v>100</v>
      </c>
      <c r="AT2131" t="s">
        <v>100</v>
      </c>
      <c r="AU2131">
        <v>9</v>
      </c>
      <c r="AV2131" t="s">
        <v>100</v>
      </c>
      <c r="AW2131">
        <v>144</v>
      </c>
      <c r="AX2131">
        <v>176</v>
      </c>
      <c r="AZ2131" t="s">
        <v>101</v>
      </c>
      <c r="BA2131">
        <v>1</v>
      </c>
      <c r="BC2131" t="s">
        <v>4361</v>
      </c>
      <c r="BD2131" s="4">
        <v>43283.717326388891</v>
      </c>
      <c r="BE2131" s="4">
        <v>43283.721875000003</v>
      </c>
      <c r="BF2131" s="4">
        <v>43283.721875000003</v>
      </c>
      <c r="BG2131" t="s">
        <v>83</v>
      </c>
      <c r="BH2131" t="s">
        <v>84</v>
      </c>
      <c r="BI2131" t="s">
        <v>85</v>
      </c>
    </row>
    <row r="2132" spans="1:61" x14ac:dyDescent="0.3">
      <c r="A2132" t="str">
        <f>"201191B0100"</f>
        <v>201191B0100</v>
      </c>
      <c r="B2132" t="s">
        <v>4362</v>
      </c>
      <c r="C2132">
        <v>20</v>
      </c>
      <c r="D2132" t="s">
        <v>79</v>
      </c>
      <c r="E2132">
        <v>10</v>
      </c>
      <c r="F2132" t="s">
        <v>4190</v>
      </c>
      <c r="G2132">
        <v>1191</v>
      </c>
      <c r="H2132">
        <v>1</v>
      </c>
      <c r="I2132" t="s">
        <v>81</v>
      </c>
      <c r="J2132">
        <v>0</v>
      </c>
      <c r="K2132">
        <v>2</v>
      </c>
      <c r="L2132">
        <v>2</v>
      </c>
      <c r="M2132">
        <v>216</v>
      </c>
      <c r="N2132">
        <v>543</v>
      </c>
      <c r="O2132">
        <v>0</v>
      </c>
      <c r="P2132">
        <v>482</v>
      </c>
      <c r="Q2132">
        <v>8</v>
      </c>
      <c r="R2132">
        <v>356</v>
      </c>
      <c r="S2132">
        <v>5</v>
      </c>
      <c r="T2132">
        <v>5</v>
      </c>
      <c r="U2132">
        <v>4</v>
      </c>
      <c r="V2132">
        <v>1</v>
      </c>
      <c r="W2132">
        <v>0</v>
      </c>
      <c r="X2132">
        <v>5</v>
      </c>
      <c r="Y2132">
        <v>8</v>
      </c>
      <c r="Z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20</v>
      </c>
      <c r="AH2132">
        <v>23</v>
      </c>
      <c r="AI2132">
        <v>3</v>
      </c>
      <c r="AJ2132">
        <v>0</v>
      </c>
      <c r="AK2132">
        <v>0</v>
      </c>
      <c r="AL2132">
        <v>0</v>
      </c>
      <c r="AM2132">
        <v>0</v>
      </c>
      <c r="AN2132">
        <v>0</v>
      </c>
      <c r="AT2132">
        <v>0</v>
      </c>
      <c r="AU2132">
        <v>34</v>
      </c>
      <c r="AV2132">
        <v>482</v>
      </c>
      <c r="AW2132">
        <v>472</v>
      </c>
      <c r="AX2132">
        <v>677</v>
      </c>
      <c r="BA2132">
        <v>1</v>
      </c>
      <c r="BC2132" t="s">
        <v>4363</v>
      </c>
      <c r="BD2132" s="4">
        <v>43283.669537037036</v>
      </c>
      <c r="BE2132" s="4">
        <v>43283.674270833333</v>
      </c>
      <c r="BF2132" s="4">
        <v>43283.674270833333</v>
      </c>
      <c r="BG2132" t="s">
        <v>83</v>
      </c>
      <c r="BH2132" t="s">
        <v>84</v>
      </c>
      <c r="BI2132" t="s">
        <v>85</v>
      </c>
    </row>
    <row r="2133" spans="1:61" x14ac:dyDescent="0.3">
      <c r="A2133" t="str">
        <f>"201191E0100"</f>
        <v>201191E0100</v>
      </c>
      <c r="B2133" s="2" t="s">
        <v>4364</v>
      </c>
      <c r="C2133">
        <v>20</v>
      </c>
      <c r="D2133" t="s">
        <v>79</v>
      </c>
      <c r="E2133">
        <v>10</v>
      </c>
      <c r="F2133" t="s">
        <v>4190</v>
      </c>
      <c r="G2133">
        <v>1191</v>
      </c>
      <c r="H2133">
        <v>1</v>
      </c>
      <c r="I2133" t="s">
        <v>145</v>
      </c>
      <c r="J2133">
        <v>0</v>
      </c>
      <c r="K2133">
        <v>2</v>
      </c>
      <c r="L2133">
        <v>2</v>
      </c>
      <c r="M2133">
        <v>323</v>
      </c>
      <c r="N2133">
        <v>581</v>
      </c>
      <c r="O2133">
        <v>0</v>
      </c>
      <c r="P2133">
        <v>255</v>
      </c>
      <c r="Q2133">
        <v>22</v>
      </c>
      <c r="R2133">
        <v>52</v>
      </c>
      <c r="S2133">
        <v>6</v>
      </c>
      <c r="T2133">
        <v>8</v>
      </c>
      <c r="U2133">
        <v>30</v>
      </c>
      <c r="V2133">
        <v>5</v>
      </c>
      <c r="W2133">
        <v>1</v>
      </c>
      <c r="X2133">
        <v>3</v>
      </c>
      <c r="Y2133">
        <v>77</v>
      </c>
      <c r="Z2133">
        <v>2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2</v>
      </c>
      <c r="AI2133">
        <v>0</v>
      </c>
      <c r="AJ2133">
        <v>0</v>
      </c>
      <c r="AK2133">
        <v>7</v>
      </c>
      <c r="AL2133">
        <v>4</v>
      </c>
      <c r="AM2133">
        <v>0</v>
      </c>
      <c r="AN2133">
        <v>0</v>
      </c>
      <c r="AT2133">
        <v>0</v>
      </c>
      <c r="AU2133">
        <v>36</v>
      </c>
      <c r="AV2133">
        <v>255</v>
      </c>
      <c r="AW2133">
        <v>255</v>
      </c>
      <c r="AX2133">
        <v>560</v>
      </c>
      <c r="BA2133">
        <v>1</v>
      </c>
      <c r="BC2133" t="s">
        <v>4365</v>
      </c>
      <c r="BD2133" s="4">
        <v>43283.667083333334</v>
      </c>
      <c r="BE2133" s="4">
        <v>43283.671111111114</v>
      </c>
      <c r="BF2133" s="4">
        <v>43283.671111111114</v>
      </c>
      <c r="BG2133" t="s">
        <v>83</v>
      </c>
      <c r="BH2133" t="s">
        <v>84</v>
      </c>
      <c r="BI2133" t="s">
        <v>85</v>
      </c>
    </row>
    <row r="2134" spans="1:61" x14ac:dyDescent="0.3">
      <c r="A2134" t="str">
        <f>"201253B0100"</f>
        <v>201253B0100</v>
      </c>
      <c r="B2134" t="s">
        <v>4366</v>
      </c>
      <c r="C2134">
        <v>20</v>
      </c>
      <c r="D2134" t="s">
        <v>79</v>
      </c>
      <c r="E2134">
        <v>10</v>
      </c>
      <c r="F2134" t="s">
        <v>4190</v>
      </c>
      <c r="G2134">
        <v>1253</v>
      </c>
      <c r="H2134">
        <v>1</v>
      </c>
      <c r="I2134" t="s">
        <v>81</v>
      </c>
      <c r="J2134">
        <v>0</v>
      </c>
      <c r="K2134">
        <v>1</v>
      </c>
      <c r="L2134">
        <v>2</v>
      </c>
      <c r="M2134">
        <v>398</v>
      </c>
      <c r="N2134">
        <v>185</v>
      </c>
      <c r="O2134">
        <v>0</v>
      </c>
      <c r="P2134">
        <v>185</v>
      </c>
      <c r="Q2134">
        <v>16</v>
      </c>
      <c r="R2134">
        <v>37</v>
      </c>
      <c r="S2134">
        <v>4</v>
      </c>
      <c r="T2134">
        <v>2</v>
      </c>
      <c r="U2134">
        <v>31</v>
      </c>
      <c r="V2134">
        <v>3</v>
      </c>
      <c r="W2134">
        <v>5</v>
      </c>
      <c r="X2134">
        <v>6</v>
      </c>
      <c r="Y2134">
        <v>58</v>
      </c>
      <c r="Z2134">
        <v>2</v>
      </c>
      <c r="AB2134">
        <v>1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2</v>
      </c>
      <c r="AL2134">
        <v>0</v>
      </c>
      <c r="AM2134">
        <v>0</v>
      </c>
      <c r="AN2134">
        <v>0</v>
      </c>
      <c r="AT2134">
        <v>0</v>
      </c>
      <c r="AU2134">
        <v>18</v>
      </c>
      <c r="AV2134">
        <v>185</v>
      </c>
      <c r="AW2134">
        <v>185</v>
      </c>
      <c r="AX2134">
        <v>561</v>
      </c>
      <c r="BA2134">
        <v>1</v>
      </c>
      <c r="BC2134" s="2" t="s">
        <v>4367</v>
      </c>
      <c r="BD2134" s="4">
        <v>43283.487627314818</v>
      </c>
      <c r="BE2134" s="4">
        <v>43283.491967592592</v>
      </c>
      <c r="BF2134" s="4">
        <v>43283.491967592592</v>
      </c>
      <c r="BG2134" t="s">
        <v>373</v>
      </c>
      <c r="BH2134" t="s">
        <v>374</v>
      </c>
      <c r="BI2134" t="s">
        <v>85</v>
      </c>
    </row>
    <row r="2135" spans="1:61" x14ac:dyDescent="0.3">
      <c r="A2135" t="str">
        <f>"201253C0100"</f>
        <v>201253C0100</v>
      </c>
      <c r="B2135" t="s">
        <v>4368</v>
      </c>
      <c r="C2135">
        <v>20</v>
      </c>
      <c r="D2135" t="s">
        <v>79</v>
      </c>
      <c r="E2135">
        <v>10</v>
      </c>
      <c r="F2135" t="s">
        <v>4190</v>
      </c>
      <c r="G2135">
        <v>1253</v>
      </c>
      <c r="H2135">
        <v>1</v>
      </c>
      <c r="I2135" t="s">
        <v>89</v>
      </c>
      <c r="J2135">
        <v>0</v>
      </c>
      <c r="K2135">
        <v>1</v>
      </c>
      <c r="L2135">
        <v>2</v>
      </c>
      <c r="M2135">
        <v>411</v>
      </c>
      <c r="N2135">
        <v>178</v>
      </c>
      <c r="O2135">
        <v>0</v>
      </c>
      <c r="P2135">
        <v>178</v>
      </c>
      <c r="Q2135">
        <v>16</v>
      </c>
      <c r="R2135">
        <v>43</v>
      </c>
      <c r="S2135">
        <v>3</v>
      </c>
      <c r="T2135">
        <v>3</v>
      </c>
      <c r="U2135">
        <v>18</v>
      </c>
      <c r="V2135">
        <v>2</v>
      </c>
      <c r="W2135">
        <v>0</v>
      </c>
      <c r="X2135">
        <v>3</v>
      </c>
      <c r="Y2135">
        <v>66</v>
      </c>
      <c r="Z2135">
        <v>14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T2135">
        <v>0</v>
      </c>
      <c r="AU2135">
        <v>10</v>
      </c>
      <c r="AV2135">
        <v>178</v>
      </c>
      <c r="AW2135">
        <v>178</v>
      </c>
      <c r="AX2135">
        <v>561</v>
      </c>
      <c r="BA2135">
        <v>1</v>
      </c>
      <c r="BC2135" t="s">
        <v>4369</v>
      </c>
      <c r="BD2135" s="4">
        <v>43283.487592592595</v>
      </c>
      <c r="BE2135" s="4">
        <v>43283.491932870369</v>
      </c>
      <c r="BF2135" s="4">
        <v>43283.491932870369</v>
      </c>
      <c r="BG2135" t="s">
        <v>373</v>
      </c>
      <c r="BH2135" t="s">
        <v>374</v>
      </c>
      <c r="BI2135" t="s">
        <v>85</v>
      </c>
    </row>
    <row r="2136" spans="1:61" x14ac:dyDescent="0.3">
      <c r="A2136" t="str">
        <f>"201253C0200"</f>
        <v>201253C0200</v>
      </c>
      <c r="B2136" t="s">
        <v>4370</v>
      </c>
      <c r="C2136">
        <v>20</v>
      </c>
      <c r="D2136" t="s">
        <v>79</v>
      </c>
      <c r="E2136">
        <v>10</v>
      </c>
      <c r="F2136" t="s">
        <v>4190</v>
      </c>
      <c r="G2136">
        <v>1253</v>
      </c>
      <c r="H2136">
        <v>2</v>
      </c>
      <c r="I2136" t="s">
        <v>89</v>
      </c>
      <c r="J2136">
        <v>0</v>
      </c>
      <c r="K2136">
        <v>1</v>
      </c>
      <c r="L2136">
        <v>2</v>
      </c>
      <c r="M2136">
        <v>434</v>
      </c>
      <c r="N2136">
        <v>147</v>
      </c>
      <c r="O2136">
        <v>0</v>
      </c>
      <c r="P2136">
        <v>147</v>
      </c>
      <c r="Q2136">
        <v>15</v>
      </c>
      <c r="R2136">
        <v>52</v>
      </c>
      <c r="S2136">
        <v>10</v>
      </c>
      <c r="T2136">
        <v>3</v>
      </c>
      <c r="U2136">
        <v>13</v>
      </c>
      <c r="V2136">
        <v>3</v>
      </c>
      <c r="W2136">
        <v>0</v>
      </c>
      <c r="X2136">
        <v>4</v>
      </c>
      <c r="Y2136">
        <v>38</v>
      </c>
      <c r="Z2136">
        <v>4</v>
      </c>
      <c r="AB2136">
        <v>1</v>
      </c>
      <c r="AC2136">
        <v>1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1</v>
      </c>
      <c r="AL2136">
        <v>2</v>
      </c>
      <c r="AM2136">
        <v>0</v>
      </c>
      <c r="AN2136">
        <v>0</v>
      </c>
      <c r="AT2136">
        <v>0</v>
      </c>
      <c r="AU2136">
        <v>9</v>
      </c>
      <c r="AV2136">
        <v>156</v>
      </c>
      <c r="AW2136">
        <v>156</v>
      </c>
      <c r="AX2136">
        <v>561</v>
      </c>
      <c r="BA2136">
        <v>1</v>
      </c>
      <c r="BC2136" t="s">
        <v>4371</v>
      </c>
      <c r="BD2136" s="4">
        <v>43283.676701388889</v>
      </c>
      <c r="BE2136" s="4">
        <v>43283.679745370369</v>
      </c>
      <c r="BF2136" s="4">
        <v>43283.679745370369</v>
      </c>
      <c r="BG2136" t="s">
        <v>83</v>
      </c>
      <c r="BH2136" t="s">
        <v>84</v>
      </c>
      <c r="BI2136" t="s">
        <v>85</v>
      </c>
    </row>
    <row r="2137" spans="1:61" x14ac:dyDescent="0.3">
      <c r="A2137" t="str">
        <f>"201368B0100"</f>
        <v>201368B0100</v>
      </c>
      <c r="B2137" t="s">
        <v>4372</v>
      </c>
      <c r="C2137">
        <v>20</v>
      </c>
      <c r="D2137" t="s">
        <v>79</v>
      </c>
      <c r="E2137">
        <v>10</v>
      </c>
      <c r="F2137" t="s">
        <v>4190</v>
      </c>
      <c r="G2137">
        <v>1368</v>
      </c>
      <c r="H2137">
        <v>1</v>
      </c>
      <c r="I2137" t="s">
        <v>81</v>
      </c>
      <c r="J2137">
        <v>0</v>
      </c>
      <c r="K2137">
        <v>2</v>
      </c>
      <c r="L2137">
        <v>2</v>
      </c>
      <c r="M2137">
        <v>389</v>
      </c>
      <c r="N2137">
        <v>189</v>
      </c>
      <c r="O2137">
        <v>0</v>
      </c>
      <c r="P2137" t="s">
        <v>100</v>
      </c>
      <c r="Q2137">
        <v>17</v>
      </c>
      <c r="R2137">
        <v>49</v>
      </c>
      <c r="S2137">
        <v>9</v>
      </c>
      <c r="T2137">
        <v>3</v>
      </c>
      <c r="U2137">
        <v>18</v>
      </c>
      <c r="V2137">
        <v>2</v>
      </c>
      <c r="W2137">
        <v>4</v>
      </c>
      <c r="X2137">
        <v>1</v>
      </c>
      <c r="Y2137">
        <v>57</v>
      </c>
      <c r="Z2137">
        <v>2</v>
      </c>
      <c r="AB2137" t="s">
        <v>100</v>
      </c>
      <c r="AC2137">
        <v>1</v>
      </c>
      <c r="AD2137">
        <v>0</v>
      </c>
      <c r="AE2137">
        <v>0</v>
      </c>
      <c r="AF2137">
        <v>0</v>
      </c>
      <c r="AG2137">
        <v>1</v>
      </c>
      <c r="AH2137">
        <v>0</v>
      </c>
      <c r="AI2137">
        <v>0</v>
      </c>
      <c r="AJ2137">
        <v>0</v>
      </c>
      <c r="AK2137">
        <v>1</v>
      </c>
      <c r="AL2137">
        <v>4</v>
      </c>
      <c r="AM2137" t="s">
        <v>100</v>
      </c>
      <c r="AN2137">
        <v>0</v>
      </c>
      <c r="AT2137" t="s">
        <v>100</v>
      </c>
      <c r="AU2137">
        <v>16</v>
      </c>
      <c r="AV2137">
        <v>189</v>
      </c>
      <c r="AW2137">
        <v>185</v>
      </c>
      <c r="AX2137">
        <v>557</v>
      </c>
      <c r="AZ2137" t="s">
        <v>101</v>
      </c>
      <c r="BA2137">
        <v>1</v>
      </c>
      <c r="BC2137" t="s">
        <v>4373</v>
      </c>
      <c r="BD2137" s="4">
        <v>43283.688217592593</v>
      </c>
      <c r="BE2137" s="4">
        <v>43283.691354166665</v>
      </c>
      <c r="BF2137" s="4">
        <v>43283.691354166665</v>
      </c>
      <c r="BG2137" t="s">
        <v>83</v>
      </c>
      <c r="BH2137" t="s">
        <v>84</v>
      </c>
      <c r="BI2137" t="s">
        <v>85</v>
      </c>
    </row>
    <row r="2138" spans="1:61" x14ac:dyDescent="0.3">
      <c r="A2138" t="str">
        <f>"201368C0100"</f>
        <v>201368C0100</v>
      </c>
      <c r="B2138" t="s">
        <v>4374</v>
      </c>
      <c r="C2138">
        <v>20</v>
      </c>
      <c r="D2138" t="s">
        <v>79</v>
      </c>
      <c r="E2138">
        <v>10</v>
      </c>
      <c r="F2138" t="s">
        <v>4190</v>
      </c>
      <c r="G2138">
        <v>1368</v>
      </c>
      <c r="H2138">
        <v>1</v>
      </c>
      <c r="I2138" t="s">
        <v>89</v>
      </c>
      <c r="J2138">
        <v>0</v>
      </c>
      <c r="K2138">
        <v>2</v>
      </c>
      <c r="L2138">
        <v>2</v>
      </c>
      <c r="M2138">
        <v>390</v>
      </c>
      <c r="N2138">
        <v>189</v>
      </c>
      <c r="O2138">
        <v>0</v>
      </c>
      <c r="P2138">
        <v>189</v>
      </c>
      <c r="Q2138">
        <v>10</v>
      </c>
      <c r="R2138">
        <v>63</v>
      </c>
      <c r="S2138">
        <v>7</v>
      </c>
      <c r="T2138">
        <v>5</v>
      </c>
      <c r="U2138">
        <v>21</v>
      </c>
      <c r="V2138">
        <v>10</v>
      </c>
      <c r="W2138" t="s">
        <v>100</v>
      </c>
      <c r="X2138">
        <v>7</v>
      </c>
      <c r="Y2138">
        <v>41</v>
      </c>
      <c r="Z2138">
        <v>4</v>
      </c>
      <c r="AB2138" t="s">
        <v>100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2</v>
      </c>
      <c r="AI2138">
        <v>0</v>
      </c>
      <c r="AJ2138">
        <v>0</v>
      </c>
      <c r="AK2138">
        <v>0</v>
      </c>
      <c r="AL2138">
        <v>2</v>
      </c>
      <c r="AM2138">
        <v>0</v>
      </c>
      <c r="AN2138">
        <v>0</v>
      </c>
      <c r="AT2138">
        <v>0</v>
      </c>
      <c r="AU2138">
        <v>17</v>
      </c>
      <c r="AV2138">
        <v>189</v>
      </c>
      <c r="AW2138">
        <v>189</v>
      </c>
      <c r="AX2138">
        <v>557</v>
      </c>
      <c r="AZ2138" t="s">
        <v>101</v>
      </c>
      <c r="BA2138">
        <v>1</v>
      </c>
      <c r="BC2138" t="s">
        <v>4375</v>
      </c>
      <c r="BD2138" s="4">
        <v>43283.686979166669</v>
      </c>
      <c r="BE2138" s="4">
        <v>43283.690555555557</v>
      </c>
      <c r="BF2138" s="4">
        <v>43283.690555555557</v>
      </c>
      <c r="BG2138" t="s">
        <v>83</v>
      </c>
      <c r="BH2138" t="s">
        <v>84</v>
      </c>
      <c r="BI2138" t="s">
        <v>85</v>
      </c>
    </row>
    <row r="2139" spans="1:61" x14ac:dyDescent="0.3">
      <c r="A2139" t="str">
        <f>"201368C0200"</f>
        <v>201368C0200</v>
      </c>
      <c r="B2139" t="s">
        <v>4376</v>
      </c>
      <c r="C2139">
        <v>20</v>
      </c>
      <c r="D2139" t="s">
        <v>79</v>
      </c>
      <c r="E2139">
        <v>10</v>
      </c>
      <c r="F2139" t="s">
        <v>4190</v>
      </c>
      <c r="G2139">
        <v>1368</v>
      </c>
      <c r="H2139">
        <v>2</v>
      </c>
      <c r="I2139" t="s">
        <v>89</v>
      </c>
      <c r="J2139">
        <v>0</v>
      </c>
      <c r="K2139">
        <v>2</v>
      </c>
      <c r="L2139">
        <v>2</v>
      </c>
      <c r="M2139">
        <v>407</v>
      </c>
      <c r="N2139">
        <v>171</v>
      </c>
      <c r="O2139">
        <v>0</v>
      </c>
      <c r="P2139">
        <v>171</v>
      </c>
      <c r="Q2139">
        <v>16</v>
      </c>
      <c r="R2139">
        <v>35</v>
      </c>
      <c r="S2139">
        <v>6</v>
      </c>
      <c r="T2139">
        <v>4</v>
      </c>
      <c r="U2139">
        <v>16</v>
      </c>
      <c r="V2139">
        <v>3</v>
      </c>
      <c r="W2139">
        <v>1</v>
      </c>
      <c r="X2139">
        <v>2</v>
      </c>
      <c r="Y2139">
        <v>59</v>
      </c>
      <c r="Z2139">
        <v>4</v>
      </c>
      <c r="AB2139">
        <v>4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2</v>
      </c>
      <c r="AI2139">
        <v>0</v>
      </c>
      <c r="AJ2139">
        <v>0</v>
      </c>
      <c r="AK2139">
        <v>0</v>
      </c>
      <c r="AL2139">
        <v>1</v>
      </c>
      <c r="AM2139">
        <v>0</v>
      </c>
      <c r="AN2139">
        <v>2</v>
      </c>
      <c r="AT2139">
        <v>0</v>
      </c>
      <c r="AU2139">
        <v>18</v>
      </c>
      <c r="AV2139">
        <v>171</v>
      </c>
      <c r="AW2139">
        <v>173</v>
      </c>
      <c r="AX2139">
        <v>556</v>
      </c>
      <c r="BA2139">
        <v>1</v>
      </c>
      <c r="BC2139" t="s">
        <v>4377</v>
      </c>
      <c r="BD2139" s="4">
        <v>43283.6796412037</v>
      </c>
      <c r="BE2139" s="4">
        <v>43283.682766203703</v>
      </c>
      <c r="BF2139" s="4">
        <v>43283.682766203703</v>
      </c>
      <c r="BG2139" t="s">
        <v>83</v>
      </c>
      <c r="BH2139" t="s">
        <v>84</v>
      </c>
      <c r="BI2139" t="s">
        <v>85</v>
      </c>
    </row>
    <row r="2140" spans="1:61" x14ac:dyDescent="0.3">
      <c r="A2140" t="str">
        <f>"201368E0100"</f>
        <v>201368E0100</v>
      </c>
      <c r="B2140" s="2" t="s">
        <v>4378</v>
      </c>
      <c r="C2140">
        <v>20</v>
      </c>
      <c r="D2140" t="s">
        <v>79</v>
      </c>
      <c r="E2140">
        <v>10</v>
      </c>
      <c r="F2140" t="s">
        <v>4190</v>
      </c>
      <c r="G2140">
        <v>1368</v>
      </c>
      <c r="H2140">
        <v>1</v>
      </c>
      <c r="I2140" t="s">
        <v>145</v>
      </c>
      <c r="J2140">
        <v>0</v>
      </c>
      <c r="K2140">
        <v>2</v>
      </c>
      <c r="L2140">
        <v>2</v>
      </c>
      <c r="M2140">
        <v>286</v>
      </c>
      <c r="N2140">
        <v>344</v>
      </c>
      <c r="O2140">
        <v>0</v>
      </c>
      <c r="P2140">
        <v>350</v>
      </c>
      <c r="Q2140">
        <v>16</v>
      </c>
      <c r="R2140">
        <v>85</v>
      </c>
      <c r="S2140">
        <v>8</v>
      </c>
      <c r="T2140">
        <v>7</v>
      </c>
      <c r="U2140">
        <v>70</v>
      </c>
      <c r="V2140">
        <v>3</v>
      </c>
      <c r="W2140">
        <v>4</v>
      </c>
      <c r="X2140">
        <v>4</v>
      </c>
      <c r="Y2140">
        <v>99</v>
      </c>
      <c r="Z2140">
        <v>4</v>
      </c>
      <c r="AB2140">
        <v>2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2</v>
      </c>
      <c r="AL2140">
        <v>3</v>
      </c>
      <c r="AM2140">
        <v>1</v>
      </c>
      <c r="AN2140">
        <v>0</v>
      </c>
      <c r="AT2140">
        <v>0</v>
      </c>
      <c r="AU2140">
        <v>42</v>
      </c>
      <c r="AV2140">
        <v>350</v>
      </c>
      <c r="AW2140">
        <v>350</v>
      </c>
      <c r="AX2140">
        <v>616</v>
      </c>
      <c r="BA2140">
        <v>1</v>
      </c>
      <c r="BC2140" t="s">
        <v>4379</v>
      </c>
      <c r="BD2140" s="4">
        <v>43283.487615740742</v>
      </c>
      <c r="BE2140" s="4">
        <v>43283.490185185183</v>
      </c>
      <c r="BF2140" s="4">
        <v>43283.490185185183</v>
      </c>
      <c r="BG2140" t="s">
        <v>373</v>
      </c>
      <c r="BH2140" t="s">
        <v>374</v>
      </c>
      <c r="BI2140" t="s">
        <v>85</v>
      </c>
    </row>
    <row r="2141" spans="1:61" x14ac:dyDescent="0.3">
      <c r="A2141" t="str">
        <f>"201369B0100"</f>
        <v>201369B0100</v>
      </c>
      <c r="B2141" t="s">
        <v>4380</v>
      </c>
      <c r="C2141">
        <v>20</v>
      </c>
      <c r="D2141" t="s">
        <v>79</v>
      </c>
      <c r="E2141">
        <v>10</v>
      </c>
      <c r="F2141" t="s">
        <v>4190</v>
      </c>
      <c r="G2141">
        <v>1369</v>
      </c>
      <c r="H2141">
        <v>1</v>
      </c>
      <c r="I2141" t="s">
        <v>81</v>
      </c>
      <c r="J2141">
        <v>0</v>
      </c>
      <c r="K2141">
        <v>2</v>
      </c>
      <c r="L2141">
        <v>2</v>
      </c>
      <c r="AX2141">
        <v>546</v>
      </c>
      <c r="AZ2141" t="s">
        <v>156</v>
      </c>
      <c r="BA2141">
        <v>0</v>
      </c>
      <c r="BC2141" t="s">
        <v>4381</v>
      </c>
      <c r="BD2141" s="4">
        <v>43283.738888888889</v>
      </c>
      <c r="BE2141" s="4">
        <v>43283.827511574076</v>
      </c>
      <c r="BF2141" s="4">
        <v>43283.827511574076</v>
      </c>
      <c r="BG2141" t="s">
        <v>83</v>
      </c>
      <c r="BH2141" t="s">
        <v>84</v>
      </c>
      <c r="BI2141" t="s">
        <v>85</v>
      </c>
    </row>
    <row r="2142" spans="1:61" x14ac:dyDescent="0.3">
      <c r="A2142" t="str">
        <f>"201369C0100"</f>
        <v>201369C0100</v>
      </c>
      <c r="B2142" t="s">
        <v>4382</v>
      </c>
      <c r="C2142">
        <v>20</v>
      </c>
      <c r="D2142" t="s">
        <v>79</v>
      </c>
      <c r="E2142">
        <v>10</v>
      </c>
      <c r="F2142" t="s">
        <v>4190</v>
      </c>
      <c r="G2142">
        <v>1369</v>
      </c>
      <c r="H2142">
        <v>1</v>
      </c>
      <c r="I2142" t="s">
        <v>89</v>
      </c>
      <c r="J2142">
        <v>0</v>
      </c>
      <c r="K2142">
        <v>2</v>
      </c>
      <c r="L2142">
        <v>2</v>
      </c>
      <c r="M2142">
        <v>357</v>
      </c>
      <c r="N2142">
        <v>357</v>
      </c>
      <c r="O2142">
        <v>0</v>
      </c>
      <c r="P2142">
        <v>357</v>
      </c>
      <c r="Q2142">
        <v>14</v>
      </c>
      <c r="R2142">
        <v>89</v>
      </c>
      <c r="S2142">
        <v>3</v>
      </c>
      <c r="T2142">
        <v>3</v>
      </c>
      <c r="U2142">
        <v>28</v>
      </c>
      <c r="V2142">
        <v>2</v>
      </c>
      <c r="W2142">
        <v>1</v>
      </c>
      <c r="X2142">
        <v>1</v>
      </c>
      <c r="Y2142">
        <v>42</v>
      </c>
      <c r="Z2142">
        <v>1</v>
      </c>
      <c r="AB2142">
        <v>0</v>
      </c>
      <c r="AC2142">
        <v>1</v>
      </c>
      <c r="AD2142">
        <v>0</v>
      </c>
      <c r="AE2142">
        <v>0</v>
      </c>
      <c r="AF2142">
        <v>0</v>
      </c>
      <c r="AG2142">
        <v>2</v>
      </c>
      <c r="AH2142">
        <v>0</v>
      </c>
      <c r="AI2142">
        <v>0</v>
      </c>
      <c r="AJ2142">
        <v>0</v>
      </c>
      <c r="AK2142">
        <v>3</v>
      </c>
      <c r="AL2142">
        <v>0</v>
      </c>
      <c r="AM2142">
        <v>0</v>
      </c>
      <c r="AN2142">
        <v>0</v>
      </c>
      <c r="AT2142">
        <v>0</v>
      </c>
      <c r="AU2142">
        <v>17</v>
      </c>
      <c r="AV2142">
        <v>209</v>
      </c>
      <c r="AW2142">
        <v>207</v>
      </c>
      <c r="AX2142">
        <v>545</v>
      </c>
      <c r="BA2142">
        <v>1</v>
      </c>
      <c r="BC2142" t="s">
        <v>4383</v>
      </c>
      <c r="BD2142" s="4">
        <v>43283.681469907409</v>
      </c>
      <c r="BE2142" s="4">
        <v>43283.684270833335</v>
      </c>
      <c r="BF2142" s="4">
        <v>43283.684270833335</v>
      </c>
      <c r="BG2142" t="s">
        <v>83</v>
      </c>
      <c r="BH2142" t="s">
        <v>84</v>
      </c>
      <c r="BI2142" t="s">
        <v>548</v>
      </c>
    </row>
    <row r="2143" spans="1:61" x14ac:dyDescent="0.3">
      <c r="A2143" t="str">
        <f>"201369C0200"</f>
        <v>201369C0200</v>
      </c>
      <c r="B2143" t="s">
        <v>4384</v>
      </c>
      <c r="C2143">
        <v>20</v>
      </c>
      <c r="D2143" t="s">
        <v>79</v>
      </c>
      <c r="E2143">
        <v>10</v>
      </c>
      <c r="F2143" t="s">
        <v>4190</v>
      </c>
      <c r="G2143">
        <v>1369</v>
      </c>
      <c r="H2143">
        <v>2</v>
      </c>
      <c r="I2143" t="s">
        <v>89</v>
      </c>
      <c r="J2143">
        <v>0</v>
      </c>
      <c r="K2143">
        <v>2</v>
      </c>
      <c r="L2143">
        <v>2</v>
      </c>
      <c r="M2143">
        <v>352</v>
      </c>
      <c r="N2143">
        <v>215</v>
      </c>
      <c r="O2143">
        <v>215</v>
      </c>
      <c r="P2143" t="s">
        <v>100</v>
      </c>
      <c r="Q2143">
        <v>22</v>
      </c>
      <c r="R2143">
        <v>84</v>
      </c>
      <c r="S2143">
        <v>0</v>
      </c>
      <c r="T2143">
        <v>3</v>
      </c>
      <c r="U2143">
        <v>15</v>
      </c>
      <c r="V2143">
        <v>2</v>
      </c>
      <c r="W2143">
        <v>2</v>
      </c>
      <c r="X2143">
        <v>3</v>
      </c>
      <c r="Y2143">
        <v>1</v>
      </c>
      <c r="Z2143">
        <v>4</v>
      </c>
      <c r="AB2143" t="s">
        <v>100</v>
      </c>
      <c r="AC2143" t="s">
        <v>100</v>
      </c>
      <c r="AD2143" t="s">
        <v>100</v>
      </c>
      <c r="AE2143" t="s">
        <v>100</v>
      </c>
      <c r="AF2143" t="s">
        <v>100</v>
      </c>
      <c r="AG2143" t="s">
        <v>100</v>
      </c>
      <c r="AH2143" t="s">
        <v>100</v>
      </c>
      <c r="AI2143" t="s">
        <v>100</v>
      </c>
      <c r="AJ2143" t="s">
        <v>100</v>
      </c>
      <c r="AK2143">
        <v>3</v>
      </c>
      <c r="AL2143" t="s">
        <v>100</v>
      </c>
      <c r="AM2143" t="s">
        <v>100</v>
      </c>
      <c r="AN2143" t="s">
        <v>100</v>
      </c>
      <c r="AT2143" t="s">
        <v>100</v>
      </c>
      <c r="AU2143">
        <v>30</v>
      </c>
      <c r="AV2143">
        <v>169</v>
      </c>
      <c r="AW2143">
        <v>169</v>
      </c>
      <c r="AX2143">
        <v>545</v>
      </c>
      <c r="AZ2143" t="s">
        <v>101</v>
      </c>
      <c r="BA2143">
        <v>1</v>
      </c>
      <c r="BC2143" t="s">
        <v>4385</v>
      </c>
      <c r="BD2143" s="4">
        <v>43283.678391203706</v>
      </c>
      <c r="BE2143" s="4">
        <v>43283.683333333334</v>
      </c>
      <c r="BF2143" s="4">
        <v>43283.683333333334</v>
      </c>
      <c r="BG2143" t="s">
        <v>83</v>
      </c>
      <c r="BH2143" t="s">
        <v>84</v>
      </c>
      <c r="BI2143" t="s">
        <v>85</v>
      </c>
    </row>
    <row r="2144" spans="1:61" x14ac:dyDescent="0.3">
      <c r="A2144" t="str">
        <f>"201370B0100"</f>
        <v>201370B0100</v>
      </c>
      <c r="B2144" t="s">
        <v>4386</v>
      </c>
      <c r="C2144">
        <v>20</v>
      </c>
      <c r="D2144" t="s">
        <v>79</v>
      </c>
      <c r="E2144">
        <v>10</v>
      </c>
      <c r="F2144" t="s">
        <v>4190</v>
      </c>
      <c r="G2144">
        <v>1370</v>
      </c>
      <c r="H2144">
        <v>1</v>
      </c>
      <c r="I2144" t="s">
        <v>81</v>
      </c>
      <c r="J2144">
        <v>0</v>
      </c>
      <c r="K2144">
        <v>2</v>
      </c>
      <c r="L2144">
        <v>2</v>
      </c>
      <c r="M2144">
        <v>259</v>
      </c>
      <c r="N2144">
        <v>186</v>
      </c>
      <c r="O2144">
        <v>0</v>
      </c>
      <c r="P2144">
        <v>186</v>
      </c>
      <c r="Q2144">
        <v>1</v>
      </c>
      <c r="R2144">
        <v>42</v>
      </c>
      <c r="S2144">
        <v>2</v>
      </c>
      <c r="T2144">
        <v>0</v>
      </c>
      <c r="U2144">
        <v>41</v>
      </c>
      <c r="V2144">
        <v>3</v>
      </c>
      <c r="W2144">
        <v>2</v>
      </c>
      <c r="X2144">
        <v>5</v>
      </c>
      <c r="Y2144">
        <v>64</v>
      </c>
      <c r="Z2144">
        <v>2</v>
      </c>
      <c r="AB2144">
        <v>2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2</v>
      </c>
      <c r="AL2144">
        <v>2</v>
      </c>
      <c r="AM2144">
        <v>1</v>
      </c>
      <c r="AN2144">
        <v>0</v>
      </c>
      <c r="AT2144">
        <v>0</v>
      </c>
      <c r="AU2144">
        <v>17</v>
      </c>
      <c r="AV2144">
        <v>186</v>
      </c>
      <c r="AW2144">
        <v>186</v>
      </c>
      <c r="AX2144">
        <v>423</v>
      </c>
      <c r="BA2144">
        <v>1</v>
      </c>
      <c r="BC2144" t="s">
        <v>4387</v>
      </c>
      <c r="BD2144" s="4">
        <v>43283.677928240744</v>
      </c>
      <c r="BE2144" s="4">
        <v>43283.680474537039</v>
      </c>
      <c r="BF2144" s="4">
        <v>43283.680474537039</v>
      </c>
      <c r="BG2144" t="s">
        <v>83</v>
      </c>
      <c r="BH2144" t="s">
        <v>84</v>
      </c>
      <c r="BI2144" t="s">
        <v>85</v>
      </c>
    </row>
    <row r="2145" spans="1:61" x14ac:dyDescent="0.3">
      <c r="A2145" t="str">
        <f>"201370E0100"</f>
        <v>201370E0100</v>
      </c>
      <c r="B2145" s="2" t="s">
        <v>4388</v>
      </c>
      <c r="C2145">
        <v>20</v>
      </c>
      <c r="D2145" t="s">
        <v>79</v>
      </c>
      <c r="E2145">
        <v>10</v>
      </c>
      <c r="F2145" t="s">
        <v>4190</v>
      </c>
      <c r="G2145">
        <v>1370</v>
      </c>
      <c r="H2145">
        <v>1</v>
      </c>
      <c r="I2145" t="s">
        <v>145</v>
      </c>
      <c r="J2145">
        <v>0</v>
      </c>
      <c r="K2145">
        <v>2</v>
      </c>
      <c r="L2145">
        <v>2</v>
      </c>
      <c r="M2145">
        <v>348</v>
      </c>
      <c r="N2145">
        <v>330</v>
      </c>
      <c r="O2145">
        <v>2</v>
      </c>
      <c r="P2145">
        <v>330</v>
      </c>
      <c r="Q2145">
        <v>8</v>
      </c>
      <c r="R2145">
        <v>7</v>
      </c>
      <c r="S2145">
        <v>6</v>
      </c>
      <c r="T2145">
        <v>3</v>
      </c>
      <c r="U2145">
        <v>52</v>
      </c>
      <c r="V2145">
        <v>2</v>
      </c>
      <c r="W2145">
        <v>1</v>
      </c>
      <c r="X2145">
        <v>1</v>
      </c>
      <c r="Y2145">
        <v>217</v>
      </c>
      <c r="Z2145">
        <v>6</v>
      </c>
      <c r="AB2145">
        <v>2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4</v>
      </c>
      <c r="AL2145">
        <v>6</v>
      </c>
      <c r="AM2145">
        <v>0</v>
      </c>
      <c r="AN2145">
        <v>0</v>
      </c>
      <c r="AT2145">
        <v>0</v>
      </c>
      <c r="AU2145">
        <v>15</v>
      </c>
      <c r="AV2145">
        <v>330</v>
      </c>
      <c r="AW2145">
        <v>330</v>
      </c>
      <c r="AX2145">
        <v>671</v>
      </c>
      <c r="BA2145">
        <v>1</v>
      </c>
      <c r="BC2145" t="s">
        <v>4389</v>
      </c>
      <c r="BD2145" s="4">
        <v>43283.171064814815</v>
      </c>
      <c r="BE2145" s="4">
        <v>43283.182604166665</v>
      </c>
      <c r="BF2145" s="4">
        <v>43283.182604166665</v>
      </c>
      <c r="BG2145" t="s">
        <v>83</v>
      </c>
      <c r="BH2145" t="s">
        <v>84</v>
      </c>
      <c r="BI2145" t="s">
        <v>85</v>
      </c>
    </row>
    <row r="2146" spans="1:61" x14ac:dyDescent="0.3">
      <c r="A2146" t="str">
        <f>"201515B0100"</f>
        <v>201515B0100</v>
      </c>
      <c r="B2146" t="s">
        <v>4390</v>
      </c>
      <c r="C2146">
        <v>20</v>
      </c>
      <c r="D2146" t="s">
        <v>79</v>
      </c>
      <c r="E2146">
        <v>10</v>
      </c>
      <c r="F2146" t="s">
        <v>4190</v>
      </c>
      <c r="G2146">
        <v>1515</v>
      </c>
      <c r="H2146">
        <v>1</v>
      </c>
      <c r="I2146" t="s">
        <v>81</v>
      </c>
      <c r="J2146">
        <v>0</v>
      </c>
      <c r="K2146">
        <v>2</v>
      </c>
      <c r="L2146">
        <v>2</v>
      </c>
      <c r="M2146">
        <v>256</v>
      </c>
      <c r="N2146">
        <v>159</v>
      </c>
      <c r="O2146">
        <v>0</v>
      </c>
      <c r="P2146">
        <v>159</v>
      </c>
      <c r="Q2146">
        <v>18</v>
      </c>
      <c r="R2146">
        <v>35</v>
      </c>
      <c r="S2146">
        <v>1</v>
      </c>
      <c r="T2146">
        <v>3</v>
      </c>
      <c r="U2146">
        <v>10</v>
      </c>
      <c r="V2146">
        <v>1</v>
      </c>
      <c r="W2146">
        <v>4</v>
      </c>
      <c r="X2146">
        <v>68</v>
      </c>
      <c r="Y2146">
        <v>1</v>
      </c>
      <c r="Z2146">
        <v>2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1</v>
      </c>
      <c r="AH2146">
        <v>0</v>
      </c>
      <c r="AI2146">
        <v>0</v>
      </c>
      <c r="AJ2146">
        <v>0</v>
      </c>
      <c r="AK2146">
        <v>4</v>
      </c>
      <c r="AL2146">
        <v>0</v>
      </c>
      <c r="AM2146">
        <v>0</v>
      </c>
      <c r="AN2146">
        <v>0</v>
      </c>
      <c r="AT2146">
        <v>0</v>
      </c>
      <c r="AU2146">
        <v>11</v>
      </c>
      <c r="AV2146">
        <v>159</v>
      </c>
      <c r="AW2146">
        <v>159</v>
      </c>
      <c r="AX2146">
        <v>393</v>
      </c>
      <c r="BA2146">
        <v>1</v>
      </c>
      <c r="BC2146" t="s">
        <v>4391</v>
      </c>
      <c r="BD2146" s="4">
        <v>43283.184571759259</v>
      </c>
      <c r="BE2146" s="4">
        <v>43283.202800925923</v>
      </c>
      <c r="BF2146" s="4">
        <v>43283.202800925923</v>
      </c>
      <c r="BG2146" t="s">
        <v>83</v>
      </c>
      <c r="BH2146" t="s">
        <v>84</v>
      </c>
      <c r="BI2146" t="s">
        <v>85</v>
      </c>
    </row>
    <row r="2147" spans="1:61" x14ac:dyDescent="0.3">
      <c r="A2147" t="str">
        <f>"201515C0100"</f>
        <v>201515C0100</v>
      </c>
      <c r="B2147" t="s">
        <v>4392</v>
      </c>
      <c r="C2147">
        <v>20</v>
      </c>
      <c r="D2147" t="s">
        <v>79</v>
      </c>
      <c r="E2147">
        <v>10</v>
      </c>
      <c r="F2147" t="s">
        <v>4190</v>
      </c>
      <c r="G2147">
        <v>1515</v>
      </c>
      <c r="H2147">
        <v>1</v>
      </c>
      <c r="I2147" t="s">
        <v>89</v>
      </c>
      <c r="J2147">
        <v>0</v>
      </c>
      <c r="K2147">
        <v>2</v>
      </c>
      <c r="L2147">
        <v>2</v>
      </c>
      <c r="M2147">
        <v>244</v>
      </c>
      <c r="N2147">
        <v>168</v>
      </c>
      <c r="O2147" t="s">
        <v>100</v>
      </c>
      <c r="P2147">
        <v>171</v>
      </c>
      <c r="Q2147">
        <v>17</v>
      </c>
      <c r="R2147">
        <v>36</v>
      </c>
      <c r="S2147">
        <v>5</v>
      </c>
      <c r="T2147">
        <v>5</v>
      </c>
      <c r="U2147">
        <v>14</v>
      </c>
      <c r="V2147">
        <v>1</v>
      </c>
      <c r="W2147">
        <v>0</v>
      </c>
      <c r="X2147">
        <v>2</v>
      </c>
      <c r="Y2147">
        <v>80</v>
      </c>
      <c r="Z2147">
        <v>1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2</v>
      </c>
      <c r="AL2147">
        <v>0</v>
      </c>
      <c r="AM2147">
        <v>0</v>
      </c>
      <c r="AN2147">
        <v>0</v>
      </c>
      <c r="AT2147">
        <v>0</v>
      </c>
      <c r="AU2147">
        <v>8</v>
      </c>
      <c r="AV2147">
        <v>171</v>
      </c>
      <c r="AW2147">
        <v>171</v>
      </c>
      <c r="AX2147">
        <v>392</v>
      </c>
      <c r="BA2147">
        <v>1</v>
      </c>
      <c r="BC2147" t="s">
        <v>4393</v>
      </c>
      <c r="BD2147" s="4">
        <v>43283.18409722222</v>
      </c>
      <c r="BE2147" s="4">
        <v>43283.200879629629</v>
      </c>
      <c r="BF2147" s="4">
        <v>43283.200879629629</v>
      </c>
      <c r="BG2147" t="s">
        <v>83</v>
      </c>
      <c r="BH2147" t="s">
        <v>84</v>
      </c>
      <c r="BI2147" t="s">
        <v>85</v>
      </c>
    </row>
    <row r="2148" spans="1:61" x14ac:dyDescent="0.3">
      <c r="A2148" t="str">
        <f>"201515E0100"</f>
        <v>201515E0100</v>
      </c>
      <c r="B2148" s="2" t="s">
        <v>4394</v>
      </c>
      <c r="C2148">
        <v>20</v>
      </c>
      <c r="D2148" t="s">
        <v>79</v>
      </c>
      <c r="E2148">
        <v>10</v>
      </c>
      <c r="F2148" t="s">
        <v>4190</v>
      </c>
      <c r="G2148">
        <v>1515</v>
      </c>
      <c r="H2148">
        <v>1</v>
      </c>
      <c r="I2148" t="s">
        <v>145</v>
      </c>
      <c r="J2148">
        <v>0</v>
      </c>
      <c r="K2148">
        <v>2</v>
      </c>
      <c r="L2148">
        <v>2</v>
      </c>
      <c r="M2148">
        <v>363</v>
      </c>
      <c r="N2148">
        <v>140</v>
      </c>
      <c r="O2148">
        <v>0</v>
      </c>
      <c r="P2148">
        <v>140</v>
      </c>
      <c r="Q2148">
        <v>12</v>
      </c>
      <c r="R2148">
        <v>10</v>
      </c>
      <c r="S2148">
        <v>3</v>
      </c>
      <c r="T2148">
        <v>4</v>
      </c>
      <c r="U2148">
        <v>4</v>
      </c>
      <c r="V2148">
        <v>1</v>
      </c>
      <c r="W2148">
        <v>3</v>
      </c>
      <c r="X2148">
        <v>2</v>
      </c>
      <c r="Y2148">
        <v>79</v>
      </c>
      <c r="Z2148">
        <v>4</v>
      </c>
      <c r="AB2148">
        <v>3</v>
      </c>
      <c r="AC2148">
        <v>0</v>
      </c>
      <c r="AD2148">
        <v>0</v>
      </c>
      <c r="AE2148">
        <v>0</v>
      </c>
      <c r="AF2148">
        <v>0</v>
      </c>
      <c r="AG2148">
        <v>1</v>
      </c>
      <c r="AH2148">
        <v>0</v>
      </c>
      <c r="AI2148">
        <v>0</v>
      </c>
      <c r="AJ2148">
        <v>0</v>
      </c>
      <c r="AK2148">
        <v>4</v>
      </c>
      <c r="AL2148">
        <v>0</v>
      </c>
      <c r="AM2148">
        <v>0</v>
      </c>
      <c r="AN2148">
        <v>0</v>
      </c>
      <c r="AT2148">
        <v>0</v>
      </c>
      <c r="AU2148">
        <v>10</v>
      </c>
      <c r="AV2148">
        <v>140</v>
      </c>
      <c r="AW2148">
        <v>140</v>
      </c>
      <c r="AX2148">
        <v>481</v>
      </c>
      <c r="BA2148">
        <v>1</v>
      </c>
      <c r="BC2148" t="s">
        <v>4395</v>
      </c>
      <c r="BD2148" s="4">
        <v>43283.171956018516</v>
      </c>
      <c r="BE2148" s="4">
        <v>43283.185185185182</v>
      </c>
      <c r="BF2148" s="4">
        <v>43283.185185185182</v>
      </c>
      <c r="BG2148" t="s">
        <v>83</v>
      </c>
      <c r="BH2148" t="s">
        <v>84</v>
      </c>
      <c r="BI2148" t="s">
        <v>85</v>
      </c>
    </row>
    <row r="2149" spans="1:61" x14ac:dyDescent="0.3">
      <c r="A2149" t="str">
        <f>"201585B0100"</f>
        <v>201585B0100</v>
      </c>
      <c r="B2149" t="s">
        <v>4396</v>
      </c>
      <c r="C2149">
        <v>20</v>
      </c>
      <c r="D2149" t="s">
        <v>79</v>
      </c>
      <c r="E2149">
        <v>10</v>
      </c>
      <c r="F2149" t="s">
        <v>4190</v>
      </c>
      <c r="G2149">
        <v>1585</v>
      </c>
      <c r="H2149">
        <v>1</v>
      </c>
      <c r="I2149" t="s">
        <v>81</v>
      </c>
      <c r="J2149">
        <v>0</v>
      </c>
      <c r="K2149">
        <v>2</v>
      </c>
      <c r="L2149">
        <v>2</v>
      </c>
      <c r="M2149">
        <v>300</v>
      </c>
      <c r="N2149">
        <v>240</v>
      </c>
      <c r="O2149">
        <v>0</v>
      </c>
      <c r="P2149">
        <v>240</v>
      </c>
      <c r="Q2149">
        <v>13</v>
      </c>
      <c r="R2149">
        <v>24</v>
      </c>
      <c r="S2149">
        <v>1</v>
      </c>
      <c r="T2149">
        <v>2</v>
      </c>
      <c r="U2149">
        <v>54</v>
      </c>
      <c r="V2149">
        <v>2</v>
      </c>
      <c r="W2149">
        <v>1</v>
      </c>
      <c r="X2149">
        <v>1</v>
      </c>
      <c r="Y2149">
        <v>100</v>
      </c>
      <c r="Z2149">
        <v>1</v>
      </c>
      <c r="AB2149">
        <v>2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1</v>
      </c>
      <c r="AI2149">
        <v>0</v>
      </c>
      <c r="AJ2149">
        <v>0</v>
      </c>
      <c r="AK2149">
        <v>11</v>
      </c>
      <c r="AL2149">
        <v>7</v>
      </c>
      <c r="AM2149">
        <v>2</v>
      </c>
      <c r="AN2149">
        <v>1</v>
      </c>
      <c r="AT2149" t="s">
        <v>100</v>
      </c>
      <c r="AU2149">
        <v>17</v>
      </c>
      <c r="AV2149">
        <v>240</v>
      </c>
      <c r="AW2149">
        <v>240</v>
      </c>
      <c r="AX2149">
        <v>518</v>
      </c>
      <c r="AZ2149" t="s">
        <v>101</v>
      </c>
      <c r="BA2149">
        <v>1</v>
      </c>
      <c r="BC2149" t="s">
        <v>4397</v>
      </c>
      <c r="BD2149" s="4">
        <v>43282.992662037039</v>
      </c>
      <c r="BE2149" s="4">
        <v>43282.996435185189</v>
      </c>
      <c r="BF2149" s="4">
        <v>43282.996435185189</v>
      </c>
      <c r="BG2149" t="s">
        <v>373</v>
      </c>
      <c r="BH2149" t="s">
        <v>374</v>
      </c>
      <c r="BI2149" t="s">
        <v>85</v>
      </c>
    </row>
    <row r="2150" spans="1:61" x14ac:dyDescent="0.3">
      <c r="A2150" t="str">
        <f>"201585C0100"</f>
        <v>201585C0100</v>
      </c>
      <c r="B2150" t="s">
        <v>4398</v>
      </c>
      <c r="C2150">
        <v>20</v>
      </c>
      <c r="D2150" t="s">
        <v>79</v>
      </c>
      <c r="E2150">
        <v>10</v>
      </c>
      <c r="F2150" t="s">
        <v>4190</v>
      </c>
      <c r="G2150">
        <v>1585</v>
      </c>
      <c r="H2150">
        <v>1</v>
      </c>
      <c r="I2150" t="s">
        <v>89</v>
      </c>
      <c r="J2150">
        <v>0</v>
      </c>
      <c r="K2150">
        <v>2</v>
      </c>
      <c r="L2150">
        <v>2</v>
      </c>
      <c r="M2150">
        <v>297</v>
      </c>
      <c r="N2150">
        <v>243</v>
      </c>
      <c r="O2150">
        <v>0</v>
      </c>
      <c r="P2150">
        <v>243</v>
      </c>
      <c r="Q2150">
        <v>7</v>
      </c>
      <c r="R2150">
        <v>31</v>
      </c>
      <c r="S2150">
        <v>7</v>
      </c>
      <c r="T2150">
        <v>3</v>
      </c>
      <c r="U2150">
        <v>45</v>
      </c>
      <c r="V2150">
        <v>6</v>
      </c>
      <c r="W2150">
        <v>1</v>
      </c>
      <c r="X2150">
        <v>1</v>
      </c>
      <c r="Y2150">
        <v>108</v>
      </c>
      <c r="Z2150">
        <v>1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8</v>
      </c>
      <c r="AL2150">
        <v>0</v>
      </c>
      <c r="AM2150">
        <v>0</v>
      </c>
      <c r="AN2150">
        <v>0</v>
      </c>
      <c r="AT2150">
        <v>0</v>
      </c>
      <c r="AU2150">
        <v>25</v>
      </c>
      <c r="AV2150">
        <v>243</v>
      </c>
      <c r="AW2150">
        <v>243</v>
      </c>
      <c r="AX2150">
        <v>518</v>
      </c>
      <c r="BA2150">
        <v>1</v>
      </c>
      <c r="BC2150" t="s">
        <v>4399</v>
      </c>
      <c r="BD2150" s="4">
        <v>43283.155057870368</v>
      </c>
      <c r="BE2150" s="4">
        <v>43283.164155092592</v>
      </c>
      <c r="BF2150" s="4">
        <v>43283.164155092592</v>
      </c>
      <c r="BG2150" t="s">
        <v>83</v>
      </c>
      <c r="BH2150" t="s">
        <v>84</v>
      </c>
      <c r="BI2150" t="s">
        <v>85</v>
      </c>
    </row>
    <row r="2151" spans="1:61" x14ac:dyDescent="0.3">
      <c r="A2151" t="str">
        <f>"201586B0100"</f>
        <v>201586B0100</v>
      </c>
      <c r="B2151" t="s">
        <v>4400</v>
      </c>
      <c r="C2151">
        <v>20</v>
      </c>
      <c r="D2151" t="s">
        <v>79</v>
      </c>
      <c r="E2151">
        <v>10</v>
      </c>
      <c r="F2151" t="s">
        <v>4190</v>
      </c>
      <c r="G2151">
        <v>1586</v>
      </c>
      <c r="H2151">
        <v>1</v>
      </c>
      <c r="I2151" t="s">
        <v>81</v>
      </c>
      <c r="J2151">
        <v>0</v>
      </c>
      <c r="K2151">
        <v>2</v>
      </c>
      <c r="L2151">
        <v>2</v>
      </c>
      <c r="M2151">
        <v>345</v>
      </c>
      <c r="N2151">
        <v>342</v>
      </c>
      <c r="O2151">
        <v>0</v>
      </c>
      <c r="P2151">
        <v>342</v>
      </c>
      <c r="Q2151">
        <v>12</v>
      </c>
      <c r="R2151">
        <v>42</v>
      </c>
      <c r="S2151">
        <v>7</v>
      </c>
      <c r="T2151">
        <v>4</v>
      </c>
      <c r="U2151">
        <v>48</v>
      </c>
      <c r="V2151">
        <v>2</v>
      </c>
      <c r="W2151">
        <v>1</v>
      </c>
      <c r="X2151">
        <v>5</v>
      </c>
      <c r="Y2151">
        <v>169</v>
      </c>
      <c r="Z2151">
        <v>9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3</v>
      </c>
      <c r="AH2151">
        <v>1</v>
      </c>
      <c r="AI2151">
        <v>0</v>
      </c>
      <c r="AJ2151">
        <v>0</v>
      </c>
      <c r="AK2151">
        <v>13</v>
      </c>
      <c r="AL2151">
        <v>6</v>
      </c>
      <c r="AM2151">
        <v>0</v>
      </c>
      <c r="AN2151">
        <v>0</v>
      </c>
      <c r="AT2151">
        <v>0</v>
      </c>
      <c r="AU2151">
        <v>19</v>
      </c>
      <c r="AV2151">
        <v>342</v>
      </c>
      <c r="AW2151">
        <v>341</v>
      </c>
      <c r="AX2151">
        <v>664</v>
      </c>
      <c r="BA2151">
        <v>1</v>
      </c>
      <c r="BC2151" t="s">
        <v>4401</v>
      </c>
      <c r="BD2151" s="4">
        <v>43283.159085648149</v>
      </c>
      <c r="BE2151" s="4">
        <v>43283.172291666669</v>
      </c>
      <c r="BF2151" s="4">
        <v>43283.172291666669</v>
      </c>
      <c r="BG2151" t="s">
        <v>83</v>
      </c>
      <c r="BH2151" t="s">
        <v>84</v>
      </c>
      <c r="BI2151" t="s">
        <v>85</v>
      </c>
    </row>
    <row r="2152" spans="1:61" x14ac:dyDescent="0.3">
      <c r="A2152" t="str">
        <f>"201586C0100"</f>
        <v>201586C0100</v>
      </c>
      <c r="B2152" t="s">
        <v>4402</v>
      </c>
      <c r="C2152">
        <v>20</v>
      </c>
      <c r="D2152" t="s">
        <v>79</v>
      </c>
      <c r="E2152">
        <v>10</v>
      </c>
      <c r="F2152" t="s">
        <v>4190</v>
      </c>
      <c r="G2152">
        <v>1586</v>
      </c>
      <c r="H2152">
        <v>1</v>
      </c>
      <c r="I2152" t="s">
        <v>89</v>
      </c>
      <c r="J2152">
        <v>0</v>
      </c>
      <c r="K2152">
        <v>2</v>
      </c>
      <c r="L2152">
        <v>2</v>
      </c>
      <c r="M2152">
        <v>323</v>
      </c>
      <c r="N2152" t="s">
        <v>100</v>
      </c>
      <c r="O2152" t="s">
        <v>100</v>
      </c>
      <c r="P2152" t="s">
        <v>100</v>
      </c>
      <c r="Q2152">
        <v>13</v>
      </c>
      <c r="R2152">
        <v>36</v>
      </c>
      <c r="S2152">
        <v>4</v>
      </c>
      <c r="T2152">
        <v>5</v>
      </c>
      <c r="U2152">
        <v>60</v>
      </c>
      <c r="V2152">
        <v>3</v>
      </c>
      <c r="W2152">
        <v>0</v>
      </c>
      <c r="X2152">
        <v>3</v>
      </c>
      <c r="Y2152">
        <v>187</v>
      </c>
      <c r="Z2152">
        <v>1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1</v>
      </c>
      <c r="AI2152">
        <v>0</v>
      </c>
      <c r="AJ2152">
        <v>0</v>
      </c>
      <c r="AK2152">
        <v>8</v>
      </c>
      <c r="AL2152">
        <v>11</v>
      </c>
      <c r="AM2152">
        <v>1</v>
      </c>
      <c r="AN2152">
        <v>1</v>
      </c>
      <c r="AT2152">
        <v>0</v>
      </c>
      <c r="AU2152">
        <v>22</v>
      </c>
      <c r="AV2152">
        <v>358</v>
      </c>
      <c r="AW2152">
        <v>356</v>
      </c>
      <c r="AX2152">
        <v>664</v>
      </c>
      <c r="BA2152">
        <v>1</v>
      </c>
      <c r="BC2152" t="s">
        <v>4403</v>
      </c>
      <c r="BD2152" s="4">
        <v>43283.151631944442</v>
      </c>
      <c r="BE2152" s="4">
        <v>43283.160092592596</v>
      </c>
      <c r="BF2152" s="4">
        <v>43283.160092592596</v>
      </c>
      <c r="BG2152" t="s">
        <v>83</v>
      </c>
      <c r="BH2152" t="s">
        <v>84</v>
      </c>
      <c r="BI2152" t="s">
        <v>85</v>
      </c>
    </row>
    <row r="2153" spans="1:61" x14ac:dyDescent="0.3">
      <c r="A2153" t="str">
        <f>"201586S0100"</f>
        <v>201586S0100</v>
      </c>
      <c r="B2153" t="s">
        <v>4404</v>
      </c>
      <c r="C2153">
        <v>20</v>
      </c>
      <c r="D2153" t="s">
        <v>79</v>
      </c>
      <c r="E2153">
        <v>10</v>
      </c>
      <c r="F2153" t="s">
        <v>4190</v>
      </c>
      <c r="G2153">
        <v>1586</v>
      </c>
      <c r="H2153">
        <v>1</v>
      </c>
      <c r="I2153" t="s">
        <v>104</v>
      </c>
      <c r="J2153">
        <v>0</v>
      </c>
      <c r="K2153">
        <v>2</v>
      </c>
      <c r="L2153">
        <v>3</v>
      </c>
      <c r="M2153">
        <v>363</v>
      </c>
      <c r="N2153">
        <v>408</v>
      </c>
      <c r="O2153">
        <v>0</v>
      </c>
      <c r="P2153">
        <v>408</v>
      </c>
      <c r="Q2153">
        <v>37</v>
      </c>
      <c r="R2153">
        <v>40</v>
      </c>
      <c r="S2153">
        <v>8</v>
      </c>
      <c r="T2153">
        <v>5</v>
      </c>
      <c r="U2153">
        <v>41</v>
      </c>
      <c r="V2153">
        <v>8</v>
      </c>
      <c r="W2153">
        <v>3</v>
      </c>
      <c r="X2153">
        <v>1</v>
      </c>
      <c r="Y2153">
        <v>225</v>
      </c>
      <c r="Z2153">
        <v>5</v>
      </c>
      <c r="AB2153">
        <v>6</v>
      </c>
      <c r="AC2153">
        <v>0</v>
      </c>
      <c r="AD2153">
        <v>0</v>
      </c>
      <c r="AE2153">
        <v>0</v>
      </c>
      <c r="AF2153">
        <v>0</v>
      </c>
      <c r="AG2153">
        <v>1</v>
      </c>
      <c r="AH2153">
        <v>1</v>
      </c>
      <c r="AI2153">
        <v>0</v>
      </c>
      <c r="AJ2153">
        <v>0</v>
      </c>
      <c r="AK2153">
        <v>4</v>
      </c>
      <c r="AL2153">
        <v>5</v>
      </c>
      <c r="AM2153">
        <v>0</v>
      </c>
      <c r="AN2153">
        <v>0</v>
      </c>
      <c r="AT2153">
        <v>0</v>
      </c>
      <c r="AU2153">
        <v>18</v>
      </c>
      <c r="AV2153" t="s">
        <v>315</v>
      </c>
      <c r="AW2153">
        <v>408</v>
      </c>
      <c r="AX2153">
        <v>0</v>
      </c>
      <c r="BA2153">
        <v>1</v>
      </c>
      <c r="BC2153" t="s">
        <v>4405</v>
      </c>
      <c r="BD2153" s="4">
        <v>43283.148865740739</v>
      </c>
      <c r="BE2153" s="4">
        <v>43283.160416666666</v>
      </c>
      <c r="BF2153" s="4">
        <v>43283.160416666666</v>
      </c>
      <c r="BG2153" t="s">
        <v>83</v>
      </c>
      <c r="BH2153" t="s">
        <v>84</v>
      </c>
      <c r="BI2153" t="s">
        <v>85</v>
      </c>
    </row>
    <row r="2154" spans="1:61" x14ac:dyDescent="0.3">
      <c r="A2154" t="str">
        <f>"201587B0100"</f>
        <v>201587B0100</v>
      </c>
      <c r="B2154" t="s">
        <v>4406</v>
      </c>
      <c r="C2154">
        <v>20</v>
      </c>
      <c r="D2154" t="s">
        <v>79</v>
      </c>
      <c r="E2154">
        <v>10</v>
      </c>
      <c r="F2154" t="s">
        <v>4190</v>
      </c>
      <c r="G2154">
        <v>1587</v>
      </c>
      <c r="H2154">
        <v>1</v>
      </c>
      <c r="I2154" t="s">
        <v>81</v>
      </c>
      <c r="J2154">
        <v>0</v>
      </c>
      <c r="K2154">
        <v>2</v>
      </c>
      <c r="L2154">
        <v>2</v>
      </c>
      <c r="M2154">
        <v>322</v>
      </c>
      <c r="N2154">
        <v>269</v>
      </c>
      <c r="O2154">
        <v>0</v>
      </c>
      <c r="P2154">
        <v>269</v>
      </c>
      <c r="Q2154">
        <v>26</v>
      </c>
      <c r="R2154">
        <v>33</v>
      </c>
      <c r="S2154">
        <v>6</v>
      </c>
      <c r="T2154">
        <v>2</v>
      </c>
      <c r="U2154">
        <v>80</v>
      </c>
      <c r="V2154">
        <v>11</v>
      </c>
      <c r="W2154">
        <v>3</v>
      </c>
      <c r="X2154">
        <v>5</v>
      </c>
      <c r="Y2154">
        <v>65</v>
      </c>
      <c r="Z2154">
        <v>3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17</v>
      </c>
      <c r="AL2154">
        <v>5</v>
      </c>
      <c r="AM2154">
        <v>0</v>
      </c>
      <c r="AN2154">
        <v>0</v>
      </c>
      <c r="AT2154">
        <v>0</v>
      </c>
      <c r="AU2154">
        <v>13</v>
      </c>
      <c r="AV2154">
        <v>269</v>
      </c>
      <c r="AW2154">
        <v>269</v>
      </c>
      <c r="AX2154">
        <v>568</v>
      </c>
      <c r="BA2154">
        <v>1</v>
      </c>
      <c r="BC2154" t="s">
        <v>4407</v>
      </c>
      <c r="BD2154" s="4">
        <v>43283.217881944445</v>
      </c>
      <c r="BE2154" s="4">
        <v>43283.243217592593</v>
      </c>
      <c r="BF2154" s="4">
        <v>43283.243217592593</v>
      </c>
      <c r="BG2154" t="s">
        <v>83</v>
      </c>
      <c r="BH2154" t="s">
        <v>84</v>
      </c>
      <c r="BI2154" t="s">
        <v>85</v>
      </c>
    </row>
    <row r="2155" spans="1:61" x14ac:dyDescent="0.3">
      <c r="A2155" t="str">
        <f>"201587E0100"</f>
        <v>201587E0100</v>
      </c>
      <c r="B2155" s="2" t="s">
        <v>4408</v>
      </c>
      <c r="C2155">
        <v>20</v>
      </c>
      <c r="D2155" t="s">
        <v>79</v>
      </c>
      <c r="E2155">
        <v>10</v>
      </c>
      <c r="F2155" t="s">
        <v>4190</v>
      </c>
      <c r="G2155">
        <v>1587</v>
      </c>
      <c r="H2155">
        <v>1</v>
      </c>
      <c r="I2155" t="s">
        <v>145</v>
      </c>
      <c r="J2155">
        <v>0</v>
      </c>
      <c r="K2155">
        <v>2</v>
      </c>
      <c r="L2155">
        <v>2</v>
      </c>
      <c r="M2155">
        <v>267</v>
      </c>
      <c r="N2155">
        <v>433</v>
      </c>
      <c r="O2155">
        <v>0</v>
      </c>
      <c r="P2155">
        <v>166</v>
      </c>
      <c r="Q2155">
        <v>7</v>
      </c>
      <c r="R2155">
        <v>28</v>
      </c>
      <c r="S2155">
        <v>2</v>
      </c>
      <c r="T2155">
        <v>4</v>
      </c>
      <c r="U2155">
        <v>42</v>
      </c>
      <c r="V2155">
        <v>8</v>
      </c>
      <c r="W2155">
        <v>4</v>
      </c>
      <c r="X2155">
        <v>6</v>
      </c>
      <c r="Y2155">
        <v>26</v>
      </c>
      <c r="Z2155">
        <v>3</v>
      </c>
      <c r="AB2155">
        <v>0</v>
      </c>
      <c r="AC2155">
        <v>0</v>
      </c>
      <c r="AD2155">
        <v>2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2</v>
      </c>
      <c r="AL2155">
        <v>2</v>
      </c>
      <c r="AM2155">
        <v>0</v>
      </c>
      <c r="AN2155">
        <v>0</v>
      </c>
      <c r="AT2155">
        <v>2</v>
      </c>
      <c r="AU2155">
        <v>28</v>
      </c>
      <c r="AV2155">
        <v>166</v>
      </c>
      <c r="AW2155">
        <v>166</v>
      </c>
      <c r="AX2155">
        <v>411</v>
      </c>
      <c r="BA2155">
        <v>1</v>
      </c>
      <c r="BC2155" t="s">
        <v>4409</v>
      </c>
      <c r="BD2155" s="4">
        <v>43283.214618055557</v>
      </c>
      <c r="BE2155" s="4">
        <v>43283.235497685186</v>
      </c>
      <c r="BF2155" s="4">
        <v>43283.235497685186</v>
      </c>
      <c r="BG2155" t="s">
        <v>83</v>
      </c>
      <c r="BH2155" t="s">
        <v>84</v>
      </c>
      <c r="BI2155" t="s">
        <v>85</v>
      </c>
    </row>
    <row r="2156" spans="1:61" x14ac:dyDescent="0.3">
      <c r="A2156" t="str">
        <f>"201588B0100"</f>
        <v>201588B0100</v>
      </c>
      <c r="B2156" t="s">
        <v>4410</v>
      </c>
      <c r="C2156">
        <v>20</v>
      </c>
      <c r="D2156" t="s">
        <v>79</v>
      </c>
      <c r="E2156">
        <v>10</v>
      </c>
      <c r="F2156" t="s">
        <v>4190</v>
      </c>
      <c r="G2156">
        <v>1588</v>
      </c>
      <c r="H2156">
        <v>1</v>
      </c>
      <c r="I2156" t="s">
        <v>81</v>
      </c>
      <c r="J2156">
        <v>0</v>
      </c>
      <c r="K2156">
        <v>2</v>
      </c>
      <c r="L2156">
        <v>2</v>
      </c>
      <c r="M2156">
        <v>177</v>
      </c>
      <c r="N2156">
        <v>163</v>
      </c>
      <c r="O2156">
        <v>0</v>
      </c>
      <c r="P2156">
        <v>163</v>
      </c>
      <c r="Q2156">
        <v>9</v>
      </c>
      <c r="R2156">
        <v>31</v>
      </c>
      <c r="S2156">
        <v>4</v>
      </c>
      <c r="T2156">
        <v>2</v>
      </c>
      <c r="U2156">
        <v>48</v>
      </c>
      <c r="V2156">
        <v>1</v>
      </c>
      <c r="W2156">
        <v>2</v>
      </c>
      <c r="X2156">
        <v>4</v>
      </c>
      <c r="Y2156">
        <v>42</v>
      </c>
      <c r="Z2156">
        <v>1</v>
      </c>
      <c r="AB2156">
        <v>1</v>
      </c>
      <c r="AC2156">
        <v>1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1</v>
      </c>
      <c r="AJ2156">
        <v>0</v>
      </c>
      <c r="AK2156">
        <v>6</v>
      </c>
      <c r="AL2156">
        <v>0</v>
      </c>
      <c r="AM2156">
        <v>0</v>
      </c>
      <c r="AN2156">
        <v>0</v>
      </c>
      <c r="AT2156">
        <v>0</v>
      </c>
      <c r="AU2156">
        <v>10</v>
      </c>
      <c r="AV2156">
        <v>163</v>
      </c>
      <c r="AW2156">
        <v>163</v>
      </c>
      <c r="AX2156">
        <v>318</v>
      </c>
      <c r="BA2156">
        <v>1</v>
      </c>
      <c r="BC2156" t="s">
        <v>4411</v>
      </c>
      <c r="BD2156" s="4">
        <v>43283.220543981479</v>
      </c>
      <c r="BE2156" s="4">
        <v>43283.244722222225</v>
      </c>
      <c r="BF2156" s="4">
        <v>43283.244722222225</v>
      </c>
      <c r="BG2156" t="s">
        <v>83</v>
      </c>
      <c r="BH2156" t="s">
        <v>84</v>
      </c>
      <c r="BI2156" t="s">
        <v>85</v>
      </c>
    </row>
    <row r="2157" spans="1:61" x14ac:dyDescent="0.3">
      <c r="A2157" t="str">
        <f>"201778B0100"</f>
        <v>201778B0100</v>
      </c>
      <c r="B2157" t="s">
        <v>4412</v>
      </c>
      <c r="C2157">
        <v>20</v>
      </c>
      <c r="D2157" t="s">
        <v>79</v>
      </c>
      <c r="E2157">
        <v>10</v>
      </c>
      <c r="F2157" t="s">
        <v>4190</v>
      </c>
      <c r="G2157">
        <v>1778</v>
      </c>
      <c r="H2157">
        <v>1</v>
      </c>
      <c r="I2157" t="s">
        <v>81</v>
      </c>
      <c r="J2157">
        <v>0</v>
      </c>
      <c r="K2157">
        <v>2</v>
      </c>
      <c r="L2157">
        <v>2</v>
      </c>
      <c r="M2157">
        <v>184</v>
      </c>
      <c r="N2157">
        <v>404</v>
      </c>
      <c r="O2157">
        <v>0</v>
      </c>
      <c r="P2157">
        <v>220</v>
      </c>
      <c r="Q2157">
        <v>25</v>
      </c>
      <c r="R2157">
        <v>47</v>
      </c>
      <c r="S2157">
        <v>5</v>
      </c>
      <c r="T2157">
        <v>0</v>
      </c>
      <c r="U2157">
        <v>12</v>
      </c>
      <c r="V2157">
        <v>6</v>
      </c>
      <c r="W2157">
        <v>0</v>
      </c>
      <c r="X2157">
        <v>0</v>
      </c>
      <c r="Y2157">
        <v>84</v>
      </c>
      <c r="Z2157">
        <v>6</v>
      </c>
      <c r="AB2157">
        <v>1</v>
      </c>
      <c r="AC2157">
        <v>0</v>
      </c>
      <c r="AD2157">
        <v>0</v>
      </c>
      <c r="AE2157">
        <v>0</v>
      </c>
      <c r="AF2157">
        <v>0</v>
      </c>
      <c r="AG2157">
        <v>1</v>
      </c>
      <c r="AH2157">
        <v>2</v>
      </c>
      <c r="AI2157">
        <v>1</v>
      </c>
      <c r="AJ2157">
        <v>0</v>
      </c>
      <c r="AK2157">
        <v>1</v>
      </c>
      <c r="AL2157">
        <v>5</v>
      </c>
      <c r="AM2157">
        <v>0</v>
      </c>
      <c r="AN2157">
        <v>1</v>
      </c>
      <c r="AT2157">
        <v>0</v>
      </c>
      <c r="AU2157">
        <v>23</v>
      </c>
      <c r="AV2157" t="s">
        <v>100</v>
      </c>
      <c r="AW2157">
        <v>220</v>
      </c>
      <c r="AX2157">
        <v>382</v>
      </c>
      <c r="BA2157">
        <v>1</v>
      </c>
      <c r="BC2157" t="s">
        <v>4413</v>
      </c>
      <c r="BD2157" s="4">
        <v>43283.182314814818</v>
      </c>
      <c r="BE2157" s="4">
        <v>43283.198784722219</v>
      </c>
      <c r="BF2157" s="4">
        <v>43283.198784722219</v>
      </c>
      <c r="BG2157" t="s">
        <v>83</v>
      </c>
      <c r="BH2157" t="s">
        <v>84</v>
      </c>
      <c r="BI2157" t="s">
        <v>85</v>
      </c>
    </row>
    <row r="2158" spans="1:61" x14ac:dyDescent="0.3">
      <c r="A2158" t="str">
        <f>"201778C0100"</f>
        <v>201778C0100</v>
      </c>
      <c r="B2158" t="s">
        <v>4414</v>
      </c>
      <c r="C2158">
        <v>20</v>
      </c>
      <c r="D2158" t="s">
        <v>79</v>
      </c>
      <c r="E2158">
        <v>10</v>
      </c>
      <c r="F2158" t="s">
        <v>4190</v>
      </c>
      <c r="G2158">
        <v>1778</v>
      </c>
      <c r="H2158">
        <v>1</v>
      </c>
      <c r="I2158" t="s">
        <v>89</v>
      </c>
      <c r="J2158">
        <v>0</v>
      </c>
      <c r="K2158">
        <v>2</v>
      </c>
      <c r="L2158">
        <v>2</v>
      </c>
      <c r="M2158">
        <v>190</v>
      </c>
      <c r="N2158">
        <v>403</v>
      </c>
      <c r="O2158">
        <v>0</v>
      </c>
      <c r="P2158">
        <v>214</v>
      </c>
      <c r="Q2158">
        <v>20</v>
      </c>
      <c r="R2158">
        <v>43</v>
      </c>
      <c r="S2158">
        <v>4</v>
      </c>
      <c r="T2158">
        <v>2</v>
      </c>
      <c r="U2158">
        <v>15</v>
      </c>
      <c r="V2158">
        <v>1</v>
      </c>
      <c r="W2158">
        <v>1</v>
      </c>
      <c r="X2158">
        <v>1</v>
      </c>
      <c r="Y2158">
        <v>91</v>
      </c>
      <c r="Z2158">
        <v>0</v>
      </c>
      <c r="AB2158">
        <v>4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4</v>
      </c>
      <c r="AI2158">
        <v>0</v>
      </c>
      <c r="AJ2158">
        <v>0</v>
      </c>
      <c r="AK2158">
        <v>2</v>
      </c>
      <c r="AL2158">
        <v>5</v>
      </c>
      <c r="AM2158">
        <v>0</v>
      </c>
      <c r="AN2158">
        <v>2</v>
      </c>
      <c r="AT2158">
        <v>0</v>
      </c>
      <c r="AU2158">
        <v>19</v>
      </c>
      <c r="AV2158" t="s">
        <v>100</v>
      </c>
      <c r="AW2158">
        <v>214</v>
      </c>
      <c r="AX2158">
        <v>382</v>
      </c>
      <c r="BA2158">
        <v>1</v>
      </c>
      <c r="BC2158" t="s">
        <v>4415</v>
      </c>
      <c r="BD2158" s="4">
        <v>43283.181828703702</v>
      </c>
      <c r="BE2158" s="4">
        <v>43283.199537037035</v>
      </c>
      <c r="BF2158" s="4">
        <v>43283.199537037035</v>
      </c>
      <c r="BG2158" t="s">
        <v>83</v>
      </c>
      <c r="BH2158" t="s">
        <v>84</v>
      </c>
      <c r="BI2158" t="s">
        <v>85</v>
      </c>
    </row>
    <row r="2159" spans="1:61" x14ac:dyDescent="0.3">
      <c r="A2159" t="str">
        <f>"201778E0100"</f>
        <v>201778E0100</v>
      </c>
      <c r="B2159" s="2" t="s">
        <v>4416</v>
      </c>
      <c r="C2159">
        <v>20</v>
      </c>
      <c r="D2159" t="s">
        <v>79</v>
      </c>
      <c r="E2159">
        <v>10</v>
      </c>
      <c r="F2159" t="s">
        <v>4190</v>
      </c>
      <c r="G2159">
        <v>1778</v>
      </c>
      <c r="H2159">
        <v>1</v>
      </c>
      <c r="I2159" t="s">
        <v>145</v>
      </c>
      <c r="J2159">
        <v>0</v>
      </c>
      <c r="K2159">
        <v>2</v>
      </c>
      <c r="L2159">
        <v>2</v>
      </c>
      <c r="M2159" t="s">
        <v>315</v>
      </c>
      <c r="N2159">
        <v>188</v>
      </c>
      <c r="O2159">
        <v>7</v>
      </c>
      <c r="P2159">
        <v>188</v>
      </c>
      <c r="Q2159">
        <v>21</v>
      </c>
      <c r="R2159">
        <v>33</v>
      </c>
      <c r="S2159">
        <v>2</v>
      </c>
      <c r="T2159">
        <v>2</v>
      </c>
      <c r="U2159">
        <v>21</v>
      </c>
      <c r="V2159">
        <v>3</v>
      </c>
      <c r="W2159">
        <v>2</v>
      </c>
      <c r="X2159">
        <v>1</v>
      </c>
      <c r="Y2159">
        <v>75</v>
      </c>
      <c r="Z2159">
        <v>5</v>
      </c>
      <c r="AB2159">
        <v>0</v>
      </c>
      <c r="AC2159">
        <v>2</v>
      </c>
      <c r="AD2159">
        <v>0</v>
      </c>
      <c r="AE2159">
        <v>1</v>
      </c>
      <c r="AF2159">
        <v>0</v>
      </c>
      <c r="AG2159">
        <v>0</v>
      </c>
      <c r="AH2159">
        <v>1</v>
      </c>
      <c r="AI2159">
        <v>0</v>
      </c>
      <c r="AJ2159">
        <v>0</v>
      </c>
      <c r="AK2159">
        <v>7</v>
      </c>
      <c r="AL2159">
        <v>3</v>
      </c>
      <c r="AM2159">
        <v>0</v>
      </c>
      <c r="AN2159">
        <v>0</v>
      </c>
      <c r="AT2159">
        <v>0</v>
      </c>
      <c r="AU2159">
        <v>9</v>
      </c>
      <c r="AV2159">
        <v>188</v>
      </c>
      <c r="AW2159">
        <v>188</v>
      </c>
      <c r="AX2159">
        <v>390</v>
      </c>
      <c r="BA2159">
        <v>1</v>
      </c>
      <c r="BC2159" t="s">
        <v>4417</v>
      </c>
      <c r="BD2159" s="4">
        <v>43283.180891203701</v>
      </c>
      <c r="BE2159" s="4">
        <v>43283.196087962962</v>
      </c>
      <c r="BF2159" s="4">
        <v>43283.196087962962</v>
      </c>
      <c r="BG2159" t="s">
        <v>83</v>
      </c>
      <c r="BH2159" t="s">
        <v>84</v>
      </c>
      <c r="BI2159" t="s">
        <v>85</v>
      </c>
    </row>
    <row r="2160" spans="1:61" x14ac:dyDescent="0.3">
      <c r="A2160" t="str">
        <f>"201779B0100"</f>
        <v>201779B0100</v>
      </c>
      <c r="B2160" t="s">
        <v>4418</v>
      </c>
      <c r="C2160">
        <v>20</v>
      </c>
      <c r="D2160" t="s">
        <v>79</v>
      </c>
      <c r="E2160">
        <v>10</v>
      </c>
      <c r="F2160" t="s">
        <v>4190</v>
      </c>
      <c r="G2160">
        <v>1779</v>
      </c>
      <c r="H2160">
        <v>1</v>
      </c>
      <c r="I2160" t="s">
        <v>81</v>
      </c>
      <c r="J2160">
        <v>0</v>
      </c>
      <c r="K2160">
        <v>2</v>
      </c>
      <c r="L2160">
        <v>2</v>
      </c>
      <c r="M2160">
        <v>209</v>
      </c>
      <c r="N2160">
        <v>214</v>
      </c>
      <c r="O2160">
        <v>2</v>
      </c>
      <c r="P2160">
        <v>214</v>
      </c>
      <c r="Q2160">
        <v>3</v>
      </c>
      <c r="R2160">
        <v>27</v>
      </c>
      <c r="S2160">
        <v>4</v>
      </c>
      <c r="T2160">
        <v>0</v>
      </c>
      <c r="U2160">
        <v>48</v>
      </c>
      <c r="V2160">
        <v>2</v>
      </c>
      <c r="W2160">
        <v>1</v>
      </c>
      <c r="X2160">
        <v>1</v>
      </c>
      <c r="Y2160">
        <v>98</v>
      </c>
      <c r="Z2160">
        <v>7</v>
      </c>
      <c r="AB2160">
        <v>1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1</v>
      </c>
      <c r="AI2160">
        <v>0</v>
      </c>
      <c r="AJ2160">
        <v>0</v>
      </c>
      <c r="AK2160">
        <v>5</v>
      </c>
      <c r="AL2160">
        <v>6</v>
      </c>
      <c r="AM2160">
        <v>0</v>
      </c>
      <c r="AN2160">
        <v>1</v>
      </c>
      <c r="AT2160">
        <v>0</v>
      </c>
      <c r="AU2160">
        <v>9</v>
      </c>
      <c r="AV2160">
        <v>214</v>
      </c>
      <c r="AW2160">
        <v>214</v>
      </c>
      <c r="AX2160">
        <v>401</v>
      </c>
      <c r="BA2160">
        <v>1</v>
      </c>
      <c r="BC2160" t="s">
        <v>4419</v>
      </c>
      <c r="BD2160" s="4">
        <v>43283.172048611108</v>
      </c>
      <c r="BE2160" s="4">
        <v>43283.185428240744</v>
      </c>
      <c r="BF2160" s="4">
        <v>43283.185428240744</v>
      </c>
      <c r="BG2160" t="s">
        <v>83</v>
      </c>
      <c r="BH2160" t="s">
        <v>84</v>
      </c>
      <c r="BI2160" t="s">
        <v>85</v>
      </c>
    </row>
    <row r="2161" spans="1:61" x14ac:dyDescent="0.3">
      <c r="A2161" t="str">
        <f>"201779C0100"</f>
        <v>201779C0100</v>
      </c>
      <c r="B2161" t="s">
        <v>4420</v>
      </c>
      <c r="C2161">
        <v>20</v>
      </c>
      <c r="D2161" t="s">
        <v>79</v>
      </c>
      <c r="E2161">
        <v>10</v>
      </c>
      <c r="F2161" t="s">
        <v>4190</v>
      </c>
      <c r="G2161">
        <v>1779</v>
      </c>
      <c r="H2161">
        <v>1</v>
      </c>
      <c r="I2161" t="s">
        <v>89</v>
      </c>
      <c r="J2161">
        <v>0</v>
      </c>
      <c r="K2161">
        <v>2</v>
      </c>
      <c r="L2161">
        <v>2</v>
      </c>
      <c r="M2161">
        <v>198</v>
      </c>
      <c r="N2161" t="s">
        <v>100</v>
      </c>
      <c r="O2161" t="s">
        <v>100</v>
      </c>
      <c r="P2161">
        <v>225</v>
      </c>
      <c r="Q2161">
        <v>9</v>
      </c>
      <c r="R2161">
        <v>13</v>
      </c>
      <c r="S2161">
        <v>8</v>
      </c>
      <c r="T2161">
        <v>1</v>
      </c>
      <c r="U2161">
        <v>42</v>
      </c>
      <c r="V2161">
        <v>1</v>
      </c>
      <c r="W2161">
        <v>2</v>
      </c>
      <c r="X2161">
        <v>113</v>
      </c>
      <c r="Y2161">
        <v>6</v>
      </c>
      <c r="Z2161">
        <v>2</v>
      </c>
      <c r="AB2161">
        <v>0</v>
      </c>
      <c r="AC2161">
        <v>0</v>
      </c>
      <c r="AD2161">
        <v>0</v>
      </c>
      <c r="AE2161">
        <v>0</v>
      </c>
      <c r="AF2161">
        <v>1</v>
      </c>
      <c r="AG2161">
        <v>0</v>
      </c>
      <c r="AH2161">
        <v>0</v>
      </c>
      <c r="AI2161">
        <v>0</v>
      </c>
      <c r="AJ2161">
        <v>12</v>
      </c>
      <c r="AK2161">
        <v>7</v>
      </c>
      <c r="AL2161">
        <v>1</v>
      </c>
      <c r="AM2161">
        <v>2</v>
      </c>
      <c r="AN2161">
        <v>0</v>
      </c>
      <c r="AT2161">
        <v>0</v>
      </c>
      <c r="AU2161">
        <v>3</v>
      </c>
      <c r="AV2161">
        <v>225</v>
      </c>
      <c r="AW2161">
        <v>223</v>
      </c>
      <c r="AX2161">
        <v>401</v>
      </c>
      <c r="BA2161">
        <v>1</v>
      </c>
      <c r="BC2161" t="s">
        <v>4421</v>
      </c>
      <c r="BD2161" s="4">
        <v>43283.172777777778</v>
      </c>
      <c r="BE2161" s="4">
        <v>43283.185254629629</v>
      </c>
      <c r="BF2161" s="4">
        <v>43283.185254629629</v>
      </c>
      <c r="BG2161" t="s">
        <v>83</v>
      </c>
      <c r="BH2161" t="s">
        <v>84</v>
      </c>
      <c r="BI2161" t="s">
        <v>85</v>
      </c>
    </row>
    <row r="2162" spans="1:61" x14ac:dyDescent="0.3">
      <c r="A2162" t="str">
        <f>"201911B0100"</f>
        <v>201911B0100</v>
      </c>
      <c r="B2162" t="s">
        <v>4422</v>
      </c>
      <c r="C2162">
        <v>20</v>
      </c>
      <c r="D2162" t="s">
        <v>79</v>
      </c>
      <c r="E2162">
        <v>10</v>
      </c>
      <c r="F2162" t="s">
        <v>4190</v>
      </c>
      <c r="G2162">
        <v>1911</v>
      </c>
      <c r="H2162">
        <v>1</v>
      </c>
      <c r="I2162" t="s">
        <v>81</v>
      </c>
      <c r="J2162">
        <v>0</v>
      </c>
      <c r="K2162">
        <v>2</v>
      </c>
      <c r="L2162">
        <v>2</v>
      </c>
      <c r="M2162">
        <v>253</v>
      </c>
      <c r="N2162">
        <v>207</v>
      </c>
      <c r="O2162">
        <v>0</v>
      </c>
      <c r="P2162">
        <v>207</v>
      </c>
      <c r="Q2162">
        <v>18</v>
      </c>
      <c r="R2162">
        <v>14</v>
      </c>
      <c r="S2162">
        <v>3</v>
      </c>
      <c r="T2162">
        <v>3</v>
      </c>
      <c r="U2162">
        <v>48</v>
      </c>
      <c r="V2162">
        <v>7</v>
      </c>
      <c r="W2162">
        <v>3</v>
      </c>
      <c r="X2162">
        <v>4</v>
      </c>
      <c r="Y2162">
        <v>89</v>
      </c>
      <c r="Z2162">
        <v>4</v>
      </c>
      <c r="AB2162">
        <v>0</v>
      </c>
      <c r="AC2162">
        <v>0</v>
      </c>
      <c r="AD2162">
        <v>0</v>
      </c>
      <c r="AE2162">
        <v>1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1</v>
      </c>
      <c r="AM2162">
        <v>1</v>
      </c>
      <c r="AN2162">
        <v>0</v>
      </c>
      <c r="AT2162">
        <v>0</v>
      </c>
      <c r="AU2162">
        <v>11</v>
      </c>
      <c r="AV2162">
        <v>207</v>
      </c>
      <c r="AW2162">
        <v>207</v>
      </c>
      <c r="AX2162">
        <v>438</v>
      </c>
      <c r="BA2162">
        <v>1</v>
      </c>
      <c r="BC2162" t="s">
        <v>4423</v>
      </c>
      <c r="BD2162" s="4">
        <v>43283.135601851849</v>
      </c>
      <c r="BE2162" s="4">
        <v>43283.139062499999</v>
      </c>
      <c r="BF2162" s="4">
        <v>43283.139062499999</v>
      </c>
      <c r="BG2162" t="s">
        <v>83</v>
      </c>
      <c r="BH2162" t="s">
        <v>84</v>
      </c>
      <c r="BI2162" t="s">
        <v>85</v>
      </c>
    </row>
    <row r="2163" spans="1:61" x14ac:dyDescent="0.3">
      <c r="A2163" t="str">
        <f>"201911C0100"</f>
        <v>201911C0100</v>
      </c>
      <c r="B2163" t="s">
        <v>4424</v>
      </c>
      <c r="C2163">
        <v>20</v>
      </c>
      <c r="D2163" t="s">
        <v>79</v>
      </c>
      <c r="E2163">
        <v>10</v>
      </c>
      <c r="F2163" t="s">
        <v>4190</v>
      </c>
      <c r="G2163">
        <v>1911</v>
      </c>
      <c r="H2163">
        <v>1</v>
      </c>
      <c r="I2163" t="s">
        <v>89</v>
      </c>
      <c r="J2163">
        <v>0</v>
      </c>
      <c r="K2163">
        <v>2</v>
      </c>
      <c r="L2163">
        <v>2</v>
      </c>
      <c r="M2163">
        <v>238</v>
      </c>
      <c r="N2163">
        <v>222</v>
      </c>
      <c r="O2163">
        <v>0</v>
      </c>
      <c r="P2163">
        <v>222</v>
      </c>
      <c r="Q2163">
        <v>12</v>
      </c>
      <c r="R2163">
        <v>11</v>
      </c>
      <c r="S2163">
        <v>6</v>
      </c>
      <c r="T2163">
        <v>4</v>
      </c>
      <c r="U2163">
        <v>59</v>
      </c>
      <c r="V2163">
        <v>4</v>
      </c>
      <c r="W2163">
        <v>2</v>
      </c>
      <c r="X2163">
        <v>2</v>
      </c>
      <c r="Y2163">
        <v>102</v>
      </c>
      <c r="Z2163">
        <v>3</v>
      </c>
      <c r="AB2163">
        <v>3</v>
      </c>
      <c r="AC2163">
        <v>0</v>
      </c>
      <c r="AD2163">
        <v>1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1</v>
      </c>
      <c r="AL2163">
        <v>2</v>
      </c>
      <c r="AM2163">
        <v>0</v>
      </c>
      <c r="AN2163">
        <v>0</v>
      </c>
      <c r="AT2163">
        <v>0</v>
      </c>
      <c r="AU2163">
        <v>10</v>
      </c>
      <c r="AV2163">
        <v>222</v>
      </c>
      <c r="AW2163">
        <v>222</v>
      </c>
      <c r="AX2163">
        <v>438</v>
      </c>
      <c r="BA2163">
        <v>1</v>
      </c>
      <c r="BC2163" t="s">
        <v>4425</v>
      </c>
      <c r="BD2163" s="4">
        <v>43283.134560185186</v>
      </c>
      <c r="BE2163" s="4">
        <v>43283.13821759259</v>
      </c>
      <c r="BF2163" s="4">
        <v>43283.13821759259</v>
      </c>
      <c r="BG2163" t="s">
        <v>83</v>
      </c>
      <c r="BH2163" t="s">
        <v>84</v>
      </c>
      <c r="BI2163" t="s">
        <v>85</v>
      </c>
    </row>
    <row r="2164" spans="1:61" x14ac:dyDescent="0.3">
      <c r="A2164" t="str">
        <f>"201911E0100"</f>
        <v>201911E0100</v>
      </c>
      <c r="B2164" s="2" t="s">
        <v>4426</v>
      </c>
      <c r="C2164">
        <v>20</v>
      </c>
      <c r="D2164" t="s">
        <v>79</v>
      </c>
      <c r="E2164">
        <v>10</v>
      </c>
      <c r="F2164" t="s">
        <v>4190</v>
      </c>
      <c r="G2164">
        <v>1911</v>
      </c>
      <c r="H2164">
        <v>1</v>
      </c>
      <c r="I2164" t="s">
        <v>145</v>
      </c>
      <c r="J2164">
        <v>0</v>
      </c>
      <c r="K2164">
        <v>2</v>
      </c>
      <c r="L2164">
        <v>2</v>
      </c>
      <c r="M2164">
        <v>252</v>
      </c>
      <c r="N2164">
        <v>176</v>
      </c>
      <c r="O2164">
        <v>2</v>
      </c>
      <c r="P2164">
        <v>176</v>
      </c>
      <c r="Q2164">
        <v>10</v>
      </c>
      <c r="R2164">
        <v>23</v>
      </c>
      <c r="S2164">
        <v>5</v>
      </c>
      <c r="T2164">
        <v>6</v>
      </c>
      <c r="U2164">
        <v>61</v>
      </c>
      <c r="V2164">
        <v>2</v>
      </c>
      <c r="W2164">
        <v>2</v>
      </c>
      <c r="X2164">
        <v>4</v>
      </c>
      <c r="Y2164">
        <v>36</v>
      </c>
      <c r="Z2164">
        <v>4</v>
      </c>
      <c r="AB2164">
        <v>2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4</v>
      </c>
      <c r="AL2164">
        <v>3</v>
      </c>
      <c r="AM2164">
        <v>0</v>
      </c>
      <c r="AN2164">
        <v>0</v>
      </c>
      <c r="AT2164">
        <v>0</v>
      </c>
      <c r="AU2164">
        <v>15</v>
      </c>
      <c r="AV2164">
        <v>177</v>
      </c>
      <c r="AW2164">
        <v>177</v>
      </c>
      <c r="AX2164">
        <v>407</v>
      </c>
      <c r="BA2164">
        <v>1</v>
      </c>
      <c r="BC2164" t="s">
        <v>4427</v>
      </c>
      <c r="BD2164" s="4">
        <v>43283.132511574076</v>
      </c>
      <c r="BE2164" s="4">
        <v>43283.136828703704</v>
      </c>
      <c r="BF2164" s="4">
        <v>43283.136828703704</v>
      </c>
      <c r="BG2164" t="s">
        <v>83</v>
      </c>
      <c r="BH2164" t="s">
        <v>84</v>
      </c>
      <c r="BI2164" t="s">
        <v>85</v>
      </c>
    </row>
    <row r="2165" spans="1:61" x14ac:dyDescent="0.3">
      <c r="A2165" t="str">
        <f>"201912B0100"</f>
        <v>201912B0100</v>
      </c>
      <c r="B2165" t="s">
        <v>4428</v>
      </c>
      <c r="C2165">
        <v>20</v>
      </c>
      <c r="D2165" t="s">
        <v>79</v>
      </c>
      <c r="E2165">
        <v>10</v>
      </c>
      <c r="F2165" t="s">
        <v>4190</v>
      </c>
      <c r="G2165">
        <v>1912</v>
      </c>
      <c r="H2165">
        <v>1</v>
      </c>
      <c r="I2165" t="s">
        <v>81</v>
      </c>
      <c r="J2165">
        <v>0</v>
      </c>
      <c r="K2165">
        <v>2</v>
      </c>
      <c r="L2165">
        <v>2</v>
      </c>
      <c r="M2165">
        <v>305</v>
      </c>
      <c r="N2165">
        <v>168</v>
      </c>
      <c r="O2165">
        <v>0</v>
      </c>
      <c r="P2165">
        <v>167</v>
      </c>
      <c r="Q2165">
        <v>12</v>
      </c>
      <c r="R2165">
        <v>23</v>
      </c>
      <c r="S2165">
        <v>8</v>
      </c>
      <c r="T2165">
        <v>4</v>
      </c>
      <c r="U2165">
        <v>48</v>
      </c>
      <c r="V2165">
        <v>2</v>
      </c>
      <c r="W2165">
        <v>1</v>
      </c>
      <c r="X2165">
        <v>1</v>
      </c>
      <c r="Y2165">
        <v>42</v>
      </c>
      <c r="Z2165">
        <v>3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1</v>
      </c>
      <c r="AI2165">
        <v>1</v>
      </c>
      <c r="AJ2165">
        <v>0</v>
      </c>
      <c r="AK2165">
        <v>3</v>
      </c>
      <c r="AL2165">
        <v>5</v>
      </c>
      <c r="AM2165">
        <v>1</v>
      </c>
      <c r="AN2165">
        <v>1</v>
      </c>
      <c r="AT2165">
        <v>0</v>
      </c>
      <c r="AU2165">
        <v>11</v>
      </c>
      <c r="AV2165">
        <v>167</v>
      </c>
      <c r="AW2165">
        <v>167</v>
      </c>
      <c r="AX2165">
        <v>450</v>
      </c>
      <c r="BA2165">
        <v>1</v>
      </c>
      <c r="BC2165" s="2" t="s">
        <v>4429</v>
      </c>
      <c r="BD2165" s="4">
        <v>43283.669988425929</v>
      </c>
      <c r="BE2165" s="4">
        <v>43283.673368055555</v>
      </c>
      <c r="BF2165" s="4">
        <v>43283.673368055555</v>
      </c>
      <c r="BG2165" t="s">
        <v>83</v>
      </c>
      <c r="BH2165" t="s">
        <v>84</v>
      </c>
      <c r="BI2165" t="s">
        <v>85</v>
      </c>
    </row>
    <row r="2166" spans="1:61" x14ac:dyDescent="0.3">
      <c r="A2166" t="str">
        <f>"201912C0100"</f>
        <v>201912C0100</v>
      </c>
      <c r="B2166" t="s">
        <v>4430</v>
      </c>
      <c r="C2166">
        <v>20</v>
      </c>
      <c r="D2166" t="s">
        <v>79</v>
      </c>
      <c r="E2166">
        <v>10</v>
      </c>
      <c r="F2166" t="s">
        <v>4190</v>
      </c>
      <c r="G2166">
        <v>1912</v>
      </c>
      <c r="H2166">
        <v>1</v>
      </c>
      <c r="I2166" t="s">
        <v>89</v>
      </c>
      <c r="J2166">
        <v>0</v>
      </c>
      <c r="K2166">
        <v>2</v>
      </c>
      <c r="L2166">
        <v>2</v>
      </c>
      <c r="M2166">
        <v>254</v>
      </c>
      <c r="N2166">
        <v>216</v>
      </c>
      <c r="O2166">
        <v>0</v>
      </c>
      <c r="P2166">
        <v>217</v>
      </c>
      <c r="Q2166">
        <v>20</v>
      </c>
      <c r="R2166">
        <v>39</v>
      </c>
      <c r="S2166">
        <v>7</v>
      </c>
      <c r="T2166">
        <v>1</v>
      </c>
      <c r="U2166">
        <v>64</v>
      </c>
      <c r="V2166">
        <v>4</v>
      </c>
      <c r="W2166">
        <v>2</v>
      </c>
      <c r="X2166">
        <v>6</v>
      </c>
      <c r="Y2166">
        <v>50</v>
      </c>
      <c r="Z2166">
        <v>3</v>
      </c>
      <c r="AB2166">
        <v>2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3</v>
      </c>
      <c r="AL2166">
        <v>1</v>
      </c>
      <c r="AM2166">
        <v>0</v>
      </c>
      <c r="AN2166">
        <v>0</v>
      </c>
      <c r="AT2166">
        <v>0</v>
      </c>
      <c r="AU2166">
        <v>15</v>
      </c>
      <c r="AV2166" t="s">
        <v>100</v>
      </c>
      <c r="AW2166">
        <v>217</v>
      </c>
      <c r="AX2166">
        <v>449</v>
      </c>
      <c r="BA2166">
        <v>1</v>
      </c>
      <c r="BC2166" t="s">
        <v>4431</v>
      </c>
      <c r="BD2166" s="4">
        <v>43283.670474537037</v>
      </c>
      <c r="BE2166" s="4">
        <v>43283.673113425924</v>
      </c>
      <c r="BF2166" s="4">
        <v>43283.673113425924</v>
      </c>
      <c r="BG2166" t="s">
        <v>83</v>
      </c>
      <c r="BH2166" t="s">
        <v>84</v>
      </c>
      <c r="BI2166" t="s">
        <v>85</v>
      </c>
    </row>
    <row r="2167" spans="1:61" x14ac:dyDescent="0.3">
      <c r="A2167" t="str">
        <f>"201914B0100"</f>
        <v>201914B0100</v>
      </c>
      <c r="B2167" t="s">
        <v>4432</v>
      </c>
      <c r="C2167">
        <v>20</v>
      </c>
      <c r="D2167" t="s">
        <v>79</v>
      </c>
      <c r="E2167">
        <v>10</v>
      </c>
      <c r="F2167" t="s">
        <v>4190</v>
      </c>
      <c r="G2167">
        <v>1914</v>
      </c>
      <c r="H2167">
        <v>1</v>
      </c>
      <c r="I2167" t="s">
        <v>81</v>
      </c>
      <c r="J2167">
        <v>0</v>
      </c>
      <c r="K2167">
        <v>2</v>
      </c>
      <c r="L2167">
        <v>2</v>
      </c>
      <c r="M2167">
        <v>366</v>
      </c>
      <c r="N2167">
        <v>201</v>
      </c>
      <c r="O2167">
        <v>0</v>
      </c>
      <c r="P2167">
        <v>201</v>
      </c>
      <c r="Q2167">
        <v>4</v>
      </c>
      <c r="R2167">
        <v>4</v>
      </c>
      <c r="S2167">
        <v>6</v>
      </c>
      <c r="T2167">
        <v>7</v>
      </c>
      <c r="U2167">
        <v>22</v>
      </c>
      <c r="V2167">
        <v>3</v>
      </c>
      <c r="W2167">
        <v>4</v>
      </c>
      <c r="X2167">
        <v>1</v>
      </c>
      <c r="Y2167">
        <v>104</v>
      </c>
      <c r="Z2167">
        <v>4</v>
      </c>
      <c r="AB2167">
        <v>5</v>
      </c>
      <c r="AC2167" t="s">
        <v>100</v>
      </c>
      <c r="AD2167" t="s">
        <v>100</v>
      </c>
      <c r="AE2167" t="s">
        <v>100</v>
      </c>
      <c r="AF2167" t="s">
        <v>100</v>
      </c>
      <c r="AG2167" t="s">
        <v>100</v>
      </c>
      <c r="AH2167" t="s">
        <v>100</v>
      </c>
      <c r="AI2167" t="s">
        <v>100</v>
      </c>
      <c r="AJ2167" t="s">
        <v>100</v>
      </c>
      <c r="AK2167">
        <v>5</v>
      </c>
      <c r="AL2167">
        <v>2</v>
      </c>
      <c r="AM2167">
        <v>1</v>
      </c>
      <c r="AN2167">
        <v>0</v>
      </c>
      <c r="AT2167">
        <v>0</v>
      </c>
      <c r="AU2167">
        <v>24</v>
      </c>
      <c r="AV2167">
        <v>201</v>
      </c>
      <c r="AW2167">
        <v>196</v>
      </c>
      <c r="AX2167">
        <v>545</v>
      </c>
      <c r="AZ2167" t="s">
        <v>101</v>
      </c>
      <c r="BA2167">
        <v>1</v>
      </c>
      <c r="BC2167" t="s">
        <v>4433</v>
      </c>
      <c r="BD2167" s="4">
        <v>43283.186435185184</v>
      </c>
      <c r="BE2167" s="4">
        <v>43283.203460648147</v>
      </c>
      <c r="BF2167" s="4">
        <v>43283.203460648147</v>
      </c>
      <c r="BG2167" t="s">
        <v>83</v>
      </c>
      <c r="BH2167" t="s">
        <v>84</v>
      </c>
      <c r="BI2167" t="s">
        <v>85</v>
      </c>
    </row>
    <row r="2168" spans="1:61" x14ac:dyDescent="0.3">
      <c r="A2168" t="str">
        <f>"201914C0100"</f>
        <v>201914C0100</v>
      </c>
      <c r="B2168" t="s">
        <v>4434</v>
      </c>
      <c r="C2168">
        <v>20</v>
      </c>
      <c r="D2168" t="s">
        <v>79</v>
      </c>
      <c r="E2168">
        <v>10</v>
      </c>
      <c r="F2168" t="s">
        <v>4190</v>
      </c>
      <c r="G2168">
        <v>1914</v>
      </c>
      <c r="H2168">
        <v>1</v>
      </c>
      <c r="I2168" t="s">
        <v>89</v>
      </c>
      <c r="J2168">
        <v>0</v>
      </c>
      <c r="K2168">
        <v>2</v>
      </c>
      <c r="L2168">
        <v>2</v>
      </c>
      <c r="M2168">
        <v>376</v>
      </c>
      <c r="N2168">
        <v>190</v>
      </c>
      <c r="O2168">
        <v>3</v>
      </c>
      <c r="P2168">
        <v>190</v>
      </c>
      <c r="Q2168">
        <v>13</v>
      </c>
      <c r="R2168">
        <v>4</v>
      </c>
      <c r="S2168">
        <v>10</v>
      </c>
      <c r="T2168">
        <v>5</v>
      </c>
      <c r="U2168">
        <v>31</v>
      </c>
      <c r="V2168">
        <v>4</v>
      </c>
      <c r="W2168">
        <v>3</v>
      </c>
      <c r="X2168">
        <v>4</v>
      </c>
      <c r="Y2168">
        <v>93</v>
      </c>
      <c r="Z2168">
        <v>4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1</v>
      </c>
      <c r="AL2168">
        <v>1</v>
      </c>
      <c r="AM2168">
        <v>0</v>
      </c>
      <c r="AN2168">
        <v>0</v>
      </c>
      <c r="AT2168">
        <v>0</v>
      </c>
      <c r="AU2168">
        <v>17</v>
      </c>
      <c r="AV2168">
        <v>190</v>
      </c>
      <c r="AW2168">
        <v>190</v>
      </c>
      <c r="AX2168">
        <v>545</v>
      </c>
      <c r="BA2168">
        <v>1</v>
      </c>
      <c r="BC2168" t="s">
        <v>4435</v>
      </c>
      <c r="BD2168" s="4">
        <v>43283.072002314817</v>
      </c>
      <c r="BE2168" s="4">
        <v>43283.075555555559</v>
      </c>
      <c r="BF2168" s="4">
        <v>43283.075555555559</v>
      </c>
      <c r="BG2168" t="s">
        <v>83</v>
      </c>
      <c r="BH2168" t="s">
        <v>84</v>
      </c>
      <c r="BI2168" t="s">
        <v>85</v>
      </c>
    </row>
    <row r="2169" spans="1:61" x14ac:dyDescent="0.3">
      <c r="A2169" t="str">
        <f>"201914C0200"</f>
        <v>201914C0200</v>
      </c>
      <c r="B2169" t="s">
        <v>4436</v>
      </c>
      <c r="C2169">
        <v>20</v>
      </c>
      <c r="D2169" t="s">
        <v>79</v>
      </c>
      <c r="E2169">
        <v>10</v>
      </c>
      <c r="F2169" t="s">
        <v>4190</v>
      </c>
      <c r="G2169">
        <v>1914</v>
      </c>
      <c r="H2169">
        <v>2</v>
      </c>
      <c r="I2169" t="s">
        <v>89</v>
      </c>
      <c r="J2169">
        <v>0</v>
      </c>
      <c r="K2169">
        <v>2</v>
      </c>
      <c r="L2169">
        <v>2</v>
      </c>
      <c r="M2169">
        <v>364</v>
      </c>
      <c r="N2169">
        <v>202</v>
      </c>
      <c r="O2169">
        <v>3</v>
      </c>
      <c r="P2169">
        <v>202</v>
      </c>
      <c r="Q2169">
        <v>14</v>
      </c>
      <c r="R2169">
        <v>9</v>
      </c>
      <c r="S2169">
        <v>8</v>
      </c>
      <c r="T2169">
        <v>3</v>
      </c>
      <c r="U2169">
        <v>21</v>
      </c>
      <c r="V2169">
        <v>8</v>
      </c>
      <c r="W2169">
        <v>3</v>
      </c>
      <c r="X2169">
        <v>4</v>
      </c>
      <c r="Y2169">
        <v>103</v>
      </c>
      <c r="Z2169">
        <v>5</v>
      </c>
      <c r="AB2169">
        <v>5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3</v>
      </c>
      <c r="AL2169">
        <v>0</v>
      </c>
      <c r="AM2169">
        <v>1</v>
      </c>
      <c r="AN2169">
        <v>1</v>
      </c>
      <c r="AT2169">
        <v>1</v>
      </c>
      <c r="AU2169">
        <v>13</v>
      </c>
      <c r="AV2169">
        <v>202</v>
      </c>
      <c r="AW2169">
        <v>202</v>
      </c>
      <c r="AX2169">
        <v>544</v>
      </c>
      <c r="BA2169">
        <v>1</v>
      </c>
      <c r="BC2169" t="s">
        <v>4437</v>
      </c>
      <c r="BD2169" s="4">
        <v>43283.071446759262</v>
      </c>
      <c r="BE2169" s="4">
        <v>43283.074016203704</v>
      </c>
      <c r="BF2169" s="4">
        <v>43283.074016203704</v>
      </c>
      <c r="BG2169" t="s">
        <v>83</v>
      </c>
      <c r="BH2169" t="s">
        <v>84</v>
      </c>
      <c r="BI2169" t="s">
        <v>85</v>
      </c>
    </row>
    <row r="2170" spans="1:61" x14ac:dyDescent="0.3">
      <c r="A2170" t="str">
        <f>"201915B0100"</f>
        <v>201915B0100</v>
      </c>
      <c r="B2170" t="s">
        <v>4438</v>
      </c>
      <c r="C2170">
        <v>20</v>
      </c>
      <c r="D2170" t="s">
        <v>79</v>
      </c>
      <c r="E2170">
        <v>10</v>
      </c>
      <c r="F2170" t="s">
        <v>4190</v>
      </c>
      <c r="G2170">
        <v>1915</v>
      </c>
      <c r="H2170">
        <v>1</v>
      </c>
      <c r="I2170" t="s">
        <v>81</v>
      </c>
      <c r="J2170">
        <v>0</v>
      </c>
      <c r="K2170">
        <v>2</v>
      </c>
      <c r="L2170">
        <v>2</v>
      </c>
      <c r="M2170">
        <v>332</v>
      </c>
      <c r="N2170">
        <v>290</v>
      </c>
      <c r="O2170">
        <v>3</v>
      </c>
      <c r="P2170">
        <v>290</v>
      </c>
      <c r="Q2170">
        <v>19</v>
      </c>
      <c r="R2170">
        <v>14</v>
      </c>
      <c r="S2170">
        <v>17</v>
      </c>
      <c r="T2170">
        <v>4</v>
      </c>
      <c r="U2170">
        <v>27</v>
      </c>
      <c r="V2170">
        <v>6</v>
      </c>
      <c r="W2170">
        <v>4</v>
      </c>
      <c r="X2170">
        <v>4</v>
      </c>
      <c r="Y2170">
        <v>153</v>
      </c>
      <c r="Z2170">
        <v>7</v>
      </c>
      <c r="AB2170">
        <v>9</v>
      </c>
      <c r="AC2170">
        <v>1</v>
      </c>
      <c r="AD2170">
        <v>1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5</v>
      </c>
      <c r="AL2170">
        <v>1</v>
      </c>
      <c r="AM2170">
        <v>0</v>
      </c>
      <c r="AN2170">
        <v>2</v>
      </c>
      <c r="AT2170">
        <v>0</v>
      </c>
      <c r="AU2170">
        <v>16</v>
      </c>
      <c r="AV2170">
        <v>290</v>
      </c>
      <c r="AW2170">
        <v>290</v>
      </c>
      <c r="AX2170">
        <v>600</v>
      </c>
      <c r="BA2170">
        <v>1</v>
      </c>
      <c r="BC2170" t="s">
        <v>4439</v>
      </c>
      <c r="BD2170" s="4">
        <v>43283.067326388889</v>
      </c>
      <c r="BE2170" s="4">
        <v>43283.070798611108</v>
      </c>
      <c r="BF2170" s="4">
        <v>43283.070798611108</v>
      </c>
      <c r="BG2170" t="s">
        <v>83</v>
      </c>
      <c r="BH2170" t="s">
        <v>84</v>
      </c>
      <c r="BI2170" t="s">
        <v>85</v>
      </c>
    </row>
    <row r="2171" spans="1:61" x14ac:dyDescent="0.3">
      <c r="A2171" t="str">
        <f>"201915C0100"</f>
        <v>201915C0100</v>
      </c>
      <c r="B2171" t="s">
        <v>4440</v>
      </c>
      <c r="C2171">
        <v>20</v>
      </c>
      <c r="D2171" t="s">
        <v>79</v>
      </c>
      <c r="E2171">
        <v>10</v>
      </c>
      <c r="F2171" t="s">
        <v>4190</v>
      </c>
      <c r="G2171">
        <v>1915</v>
      </c>
      <c r="H2171">
        <v>1</v>
      </c>
      <c r="I2171" t="s">
        <v>89</v>
      </c>
      <c r="J2171">
        <v>0</v>
      </c>
      <c r="K2171">
        <v>2</v>
      </c>
      <c r="L2171">
        <v>2</v>
      </c>
      <c r="M2171">
        <v>312</v>
      </c>
      <c r="N2171">
        <v>309</v>
      </c>
      <c r="O2171">
        <v>0</v>
      </c>
      <c r="P2171">
        <v>309</v>
      </c>
      <c r="Q2171">
        <v>13</v>
      </c>
      <c r="R2171">
        <v>10</v>
      </c>
      <c r="S2171">
        <v>14</v>
      </c>
      <c r="T2171">
        <v>8</v>
      </c>
      <c r="U2171">
        <v>35</v>
      </c>
      <c r="V2171">
        <v>8</v>
      </c>
      <c r="W2171">
        <v>6</v>
      </c>
      <c r="X2171">
        <v>5</v>
      </c>
      <c r="Y2171">
        <v>168</v>
      </c>
      <c r="Z2171">
        <v>7</v>
      </c>
      <c r="AB2171">
        <v>9</v>
      </c>
      <c r="AC2171">
        <v>0</v>
      </c>
      <c r="AD2171">
        <v>1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5</v>
      </c>
      <c r="AL2171">
        <v>1</v>
      </c>
      <c r="AM2171">
        <v>2</v>
      </c>
      <c r="AN2171">
        <v>2</v>
      </c>
      <c r="AT2171">
        <v>0</v>
      </c>
      <c r="AU2171">
        <v>15</v>
      </c>
      <c r="AV2171">
        <v>309</v>
      </c>
      <c r="AW2171">
        <v>309</v>
      </c>
      <c r="AX2171">
        <v>599</v>
      </c>
      <c r="BA2171">
        <v>1</v>
      </c>
      <c r="BC2171" t="s">
        <v>4441</v>
      </c>
      <c r="BD2171" s="4">
        <v>43283.069976851853</v>
      </c>
      <c r="BE2171" s="4">
        <v>43283.073113425926</v>
      </c>
      <c r="BF2171" s="4">
        <v>43283.073113425926</v>
      </c>
      <c r="BG2171" t="s">
        <v>83</v>
      </c>
      <c r="BH2171" t="s">
        <v>84</v>
      </c>
      <c r="BI2171" t="s">
        <v>85</v>
      </c>
    </row>
    <row r="2172" spans="1:61" x14ac:dyDescent="0.3">
      <c r="A2172" t="str">
        <f>"201915E0100"</f>
        <v>201915E0100</v>
      </c>
      <c r="B2172" s="2" t="s">
        <v>4442</v>
      </c>
      <c r="C2172">
        <v>20</v>
      </c>
      <c r="D2172" t="s">
        <v>79</v>
      </c>
      <c r="E2172">
        <v>10</v>
      </c>
      <c r="F2172" t="s">
        <v>4190</v>
      </c>
      <c r="G2172">
        <v>1915</v>
      </c>
      <c r="H2172">
        <v>1</v>
      </c>
      <c r="I2172" t="s">
        <v>145</v>
      </c>
      <c r="J2172">
        <v>0</v>
      </c>
      <c r="K2172">
        <v>2</v>
      </c>
      <c r="L2172">
        <v>2</v>
      </c>
      <c r="M2172">
        <v>235</v>
      </c>
      <c r="N2172">
        <v>377</v>
      </c>
      <c r="O2172">
        <v>4</v>
      </c>
      <c r="P2172">
        <v>377</v>
      </c>
      <c r="Q2172">
        <v>37</v>
      </c>
      <c r="R2172">
        <v>60</v>
      </c>
      <c r="S2172">
        <v>12</v>
      </c>
      <c r="T2172">
        <v>10</v>
      </c>
      <c r="U2172">
        <v>28</v>
      </c>
      <c r="V2172">
        <v>12</v>
      </c>
      <c r="W2172">
        <v>7</v>
      </c>
      <c r="X2172">
        <v>4</v>
      </c>
      <c r="Y2172">
        <v>157</v>
      </c>
      <c r="Z2172">
        <v>13</v>
      </c>
      <c r="AB2172">
        <v>3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3</v>
      </c>
      <c r="AI2172">
        <v>0</v>
      </c>
      <c r="AJ2172">
        <v>0</v>
      </c>
      <c r="AK2172">
        <v>2</v>
      </c>
      <c r="AL2172">
        <v>2</v>
      </c>
      <c r="AM2172">
        <v>0</v>
      </c>
      <c r="AN2172">
        <v>4</v>
      </c>
      <c r="AT2172">
        <v>1</v>
      </c>
      <c r="AU2172">
        <v>22</v>
      </c>
      <c r="AV2172">
        <v>377</v>
      </c>
      <c r="AW2172">
        <v>377</v>
      </c>
      <c r="AX2172">
        <v>590</v>
      </c>
      <c r="BA2172">
        <v>1</v>
      </c>
      <c r="BC2172" t="s">
        <v>4443</v>
      </c>
      <c r="BD2172" s="4">
        <v>43283.070671296293</v>
      </c>
      <c r="BE2172" s="4">
        <v>43283.074305555558</v>
      </c>
      <c r="BF2172" s="4">
        <v>43283.074305555558</v>
      </c>
      <c r="BG2172" t="s">
        <v>83</v>
      </c>
      <c r="BH2172" t="s">
        <v>84</v>
      </c>
      <c r="BI2172" t="s">
        <v>85</v>
      </c>
    </row>
    <row r="2173" spans="1:61" x14ac:dyDescent="0.3">
      <c r="A2173" t="str">
        <f>"201916B0100"</f>
        <v>201916B0100</v>
      </c>
      <c r="B2173" t="s">
        <v>4444</v>
      </c>
      <c r="C2173">
        <v>20</v>
      </c>
      <c r="D2173" t="s">
        <v>79</v>
      </c>
      <c r="E2173">
        <v>10</v>
      </c>
      <c r="F2173" t="s">
        <v>4190</v>
      </c>
      <c r="G2173">
        <v>1916</v>
      </c>
      <c r="H2173">
        <v>1</v>
      </c>
      <c r="I2173" t="s">
        <v>81</v>
      </c>
      <c r="J2173">
        <v>0</v>
      </c>
      <c r="K2173">
        <v>2</v>
      </c>
      <c r="L2173">
        <v>2</v>
      </c>
      <c r="M2173">
        <v>449</v>
      </c>
      <c r="N2173">
        <v>249</v>
      </c>
      <c r="O2173">
        <v>1</v>
      </c>
      <c r="P2173">
        <v>249</v>
      </c>
      <c r="Q2173">
        <v>11</v>
      </c>
      <c r="R2173">
        <v>9</v>
      </c>
      <c r="S2173">
        <v>12</v>
      </c>
      <c r="T2173">
        <v>5</v>
      </c>
      <c r="U2173">
        <v>31</v>
      </c>
      <c r="V2173">
        <v>3</v>
      </c>
      <c r="W2173">
        <v>4</v>
      </c>
      <c r="X2173">
        <v>9</v>
      </c>
      <c r="Y2173">
        <v>120</v>
      </c>
      <c r="Z2173">
        <v>6</v>
      </c>
      <c r="AB2173">
        <v>5</v>
      </c>
      <c r="AC2173">
        <v>1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4</v>
      </c>
      <c r="AL2173">
        <v>3</v>
      </c>
      <c r="AM2173">
        <v>0</v>
      </c>
      <c r="AN2173">
        <v>0</v>
      </c>
      <c r="AT2173">
        <v>0</v>
      </c>
      <c r="AU2173">
        <v>26</v>
      </c>
      <c r="AV2173">
        <v>249</v>
      </c>
      <c r="AW2173">
        <v>249</v>
      </c>
      <c r="AX2173">
        <v>676</v>
      </c>
      <c r="BA2173">
        <v>1</v>
      </c>
      <c r="BC2173" t="s">
        <v>4445</v>
      </c>
      <c r="BD2173" s="4">
        <v>43283.068206018521</v>
      </c>
      <c r="BE2173" s="4">
        <v>43283.071840277778</v>
      </c>
      <c r="BF2173" s="4">
        <v>43283.071840277778</v>
      </c>
      <c r="BG2173" t="s">
        <v>83</v>
      </c>
      <c r="BH2173" t="s">
        <v>84</v>
      </c>
      <c r="BI2173" t="s">
        <v>85</v>
      </c>
    </row>
    <row r="2174" spans="1:61" x14ac:dyDescent="0.3">
      <c r="A2174" t="str">
        <f>"201916C0100"</f>
        <v>201916C0100</v>
      </c>
      <c r="B2174" t="s">
        <v>4446</v>
      </c>
      <c r="C2174">
        <v>20</v>
      </c>
      <c r="D2174" t="s">
        <v>79</v>
      </c>
      <c r="E2174">
        <v>10</v>
      </c>
      <c r="F2174" t="s">
        <v>4190</v>
      </c>
      <c r="G2174">
        <v>1916</v>
      </c>
      <c r="H2174">
        <v>1</v>
      </c>
      <c r="I2174" t="s">
        <v>89</v>
      </c>
      <c r="J2174">
        <v>0</v>
      </c>
      <c r="K2174">
        <v>2</v>
      </c>
      <c r="L2174">
        <v>2</v>
      </c>
      <c r="M2174">
        <v>479</v>
      </c>
      <c r="N2174">
        <v>212</v>
      </c>
      <c r="O2174">
        <v>1</v>
      </c>
      <c r="P2174">
        <v>212</v>
      </c>
      <c r="Q2174">
        <v>15</v>
      </c>
      <c r="R2174">
        <v>8</v>
      </c>
      <c r="S2174">
        <v>14</v>
      </c>
      <c r="T2174">
        <v>0</v>
      </c>
      <c r="U2174">
        <v>23</v>
      </c>
      <c r="V2174">
        <v>6</v>
      </c>
      <c r="W2174">
        <v>3</v>
      </c>
      <c r="X2174">
        <v>2</v>
      </c>
      <c r="Y2174">
        <v>107</v>
      </c>
      <c r="Z2174">
        <v>4</v>
      </c>
      <c r="AB2174">
        <v>1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2</v>
      </c>
      <c r="AI2174">
        <v>0</v>
      </c>
      <c r="AJ2174">
        <v>0</v>
      </c>
      <c r="AK2174">
        <v>8</v>
      </c>
      <c r="AL2174">
        <v>2</v>
      </c>
      <c r="AM2174">
        <v>0</v>
      </c>
      <c r="AN2174">
        <v>1</v>
      </c>
      <c r="AT2174">
        <v>0</v>
      </c>
      <c r="AU2174">
        <v>16</v>
      </c>
      <c r="AV2174">
        <v>212</v>
      </c>
      <c r="AW2174">
        <v>212</v>
      </c>
      <c r="AX2174">
        <v>676</v>
      </c>
      <c r="BA2174">
        <v>1</v>
      </c>
      <c r="BC2174" t="s">
        <v>4447</v>
      </c>
      <c r="BD2174" s="4">
        <v>43283.08525462963</v>
      </c>
      <c r="BE2174" s="4">
        <v>43283.089143518519</v>
      </c>
      <c r="BF2174" s="4">
        <v>43283.089143518519</v>
      </c>
      <c r="BG2174" t="s">
        <v>83</v>
      </c>
      <c r="BH2174" t="s">
        <v>84</v>
      </c>
      <c r="BI2174" t="s">
        <v>548</v>
      </c>
    </row>
    <row r="2175" spans="1:61" x14ac:dyDescent="0.3">
      <c r="A2175" t="str">
        <f>"201917B0100"</f>
        <v>201917B0100</v>
      </c>
      <c r="B2175" t="s">
        <v>4448</v>
      </c>
      <c r="C2175">
        <v>20</v>
      </c>
      <c r="D2175" t="s">
        <v>79</v>
      </c>
      <c r="E2175">
        <v>10</v>
      </c>
      <c r="F2175" t="s">
        <v>4190</v>
      </c>
      <c r="G2175">
        <v>1917</v>
      </c>
      <c r="H2175">
        <v>1</v>
      </c>
      <c r="I2175" t="s">
        <v>81</v>
      </c>
      <c r="J2175">
        <v>0</v>
      </c>
      <c r="K2175">
        <v>2</v>
      </c>
      <c r="L2175">
        <v>2</v>
      </c>
      <c r="M2175">
        <v>455</v>
      </c>
      <c r="N2175">
        <v>179</v>
      </c>
      <c r="O2175">
        <v>5</v>
      </c>
      <c r="P2175">
        <v>179</v>
      </c>
      <c r="Q2175">
        <v>13</v>
      </c>
      <c r="R2175">
        <v>3</v>
      </c>
      <c r="S2175">
        <v>8</v>
      </c>
      <c r="T2175">
        <v>3</v>
      </c>
      <c r="U2175">
        <v>31</v>
      </c>
      <c r="V2175">
        <v>10</v>
      </c>
      <c r="W2175">
        <v>4</v>
      </c>
      <c r="X2175">
        <v>2</v>
      </c>
      <c r="Y2175">
        <v>81</v>
      </c>
      <c r="Z2175">
        <v>1</v>
      </c>
      <c r="AB2175">
        <v>2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1</v>
      </c>
      <c r="AK2175">
        <v>3</v>
      </c>
      <c r="AL2175">
        <v>3</v>
      </c>
      <c r="AM2175">
        <v>1</v>
      </c>
      <c r="AN2175">
        <v>0</v>
      </c>
      <c r="AT2175">
        <v>0</v>
      </c>
      <c r="AU2175">
        <v>13</v>
      </c>
      <c r="AV2175">
        <v>179</v>
      </c>
      <c r="AW2175">
        <v>179</v>
      </c>
      <c r="AX2175">
        <v>612</v>
      </c>
      <c r="BA2175">
        <v>1</v>
      </c>
      <c r="BC2175" t="s">
        <v>4449</v>
      </c>
      <c r="BD2175" s="4">
        <v>43283.162881944445</v>
      </c>
      <c r="BE2175" s="4">
        <v>43283.174143518518</v>
      </c>
      <c r="BF2175" s="4">
        <v>43283.174143518518</v>
      </c>
      <c r="BG2175" t="s">
        <v>83</v>
      </c>
      <c r="BH2175" t="s">
        <v>84</v>
      </c>
      <c r="BI2175" t="s">
        <v>85</v>
      </c>
    </row>
    <row r="2176" spans="1:61" x14ac:dyDescent="0.3">
      <c r="A2176" t="str">
        <f>"201917C0100"</f>
        <v>201917C0100</v>
      </c>
      <c r="B2176" t="s">
        <v>4450</v>
      </c>
      <c r="C2176">
        <v>20</v>
      </c>
      <c r="D2176" t="s">
        <v>79</v>
      </c>
      <c r="E2176">
        <v>10</v>
      </c>
      <c r="F2176" t="s">
        <v>4190</v>
      </c>
      <c r="G2176">
        <v>1917</v>
      </c>
      <c r="H2176">
        <v>1</v>
      </c>
      <c r="I2176" t="s">
        <v>89</v>
      </c>
      <c r="J2176">
        <v>0</v>
      </c>
      <c r="K2176">
        <v>2</v>
      </c>
      <c r="L2176">
        <v>2</v>
      </c>
      <c r="M2176">
        <v>442</v>
      </c>
      <c r="N2176">
        <v>192</v>
      </c>
      <c r="O2176">
        <v>5</v>
      </c>
      <c r="P2176">
        <v>192</v>
      </c>
      <c r="Q2176">
        <v>23</v>
      </c>
      <c r="R2176">
        <v>11</v>
      </c>
      <c r="S2176">
        <v>9</v>
      </c>
      <c r="T2176">
        <v>5</v>
      </c>
      <c r="U2176">
        <v>28</v>
      </c>
      <c r="V2176">
        <v>3</v>
      </c>
      <c r="W2176">
        <v>0</v>
      </c>
      <c r="X2176">
        <v>4</v>
      </c>
      <c r="Y2176">
        <v>63</v>
      </c>
      <c r="Z2176">
        <v>3</v>
      </c>
      <c r="AB2176">
        <v>2</v>
      </c>
      <c r="AC2176">
        <v>0</v>
      </c>
      <c r="AD2176">
        <v>2</v>
      </c>
      <c r="AE2176">
        <v>0</v>
      </c>
      <c r="AF2176">
        <v>0</v>
      </c>
      <c r="AG2176">
        <v>0</v>
      </c>
      <c r="AH2176">
        <v>1</v>
      </c>
      <c r="AI2176">
        <v>0</v>
      </c>
      <c r="AJ2176">
        <v>1</v>
      </c>
      <c r="AK2176">
        <v>4</v>
      </c>
      <c r="AL2176">
        <v>4</v>
      </c>
      <c r="AM2176">
        <v>1</v>
      </c>
      <c r="AN2176">
        <v>0</v>
      </c>
      <c r="AT2176">
        <v>0</v>
      </c>
      <c r="AU2176">
        <v>28</v>
      </c>
      <c r="AV2176">
        <v>192</v>
      </c>
      <c r="AW2176">
        <v>192</v>
      </c>
      <c r="AX2176">
        <v>612</v>
      </c>
      <c r="BA2176">
        <v>1</v>
      </c>
      <c r="BC2176" t="s">
        <v>4451</v>
      </c>
      <c r="BD2176" s="4">
        <v>43283.163576388892</v>
      </c>
      <c r="BE2176" s="4">
        <v>43283.173900462964</v>
      </c>
      <c r="BF2176" s="4">
        <v>43283.173900462964</v>
      </c>
      <c r="BG2176" t="s">
        <v>83</v>
      </c>
      <c r="BH2176" t="s">
        <v>84</v>
      </c>
      <c r="BI2176" t="s">
        <v>85</v>
      </c>
    </row>
    <row r="2177" spans="1:61" x14ac:dyDescent="0.3">
      <c r="A2177" t="str">
        <f>"201969B0100"</f>
        <v>201969B0100</v>
      </c>
      <c r="B2177" t="s">
        <v>4452</v>
      </c>
      <c r="C2177">
        <v>20</v>
      </c>
      <c r="D2177" t="s">
        <v>79</v>
      </c>
      <c r="E2177">
        <v>10</v>
      </c>
      <c r="F2177" t="s">
        <v>4190</v>
      </c>
      <c r="G2177">
        <v>1969</v>
      </c>
      <c r="H2177">
        <v>1</v>
      </c>
      <c r="I2177" t="s">
        <v>81</v>
      </c>
      <c r="J2177">
        <v>0</v>
      </c>
      <c r="K2177">
        <v>2</v>
      </c>
      <c r="L2177">
        <v>2</v>
      </c>
      <c r="AX2177">
        <v>567</v>
      </c>
      <c r="AZ2177" t="s">
        <v>156</v>
      </c>
      <c r="BA2177">
        <v>0</v>
      </c>
      <c r="BC2177" t="s">
        <v>4453</v>
      </c>
      <c r="BD2177" s="4">
        <v>43282.827777777777</v>
      </c>
      <c r="BE2177" s="4">
        <v>43283.827476851853</v>
      </c>
      <c r="BF2177" s="4">
        <v>43283.827476851853</v>
      </c>
      <c r="BG2177" t="s">
        <v>83</v>
      </c>
      <c r="BH2177" t="s">
        <v>84</v>
      </c>
      <c r="BI2177" t="s">
        <v>85</v>
      </c>
    </row>
    <row r="2178" spans="1:61" x14ac:dyDescent="0.3">
      <c r="A2178" t="str">
        <f>"201969C0100"</f>
        <v>201969C0100</v>
      </c>
      <c r="B2178" t="s">
        <v>4454</v>
      </c>
      <c r="C2178">
        <v>20</v>
      </c>
      <c r="D2178" t="s">
        <v>79</v>
      </c>
      <c r="E2178">
        <v>10</v>
      </c>
      <c r="F2178" t="s">
        <v>4190</v>
      </c>
      <c r="G2178">
        <v>1969</v>
      </c>
      <c r="H2178">
        <v>1</v>
      </c>
      <c r="I2178" t="s">
        <v>89</v>
      </c>
      <c r="J2178">
        <v>0</v>
      </c>
      <c r="K2178">
        <v>2</v>
      </c>
      <c r="L2178">
        <v>2</v>
      </c>
      <c r="M2178">
        <v>316</v>
      </c>
      <c r="N2178">
        <v>273</v>
      </c>
      <c r="O2178">
        <v>1</v>
      </c>
      <c r="P2178">
        <v>273</v>
      </c>
      <c r="Q2178">
        <v>11</v>
      </c>
      <c r="R2178">
        <v>36</v>
      </c>
      <c r="S2178">
        <v>4</v>
      </c>
      <c r="T2178">
        <v>5</v>
      </c>
      <c r="U2178">
        <v>73</v>
      </c>
      <c r="V2178">
        <v>1</v>
      </c>
      <c r="W2178">
        <v>1</v>
      </c>
      <c r="X2178">
        <v>4</v>
      </c>
      <c r="Y2178">
        <v>91</v>
      </c>
      <c r="Z2178">
        <v>11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7</v>
      </c>
      <c r="AL2178">
        <v>3</v>
      </c>
      <c r="AM2178">
        <v>3</v>
      </c>
      <c r="AN2178">
        <v>2</v>
      </c>
      <c r="AT2178">
        <v>0</v>
      </c>
      <c r="AU2178">
        <v>21</v>
      </c>
      <c r="AV2178">
        <v>273</v>
      </c>
      <c r="AW2178">
        <v>273</v>
      </c>
      <c r="AX2178">
        <v>566</v>
      </c>
      <c r="BA2178">
        <v>1</v>
      </c>
      <c r="BC2178" t="s">
        <v>4455</v>
      </c>
      <c r="BD2178" s="4">
        <v>43283.164884259262</v>
      </c>
      <c r="BE2178" s="4">
        <v>43283.175092592595</v>
      </c>
      <c r="BF2178" s="4">
        <v>43283.175092592595</v>
      </c>
      <c r="BG2178" t="s">
        <v>83</v>
      </c>
      <c r="BH2178" t="s">
        <v>84</v>
      </c>
      <c r="BI2178" t="s">
        <v>85</v>
      </c>
    </row>
    <row r="2179" spans="1:61" x14ac:dyDescent="0.3">
      <c r="A2179" t="str">
        <f>"201970B0100"</f>
        <v>201970B0100</v>
      </c>
      <c r="B2179" t="s">
        <v>4456</v>
      </c>
      <c r="C2179">
        <v>20</v>
      </c>
      <c r="D2179" t="s">
        <v>79</v>
      </c>
      <c r="E2179">
        <v>10</v>
      </c>
      <c r="F2179" t="s">
        <v>4190</v>
      </c>
      <c r="G2179">
        <v>1970</v>
      </c>
      <c r="H2179">
        <v>1</v>
      </c>
      <c r="I2179" t="s">
        <v>81</v>
      </c>
      <c r="J2179">
        <v>0</v>
      </c>
      <c r="K2179">
        <v>2</v>
      </c>
      <c r="L2179">
        <v>2</v>
      </c>
      <c r="M2179">
        <v>247</v>
      </c>
      <c r="N2179">
        <v>172</v>
      </c>
      <c r="O2179">
        <v>0</v>
      </c>
      <c r="P2179">
        <v>172</v>
      </c>
      <c r="Q2179">
        <v>15</v>
      </c>
      <c r="R2179">
        <v>31</v>
      </c>
      <c r="S2179">
        <v>6</v>
      </c>
      <c r="T2179">
        <v>5</v>
      </c>
      <c r="U2179">
        <v>38</v>
      </c>
      <c r="V2179">
        <v>2</v>
      </c>
      <c r="W2179">
        <v>1</v>
      </c>
      <c r="X2179">
        <v>0</v>
      </c>
      <c r="Y2179">
        <v>42</v>
      </c>
      <c r="Z2179">
        <v>7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1</v>
      </c>
      <c r="AH2179">
        <v>0</v>
      </c>
      <c r="AI2179">
        <v>0</v>
      </c>
      <c r="AJ2179">
        <v>0</v>
      </c>
      <c r="AK2179">
        <v>7</v>
      </c>
      <c r="AL2179">
        <v>5</v>
      </c>
      <c r="AM2179">
        <v>0</v>
      </c>
      <c r="AN2179">
        <v>0</v>
      </c>
      <c r="AT2179">
        <v>0</v>
      </c>
      <c r="AU2179">
        <v>12</v>
      </c>
      <c r="AV2179" t="s">
        <v>100</v>
      </c>
      <c r="AW2179">
        <v>172</v>
      </c>
      <c r="AX2179">
        <v>398</v>
      </c>
      <c r="BA2179">
        <v>1</v>
      </c>
      <c r="BC2179" t="s">
        <v>4457</v>
      </c>
      <c r="BD2179" s="4">
        <v>43283.170208333337</v>
      </c>
      <c r="BE2179" s="4">
        <v>43283.182962962965</v>
      </c>
      <c r="BF2179" s="4">
        <v>43283.182962962965</v>
      </c>
      <c r="BG2179" t="s">
        <v>83</v>
      </c>
      <c r="BH2179" t="s">
        <v>84</v>
      </c>
      <c r="BI2179" t="s">
        <v>85</v>
      </c>
    </row>
    <row r="2180" spans="1:61" x14ac:dyDescent="0.3">
      <c r="A2180" t="str">
        <f>"201970E0100"</f>
        <v>201970E0100</v>
      </c>
      <c r="B2180" s="2" t="s">
        <v>4458</v>
      </c>
      <c r="C2180">
        <v>20</v>
      </c>
      <c r="D2180" t="s">
        <v>79</v>
      </c>
      <c r="E2180">
        <v>10</v>
      </c>
      <c r="F2180" t="s">
        <v>4190</v>
      </c>
      <c r="G2180">
        <v>1970</v>
      </c>
      <c r="H2180">
        <v>1</v>
      </c>
      <c r="I2180" t="s">
        <v>145</v>
      </c>
      <c r="J2180">
        <v>0</v>
      </c>
      <c r="K2180">
        <v>2</v>
      </c>
      <c r="L2180">
        <v>2</v>
      </c>
      <c r="M2180">
        <v>324</v>
      </c>
      <c r="N2180">
        <v>291</v>
      </c>
      <c r="O2180">
        <v>6</v>
      </c>
      <c r="P2180">
        <v>291</v>
      </c>
      <c r="Q2180">
        <v>6</v>
      </c>
      <c r="R2180">
        <v>13</v>
      </c>
      <c r="S2180">
        <v>13</v>
      </c>
      <c r="T2180">
        <v>3</v>
      </c>
      <c r="U2180">
        <v>55</v>
      </c>
      <c r="V2180">
        <v>4</v>
      </c>
      <c r="W2180">
        <v>2</v>
      </c>
      <c r="X2180">
        <v>5</v>
      </c>
      <c r="Y2180">
        <v>151</v>
      </c>
      <c r="Z2180">
        <v>2</v>
      </c>
      <c r="AB2180">
        <v>1</v>
      </c>
      <c r="AC2180" t="s">
        <v>100</v>
      </c>
      <c r="AD2180" t="s">
        <v>100</v>
      </c>
      <c r="AE2180" t="s">
        <v>100</v>
      </c>
      <c r="AF2180" t="s">
        <v>100</v>
      </c>
      <c r="AG2180" t="s">
        <v>100</v>
      </c>
      <c r="AH2180" t="s">
        <v>100</v>
      </c>
      <c r="AI2180" t="s">
        <v>100</v>
      </c>
      <c r="AJ2180" t="s">
        <v>100</v>
      </c>
      <c r="AK2180">
        <v>10</v>
      </c>
      <c r="AL2180">
        <v>3</v>
      </c>
      <c r="AM2180">
        <v>0</v>
      </c>
      <c r="AN2180">
        <v>2</v>
      </c>
      <c r="AT2180" t="s">
        <v>100</v>
      </c>
      <c r="AU2180">
        <v>21</v>
      </c>
      <c r="AV2180" t="s">
        <v>100</v>
      </c>
      <c r="AW2180">
        <v>291</v>
      </c>
      <c r="AX2180">
        <v>593</v>
      </c>
      <c r="AZ2180" t="s">
        <v>101</v>
      </c>
      <c r="BA2180">
        <v>1</v>
      </c>
      <c r="BC2180" t="s">
        <v>4459</v>
      </c>
      <c r="BD2180" s="4">
        <v>43283.194571759261</v>
      </c>
      <c r="BE2180" s="4">
        <v>43283.210196759261</v>
      </c>
      <c r="BF2180" s="4">
        <v>43283.210196759261</v>
      </c>
      <c r="BG2180" t="s">
        <v>83</v>
      </c>
      <c r="BH2180" t="s">
        <v>84</v>
      </c>
      <c r="BI2180" t="s">
        <v>85</v>
      </c>
    </row>
    <row r="2181" spans="1:61" x14ac:dyDescent="0.3">
      <c r="A2181" t="str">
        <f>"201987B0100"</f>
        <v>201987B0100</v>
      </c>
      <c r="B2181" t="s">
        <v>4460</v>
      </c>
      <c r="C2181">
        <v>20</v>
      </c>
      <c r="D2181" t="s">
        <v>79</v>
      </c>
      <c r="E2181">
        <v>10</v>
      </c>
      <c r="F2181" t="s">
        <v>4190</v>
      </c>
      <c r="G2181">
        <v>1987</v>
      </c>
      <c r="H2181">
        <v>1</v>
      </c>
      <c r="I2181" t="s">
        <v>81</v>
      </c>
      <c r="J2181">
        <v>0</v>
      </c>
      <c r="K2181">
        <v>2</v>
      </c>
      <c r="L2181">
        <v>2</v>
      </c>
      <c r="M2181">
        <v>335</v>
      </c>
      <c r="N2181">
        <v>295</v>
      </c>
      <c r="O2181">
        <v>0</v>
      </c>
      <c r="P2181">
        <v>295</v>
      </c>
      <c r="Q2181">
        <v>8</v>
      </c>
      <c r="R2181">
        <v>69</v>
      </c>
      <c r="S2181">
        <v>7</v>
      </c>
      <c r="T2181">
        <v>2</v>
      </c>
      <c r="U2181">
        <v>55</v>
      </c>
      <c r="V2181">
        <v>2</v>
      </c>
      <c r="W2181">
        <v>6</v>
      </c>
      <c r="X2181">
        <v>0</v>
      </c>
      <c r="Y2181">
        <v>94</v>
      </c>
      <c r="Z2181">
        <v>8</v>
      </c>
      <c r="AB2181">
        <v>0</v>
      </c>
      <c r="AC2181">
        <v>1</v>
      </c>
      <c r="AD2181">
        <v>1</v>
      </c>
      <c r="AE2181">
        <v>1</v>
      </c>
      <c r="AF2181">
        <v>0</v>
      </c>
      <c r="AG2181">
        <v>1</v>
      </c>
      <c r="AH2181">
        <v>1</v>
      </c>
      <c r="AI2181">
        <v>1</v>
      </c>
      <c r="AJ2181">
        <v>0</v>
      </c>
      <c r="AK2181">
        <v>11</v>
      </c>
      <c r="AL2181">
        <v>3</v>
      </c>
      <c r="AM2181">
        <v>0</v>
      </c>
      <c r="AN2181">
        <v>1</v>
      </c>
      <c r="AT2181">
        <v>0</v>
      </c>
      <c r="AU2181">
        <v>23</v>
      </c>
      <c r="AV2181">
        <v>295</v>
      </c>
      <c r="AW2181">
        <v>295</v>
      </c>
      <c r="AX2181">
        <v>608</v>
      </c>
      <c r="BA2181">
        <v>1</v>
      </c>
      <c r="BC2181" t="s">
        <v>4461</v>
      </c>
      <c r="BD2181" s="4">
        <v>43283.221192129633</v>
      </c>
      <c r="BE2181" s="4">
        <v>43283.243043981478</v>
      </c>
      <c r="BF2181" s="4">
        <v>43283.243043981478</v>
      </c>
      <c r="BG2181" t="s">
        <v>83</v>
      </c>
      <c r="BH2181" t="s">
        <v>84</v>
      </c>
      <c r="BI2181" t="s">
        <v>85</v>
      </c>
    </row>
    <row r="2182" spans="1:61" x14ac:dyDescent="0.3">
      <c r="A2182" t="str">
        <f>"201987C0100"</f>
        <v>201987C0100</v>
      </c>
      <c r="B2182" t="s">
        <v>4462</v>
      </c>
      <c r="C2182">
        <v>20</v>
      </c>
      <c r="D2182" t="s">
        <v>79</v>
      </c>
      <c r="E2182">
        <v>10</v>
      </c>
      <c r="F2182" t="s">
        <v>4190</v>
      </c>
      <c r="G2182">
        <v>1987</v>
      </c>
      <c r="H2182">
        <v>1</v>
      </c>
      <c r="I2182" t="s">
        <v>89</v>
      </c>
      <c r="J2182">
        <v>0</v>
      </c>
      <c r="K2182">
        <v>2</v>
      </c>
      <c r="L2182">
        <v>2</v>
      </c>
      <c r="M2182">
        <v>400</v>
      </c>
      <c r="N2182">
        <v>230</v>
      </c>
      <c r="O2182">
        <v>0</v>
      </c>
      <c r="P2182">
        <v>230</v>
      </c>
      <c r="Q2182">
        <v>15</v>
      </c>
      <c r="R2182">
        <v>88</v>
      </c>
      <c r="S2182">
        <v>6</v>
      </c>
      <c r="T2182">
        <v>2</v>
      </c>
      <c r="U2182">
        <v>37</v>
      </c>
      <c r="V2182">
        <v>4</v>
      </c>
      <c r="W2182">
        <v>3</v>
      </c>
      <c r="X2182">
        <v>3</v>
      </c>
      <c r="Y2182">
        <v>39</v>
      </c>
      <c r="Z2182">
        <v>11</v>
      </c>
      <c r="AB2182">
        <v>1</v>
      </c>
      <c r="AC2182">
        <v>0</v>
      </c>
      <c r="AD2182">
        <v>1</v>
      </c>
      <c r="AE2182">
        <v>0</v>
      </c>
      <c r="AF2182">
        <v>0</v>
      </c>
      <c r="AG2182">
        <v>1</v>
      </c>
      <c r="AH2182">
        <v>0</v>
      </c>
      <c r="AI2182">
        <v>0</v>
      </c>
      <c r="AJ2182">
        <v>0</v>
      </c>
      <c r="AK2182">
        <v>3</v>
      </c>
      <c r="AL2182">
        <v>2</v>
      </c>
      <c r="AM2182">
        <v>1</v>
      </c>
      <c r="AN2182">
        <v>4</v>
      </c>
      <c r="AT2182">
        <v>0</v>
      </c>
      <c r="AU2182">
        <v>9</v>
      </c>
      <c r="AV2182">
        <v>230</v>
      </c>
      <c r="AW2182">
        <v>230</v>
      </c>
      <c r="AX2182">
        <v>608</v>
      </c>
      <c r="BA2182">
        <v>1</v>
      </c>
      <c r="BC2182" t="s">
        <v>4463</v>
      </c>
      <c r="BD2182" s="4">
        <v>43283.22792824074</v>
      </c>
      <c r="BE2182" s="4">
        <v>43283.25409722222</v>
      </c>
      <c r="BF2182" s="4">
        <v>43283.25409722222</v>
      </c>
      <c r="BG2182" t="s">
        <v>83</v>
      </c>
      <c r="BH2182" t="s">
        <v>84</v>
      </c>
      <c r="BI2182" t="s">
        <v>85</v>
      </c>
    </row>
    <row r="2183" spans="1:61" x14ac:dyDescent="0.3">
      <c r="A2183" t="str">
        <f>"201988B0100"</f>
        <v>201988B0100</v>
      </c>
      <c r="B2183" t="s">
        <v>4464</v>
      </c>
      <c r="C2183">
        <v>20</v>
      </c>
      <c r="D2183" t="s">
        <v>79</v>
      </c>
      <c r="E2183">
        <v>10</v>
      </c>
      <c r="F2183" t="s">
        <v>4190</v>
      </c>
      <c r="G2183">
        <v>1988</v>
      </c>
      <c r="H2183">
        <v>1</v>
      </c>
      <c r="I2183" t="s">
        <v>81</v>
      </c>
      <c r="J2183">
        <v>0</v>
      </c>
      <c r="K2183">
        <v>2</v>
      </c>
      <c r="L2183">
        <v>2</v>
      </c>
      <c r="M2183">
        <v>221</v>
      </c>
      <c r="N2183">
        <v>531</v>
      </c>
      <c r="O2183">
        <v>0</v>
      </c>
      <c r="P2183">
        <v>310</v>
      </c>
      <c r="Q2183">
        <v>13</v>
      </c>
      <c r="R2183">
        <v>61</v>
      </c>
      <c r="S2183">
        <v>10</v>
      </c>
      <c r="T2183">
        <v>5</v>
      </c>
      <c r="U2183">
        <v>28</v>
      </c>
      <c r="V2183">
        <v>1</v>
      </c>
      <c r="W2183">
        <v>6</v>
      </c>
      <c r="X2183">
        <v>3</v>
      </c>
      <c r="Y2183">
        <v>124</v>
      </c>
      <c r="Z2183">
        <v>16</v>
      </c>
      <c r="AB2183">
        <v>4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2</v>
      </c>
      <c r="AI2183">
        <v>1</v>
      </c>
      <c r="AJ2183">
        <v>0</v>
      </c>
      <c r="AK2183">
        <v>6</v>
      </c>
      <c r="AL2183">
        <v>0</v>
      </c>
      <c r="AM2183">
        <v>1</v>
      </c>
      <c r="AN2183">
        <v>2</v>
      </c>
      <c r="AT2183">
        <v>0</v>
      </c>
      <c r="AU2183">
        <v>27</v>
      </c>
      <c r="AV2183">
        <v>310</v>
      </c>
      <c r="AW2183">
        <v>310</v>
      </c>
      <c r="AX2183">
        <v>509</v>
      </c>
      <c r="BA2183">
        <v>1</v>
      </c>
      <c r="BC2183" t="s">
        <v>4465</v>
      </c>
      <c r="BD2183" s="4">
        <v>43283.754791666666</v>
      </c>
      <c r="BE2183" s="4">
        <v>43283.757349537038</v>
      </c>
      <c r="BF2183" s="4">
        <v>43283.757349537038</v>
      </c>
      <c r="BG2183" t="s">
        <v>83</v>
      </c>
      <c r="BH2183" t="s">
        <v>84</v>
      </c>
      <c r="BI2183" t="s">
        <v>85</v>
      </c>
    </row>
    <row r="2184" spans="1:61" x14ac:dyDescent="0.3">
      <c r="A2184" t="str">
        <f>"201988C0100"</f>
        <v>201988C0100</v>
      </c>
      <c r="B2184" t="s">
        <v>4466</v>
      </c>
      <c r="C2184">
        <v>20</v>
      </c>
      <c r="D2184" t="s">
        <v>79</v>
      </c>
      <c r="E2184">
        <v>10</v>
      </c>
      <c r="F2184" t="s">
        <v>4190</v>
      </c>
      <c r="G2184">
        <v>1988</v>
      </c>
      <c r="H2184">
        <v>1</v>
      </c>
      <c r="I2184" t="s">
        <v>89</v>
      </c>
      <c r="J2184">
        <v>0</v>
      </c>
      <c r="K2184">
        <v>2</v>
      </c>
      <c r="L2184">
        <v>2</v>
      </c>
      <c r="M2184">
        <v>231</v>
      </c>
      <c r="N2184">
        <v>300</v>
      </c>
      <c r="O2184">
        <v>0</v>
      </c>
      <c r="P2184">
        <v>300</v>
      </c>
      <c r="Q2184">
        <v>10</v>
      </c>
      <c r="R2184">
        <v>70</v>
      </c>
      <c r="S2184">
        <v>12</v>
      </c>
      <c r="T2184">
        <v>8</v>
      </c>
      <c r="U2184">
        <v>18</v>
      </c>
      <c r="V2184">
        <v>6</v>
      </c>
      <c r="W2184">
        <v>3</v>
      </c>
      <c r="X2184">
        <v>3</v>
      </c>
      <c r="Y2184">
        <v>124</v>
      </c>
      <c r="Z2184">
        <v>10</v>
      </c>
      <c r="AB2184">
        <v>1</v>
      </c>
      <c r="AC2184" t="s">
        <v>100</v>
      </c>
      <c r="AD2184" t="s">
        <v>100</v>
      </c>
      <c r="AE2184" t="s">
        <v>100</v>
      </c>
      <c r="AF2184" t="s">
        <v>100</v>
      </c>
      <c r="AG2184" t="s">
        <v>100</v>
      </c>
      <c r="AH2184">
        <v>2</v>
      </c>
      <c r="AI2184" t="s">
        <v>100</v>
      </c>
      <c r="AJ2184" t="s">
        <v>100</v>
      </c>
      <c r="AK2184">
        <v>1</v>
      </c>
      <c r="AL2184">
        <v>2</v>
      </c>
      <c r="AM2184">
        <v>2</v>
      </c>
      <c r="AN2184">
        <v>4</v>
      </c>
      <c r="AT2184" t="s">
        <v>100</v>
      </c>
      <c r="AU2184">
        <v>24</v>
      </c>
      <c r="AV2184" t="s">
        <v>100</v>
      </c>
      <c r="AW2184">
        <v>300</v>
      </c>
      <c r="AX2184">
        <v>509</v>
      </c>
      <c r="AZ2184" t="s">
        <v>101</v>
      </c>
      <c r="BA2184">
        <v>1</v>
      </c>
      <c r="BC2184" t="s">
        <v>4467</v>
      </c>
      <c r="BD2184" s="4">
        <v>43283.815972222219</v>
      </c>
      <c r="BE2184" s="4">
        <v>43283.818807870368</v>
      </c>
      <c r="BF2184" s="4">
        <v>43283.818807870368</v>
      </c>
      <c r="BG2184" t="s">
        <v>83</v>
      </c>
      <c r="BH2184" t="s">
        <v>84</v>
      </c>
      <c r="BI2184" t="s">
        <v>85</v>
      </c>
    </row>
    <row r="2185" spans="1:61" x14ac:dyDescent="0.3">
      <c r="A2185" t="str">
        <f>"201989B0100"</f>
        <v>201989B0100</v>
      </c>
      <c r="B2185" t="s">
        <v>4468</v>
      </c>
      <c r="C2185">
        <v>20</v>
      </c>
      <c r="D2185" t="s">
        <v>79</v>
      </c>
      <c r="E2185">
        <v>10</v>
      </c>
      <c r="F2185" t="s">
        <v>4190</v>
      </c>
      <c r="G2185">
        <v>1989</v>
      </c>
      <c r="H2185">
        <v>1</v>
      </c>
      <c r="I2185" t="s">
        <v>81</v>
      </c>
      <c r="J2185">
        <v>0</v>
      </c>
      <c r="K2185">
        <v>2</v>
      </c>
      <c r="L2185">
        <v>2</v>
      </c>
      <c r="M2185">
        <v>160</v>
      </c>
      <c r="N2185">
        <v>176</v>
      </c>
      <c r="O2185">
        <v>0</v>
      </c>
      <c r="P2185">
        <v>176</v>
      </c>
      <c r="Q2185">
        <v>8</v>
      </c>
      <c r="R2185">
        <v>58</v>
      </c>
      <c r="S2185">
        <v>5</v>
      </c>
      <c r="T2185">
        <v>1</v>
      </c>
      <c r="U2185">
        <v>15</v>
      </c>
      <c r="V2185">
        <v>2</v>
      </c>
      <c r="W2185">
        <v>4</v>
      </c>
      <c r="X2185">
        <v>5</v>
      </c>
      <c r="Y2185">
        <v>59</v>
      </c>
      <c r="Z2185">
        <v>1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1</v>
      </c>
      <c r="AH2185">
        <v>1</v>
      </c>
      <c r="AI2185">
        <v>0</v>
      </c>
      <c r="AJ2185">
        <v>0</v>
      </c>
      <c r="AK2185">
        <v>2</v>
      </c>
      <c r="AL2185">
        <v>3</v>
      </c>
      <c r="AM2185">
        <v>2</v>
      </c>
      <c r="AN2185">
        <v>1</v>
      </c>
      <c r="AT2185">
        <v>8</v>
      </c>
      <c r="AU2185">
        <v>8</v>
      </c>
      <c r="AV2185">
        <v>176</v>
      </c>
      <c r="AW2185">
        <v>184</v>
      </c>
      <c r="AX2185">
        <v>317</v>
      </c>
      <c r="BA2185">
        <v>1</v>
      </c>
      <c r="BC2185" s="2" t="s">
        <v>4469</v>
      </c>
      <c r="BD2185" s="4">
        <v>43283.228692129633</v>
      </c>
      <c r="BE2185" s="4">
        <v>43283.252974537034</v>
      </c>
      <c r="BF2185" s="4">
        <v>43283.252974537034</v>
      </c>
      <c r="BG2185" t="s">
        <v>83</v>
      </c>
      <c r="BH2185" t="s">
        <v>84</v>
      </c>
      <c r="BI2185" t="s">
        <v>85</v>
      </c>
    </row>
    <row r="2186" spans="1:61" x14ac:dyDescent="0.3">
      <c r="A2186" t="str">
        <f>"201990B0100"</f>
        <v>201990B0100</v>
      </c>
      <c r="B2186" t="s">
        <v>4470</v>
      </c>
      <c r="C2186">
        <v>20</v>
      </c>
      <c r="D2186" t="s">
        <v>79</v>
      </c>
      <c r="E2186">
        <v>10</v>
      </c>
      <c r="F2186" t="s">
        <v>4190</v>
      </c>
      <c r="G2186">
        <v>1990</v>
      </c>
      <c r="H2186">
        <v>1</v>
      </c>
      <c r="I2186" t="s">
        <v>81</v>
      </c>
      <c r="J2186">
        <v>0</v>
      </c>
      <c r="K2186">
        <v>2</v>
      </c>
      <c r="L2186">
        <v>2</v>
      </c>
      <c r="M2186">
        <v>189</v>
      </c>
      <c r="N2186">
        <v>259</v>
      </c>
      <c r="O2186">
        <v>0</v>
      </c>
      <c r="P2186">
        <v>259</v>
      </c>
      <c r="Q2186">
        <v>10</v>
      </c>
      <c r="R2186">
        <v>67</v>
      </c>
      <c r="S2186">
        <v>6</v>
      </c>
      <c r="T2186">
        <v>0</v>
      </c>
      <c r="U2186">
        <v>99</v>
      </c>
      <c r="V2186">
        <v>0</v>
      </c>
      <c r="W2186">
        <v>0</v>
      </c>
      <c r="X2186">
        <v>0</v>
      </c>
      <c r="Y2186">
        <v>63</v>
      </c>
      <c r="Z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T2186">
        <v>0</v>
      </c>
      <c r="AU2186">
        <v>14</v>
      </c>
      <c r="AV2186">
        <v>259</v>
      </c>
      <c r="AW2186">
        <v>259</v>
      </c>
      <c r="AX2186">
        <v>427</v>
      </c>
      <c r="BA2186">
        <v>1</v>
      </c>
      <c r="BC2186" t="s">
        <v>4471</v>
      </c>
      <c r="BD2186" s="4">
        <v>43283.222766203704</v>
      </c>
      <c r="BE2186" s="4">
        <v>43283.244340277779</v>
      </c>
      <c r="BF2186" s="4">
        <v>43283.244340277779</v>
      </c>
      <c r="BG2186" t="s">
        <v>83</v>
      </c>
      <c r="BH2186" t="s">
        <v>84</v>
      </c>
      <c r="BI2186" t="s">
        <v>85</v>
      </c>
    </row>
    <row r="2187" spans="1:61" x14ac:dyDescent="0.3">
      <c r="A2187" t="str">
        <f>"201990C0100"</f>
        <v>201990C0100</v>
      </c>
      <c r="B2187" t="s">
        <v>4472</v>
      </c>
      <c r="C2187">
        <v>20</v>
      </c>
      <c r="D2187" t="s">
        <v>79</v>
      </c>
      <c r="E2187">
        <v>10</v>
      </c>
      <c r="F2187" t="s">
        <v>4190</v>
      </c>
      <c r="G2187">
        <v>1990</v>
      </c>
      <c r="H2187">
        <v>1</v>
      </c>
      <c r="I2187" t="s">
        <v>89</v>
      </c>
      <c r="J2187">
        <v>0</v>
      </c>
      <c r="K2187">
        <v>2</v>
      </c>
      <c r="L2187">
        <v>2</v>
      </c>
      <c r="M2187">
        <v>171</v>
      </c>
      <c r="N2187">
        <v>275</v>
      </c>
      <c r="O2187">
        <v>0</v>
      </c>
      <c r="P2187">
        <v>275</v>
      </c>
      <c r="Q2187">
        <v>9</v>
      </c>
      <c r="R2187">
        <v>103</v>
      </c>
      <c r="S2187">
        <v>5</v>
      </c>
      <c r="T2187">
        <v>1</v>
      </c>
      <c r="U2187">
        <v>55</v>
      </c>
      <c r="V2187">
        <v>2</v>
      </c>
      <c r="W2187">
        <v>2</v>
      </c>
      <c r="X2187">
        <v>0</v>
      </c>
      <c r="Y2187">
        <v>50</v>
      </c>
      <c r="Z2187">
        <v>6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2</v>
      </c>
      <c r="AI2187">
        <v>1</v>
      </c>
      <c r="AJ2187">
        <v>0</v>
      </c>
      <c r="AK2187">
        <v>19</v>
      </c>
      <c r="AL2187">
        <v>2</v>
      </c>
      <c r="AM2187">
        <v>1</v>
      </c>
      <c r="AN2187">
        <v>2</v>
      </c>
      <c r="AT2187">
        <v>17</v>
      </c>
      <c r="AU2187" t="s">
        <v>100</v>
      </c>
      <c r="AV2187">
        <v>244</v>
      </c>
      <c r="AW2187">
        <v>277</v>
      </c>
      <c r="AX2187">
        <v>427</v>
      </c>
      <c r="AZ2187" t="s">
        <v>101</v>
      </c>
      <c r="BA2187">
        <v>1</v>
      </c>
      <c r="BC2187" t="s">
        <v>4473</v>
      </c>
      <c r="BD2187" s="4">
        <v>43283.220150462963</v>
      </c>
      <c r="BE2187" s="4">
        <v>43283.248506944445</v>
      </c>
      <c r="BF2187" s="4">
        <v>43283.248506944445</v>
      </c>
      <c r="BG2187" t="s">
        <v>83</v>
      </c>
      <c r="BH2187" t="s">
        <v>84</v>
      </c>
      <c r="BI2187" t="s">
        <v>85</v>
      </c>
    </row>
    <row r="2188" spans="1:61" x14ac:dyDescent="0.3">
      <c r="A2188" t="str">
        <f>"202004B0100"</f>
        <v>202004B0100</v>
      </c>
      <c r="B2188" t="s">
        <v>4474</v>
      </c>
      <c r="C2188">
        <v>20</v>
      </c>
      <c r="D2188" t="s">
        <v>79</v>
      </c>
      <c r="E2188">
        <v>10</v>
      </c>
      <c r="F2188" t="s">
        <v>4190</v>
      </c>
      <c r="G2188">
        <v>2004</v>
      </c>
      <c r="H2188">
        <v>1</v>
      </c>
      <c r="I2188" t="s">
        <v>81</v>
      </c>
      <c r="J2188">
        <v>0</v>
      </c>
      <c r="K2188">
        <v>2</v>
      </c>
      <c r="L2188">
        <v>2</v>
      </c>
      <c r="M2188">
        <v>273</v>
      </c>
      <c r="N2188">
        <v>254</v>
      </c>
      <c r="O2188">
        <v>0</v>
      </c>
      <c r="P2188">
        <v>254</v>
      </c>
      <c r="Q2188">
        <v>7</v>
      </c>
      <c r="R2188">
        <v>94</v>
      </c>
      <c r="S2188">
        <v>8</v>
      </c>
      <c r="T2188">
        <v>2</v>
      </c>
      <c r="U2188">
        <v>48</v>
      </c>
      <c r="V2188">
        <v>5</v>
      </c>
      <c r="W2188">
        <v>0</v>
      </c>
      <c r="X2188">
        <v>6</v>
      </c>
      <c r="Y2188">
        <v>61</v>
      </c>
      <c r="Z2188">
        <v>7</v>
      </c>
      <c r="AB2188">
        <v>1</v>
      </c>
      <c r="AC2188">
        <v>0</v>
      </c>
      <c r="AD2188">
        <v>0</v>
      </c>
      <c r="AE2188">
        <v>0</v>
      </c>
      <c r="AF2188">
        <v>0</v>
      </c>
      <c r="AG2188">
        <v>1</v>
      </c>
      <c r="AH2188">
        <v>1</v>
      </c>
      <c r="AI2188">
        <v>0</v>
      </c>
      <c r="AJ2188">
        <v>0</v>
      </c>
      <c r="AK2188">
        <v>2</v>
      </c>
      <c r="AL2188">
        <v>1</v>
      </c>
      <c r="AM2188">
        <v>2</v>
      </c>
      <c r="AN2188">
        <v>0</v>
      </c>
      <c r="AT2188">
        <v>0</v>
      </c>
      <c r="AU2188">
        <v>8</v>
      </c>
      <c r="AV2188">
        <v>254</v>
      </c>
      <c r="AW2188">
        <v>254</v>
      </c>
      <c r="AX2188">
        <v>505</v>
      </c>
      <c r="BA2188">
        <v>1</v>
      </c>
      <c r="BC2188" t="s">
        <v>4475</v>
      </c>
      <c r="BD2188" s="4">
        <v>43283.668067129627</v>
      </c>
      <c r="BE2188" s="4">
        <v>43283.672754629632</v>
      </c>
      <c r="BF2188" s="4">
        <v>43283.672754629632</v>
      </c>
      <c r="BG2188" t="s">
        <v>83</v>
      </c>
      <c r="BH2188" t="s">
        <v>84</v>
      </c>
      <c r="BI2188" t="s">
        <v>85</v>
      </c>
    </row>
    <row r="2189" spans="1:61" x14ac:dyDescent="0.3">
      <c r="A2189" t="str">
        <f>"202004C0100"</f>
        <v>202004C0100</v>
      </c>
      <c r="B2189" t="s">
        <v>4476</v>
      </c>
      <c r="C2189">
        <v>20</v>
      </c>
      <c r="D2189" t="s">
        <v>79</v>
      </c>
      <c r="E2189">
        <v>10</v>
      </c>
      <c r="F2189" t="s">
        <v>4190</v>
      </c>
      <c r="G2189">
        <v>2004</v>
      </c>
      <c r="H2189">
        <v>1</v>
      </c>
      <c r="I2189" t="s">
        <v>89</v>
      </c>
      <c r="J2189">
        <v>0</v>
      </c>
      <c r="K2189">
        <v>2</v>
      </c>
      <c r="L2189">
        <v>2</v>
      </c>
      <c r="M2189">
        <v>292</v>
      </c>
      <c r="N2189">
        <v>235</v>
      </c>
      <c r="O2189">
        <v>0</v>
      </c>
      <c r="P2189">
        <v>235</v>
      </c>
      <c r="Q2189">
        <v>7</v>
      </c>
      <c r="R2189">
        <v>115</v>
      </c>
      <c r="S2189">
        <v>5</v>
      </c>
      <c r="T2189">
        <v>3</v>
      </c>
      <c r="U2189">
        <v>36</v>
      </c>
      <c r="V2189">
        <v>2</v>
      </c>
      <c r="W2189">
        <v>0</v>
      </c>
      <c r="X2189">
        <v>1</v>
      </c>
      <c r="Y2189">
        <v>33</v>
      </c>
      <c r="Z2189">
        <v>7</v>
      </c>
      <c r="AB2189">
        <v>1</v>
      </c>
      <c r="AC2189">
        <v>0</v>
      </c>
      <c r="AD2189">
        <v>0</v>
      </c>
      <c r="AE2189">
        <v>0</v>
      </c>
      <c r="AF2189">
        <v>0</v>
      </c>
      <c r="AG2189">
        <v>2</v>
      </c>
      <c r="AH2189">
        <v>2</v>
      </c>
      <c r="AI2189">
        <v>0</v>
      </c>
      <c r="AJ2189">
        <v>0</v>
      </c>
      <c r="AK2189">
        <v>0</v>
      </c>
      <c r="AL2189">
        <v>1</v>
      </c>
      <c r="AM2189">
        <v>0</v>
      </c>
      <c r="AN2189">
        <v>0</v>
      </c>
      <c r="AT2189">
        <v>0</v>
      </c>
      <c r="AU2189">
        <v>20</v>
      </c>
      <c r="AV2189">
        <v>235</v>
      </c>
      <c r="AW2189">
        <v>235</v>
      </c>
      <c r="AX2189">
        <v>505</v>
      </c>
      <c r="BA2189">
        <v>1</v>
      </c>
      <c r="BC2189" t="s">
        <v>4477</v>
      </c>
      <c r="BD2189" s="4">
        <v>43283.66909722222</v>
      </c>
      <c r="BE2189" s="4">
        <v>43283.672222222223</v>
      </c>
      <c r="BF2189" s="4">
        <v>43283.672222222223</v>
      </c>
      <c r="BG2189" t="s">
        <v>83</v>
      </c>
      <c r="BH2189" t="s">
        <v>84</v>
      </c>
      <c r="BI2189" t="s">
        <v>85</v>
      </c>
    </row>
    <row r="2190" spans="1:61" x14ac:dyDescent="0.3">
      <c r="A2190" t="str">
        <f>"202151B0100"</f>
        <v>202151B0100</v>
      </c>
      <c r="B2190" t="s">
        <v>4478</v>
      </c>
      <c r="C2190">
        <v>20</v>
      </c>
      <c r="D2190" t="s">
        <v>79</v>
      </c>
      <c r="E2190">
        <v>10</v>
      </c>
      <c r="F2190" t="s">
        <v>4190</v>
      </c>
      <c r="G2190">
        <v>2151</v>
      </c>
      <c r="H2190">
        <v>1</v>
      </c>
      <c r="I2190" t="s">
        <v>81</v>
      </c>
      <c r="J2190">
        <v>0</v>
      </c>
      <c r="K2190">
        <v>2</v>
      </c>
      <c r="L2190">
        <v>2</v>
      </c>
      <c r="M2190">
        <v>252</v>
      </c>
      <c r="N2190">
        <v>0</v>
      </c>
      <c r="O2190">
        <v>0</v>
      </c>
      <c r="P2190">
        <v>377</v>
      </c>
      <c r="Q2190">
        <v>27</v>
      </c>
      <c r="R2190">
        <v>82</v>
      </c>
      <c r="S2190">
        <v>6</v>
      </c>
      <c r="T2190">
        <v>4</v>
      </c>
      <c r="U2190">
        <v>51</v>
      </c>
      <c r="V2190">
        <v>5</v>
      </c>
      <c r="W2190">
        <v>1</v>
      </c>
      <c r="X2190">
        <v>4</v>
      </c>
      <c r="Y2190">
        <v>128</v>
      </c>
      <c r="Z2190">
        <v>5</v>
      </c>
      <c r="AB2190">
        <v>2</v>
      </c>
      <c r="AC2190">
        <v>1</v>
      </c>
      <c r="AD2190">
        <v>0</v>
      </c>
      <c r="AE2190">
        <v>0</v>
      </c>
      <c r="AF2190">
        <v>0</v>
      </c>
      <c r="AG2190">
        <v>2</v>
      </c>
      <c r="AH2190">
        <v>1</v>
      </c>
      <c r="AI2190">
        <v>0</v>
      </c>
      <c r="AJ2190">
        <v>0</v>
      </c>
      <c r="AK2190">
        <v>9</v>
      </c>
      <c r="AL2190">
        <v>8</v>
      </c>
      <c r="AM2190">
        <v>0</v>
      </c>
      <c r="AN2190">
        <v>0</v>
      </c>
      <c r="AT2190" t="s">
        <v>100</v>
      </c>
      <c r="AU2190">
        <v>42</v>
      </c>
      <c r="AV2190">
        <v>378</v>
      </c>
      <c r="AW2190">
        <v>378</v>
      </c>
      <c r="AX2190">
        <v>608</v>
      </c>
      <c r="AZ2190" t="s">
        <v>101</v>
      </c>
      <c r="BA2190">
        <v>1</v>
      </c>
      <c r="BC2190" t="s">
        <v>4479</v>
      </c>
      <c r="BD2190" s="4">
        <v>43283.758912037039</v>
      </c>
      <c r="BE2190" s="4">
        <v>43283.762986111113</v>
      </c>
      <c r="BF2190" s="4">
        <v>43283.762986111113</v>
      </c>
      <c r="BG2190" t="s">
        <v>83</v>
      </c>
      <c r="BH2190" t="s">
        <v>84</v>
      </c>
      <c r="BI2190" t="s">
        <v>85</v>
      </c>
    </row>
    <row r="2191" spans="1:61" x14ac:dyDescent="0.3">
      <c r="A2191" t="str">
        <f>"202152B0100"</f>
        <v>202152B0100</v>
      </c>
      <c r="B2191" t="s">
        <v>4480</v>
      </c>
      <c r="C2191">
        <v>20</v>
      </c>
      <c r="D2191" t="s">
        <v>79</v>
      </c>
      <c r="E2191">
        <v>10</v>
      </c>
      <c r="F2191" t="s">
        <v>4190</v>
      </c>
      <c r="G2191">
        <v>2152</v>
      </c>
      <c r="H2191">
        <v>1</v>
      </c>
      <c r="I2191" t="s">
        <v>81</v>
      </c>
      <c r="J2191">
        <v>0</v>
      </c>
      <c r="K2191">
        <v>2</v>
      </c>
      <c r="L2191">
        <v>2</v>
      </c>
      <c r="M2191">
        <v>106</v>
      </c>
      <c r="N2191">
        <v>129</v>
      </c>
      <c r="O2191">
        <v>0</v>
      </c>
      <c r="P2191">
        <v>129</v>
      </c>
      <c r="Q2191">
        <v>11</v>
      </c>
      <c r="R2191">
        <v>52</v>
      </c>
      <c r="S2191">
        <v>2</v>
      </c>
      <c r="T2191">
        <v>1</v>
      </c>
      <c r="U2191">
        <v>7</v>
      </c>
      <c r="V2191">
        <v>1</v>
      </c>
      <c r="W2191">
        <v>0</v>
      </c>
      <c r="X2191">
        <v>4</v>
      </c>
      <c r="Y2191">
        <v>45</v>
      </c>
      <c r="Z2191">
        <v>0</v>
      </c>
      <c r="AB2191">
        <v>1</v>
      </c>
      <c r="AC2191">
        <v>0</v>
      </c>
      <c r="AD2191">
        <v>1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T2191">
        <v>0</v>
      </c>
      <c r="AU2191">
        <v>4</v>
      </c>
      <c r="AV2191">
        <v>129</v>
      </c>
      <c r="AW2191">
        <v>129</v>
      </c>
      <c r="AX2191">
        <v>213</v>
      </c>
      <c r="BA2191">
        <v>1</v>
      </c>
      <c r="BC2191" t="s">
        <v>4481</v>
      </c>
      <c r="BD2191" s="4">
        <v>43283.806967592594</v>
      </c>
      <c r="BE2191" s="4">
        <v>43283.809942129628</v>
      </c>
      <c r="BF2191" s="4">
        <v>43283.809942129628</v>
      </c>
      <c r="BG2191" t="s">
        <v>83</v>
      </c>
      <c r="BH2191" t="s">
        <v>84</v>
      </c>
      <c r="BI2191" t="s">
        <v>85</v>
      </c>
    </row>
    <row r="2192" spans="1:61" x14ac:dyDescent="0.3">
      <c r="A2192" t="str">
        <f>"202152E0100"</f>
        <v>202152E0100</v>
      </c>
      <c r="B2192" s="2" t="s">
        <v>4482</v>
      </c>
      <c r="C2192">
        <v>20</v>
      </c>
      <c r="D2192" t="s">
        <v>79</v>
      </c>
      <c r="E2192">
        <v>10</v>
      </c>
      <c r="F2192" t="s">
        <v>4190</v>
      </c>
      <c r="G2192">
        <v>2152</v>
      </c>
      <c r="H2192">
        <v>1</v>
      </c>
      <c r="I2192" t="s">
        <v>145</v>
      </c>
      <c r="J2192">
        <v>0</v>
      </c>
      <c r="K2192">
        <v>2</v>
      </c>
      <c r="L2192">
        <v>2</v>
      </c>
      <c r="M2192">
        <v>117</v>
      </c>
      <c r="N2192">
        <v>199</v>
      </c>
      <c r="O2192">
        <v>0</v>
      </c>
      <c r="P2192">
        <v>199</v>
      </c>
      <c r="Q2192">
        <v>9</v>
      </c>
      <c r="R2192">
        <v>103</v>
      </c>
      <c r="S2192">
        <v>3</v>
      </c>
      <c r="T2192">
        <v>1</v>
      </c>
      <c r="U2192">
        <v>2</v>
      </c>
      <c r="V2192">
        <v>1</v>
      </c>
      <c r="W2192">
        <v>1</v>
      </c>
      <c r="X2192">
        <v>0</v>
      </c>
      <c r="Y2192">
        <v>56</v>
      </c>
      <c r="Z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3</v>
      </c>
      <c r="AH2192" t="s">
        <v>315</v>
      </c>
      <c r="AI2192">
        <v>0</v>
      </c>
      <c r="AJ2192">
        <v>0</v>
      </c>
      <c r="AK2192">
        <v>3</v>
      </c>
      <c r="AL2192">
        <v>0</v>
      </c>
      <c r="AM2192">
        <v>0</v>
      </c>
      <c r="AN2192">
        <v>4</v>
      </c>
      <c r="AT2192">
        <v>0</v>
      </c>
      <c r="AU2192">
        <v>9</v>
      </c>
      <c r="AV2192">
        <v>199</v>
      </c>
      <c r="AW2192">
        <v>195</v>
      </c>
      <c r="AX2192">
        <v>294</v>
      </c>
      <c r="AZ2192" t="s">
        <v>101</v>
      </c>
      <c r="BA2192">
        <v>1</v>
      </c>
      <c r="BC2192" t="s">
        <v>4483</v>
      </c>
      <c r="BD2192" s="4">
        <v>43283.730949074074</v>
      </c>
      <c r="BE2192" s="4">
        <v>43283.737766203703</v>
      </c>
      <c r="BF2192" s="4">
        <v>43283.737766203703</v>
      </c>
      <c r="BG2192" t="s">
        <v>83</v>
      </c>
      <c r="BH2192" t="s">
        <v>84</v>
      </c>
      <c r="BI2192" t="s">
        <v>85</v>
      </c>
    </row>
    <row r="2193" spans="1:61" x14ac:dyDescent="0.3">
      <c r="A2193" t="str">
        <f>"202153B0100"</f>
        <v>202153B0100</v>
      </c>
      <c r="B2193" t="s">
        <v>4484</v>
      </c>
      <c r="C2193">
        <v>20</v>
      </c>
      <c r="D2193" t="s">
        <v>79</v>
      </c>
      <c r="E2193">
        <v>10</v>
      </c>
      <c r="F2193" t="s">
        <v>4190</v>
      </c>
      <c r="G2193">
        <v>2153</v>
      </c>
      <c r="H2193">
        <v>1</v>
      </c>
      <c r="I2193" t="s">
        <v>81</v>
      </c>
      <c r="J2193">
        <v>0</v>
      </c>
      <c r="K2193">
        <v>2</v>
      </c>
      <c r="L2193">
        <v>2</v>
      </c>
      <c r="M2193">
        <v>208</v>
      </c>
      <c r="N2193">
        <v>308</v>
      </c>
      <c r="O2193">
        <v>0</v>
      </c>
      <c r="P2193">
        <v>308</v>
      </c>
      <c r="Q2193">
        <v>20</v>
      </c>
      <c r="R2193">
        <v>85</v>
      </c>
      <c r="S2193">
        <v>9</v>
      </c>
      <c r="T2193">
        <v>5</v>
      </c>
      <c r="U2193">
        <v>21</v>
      </c>
      <c r="V2193">
        <v>2</v>
      </c>
      <c r="W2193">
        <v>0</v>
      </c>
      <c r="X2193">
        <v>2</v>
      </c>
      <c r="Y2193">
        <v>125</v>
      </c>
      <c r="Z2193">
        <v>6</v>
      </c>
      <c r="AB2193">
        <v>1</v>
      </c>
      <c r="AC2193">
        <v>0</v>
      </c>
      <c r="AD2193">
        <v>2</v>
      </c>
      <c r="AE2193">
        <v>0</v>
      </c>
      <c r="AF2193">
        <v>0</v>
      </c>
      <c r="AG2193">
        <v>4</v>
      </c>
      <c r="AH2193">
        <v>2</v>
      </c>
      <c r="AI2193">
        <v>0</v>
      </c>
      <c r="AJ2193">
        <v>0</v>
      </c>
      <c r="AK2193">
        <v>2</v>
      </c>
      <c r="AL2193">
        <v>1</v>
      </c>
      <c r="AM2193">
        <v>0</v>
      </c>
      <c r="AN2193">
        <v>3</v>
      </c>
      <c r="AT2193">
        <v>0</v>
      </c>
      <c r="AU2193">
        <v>18</v>
      </c>
      <c r="AV2193">
        <v>308</v>
      </c>
      <c r="AW2193">
        <v>308</v>
      </c>
      <c r="AX2193">
        <v>494</v>
      </c>
      <c r="BA2193">
        <v>1</v>
      </c>
      <c r="BC2193" t="s">
        <v>4485</v>
      </c>
      <c r="BD2193" s="4">
        <v>43283.733171296299</v>
      </c>
      <c r="BE2193" s="4">
        <v>43283.736805555556</v>
      </c>
      <c r="BF2193" s="4">
        <v>43283.736805555556</v>
      </c>
      <c r="BG2193" t="s">
        <v>83</v>
      </c>
      <c r="BH2193" t="s">
        <v>84</v>
      </c>
      <c r="BI2193" t="s">
        <v>85</v>
      </c>
    </row>
    <row r="2194" spans="1:61" x14ac:dyDescent="0.3">
      <c r="A2194" t="str">
        <f>"202153C0100"</f>
        <v>202153C0100</v>
      </c>
      <c r="B2194" t="s">
        <v>4486</v>
      </c>
      <c r="C2194">
        <v>20</v>
      </c>
      <c r="D2194" t="s">
        <v>79</v>
      </c>
      <c r="E2194">
        <v>10</v>
      </c>
      <c r="F2194" t="s">
        <v>4190</v>
      </c>
      <c r="G2194">
        <v>2153</v>
      </c>
      <c r="H2194">
        <v>1</v>
      </c>
      <c r="I2194" t="s">
        <v>89</v>
      </c>
      <c r="J2194">
        <v>0</v>
      </c>
      <c r="K2194">
        <v>2</v>
      </c>
      <c r="L2194">
        <v>2</v>
      </c>
      <c r="M2194">
        <v>241</v>
      </c>
      <c r="N2194">
        <v>274</v>
      </c>
      <c r="O2194">
        <v>0</v>
      </c>
      <c r="P2194">
        <v>274</v>
      </c>
      <c r="Q2194">
        <v>24</v>
      </c>
      <c r="R2194">
        <v>56</v>
      </c>
      <c r="S2194">
        <v>11</v>
      </c>
      <c r="T2194">
        <v>7</v>
      </c>
      <c r="U2194">
        <v>28</v>
      </c>
      <c r="V2194">
        <v>3</v>
      </c>
      <c r="W2194">
        <v>1</v>
      </c>
      <c r="X2194">
        <v>2</v>
      </c>
      <c r="Y2194">
        <v>110</v>
      </c>
      <c r="Z2194">
        <v>7</v>
      </c>
      <c r="AB2194">
        <v>0</v>
      </c>
      <c r="AC2194">
        <v>1</v>
      </c>
      <c r="AD2194">
        <v>0</v>
      </c>
      <c r="AE2194">
        <v>0</v>
      </c>
      <c r="AF2194">
        <v>0</v>
      </c>
      <c r="AG2194">
        <v>1</v>
      </c>
      <c r="AH2194">
        <v>1</v>
      </c>
      <c r="AI2194">
        <v>1</v>
      </c>
      <c r="AJ2194">
        <v>0</v>
      </c>
      <c r="AK2194">
        <v>6</v>
      </c>
      <c r="AL2194">
        <v>0</v>
      </c>
      <c r="AM2194">
        <v>1</v>
      </c>
      <c r="AN2194">
        <v>2</v>
      </c>
      <c r="AT2194">
        <v>0</v>
      </c>
      <c r="AU2194">
        <v>12</v>
      </c>
      <c r="AV2194">
        <v>274</v>
      </c>
      <c r="AW2194">
        <v>274</v>
      </c>
      <c r="AX2194">
        <v>493</v>
      </c>
      <c r="BA2194">
        <v>1</v>
      </c>
      <c r="BC2194" t="s">
        <v>4487</v>
      </c>
      <c r="BD2194" s="4">
        <v>43283.786122685182</v>
      </c>
      <c r="BE2194" s="4">
        <v>43283.789293981485</v>
      </c>
      <c r="BF2194" s="4">
        <v>43283.789293981485</v>
      </c>
      <c r="BG2194" t="s">
        <v>83</v>
      </c>
      <c r="BH2194" t="s">
        <v>84</v>
      </c>
      <c r="BI2194" t="s">
        <v>85</v>
      </c>
    </row>
    <row r="2195" spans="1:61" x14ac:dyDescent="0.3">
      <c r="A2195" t="str">
        <f>"202153E0100"</f>
        <v>202153E0100</v>
      </c>
      <c r="B2195" s="2" t="s">
        <v>4488</v>
      </c>
      <c r="C2195">
        <v>20</v>
      </c>
      <c r="D2195" t="s">
        <v>79</v>
      </c>
      <c r="E2195">
        <v>10</v>
      </c>
      <c r="F2195" t="s">
        <v>4190</v>
      </c>
      <c r="G2195">
        <v>2153</v>
      </c>
      <c r="H2195">
        <v>1</v>
      </c>
      <c r="I2195" t="s">
        <v>145</v>
      </c>
      <c r="J2195">
        <v>0</v>
      </c>
      <c r="K2195">
        <v>2</v>
      </c>
      <c r="L2195">
        <v>2</v>
      </c>
      <c r="M2195">
        <v>183</v>
      </c>
      <c r="N2195" t="s">
        <v>100</v>
      </c>
      <c r="O2195" t="s">
        <v>100</v>
      </c>
      <c r="P2195" t="s">
        <v>100</v>
      </c>
      <c r="Q2195">
        <v>32</v>
      </c>
      <c r="R2195">
        <v>67</v>
      </c>
      <c r="S2195">
        <v>6</v>
      </c>
      <c r="T2195">
        <v>3</v>
      </c>
      <c r="U2195">
        <v>32</v>
      </c>
      <c r="V2195">
        <v>5</v>
      </c>
      <c r="W2195">
        <v>1</v>
      </c>
      <c r="X2195">
        <v>1</v>
      </c>
      <c r="Y2195">
        <v>71</v>
      </c>
      <c r="Z2195">
        <v>4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3</v>
      </c>
      <c r="AH2195">
        <v>2</v>
      </c>
      <c r="AI2195">
        <v>0</v>
      </c>
      <c r="AJ2195">
        <v>0</v>
      </c>
      <c r="AK2195">
        <v>4</v>
      </c>
      <c r="AL2195">
        <v>0</v>
      </c>
      <c r="AM2195">
        <v>0</v>
      </c>
      <c r="AN2195">
        <v>0</v>
      </c>
      <c r="AT2195" t="s">
        <v>100</v>
      </c>
      <c r="AU2195">
        <v>9</v>
      </c>
      <c r="AV2195">
        <v>240</v>
      </c>
      <c r="AW2195">
        <v>240</v>
      </c>
      <c r="AX2195">
        <v>402</v>
      </c>
      <c r="AZ2195" t="s">
        <v>101</v>
      </c>
      <c r="BA2195">
        <v>1</v>
      </c>
      <c r="BC2195" t="s">
        <v>4489</v>
      </c>
      <c r="BD2195" s="4">
        <v>43283.779594907406</v>
      </c>
      <c r="BE2195" s="4">
        <v>43283.782719907409</v>
      </c>
      <c r="BF2195" s="4">
        <v>43283.782719907409</v>
      </c>
      <c r="BG2195" t="s">
        <v>83</v>
      </c>
      <c r="BH2195" t="s">
        <v>84</v>
      </c>
      <c r="BI2195" t="s">
        <v>85</v>
      </c>
    </row>
    <row r="2196" spans="1:61" x14ac:dyDescent="0.3">
      <c r="A2196" t="str">
        <f>"202153E0101"</f>
        <v>202153E0101</v>
      </c>
      <c r="B2196" s="2" t="s">
        <v>4490</v>
      </c>
      <c r="C2196">
        <v>20</v>
      </c>
      <c r="D2196" t="s">
        <v>79</v>
      </c>
      <c r="E2196">
        <v>10</v>
      </c>
      <c r="F2196" t="s">
        <v>4190</v>
      </c>
      <c r="G2196">
        <v>2153</v>
      </c>
      <c r="H2196">
        <v>1</v>
      </c>
      <c r="I2196" t="s">
        <v>145</v>
      </c>
      <c r="J2196">
        <v>1</v>
      </c>
      <c r="K2196">
        <v>2</v>
      </c>
      <c r="L2196">
        <v>2</v>
      </c>
      <c r="M2196">
        <v>198</v>
      </c>
      <c r="N2196" t="s">
        <v>100</v>
      </c>
      <c r="O2196" t="s">
        <v>100</v>
      </c>
      <c r="P2196" t="s">
        <v>100</v>
      </c>
      <c r="Q2196">
        <v>29</v>
      </c>
      <c r="R2196">
        <v>68</v>
      </c>
      <c r="S2196">
        <v>5</v>
      </c>
      <c r="T2196">
        <v>1</v>
      </c>
      <c r="U2196">
        <v>27</v>
      </c>
      <c r="V2196">
        <v>4</v>
      </c>
      <c r="W2196">
        <v>0</v>
      </c>
      <c r="X2196">
        <v>1</v>
      </c>
      <c r="Y2196">
        <v>67</v>
      </c>
      <c r="Z2196">
        <v>4</v>
      </c>
      <c r="AB2196">
        <v>1</v>
      </c>
      <c r="AC2196">
        <v>2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1</v>
      </c>
      <c r="AL2196">
        <v>0</v>
      </c>
      <c r="AM2196">
        <v>0</v>
      </c>
      <c r="AN2196">
        <v>1</v>
      </c>
      <c r="AT2196">
        <v>2</v>
      </c>
      <c r="AU2196">
        <v>13</v>
      </c>
      <c r="AV2196">
        <v>226</v>
      </c>
      <c r="AW2196">
        <v>226</v>
      </c>
      <c r="AX2196">
        <v>401</v>
      </c>
      <c r="BA2196">
        <v>1</v>
      </c>
      <c r="BC2196" t="s">
        <v>4491</v>
      </c>
      <c r="BD2196" s="4">
        <v>43283.757222222222</v>
      </c>
      <c r="BE2196" s="4">
        <v>43283.76221064815</v>
      </c>
      <c r="BF2196" s="4">
        <v>43283.76221064815</v>
      </c>
      <c r="BG2196" t="s">
        <v>83</v>
      </c>
      <c r="BH2196" t="s">
        <v>84</v>
      </c>
      <c r="BI2196" t="s">
        <v>85</v>
      </c>
    </row>
    <row r="2197" spans="1:61" x14ac:dyDescent="0.3">
      <c r="A2197" t="str">
        <f>"202154B0100"</f>
        <v>202154B0100</v>
      </c>
      <c r="B2197" t="s">
        <v>4492</v>
      </c>
      <c r="C2197">
        <v>20</v>
      </c>
      <c r="D2197" t="s">
        <v>79</v>
      </c>
      <c r="E2197">
        <v>10</v>
      </c>
      <c r="F2197" t="s">
        <v>4190</v>
      </c>
      <c r="G2197">
        <v>2154</v>
      </c>
      <c r="H2197">
        <v>1</v>
      </c>
      <c r="I2197" t="s">
        <v>81</v>
      </c>
      <c r="J2197">
        <v>0</v>
      </c>
      <c r="K2197">
        <v>2</v>
      </c>
      <c r="L2197">
        <v>2</v>
      </c>
      <c r="M2197">
        <v>197</v>
      </c>
      <c r="N2197">
        <v>416</v>
      </c>
      <c r="O2197">
        <v>0</v>
      </c>
      <c r="P2197">
        <v>219</v>
      </c>
      <c r="Q2197">
        <v>26</v>
      </c>
      <c r="R2197">
        <v>38</v>
      </c>
      <c r="S2197">
        <v>3</v>
      </c>
      <c r="T2197">
        <v>1</v>
      </c>
      <c r="U2197">
        <v>24</v>
      </c>
      <c r="V2197">
        <v>5</v>
      </c>
      <c r="W2197">
        <v>1</v>
      </c>
      <c r="X2197">
        <v>0</v>
      </c>
      <c r="Y2197">
        <v>90</v>
      </c>
      <c r="Z2197">
        <v>2</v>
      </c>
      <c r="AB2197">
        <v>0</v>
      </c>
      <c r="AC2197">
        <v>2</v>
      </c>
      <c r="AD2197">
        <v>1</v>
      </c>
      <c r="AE2197">
        <v>0</v>
      </c>
      <c r="AF2197">
        <v>2</v>
      </c>
      <c r="AG2197">
        <v>0</v>
      </c>
      <c r="AH2197">
        <v>2</v>
      </c>
      <c r="AI2197">
        <v>0</v>
      </c>
      <c r="AJ2197">
        <v>0</v>
      </c>
      <c r="AK2197">
        <v>3</v>
      </c>
      <c r="AL2197">
        <v>2</v>
      </c>
      <c r="AM2197">
        <v>2</v>
      </c>
      <c r="AN2197">
        <v>0</v>
      </c>
      <c r="AT2197">
        <v>0</v>
      </c>
      <c r="AU2197">
        <v>15</v>
      </c>
      <c r="AV2197">
        <v>219</v>
      </c>
      <c r="AW2197">
        <v>219</v>
      </c>
      <c r="AX2197">
        <v>394</v>
      </c>
      <c r="BA2197">
        <v>1</v>
      </c>
      <c r="BC2197" t="s">
        <v>4493</v>
      </c>
      <c r="BD2197" s="4">
        <v>43283.78733796296</v>
      </c>
      <c r="BE2197" s="4">
        <v>43283.792326388888</v>
      </c>
      <c r="BF2197" s="4">
        <v>43283.792326388888</v>
      </c>
      <c r="BG2197" t="s">
        <v>83</v>
      </c>
      <c r="BH2197" t="s">
        <v>84</v>
      </c>
      <c r="BI2197" t="s">
        <v>85</v>
      </c>
    </row>
    <row r="2198" spans="1:61" x14ac:dyDescent="0.3">
      <c r="A2198" t="str">
        <f>"202154C0100"</f>
        <v>202154C0100</v>
      </c>
      <c r="B2198" t="s">
        <v>4494</v>
      </c>
      <c r="C2198">
        <v>20</v>
      </c>
      <c r="D2198" t="s">
        <v>79</v>
      </c>
      <c r="E2198">
        <v>10</v>
      </c>
      <c r="F2198" t="s">
        <v>4190</v>
      </c>
      <c r="G2198">
        <v>2154</v>
      </c>
      <c r="H2198">
        <v>1</v>
      </c>
      <c r="I2198" t="s">
        <v>89</v>
      </c>
      <c r="J2198">
        <v>0</v>
      </c>
      <c r="K2198">
        <v>2</v>
      </c>
      <c r="L2198">
        <v>2</v>
      </c>
      <c r="M2198">
        <v>174</v>
      </c>
      <c r="N2198">
        <v>242</v>
      </c>
      <c r="O2198">
        <v>0</v>
      </c>
      <c r="P2198">
        <v>242</v>
      </c>
      <c r="Q2198">
        <v>16</v>
      </c>
      <c r="R2198">
        <v>46</v>
      </c>
      <c r="S2198">
        <v>2</v>
      </c>
      <c r="T2198">
        <v>0</v>
      </c>
      <c r="U2198">
        <v>23</v>
      </c>
      <c r="V2198">
        <v>4</v>
      </c>
      <c r="W2198">
        <v>1</v>
      </c>
      <c r="X2198">
        <v>1</v>
      </c>
      <c r="Y2198">
        <v>115</v>
      </c>
      <c r="Z2198">
        <v>3</v>
      </c>
      <c r="AB2198">
        <v>0</v>
      </c>
      <c r="AC2198">
        <v>0</v>
      </c>
      <c r="AD2198">
        <v>1</v>
      </c>
      <c r="AE2198">
        <v>0</v>
      </c>
      <c r="AF2198">
        <v>0</v>
      </c>
      <c r="AG2198">
        <v>1</v>
      </c>
      <c r="AH2198">
        <v>0</v>
      </c>
      <c r="AI2198">
        <v>0</v>
      </c>
      <c r="AJ2198">
        <v>0</v>
      </c>
      <c r="AK2198">
        <v>8</v>
      </c>
      <c r="AL2198">
        <v>7</v>
      </c>
      <c r="AM2198">
        <v>1</v>
      </c>
      <c r="AN2198">
        <v>0</v>
      </c>
      <c r="AT2198">
        <v>0</v>
      </c>
      <c r="AU2198">
        <v>12</v>
      </c>
      <c r="AV2198">
        <v>242</v>
      </c>
      <c r="AW2198">
        <v>241</v>
      </c>
      <c r="AX2198">
        <v>394</v>
      </c>
      <c r="BA2198">
        <v>1</v>
      </c>
      <c r="BC2198" t="s">
        <v>4495</v>
      </c>
      <c r="BD2198" s="4">
        <v>43283.813888888886</v>
      </c>
      <c r="BE2198" s="4">
        <v>43283.816817129627</v>
      </c>
      <c r="BF2198" s="4">
        <v>43283.816817129627</v>
      </c>
      <c r="BG2198" t="s">
        <v>83</v>
      </c>
      <c r="BH2198" t="s">
        <v>84</v>
      </c>
      <c r="BI2198" t="s">
        <v>85</v>
      </c>
    </row>
    <row r="2199" spans="1:61" x14ac:dyDescent="0.3">
      <c r="A2199" t="str">
        <f>"202154E0100"</f>
        <v>202154E0100</v>
      </c>
      <c r="B2199" s="2" t="s">
        <v>4496</v>
      </c>
      <c r="C2199">
        <v>20</v>
      </c>
      <c r="D2199" t="s">
        <v>79</v>
      </c>
      <c r="E2199">
        <v>10</v>
      </c>
      <c r="F2199" t="s">
        <v>4190</v>
      </c>
      <c r="G2199">
        <v>2154</v>
      </c>
      <c r="H2199">
        <v>1</v>
      </c>
      <c r="I2199" t="s">
        <v>145</v>
      </c>
      <c r="J2199">
        <v>0</v>
      </c>
      <c r="K2199">
        <v>2</v>
      </c>
      <c r="L2199">
        <v>2</v>
      </c>
      <c r="M2199" t="s">
        <v>100</v>
      </c>
      <c r="N2199" t="s">
        <v>100</v>
      </c>
      <c r="O2199" t="s">
        <v>100</v>
      </c>
      <c r="P2199" t="s">
        <v>100</v>
      </c>
      <c r="Q2199">
        <v>7</v>
      </c>
      <c r="R2199">
        <v>1</v>
      </c>
      <c r="S2199">
        <v>4</v>
      </c>
      <c r="T2199" t="s">
        <v>100</v>
      </c>
      <c r="U2199">
        <v>28</v>
      </c>
      <c r="V2199">
        <v>1</v>
      </c>
      <c r="W2199" t="s">
        <v>100</v>
      </c>
      <c r="X2199" t="s">
        <v>100</v>
      </c>
      <c r="Y2199">
        <v>57</v>
      </c>
      <c r="Z2199">
        <v>2</v>
      </c>
      <c r="AB2199">
        <v>2</v>
      </c>
      <c r="AC2199">
        <v>1</v>
      </c>
      <c r="AD2199">
        <v>1</v>
      </c>
      <c r="AE2199" t="s">
        <v>100</v>
      </c>
      <c r="AF2199" t="s">
        <v>100</v>
      </c>
      <c r="AG2199" t="s">
        <v>100</v>
      </c>
      <c r="AH2199" t="s">
        <v>100</v>
      </c>
      <c r="AI2199" t="s">
        <v>100</v>
      </c>
      <c r="AJ2199" t="s">
        <v>100</v>
      </c>
      <c r="AK2199">
        <v>5</v>
      </c>
      <c r="AL2199" t="s">
        <v>100</v>
      </c>
      <c r="AM2199" t="s">
        <v>100</v>
      </c>
      <c r="AN2199" t="s">
        <v>100</v>
      </c>
      <c r="AT2199" t="s">
        <v>100</v>
      </c>
      <c r="AU2199">
        <v>4</v>
      </c>
      <c r="AV2199">
        <v>113</v>
      </c>
      <c r="AW2199">
        <v>113</v>
      </c>
      <c r="AX2199">
        <v>170</v>
      </c>
      <c r="AZ2199" t="s">
        <v>101</v>
      </c>
      <c r="BA2199">
        <v>1</v>
      </c>
      <c r="BC2199" t="s">
        <v>4497</v>
      </c>
      <c r="BD2199" s="4">
        <v>43283.790185185186</v>
      </c>
      <c r="BE2199" s="4">
        <v>43283.793194444443</v>
      </c>
      <c r="BF2199" s="4">
        <v>43283.793194444443</v>
      </c>
      <c r="BG2199" t="s">
        <v>83</v>
      </c>
      <c r="BH2199" t="s">
        <v>84</v>
      </c>
      <c r="BI2199" t="s">
        <v>85</v>
      </c>
    </row>
    <row r="2200" spans="1:61" x14ac:dyDescent="0.3">
      <c r="A2200" t="str">
        <f>"202155B0100"</f>
        <v>202155B0100</v>
      </c>
      <c r="B2200" t="s">
        <v>4498</v>
      </c>
      <c r="C2200">
        <v>20</v>
      </c>
      <c r="D2200" t="s">
        <v>79</v>
      </c>
      <c r="E2200">
        <v>10</v>
      </c>
      <c r="F2200" t="s">
        <v>4190</v>
      </c>
      <c r="G2200">
        <v>2155</v>
      </c>
      <c r="H2200">
        <v>1</v>
      </c>
      <c r="I2200" t="s">
        <v>81</v>
      </c>
      <c r="J2200">
        <v>0</v>
      </c>
      <c r="K2200">
        <v>2</v>
      </c>
      <c r="L2200">
        <v>2</v>
      </c>
      <c r="M2200">
        <v>86</v>
      </c>
      <c r="N2200">
        <v>351</v>
      </c>
      <c r="O2200">
        <v>0</v>
      </c>
      <c r="P2200">
        <v>351</v>
      </c>
      <c r="Q2200">
        <v>0</v>
      </c>
      <c r="R2200">
        <v>0</v>
      </c>
      <c r="S2200">
        <v>0</v>
      </c>
      <c r="T2200">
        <v>0</v>
      </c>
      <c r="U2200">
        <v>8</v>
      </c>
      <c r="V2200">
        <v>0</v>
      </c>
      <c r="W2200">
        <v>0</v>
      </c>
      <c r="X2200">
        <v>0</v>
      </c>
      <c r="Y2200">
        <v>313</v>
      </c>
      <c r="Z2200">
        <v>0</v>
      </c>
      <c r="AB2200">
        <v>0</v>
      </c>
      <c r="AC2200" t="s">
        <v>100</v>
      </c>
      <c r="AD2200" t="s">
        <v>100</v>
      </c>
      <c r="AE2200" t="s">
        <v>100</v>
      </c>
      <c r="AF2200" t="s">
        <v>100</v>
      </c>
      <c r="AG2200" t="s">
        <v>100</v>
      </c>
      <c r="AH2200" t="s">
        <v>100</v>
      </c>
      <c r="AI2200" t="s">
        <v>100</v>
      </c>
      <c r="AJ2200" t="s">
        <v>100</v>
      </c>
      <c r="AK2200">
        <v>2</v>
      </c>
      <c r="AL2200">
        <v>3</v>
      </c>
      <c r="AM2200" t="s">
        <v>100</v>
      </c>
      <c r="AN2200" t="s">
        <v>100</v>
      </c>
      <c r="AT2200" t="s">
        <v>100</v>
      </c>
      <c r="AU2200">
        <v>25</v>
      </c>
      <c r="AV2200" t="s">
        <v>100</v>
      </c>
      <c r="AW2200">
        <v>351</v>
      </c>
      <c r="AX2200">
        <v>415</v>
      </c>
      <c r="AZ2200" t="s">
        <v>101</v>
      </c>
      <c r="BA2200">
        <v>1</v>
      </c>
      <c r="BC2200" t="s">
        <v>4499</v>
      </c>
      <c r="BD2200" s="4">
        <v>43283.786712962959</v>
      </c>
      <c r="BE2200" s="4">
        <v>43283.789421296293</v>
      </c>
      <c r="BF2200" s="4">
        <v>43283.789421296293</v>
      </c>
      <c r="BG2200" t="s">
        <v>83</v>
      </c>
      <c r="BH2200" t="s">
        <v>84</v>
      </c>
      <c r="BI2200" t="s">
        <v>85</v>
      </c>
    </row>
    <row r="2201" spans="1:61" x14ac:dyDescent="0.3">
      <c r="A2201" t="str">
        <f>"202155C0100"</f>
        <v>202155C0100</v>
      </c>
      <c r="B2201" t="s">
        <v>4500</v>
      </c>
      <c r="C2201">
        <v>20</v>
      </c>
      <c r="D2201" t="s">
        <v>79</v>
      </c>
      <c r="E2201">
        <v>10</v>
      </c>
      <c r="F2201" t="s">
        <v>4190</v>
      </c>
      <c r="G2201">
        <v>2155</v>
      </c>
      <c r="H2201">
        <v>1</v>
      </c>
      <c r="I2201" t="s">
        <v>89</v>
      </c>
      <c r="J2201">
        <v>0</v>
      </c>
      <c r="K2201">
        <v>2</v>
      </c>
      <c r="L2201">
        <v>2</v>
      </c>
      <c r="M2201">
        <v>30</v>
      </c>
      <c r="N2201">
        <v>407</v>
      </c>
      <c r="O2201">
        <v>0</v>
      </c>
      <c r="P2201">
        <v>407</v>
      </c>
      <c r="Q2201">
        <v>0</v>
      </c>
      <c r="R2201">
        <v>0</v>
      </c>
      <c r="S2201">
        <v>0</v>
      </c>
      <c r="T2201">
        <v>0</v>
      </c>
      <c r="U2201">
        <v>9</v>
      </c>
      <c r="V2201">
        <v>0</v>
      </c>
      <c r="W2201">
        <v>0</v>
      </c>
      <c r="X2201">
        <v>0</v>
      </c>
      <c r="Y2201">
        <v>369</v>
      </c>
      <c r="Z2201">
        <v>1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T2201">
        <v>0</v>
      </c>
      <c r="AU2201">
        <v>28</v>
      </c>
      <c r="AV2201">
        <v>407</v>
      </c>
      <c r="AW2201">
        <v>407</v>
      </c>
      <c r="AX2201">
        <v>415</v>
      </c>
      <c r="BA2201">
        <v>1</v>
      </c>
      <c r="BC2201" t="s">
        <v>4501</v>
      </c>
      <c r="BD2201" s="4">
        <v>43283.755347222221</v>
      </c>
      <c r="BE2201" s="4">
        <v>43283.762731481482</v>
      </c>
      <c r="BF2201" s="4">
        <v>43283.762731481482</v>
      </c>
      <c r="BG2201" t="s">
        <v>83</v>
      </c>
      <c r="BH2201" t="s">
        <v>84</v>
      </c>
      <c r="BI2201" t="s">
        <v>85</v>
      </c>
    </row>
    <row r="2202" spans="1:61" x14ac:dyDescent="0.3">
      <c r="A2202" t="str">
        <f>"202167B0100"</f>
        <v>202167B0100</v>
      </c>
      <c r="B2202" t="s">
        <v>4502</v>
      </c>
      <c r="C2202">
        <v>20</v>
      </c>
      <c r="D2202" t="s">
        <v>79</v>
      </c>
      <c r="E2202">
        <v>10</v>
      </c>
      <c r="F2202" t="s">
        <v>4190</v>
      </c>
      <c r="G2202">
        <v>2167</v>
      </c>
      <c r="H2202">
        <v>1</v>
      </c>
      <c r="I2202" t="s">
        <v>81</v>
      </c>
      <c r="J2202">
        <v>0</v>
      </c>
      <c r="K2202">
        <v>2</v>
      </c>
      <c r="L2202">
        <v>2</v>
      </c>
      <c r="M2202">
        <v>198</v>
      </c>
      <c r="N2202">
        <v>210</v>
      </c>
      <c r="O2202">
        <v>0</v>
      </c>
      <c r="P2202">
        <v>210</v>
      </c>
      <c r="Q2202">
        <v>6</v>
      </c>
      <c r="R2202">
        <v>21</v>
      </c>
      <c r="S2202">
        <v>5</v>
      </c>
      <c r="T2202">
        <v>0</v>
      </c>
      <c r="U2202">
        <v>43</v>
      </c>
      <c r="V2202">
        <v>0</v>
      </c>
      <c r="W2202">
        <v>0</v>
      </c>
      <c r="X2202">
        <v>0</v>
      </c>
      <c r="Y2202">
        <v>94</v>
      </c>
      <c r="Z2202">
        <v>8</v>
      </c>
      <c r="AB2202">
        <v>1</v>
      </c>
      <c r="AC2202">
        <v>0</v>
      </c>
      <c r="AD2202">
        <v>0</v>
      </c>
      <c r="AE2202">
        <v>0</v>
      </c>
      <c r="AF2202">
        <v>0</v>
      </c>
      <c r="AG2202">
        <v>3</v>
      </c>
      <c r="AH2202">
        <v>0</v>
      </c>
      <c r="AI2202">
        <v>0</v>
      </c>
      <c r="AJ2202">
        <v>0</v>
      </c>
      <c r="AK2202">
        <v>8</v>
      </c>
      <c r="AL2202">
        <v>1</v>
      </c>
      <c r="AM2202">
        <v>1</v>
      </c>
      <c r="AN2202">
        <v>1</v>
      </c>
      <c r="AT2202">
        <v>0</v>
      </c>
      <c r="AU2202">
        <v>18</v>
      </c>
      <c r="AV2202">
        <v>210</v>
      </c>
      <c r="AW2202">
        <v>210</v>
      </c>
      <c r="AX2202">
        <v>386</v>
      </c>
      <c r="BA2202">
        <v>1</v>
      </c>
      <c r="BC2202" t="s">
        <v>4503</v>
      </c>
      <c r="BD2202" s="4">
        <v>43283.107118055559</v>
      </c>
      <c r="BE2202" s="4">
        <v>43283.110115740739</v>
      </c>
      <c r="BF2202" s="4">
        <v>43283.110115740739</v>
      </c>
      <c r="BG2202" t="s">
        <v>83</v>
      </c>
      <c r="BH2202" t="s">
        <v>84</v>
      </c>
      <c r="BI2202" t="s">
        <v>85</v>
      </c>
    </row>
    <row r="2203" spans="1:61" x14ac:dyDescent="0.3">
      <c r="A2203" t="str">
        <f>"202167C0100"</f>
        <v>202167C0100</v>
      </c>
      <c r="B2203" t="s">
        <v>4504</v>
      </c>
      <c r="C2203">
        <v>20</v>
      </c>
      <c r="D2203" t="s">
        <v>79</v>
      </c>
      <c r="E2203">
        <v>10</v>
      </c>
      <c r="F2203" t="s">
        <v>4190</v>
      </c>
      <c r="G2203">
        <v>2167</v>
      </c>
      <c r="H2203">
        <v>1</v>
      </c>
      <c r="I2203" t="s">
        <v>89</v>
      </c>
      <c r="J2203">
        <v>0</v>
      </c>
      <c r="K2203">
        <v>2</v>
      </c>
      <c r="L2203">
        <v>2</v>
      </c>
      <c r="M2203" t="s">
        <v>315</v>
      </c>
      <c r="N2203">
        <v>230</v>
      </c>
      <c r="O2203">
        <v>0</v>
      </c>
      <c r="P2203">
        <v>230</v>
      </c>
      <c r="Q2203">
        <v>3</v>
      </c>
      <c r="R2203">
        <v>22</v>
      </c>
      <c r="S2203">
        <v>1</v>
      </c>
      <c r="T2203">
        <v>5</v>
      </c>
      <c r="U2203">
        <v>51</v>
      </c>
      <c r="V2203">
        <v>2</v>
      </c>
      <c r="W2203">
        <v>3</v>
      </c>
      <c r="X2203">
        <v>2</v>
      </c>
      <c r="Y2203">
        <v>104</v>
      </c>
      <c r="Z2203">
        <v>6</v>
      </c>
      <c r="AB2203">
        <v>1</v>
      </c>
      <c r="AC2203">
        <v>0</v>
      </c>
      <c r="AD2203">
        <v>1</v>
      </c>
      <c r="AE2203">
        <v>0</v>
      </c>
      <c r="AF2203">
        <v>0</v>
      </c>
      <c r="AG2203">
        <v>2</v>
      </c>
      <c r="AH2203">
        <v>1</v>
      </c>
      <c r="AI2203">
        <v>0</v>
      </c>
      <c r="AJ2203">
        <v>1</v>
      </c>
      <c r="AK2203">
        <v>5</v>
      </c>
      <c r="AL2203">
        <v>1</v>
      </c>
      <c r="AM2203">
        <v>0</v>
      </c>
      <c r="AN2203">
        <v>2</v>
      </c>
      <c r="AT2203">
        <v>0</v>
      </c>
      <c r="AU2203">
        <v>16</v>
      </c>
      <c r="AV2203">
        <v>230</v>
      </c>
      <c r="AW2203">
        <v>229</v>
      </c>
      <c r="AX2203">
        <v>385</v>
      </c>
      <c r="BA2203">
        <v>1</v>
      </c>
      <c r="BC2203" t="s">
        <v>4505</v>
      </c>
      <c r="BD2203" s="4">
        <v>43283.107812499999</v>
      </c>
      <c r="BE2203" s="4">
        <v>43283.123912037037</v>
      </c>
      <c r="BF2203" s="4">
        <v>43283.123912037037</v>
      </c>
      <c r="BG2203" t="s">
        <v>83</v>
      </c>
      <c r="BH2203" t="s">
        <v>84</v>
      </c>
      <c r="BI2203" t="s">
        <v>85</v>
      </c>
    </row>
    <row r="2204" spans="1:61" x14ac:dyDescent="0.3">
      <c r="A2204" t="str">
        <f>"202168B0100"</f>
        <v>202168B0100</v>
      </c>
      <c r="B2204" t="s">
        <v>4506</v>
      </c>
      <c r="C2204">
        <v>20</v>
      </c>
      <c r="D2204" t="s">
        <v>79</v>
      </c>
      <c r="E2204">
        <v>10</v>
      </c>
      <c r="F2204" t="s">
        <v>4190</v>
      </c>
      <c r="G2204">
        <v>2168</v>
      </c>
      <c r="H2204">
        <v>1</v>
      </c>
      <c r="I2204" t="s">
        <v>81</v>
      </c>
      <c r="J2204">
        <v>0</v>
      </c>
      <c r="K2204">
        <v>1</v>
      </c>
      <c r="L2204">
        <v>2</v>
      </c>
      <c r="M2204">
        <v>243</v>
      </c>
      <c r="N2204">
        <v>240</v>
      </c>
      <c r="O2204">
        <v>0</v>
      </c>
      <c r="P2204">
        <v>237</v>
      </c>
      <c r="Q2204">
        <v>5</v>
      </c>
      <c r="R2204">
        <v>28</v>
      </c>
      <c r="S2204">
        <v>5</v>
      </c>
      <c r="T2204">
        <v>2</v>
      </c>
      <c r="U2204">
        <v>43</v>
      </c>
      <c r="V2204">
        <v>4</v>
      </c>
      <c r="W2204">
        <v>3</v>
      </c>
      <c r="X2204">
        <v>7</v>
      </c>
      <c r="Y2204">
        <v>100</v>
      </c>
      <c r="Z2204">
        <v>12</v>
      </c>
      <c r="AB2204">
        <v>1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4</v>
      </c>
      <c r="AL2204">
        <v>3</v>
      </c>
      <c r="AM2204">
        <v>2</v>
      </c>
      <c r="AN2204">
        <v>3</v>
      </c>
      <c r="AT2204">
        <v>0</v>
      </c>
      <c r="AU2204">
        <v>15</v>
      </c>
      <c r="AV2204">
        <v>237</v>
      </c>
      <c r="AW2204">
        <v>237</v>
      </c>
      <c r="AX2204">
        <v>461</v>
      </c>
      <c r="BA2204">
        <v>1</v>
      </c>
      <c r="BC2204" t="s">
        <v>4507</v>
      </c>
      <c r="BD2204" s="4">
        <v>43283.113530092596</v>
      </c>
      <c r="BE2204" s="4">
        <v>43283.133831018517</v>
      </c>
      <c r="BF2204" s="4">
        <v>43283.133831018517</v>
      </c>
      <c r="BG2204" t="s">
        <v>83</v>
      </c>
      <c r="BH2204" t="s">
        <v>84</v>
      </c>
      <c r="BI2204" t="s">
        <v>85</v>
      </c>
    </row>
    <row r="2205" spans="1:61" x14ac:dyDescent="0.3">
      <c r="A2205" t="str">
        <f>"202168C0100"</f>
        <v>202168C0100</v>
      </c>
      <c r="B2205" t="s">
        <v>4508</v>
      </c>
      <c r="C2205">
        <v>20</v>
      </c>
      <c r="D2205" t="s">
        <v>79</v>
      </c>
      <c r="E2205">
        <v>10</v>
      </c>
      <c r="F2205" t="s">
        <v>4190</v>
      </c>
      <c r="G2205">
        <v>2168</v>
      </c>
      <c r="H2205">
        <v>1</v>
      </c>
      <c r="I2205" t="s">
        <v>89</v>
      </c>
      <c r="J2205">
        <v>0</v>
      </c>
      <c r="K2205">
        <v>2</v>
      </c>
      <c r="L2205">
        <v>2</v>
      </c>
      <c r="M2205" t="s">
        <v>100</v>
      </c>
      <c r="N2205" t="s">
        <v>100</v>
      </c>
      <c r="O2205" t="s">
        <v>100</v>
      </c>
      <c r="P2205" t="s">
        <v>100</v>
      </c>
      <c r="Q2205" t="s">
        <v>100</v>
      </c>
      <c r="R2205" t="s">
        <v>100</v>
      </c>
      <c r="S2205" t="s">
        <v>100</v>
      </c>
      <c r="T2205" t="s">
        <v>100</v>
      </c>
      <c r="U2205" t="s">
        <v>100</v>
      </c>
      <c r="V2205" t="s">
        <v>100</v>
      </c>
      <c r="W2205" t="s">
        <v>100</v>
      </c>
      <c r="X2205" t="s">
        <v>100</v>
      </c>
      <c r="Y2205" t="s">
        <v>100</v>
      </c>
      <c r="Z2205" t="s">
        <v>100</v>
      </c>
      <c r="AB2205" t="s">
        <v>100</v>
      </c>
      <c r="AC2205" t="s">
        <v>100</v>
      </c>
      <c r="AD2205" t="s">
        <v>100</v>
      </c>
      <c r="AE2205" t="s">
        <v>100</v>
      </c>
      <c r="AF2205" t="s">
        <v>100</v>
      </c>
      <c r="AG2205" t="s">
        <v>100</v>
      </c>
      <c r="AH2205" t="s">
        <v>100</v>
      </c>
      <c r="AI2205" t="s">
        <v>100</v>
      </c>
      <c r="AJ2205" t="s">
        <v>100</v>
      </c>
      <c r="AK2205" t="s">
        <v>100</v>
      </c>
      <c r="AL2205" t="s">
        <v>100</v>
      </c>
      <c r="AM2205" t="s">
        <v>100</v>
      </c>
      <c r="AN2205" t="s">
        <v>100</v>
      </c>
      <c r="AT2205" t="s">
        <v>100</v>
      </c>
      <c r="AU2205" t="s">
        <v>100</v>
      </c>
      <c r="AX2205">
        <v>460</v>
      </c>
      <c r="AZ2205" t="s">
        <v>794</v>
      </c>
      <c r="BA2205">
        <v>0</v>
      </c>
      <c r="BC2205" t="s">
        <v>4509</v>
      </c>
      <c r="BD2205" s="4">
        <v>43283.114432870374</v>
      </c>
      <c r="BE2205" s="4">
        <v>43283.120625000003</v>
      </c>
      <c r="BF2205" s="4">
        <v>43283.120625000003</v>
      </c>
      <c r="BG2205" t="s">
        <v>83</v>
      </c>
      <c r="BH2205" t="s">
        <v>84</v>
      </c>
      <c r="BI2205" t="s">
        <v>85</v>
      </c>
    </row>
    <row r="2206" spans="1:61" x14ac:dyDescent="0.3">
      <c r="A2206" t="str">
        <f>"202169B0100"</f>
        <v>202169B0100</v>
      </c>
      <c r="B2206" t="s">
        <v>4510</v>
      </c>
      <c r="C2206">
        <v>20</v>
      </c>
      <c r="D2206" t="s">
        <v>79</v>
      </c>
      <c r="E2206">
        <v>10</v>
      </c>
      <c r="F2206" t="s">
        <v>4190</v>
      </c>
      <c r="G2206">
        <v>2169</v>
      </c>
      <c r="H2206">
        <v>1</v>
      </c>
      <c r="I2206" t="s">
        <v>81</v>
      </c>
      <c r="J2206">
        <v>0</v>
      </c>
      <c r="K2206">
        <v>2</v>
      </c>
      <c r="L2206">
        <v>2</v>
      </c>
      <c r="M2206">
        <v>343</v>
      </c>
      <c r="N2206">
        <v>158</v>
      </c>
      <c r="O2206">
        <v>0</v>
      </c>
      <c r="P2206">
        <v>158</v>
      </c>
      <c r="Q2206">
        <v>13</v>
      </c>
      <c r="R2206">
        <v>28</v>
      </c>
      <c r="S2206">
        <v>2</v>
      </c>
      <c r="T2206">
        <v>2</v>
      </c>
      <c r="U2206">
        <v>41</v>
      </c>
      <c r="V2206">
        <v>2</v>
      </c>
      <c r="W2206">
        <v>1</v>
      </c>
      <c r="X2206">
        <v>4</v>
      </c>
      <c r="Y2206">
        <v>39</v>
      </c>
      <c r="Z2206">
        <v>1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2</v>
      </c>
      <c r="AM2206">
        <v>1</v>
      </c>
      <c r="AN2206">
        <v>0</v>
      </c>
      <c r="AT2206">
        <v>0</v>
      </c>
      <c r="AU2206">
        <v>22</v>
      </c>
      <c r="AV2206">
        <v>158</v>
      </c>
      <c r="AW2206">
        <v>158</v>
      </c>
      <c r="AX2206">
        <v>479</v>
      </c>
      <c r="BA2206">
        <v>1</v>
      </c>
      <c r="BC2206" t="s">
        <v>4511</v>
      </c>
      <c r="BD2206" s="4">
        <v>43283.162326388891</v>
      </c>
      <c r="BE2206" s="4">
        <v>43283.171770833331</v>
      </c>
      <c r="BF2206" s="4">
        <v>43283.171770833331</v>
      </c>
      <c r="BG2206" t="s">
        <v>83</v>
      </c>
      <c r="BH2206" t="s">
        <v>84</v>
      </c>
      <c r="BI2206" t="s">
        <v>85</v>
      </c>
    </row>
    <row r="2207" spans="1:61" x14ac:dyDescent="0.3">
      <c r="A2207" t="str">
        <f>"202169C0100"</f>
        <v>202169C0100</v>
      </c>
      <c r="B2207" t="s">
        <v>4512</v>
      </c>
      <c r="C2207">
        <v>20</v>
      </c>
      <c r="D2207" t="s">
        <v>79</v>
      </c>
      <c r="E2207">
        <v>10</v>
      </c>
      <c r="F2207" t="s">
        <v>4190</v>
      </c>
      <c r="G2207">
        <v>2169</v>
      </c>
      <c r="H2207">
        <v>1</v>
      </c>
      <c r="I2207" t="s">
        <v>89</v>
      </c>
      <c r="J2207">
        <v>0</v>
      </c>
      <c r="K2207">
        <v>2</v>
      </c>
      <c r="L2207">
        <v>2</v>
      </c>
      <c r="M2207">
        <v>348</v>
      </c>
      <c r="N2207" t="s">
        <v>100</v>
      </c>
      <c r="O2207">
        <v>0</v>
      </c>
      <c r="P2207">
        <v>154</v>
      </c>
      <c r="Q2207">
        <v>22</v>
      </c>
      <c r="R2207">
        <v>14</v>
      </c>
      <c r="S2207">
        <v>7</v>
      </c>
      <c r="T2207">
        <v>2</v>
      </c>
      <c r="U2207">
        <v>41</v>
      </c>
      <c r="V2207">
        <v>1</v>
      </c>
      <c r="W2207">
        <v>3</v>
      </c>
      <c r="X2207">
        <v>3</v>
      </c>
      <c r="Y2207">
        <v>37</v>
      </c>
      <c r="Z2207">
        <v>1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1</v>
      </c>
      <c r="AL2207">
        <v>0</v>
      </c>
      <c r="AM2207">
        <v>0</v>
      </c>
      <c r="AN2207">
        <v>0</v>
      </c>
      <c r="AT2207">
        <v>0</v>
      </c>
      <c r="AU2207">
        <v>18</v>
      </c>
      <c r="AV2207">
        <v>154</v>
      </c>
      <c r="AW2207">
        <v>150</v>
      </c>
      <c r="AX2207">
        <v>479</v>
      </c>
      <c r="BA2207">
        <v>1</v>
      </c>
      <c r="BC2207" t="s">
        <v>4513</v>
      </c>
      <c r="BD2207" s="4">
        <v>43283.161724537036</v>
      </c>
      <c r="BE2207" s="4">
        <v>43283.172060185185</v>
      </c>
      <c r="BF2207" s="4">
        <v>43283.172060185185</v>
      </c>
      <c r="BG2207" t="s">
        <v>83</v>
      </c>
      <c r="BH2207" t="s">
        <v>84</v>
      </c>
      <c r="BI2207" t="s">
        <v>85</v>
      </c>
    </row>
    <row r="2208" spans="1:61" x14ac:dyDescent="0.3">
      <c r="A2208" t="str">
        <f>"202170B0100"</f>
        <v>202170B0100</v>
      </c>
      <c r="B2208" t="s">
        <v>4514</v>
      </c>
      <c r="C2208">
        <v>20</v>
      </c>
      <c r="D2208" t="s">
        <v>79</v>
      </c>
      <c r="E2208">
        <v>10</v>
      </c>
      <c r="F2208" t="s">
        <v>4190</v>
      </c>
      <c r="G2208">
        <v>2170</v>
      </c>
      <c r="H2208">
        <v>1</v>
      </c>
      <c r="I2208" t="s">
        <v>81</v>
      </c>
      <c r="J2208">
        <v>0</v>
      </c>
      <c r="K2208">
        <v>2</v>
      </c>
      <c r="L2208">
        <v>2</v>
      </c>
      <c r="M2208">
        <v>237</v>
      </c>
      <c r="N2208">
        <v>185</v>
      </c>
      <c r="O2208">
        <v>0</v>
      </c>
      <c r="P2208">
        <v>0</v>
      </c>
      <c r="Q2208">
        <v>8</v>
      </c>
      <c r="R2208">
        <v>16</v>
      </c>
      <c r="S2208">
        <v>3</v>
      </c>
      <c r="T2208">
        <v>5</v>
      </c>
      <c r="U2208">
        <v>42</v>
      </c>
      <c r="V2208">
        <v>7</v>
      </c>
      <c r="W2208">
        <v>4</v>
      </c>
      <c r="X2208">
        <v>4</v>
      </c>
      <c r="Y2208">
        <v>76</v>
      </c>
      <c r="Z2208">
        <v>5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3</v>
      </c>
      <c r="AL2208">
        <v>3</v>
      </c>
      <c r="AM2208">
        <v>0</v>
      </c>
      <c r="AN2208">
        <v>2</v>
      </c>
      <c r="AT2208">
        <v>0</v>
      </c>
      <c r="AU2208">
        <v>7</v>
      </c>
      <c r="AV2208">
        <v>185</v>
      </c>
      <c r="AW2208">
        <v>185</v>
      </c>
      <c r="AX2208">
        <v>400</v>
      </c>
      <c r="BA2208">
        <v>1</v>
      </c>
      <c r="BC2208" t="s">
        <v>4515</v>
      </c>
      <c r="BD2208" s="4">
        <v>43283.114999999998</v>
      </c>
      <c r="BE2208" s="4">
        <v>43283.137199074074</v>
      </c>
      <c r="BF2208" s="4">
        <v>43283.137199074074</v>
      </c>
      <c r="BG2208" t="s">
        <v>83</v>
      </c>
      <c r="BH2208" t="s">
        <v>84</v>
      </c>
      <c r="BI2208" t="s">
        <v>85</v>
      </c>
    </row>
    <row r="2209" spans="1:61" x14ac:dyDescent="0.3">
      <c r="A2209" t="str">
        <f>"202170C0100"</f>
        <v>202170C0100</v>
      </c>
      <c r="B2209" t="s">
        <v>4516</v>
      </c>
      <c r="C2209">
        <v>20</v>
      </c>
      <c r="D2209" t="s">
        <v>79</v>
      </c>
      <c r="E2209">
        <v>10</v>
      </c>
      <c r="F2209" t="s">
        <v>4190</v>
      </c>
      <c r="G2209">
        <v>2170</v>
      </c>
      <c r="H2209">
        <v>1</v>
      </c>
      <c r="I2209" t="s">
        <v>89</v>
      </c>
      <c r="J2209">
        <v>0</v>
      </c>
      <c r="K2209">
        <v>2</v>
      </c>
      <c r="L2209">
        <v>2</v>
      </c>
      <c r="M2209">
        <v>216</v>
      </c>
      <c r="N2209">
        <v>206</v>
      </c>
      <c r="O2209">
        <v>0</v>
      </c>
      <c r="P2209">
        <v>206</v>
      </c>
      <c r="Q2209">
        <v>21</v>
      </c>
      <c r="R2209">
        <v>8</v>
      </c>
      <c r="S2209">
        <v>4</v>
      </c>
      <c r="T2209">
        <v>1</v>
      </c>
      <c r="U2209">
        <v>41</v>
      </c>
      <c r="V2209">
        <v>2</v>
      </c>
      <c r="W2209">
        <v>3</v>
      </c>
      <c r="X2209">
        <v>2</v>
      </c>
      <c r="Y2209">
        <v>104</v>
      </c>
      <c r="Z2209">
        <v>4</v>
      </c>
      <c r="AB2209">
        <v>3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T2209">
        <v>0</v>
      </c>
      <c r="AU2209">
        <v>13</v>
      </c>
      <c r="AV2209">
        <v>206</v>
      </c>
      <c r="AW2209">
        <v>206</v>
      </c>
      <c r="AX2209">
        <v>400</v>
      </c>
      <c r="BA2209">
        <v>1</v>
      </c>
      <c r="BC2209" t="s">
        <v>4517</v>
      </c>
      <c r="BD2209" s="4">
        <v>43283.115578703706</v>
      </c>
      <c r="BE2209" s="4">
        <v>43283.120474537034</v>
      </c>
      <c r="BF2209" s="4">
        <v>43283.120474537034</v>
      </c>
      <c r="BG2209" t="s">
        <v>83</v>
      </c>
      <c r="BH2209" t="s">
        <v>84</v>
      </c>
      <c r="BI2209" t="s">
        <v>85</v>
      </c>
    </row>
    <row r="2210" spans="1:61" x14ac:dyDescent="0.3">
      <c r="A2210" t="str">
        <f>"202231B0100"</f>
        <v>202231B0100</v>
      </c>
      <c r="B2210" t="s">
        <v>4518</v>
      </c>
      <c r="C2210">
        <v>20</v>
      </c>
      <c r="D2210" t="s">
        <v>79</v>
      </c>
      <c r="E2210">
        <v>10</v>
      </c>
      <c r="F2210" t="s">
        <v>4190</v>
      </c>
      <c r="G2210">
        <v>2231</v>
      </c>
      <c r="H2210">
        <v>1</v>
      </c>
      <c r="I2210" t="s">
        <v>81</v>
      </c>
      <c r="J2210">
        <v>0</v>
      </c>
      <c r="K2210">
        <v>2</v>
      </c>
      <c r="L2210">
        <v>2</v>
      </c>
      <c r="M2210">
        <v>402</v>
      </c>
      <c r="N2210">
        <v>355</v>
      </c>
      <c r="O2210">
        <v>1</v>
      </c>
      <c r="P2210">
        <v>355</v>
      </c>
      <c r="Q2210">
        <v>22</v>
      </c>
      <c r="R2210">
        <v>51</v>
      </c>
      <c r="S2210">
        <v>5</v>
      </c>
      <c r="T2210">
        <v>9</v>
      </c>
      <c r="U2210">
        <v>54</v>
      </c>
      <c r="V2210">
        <v>7</v>
      </c>
      <c r="W2210">
        <v>8</v>
      </c>
      <c r="X2210">
        <v>11</v>
      </c>
      <c r="Y2210">
        <v>147</v>
      </c>
      <c r="Z2210">
        <v>7</v>
      </c>
      <c r="AB2210">
        <v>3</v>
      </c>
      <c r="AC2210" t="s">
        <v>100</v>
      </c>
      <c r="AD2210" t="s">
        <v>100</v>
      </c>
      <c r="AE2210" t="s">
        <v>100</v>
      </c>
      <c r="AF2210" t="s">
        <v>100</v>
      </c>
      <c r="AG2210">
        <v>1</v>
      </c>
      <c r="AH2210">
        <v>1</v>
      </c>
      <c r="AI2210" t="s">
        <v>100</v>
      </c>
      <c r="AJ2210" t="s">
        <v>100</v>
      </c>
      <c r="AK2210">
        <v>2</v>
      </c>
      <c r="AL2210">
        <v>4</v>
      </c>
      <c r="AM2210">
        <v>1</v>
      </c>
      <c r="AN2210" t="s">
        <v>100</v>
      </c>
      <c r="AT2210" t="s">
        <v>100</v>
      </c>
      <c r="AU2210">
        <v>22</v>
      </c>
      <c r="AV2210">
        <v>355</v>
      </c>
      <c r="AW2210">
        <v>355</v>
      </c>
      <c r="AX2210">
        <v>735</v>
      </c>
      <c r="AZ2210" t="s">
        <v>101</v>
      </c>
      <c r="BA2210">
        <v>1</v>
      </c>
      <c r="BC2210" t="s">
        <v>4519</v>
      </c>
      <c r="BD2210" s="4">
        <v>43283.105092592596</v>
      </c>
      <c r="BE2210" s="4">
        <v>43283.107662037037</v>
      </c>
      <c r="BF2210" s="4">
        <v>43283.107662037037</v>
      </c>
      <c r="BG2210" t="s">
        <v>83</v>
      </c>
      <c r="BH2210" t="s">
        <v>84</v>
      </c>
      <c r="BI2210" t="s">
        <v>85</v>
      </c>
    </row>
    <row r="2211" spans="1:61" x14ac:dyDescent="0.3">
      <c r="A2211" t="str">
        <f>"202231C0100"</f>
        <v>202231C0100</v>
      </c>
      <c r="B2211" t="s">
        <v>4520</v>
      </c>
      <c r="C2211">
        <v>20</v>
      </c>
      <c r="D2211" t="s">
        <v>79</v>
      </c>
      <c r="E2211">
        <v>10</v>
      </c>
      <c r="F2211" t="s">
        <v>4190</v>
      </c>
      <c r="G2211">
        <v>2231</v>
      </c>
      <c r="H2211">
        <v>1</v>
      </c>
      <c r="I2211" t="s">
        <v>89</v>
      </c>
      <c r="J2211">
        <v>0</v>
      </c>
      <c r="K2211">
        <v>2</v>
      </c>
      <c r="L2211">
        <v>2</v>
      </c>
      <c r="M2211">
        <v>421</v>
      </c>
      <c r="N2211">
        <v>335</v>
      </c>
      <c r="O2211">
        <v>0</v>
      </c>
      <c r="P2211">
        <v>335</v>
      </c>
      <c r="Q2211">
        <v>20</v>
      </c>
      <c r="R2211">
        <v>50</v>
      </c>
      <c r="S2211">
        <v>12</v>
      </c>
      <c r="T2211">
        <v>3</v>
      </c>
      <c r="U2211">
        <v>52</v>
      </c>
      <c r="V2211">
        <v>2</v>
      </c>
      <c r="W2211">
        <v>3</v>
      </c>
      <c r="X2211">
        <v>7</v>
      </c>
      <c r="Y2211">
        <v>148</v>
      </c>
      <c r="Z2211">
        <v>11</v>
      </c>
      <c r="AB2211">
        <v>2</v>
      </c>
      <c r="AC2211">
        <v>0</v>
      </c>
      <c r="AD2211">
        <v>0</v>
      </c>
      <c r="AE2211">
        <v>1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2</v>
      </c>
      <c r="AL2211">
        <v>0</v>
      </c>
      <c r="AM2211">
        <v>0</v>
      </c>
      <c r="AN2211">
        <v>2</v>
      </c>
      <c r="AT2211">
        <v>3</v>
      </c>
      <c r="AU2211">
        <v>17</v>
      </c>
      <c r="AV2211">
        <v>335</v>
      </c>
      <c r="AW2211">
        <v>335</v>
      </c>
      <c r="AX2211">
        <v>734</v>
      </c>
      <c r="BA2211">
        <v>1</v>
      </c>
      <c r="BC2211" t="s">
        <v>4521</v>
      </c>
      <c r="BD2211" s="4">
        <v>43283.104166666664</v>
      </c>
      <c r="BE2211" s="4">
        <v>43283.108217592591</v>
      </c>
      <c r="BF2211" s="4">
        <v>43283.108217592591</v>
      </c>
      <c r="BG2211" t="s">
        <v>83</v>
      </c>
      <c r="BH2211" t="s">
        <v>84</v>
      </c>
      <c r="BI2211" t="s">
        <v>85</v>
      </c>
    </row>
    <row r="2212" spans="1:61" x14ac:dyDescent="0.3">
      <c r="A2212" t="str">
        <f>"202231C0200"</f>
        <v>202231C0200</v>
      </c>
      <c r="B2212" t="s">
        <v>4522</v>
      </c>
      <c r="C2212">
        <v>20</v>
      </c>
      <c r="D2212" t="s">
        <v>79</v>
      </c>
      <c r="E2212">
        <v>10</v>
      </c>
      <c r="F2212" t="s">
        <v>4190</v>
      </c>
      <c r="G2212">
        <v>2231</v>
      </c>
      <c r="H2212">
        <v>2</v>
      </c>
      <c r="I2212" t="s">
        <v>89</v>
      </c>
      <c r="J2212">
        <v>0</v>
      </c>
      <c r="K2212">
        <v>2</v>
      </c>
      <c r="L2212">
        <v>2</v>
      </c>
      <c r="M2212">
        <v>375</v>
      </c>
      <c r="N2212">
        <v>381</v>
      </c>
      <c r="O2212">
        <v>1</v>
      </c>
      <c r="P2212">
        <v>381</v>
      </c>
      <c r="Q2212">
        <v>18</v>
      </c>
      <c r="R2212">
        <v>51</v>
      </c>
      <c r="S2212">
        <v>11</v>
      </c>
      <c r="T2212">
        <v>3</v>
      </c>
      <c r="U2212">
        <v>39</v>
      </c>
      <c r="V2212">
        <v>8</v>
      </c>
      <c r="W2212">
        <v>5</v>
      </c>
      <c r="X2212">
        <v>10</v>
      </c>
      <c r="Y2212">
        <v>197</v>
      </c>
      <c r="Z2212">
        <v>12</v>
      </c>
      <c r="AB2212">
        <v>1</v>
      </c>
      <c r="AC2212">
        <v>0</v>
      </c>
      <c r="AD2212">
        <v>0</v>
      </c>
      <c r="AE2212">
        <v>0</v>
      </c>
      <c r="AF2212">
        <v>0</v>
      </c>
      <c r="AG2212">
        <v>1</v>
      </c>
      <c r="AH2212">
        <v>0</v>
      </c>
      <c r="AI2212">
        <v>0</v>
      </c>
      <c r="AJ2212">
        <v>0</v>
      </c>
      <c r="AK2212">
        <v>4</v>
      </c>
      <c r="AL2212">
        <v>2</v>
      </c>
      <c r="AM2212">
        <v>0</v>
      </c>
      <c r="AN2212">
        <v>0</v>
      </c>
      <c r="AT2212">
        <v>2</v>
      </c>
      <c r="AU2212">
        <v>18</v>
      </c>
      <c r="AV2212" t="s">
        <v>100</v>
      </c>
      <c r="AW2212">
        <v>382</v>
      </c>
      <c r="AX2212">
        <v>734</v>
      </c>
      <c r="BA2212">
        <v>1</v>
      </c>
      <c r="BC2212" t="s">
        <v>4523</v>
      </c>
      <c r="BD2212" s="4">
        <v>43283.102303240739</v>
      </c>
      <c r="BE2212" s="4">
        <v>43283.106620370374</v>
      </c>
      <c r="BF2212" s="4">
        <v>43283.106620370374</v>
      </c>
      <c r="BG2212" t="s">
        <v>83</v>
      </c>
      <c r="BH2212" t="s">
        <v>84</v>
      </c>
      <c r="BI2212" t="s">
        <v>85</v>
      </c>
    </row>
    <row r="2213" spans="1:61" x14ac:dyDescent="0.3">
      <c r="A2213" t="str">
        <f>"202232B0100"</f>
        <v>202232B0100</v>
      </c>
      <c r="B2213" t="s">
        <v>4524</v>
      </c>
      <c r="C2213">
        <v>20</v>
      </c>
      <c r="D2213" t="s">
        <v>79</v>
      </c>
      <c r="E2213">
        <v>10</v>
      </c>
      <c r="F2213" t="s">
        <v>4190</v>
      </c>
      <c r="G2213">
        <v>2232</v>
      </c>
      <c r="H2213">
        <v>1</v>
      </c>
      <c r="I2213" t="s">
        <v>81</v>
      </c>
      <c r="J2213">
        <v>0</v>
      </c>
      <c r="K2213">
        <v>2</v>
      </c>
      <c r="L2213">
        <v>2</v>
      </c>
      <c r="AX2213">
        <v>509</v>
      </c>
      <c r="AZ2213" t="s">
        <v>156</v>
      </c>
      <c r="BA2213">
        <v>0</v>
      </c>
      <c r="BC2213" t="s">
        <v>4525</v>
      </c>
      <c r="BD2213" s="4">
        <v>43283.822916666664</v>
      </c>
      <c r="BE2213" s="4">
        <v>43283.832060185188</v>
      </c>
      <c r="BF2213" s="4">
        <v>43283.832060185188</v>
      </c>
      <c r="BG2213" t="s">
        <v>83</v>
      </c>
      <c r="BH2213" t="s">
        <v>84</v>
      </c>
      <c r="BI2213" t="s">
        <v>85</v>
      </c>
    </row>
    <row r="2214" spans="1:61" x14ac:dyDescent="0.3">
      <c r="A2214" t="str">
        <f>"202232C0100"</f>
        <v>202232C0100</v>
      </c>
      <c r="B2214" t="s">
        <v>4526</v>
      </c>
      <c r="C2214">
        <v>20</v>
      </c>
      <c r="D2214" t="s">
        <v>79</v>
      </c>
      <c r="E2214">
        <v>10</v>
      </c>
      <c r="F2214" t="s">
        <v>4190</v>
      </c>
      <c r="G2214">
        <v>2232</v>
      </c>
      <c r="H2214">
        <v>1</v>
      </c>
      <c r="I2214" t="s">
        <v>89</v>
      </c>
      <c r="J2214">
        <v>0</v>
      </c>
      <c r="K2214">
        <v>2</v>
      </c>
      <c r="L2214">
        <v>2</v>
      </c>
      <c r="M2214">
        <v>320</v>
      </c>
      <c r="N2214">
        <v>211</v>
      </c>
      <c r="O2214">
        <v>1</v>
      </c>
      <c r="P2214">
        <v>211</v>
      </c>
      <c r="Q2214">
        <v>12</v>
      </c>
      <c r="R2214">
        <v>31</v>
      </c>
      <c r="S2214">
        <v>5</v>
      </c>
      <c r="T2214">
        <v>7</v>
      </c>
      <c r="U2214">
        <v>41</v>
      </c>
      <c r="V2214">
        <v>4</v>
      </c>
      <c r="W2214">
        <v>1</v>
      </c>
      <c r="X2214">
        <v>7</v>
      </c>
      <c r="Y2214">
        <v>76</v>
      </c>
      <c r="Z2214">
        <v>2</v>
      </c>
      <c r="AB2214">
        <v>1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1</v>
      </c>
      <c r="AL2214">
        <v>3</v>
      </c>
      <c r="AM2214">
        <v>1</v>
      </c>
      <c r="AN2214">
        <v>2</v>
      </c>
      <c r="AT2214" t="s">
        <v>100</v>
      </c>
      <c r="AU2214">
        <v>17</v>
      </c>
      <c r="AV2214">
        <v>211</v>
      </c>
      <c r="AW2214">
        <v>211</v>
      </c>
      <c r="AX2214">
        <v>509</v>
      </c>
      <c r="AZ2214" t="s">
        <v>101</v>
      </c>
      <c r="BA2214">
        <v>1</v>
      </c>
      <c r="BC2214" t="s">
        <v>4527</v>
      </c>
      <c r="BD2214" s="4">
        <v>43283.103576388887</v>
      </c>
      <c r="BE2214" s="4">
        <v>43283.106377314813</v>
      </c>
      <c r="BF2214" s="4">
        <v>43283.106377314813</v>
      </c>
      <c r="BG2214" t="s">
        <v>83</v>
      </c>
      <c r="BH2214" t="s">
        <v>84</v>
      </c>
      <c r="BI2214" t="s">
        <v>85</v>
      </c>
    </row>
    <row r="2215" spans="1:61" x14ac:dyDescent="0.3">
      <c r="A2215" t="str">
        <f>"202233B0100"</f>
        <v>202233B0100</v>
      </c>
      <c r="B2215" t="s">
        <v>4528</v>
      </c>
      <c r="C2215">
        <v>20</v>
      </c>
      <c r="D2215" t="s">
        <v>79</v>
      </c>
      <c r="E2215">
        <v>10</v>
      </c>
      <c r="F2215" t="s">
        <v>4190</v>
      </c>
      <c r="G2215">
        <v>2233</v>
      </c>
      <c r="H2215">
        <v>1</v>
      </c>
      <c r="I2215" t="s">
        <v>81</v>
      </c>
      <c r="J2215">
        <v>0</v>
      </c>
      <c r="K2215">
        <v>2</v>
      </c>
      <c r="L2215">
        <v>2</v>
      </c>
      <c r="M2215">
        <v>215</v>
      </c>
      <c r="N2215">
        <v>186</v>
      </c>
      <c r="O2215">
        <v>0</v>
      </c>
      <c r="P2215">
        <v>186</v>
      </c>
      <c r="Q2215">
        <v>9</v>
      </c>
      <c r="R2215">
        <v>17</v>
      </c>
      <c r="S2215">
        <v>5</v>
      </c>
      <c r="T2215">
        <v>3</v>
      </c>
      <c r="U2215">
        <v>41</v>
      </c>
      <c r="V2215">
        <v>1</v>
      </c>
      <c r="W2215">
        <v>1</v>
      </c>
      <c r="X2215">
        <v>3</v>
      </c>
      <c r="Y2215">
        <v>87</v>
      </c>
      <c r="Z2215">
        <v>2</v>
      </c>
      <c r="AB2215" t="s">
        <v>100</v>
      </c>
      <c r="AC2215">
        <v>1</v>
      </c>
      <c r="AD2215">
        <v>1</v>
      </c>
      <c r="AE2215" t="s">
        <v>100</v>
      </c>
      <c r="AF2215" t="s">
        <v>100</v>
      </c>
      <c r="AG2215" t="s">
        <v>100</v>
      </c>
      <c r="AH2215" t="s">
        <v>100</v>
      </c>
      <c r="AI2215">
        <v>1</v>
      </c>
      <c r="AJ2215" t="s">
        <v>100</v>
      </c>
      <c r="AK2215" t="s">
        <v>100</v>
      </c>
      <c r="AL2215">
        <v>1</v>
      </c>
      <c r="AM2215" t="s">
        <v>100</v>
      </c>
      <c r="AN2215" t="s">
        <v>100</v>
      </c>
      <c r="AT2215" t="s">
        <v>100</v>
      </c>
      <c r="AU2215">
        <v>13</v>
      </c>
      <c r="AV2215">
        <v>186</v>
      </c>
      <c r="AW2215">
        <v>186</v>
      </c>
      <c r="AX2215">
        <v>379</v>
      </c>
      <c r="AZ2215" t="s">
        <v>101</v>
      </c>
      <c r="BA2215">
        <v>1</v>
      </c>
      <c r="BC2215" t="s">
        <v>4529</v>
      </c>
      <c r="BD2215" s="4">
        <v>43283.102939814817</v>
      </c>
      <c r="BE2215" s="4">
        <v>43283.106099537035</v>
      </c>
      <c r="BF2215" s="4">
        <v>43283.106099537035</v>
      </c>
      <c r="BG2215" t="s">
        <v>83</v>
      </c>
      <c r="BH2215" t="s">
        <v>84</v>
      </c>
      <c r="BI2215" t="s">
        <v>85</v>
      </c>
    </row>
    <row r="2216" spans="1:61" x14ac:dyDescent="0.3">
      <c r="A2216" t="str">
        <f>"202311B0100"</f>
        <v>202311B0100</v>
      </c>
      <c r="B2216" t="s">
        <v>4530</v>
      </c>
      <c r="C2216">
        <v>20</v>
      </c>
      <c r="D2216" t="s">
        <v>79</v>
      </c>
      <c r="E2216">
        <v>10</v>
      </c>
      <c r="F2216" t="s">
        <v>4190</v>
      </c>
      <c r="G2216">
        <v>2311</v>
      </c>
      <c r="H2216">
        <v>1</v>
      </c>
      <c r="I2216" t="s">
        <v>81</v>
      </c>
      <c r="J2216">
        <v>0</v>
      </c>
      <c r="K2216">
        <v>2</v>
      </c>
      <c r="L2216">
        <v>2</v>
      </c>
      <c r="M2216">
        <v>349</v>
      </c>
      <c r="N2216">
        <v>592</v>
      </c>
      <c r="O2216">
        <v>0</v>
      </c>
      <c r="P2216">
        <v>243</v>
      </c>
      <c r="Q2216">
        <v>10</v>
      </c>
      <c r="R2216">
        <v>4</v>
      </c>
      <c r="S2216">
        <v>13</v>
      </c>
      <c r="T2216">
        <v>2</v>
      </c>
      <c r="U2216">
        <v>61</v>
      </c>
      <c r="V2216">
        <v>2</v>
      </c>
      <c r="W2216">
        <v>3</v>
      </c>
      <c r="X2216">
        <v>1</v>
      </c>
      <c r="Y2216">
        <v>121</v>
      </c>
      <c r="Z2216">
        <v>2</v>
      </c>
      <c r="AB2216">
        <v>1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4</v>
      </c>
      <c r="AL2216">
        <v>0</v>
      </c>
      <c r="AM2216">
        <v>0</v>
      </c>
      <c r="AN2216">
        <v>0</v>
      </c>
      <c r="AT2216">
        <v>0</v>
      </c>
      <c r="AU2216">
        <v>19</v>
      </c>
      <c r="AV2216">
        <v>243</v>
      </c>
      <c r="AW2216">
        <v>243</v>
      </c>
      <c r="AX2216">
        <v>570</v>
      </c>
      <c r="BA2216">
        <v>1</v>
      </c>
      <c r="BC2216" t="s">
        <v>4531</v>
      </c>
      <c r="BD2216" s="4">
        <v>43283.072685185187</v>
      </c>
      <c r="BE2216" s="4">
        <v>43283.076377314814</v>
      </c>
      <c r="BF2216" s="4">
        <v>43283.076377314814</v>
      </c>
      <c r="BG2216" t="s">
        <v>83</v>
      </c>
      <c r="BH2216" t="s">
        <v>84</v>
      </c>
      <c r="BI2216" t="s">
        <v>85</v>
      </c>
    </row>
    <row r="2217" spans="1:61" x14ac:dyDescent="0.3">
      <c r="A2217" t="str">
        <f>"202311C0100"</f>
        <v>202311C0100</v>
      </c>
      <c r="B2217" t="s">
        <v>4532</v>
      </c>
      <c r="C2217">
        <v>20</v>
      </c>
      <c r="D2217" t="s">
        <v>79</v>
      </c>
      <c r="E2217">
        <v>10</v>
      </c>
      <c r="F2217" t="s">
        <v>4190</v>
      </c>
      <c r="G2217">
        <v>2311</v>
      </c>
      <c r="H2217">
        <v>1</v>
      </c>
      <c r="I2217" t="s">
        <v>89</v>
      </c>
      <c r="J2217">
        <v>0</v>
      </c>
      <c r="K2217">
        <v>2</v>
      </c>
      <c r="L2217">
        <v>2</v>
      </c>
      <c r="M2217" t="s">
        <v>100</v>
      </c>
      <c r="N2217" t="s">
        <v>100</v>
      </c>
      <c r="O2217" t="s">
        <v>100</v>
      </c>
      <c r="P2217" t="s">
        <v>100</v>
      </c>
      <c r="Q2217" t="s">
        <v>100</v>
      </c>
      <c r="R2217" t="s">
        <v>100</v>
      </c>
      <c r="S2217" t="s">
        <v>100</v>
      </c>
      <c r="T2217" t="s">
        <v>100</v>
      </c>
      <c r="U2217" t="s">
        <v>100</v>
      </c>
      <c r="V2217" t="s">
        <v>100</v>
      </c>
      <c r="W2217" t="s">
        <v>100</v>
      </c>
      <c r="X2217" t="s">
        <v>100</v>
      </c>
      <c r="Y2217" t="s">
        <v>100</v>
      </c>
      <c r="Z2217" t="s">
        <v>100</v>
      </c>
      <c r="AB2217" t="s">
        <v>100</v>
      </c>
      <c r="AC2217" t="s">
        <v>100</v>
      </c>
      <c r="AD2217" t="s">
        <v>100</v>
      </c>
      <c r="AE2217" t="s">
        <v>100</v>
      </c>
      <c r="AF2217" t="s">
        <v>100</v>
      </c>
      <c r="AG2217" t="s">
        <v>100</v>
      </c>
      <c r="AH2217" t="s">
        <v>100</v>
      </c>
      <c r="AI2217" t="s">
        <v>100</v>
      </c>
      <c r="AJ2217" t="s">
        <v>100</v>
      </c>
      <c r="AK2217" t="s">
        <v>100</v>
      </c>
      <c r="AL2217" t="s">
        <v>100</v>
      </c>
      <c r="AM2217" t="s">
        <v>100</v>
      </c>
      <c r="AN2217" t="s">
        <v>100</v>
      </c>
      <c r="AT2217" t="s">
        <v>100</v>
      </c>
      <c r="AU2217" t="s">
        <v>100</v>
      </c>
      <c r="AX2217">
        <v>570</v>
      </c>
      <c r="AZ2217" t="s">
        <v>794</v>
      </c>
      <c r="BA2217">
        <v>0</v>
      </c>
      <c r="BC2217" t="s">
        <v>4533</v>
      </c>
      <c r="BD2217" s="4">
        <v>43283.083240740743</v>
      </c>
      <c r="BE2217" s="4">
        <v>43283.087604166663</v>
      </c>
      <c r="BF2217" s="4">
        <v>43283.087604166663</v>
      </c>
      <c r="BG2217" t="s">
        <v>83</v>
      </c>
      <c r="BH2217" t="s">
        <v>84</v>
      </c>
      <c r="BI2217" t="s">
        <v>85</v>
      </c>
    </row>
    <row r="2218" spans="1:61" x14ac:dyDescent="0.3">
      <c r="A2218" t="str">
        <f>"202311C0200"</f>
        <v>202311C0200</v>
      </c>
      <c r="B2218" t="s">
        <v>4534</v>
      </c>
      <c r="C2218">
        <v>20</v>
      </c>
      <c r="D2218" t="s">
        <v>79</v>
      </c>
      <c r="E2218">
        <v>10</v>
      </c>
      <c r="F2218" t="s">
        <v>4190</v>
      </c>
      <c r="G2218">
        <v>2311</v>
      </c>
      <c r="H2218">
        <v>2</v>
      </c>
      <c r="I2218" t="s">
        <v>89</v>
      </c>
      <c r="J2218">
        <v>0</v>
      </c>
      <c r="K2218">
        <v>2</v>
      </c>
      <c r="L2218">
        <v>2</v>
      </c>
      <c r="AX2218">
        <v>569</v>
      </c>
      <c r="AZ2218" t="s">
        <v>156</v>
      </c>
      <c r="BA2218">
        <v>0</v>
      </c>
      <c r="BC2218" t="s">
        <v>4535</v>
      </c>
      <c r="BD2218" s="4">
        <v>43283.825694444444</v>
      </c>
      <c r="BE2218" s="4">
        <v>43283.827615740738</v>
      </c>
      <c r="BF2218" s="4">
        <v>43283.827615740738</v>
      </c>
      <c r="BG2218" t="s">
        <v>83</v>
      </c>
      <c r="BH2218" t="s">
        <v>84</v>
      </c>
      <c r="BI2218" t="s">
        <v>85</v>
      </c>
    </row>
    <row r="2219" spans="1:61" x14ac:dyDescent="0.3">
      <c r="A2219" t="str">
        <f>"202312B0100"</f>
        <v>202312B0100</v>
      </c>
      <c r="B2219" t="s">
        <v>4536</v>
      </c>
      <c r="C2219">
        <v>20</v>
      </c>
      <c r="D2219" t="s">
        <v>79</v>
      </c>
      <c r="E2219">
        <v>10</v>
      </c>
      <c r="F2219" t="s">
        <v>4190</v>
      </c>
      <c r="G2219">
        <v>2312</v>
      </c>
      <c r="H2219">
        <v>1</v>
      </c>
      <c r="I2219" t="s">
        <v>81</v>
      </c>
      <c r="J2219">
        <v>0</v>
      </c>
      <c r="K2219">
        <v>1</v>
      </c>
      <c r="L2219">
        <v>2</v>
      </c>
      <c r="M2219">
        <v>315</v>
      </c>
      <c r="N2219" t="s">
        <v>100</v>
      </c>
      <c r="O2219" t="s">
        <v>100</v>
      </c>
      <c r="P2219">
        <v>266</v>
      </c>
      <c r="Q2219">
        <v>9</v>
      </c>
      <c r="R2219">
        <v>11</v>
      </c>
      <c r="S2219">
        <v>11</v>
      </c>
      <c r="T2219">
        <v>4</v>
      </c>
      <c r="U2219">
        <v>56</v>
      </c>
      <c r="V2219">
        <v>7</v>
      </c>
      <c r="W2219" t="s">
        <v>100</v>
      </c>
      <c r="X2219">
        <v>2</v>
      </c>
      <c r="Y2219">
        <v>147</v>
      </c>
      <c r="Z2219" t="s">
        <v>100</v>
      </c>
      <c r="AB2219" t="s">
        <v>100</v>
      </c>
      <c r="AC2219" t="s">
        <v>100</v>
      </c>
      <c r="AD2219" t="s">
        <v>100</v>
      </c>
      <c r="AE2219" t="s">
        <v>100</v>
      </c>
      <c r="AF2219" t="s">
        <v>100</v>
      </c>
      <c r="AG2219" t="s">
        <v>100</v>
      </c>
      <c r="AH2219">
        <v>1</v>
      </c>
      <c r="AI2219" t="s">
        <v>100</v>
      </c>
      <c r="AJ2219">
        <v>2</v>
      </c>
      <c r="AK2219">
        <v>5</v>
      </c>
      <c r="AL2219">
        <v>5</v>
      </c>
      <c r="AM2219" t="s">
        <v>100</v>
      </c>
      <c r="AN2219">
        <v>3</v>
      </c>
      <c r="AT2219" t="s">
        <v>100</v>
      </c>
      <c r="AU2219">
        <v>8</v>
      </c>
      <c r="AV2219">
        <v>266</v>
      </c>
      <c r="AW2219">
        <v>271</v>
      </c>
      <c r="AX2219">
        <v>560</v>
      </c>
      <c r="AZ2219" t="s">
        <v>101</v>
      </c>
      <c r="BA2219">
        <v>1</v>
      </c>
      <c r="BC2219" t="s">
        <v>4537</v>
      </c>
      <c r="BD2219" s="4">
        <v>43283.073923611111</v>
      </c>
      <c r="BE2219" s="4">
        <v>43283.078645833331</v>
      </c>
      <c r="BF2219" s="4">
        <v>43283.078645833331</v>
      </c>
      <c r="BG2219" t="s">
        <v>83</v>
      </c>
      <c r="BH2219" t="s">
        <v>84</v>
      </c>
      <c r="BI2219" t="s">
        <v>85</v>
      </c>
    </row>
    <row r="2220" spans="1:61" x14ac:dyDescent="0.3">
      <c r="A2220" t="str">
        <f>"202312C0100"</f>
        <v>202312C0100</v>
      </c>
      <c r="B2220" t="s">
        <v>4538</v>
      </c>
      <c r="C2220">
        <v>20</v>
      </c>
      <c r="D2220" t="s">
        <v>79</v>
      </c>
      <c r="E2220">
        <v>10</v>
      </c>
      <c r="F2220" t="s">
        <v>4190</v>
      </c>
      <c r="G2220">
        <v>2312</v>
      </c>
      <c r="H2220">
        <v>1</v>
      </c>
      <c r="I2220" t="s">
        <v>89</v>
      </c>
      <c r="J2220">
        <v>0</v>
      </c>
      <c r="K2220">
        <v>1</v>
      </c>
      <c r="L2220">
        <v>2</v>
      </c>
      <c r="M2220">
        <v>346</v>
      </c>
      <c r="N2220">
        <v>235</v>
      </c>
      <c r="O2220">
        <v>0</v>
      </c>
      <c r="P2220">
        <v>235</v>
      </c>
      <c r="Q2220">
        <v>10</v>
      </c>
      <c r="R2220">
        <v>14</v>
      </c>
      <c r="S2220">
        <v>12</v>
      </c>
      <c r="T2220">
        <v>5</v>
      </c>
      <c r="U2220">
        <v>38</v>
      </c>
      <c r="V2220">
        <v>1</v>
      </c>
      <c r="W2220">
        <v>1</v>
      </c>
      <c r="X2220">
        <v>3</v>
      </c>
      <c r="Y2220">
        <v>113</v>
      </c>
      <c r="Z2220">
        <v>6</v>
      </c>
      <c r="AB2220">
        <v>3</v>
      </c>
      <c r="AC2220">
        <v>0</v>
      </c>
      <c r="AD2220">
        <v>0</v>
      </c>
      <c r="AE2220">
        <v>0</v>
      </c>
      <c r="AF2220">
        <v>0</v>
      </c>
      <c r="AG2220">
        <v>1</v>
      </c>
      <c r="AH2220">
        <v>0</v>
      </c>
      <c r="AI2220">
        <v>0</v>
      </c>
      <c r="AJ2220">
        <v>1</v>
      </c>
      <c r="AK2220">
        <v>4</v>
      </c>
      <c r="AL2220">
        <v>4</v>
      </c>
      <c r="AM2220">
        <v>0</v>
      </c>
      <c r="AN2220">
        <v>0</v>
      </c>
      <c r="AT2220">
        <v>0</v>
      </c>
      <c r="AU2220">
        <v>19</v>
      </c>
      <c r="AV2220">
        <v>235</v>
      </c>
      <c r="AW2220">
        <v>235</v>
      </c>
      <c r="AX2220">
        <v>560</v>
      </c>
      <c r="BA2220">
        <v>1</v>
      </c>
      <c r="BC2220" t="s">
        <v>4539</v>
      </c>
      <c r="BD2220" s="4">
        <v>43283.074976851851</v>
      </c>
      <c r="BE2220" s="4">
        <v>43283.078159722223</v>
      </c>
      <c r="BF2220" s="4">
        <v>43283.078159722223</v>
      </c>
      <c r="BG2220" t="s">
        <v>83</v>
      </c>
      <c r="BH2220" t="s">
        <v>84</v>
      </c>
      <c r="BI2220" t="s">
        <v>85</v>
      </c>
    </row>
    <row r="2221" spans="1:61" x14ac:dyDescent="0.3">
      <c r="A2221" t="str">
        <f>"202313B0100"</f>
        <v>202313B0100</v>
      </c>
      <c r="B2221" t="s">
        <v>4540</v>
      </c>
      <c r="C2221">
        <v>20</v>
      </c>
      <c r="D2221" t="s">
        <v>79</v>
      </c>
      <c r="E2221">
        <v>10</v>
      </c>
      <c r="F2221" t="s">
        <v>4190</v>
      </c>
      <c r="G2221">
        <v>2313</v>
      </c>
      <c r="H2221">
        <v>1</v>
      </c>
      <c r="I2221" t="s">
        <v>81</v>
      </c>
      <c r="J2221">
        <v>0</v>
      </c>
      <c r="K2221">
        <v>2</v>
      </c>
      <c r="L2221">
        <v>2</v>
      </c>
      <c r="M2221">
        <v>424</v>
      </c>
      <c r="N2221">
        <v>283</v>
      </c>
      <c r="O2221">
        <v>0</v>
      </c>
      <c r="P2221">
        <v>283</v>
      </c>
      <c r="Q2221">
        <v>1</v>
      </c>
      <c r="R2221">
        <v>15</v>
      </c>
      <c r="S2221">
        <v>9</v>
      </c>
      <c r="T2221">
        <v>0</v>
      </c>
      <c r="U2221">
        <v>132</v>
      </c>
      <c r="V2221">
        <v>4</v>
      </c>
      <c r="W2221">
        <v>5</v>
      </c>
      <c r="X2221">
        <v>5</v>
      </c>
      <c r="Y2221">
        <v>84</v>
      </c>
      <c r="Z2221">
        <v>3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5</v>
      </c>
      <c r="AL2221">
        <v>1</v>
      </c>
      <c r="AM2221">
        <v>0</v>
      </c>
      <c r="AN2221">
        <v>0</v>
      </c>
      <c r="AT2221">
        <v>0</v>
      </c>
      <c r="AU2221">
        <v>19</v>
      </c>
      <c r="AV2221">
        <v>283</v>
      </c>
      <c r="AW2221">
        <v>283</v>
      </c>
      <c r="AX2221">
        <v>685</v>
      </c>
      <c r="BA2221">
        <v>1</v>
      </c>
      <c r="BC2221" t="s">
        <v>4541</v>
      </c>
      <c r="BD2221" s="4">
        <v>43283.141805555555</v>
      </c>
      <c r="BE2221" s="4">
        <v>43283.147060185183</v>
      </c>
      <c r="BF2221" s="4">
        <v>43283.147060185183</v>
      </c>
      <c r="BG2221" t="s">
        <v>83</v>
      </c>
      <c r="BH2221" t="s">
        <v>84</v>
      </c>
      <c r="BI2221" t="s">
        <v>85</v>
      </c>
    </row>
    <row r="2222" spans="1:61" x14ac:dyDescent="0.3">
      <c r="A2222" t="str">
        <f>"202314B0100"</f>
        <v>202314B0100</v>
      </c>
      <c r="B2222" t="s">
        <v>4542</v>
      </c>
      <c r="C2222">
        <v>20</v>
      </c>
      <c r="D2222" t="s">
        <v>79</v>
      </c>
      <c r="E2222">
        <v>10</v>
      </c>
      <c r="F2222" t="s">
        <v>4190</v>
      </c>
      <c r="G2222">
        <v>2314</v>
      </c>
      <c r="H2222">
        <v>1</v>
      </c>
      <c r="I2222" t="s">
        <v>81</v>
      </c>
      <c r="J2222">
        <v>0</v>
      </c>
      <c r="K2222">
        <v>2</v>
      </c>
      <c r="L2222">
        <v>2</v>
      </c>
      <c r="M2222">
        <v>287</v>
      </c>
      <c r="N2222">
        <v>166</v>
      </c>
      <c r="O2222">
        <v>1</v>
      </c>
      <c r="P2222">
        <v>166</v>
      </c>
      <c r="Q2222">
        <v>12</v>
      </c>
      <c r="R2222">
        <v>16</v>
      </c>
      <c r="S2222">
        <v>7</v>
      </c>
      <c r="T2222">
        <v>7</v>
      </c>
      <c r="U2222">
        <v>41</v>
      </c>
      <c r="V2222">
        <v>4</v>
      </c>
      <c r="W2222">
        <v>3</v>
      </c>
      <c r="X2222">
        <v>5</v>
      </c>
      <c r="Y2222">
        <v>53</v>
      </c>
      <c r="Z2222">
        <v>4</v>
      </c>
      <c r="AB2222">
        <v>1</v>
      </c>
      <c r="AC2222">
        <v>0</v>
      </c>
      <c r="AD2222">
        <v>0</v>
      </c>
      <c r="AE2222">
        <v>2</v>
      </c>
      <c r="AF2222">
        <v>0</v>
      </c>
      <c r="AG2222">
        <v>1</v>
      </c>
      <c r="AH2222">
        <v>0</v>
      </c>
      <c r="AI2222">
        <v>0</v>
      </c>
      <c r="AJ2222">
        <v>0</v>
      </c>
      <c r="AK2222">
        <v>0</v>
      </c>
      <c r="AL2222">
        <v>2</v>
      </c>
      <c r="AM2222">
        <v>0</v>
      </c>
      <c r="AN2222">
        <v>0</v>
      </c>
      <c r="AT2222">
        <v>0</v>
      </c>
      <c r="AU2222">
        <v>8</v>
      </c>
      <c r="AV2222">
        <v>166</v>
      </c>
      <c r="AW2222">
        <v>166</v>
      </c>
      <c r="AX2222">
        <v>426</v>
      </c>
      <c r="BA2222">
        <v>1</v>
      </c>
      <c r="BC2222" s="2" t="s">
        <v>4543</v>
      </c>
      <c r="BD2222" s="4">
        <v>43283.133645833332</v>
      </c>
      <c r="BE2222" s="4">
        <v>43283.138043981482</v>
      </c>
      <c r="BF2222" s="4">
        <v>43283.138043981482</v>
      </c>
      <c r="BG2222" t="s">
        <v>83</v>
      </c>
      <c r="BH2222" t="s">
        <v>84</v>
      </c>
      <c r="BI2222" t="s">
        <v>85</v>
      </c>
    </row>
    <row r="2223" spans="1:61" x14ac:dyDescent="0.3">
      <c r="A2223" t="str">
        <f>"202314E0100"</f>
        <v>202314E0100</v>
      </c>
      <c r="B2223" s="2" t="s">
        <v>4544</v>
      </c>
      <c r="C2223">
        <v>20</v>
      </c>
      <c r="D2223" t="s">
        <v>79</v>
      </c>
      <c r="E2223">
        <v>10</v>
      </c>
      <c r="F2223" t="s">
        <v>4190</v>
      </c>
      <c r="G2223">
        <v>2314</v>
      </c>
      <c r="H2223">
        <v>1</v>
      </c>
      <c r="I2223" t="s">
        <v>145</v>
      </c>
      <c r="J2223">
        <v>0</v>
      </c>
      <c r="K2223">
        <v>2</v>
      </c>
      <c r="L2223">
        <v>2</v>
      </c>
      <c r="M2223">
        <v>318</v>
      </c>
      <c r="N2223">
        <v>270</v>
      </c>
      <c r="O2223">
        <v>0</v>
      </c>
      <c r="P2223">
        <v>270</v>
      </c>
      <c r="Q2223">
        <v>17</v>
      </c>
      <c r="R2223">
        <v>67</v>
      </c>
      <c r="S2223">
        <v>11</v>
      </c>
      <c r="T2223">
        <v>6</v>
      </c>
      <c r="U2223">
        <v>56</v>
      </c>
      <c r="V2223">
        <v>8</v>
      </c>
      <c r="W2223">
        <v>2</v>
      </c>
      <c r="X2223">
        <v>4</v>
      </c>
      <c r="Y2223">
        <v>62</v>
      </c>
      <c r="Z2223">
        <v>3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1</v>
      </c>
      <c r="AH2223">
        <v>0</v>
      </c>
      <c r="AI2223">
        <v>0</v>
      </c>
      <c r="AJ2223">
        <v>0</v>
      </c>
      <c r="AK2223">
        <v>5</v>
      </c>
      <c r="AL2223">
        <v>1</v>
      </c>
      <c r="AM2223">
        <v>1</v>
      </c>
      <c r="AN2223">
        <v>0</v>
      </c>
      <c r="AT2223">
        <v>0</v>
      </c>
      <c r="AU2223">
        <v>26</v>
      </c>
      <c r="AV2223">
        <v>270</v>
      </c>
      <c r="AW2223">
        <v>270</v>
      </c>
      <c r="AX2223">
        <v>566</v>
      </c>
      <c r="BA2223">
        <v>1</v>
      </c>
      <c r="BC2223" t="s">
        <v>4545</v>
      </c>
      <c r="BD2223" s="4">
        <v>43283.148043981484</v>
      </c>
      <c r="BE2223" s="4">
        <v>43283.158159722225</v>
      </c>
      <c r="BF2223" s="4">
        <v>43283.158159722225</v>
      </c>
      <c r="BG2223" t="s">
        <v>83</v>
      </c>
      <c r="BH2223" t="s">
        <v>84</v>
      </c>
      <c r="BI2223" t="s">
        <v>85</v>
      </c>
    </row>
    <row r="2224" spans="1:61" x14ac:dyDescent="0.3">
      <c r="A2224" t="str">
        <f>"202315B0100"</f>
        <v>202315B0100</v>
      </c>
      <c r="B2224" t="s">
        <v>4546</v>
      </c>
      <c r="C2224">
        <v>20</v>
      </c>
      <c r="D2224" t="s">
        <v>79</v>
      </c>
      <c r="E2224">
        <v>10</v>
      </c>
      <c r="F2224" t="s">
        <v>4190</v>
      </c>
      <c r="G2224">
        <v>2315</v>
      </c>
      <c r="H2224">
        <v>1</v>
      </c>
      <c r="I2224" t="s">
        <v>81</v>
      </c>
      <c r="J2224">
        <v>0</v>
      </c>
      <c r="K2224">
        <v>2</v>
      </c>
      <c r="L2224">
        <v>2</v>
      </c>
      <c r="M2224">
        <v>478</v>
      </c>
      <c r="N2224">
        <v>218</v>
      </c>
      <c r="O2224">
        <v>0</v>
      </c>
      <c r="P2224">
        <v>218</v>
      </c>
      <c r="Q2224">
        <v>13</v>
      </c>
      <c r="R2224">
        <v>12</v>
      </c>
      <c r="S2224">
        <v>14</v>
      </c>
      <c r="T2224">
        <v>7</v>
      </c>
      <c r="U2224">
        <v>47</v>
      </c>
      <c r="V2224">
        <v>13</v>
      </c>
      <c r="W2224">
        <v>4</v>
      </c>
      <c r="X2224">
        <v>2</v>
      </c>
      <c r="Y2224">
        <v>87</v>
      </c>
      <c r="Z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1</v>
      </c>
      <c r="AI2224">
        <v>0</v>
      </c>
      <c r="AJ2224">
        <v>0</v>
      </c>
      <c r="AK2224">
        <v>3</v>
      </c>
      <c r="AL2224">
        <v>0</v>
      </c>
      <c r="AM2224">
        <v>0</v>
      </c>
      <c r="AN2224">
        <v>0</v>
      </c>
      <c r="AT2224">
        <v>0</v>
      </c>
      <c r="AU2224" t="s">
        <v>315</v>
      </c>
      <c r="AV2224">
        <v>218</v>
      </c>
      <c r="AW2224">
        <v>203</v>
      </c>
      <c r="AX2224">
        <v>674</v>
      </c>
      <c r="AZ2224" t="s">
        <v>101</v>
      </c>
      <c r="BA2224">
        <v>1</v>
      </c>
      <c r="BC2224" t="s">
        <v>4547</v>
      </c>
      <c r="BD2224" s="4">
        <v>43283.075636574074</v>
      </c>
      <c r="BE2224" s="4">
        <v>43283.080983796295</v>
      </c>
      <c r="BF2224" s="4">
        <v>43283.080983796295</v>
      </c>
      <c r="BG2224" t="s">
        <v>83</v>
      </c>
      <c r="BH2224" t="s">
        <v>84</v>
      </c>
      <c r="BI2224" t="s">
        <v>85</v>
      </c>
    </row>
    <row r="2225" spans="1:61" x14ac:dyDescent="0.3">
      <c r="A2225" t="str">
        <f>"202386B0100"</f>
        <v>202386B0100</v>
      </c>
      <c r="B2225" t="s">
        <v>4548</v>
      </c>
      <c r="C2225">
        <v>20</v>
      </c>
      <c r="D2225" t="s">
        <v>79</v>
      </c>
      <c r="E2225">
        <v>10</v>
      </c>
      <c r="F2225" t="s">
        <v>4190</v>
      </c>
      <c r="G2225">
        <v>2386</v>
      </c>
      <c r="H2225">
        <v>1</v>
      </c>
      <c r="I2225" t="s">
        <v>81</v>
      </c>
      <c r="J2225">
        <v>0</v>
      </c>
      <c r="K2225">
        <v>2</v>
      </c>
      <c r="L2225">
        <v>2</v>
      </c>
      <c r="M2225">
        <v>302</v>
      </c>
      <c r="N2225">
        <v>231</v>
      </c>
      <c r="O2225">
        <v>0</v>
      </c>
      <c r="P2225">
        <v>231</v>
      </c>
      <c r="Q2225">
        <v>78</v>
      </c>
      <c r="R2225">
        <v>19</v>
      </c>
      <c r="S2225">
        <v>6</v>
      </c>
      <c r="T2225">
        <v>7</v>
      </c>
      <c r="U2225">
        <v>21</v>
      </c>
      <c r="V2225">
        <v>4</v>
      </c>
      <c r="W2225">
        <v>1</v>
      </c>
      <c r="X2225">
        <v>1</v>
      </c>
      <c r="Y2225">
        <v>56</v>
      </c>
      <c r="Z2225">
        <v>4</v>
      </c>
      <c r="AB2225">
        <v>3</v>
      </c>
      <c r="AC2225">
        <v>3</v>
      </c>
      <c r="AD2225">
        <v>3</v>
      </c>
      <c r="AE2225">
        <v>0</v>
      </c>
      <c r="AF2225">
        <v>0</v>
      </c>
      <c r="AG2225">
        <v>0</v>
      </c>
      <c r="AH2225">
        <v>1</v>
      </c>
      <c r="AI2225">
        <v>0</v>
      </c>
      <c r="AJ2225">
        <v>0</v>
      </c>
      <c r="AK2225">
        <v>0</v>
      </c>
      <c r="AL2225">
        <v>2</v>
      </c>
      <c r="AM2225">
        <v>0</v>
      </c>
      <c r="AN2225">
        <v>1</v>
      </c>
      <c r="AT2225">
        <v>1</v>
      </c>
      <c r="AU2225">
        <v>20</v>
      </c>
      <c r="AV2225">
        <v>231</v>
      </c>
      <c r="AW2225">
        <v>231</v>
      </c>
      <c r="AX2225">
        <v>513</v>
      </c>
      <c r="BA2225">
        <v>1</v>
      </c>
      <c r="BC2225" t="s">
        <v>4549</v>
      </c>
      <c r="BD2225" s="4">
        <v>43283.202303240738</v>
      </c>
      <c r="BE2225" s="4">
        <v>43283.222013888888</v>
      </c>
      <c r="BF2225" s="4">
        <v>43283.222013888888</v>
      </c>
      <c r="BG2225" t="s">
        <v>83</v>
      </c>
      <c r="BH2225" t="s">
        <v>84</v>
      </c>
      <c r="BI2225" t="s">
        <v>85</v>
      </c>
    </row>
    <row r="2226" spans="1:61" x14ac:dyDescent="0.3">
      <c r="A2226" t="str">
        <f>"202386C0100"</f>
        <v>202386C0100</v>
      </c>
      <c r="B2226" t="s">
        <v>4550</v>
      </c>
      <c r="C2226">
        <v>20</v>
      </c>
      <c r="D2226" t="s">
        <v>79</v>
      </c>
      <c r="E2226">
        <v>10</v>
      </c>
      <c r="F2226" t="s">
        <v>4190</v>
      </c>
      <c r="G2226">
        <v>2386</v>
      </c>
      <c r="H2226">
        <v>1</v>
      </c>
      <c r="I2226" t="s">
        <v>89</v>
      </c>
      <c r="J2226">
        <v>0</v>
      </c>
      <c r="K2226">
        <v>2</v>
      </c>
      <c r="L2226">
        <v>2</v>
      </c>
      <c r="M2226">
        <v>323</v>
      </c>
      <c r="N2226">
        <v>211</v>
      </c>
      <c r="O2226">
        <v>0</v>
      </c>
      <c r="P2226">
        <v>211</v>
      </c>
      <c r="Q2226">
        <v>86</v>
      </c>
      <c r="R2226">
        <v>15</v>
      </c>
      <c r="S2226">
        <v>9</v>
      </c>
      <c r="T2226">
        <v>2</v>
      </c>
      <c r="U2226">
        <v>26</v>
      </c>
      <c r="V2226">
        <v>1</v>
      </c>
      <c r="W2226">
        <v>0</v>
      </c>
      <c r="X2226">
        <v>2</v>
      </c>
      <c r="Y2226">
        <v>47</v>
      </c>
      <c r="Z2226">
        <v>2</v>
      </c>
      <c r="AB2226">
        <v>2</v>
      </c>
      <c r="AC2226">
        <v>2</v>
      </c>
      <c r="AD2226">
        <v>1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2</v>
      </c>
      <c r="AM2226">
        <v>0</v>
      </c>
      <c r="AN2226">
        <v>0</v>
      </c>
      <c r="AT2226">
        <v>0</v>
      </c>
      <c r="AU2226">
        <v>14</v>
      </c>
      <c r="AV2226">
        <v>211</v>
      </c>
      <c r="AW2226">
        <v>211</v>
      </c>
      <c r="AX2226">
        <v>512</v>
      </c>
      <c r="BA2226">
        <v>1</v>
      </c>
      <c r="BC2226" t="s">
        <v>4551</v>
      </c>
      <c r="BD2226" s="4">
        <v>43283.197858796295</v>
      </c>
      <c r="BE2226" s="4">
        <v>43283.213217592594</v>
      </c>
      <c r="BF2226" s="4">
        <v>43283.213217592594</v>
      </c>
      <c r="BG2226" t="s">
        <v>83</v>
      </c>
      <c r="BH2226" t="s">
        <v>84</v>
      </c>
      <c r="BI2226" t="s">
        <v>85</v>
      </c>
    </row>
    <row r="2227" spans="1:61" x14ac:dyDescent="0.3">
      <c r="A2227" t="str">
        <f>"202387B0100"</f>
        <v>202387B0100</v>
      </c>
      <c r="B2227" t="s">
        <v>4552</v>
      </c>
      <c r="C2227">
        <v>20</v>
      </c>
      <c r="D2227" t="s">
        <v>79</v>
      </c>
      <c r="E2227">
        <v>10</v>
      </c>
      <c r="F2227" t="s">
        <v>4190</v>
      </c>
      <c r="G2227">
        <v>2387</v>
      </c>
      <c r="H2227">
        <v>1</v>
      </c>
      <c r="I2227" t="s">
        <v>81</v>
      </c>
      <c r="J2227">
        <v>0</v>
      </c>
      <c r="K2227">
        <v>2</v>
      </c>
      <c r="L2227">
        <v>2</v>
      </c>
      <c r="M2227">
        <v>354</v>
      </c>
      <c r="N2227">
        <v>390</v>
      </c>
      <c r="O2227">
        <v>0</v>
      </c>
      <c r="P2227">
        <v>390</v>
      </c>
      <c r="Q2227">
        <v>145</v>
      </c>
      <c r="R2227">
        <v>39</v>
      </c>
      <c r="S2227">
        <v>13</v>
      </c>
      <c r="T2227">
        <v>4</v>
      </c>
      <c r="U2227">
        <v>34</v>
      </c>
      <c r="V2227">
        <v>8</v>
      </c>
      <c r="W2227">
        <v>4</v>
      </c>
      <c r="X2227">
        <v>3</v>
      </c>
      <c r="Y2227">
        <v>104</v>
      </c>
      <c r="Z2227">
        <v>8</v>
      </c>
      <c r="AB2227">
        <v>1</v>
      </c>
      <c r="AC2227">
        <v>7</v>
      </c>
      <c r="AD2227">
        <v>0</v>
      </c>
      <c r="AE2227">
        <v>0</v>
      </c>
      <c r="AF2227">
        <v>0</v>
      </c>
      <c r="AG2227">
        <v>0</v>
      </c>
      <c r="AH2227">
        <v>1</v>
      </c>
      <c r="AI2227">
        <v>0</v>
      </c>
      <c r="AJ2227">
        <v>0</v>
      </c>
      <c r="AK2227">
        <v>2</v>
      </c>
      <c r="AL2227">
        <v>3</v>
      </c>
      <c r="AM2227">
        <v>0</v>
      </c>
      <c r="AN2227">
        <v>0</v>
      </c>
      <c r="AT2227">
        <v>0</v>
      </c>
      <c r="AU2227">
        <v>14</v>
      </c>
      <c r="AV2227">
        <v>390</v>
      </c>
      <c r="AW2227">
        <v>390</v>
      </c>
      <c r="AX2227">
        <v>722</v>
      </c>
      <c r="BA2227">
        <v>1</v>
      </c>
      <c r="BC2227" t="s">
        <v>4553</v>
      </c>
      <c r="BD2227" s="4">
        <v>43283.205706018518</v>
      </c>
      <c r="BE2227" s="4">
        <v>43283.221203703702</v>
      </c>
      <c r="BF2227" s="4">
        <v>43283.221203703702</v>
      </c>
      <c r="BG2227" t="s">
        <v>83</v>
      </c>
      <c r="BH2227" t="s">
        <v>84</v>
      </c>
      <c r="BI2227" t="s">
        <v>85</v>
      </c>
    </row>
    <row r="2228" spans="1:61" x14ac:dyDescent="0.3">
      <c r="A2228" t="str">
        <f>"202388B0100"</f>
        <v>202388B0100</v>
      </c>
      <c r="B2228" t="s">
        <v>4554</v>
      </c>
      <c r="C2228">
        <v>20</v>
      </c>
      <c r="D2228" t="s">
        <v>79</v>
      </c>
      <c r="E2228">
        <v>10</v>
      </c>
      <c r="F2228" t="s">
        <v>4190</v>
      </c>
      <c r="G2228">
        <v>2388</v>
      </c>
      <c r="H2228">
        <v>1</v>
      </c>
      <c r="I2228" t="s">
        <v>81</v>
      </c>
      <c r="J2228">
        <v>0</v>
      </c>
      <c r="K2228">
        <v>2</v>
      </c>
      <c r="L2228">
        <v>2</v>
      </c>
      <c r="M2228">
        <v>250</v>
      </c>
      <c r="N2228">
        <v>206</v>
      </c>
      <c r="O2228">
        <v>0</v>
      </c>
      <c r="P2228">
        <v>206</v>
      </c>
      <c r="Q2228">
        <v>4</v>
      </c>
      <c r="R2228">
        <v>7</v>
      </c>
      <c r="S2228">
        <v>5</v>
      </c>
      <c r="T2228">
        <v>4</v>
      </c>
      <c r="U2228">
        <v>95</v>
      </c>
      <c r="V2228">
        <v>5</v>
      </c>
      <c r="W2228">
        <v>3</v>
      </c>
      <c r="X2228">
        <v>2</v>
      </c>
      <c r="Y2228">
        <v>56</v>
      </c>
      <c r="Z2228">
        <v>6</v>
      </c>
      <c r="AB2228">
        <v>2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2</v>
      </c>
      <c r="AL2228">
        <v>4</v>
      </c>
      <c r="AM2228">
        <v>1</v>
      </c>
      <c r="AN2228">
        <v>0</v>
      </c>
      <c r="AT2228">
        <v>0</v>
      </c>
      <c r="AU2228">
        <v>10</v>
      </c>
      <c r="AV2228">
        <v>206</v>
      </c>
      <c r="AW2228">
        <v>206</v>
      </c>
      <c r="AX2228">
        <v>437</v>
      </c>
      <c r="BA2228">
        <v>1</v>
      </c>
      <c r="BC2228" t="s">
        <v>4555</v>
      </c>
      <c r="BD2228" s="4">
        <v>43283.211701388886</v>
      </c>
      <c r="BE2228" s="4">
        <v>43283.232766203706</v>
      </c>
      <c r="BF2228" s="4">
        <v>43283.232766203706</v>
      </c>
      <c r="BG2228" t="s">
        <v>83</v>
      </c>
      <c r="BH2228" t="s">
        <v>84</v>
      </c>
      <c r="BI2228" t="s">
        <v>85</v>
      </c>
    </row>
    <row r="2229" spans="1:61" x14ac:dyDescent="0.3">
      <c r="A2229" t="str">
        <f>"202388C0100"</f>
        <v>202388C0100</v>
      </c>
      <c r="B2229" t="s">
        <v>4556</v>
      </c>
      <c r="C2229">
        <v>20</v>
      </c>
      <c r="D2229" t="s">
        <v>79</v>
      </c>
      <c r="E2229">
        <v>10</v>
      </c>
      <c r="F2229" t="s">
        <v>4190</v>
      </c>
      <c r="G2229">
        <v>2388</v>
      </c>
      <c r="H2229">
        <v>1</v>
      </c>
      <c r="I2229" t="s">
        <v>89</v>
      </c>
      <c r="J2229">
        <v>0</v>
      </c>
      <c r="K2229">
        <v>2</v>
      </c>
      <c r="L2229">
        <v>2</v>
      </c>
      <c r="M2229">
        <v>236</v>
      </c>
      <c r="N2229">
        <v>223</v>
      </c>
      <c r="O2229">
        <v>0</v>
      </c>
      <c r="P2229">
        <v>223</v>
      </c>
      <c r="Q2229">
        <v>5</v>
      </c>
      <c r="R2229">
        <v>31</v>
      </c>
      <c r="S2229">
        <v>2</v>
      </c>
      <c r="T2229">
        <v>4</v>
      </c>
      <c r="U2229">
        <v>59</v>
      </c>
      <c r="V2229">
        <v>2</v>
      </c>
      <c r="W2229">
        <v>1</v>
      </c>
      <c r="X2229">
        <v>5</v>
      </c>
      <c r="Y2229">
        <v>86</v>
      </c>
      <c r="Z2229">
        <v>9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1</v>
      </c>
      <c r="AH2229">
        <v>0</v>
      </c>
      <c r="AI2229">
        <v>0</v>
      </c>
      <c r="AJ2229">
        <v>0</v>
      </c>
      <c r="AK2229">
        <v>7</v>
      </c>
      <c r="AL2229">
        <v>1</v>
      </c>
      <c r="AM2229">
        <v>2</v>
      </c>
      <c r="AN2229">
        <v>0</v>
      </c>
      <c r="AT2229">
        <v>0</v>
      </c>
      <c r="AU2229">
        <v>8</v>
      </c>
      <c r="AV2229">
        <v>223</v>
      </c>
      <c r="AW2229">
        <v>223</v>
      </c>
      <c r="AX2229">
        <v>437</v>
      </c>
      <c r="BA2229">
        <v>1</v>
      </c>
      <c r="BC2229" t="s">
        <v>4557</v>
      </c>
      <c r="BD2229" s="4">
        <v>43283.201550925929</v>
      </c>
      <c r="BE2229" s="4">
        <v>43283.216597222221</v>
      </c>
      <c r="BF2229" s="4">
        <v>43283.216597222221</v>
      </c>
      <c r="BG2229" t="s">
        <v>83</v>
      </c>
      <c r="BH2229" t="s">
        <v>84</v>
      </c>
      <c r="BI2229" t="s">
        <v>85</v>
      </c>
    </row>
    <row r="2230" spans="1:61" x14ac:dyDescent="0.3">
      <c r="A2230" t="str">
        <f>"202389B0100"</f>
        <v>202389B0100</v>
      </c>
      <c r="B2230" t="s">
        <v>4558</v>
      </c>
      <c r="C2230">
        <v>20</v>
      </c>
      <c r="D2230" t="s">
        <v>79</v>
      </c>
      <c r="E2230">
        <v>10</v>
      </c>
      <c r="F2230" t="s">
        <v>4190</v>
      </c>
      <c r="G2230">
        <v>2389</v>
      </c>
      <c r="H2230">
        <v>1</v>
      </c>
      <c r="I2230" t="s">
        <v>81</v>
      </c>
      <c r="J2230">
        <v>0</v>
      </c>
      <c r="K2230">
        <v>2</v>
      </c>
      <c r="L2230">
        <v>2</v>
      </c>
      <c r="M2230">
        <v>65</v>
      </c>
      <c r="N2230" t="s">
        <v>100</v>
      </c>
      <c r="O2230" t="s">
        <v>100</v>
      </c>
      <c r="P2230" t="s">
        <v>100</v>
      </c>
      <c r="Q2230">
        <v>15</v>
      </c>
      <c r="R2230">
        <v>15</v>
      </c>
      <c r="S2230">
        <v>1</v>
      </c>
      <c r="T2230">
        <v>12</v>
      </c>
      <c r="U2230">
        <v>7</v>
      </c>
      <c r="V2230">
        <v>6</v>
      </c>
      <c r="W2230">
        <v>0</v>
      </c>
      <c r="X2230">
        <v>3</v>
      </c>
      <c r="Y2230">
        <v>45</v>
      </c>
      <c r="Z2230">
        <v>0</v>
      </c>
      <c r="AB2230">
        <v>1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1</v>
      </c>
      <c r="AL2230">
        <v>1</v>
      </c>
      <c r="AM2230">
        <v>0</v>
      </c>
      <c r="AN2230">
        <v>0</v>
      </c>
      <c r="AT2230">
        <v>0</v>
      </c>
      <c r="AU2230">
        <v>6</v>
      </c>
      <c r="AV2230">
        <v>103</v>
      </c>
      <c r="AW2230">
        <v>113</v>
      </c>
      <c r="AX2230">
        <v>146</v>
      </c>
      <c r="BA2230">
        <v>1</v>
      </c>
      <c r="BC2230" t="s">
        <v>4559</v>
      </c>
      <c r="BD2230" s="4">
        <v>43283.211076388892</v>
      </c>
      <c r="BE2230" s="4">
        <v>43283.230532407404</v>
      </c>
      <c r="BF2230" s="4">
        <v>43283.230532407404</v>
      </c>
      <c r="BG2230" t="s">
        <v>83</v>
      </c>
      <c r="BH2230" t="s">
        <v>84</v>
      </c>
      <c r="BI2230" t="s">
        <v>85</v>
      </c>
    </row>
    <row r="2231" spans="1:61" x14ac:dyDescent="0.3">
      <c r="A2231" t="str">
        <f>"202389E0100"</f>
        <v>202389E0100</v>
      </c>
      <c r="B2231" s="2" t="s">
        <v>4560</v>
      </c>
      <c r="C2231">
        <v>20</v>
      </c>
      <c r="D2231" t="s">
        <v>79</v>
      </c>
      <c r="E2231">
        <v>10</v>
      </c>
      <c r="F2231" t="s">
        <v>4190</v>
      </c>
      <c r="G2231">
        <v>2389</v>
      </c>
      <c r="H2231">
        <v>1</v>
      </c>
      <c r="I2231" t="s">
        <v>145</v>
      </c>
      <c r="J2231">
        <v>0</v>
      </c>
      <c r="K2231">
        <v>2</v>
      </c>
      <c r="L2231">
        <v>2</v>
      </c>
      <c r="M2231">
        <v>417</v>
      </c>
      <c r="N2231">
        <v>647</v>
      </c>
      <c r="O2231">
        <v>0</v>
      </c>
      <c r="P2231">
        <v>230</v>
      </c>
      <c r="Q2231">
        <v>26</v>
      </c>
      <c r="R2231">
        <v>16</v>
      </c>
      <c r="S2231">
        <v>3</v>
      </c>
      <c r="T2231">
        <v>2</v>
      </c>
      <c r="U2231">
        <v>14</v>
      </c>
      <c r="V2231">
        <v>5</v>
      </c>
      <c r="W2231">
        <v>1</v>
      </c>
      <c r="X2231">
        <v>4</v>
      </c>
      <c r="Y2231">
        <v>142</v>
      </c>
      <c r="Z2231">
        <v>8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1</v>
      </c>
      <c r="AN2231">
        <v>2</v>
      </c>
      <c r="AT2231">
        <v>0</v>
      </c>
      <c r="AU2231">
        <v>6</v>
      </c>
      <c r="AV2231">
        <v>230</v>
      </c>
      <c r="AW2231">
        <v>230</v>
      </c>
      <c r="AX2231">
        <v>625</v>
      </c>
      <c r="BA2231">
        <v>1</v>
      </c>
      <c r="BC2231" t="s">
        <v>4561</v>
      </c>
      <c r="BD2231" s="4">
        <v>43283.171168981484</v>
      </c>
      <c r="BE2231" s="4">
        <v>43283.183657407404</v>
      </c>
      <c r="BF2231" s="4">
        <v>43283.183657407404</v>
      </c>
      <c r="BG2231" t="s">
        <v>83</v>
      </c>
      <c r="BH2231" t="s">
        <v>84</v>
      </c>
      <c r="BI2231" t="s">
        <v>85</v>
      </c>
    </row>
    <row r="2232" spans="1:61" x14ac:dyDescent="0.3">
      <c r="A2232" t="str">
        <f>"202390B0100"</f>
        <v>202390B0100</v>
      </c>
      <c r="B2232" t="s">
        <v>4562</v>
      </c>
      <c r="C2232">
        <v>20</v>
      </c>
      <c r="D2232" t="s">
        <v>79</v>
      </c>
      <c r="E2232">
        <v>10</v>
      </c>
      <c r="F2232" t="s">
        <v>4190</v>
      </c>
      <c r="G2232">
        <v>2390</v>
      </c>
      <c r="H2232">
        <v>1</v>
      </c>
      <c r="I2232" t="s">
        <v>81</v>
      </c>
      <c r="J2232">
        <v>0</v>
      </c>
      <c r="K2232">
        <v>2</v>
      </c>
      <c r="L2232">
        <v>2</v>
      </c>
      <c r="M2232" t="s">
        <v>100</v>
      </c>
      <c r="N2232" t="s">
        <v>100</v>
      </c>
      <c r="O2232" t="s">
        <v>100</v>
      </c>
      <c r="P2232" t="s">
        <v>100</v>
      </c>
      <c r="Q2232">
        <v>72</v>
      </c>
      <c r="R2232">
        <v>7</v>
      </c>
      <c r="S2232">
        <v>5</v>
      </c>
      <c r="T2232">
        <v>2</v>
      </c>
      <c r="U2232">
        <v>18</v>
      </c>
      <c r="V2232">
        <v>3</v>
      </c>
      <c r="W2232">
        <v>2</v>
      </c>
      <c r="X2232">
        <v>3</v>
      </c>
      <c r="Y2232">
        <v>55</v>
      </c>
      <c r="Z2232">
        <v>2</v>
      </c>
      <c r="AB2232">
        <v>1</v>
      </c>
      <c r="AC2232">
        <v>1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2</v>
      </c>
      <c r="AL2232">
        <v>1</v>
      </c>
      <c r="AM2232">
        <v>0</v>
      </c>
      <c r="AN2232">
        <v>0</v>
      </c>
      <c r="AT2232">
        <v>1</v>
      </c>
      <c r="AU2232">
        <v>7</v>
      </c>
      <c r="AV2232">
        <v>184</v>
      </c>
      <c r="AW2232">
        <v>182</v>
      </c>
      <c r="AX2232">
        <v>315</v>
      </c>
      <c r="BA2232">
        <v>1</v>
      </c>
      <c r="BC2232" t="s">
        <v>4563</v>
      </c>
      <c r="BD2232" s="4">
        <v>43283.160983796297</v>
      </c>
      <c r="BE2232" s="4">
        <v>43283.170787037037</v>
      </c>
      <c r="BF2232" s="4">
        <v>43283.170787037037</v>
      </c>
      <c r="BG2232" t="s">
        <v>83</v>
      </c>
      <c r="BH2232" t="s">
        <v>84</v>
      </c>
      <c r="BI2232" t="s">
        <v>85</v>
      </c>
    </row>
    <row r="2233" spans="1:61" x14ac:dyDescent="0.3">
      <c r="A2233" t="str">
        <f>"200077B0100"</f>
        <v>200077B0100</v>
      </c>
      <c r="B2233" t="s">
        <v>4564</v>
      </c>
      <c r="C2233">
        <v>20</v>
      </c>
      <c r="D2233" t="s">
        <v>79</v>
      </c>
      <c r="E2233">
        <v>11</v>
      </c>
      <c r="F2233" t="s">
        <v>4565</v>
      </c>
      <c r="G2233">
        <v>77</v>
      </c>
      <c r="H2233">
        <v>1</v>
      </c>
      <c r="I2233" t="s">
        <v>81</v>
      </c>
      <c r="J2233">
        <v>0</v>
      </c>
      <c r="K2233">
        <v>2</v>
      </c>
      <c r="L2233">
        <v>2</v>
      </c>
      <c r="M2233">
        <v>212</v>
      </c>
      <c r="N2233">
        <v>503</v>
      </c>
      <c r="O2233">
        <v>1</v>
      </c>
      <c r="P2233" t="s">
        <v>315</v>
      </c>
      <c r="Q2233">
        <v>42</v>
      </c>
      <c r="R2233">
        <v>121</v>
      </c>
      <c r="S2233">
        <v>9</v>
      </c>
      <c r="T2233">
        <v>5</v>
      </c>
      <c r="U2233">
        <v>27</v>
      </c>
      <c r="V2233">
        <v>7</v>
      </c>
      <c r="W2233">
        <v>38</v>
      </c>
      <c r="X2233">
        <v>0</v>
      </c>
      <c r="Y2233">
        <v>172</v>
      </c>
      <c r="Z2233">
        <v>7</v>
      </c>
      <c r="AA2233">
        <v>8</v>
      </c>
      <c r="AB2233">
        <v>35</v>
      </c>
      <c r="AC2233">
        <v>0</v>
      </c>
      <c r="AD2233">
        <v>0</v>
      </c>
      <c r="AE2233">
        <v>0</v>
      </c>
      <c r="AF2233">
        <v>0</v>
      </c>
      <c r="AG2233">
        <v>2</v>
      </c>
      <c r="AH2233">
        <v>2</v>
      </c>
      <c r="AI2233">
        <v>0</v>
      </c>
      <c r="AJ2233">
        <v>0</v>
      </c>
      <c r="AK2233">
        <v>4</v>
      </c>
      <c r="AL2233">
        <v>1</v>
      </c>
      <c r="AM2233">
        <v>0</v>
      </c>
      <c r="AN2233">
        <v>0</v>
      </c>
      <c r="AT2233">
        <v>0</v>
      </c>
      <c r="AU2233">
        <v>23</v>
      </c>
      <c r="AV2233">
        <v>503</v>
      </c>
      <c r="AW2233">
        <v>503</v>
      </c>
      <c r="AX2233">
        <v>693</v>
      </c>
      <c r="BA2233">
        <v>1</v>
      </c>
      <c r="BC2233" t="s">
        <v>4566</v>
      </c>
      <c r="BD2233" s="4">
        <v>43283.122916666667</v>
      </c>
      <c r="BE2233" s="4">
        <v>43283.144363425927</v>
      </c>
      <c r="BF2233" s="4">
        <v>43283.144363425927</v>
      </c>
      <c r="BG2233" t="s">
        <v>83</v>
      </c>
      <c r="BH2233" t="s">
        <v>84</v>
      </c>
      <c r="BI2233" t="s">
        <v>85</v>
      </c>
    </row>
    <row r="2234" spans="1:61" x14ac:dyDescent="0.3">
      <c r="A2234" t="str">
        <f>"200077C0100"</f>
        <v>200077C0100</v>
      </c>
      <c r="B2234" t="s">
        <v>4567</v>
      </c>
      <c r="C2234">
        <v>20</v>
      </c>
      <c r="D2234" t="s">
        <v>79</v>
      </c>
      <c r="E2234">
        <v>11</v>
      </c>
      <c r="F2234" t="s">
        <v>4565</v>
      </c>
      <c r="G2234">
        <v>77</v>
      </c>
      <c r="H2234">
        <v>1</v>
      </c>
      <c r="I2234" t="s">
        <v>89</v>
      </c>
      <c r="J2234">
        <v>0</v>
      </c>
      <c r="K2234">
        <v>2</v>
      </c>
      <c r="L2234">
        <v>2</v>
      </c>
      <c r="M2234">
        <v>200</v>
      </c>
      <c r="N2234">
        <v>511</v>
      </c>
      <c r="O2234">
        <v>11</v>
      </c>
      <c r="P2234">
        <v>0</v>
      </c>
      <c r="Q2234">
        <v>42</v>
      </c>
      <c r="R2234">
        <v>112</v>
      </c>
      <c r="S2234">
        <v>9</v>
      </c>
      <c r="T2234">
        <v>8</v>
      </c>
      <c r="U2234">
        <v>28</v>
      </c>
      <c r="V2234">
        <v>10</v>
      </c>
      <c r="W2234">
        <v>50</v>
      </c>
      <c r="X2234">
        <v>4</v>
      </c>
      <c r="Y2234">
        <v>172</v>
      </c>
      <c r="Z2234">
        <v>7</v>
      </c>
      <c r="AA2234">
        <v>15</v>
      </c>
      <c r="AB2234">
        <v>19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2</v>
      </c>
      <c r="AI2234">
        <v>0</v>
      </c>
      <c r="AJ2234">
        <v>0</v>
      </c>
      <c r="AK2234">
        <v>0</v>
      </c>
      <c r="AL2234">
        <v>0</v>
      </c>
      <c r="AM2234">
        <v>5</v>
      </c>
      <c r="AN2234">
        <v>0</v>
      </c>
      <c r="AT2234">
        <v>0</v>
      </c>
      <c r="AU2234">
        <v>28</v>
      </c>
      <c r="AV2234" t="s">
        <v>100</v>
      </c>
      <c r="AW2234">
        <v>511</v>
      </c>
      <c r="AX2234">
        <v>692</v>
      </c>
      <c r="BA2234">
        <v>1</v>
      </c>
      <c r="BC2234" t="s">
        <v>4568</v>
      </c>
      <c r="BD2234" s="4">
        <v>43283.12222222222</v>
      </c>
      <c r="BE2234" s="4">
        <v>43283.126782407409</v>
      </c>
      <c r="BF2234" s="4">
        <v>43283.126782407409</v>
      </c>
      <c r="BG2234" t="s">
        <v>83</v>
      </c>
      <c r="BH2234" t="s">
        <v>84</v>
      </c>
      <c r="BI2234" t="s">
        <v>85</v>
      </c>
    </row>
    <row r="2235" spans="1:61" x14ac:dyDescent="0.3">
      <c r="A2235" t="str">
        <f>"200077C0200"</f>
        <v>200077C0200</v>
      </c>
      <c r="B2235" t="s">
        <v>4569</v>
      </c>
      <c r="C2235">
        <v>20</v>
      </c>
      <c r="D2235" t="s">
        <v>79</v>
      </c>
      <c r="E2235">
        <v>11</v>
      </c>
      <c r="F2235" t="s">
        <v>4565</v>
      </c>
      <c r="G2235">
        <v>77</v>
      </c>
      <c r="H2235">
        <v>2</v>
      </c>
      <c r="I2235" t="s">
        <v>89</v>
      </c>
      <c r="J2235">
        <v>0</v>
      </c>
      <c r="K2235">
        <v>2</v>
      </c>
      <c r="L2235">
        <v>2</v>
      </c>
      <c r="M2235">
        <v>225</v>
      </c>
      <c r="N2235">
        <v>486</v>
      </c>
      <c r="O2235">
        <v>0</v>
      </c>
      <c r="P2235">
        <v>486</v>
      </c>
      <c r="Q2235">
        <v>36</v>
      </c>
      <c r="R2235">
        <v>126</v>
      </c>
      <c r="S2235">
        <v>7</v>
      </c>
      <c r="T2235">
        <v>4</v>
      </c>
      <c r="U2235">
        <v>21</v>
      </c>
      <c r="V2235">
        <v>16</v>
      </c>
      <c r="W2235">
        <v>45</v>
      </c>
      <c r="X2235">
        <v>4</v>
      </c>
      <c r="Y2235">
        <v>155</v>
      </c>
      <c r="Z2235">
        <v>6</v>
      </c>
      <c r="AA2235">
        <v>17</v>
      </c>
      <c r="AB2235">
        <v>8</v>
      </c>
      <c r="AC2235" t="s">
        <v>100</v>
      </c>
      <c r="AD2235" t="s">
        <v>100</v>
      </c>
      <c r="AE2235" t="s">
        <v>100</v>
      </c>
      <c r="AF2235" t="s">
        <v>100</v>
      </c>
      <c r="AG2235" t="s">
        <v>100</v>
      </c>
      <c r="AH2235">
        <v>3</v>
      </c>
      <c r="AI2235" t="s">
        <v>100</v>
      </c>
      <c r="AJ2235" t="s">
        <v>100</v>
      </c>
      <c r="AK2235">
        <v>6</v>
      </c>
      <c r="AL2235" t="s">
        <v>100</v>
      </c>
      <c r="AM2235" t="s">
        <v>100</v>
      </c>
      <c r="AN2235" t="s">
        <v>100</v>
      </c>
      <c r="AT2235" t="s">
        <v>100</v>
      </c>
      <c r="AU2235" t="s">
        <v>100</v>
      </c>
      <c r="AV2235" t="s">
        <v>100</v>
      </c>
      <c r="AW2235">
        <v>454</v>
      </c>
      <c r="AX2235">
        <v>692</v>
      </c>
      <c r="AZ2235" t="s">
        <v>101</v>
      </c>
      <c r="BA2235">
        <v>1</v>
      </c>
      <c r="BC2235" t="s">
        <v>4570</v>
      </c>
      <c r="BD2235" s="4">
        <v>43283.125694444447</v>
      </c>
      <c r="BE2235" s="4">
        <v>43283.129918981482</v>
      </c>
      <c r="BF2235" s="4">
        <v>43283.129918981482</v>
      </c>
      <c r="BG2235" t="s">
        <v>83</v>
      </c>
      <c r="BH2235" t="s">
        <v>84</v>
      </c>
      <c r="BI2235" t="s">
        <v>85</v>
      </c>
    </row>
    <row r="2236" spans="1:61" x14ac:dyDescent="0.3">
      <c r="A2236" t="str">
        <f>"200078B0100"</f>
        <v>200078B0100</v>
      </c>
      <c r="B2236" t="s">
        <v>4571</v>
      </c>
      <c r="C2236">
        <v>20</v>
      </c>
      <c r="D2236" t="s">
        <v>79</v>
      </c>
      <c r="E2236">
        <v>11</v>
      </c>
      <c r="F2236" t="s">
        <v>4565</v>
      </c>
      <c r="G2236">
        <v>78</v>
      </c>
      <c r="H2236">
        <v>1</v>
      </c>
      <c r="I2236" t="s">
        <v>81</v>
      </c>
      <c r="J2236">
        <v>0</v>
      </c>
      <c r="K2236">
        <v>2</v>
      </c>
      <c r="L2236">
        <v>2</v>
      </c>
      <c r="M2236">
        <v>98</v>
      </c>
      <c r="N2236">
        <v>397</v>
      </c>
      <c r="O2236">
        <v>3</v>
      </c>
      <c r="P2236">
        <v>394</v>
      </c>
      <c r="Q2236">
        <v>31</v>
      </c>
      <c r="R2236">
        <v>123</v>
      </c>
      <c r="S2236">
        <v>11</v>
      </c>
      <c r="T2236">
        <v>5</v>
      </c>
      <c r="U2236">
        <v>18</v>
      </c>
      <c r="V2236">
        <v>2</v>
      </c>
      <c r="W2236">
        <v>20</v>
      </c>
      <c r="X2236">
        <v>1</v>
      </c>
      <c r="Y2236">
        <v>118</v>
      </c>
      <c r="Z2236">
        <v>11</v>
      </c>
      <c r="AA2236">
        <v>18</v>
      </c>
      <c r="AB2236">
        <v>16</v>
      </c>
      <c r="AC2236" t="s">
        <v>100</v>
      </c>
      <c r="AD2236" t="s">
        <v>100</v>
      </c>
      <c r="AE2236" t="s">
        <v>100</v>
      </c>
      <c r="AF2236" t="s">
        <v>100</v>
      </c>
      <c r="AG2236" t="s">
        <v>100</v>
      </c>
      <c r="AH2236">
        <v>2</v>
      </c>
      <c r="AI2236" t="s">
        <v>100</v>
      </c>
      <c r="AJ2236" t="s">
        <v>100</v>
      </c>
      <c r="AK2236" t="s">
        <v>100</v>
      </c>
      <c r="AL2236" t="s">
        <v>100</v>
      </c>
      <c r="AM2236" t="s">
        <v>100</v>
      </c>
      <c r="AN2236" t="s">
        <v>100</v>
      </c>
      <c r="AT2236" t="s">
        <v>100</v>
      </c>
      <c r="AU2236">
        <v>21</v>
      </c>
      <c r="AV2236" t="s">
        <v>100</v>
      </c>
      <c r="AW2236">
        <v>397</v>
      </c>
      <c r="AX2236">
        <v>473</v>
      </c>
      <c r="AZ2236" t="s">
        <v>101</v>
      </c>
      <c r="BA2236">
        <v>1</v>
      </c>
      <c r="BC2236" t="s">
        <v>4572</v>
      </c>
      <c r="BD2236" s="4">
        <v>43283.12777777778</v>
      </c>
      <c r="BE2236" s="4">
        <v>43283.152743055558</v>
      </c>
      <c r="BF2236" s="4">
        <v>43283.152743055558</v>
      </c>
      <c r="BG2236" t="s">
        <v>83</v>
      </c>
      <c r="BH2236" t="s">
        <v>84</v>
      </c>
      <c r="BI2236" t="s">
        <v>85</v>
      </c>
    </row>
    <row r="2237" spans="1:61" x14ac:dyDescent="0.3">
      <c r="A2237" t="str">
        <f>"200078C0100"</f>
        <v>200078C0100</v>
      </c>
      <c r="B2237" t="s">
        <v>4573</v>
      </c>
      <c r="C2237">
        <v>20</v>
      </c>
      <c r="D2237" t="s">
        <v>79</v>
      </c>
      <c r="E2237">
        <v>11</v>
      </c>
      <c r="F2237" t="s">
        <v>4565</v>
      </c>
      <c r="G2237">
        <v>78</v>
      </c>
      <c r="H2237">
        <v>1</v>
      </c>
      <c r="I2237" t="s">
        <v>89</v>
      </c>
      <c r="J2237">
        <v>0</v>
      </c>
      <c r="K2237">
        <v>2</v>
      </c>
      <c r="L2237">
        <v>2</v>
      </c>
      <c r="M2237">
        <v>115</v>
      </c>
      <c r="N2237">
        <v>379</v>
      </c>
      <c r="O2237">
        <v>3</v>
      </c>
      <c r="P2237">
        <v>379</v>
      </c>
      <c r="Q2237">
        <v>27</v>
      </c>
      <c r="R2237">
        <v>115</v>
      </c>
      <c r="S2237">
        <v>4</v>
      </c>
      <c r="T2237">
        <v>4</v>
      </c>
      <c r="U2237">
        <v>19</v>
      </c>
      <c r="V2237">
        <v>5</v>
      </c>
      <c r="W2237">
        <v>20</v>
      </c>
      <c r="X2237">
        <v>0</v>
      </c>
      <c r="Y2237">
        <v>106</v>
      </c>
      <c r="Z2237">
        <v>8</v>
      </c>
      <c r="AA2237">
        <v>28</v>
      </c>
      <c r="AB2237">
        <v>11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2</v>
      </c>
      <c r="AI2237">
        <v>0</v>
      </c>
      <c r="AJ2237">
        <v>0</v>
      </c>
      <c r="AK2237">
        <v>1</v>
      </c>
      <c r="AL2237">
        <v>0</v>
      </c>
      <c r="AM2237">
        <v>0</v>
      </c>
      <c r="AN2237">
        <v>0</v>
      </c>
      <c r="AT2237">
        <v>0</v>
      </c>
      <c r="AU2237">
        <v>29</v>
      </c>
      <c r="AV2237">
        <v>379</v>
      </c>
      <c r="AW2237">
        <v>379</v>
      </c>
      <c r="AX2237">
        <v>472</v>
      </c>
      <c r="BA2237">
        <v>1</v>
      </c>
      <c r="BC2237" t="s">
        <v>4574</v>
      </c>
      <c r="BD2237" s="4">
        <v>43283.707812499997</v>
      </c>
      <c r="BE2237" s="4">
        <v>43283.711192129631</v>
      </c>
      <c r="BF2237" s="4">
        <v>43283.711192129631</v>
      </c>
      <c r="BG2237" t="s">
        <v>83</v>
      </c>
      <c r="BH2237" t="s">
        <v>84</v>
      </c>
      <c r="BI2237" t="s">
        <v>85</v>
      </c>
    </row>
    <row r="2238" spans="1:61" x14ac:dyDescent="0.3">
      <c r="A2238" t="str">
        <f>"200079B0100"</f>
        <v>200079B0100</v>
      </c>
      <c r="B2238" t="s">
        <v>4575</v>
      </c>
      <c r="C2238">
        <v>20</v>
      </c>
      <c r="D2238" t="s">
        <v>79</v>
      </c>
      <c r="E2238">
        <v>11</v>
      </c>
      <c r="F2238" t="s">
        <v>4565</v>
      </c>
      <c r="G2238">
        <v>79</v>
      </c>
      <c r="H2238">
        <v>1</v>
      </c>
      <c r="I2238" t="s">
        <v>81</v>
      </c>
      <c r="J2238">
        <v>0</v>
      </c>
      <c r="K2238">
        <v>2</v>
      </c>
      <c r="L2238">
        <v>2</v>
      </c>
      <c r="M2238" t="s">
        <v>100</v>
      </c>
      <c r="N2238" t="s">
        <v>100</v>
      </c>
      <c r="O2238" t="s">
        <v>100</v>
      </c>
      <c r="P2238" t="s">
        <v>100</v>
      </c>
      <c r="Q2238">
        <v>34</v>
      </c>
      <c r="R2238">
        <v>92</v>
      </c>
      <c r="S2238">
        <v>6</v>
      </c>
      <c r="T2238">
        <v>7</v>
      </c>
      <c r="U2238">
        <v>15</v>
      </c>
      <c r="V2238">
        <v>10</v>
      </c>
      <c r="W2238">
        <v>45</v>
      </c>
      <c r="X2238">
        <v>8</v>
      </c>
      <c r="Y2238">
        <v>126</v>
      </c>
      <c r="Z2238">
        <v>7</v>
      </c>
      <c r="AA2238">
        <v>13</v>
      </c>
      <c r="AB2238">
        <v>22</v>
      </c>
      <c r="AC2238">
        <v>2</v>
      </c>
      <c r="AD2238">
        <v>0</v>
      </c>
      <c r="AE2238">
        <v>0</v>
      </c>
      <c r="AF2238">
        <v>0</v>
      </c>
      <c r="AG2238">
        <v>0</v>
      </c>
      <c r="AH2238">
        <v>1</v>
      </c>
      <c r="AI2238">
        <v>0</v>
      </c>
      <c r="AJ2238">
        <v>0</v>
      </c>
      <c r="AK2238">
        <v>4</v>
      </c>
      <c r="AL2238">
        <v>1</v>
      </c>
      <c r="AM2238">
        <v>1</v>
      </c>
      <c r="AN2238">
        <v>0</v>
      </c>
      <c r="AT2238">
        <v>0</v>
      </c>
      <c r="AU2238">
        <v>25</v>
      </c>
      <c r="AV2238">
        <v>419</v>
      </c>
      <c r="AW2238">
        <v>419</v>
      </c>
      <c r="AX2238">
        <v>572</v>
      </c>
      <c r="BA2238">
        <v>1</v>
      </c>
      <c r="BC2238" t="s">
        <v>4576</v>
      </c>
      <c r="BD2238" s="4">
        <v>43283.245011574072</v>
      </c>
      <c r="BE2238" s="4">
        <v>43283.287939814814</v>
      </c>
      <c r="BF2238" s="4">
        <v>43283.287939814814</v>
      </c>
      <c r="BG2238" t="s">
        <v>83</v>
      </c>
      <c r="BH2238" t="s">
        <v>84</v>
      </c>
      <c r="BI2238" t="s">
        <v>85</v>
      </c>
    </row>
    <row r="2239" spans="1:61" x14ac:dyDescent="0.3">
      <c r="A2239" t="str">
        <f>"200079C0100"</f>
        <v>200079C0100</v>
      </c>
      <c r="B2239" t="s">
        <v>4577</v>
      </c>
      <c r="C2239">
        <v>20</v>
      </c>
      <c r="D2239" t="s">
        <v>79</v>
      </c>
      <c r="E2239">
        <v>11</v>
      </c>
      <c r="F2239" t="s">
        <v>4565</v>
      </c>
      <c r="G2239">
        <v>79</v>
      </c>
      <c r="H2239">
        <v>1</v>
      </c>
      <c r="I2239" t="s">
        <v>89</v>
      </c>
      <c r="J2239">
        <v>0</v>
      </c>
      <c r="K2239">
        <v>2</v>
      </c>
      <c r="L2239">
        <v>2</v>
      </c>
      <c r="M2239" t="s">
        <v>315</v>
      </c>
      <c r="N2239" t="s">
        <v>315</v>
      </c>
      <c r="O2239">
        <v>413</v>
      </c>
      <c r="P2239" t="s">
        <v>315</v>
      </c>
      <c r="Q2239">
        <v>41</v>
      </c>
      <c r="R2239">
        <v>66</v>
      </c>
      <c r="S2239">
        <v>10</v>
      </c>
      <c r="T2239">
        <v>2</v>
      </c>
      <c r="U2239">
        <v>23</v>
      </c>
      <c r="V2239">
        <v>9</v>
      </c>
      <c r="W2239">
        <v>24</v>
      </c>
      <c r="X2239">
        <v>0</v>
      </c>
      <c r="Y2239">
        <v>154</v>
      </c>
      <c r="Z2239">
        <v>8</v>
      </c>
      <c r="AA2239">
        <v>14</v>
      </c>
      <c r="AB2239">
        <v>1</v>
      </c>
      <c r="AC2239">
        <v>2</v>
      </c>
      <c r="AD2239">
        <v>1</v>
      </c>
      <c r="AE2239">
        <v>1</v>
      </c>
      <c r="AF2239">
        <v>0</v>
      </c>
      <c r="AG2239">
        <v>1</v>
      </c>
      <c r="AH2239">
        <v>1</v>
      </c>
      <c r="AI2239">
        <v>0</v>
      </c>
      <c r="AJ2239">
        <v>0</v>
      </c>
      <c r="AK2239">
        <v>3</v>
      </c>
      <c r="AL2239">
        <v>0</v>
      </c>
      <c r="AM2239">
        <v>0</v>
      </c>
      <c r="AN2239">
        <v>0</v>
      </c>
      <c r="AT2239" t="s">
        <v>100</v>
      </c>
      <c r="AU2239">
        <v>28</v>
      </c>
      <c r="AV2239">
        <v>399</v>
      </c>
      <c r="AW2239">
        <v>389</v>
      </c>
      <c r="AX2239">
        <v>572</v>
      </c>
      <c r="AZ2239" t="s">
        <v>101</v>
      </c>
      <c r="BA2239">
        <v>1</v>
      </c>
      <c r="BC2239" t="s">
        <v>4578</v>
      </c>
      <c r="BD2239" s="4">
        <v>43283.624178240738</v>
      </c>
      <c r="BE2239" s="4">
        <v>43283.634699074071</v>
      </c>
      <c r="BF2239" s="4">
        <v>43283.634699074071</v>
      </c>
      <c r="BG2239" t="s">
        <v>83</v>
      </c>
      <c r="BH2239" t="s">
        <v>84</v>
      </c>
      <c r="BI2239" t="s">
        <v>548</v>
      </c>
    </row>
    <row r="2240" spans="1:61" x14ac:dyDescent="0.3">
      <c r="A2240" t="str">
        <f>"200079C0200"</f>
        <v>200079C0200</v>
      </c>
      <c r="B2240" t="s">
        <v>4579</v>
      </c>
      <c r="C2240">
        <v>20</v>
      </c>
      <c r="D2240" t="s">
        <v>79</v>
      </c>
      <c r="E2240">
        <v>11</v>
      </c>
      <c r="F2240" t="s">
        <v>4565</v>
      </c>
      <c r="G2240">
        <v>79</v>
      </c>
      <c r="H2240">
        <v>2</v>
      </c>
      <c r="I2240" t="s">
        <v>89</v>
      </c>
      <c r="J2240">
        <v>0</v>
      </c>
      <c r="K2240">
        <v>2</v>
      </c>
      <c r="L2240">
        <v>2</v>
      </c>
      <c r="M2240">
        <v>188</v>
      </c>
      <c r="N2240">
        <v>406</v>
      </c>
      <c r="O2240">
        <v>0</v>
      </c>
      <c r="P2240">
        <v>406</v>
      </c>
      <c r="Q2240">
        <v>30</v>
      </c>
      <c r="R2240">
        <v>84</v>
      </c>
      <c r="S2240">
        <v>4</v>
      </c>
      <c r="T2240">
        <v>2</v>
      </c>
      <c r="U2240">
        <v>21</v>
      </c>
      <c r="V2240">
        <v>11</v>
      </c>
      <c r="W2240">
        <v>32</v>
      </c>
      <c r="X2240">
        <v>2</v>
      </c>
      <c r="Y2240">
        <v>156</v>
      </c>
      <c r="Z2240">
        <v>4</v>
      </c>
      <c r="AA2240">
        <v>12</v>
      </c>
      <c r="AB2240">
        <v>18</v>
      </c>
      <c r="AC2240">
        <v>0</v>
      </c>
      <c r="AD2240">
        <v>1</v>
      </c>
      <c r="AE2240">
        <v>0</v>
      </c>
      <c r="AF2240">
        <v>0</v>
      </c>
      <c r="AG2240">
        <v>1</v>
      </c>
      <c r="AH2240">
        <v>1</v>
      </c>
      <c r="AI2240">
        <v>0</v>
      </c>
      <c r="AJ2240">
        <v>0</v>
      </c>
      <c r="AK2240">
        <v>3</v>
      </c>
      <c r="AL2240">
        <v>3</v>
      </c>
      <c r="AM2240">
        <v>0</v>
      </c>
      <c r="AN2240">
        <v>0</v>
      </c>
      <c r="AT2240">
        <v>0</v>
      </c>
      <c r="AU2240">
        <v>21</v>
      </c>
      <c r="AV2240">
        <v>406</v>
      </c>
      <c r="AW2240">
        <v>406</v>
      </c>
      <c r="AX2240">
        <v>572</v>
      </c>
      <c r="BA2240">
        <v>1</v>
      </c>
      <c r="BC2240" t="s">
        <v>4580</v>
      </c>
      <c r="BD2240" s="4">
        <v>43283.250960648147</v>
      </c>
      <c r="BE2240" s="4">
        <v>43283.274826388886</v>
      </c>
      <c r="BF2240" s="4">
        <v>43283.274826388886</v>
      </c>
      <c r="BG2240" t="s">
        <v>83</v>
      </c>
      <c r="BH2240" t="s">
        <v>84</v>
      </c>
      <c r="BI2240" t="s">
        <v>85</v>
      </c>
    </row>
    <row r="2241" spans="1:61" x14ac:dyDescent="0.3">
      <c r="A2241" t="str">
        <f>"200080B0100"</f>
        <v>200080B0100</v>
      </c>
      <c r="B2241" t="s">
        <v>4581</v>
      </c>
      <c r="C2241">
        <v>20</v>
      </c>
      <c r="D2241" t="s">
        <v>79</v>
      </c>
      <c r="E2241">
        <v>11</v>
      </c>
      <c r="F2241" t="s">
        <v>4565</v>
      </c>
      <c r="G2241">
        <v>80</v>
      </c>
      <c r="H2241">
        <v>1</v>
      </c>
      <c r="I2241" t="s">
        <v>81</v>
      </c>
      <c r="J2241">
        <v>0</v>
      </c>
      <c r="K2241">
        <v>2</v>
      </c>
      <c r="L2241">
        <v>2</v>
      </c>
      <c r="M2241">
        <v>204</v>
      </c>
      <c r="N2241">
        <v>383</v>
      </c>
      <c r="O2241">
        <v>2</v>
      </c>
      <c r="P2241">
        <v>380</v>
      </c>
      <c r="Q2241">
        <v>37</v>
      </c>
      <c r="R2241">
        <v>73</v>
      </c>
      <c r="S2241">
        <v>4</v>
      </c>
      <c r="T2241">
        <v>7</v>
      </c>
      <c r="U2241">
        <v>28</v>
      </c>
      <c r="V2241">
        <v>8</v>
      </c>
      <c r="W2241">
        <v>10</v>
      </c>
      <c r="X2241">
        <v>6</v>
      </c>
      <c r="Y2241">
        <v>140</v>
      </c>
      <c r="Z2241">
        <v>14</v>
      </c>
      <c r="AA2241">
        <v>8</v>
      </c>
      <c r="AB2241">
        <v>16</v>
      </c>
      <c r="AC2241">
        <v>0</v>
      </c>
      <c r="AD2241">
        <v>1</v>
      </c>
      <c r="AE2241">
        <v>0</v>
      </c>
      <c r="AF2241">
        <v>0</v>
      </c>
      <c r="AG2241">
        <v>0</v>
      </c>
      <c r="AH2241">
        <v>4</v>
      </c>
      <c r="AI2241">
        <v>0</v>
      </c>
      <c r="AJ2241">
        <v>0</v>
      </c>
      <c r="AK2241">
        <v>2</v>
      </c>
      <c r="AL2241">
        <v>2</v>
      </c>
      <c r="AM2241">
        <v>1</v>
      </c>
      <c r="AN2241">
        <v>0</v>
      </c>
      <c r="AT2241">
        <v>0</v>
      </c>
      <c r="AU2241">
        <v>19</v>
      </c>
      <c r="AV2241">
        <v>380</v>
      </c>
      <c r="AW2241">
        <v>380</v>
      </c>
      <c r="AX2241">
        <v>565</v>
      </c>
      <c r="BA2241">
        <v>1</v>
      </c>
      <c r="BC2241" t="s">
        <v>4582</v>
      </c>
      <c r="BD2241" s="4">
        <v>43283.246087962965</v>
      </c>
      <c r="BE2241" s="4">
        <v>43283.268449074072</v>
      </c>
      <c r="BF2241" s="4">
        <v>43283.268449074072</v>
      </c>
      <c r="BG2241" t="s">
        <v>83</v>
      </c>
      <c r="BH2241" t="s">
        <v>84</v>
      </c>
      <c r="BI2241" t="s">
        <v>85</v>
      </c>
    </row>
    <row r="2242" spans="1:61" x14ac:dyDescent="0.3">
      <c r="A2242" t="str">
        <f>"200080C0100"</f>
        <v>200080C0100</v>
      </c>
      <c r="B2242" t="s">
        <v>4583</v>
      </c>
      <c r="C2242">
        <v>20</v>
      </c>
      <c r="D2242" t="s">
        <v>79</v>
      </c>
      <c r="E2242">
        <v>11</v>
      </c>
      <c r="F2242" t="s">
        <v>4565</v>
      </c>
      <c r="G2242">
        <v>80</v>
      </c>
      <c r="H2242">
        <v>1</v>
      </c>
      <c r="I2242" t="s">
        <v>89</v>
      </c>
      <c r="J2242">
        <v>0</v>
      </c>
      <c r="K2242">
        <v>2</v>
      </c>
      <c r="L2242">
        <v>2</v>
      </c>
      <c r="M2242">
        <v>197</v>
      </c>
      <c r="N2242">
        <v>389</v>
      </c>
      <c r="O2242">
        <v>2</v>
      </c>
      <c r="P2242">
        <v>392</v>
      </c>
      <c r="Q2242">
        <v>36</v>
      </c>
      <c r="R2242">
        <v>80</v>
      </c>
      <c r="S2242">
        <v>6</v>
      </c>
      <c r="T2242">
        <v>2</v>
      </c>
      <c r="U2242">
        <v>33</v>
      </c>
      <c r="V2242">
        <v>9</v>
      </c>
      <c r="W2242">
        <v>16</v>
      </c>
      <c r="X2242">
        <v>7</v>
      </c>
      <c r="Y2242">
        <v>133</v>
      </c>
      <c r="Z2242">
        <v>5</v>
      </c>
      <c r="AA2242">
        <v>25</v>
      </c>
      <c r="AB2242">
        <v>3</v>
      </c>
      <c r="AC2242">
        <v>0</v>
      </c>
      <c r="AD2242">
        <v>1</v>
      </c>
      <c r="AE2242">
        <v>0</v>
      </c>
      <c r="AF2242">
        <v>0</v>
      </c>
      <c r="AG2242">
        <v>8</v>
      </c>
      <c r="AH2242">
        <v>3</v>
      </c>
      <c r="AI2242">
        <v>0</v>
      </c>
      <c r="AJ2242">
        <v>0</v>
      </c>
      <c r="AK2242">
        <v>2</v>
      </c>
      <c r="AL2242">
        <v>2</v>
      </c>
      <c r="AM2242">
        <v>0</v>
      </c>
      <c r="AN2242">
        <v>2</v>
      </c>
      <c r="AT2242">
        <v>0</v>
      </c>
      <c r="AU2242">
        <v>19</v>
      </c>
      <c r="AV2242">
        <v>392</v>
      </c>
      <c r="AW2242">
        <v>392</v>
      </c>
      <c r="AX2242">
        <v>564</v>
      </c>
      <c r="BA2242">
        <v>1</v>
      </c>
      <c r="BC2242" t="s">
        <v>4584</v>
      </c>
      <c r="BD2242" s="4">
        <v>43283.253807870373</v>
      </c>
      <c r="BE2242" s="4">
        <v>43283.278067129628</v>
      </c>
      <c r="BF2242" s="4">
        <v>43283.278067129628</v>
      </c>
      <c r="BG2242" t="s">
        <v>83</v>
      </c>
      <c r="BH2242" t="s">
        <v>84</v>
      </c>
      <c r="BI2242" t="s">
        <v>85</v>
      </c>
    </row>
    <row r="2243" spans="1:61" x14ac:dyDescent="0.3">
      <c r="A2243" t="str">
        <f>"200081B0100"</f>
        <v>200081B0100</v>
      </c>
      <c r="B2243" t="s">
        <v>4585</v>
      </c>
      <c r="C2243">
        <v>20</v>
      </c>
      <c r="D2243" t="s">
        <v>79</v>
      </c>
      <c r="E2243">
        <v>11</v>
      </c>
      <c r="F2243" t="s">
        <v>4565</v>
      </c>
      <c r="G2243">
        <v>81</v>
      </c>
      <c r="H2243">
        <v>1</v>
      </c>
      <c r="I2243" t="s">
        <v>81</v>
      </c>
      <c r="J2243">
        <v>0</v>
      </c>
      <c r="K2243">
        <v>2</v>
      </c>
      <c r="L2243">
        <v>2</v>
      </c>
      <c r="AX2243">
        <v>134</v>
      </c>
      <c r="AZ2243" t="s">
        <v>156</v>
      </c>
      <c r="BA2243">
        <v>0</v>
      </c>
      <c r="BC2243" t="s">
        <v>4586</v>
      </c>
      <c r="BD2243" s="4">
        <v>43283.773645833331</v>
      </c>
      <c r="BE2243" s="4">
        <v>43283.778240740743</v>
      </c>
      <c r="BF2243" s="4">
        <v>43283.778240740743</v>
      </c>
      <c r="BG2243" t="s">
        <v>83</v>
      </c>
      <c r="BH2243" t="s">
        <v>84</v>
      </c>
      <c r="BI2243" t="s">
        <v>85</v>
      </c>
    </row>
    <row r="2244" spans="1:61" x14ac:dyDescent="0.3">
      <c r="A2244" t="str">
        <f>"200082B0100"</f>
        <v>200082B0100</v>
      </c>
      <c r="B2244" t="s">
        <v>4587</v>
      </c>
      <c r="C2244">
        <v>20</v>
      </c>
      <c r="D2244" t="s">
        <v>79</v>
      </c>
      <c r="E2244">
        <v>11</v>
      </c>
      <c r="F2244" t="s">
        <v>4565</v>
      </c>
      <c r="G2244">
        <v>82</v>
      </c>
      <c r="H2244">
        <v>1</v>
      </c>
      <c r="I2244" t="s">
        <v>81</v>
      </c>
      <c r="J2244">
        <v>0</v>
      </c>
      <c r="K2244">
        <v>2</v>
      </c>
      <c r="L2244">
        <v>2</v>
      </c>
      <c r="M2244">
        <v>193</v>
      </c>
      <c r="N2244" t="s">
        <v>315</v>
      </c>
      <c r="O2244">
        <v>2</v>
      </c>
      <c r="P2244">
        <v>332</v>
      </c>
      <c r="Q2244" t="s">
        <v>315</v>
      </c>
      <c r="R2244" t="s">
        <v>315</v>
      </c>
      <c r="S2244">
        <v>8</v>
      </c>
      <c r="T2244">
        <v>7</v>
      </c>
      <c r="U2244">
        <v>35</v>
      </c>
      <c r="V2244">
        <v>2</v>
      </c>
      <c r="W2244">
        <v>15</v>
      </c>
      <c r="X2244">
        <v>3</v>
      </c>
      <c r="Y2244">
        <v>278</v>
      </c>
      <c r="Z2244">
        <v>6</v>
      </c>
      <c r="AA2244">
        <v>38</v>
      </c>
      <c r="AB2244">
        <v>7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4</v>
      </c>
      <c r="AL2244">
        <v>1</v>
      </c>
      <c r="AM2244">
        <v>0</v>
      </c>
      <c r="AN2244">
        <v>0</v>
      </c>
      <c r="AT2244">
        <v>0</v>
      </c>
      <c r="AU2244">
        <v>20</v>
      </c>
      <c r="AV2244">
        <v>332</v>
      </c>
      <c r="AW2244">
        <v>424</v>
      </c>
      <c r="AX2244">
        <v>503</v>
      </c>
      <c r="AZ2244" t="s">
        <v>101</v>
      </c>
      <c r="BA2244">
        <v>1</v>
      </c>
      <c r="BC2244" t="s">
        <v>4588</v>
      </c>
      <c r="BD2244" s="4">
        <v>43283.119444444441</v>
      </c>
      <c r="BE2244" s="4">
        <v>43283.140856481485</v>
      </c>
      <c r="BF2244" s="4">
        <v>43283.140856481485</v>
      </c>
      <c r="BG2244" t="s">
        <v>83</v>
      </c>
      <c r="BH2244" t="s">
        <v>84</v>
      </c>
      <c r="BI2244" t="s">
        <v>1331</v>
      </c>
    </row>
    <row r="2245" spans="1:61" x14ac:dyDescent="0.3">
      <c r="A2245" t="str">
        <f>"200082C0100"</f>
        <v>200082C0100</v>
      </c>
      <c r="B2245" t="s">
        <v>4589</v>
      </c>
      <c r="C2245">
        <v>20</v>
      </c>
      <c r="D2245" t="s">
        <v>79</v>
      </c>
      <c r="E2245">
        <v>11</v>
      </c>
      <c r="F2245" t="s">
        <v>4565</v>
      </c>
      <c r="G2245">
        <v>82</v>
      </c>
      <c r="H2245">
        <v>1</v>
      </c>
      <c r="I2245" t="s">
        <v>89</v>
      </c>
      <c r="J2245">
        <v>0</v>
      </c>
      <c r="K2245">
        <v>2</v>
      </c>
      <c r="L2245">
        <v>2</v>
      </c>
      <c r="M2245">
        <v>196</v>
      </c>
      <c r="N2245">
        <v>329</v>
      </c>
      <c r="O2245">
        <v>2</v>
      </c>
      <c r="P2245">
        <v>329</v>
      </c>
      <c r="Q2245">
        <v>18</v>
      </c>
      <c r="R2245">
        <v>73</v>
      </c>
      <c r="S2245">
        <v>8</v>
      </c>
      <c r="T2245">
        <v>4</v>
      </c>
      <c r="U2245">
        <v>26</v>
      </c>
      <c r="V2245">
        <v>8</v>
      </c>
      <c r="W2245">
        <v>15</v>
      </c>
      <c r="X2245">
        <v>1</v>
      </c>
      <c r="Y2245">
        <v>116</v>
      </c>
      <c r="Z2245">
        <v>6</v>
      </c>
      <c r="AA2245">
        <v>23</v>
      </c>
      <c r="AB2245">
        <v>9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2</v>
      </c>
      <c r="AI2245">
        <v>0</v>
      </c>
      <c r="AJ2245">
        <v>0</v>
      </c>
      <c r="AK2245">
        <v>2</v>
      </c>
      <c r="AL2245">
        <v>0</v>
      </c>
      <c r="AM2245">
        <v>0</v>
      </c>
      <c r="AN2245">
        <v>1</v>
      </c>
      <c r="AT2245">
        <v>0</v>
      </c>
      <c r="AU2245">
        <v>17</v>
      </c>
      <c r="AV2245">
        <v>329</v>
      </c>
      <c r="AW2245">
        <v>329</v>
      </c>
      <c r="AX2245">
        <v>503</v>
      </c>
      <c r="BA2245">
        <v>1</v>
      </c>
      <c r="BC2245" t="s">
        <v>4590</v>
      </c>
      <c r="BD2245" s="4">
        <v>43283.091666666667</v>
      </c>
      <c r="BE2245" s="4">
        <v>43283.095717592594</v>
      </c>
      <c r="BF2245" s="4">
        <v>43283.095717592594</v>
      </c>
      <c r="BG2245" t="s">
        <v>83</v>
      </c>
      <c r="BH2245" t="s">
        <v>84</v>
      </c>
      <c r="BI2245" t="s">
        <v>85</v>
      </c>
    </row>
    <row r="2246" spans="1:61" x14ac:dyDescent="0.3">
      <c r="A2246" t="str">
        <f>"200083B0100"</f>
        <v>200083B0100</v>
      </c>
      <c r="B2246" t="s">
        <v>4591</v>
      </c>
      <c r="C2246">
        <v>20</v>
      </c>
      <c r="D2246" t="s">
        <v>79</v>
      </c>
      <c r="E2246">
        <v>11</v>
      </c>
      <c r="F2246" t="s">
        <v>4565</v>
      </c>
      <c r="G2246">
        <v>83</v>
      </c>
      <c r="H2246">
        <v>1</v>
      </c>
      <c r="I2246" t="s">
        <v>81</v>
      </c>
      <c r="J2246">
        <v>0</v>
      </c>
      <c r="K2246">
        <v>2</v>
      </c>
      <c r="L2246">
        <v>2</v>
      </c>
      <c r="AX2246">
        <v>444</v>
      </c>
      <c r="AZ2246" t="s">
        <v>156</v>
      </c>
      <c r="BA2246">
        <v>0</v>
      </c>
      <c r="BC2246" t="s">
        <v>4592</v>
      </c>
      <c r="BD2246" s="4">
        <v>43283.772465277776</v>
      </c>
      <c r="BE2246" s="4">
        <v>43283.774918981479</v>
      </c>
      <c r="BF2246" s="4">
        <v>43283.774918981479</v>
      </c>
      <c r="BG2246" t="s">
        <v>83</v>
      </c>
      <c r="BH2246" t="s">
        <v>84</v>
      </c>
      <c r="BI2246" t="s">
        <v>85</v>
      </c>
    </row>
    <row r="2247" spans="1:61" x14ac:dyDescent="0.3">
      <c r="A2247" t="str">
        <f>"200083E0100"</f>
        <v>200083E0100</v>
      </c>
      <c r="B2247" s="2" t="s">
        <v>4593</v>
      </c>
      <c r="C2247">
        <v>20</v>
      </c>
      <c r="D2247" t="s">
        <v>79</v>
      </c>
      <c r="E2247">
        <v>11</v>
      </c>
      <c r="F2247" t="s">
        <v>4565</v>
      </c>
      <c r="G2247">
        <v>83</v>
      </c>
      <c r="H2247">
        <v>1</v>
      </c>
      <c r="I2247" t="s">
        <v>145</v>
      </c>
      <c r="J2247">
        <v>0</v>
      </c>
      <c r="K2247">
        <v>2</v>
      </c>
      <c r="L2247">
        <v>2</v>
      </c>
      <c r="AX2247">
        <v>167</v>
      </c>
      <c r="AZ2247" t="s">
        <v>156</v>
      </c>
      <c r="BA2247">
        <v>0</v>
      </c>
      <c r="BC2247" t="s">
        <v>4594</v>
      </c>
      <c r="BD2247" s="4">
        <v>43283.774247685185</v>
      </c>
      <c r="BE2247" s="4">
        <v>43283.779074074075</v>
      </c>
      <c r="BF2247" s="4">
        <v>43283.779074074075</v>
      </c>
      <c r="BG2247" t="s">
        <v>83</v>
      </c>
      <c r="BH2247" t="s">
        <v>84</v>
      </c>
      <c r="BI2247" t="s">
        <v>85</v>
      </c>
    </row>
    <row r="2248" spans="1:61" x14ac:dyDescent="0.3">
      <c r="A2248" t="str">
        <f>"200084B0100"</f>
        <v>200084B0100</v>
      </c>
      <c r="B2248" t="s">
        <v>4595</v>
      </c>
      <c r="C2248">
        <v>20</v>
      </c>
      <c r="D2248" t="s">
        <v>79</v>
      </c>
      <c r="E2248">
        <v>11</v>
      </c>
      <c r="F2248" t="s">
        <v>4565</v>
      </c>
      <c r="G2248">
        <v>84</v>
      </c>
      <c r="H2248">
        <v>1</v>
      </c>
      <c r="I2248" t="s">
        <v>81</v>
      </c>
      <c r="J2248">
        <v>0</v>
      </c>
      <c r="K2248">
        <v>2</v>
      </c>
      <c r="L2248">
        <v>2</v>
      </c>
      <c r="AX2248">
        <v>209</v>
      </c>
      <c r="AZ2248" t="s">
        <v>156</v>
      </c>
      <c r="BA2248">
        <v>0</v>
      </c>
      <c r="BC2248" t="s">
        <v>4596</v>
      </c>
      <c r="BD2248" s="4">
        <v>43283.773923611108</v>
      </c>
      <c r="BE2248" s="4">
        <v>43283.778703703705</v>
      </c>
      <c r="BF2248" s="4">
        <v>43283.778703703705</v>
      </c>
      <c r="BG2248" t="s">
        <v>83</v>
      </c>
      <c r="BH2248" t="s">
        <v>84</v>
      </c>
      <c r="BI2248" t="s">
        <v>85</v>
      </c>
    </row>
    <row r="2249" spans="1:61" x14ac:dyDescent="0.3">
      <c r="A2249" t="str">
        <f>"200084E0100"</f>
        <v>200084E0100</v>
      </c>
      <c r="B2249" s="2" t="s">
        <v>4597</v>
      </c>
      <c r="C2249">
        <v>20</v>
      </c>
      <c r="D2249" t="s">
        <v>79</v>
      </c>
      <c r="E2249">
        <v>11</v>
      </c>
      <c r="F2249" t="s">
        <v>4565</v>
      </c>
      <c r="G2249">
        <v>84</v>
      </c>
      <c r="H2249">
        <v>1</v>
      </c>
      <c r="I2249" t="s">
        <v>145</v>
      </c>
      <c r="J2249">
        <v>0</v>
      </c>
      <c r="K2249">
        <v>2</v>
      </c>
      <c r="L2249">
        <v>2</v>
      </c>
      <c r="AX2249">
        <v>458</v>
      </c>
      <c r="AZ2249" t="s">
        <v>156</v>
      </c>
      <c r="BA2249">
        <v>0</v>
      </c>
      <c r="BC2249" t="s">
        <v>4598</v>
      </c>
      <c r="BD2249" s="4">
        <v>43283.773368055554</v>
      </c>
      <c r="BE2249" s="4">
        <v>43283.777870370373</v>
      </c>
      <c r="BF2249" s="4">
        <v>43283.777870370373</v>
      </c>
      <c r="BG2249" t="s">
        <v>83</v>
      </c>
      <c r="BH2249" t="s">
        <v>84</v>
      </c>
      <c r="BI2249" t="s">
        <v>85</v>
      </c>
    </row>
    <row r="2250" spans="1:61" x14ac:dyDescent="0.3">
      <c r="A2250" t="str">
        <f>"200084E0101"</f>
        <v>200084E0101</v>
      </c>
      <c r="B2250" s="2" t="s">
        <v>4599</v>
      </c>
      <c r="C2250">
        <v>20</v>
      </c>
      <c r="D2250" t="s">
        <v>79</v>
      </c>
      <c r="E2250">
        <v>11</v>
      </c>
      <c r="F2250" t="s">
        <v>4565</v>
      </c>
      <c r="G2250">
        <v>84</v>
      </c>
      <c r="H2250">
        <v>1</v>
      </c>
      <c r="I2250" t="s">
        <v>145</v>
      </c>
      <c r="J2250">
        <v>1</v>
      </c>
      <c r="K2250">
        <v>2</v>
      </c>
      <c r="L2250">
        <v>2</v>
      </c>
      <c r="M2250">
        <v>151</v>
      </c>
      <c r="N2250">
        <v>324</v>
      </c>
      <c r="O2250" t="s">
        <v>315</v>
      </c>
      <c r="P2250">
        <v>329</v>
      </c>
      <c r="Q2250">
        <v>23</v>
      </c>
      <c r="R2250">
        <v>69</v>
      </c>
      <c r="S2250">
        <v>3</v>
      </c>
      <c r="T2250">
        <v>2</v>
      </c>
      <c r="U2250">
        <v>16</v>
      </c>
      <c r="V2250">
        <v>18</v>
      </c>
      <c r="W2250">
        <v>17</v>
      </c>
      <c r="X2250">
        <v>4</v>
      </c>
      <c r="Y2250">
        <v>125</v>
      </c>
      <c r="Z2250">
        <v>8</v>
      </c>
      <c r="AA2250">
        <v>8</v>
      </c>
      <c r="AB2250">
        <v>16</v>
      </c>
      <c r="AC2250">
        <v>0</v>
      </c>
      <c r="AD2250">
        <v>0</v>
      </c>
      <c r="AE2250">
        <v>0</v>
      </c>
      <c r="AF2250">
        <v>0</v>
      </c>
      <c r="AG2250">
        <v>1</v>
      </c>
      <c r="AH2250">
        <v>0</v>
      </c>
      <c r="AI2250">
        <v>0</v>
      </c>
      <c r="AJ2250">
        <v>0</v>
      </c>
      <c r="AK2250">
        <v>3</v>
      </c>
      <c r="AL2250">
        <v>0</v>
      </c>
      <c r="AM2250">
        <v>0</v>
      </c>
      <c r="AN2250">
        <v>0</v>
      </c>
      <c r="AT2250">
        <v>0</v>
      </c>
      <c r="AU2250">
        <v>16</v>
      </c>
      <c r="AV2250">
        <v>329</v>
      </c>
      <c r="AW2250">
        <v>329</v>
      </c>
      <c r="AX2250">
        <v>458</v>
      </c>
      <c r="BA2250">
        <v>1</v>
      </c>
      <c r="BC2250" t="s">
        <v>4600</v>
      </c>
      <c r="BD2250" s="4">
        <v>43283.197881944441</v>
      </c>
      <c r="BE2250" s="4">
        <v>43283.213263888887</v>
      </c>
      <c r="BF2250" s="4">
        <v>43283.213263888887</v>
      </c>
      <c r="BG2250" t="s">
        <v>83</v>
      </c>
      <c r="BH2250" t="s">
        <v>84</v>
      </c>
      <c r="BI2250" t="s">
        <v>85</v>
      </c>
    </row>
    <row r="2251" spans="1:61" x14ac:dyDescent="0.3">
      <c r="A2251" t="str">
        <f>"200085B0100"</f>
        <v>200085B0100</v>
      </c>
      <c r="B2251" t="s">
        <v>4601</v>
      </c>
      <c r="C2251">
        <v>20</v>
      </c>
      <c r="D2251" t="s">
        <v>79</v>
      </c>
      <c r="E2251">
        <v>11</v>
      </c>
      <c r="F2251" t="s">
        <v>4565</v>
      </c>
      <c r="G2251">
        <v>85</v>
      </c>
      <c r="H2251">
        <v>1</v>
      </c>
      <c r="I2251" t="s">
        <v>81</v>
      </c>
      <c r="J2251">
        <v>0</v>
      </c>
      <c r="K2251">
        <v>2</v>
      </c>
      <c r="L2251">
        <v>2</v>
      </c>
      <c r="M2251">
        <v>132</v>
      </c>
      <c r="N2251">
        <v>324</v>
      </c>
      <c r="O2251">
        <v>3</v>
      </c>
      <c r="P2251" t="s">
        <v>100</v>
      </c>
      <c r="Q2251">
        <v>23</v>
      </c>
      <c r="R2251">
        <v>69</v>
      </c>
      <c r="S2251" t="s">
        <v>100</v>
      </c>
      <c r="T2251" t="s">
        <v>100</v>
      </c>
      <c r="U2251" t="s">
        <v>100</v>
      </c>
      <c r="V2251" t="s">
        <v>100</v>
      </c>
      <c r="W2251" t="s">
        <v>100</v>
      </c>
      <c r="X2251" t="s">
        <v>100</v>
      </c>
      <c r="Y2251" t="s">
        <v>100</v>
      </c>
      <c r="Z2251" t="s">
        <v>100</v>
      </c>
      <c r="AA2251" t="s">
        <v>100</v>
      </c>
      <c r="AB2251" t="s">
        <v>100</v>
      </c>
      <c r="AC2251" t="s">
        <v>100</v>
      </c>
      <c r="AD2251" t="s">
        <v>100</v>
      </c>
      <c r="AE2251" t="s">
        <v>100</v>
      </c>
      <c r="AF2251" t="s">
        <v>100</v>
      </c>
      <c r="AG2251" t="s">
        <v>100</v>
      </c>
      <c r="AH2251" t="s">
        <v>100</v>
      </c>
      <c r="AI2251" t="s">
        <v>100</v>
      </c>
      <c r="AJ2251" t="s">
        <v>100</v>
      </c>
      <c r="AK2251" t="s">
        <v>100</v>
      </c>
      <c r="AL2251" t="s">
        <v>100</v>
      </c>
      <c r="AM2251" t="s">
        <v>100</v>
      </c>
      <c r="AN2251" t="s">
        <v>100</v>
      </c>
      <c r="AT2251" t="s">
        <v>100</v>
      </c>
      <c r="AU2251" t="s">
        <v>100</v>
      </c>
      <c r="AV2251" t="s">
        <v>100</v>
      </c>
      <c r="AW2251">
        <v>92</v>
      </c>
      <c r="AX2251">
        <v>431</v>
      </c>
      <c r="AZ2251" t="s">
        <v>101</v>
      </c>
      <c r="BA2251">
        <v>1</v>
      </c>
      <c r="BC2251" t="s">
        <v>4602</v>
      </c>
      <c r="BD2251" s="4">
        <v>43283.241909722223</v>
      </c>
      <c r="BE2251" s="4">
        <v>43283.263460648152</v>
      </c>
      <c r="BF2251" s="4">
        <v>43283.263460648152</v>
      </c>
      <c r="BG2251" t="s">
        <v>83</v>
      </c>
      <c r="BH2251" t="s">
        <v>84</v>
      </c>
      <c r="BI2251" t="s">
        <v>85</v>
      </c>
    </row>
    <row r="2252" spans="1:61" x14ac:dyDescent="0.3">
      <c r="A2252" t="str">
        <f>"200086B0100"</f>
        <v>200086B0100</v>
      </c>
      <c r="B2252" t="s">
        <v>4603</v>
      </c>
      <c r="C2252">
        <v>20</v>
      </c>
      <c r="D2252" t="s">
        <v>79</v>
      </c>
      <c r="E2252">
        <v>11</v>
      </c>
      <c r="F2252" t="s">
        <v>4565</v>
      </c>
      <c r="G2252">
        <v>86</v>
      </c>
      <c r="H2252">
        <v>1</v>
      </c>
      <c r="I2252" t="s">
        <v>81</v>
      </c>
      <c r="J2252">
        <v>0</v>
      </c>
      <c r="K2252">
        <v>2</v>
      </c>
      <c r="L2252">
        <v>2</v>
      </c>
      <c r="M2252">
        <v>152</v>
      </c>
      <c r="N2252">
        <v>386</v>
      </c>
      <c r="O2252">
        <v>5</v>
      </c>
      <c r="P2252">
        <v>390</v>
      </c>
      <c r="Q2252">
        <v>8</v>
      </c>
      <c r="R2252">
        <v>129</v>
      </c>
      <c r="S2252">
        <v>7</v>
      </c>
      <c r="T2252">
        <v>1</v>
      </c>
      <c r="U2252">
        <v>10</v>
      </c>
      <c r="V2252">
        <v>5</v>
      </c>
      <c r="W2252">
        <v>66</v>
      </c>
      <c r="X2252">
        <v>2</v>
      </c>
      <c r="Y2252">
        <v>102</v>
      </c>
      <c r="Z2252">
        <v>3</v>
      </c>
      <c r="AA2252">
        <v>38</v>
      </c>
      <c r="AB2252">
        <v>7</v>
      </c>
      <c r="AC2252" t="s">
        <v>100</v>
      </c>
      <c r="AD2252" t="s">
        <v>100</v>
      </c>
      <c r="AE2252" t="s">
        <v>100</v>
      </c>
      <c r="AF2252" t="s">
        <v>100</v>
      </c>
      <c r="AG2252">
        <v>3</v>
      </c>
      <c r="AH2252" t="s">
        <v>100</v>
      </c>
      <c r="AI2252" t="s">
        <v>100</v>
      </c>
      <c r="AJ2252" t="s">
        <v>100</v>
      </c>
      <c r="AK2252">
        <v>1</v>
      </c>
      <c r="AL2252" t="s">
        <v>100</v>
      </c>
      <c r="AM2252" t="s">
        <v>100</v>
      </c>
      <c r="AN2252" t="s">
        <v>100</v>
      </c>
      <c r="AT2252" t="s">
        <v>100</v>
      </c>
      <c r="AU2252">
        <v>8</v>
      </c>
      <c r="AV2252">
        <v>390</v>
      </c>
      <c r="AW2252">
        <v>390</v>
      </c>
      <c r="AX2252">
        <v>517</v>
      </c>
      <c r="AZ2252" t="s">
        <v>101</v>
      </c>
      <c r="BA2252">
        <v>1</v>
      </c>
      <c r="BC2252" t="s">
        <v>4604</v>
      </c>
      <c r="BD2252" s="4">
        <v>43283.189236111109</v>
      </c>
      <c r="BE2252" s="4">
        <v>43283.205821759257</v>
      </c>
      <c r="BF2252" s="4">
        <v>43283.205821759257</v>
      </c>
      <c r="BG2252" t="s">
        <v>83</v>
      </c>
      <c r="BH2252" t="s">
        <v>84</v>
      </c>
      <c r="BI2252" t="s">
        <v>85</v>
      </c>
    </row>
    <row r="2253" spans="1:61" x14ac:dyDescent="0.3">
      <c r="A2253" t="str">
        <f>"200086C0100"</f>
        <v>200086C0100</v>
      </c>
      <c r="B2253" t="s">
        <v>4605</v>
      </c>
      <c r="C2253">
        <v>20</v>
      </c>
      <c r="D2253" t="s">
        <v>79</v>
      </c>
      <c r="E2253">
        <v>11</v>
      </c>
      <c r="F2253" t="s">
        <v>4565</v>
      </c>
      <c r="G2253">
        <v>86</v>
      </c>
      <c r="H2253">
        <v>1</v>
      </c>
      <c r="I2253" t="s">
        <v>89</v>
      </c>
      <c r="J2253">
        <v>0</v>
      </c>
      <c r="K2253">
        <v>2</v>
      </c>
      <c r="L2253">
        <v>2</v>
      </c>
      <c r="M2253">
        <v>159</v>
      </c>
      <c r="N2253">
        <v>380</v>
      </c>
      <c r="O2253">
        <v>3</v>
      </c>
      <c r="P2253">
        <v>377</v>
      </c>
      <c r="Q2253">
        <v>4</v>
      </c>
      <c r="R2253">
        <v>2</v>
      </c>
      <c r="S2253">
        <v>16</v>
      </c>
      <c r="T2253">
        <v>2</v>
      </c>
      <c r="U2253">
        <v>16</v>
      </c>
      <c r="V2253">
        <v>9</v>
      </c>
      <c r="W2253">
        <v>15</v>
      </c>
      <c r="X2253">
        <v>2</v>
      </c>
      <c r="Y2253">
        <v>154</v>
      </c>
      <c r="Z2253">
        <v>10</v>
      </c>
      <c r="AA2253">
        <v>7</v>
      </c>
      <c r="AB2253">
        <v>19</v>
      </c>
      <c r="AC2253">
        <v>0</v>
      </c>
      <c r="AD2253">
        <v>1</v>
      </c>
      <c r="AE2253">
        <v>0</v>
      </c>
      <c r="AF2253">
        <v>0</v>
      </c>
      <c r="AG2253">
        <v>1</v>
      </c>
      <c r="AH2253">
        <v>0</v>
      </c>
      <c r="AI2253">
        <v>0</v>
      </c>
      <c r="AJ2253">
        <v>0</v>
      </c>
      <c r="AK2253">
        <v>4</v>
      </c>
      <c r="AL2253">
        <v>2</v>
      </c>
      <c r="AM2253">
        <v>0</v>
      </c>
      <c r="AN2253">
        <v>2</v>
      </c>
      <c r="AT2253">
        <v>0</v>
      </c>
      <c r="AU2253">
        <v>23</v>
      </c>
      <c r="AV2253">
        <v>377</v>
      </c>
      <c r="AW2253">
        <v>289</v>
      </c>
      <c r="AX2253">
        <v>517</v>
      </c>
      <c r="BA2253">
        <v>1</v>
      </c>
      <c r="BC2253" t="s">
        <v>4606</v>
      </c>
      <c r="BD2253" s="4">
        <v>43283.198495370372</v>
      </c>
      <c r="BE2253" s="4">
        <v>43283.216666666667</v>
      </c>
      <c r="BF2253" s="4">
        <v>43283.216666666667</v>
      </c>
      <c r="BG2253" t="s">
        <v>83</v>
      </c>
      <c r="BH2253" t="s">
        <v>84</v>
      </c>
      <c r="BI2253" t="s">
        <v>85</v>
      </c>
    </row>
    <row r="2254" spans="1:61" x14ac:dyDescent="0.3">
      <c r="A2254" t="str">
        <f>"200097B0100"</f>
        <v>200097B0100</v>
      </c>
      <c r="B2254" t="s">
        <v>4607</v>
      </c>
      <c r="C2254">
        <v>20</v>
      </c>
      <c r="D2254" t="s">
        <v>79</v>
      </c>
      <c r="E2254">
        <v>11</v>
      </c>
      <c r="F2254" t="s">
        <v>4565</v>
      </c>
      <c r="G2254">
        <v>97</v>
      </c>
      <c r="H2254">
        <v>1</v>
      </c>
      <c r="I2254" t="s">
        <v>81</v>
      </c>
      <c r="J2254">
        <v>0</v>
      </c>
      <c r="K2254">
        <v>1</v>
      </c>
      <c r="L2254">
        <v>2</v>
      </c>
      <c r="M2254">
        <v>151</v>
      </c>
      <c r="N2254">
        <v>0</v>
      </c>
      <c r="O2254">
        <v>0</v>
      </c>
      <c r="P2254">
        <v>0</v>
      </c>
      <c r="Q2254">
        <v>3</v>
      </c>
      <c r="R2254">
        <v>26</v>
      </c>
      <c r="S2254">
        <v>5</v>
      </c>
      <c r="T2254">
        <v>26</v>
      </c>
      <c r="U2254">
        <v>36</v>
      </c>
      <c r="V2254">
        <v>107</v>
      </c>
      <c r="W2254">
        <v>2</v>
      </c>
      <c r="X2254">
        <v>3</v>
      </c>
      <c r="Y2254">
        <v>77</v>
      </c>
      <c r="Z2254">
        <v>3</v>
      </c>
      <c r="AA2254">
        <v>0</v>
      </c>
      <c r="AB2254">
        <v>2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2</v>
      </c>
      <c r="AL2254">
        <v>0</v>
      </c>
      <c r="AM2254">
        <v>1</v>
      </c>
      <c r="AN2254">
        <v>0</v>
      </c>
      <c r="AT2254" t="s">
        <v>100</v>
      </c>
      <c r="AU2254">
        <v>48</v>
      </c>
      <c r="AV2254">
        <v>341</v>
      </c>
      <c r="AW2254">
        <v>341</v>
      </c>
      <c r="AX2254">
        <v>470</v>
      </c>
      <c r="AZ2254" t="s">
        <v>101</v>
      </c>
      <c r="BA2254">
        <v>1</v>
      </c>
      <c r="BC2254" s="2" t="s">
        <v>4608</v>
      </c>
      <c r="BD2254" s="4">
        <v>43283.452928240738</v>
      </c>
      <c r="BE2254" s="4">
        <v>43283.461597222224</v>
      </c>
      <c r="BF2254" s="4">
        <v>43283.461597222224</v>
      </c>
      <c r="BG2254" t="s">
        <v>83</v>
      </c>
      <c r="BH2254" t="s">
        <v>84</v>
      </c>
      <c r="BI2254" t="s">
        <v>85</v>
      </c>
    </row>
    <row r="2255" spans="1:61" x14ac:dyDescent="0.3">
      <c r="A2255" t="str">
        <f>"200097C0100"</f>
        <v>200097C0100</v>
      </c>
      <c r="B2255" t="s">
        <v>4609</v>
      </c>
      <c r="C2255">
        <v>20</v>
      </c>
      <c r="D2255" t="s">
        <v>79</v>
      </c>
      <c r="E2255">
        <v>11</v>
      </c>
      <c r="F2255" t="s">
        <v>4565</v>
      </c>
      <c r="G2255">
        <v>97</v>
      </c>
      <c r="H2255">
        <v>1</v>
      </c>
      <c r="I2255" t="s">
        <v>89</v>
      </c>
      <c r="J2255">
        <v>0</v>
      </c>
      <c r="K2255">
        <v>1</v>
      </c>
      <c r="L2255">
        <v>2</v>
      </c>
      <c r="M2255" t="s">
        <v>100</v>
      </c>
      <c r="N2255" t="s">
        <v>100</v>
      </c>
      <c r="O2255" t="s">
        <v>100</v>
      </c>
      <c r="P2255" t="s">
        <v>100</v>
      </c>
      <c r="Q2255">
        <v>5</v>
      </c>
      <c r="R2255">
        <v>31</v>
      </c>
      <c r="S2255">
        <v>4</v>
      </c>
      <c r="T2255">
        <v>25</v>
      </c>
      <c r="U2255">
        <v>40</v>
      </c>
      <c r="V2255">
        <v>108</v>
      </c>
      <c r="W2255">
        <v>1</v>
      </c>
      <c r="X2255">
        <v>2</v>
      </c>
      <c r="Y2255">
        <v>71</v>
      </c>
      <c r="Z2255">
        <v>0</v>
      </c>
      <c r="AA2255">
        <v>0</v>
      </c>
      <c r="AB2255">
        <v>1</v>
      </c>
      <c r="AC2255" t="s">
        <v>100</v>
      </c>
      <c r="AD2255" t="s">
        <v>100</v>
      </c>
      <c r="AE2255" t="s">
        <v>100</v>
      </c>
      <c r="AF2255" t="s">
        <v>100</v>
      </c>
      <c r="AG2255" t="s">
        <v>100</v>
      </c>
      <c r="AH2255" t="s">
        <v>100</v>
      </c>
      <c r="AI2255" t="s">
        <v>100</v>
      </c>
      <c r="AJ2255" t="s">
        <v>100</v>
      </c>
      <c r="AK2255" t="s">
        <v>100</v>
      </c>
      <c r="AL2255" t="s">
        <v>100</v>
      </c>
      <c r="AM2255" t="s">
        <v>100</v>
      </c>
      <c r="AN2255" t="s">
        <v>100</v>
      </c>
      <c r="AT2255" t="s">
        <v>100</v>
      </c>
      <c r="AU2255">
        <v>18</v>
      </c>
      <c r="AV2255">
        <v>308</v>
      </c>
      <c r="AW2255">
        <v>306</v>
      </c>
      <c r="AX2255">
        <v>469</v>
      </c>
      <c r="AZ2255" t="s">
        <v>101</v>
      </c>
      <c r="BA2255">
        <v>1</v>
      </c>
      <c r="BC2255" t="s">
        <v>4610</v>
      </c>
      <c r="BD2255" s="4">
        <v>43283.605949074074</v>
      </c>
      <c r="BE2255" s="4">
        <v>43283.610254629632</v>
      </c>
      <c r="BF2255" s="4">
        <v>43283.610254629632</v>
      </c>
      <c r="BG2255" t="s">
        <v>83</v>
      </c>
      <c r="BH2255" t="s">
        <v>84</v>
      </c>
      <c r="BI2255" t="s">
        <v>548</v>
      </c>
    </row>
    <row r="2256" spans="1:61" x14ac:dyDescent="0.3">
      <c r="A2256" t="str">
        <f>"200098B0100"</f>
        <v>200098B0100</v>
      </c>
      <c r="B2256" t="s">
        <v>4611</v>
      </c>
      <c r="C2256">
        <v>20</v>
      </c>
      <c r="D2256" t="s">
        <v>79</v>
      </c>
      <c r="E2256">
        <v>11</v>
      </c>
      <c r="F2256" t="s">
        <v>4565</v>
      </c>
      <c r="G2256">
        <v>98</v>
      </c>
      <c r="H2256">
        <v>1</v>
      </c>
      <c r="I2256" t="s">
        <v>81</v>
      </c>
      <c r="J2256">
        <v>0</v>
      </c>
      <c r="K2256">
        <v>1</v>
      </c>
      <c r="L2256">
        <v>2</v>
      </c>
      <c r="M2256">
        <v>267</v>
      </c>
      <c r="N2256">
        <v>482</v>
      </c>
      <c r="O2256" t="s">
        <v>100</v>
      </c>
      <c r="P2256">
        <v>482</v>
      </c>
      <c r="Q2256">
        <v>13</v>
      </c>
      <c r="R2256">
        <v>34</v>
      </c>
      <c r="S2256">
        <v>7</v>
      </c>
      <c r="T2256">
        <v>37</v>
      </c>
      <c r="U2256">
        <v>54</v>
      </c>
      <c r="V2256">
        <v>184</v>
      </c>
      <c r="W2256">
        <v>2</v>
      </c>
      <c r="X2256">
        <v>6</v>
      </c>
      <c r="Y2256">
        <v>106</v>
      </c>
      <c r="Z2256">
        <v>6</v>
      </c>
      <c r="AA2256">
        <v>0</v>
      </c>
      <c r="AB2256">
        <v>1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1</v>
      </c>
      <c r="AL2256">
        <v>0</v>
      </c>
      <c r="AM2256">
        <v>0</v>
      </c>
      <c r="AN2256">
        <v>0</v>
      </c>
      <c r="AT2256">
        <v>0</v>
      </c>
      <c r="AU2256">
        <v>31</v>
      </c>
      <c r="AV2256">
        <v>482</v>
      </c>
      <c r="AW2256">
        <v>482</v>
      </c>
      <c r="AX2256">
        <v>726</v>
      </c>
      <c r="BA2256">
        <v>1</v>
      </c>
      <c r="BC2256" t="s">
        <v>4612</v>
      </c>
      <c r="BD2256" s="4">
        <v>43283.456724537034</v>
      </c>
      <c r="BE2256" s="4">
        <v>43283.460370370369</v>
      </c>
      <c r="BF2256" s="4">
        <v>43283.460370370369</v>
      </c>
      <c r="BG2256" t="s">
        <v>83</v>
      </c>
      <c r="BH2256" t="s">
        <v>84</v>
      </c>
      <c r="BI2256" t="s">
        <v>85</v>
      </c>
    </row>
    <row r="2257" spans="1:61" x14ac:dyDescent="0.3">
      <c r="A2257" t="str">
        <f>"200098C0100"</f>
        <v>200098C0100</v>
      </c>
      <c r="B2257" t="s">
        <v>4613</v>
      </c>
      <c r="C2257">
        <v>20</v>
      </c>
      <c r="D2257" t="s">
        <v>79</v>
      </c>
      <c r="E2257">
        <v>11</v>
      </c>
      <c r="F2257" t="s">
        <v>4565</v>
      </c>
      <c r="G2257">
        <v>98</v>
      </c>
      <c r="H2257">
        <v>1</v>
      </c>
      <c r="I2257" t="s">
        <v>89</v>
      </c>
      <c r="J2257">
        <v>0</v>
      </c>
      <c r="K2257">
        <v>1</v>
      </c>
      <c r="L2257">
        <v>2</v>
      </c>
      <c r="AX2257">
        <v>725</v>
      </c>
      <c r="AZ2257" t="s">
        <v>156</v>
      </c>
      <c r="BA2257">
        <v>0</v>
      </c>
      <c r="BC2257" t="s">
        <v>4614</v>
      </c>
      <c r="BD2257" s="4">
        <v>43283.773078703707</v>
      </c>
      <c r="BE2257" s="4">
        <v>43283.778263888889</v>
      </c>
      <c r="BF2257" s="4">
        <v>43283.778263888889</v>
      </c>
      <c r="BG2257" t="s">
        <v>83</v>
      </c>
      <c r="BH2257" t="s">
        <v>84</v>
      </c>
      <c r="BI2257" t="s">
        <v>85</v>
      </c>
    </row>
    <row r="2258" spans="1:61" x14ac:dyDescent="0.3">
      <c r="A2258" t="str">
        <f>"200099B0100"</f>
        <v>200099B0100</v>
      </c>
      <c r="B2258" t="s">
        <v>4615</v>
      </c>
      <c r="C2258">
        <v>20</v>
      </c>
      <c r="D2258" t="s">
        <v>79</v>
      </c>
      <c r="E2258">
        <v>11</v>
      </c>
      <c r="F2258" t="s">
        <v>4565</v>
      </c>
      <c r="G2258">
        <v>99</v>
      </c>
      <c r="H2258">
        <v>1</v>
      </c>
      <c r="I2258" t="s">
        <v>81</v>
      </c>
      <c r="J2258">
        <v>0</v>
      </c>
      <c r="K2258">
        <v>1</v>
      </c>
      <c r="L2258">
        <v>2</v>
      </c>
      <c r="M2258">
        <v>166</v>
      </c>
      <c r="N2258">
        <v>337</v>
      </c>
      <c r="O2258">
        <v>0</v>
      </c>
      <c r="P2258">
        <v>337</v>
      </c>
      <c r="Q2258">
        <v>5</v>
      </c>
      <c r="R2258">
        <v>41</v>
      </c>
      <c r="S2258">
        <v>35</v>
      </c>
      <c r="T2258">
        <v>48</v>
      </c>
      <c r="U2258">
        <v>71</v>
      </c>
      <c r="V2258">
        <v>71</v>
      </c>
      <c r="W2258">
        <v>0</v>
      </c>
      <c r="X2258">
        <v>2</v>
      </c>
      <c r="Y2258">
        <v>102</v>
      </c>
      <c r="Z2258">
        <v>4</v>
      </c>
      <c r="AA2258">
        <v>0</v>
      </c>
      <c r="AB2258">
        <v>0</v>
      </c>
      <c r="AC2258">
        <v>1</v>
      </c>
      <c r="AD2258">
        <v>0</v>
      </c>
      <c r="AE2258">
        <v>0</v>
      </c>
      <c r="AF2258">
        <v>0</v>
      </c>
      <c r="AG2258">
        <v>1</v>
      </c>
      <c r="AH2258">
        <v>0</v>
      </c>
      <c r="AI2258">
        <v>0</v>
      </c>
      <c r="AJ2258">
        <v>0</v>
      </c>
      <c r="AK2258">
        <v>2</v>
      </c>
      <c r="AL2258">
        <v>0</v>
      </c>
      <c r="AM2258">
        <v>0</v>
      </c>
      <c r="AN2258">
        <v>0</v>
      </c>
      <c r="AT2258">
        <v>21</v>
      </c>
      <c r="AU2258">
        <v>21</v>
      </c>
      <c r="AV2258" t="s">
        <v>100</v>
      </c>
      <c r="AW2258">
        <v>425</v>
      </c>
      <c r="AX2258">
        <v>481</v>
      </c>
      <c r="BA2258">
        <v>1</v>
      </c>
      <c r="BC2258" t="s">
        <v>4616</v>
      </c>
      <c r="BD2258" s="4">
        <v>43283.448738425926</v>
      </c>
      <c r="BE2258" s="4">
        <v>43283.45652777778</v>
      </c>
      <c r="BF2258" s="4">
        <v>43283.45652777778</v>
      </c>
      <c r="BG2258" t="s">
        <v>83</v>
      </c>
      <c r="BH2258" t="s">
        <v>84</v>
      </c>
      <c r="BI2258" t="s">
        <v>85</v>
      </c>
    </row>
    <row r="2259" spans="1:61" x14ac:dyDescent="0.3">
      <c r="A2259" t="str">
        <f>"200099C0100"</f>
        <v>200099C0100</v>
      </c>
      <c r="B2259" t="s">
        <v>4617</v>
      </c>
      <c r="C2259">
        <v>20</v>
      </c>
      <c r="D2259" t="s">
        <v>79</v>
      </c>
      <c r="E2259">
        <v>11</v>
      </c>
      <c r="F2259" t="s">
        <v>4565</v>
      </c>
      <c r="G2259">
        <v>99</v>
      </c>
      <c r="H2259">
        <v>1</v>
      </c>
      <c r="I2259" t="s">
        <v>89</v>
      </c>
      <c r="J2259">
        <v>0</v>
      </c>
      <c r="K2259">
        <v>1</v>
      </c>
      <c r="L2259">
        <v>2</v>
      </c>
      <c r="M2259">
        <v>153</v>
      </c>
      <c r="N2259">
        <v>350</v>
      </c>
      <c r="O2259">
        <v>0</v>
      </c>
      <c r="P2259">
        <v>350</v>
      </c>
      <c r="Q2259">
        <v>9</v>
      </c>
      <c r="R2259">
        <v>46</v>
      </c>
      <c r="S2259">
        <v>0</v>
      </c>
      <c r="T2259">
        <v>28</v>
      </c>
      <c r="U2259">
        <v>34</v>
      </c>
      <c r="V2259">
        <v>84</v>
      </c>
      <c r="W2259">
        <v>0</v>
      </c>
      <c r="X2259">
        <v>0</v>
      </c>
      <c r="Y2259">
        <v>120</v>
      </c>
      <c r="Z2259">
        <v>8</v>
      </c>
      <c r="AA2259">
        <v>1</v>
      </c>
      <c r="AB2259">
        <v>2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1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1</v>
      </c>
      <c r="AT2259">
        <v>0</v>
      </c>
      <c r="AU2259">
        <v>16</v>
      </c>
      <c r="AV2259">
        <v>350</v>
      </c>
      <c r="AW2259">
        <v>350</v>
      </c>
      <c r="AX2259">
        <v>481</v>
      </c>
      <c r="BA2259">
        <v>1</v>
      </c>
      <c r="BC2259" t="s">
        <v>4618</v>
      </c>
      <c r="BD2259" s="4">
        <v>43283.448055555556</v>
      </c>
      <c r="BE2259" s="4">
        <v>43283.451770833337</v>
      </c>
      <c r="BF2259" s="4">
        <v>43283.451770833337</v>
      </c>
      <c r="BG2259" t="s">
        <v>83</v>
      </c>
      <c r="BH2259" t="s">
        <v>84</v>
      </c>
      <c r="BI2259" t="s">
        <v>85</v>
      </c>
    </row>
    <row r="2260" spans="1:61" x14ac:dyDescent="0.3">
      <c r="A2260" t="str">
        <f>"200100B0100"</f>
        <v>200100B0100</v>
      </c>
      <c r="B2260" t="s">
        <v>4619</v>
      </c>
      <c r="C2260">
        <v>20</v>
      </c>
      <c r="D2260" t="s">
        <v>79</v>
      </c>
      <c r="E2260">
        <v>11</v>
      </c>
      <c r="F2260" t="s">
        <v>4565</v>
      </c>
      <c r="G2260">
        <v>100</v>
      </c>
      <c r="H2260">
        <v>1</v>
      </c>
      <c r="I2260" t="s">
        <v>81</v>
      </c>
      <c r="J2260">
        <v>0</v>
      </c>
      <c r="K2260">
        <v>1</v>
      </c>
      <c r="L2260">
        <v>2</v>
      </c>
      <c r="M2260">
        <v>203</v>
      </c>
      <c r="N2260" t="s">
        <v>100</v>
      </c>
      <c r="O2260" t="s">
        <v>100</v>
      </c>
      <c r="P2260" t="s">
        <v>100</v>
      </c>
      <c r="Q2260">
        <v>1</v>
      </c>
      <c r="R2260">
        <v>61</v>
      </c>
      <c r="S2260">
        <v>4</v>
      </c>
      <c r="T2260">
        <v>33</v>
      </c>
      <c r="U2260">
        <v>67</v>
      </c>
      <c r="V2260">
        <v>100</v>
      </c>
      <c r="W2260">
        <v>1</v>
      </c>
      <c r="X2260">
        <v>4</v>
      </c>
      <c r="Y2260">
        <v>105</v>
      </c>
      <c r="Z2260">
        <v>3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1</v>
      </c>
      <c r="AH2260">
        <v>1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1</v>
      </c>
      <c r="AT2260">
        <v>0</v>
      </c>
      <c r="AU2260">
        <v>18</v>
      </c>
      <c r="AV2260">
        <v>400</v>
      </c>
      <c r="AW2260">
        <v>400</v>
      </c>
      <c r="AX2260">
        <v>581</v>
      </c>
      <c r="BA2260">
        <v>1</v>
      </c>
      <c r="BC2260" t="s">
        <v>4620</v>
      </c>
      <c r="BD2260" s="4">
        <v>43283.354837962965</v>
      </c>
      <c r="BE2260" s="4">
        <v>43283.366388888891</v>
      </c>
      <c r="BF2260" s="4">
        <v>43283.366388888891</v>
      </c>
      <c r="BG2260" t="s">
        <v>83</v>
      </c>
      <c r="BH2260" t="s">
        <v>84</v>
      </c>
      <c r="BI2260" t="s">
        <v>85</v>
      </c>
    </row>
    <row r="2261" spans="1:61" x14ac:dyDescent="0.3">
      <c r="A2261" t="str">
        <f>"200100C0100"</f>
        <v>200100C0100</v>
      </c>
      <c r="B2261" t="s">
        <v>4621</v>
      </c>
      <c r="C2261">
        <v>20</v>
      </c>
      <c r="D2261" t="s">
        <v>79</v>
      </c>
      <c r="E2261">
        <v>11</v>
      </c>
      <c r="F2261" t="s">
        <v>4565</v>
      </c>
      <c r="G2261">
        <v>100</v>
      </c>
      <c r="H2261">
        <v>1</v>
      </c>
      <c r="I2261" t="s">
        <v>89</v>
      </c>
      <c r="J2261">
        <v>0</v>
      </c>
      <c r="K2261">
        <v>1</v>
      </c>
      <c r="L2261">
        <v>2</v>
      </c>
      <c r="M2261" t="s">
        <v>100</v>
      </c>
      <c r="N2261" t="s">
        <v>100</v>
      </c>
      <c r="O2261" t="s">
        <v>100</v>
      </c>
      <c r="P2261" t="s">
        <v>100</v>
      </c>
      <c r="Q2261">
        <v>6</v>
      </c>
      <c r="R2261">
        <v>69</v>
      </c>
      <c r="S2261">
        <v>9</v>
      </c>
      <c r="T2261">
        <v>24</v>
      </c>
      <c r="U2261">
        <v>59</v>
      </c>
      <c r="V2261">
        <v>90</v>
      </c>
      <c r="W2261" t="s">
        <v>100</v>
      </c>
      <c r="X2261">
        <v>4</v>
      </c>
      <c r="Y2261">
        <v>101</v>
      </c>
      <c r="Z2261">
        <v>4</v>
      </c>
      <c r="AA2261">
        <v>1</v>
      </c>
      <c r="AB2261">
        <v>1</v>
      </c>
      <c r="AC2261" t="s">
        <v>100</v>
      </c>
      <c r="AD2261">
        <v>1</v>
      </c>
      <c r="AE2261" t="s">
        <v>100</v>
      </c>
      <c r="AF2261" t="s">
        <v>100</v>
      </c>
      <c r="AG2261">
        <v>1</v>
      </c>
      <c r="AH2261" t="s">
        <v>100</v>
      </c>
      <c r="AI2261" t="s">
        <v>100</v>
      </c>
      <c r="AJ2261" t="s">
        <v>100</v>
      </c>
      <c r="AK2261">
        <v>1</v>
      </c>
      <c r="AL2261">
        <v>1</v>
      </c>
      <c r="AM2261" t="s">
        <v>100</v>
      </c>
      <c r="AN2261" t="s">
        <v>100</v>
      </c>
      <c r="AT2261" t="s">
        <v>100</v>
      </c>
      <c r="AU2261">
        <v>27</v>
      </c>
      <c r="AV2261">
        <v>399</v>
      </c>
      <c r="AW2261">
        <v>399</v>
      </c>
      <c r="AX2261">
        <v>580</v>
      </c>
      <c r="AZ2261" t="s">
        <v>101</v>
      </c>
      <c r="BA2261">
        <v>1</v>
      </c>
      <c r="BC2261" t="s">
        <v>4622</v>
      </c>
      <c r="BD2261" s="4">
        <v>43283.352766203701</v>
      </c>
      <c r="BE2261" s="4">
        <v>43283.367893518516</v>
      </c>
      <c r="BF2261" s="4">
        <v>43283.367893518516</v>
      </c>
      <c r="BG2261" t="s">
        <v>83</v>
      </c>
      <c r="BH2261" t="s">
        <v>84</v>
      </c>
      <c r="BI2261" t="s">
        <v>85</v>
      </c>
    </row>
    <row r="2262" spans="1:61" x14ac:dyDescent="0.3">
      <c r="A2262" t="str">
        <f>"200101B0100"</f>
        <v>200101B0100</v>
      </c>
      <c r="B2262" t="s">
        <v>4623</v>
      </c>
      <c r="C2262">
        <v>20</v>
      </c>
      <c r="D2262" t="s">
        <v>79</v>
      </c>
      <c r="E2262">
        <v>11</v>
      </c>
      <c r="F2262" t="s">
        <v>4565</v>
      </c>
      <c r="G2262">
        <v>101</v>
      </c>
      <c r="H2262">
        <v>1</v>
      </c>
      <c r="I2262" t="s">
        <v>81</v>
      </c>
      <c r="J2262">
        <v>0</v>
      </c>
      <c r="K2262">
        <v>1</v>
      </c>
      <c r="L2262">
        <v>2</v>
      </c>
      <c r="M2262">
        <v>167</v>
      </c>
      <c r="N2262">
        <v>290</v>
      </c>
      <c r="O2262">
        <v>0</v>
      </c>
      <c r="P2262">
        <v>290</v>
      </c>
      <c r="Q2262">
        <v>5</v>
      </c>
      <c r="R2262">
        <v>71</v>
      </c>
      <c r="S2262">
        <v>0</v>
      </c>
      <c r="T2262">
        <v>33</v>
      </c>
      <c r="U2262">
        <v>32</v>
      </c>
      <c r="V2262">
        <v>122</v>
      </c>
      <c r="W2262" t="s">
        <v>100</v>
      </c>
      <c r="X2262">
        <v>2</v>
      </c>
      <c r="Y2262">
        <v>107</v>
      </c>
      <c r="Z2262">
        <v>5</v>
      </c>
      <c r="AA2262" t="s">
        <v>100</v>
      </c>
      <c r="AB2262">
        <v>1</v>
      </c>
      <c r="AC2262" t="s">
        <v>100</v>
      </c>
      <c r="AD2262" t="s">
        <v>100</v>
      </c>
      <c r="AE2262" t="s">
        <v>100</v>
      </c>
      <c r="AF2262" t="s">
        <v>100</v>
      </c>
      <c r="AG2262">
        <v>1</v>
      </c>
      <c r="AH2262" t="s">
        <v>100</v>
      </c>
      <c r="AI2262" t="s">
        <v>100</v>
      </c>
      <c r="AJ2262" t="s">
        <v>100</v>
      </c>
      <c r="AK2262" t="s">
        <v>100</v>
      </c>
      <c r="AL2262" t="s">
        <v>100</v>
      </c>
      <c r="AM2262" t="s">
        <v>100</v>
      </c>
      <c r="AN2262" t="s">
        <v>100</v>
      </c>
      <c r="AT2262" t="s">
        <v>100</v>
      </c>
      <c r="AU2262">
        <v>16</v>
      </c>
      <c r="AV2262">
        <v>397</v>
      </c>
      <c r="AW2262">
        <v>395</v>
      </c>
      <c r="AX2262">
        <v>543</v>
      </c>
      <c r="AZ2262" t="s">
        <v>101</v>
      </c>
      <c r="BA2262">
        <v>1</v>
      </c>
      <c r="BC2262" t="s">
        <v>4624</v>
      </c>
      <c r="BD2262" s="4">
        <v>43283.367974537039</v>
      </c>
      <c r="BE2262" s="4">
        <v>43283.376307870371</v>
      </c>
      <c r="BF2262" s="4">
        <v>43283.376307870371</v>
      </c>
      <c r="BG2262" t="s">
        <v>83</v>
      </c>
      <c r="BH2262" t="s">
        <v>84</v>
      </c>
      <c r="BI2262" t="s">
        <v>85</v>
      </c>
    </row>
    <row r="2263" spans="1:61" x14ac:dyDescent="0.3">
      <c r="A2263" t="str">
        <f>"200101C0100"</f>
        <v>200101C0100</v>
      </c>
      <c r="B2263" t="s">
        <v>4625</v>
      </c>
      <c r="C2263">
        <v>20</v>
      </c>
      <c r="D2263" t="s">
        <v>79</v>
      </c>
      <c r="E2263">
        <v>11</v>
      </c>
      <c r="F2263" t="s">
        <v>4565</v>
      </c>
      <c r="G2263">
        <v>101</v>
      </c>
      <c r="H2263">
        <v>1</v>
      </c>
      <c r="I2263" t="s">
        <v>89</v>
      </c>
      <c r="J2263">
        <v>0</v>
      </c>
      <c r="K2263">
        <v>1</v>
      </c>
      <c r="L2263">
        <v>2</v>
      </c>
      <c r="M2263">
        <v>156</v>
      </c>
      <c r="N2263">
        <v>1</v>
      </c>
      <c r="O2263">
        <v>1</v>
      </c>
      <c r="P2263">
        <v>409</v>
      </c>
      <c r="Q2263">
        <v>7</v>
      </c>
      <c r="R2263">
        <v>66</v>
      </c>
      <c r="S2263">
        <v>4</v>
      </c>
      <c r="T2263">
        <v>53</v>
      </c>
      <c r="U2263">
        <v>49</v>
      </c>
      <c r="V2263">
        <v>98</v>
      </c>
      <c r="W2263">
        <v>0</v>
      </c>
      <c r="X2263">
        <v>0</v>
      </c>
      <c r="Y2263">
        <v>104</v>
      </c>
      <c r="Z2263">
        <v>10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1</v>
      </c>
      <c r="AL2263">
        <v>0</v>
      </c>
      <c r="AM2263">
        <v>0</v>
      </c>
      <c r="AN2263">
        <v>0</v>
      </c>
      <c r="AT2263">
        <v>0</v>
      </c>
      <c r="AU2263">
        <v>17</v>
      </c>
      <c r="AV2263">
        <v>409</v>
      </c>
      <c r="AW2263">
        <v>409</v>
      </c>
      <c r="AX2263">
        <v>543</v>
      </c>
      <c r="BA2263">
        <v>1</v>
      </c>
      <c r="BC2263" t="s">
        <v>4626</v>
      </c>
      <c r="BD2263" s="4">
        <v>43283.49423611111</v>
      </c>
      <c r="BE2263" s="4">
        <v>43283.500879629632</v>
      </c>
      <c r="BF2263" s="4">
        <v>43283.500879629632</v>
      </c>
      <c r="BG2263" t="s">
        <v>83</v>
      </c>
      <c r="BH2263" t="s">
        <v>84</v>
      </c>
      <c r="BI2263" t="s">
        <v>85</v>
      </c>
    </row>
    <row r="2264" spans="1:61" x14ac:dyDescent="0.3">
      <c r="A2264" t="str">
        <f>"200102B0100"</f>
        <v>200102B0100</v>
      </c>
      <c r="B2264" t="s">
        <v>4627</v>
      </c>
      <c r="C2264">
        <v>20</v>
      </c>
      <c r="D2264" t="s">
        <v>79</v>
      </c>
      <c r="E2264">
        <v>11</v>
      </c>
      <c r="F2264" t="s">
        <v>4565</v>
      </c>
      <c r="G2264">
        <v>102</v>
      </c>
      <c r="H2264">
        <v>1</v>
      </c>
      <c r="I2264" t="s">
        <v>81</v>
      </c>
      <c r="J2264">
        <v>0</v>
      </c>
      <c r="K2264">
        <v>1</v>
      </c>
      <c r="L2264">
        <v>2</v>
      </c>
      <c r="M2264">
        <v>239</v>
      </c>
      <c r="N2264">
        <v>433</v>
      </c>
      <c r="O2264">
        <v>0</v>
      </c>
      <c r="P2264">
        <v>433</v>
      </c>
      <c r="Q2264">
        <v>9</v>
      </c>
      <c r="R2264">
        <v>50</v>
      </c>
      <c r="S2264">
        <v>5</v>
      </c>
      <c r="T2264">
        <v>49</v>
      </c>
      <c r="U2264">
        <v>36</v>
      </c>
      <c r="V2264">
        <v>106</v>
      </c>
      <c r="W2264">
        <v>1</v>
      </c>
      <c r="X2264">
        <v>2</v>
      </c>
      <c r="Y2264">
        <v>142</v>
      </c>
      <c r="Z2264">
        <v>5</v>
      </c>
      <c r="AA2264">
        <v>2</v>
      </c>
      <c r="AB2264">
        <v>0</v>
      </c>
      <c r="AC2264">
        <v>1</v>
      </c>
      <c r="AD2264">
        <v>0</v>
      </c>
      <c r="AE2264">
        <v>0</v>
      </c>
      <c r="AF2264">
        <v>0</v>
      </c>
      <c r="AG2264">
        <v>0</v>
      </c>
      <c r="AH2264">
        <v>1</v>
      </c>
      <c r="AI2264">
        <v>0</v>
      </c>
      <c r="AJ2264">
        <v>0</v>
      </c>
      <c r="AK2264">
        <v>0</v>
      </c>
      <c r="AL2264">
        <v>3</v>
      </c>
      <c r="AM2264">
        <v>0</v>
      </c>
      <c r="AN2264">
        <v>1</v>
      </c>
      <c r="AT2264">
        <v>0</v>
      </c>
      <c r="AU2264">
        <v>20</v>
      </c>
      <c r="AV2264">
        <v>433</v>
      </c>
      <c r="AW2264">
        <v>433</v>
      </c>
      <c r="AX2264">
        <v>650</v>
      </c>
      <c r="BA2264">
        <v>1</v>
      </c>
      <c r="BC2264" t="s">
        <v>4628</v>
      </c>
      <c r="BD2264" s="4">
        <v>43283.605208333334</v>
      </c>
      <c r="BE2264" s="4">
        <v>43283.608425925922</v>
      </c>
      <c r="BF2264" s="4">
        <v>43283.608425925922</v>
      </c>
      <c r="BG2264" t="s">
        <v>83</v>
      </c>
      <c r="BH2264" t="s">
        <v>84</v>
      </c>
      <c r="BI2264" t="s">
        <v>548</v>
      </c>
    </row>
    <row r="2265" spans="1:61" x14ac:dyDescent="0.3">
      <c r="A2265" t="str">
        <f>"200102C0100"</f>
        <v>200102C0100</v>
      </c>
      <c r="B2265" t="s">
        <v>4629</v>
      </c>
      <c r="C2265">
        <v>20</v>
      </c>
      <c r="D2265" t="s">
        <v>79</v>
      </c>
      <c r="E2265">
        <v>11</v>
      </c>
      <c r="F2265" t="s">
        <v>4565</v>
      </c>
      <c r="G2265">
        <v>102</v>
      </c>
      <c r="H2265">
        <v>1</v>
      </c>
      <c r="I2265" t="s">
        <v>89</v>
      </c>
      <c r="J2265">
        <v>0</v>
      </c>
      <c r="K2265">
        <v>1</v>
      </c>
      <c r="L2265">
        <v>2</v>
      </c>
      <c r="M2265">
        <v>197</v>
      </c>
      <c r="N2265">
        <v>475</v>
      </c>
      <c r="O2265">
        <v>2</v>
      </c>
      <c r="P2265">
        <v>463</v>
      </c>
      <c r="Q2265">
        <v>12</v>
      </c>
      <c r="R2265">
        <v>38</v>
      </c>
      <c r="S2265">
        <v>7</v>
      </c>
      <c r="T2265">
        <v>65</v>
      </c>
      <c r="U2265">
        <v>44</v>
      </c>
      <c r="V2265">
        <v>118</v>
      </c>
      <c r="W2265">
        <v>0</v>
      </c>
      <c r="X2265">
        <v>1</v>
      </c>
      <c r="Y2265">
        <v>138</v>
      </c>
      <c r="Z2265">
        <v>5</v>
      </c>
      <c r="AA2265">
        <v>0</v>
      </c>
      <c r="AB2265">
        <v>1</v>
      </c>
      <c r="AC2265">
        <v>0</v>
      </c>
      <c r="AD2265">
        <v>0</v>
      </c>
      <c r="AE2265">
        <v>0</v>
      </c>
      <c r="AF2265">
        <v>1</v>
      </c>
      <c r="AG2265">
        <v>0</v>
      </c>
      <c r="AH2265">
        <v>0</v>
      </c>
      <c r="AI2265">
        <v>0</v>
      </c>
      <c r="AJ2265">
        <v>0</v>
      </c>
      <c r="AK2265">
        <v>1</v>
      </c>
      <c r="AL2265">
        <v>0</v>
      </c>
      <c r="AM2265">
        <v>0</v>
      </c>
      <c r="AN2265">
        <v>0</v>
      </c>
      <c r="AT2265">
        <v>0</v>
      </c>
      <c r="AU2265">
        <v>32</v>
      </c>
      <c r="AV2265">
        <v>463</v>
      </c>
      <c r="AW2265">
        <v>463</v>
      </c>
      <c r="AX2265">
        <v>650</v>
      </c>
      <c r="BA2265">
        <v>1</v>
      </c>
      <c r="BC2265" t="s">
        <v>4630</v>
      </c>
      <c r="BD2265" s="4">
        <v>43283.493287037039</v>
      </c>
      <c r="BE2265" s="4">
        <v>43283.496365740742</v>
      </c>
      <c r="BF2265" s="4">
        <v>43283.496365740742</v>
      </c>
      <c r="BG2265" t="s">
        <v>83</v>
      </c>
      <c r="BH2265" t="s">
        <v>84</v>
      </c>
      <c r="BI2265" t="s">
        <v>85</v>
      </c>
    </row>
    <row r="2266" spans="1:61" x14ac:dyDescent="0.3">
      <c r="A2266" t="str">
        <f>"200103B0100"</f>
        <v>200103B0100</v>
      </c>
      <c r="B2266" t="s">
        <v>4631</v>
      </c>
      <c r="C2266">
        <v>20</v>
      </c>
      <c r="D2266" t="s">
        <v>79</v>
      </c>
      <c r="E2266">
        <v>11</v>
      </c>
      <c r="F2266" t="s">
        <v>4565</v>
      </c>
      <c r="G2266">
        <v>103</v>
      </c>
      <c r="H2266">
        <v>1</v>
      </c>
      <c r="I2266" t="s">
        <v>81</v>
      </c>
      <c r="J2266">
        <v>0</v>
      </c>
      <c r="K2266">
        <v>1</v>
      </c>
      <c r="L2266">
        <v>2</v>
      </c>
      <c r="M2266">
        <v>178</v>
      </c>
      <c r="N2266">
        <v>405</v>
      </c>
      <c r="O2266">
        <v>0</v>
      </c>
      <c r="P2266">
        <v>405</v>
      </c>
      <c r="Q2266">
        <v>7</v>
      </c>
      <c r="R2266">
        <v>42</v>
      </c>
      <c r="S2266">
        <v>4</v>
      </c>
      <c r="T2266">
        <v>77</v>
      </c>
      <c r="U2266">
        <v>37</v>
      </c>
      <c r="V2266">
        <v>106</v>
      </c>
      <c r="W2266">
        <v>0</v>
      </c>
      <c r="X2266">
        <v>1</v>
      </c>
      <c r="Y2266">
        <v>88</v>
      </c>
      <c r="Z2266">
        <v>5</v>
      </c>
      <c r="AA2266">
        <v>0</v>
      </c>
      <c r="AB2266">
        <v>0</v>
      </c>
      <c r="AC2266">
        <v>0</v>
      </c>
      <c r="AD2266">
        <v>0</v>
      </c>
      <c r="AE2266">
        <v>3</v>
      </c>
      <c r="AF2266">
        <v>0</v>
      </c>
      <c r="AG2266">
        <v>4</v>
      </c>
      <c r="AH2266">
        <v>0</v>
      </c>
      <c r="AI2266">
        <v>0</v>
      </c>
      <c r="AJ2266">
        <v>0</v>
      </c>
      <c r="AK2266">
        <v>1</v>
      </c>
      <c r="AL2266">
        <v>0</v>
      </c>
      <c r="AM2266">
        <v>0</v>
      </c>
      <c r="AN2266">
        <v>0</v>
      </c>
      <c r="AT2266">
        <v>0</v>
      </c>
      <c r="AU2266">
        <v>28</v>
      </c>
      <c r="AV2266">
        <v>401</v>
      </c>
      <c r="AW2266">
        <v>403</v>
      </c>
      <c r="AX2266">
        <v>561</v>
      </c>
      <c r="BA2266">
        <v>1</v>
      </c>
      <c r="BC2266" t="s">
        <v>4632</v>
      </c>
      <c r="BD2266" s="4">
        <v>43283.35328703704</v>
      </c>
      <c r="BE2266" s="4">
        <v>43283.364664351851</v>
      </c>
      <c r="BF2266" s="4">
        <v>43283.364664351851</v>
      </c>
      <c r="BG2266" t="s">
        <v>83</v>
      </c>
      <c r="BH2266" t="s">
        <v>84</v>
      </c>
      <c r="BI2266" t="s">
        <v>85</v>
      </c>
    </row>
    <row r="2267" spans="1:61" x14ac:dyDescent="0.3">
      <c r="A2267" t="str">
        <f>"200103C0100"</f>
        <v>200103C0100</v>
      </c>
      <c r="B2267" t="s">
        <v>4633</v>
      </c>
      <c r="C2267">
        <v>20</v>
      </c>
      <c r="D2267" t="s">
        <v>79</v>
      </c>
      <c r="E2267">
        <v>11</v>
      </c>
      <c r="F2267" t="s">
        <v>4565</v>
      </c>
      <c r="G2267">
        <v>103</v>
      </c>
      <c r="H2267">
        <v>1</v>
      </c>
      <c r="I2267" t="s">
        <v>89</v>
      </c>
      <c r="J2267">
        <v>0</v>
      </c>
      <c r="K2267">
        <v>1</v>
      </c>
      <c r="L2267">
        <v>2</v>
      </c>
      <c r="M2267" t="s">
        <v>315</v>
      </c>
      <c r="N2267">
        <v>385</v>
      </c>
      <c r="O2267">
        <v>3</v>
      </c>
      <c r="P2267">
        <v>386</v>
      </c>
      <c r="Q2267">
        <v>6</v>
      </c>
      <c r="R2267">
        <v>14</v>
      </c>
      <c r="S2267">
        <v>1</v>
      </c>
      <c r="T2267">
        <v>77</v>
      </c>
      <c r="U2267">
        <v>38</v>
      </c>
      <c r="V2267">
        <v>124</v>
      </c>
      <c r="W2267">
        <v>0</v>
      </c>
      <c r="X2267">
        <v>4</v>
      </c>
      <c r="Y2267">
        <v>74</v>
      </c>
      <c r="Z2267">
        <v>6</v>
      </c>
      <c r="AA2267">
        <v>1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1</v>
      </c>
      <c r="AI2267">
        <v>1</v>
      </c>
      <c r="AJ2267">
        <v>2</v>
      </c>
      <c r="AK2267">
        <v>1</v>
      </c>
      <c r="AL2267">
        <v>0</v>
      </c>
      <c r="AM2267">
        <v>0</v>
      </c>
      <c r="AN2267">
        <v>0</v>
      </c>
      <c r="AT2267">
        <v>0</v>
      </c>
      <c r="AU2267">
        <v>36</v>
      </c>
      <c r="AV2267">
        <v>386</v>
      </c>
      <c r="AW2267">
        <v>386</v>
      </c>
      <c r="AX2267">
        <v>561</v>
      </c>
      <c r="BA2267">
        <v>1</v>
      </c>
      <c r="BC2267" t="s">
        <v>4634</v>
      </c>
      <c r="BD2267" s="4">
        <v>43283.626736111109</v>
      </c>
      <c r="BE2267" s="4">
        <v>43283.639467592591</v>
      </c>
      <c r="BF2267" s="4">
        <v>43283.639467592591</v>
      </c>
      <c r="BG2267" t="s">
        <v>83</v>
      </c>
      <c r="BH2267" t="s">
        <v>84</v>
      </c>
      <c r="BI2267" t="s">
        <v>548</v>
      </c>
    </row>
    <row r="2268" spans="1:61" x14ac:dyDescent="0.3">
      <c r="A2268" t="str">
        <f>"200397B0100"</f>
        <v>200397B0100</v>
      </c>
      <c r="B2268" t="s">
        <v>4635</v>
      </c>
      <c r="C2268">
        <v>20</v>
      </c>
      <c r="D2268" t="s">
        <v>79</v>
      </c>
      <c r="E2268">
        <v>11</v>
      </c>
      <c r="F2268" t="s">
        <v>4565</v>
      </c>
      <c r="G2268">
        <v>397</v>
      </c>
      <c r="H2268">
        <v>1</v>
      </c>
      <c r="I2268" t="s">
        <v>81</v>
      </c>
      <c r="J2268">
        <v>0</v>
      </c>
      <c r="K2268">
        <v>1</v>
      </c>
      <c r="L2268">
        <v>2</v>
      </c>
      <c r="M2268">
        <v>245</v>
      </c>
      <c r="N2268">
        <v>377</v>
      </c>
      <c r="O2268">
        <v>1</v>
      </c>
      <c r="P2268">
        <v>377</v>
      </c>
      <c r="Q2268">
        <v>27</v>
      </c>
      <c r="R2268">
        <v>89</v>
      </c>
      <c r="S2268">
        <v>11</v>
      </c>
      <c r="T2268">
        <v>12</v>
      </c>
      <c r="U2268">
        <v>7</v>
      </c>
      <c r="V2268">
        <v>8</v>
      </c>
      <c r="W2268">
        <v>1</v>
      </c>
      <c r="X2268">
        <v>3</v>
      </c>
      <c r="Y2268">
        <v>185</v>
      </c>
      <c r="Z2268">
        <v>4</v>
      </c>
      <c r="AA2268">
        <v>1</v>
      </c>
      <c r="AB2268">
        <v>6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1</v>
      </c>
      <c r="AM2268">
        <v>0</v>
      </c>
      <c r="AN2268">
        <v>1</v>
      </c>
      <c r="AT2268">
        <v>0</v>
      </c>
      <c r="AU2268">
        <v>21</v>
      </c>
      <c r="AV2268">
        <v>377</v>
      </c>
      <c r="AW2268">
        <v>377</v>
      </c>
      <c r="AX2268">
        <v>599</v>
      </c>
      <c r="BA2268">
        <v>1</v>
      </c>
      <c r="BC2268" t="s">
        <v>4636</v>
      </c>
      <c r="BD2268" s="4">
        <v>43283.137499999997</v>
      </c>
      <c r="BE2268" s="4">
        <v>43283.144143518519</v>
      </c>
      <c r="BF2268" s="4">
        <v>43283.144143518519</v>
      </c>
      <c r="BG2268" t="s">
        <v>83</v>
      </c>
      <c r="BH2268" t="s">
        <v>84</v>
      </c>
      <c r="BI2268" t="s">
        <v>85</v>
      </c>
    </row>
    <row r="2269" spans="1:61" x14ac:dyDescent="0.3">
      <c r="A2269" t="str">
        <f>"200397C0100"</f>
        <v>200397C0100</v>
      </c>
      <c r="B2269" t="s">
        <v>4637</v>
      </c>
      <c r="C2269">
        <v>20</v>
      </c>
      <c r="D2269" t="s">
        <v>79</v>
      </c>
      <c r="E2269">
        <v>11</v>
      </c>
      <c r="F2269" t="s">
        <v>4565</v>
      </c>
      <c r="G2269">
        <v>397</v>
      </c>
      <c r="H2269">
        <v>1</v>
      </c>
      <c r="I2269" t="s">
        <v>89</v>
      </c>
      <c r="J2269">
        <v>0</v>
      </c>
      <c r="K2269">
        <v>1</v>
      </c>
      <c r="L2269">
        <v>2</v>
      </c>
      <c r="M2269">
        <v>248</v>
      </c>
      <c r="N2269">
        <v>374</v>
      </c>
      <c r="O2269">
        <v>1</v>
      </c>
      <c r="P2269">
        <v>375</v>
      </c>
      <c r="Q2269">
        <v>84</v>
      </c>
      <c r="R2269">
        <v>76</v>
      </c>
      <c r="S2269">
        <v>7</v>
      </c>
      <c r="T2269">
        <v>13</v>
      </c>
      <c r="U2269">
        <v>15</v>
      </c>
      <c r="V2269">
        <v>7</v>
      </c>
      <c r="W2269">
        <v>1</v>
      </c>
      <c r="X2269">
        <v>3</v>
      </c>
      <c r="Y2269">
        <v>189</v>
      </c>
      <c r="Z2269">
        <v>2</v>
      </c>
      <c r="AA2269">
        <v>2</v>
      </c>
      <c r="AB2269">
        <v>4</v>
      </c>
      <c r="AC2269">
        <v>1</v>
      </c>
      <c r="AD2269">
        <v>0</v>
      </c>
      <c r="AE2269">
        <v>0</v>
      </c>
      <c r="AF2269">
        <v>0</v>
      </c>
      <c r="AG2269">
        <v>0</v>
      </c>
      <c r="AH2269">
        <v>1</v>
      </c>
      <c r="AI2269">
        <v>1</v>
      </c>
      <c r="AJ2269">
        <v>0</v>
      </c>
      <c r="AK2269">
        <v>4</v>
      </c>
      <c r="AL2269">
        <v>0</v>
      </c>
      <c r="AM2269">
        <v>0</v>
      </c>
      <c r="AN2269">
        <v>0</v>
      </c>
      <c r="AT2269">
        <v>0</v>
      </c>
      <c r="AU2269">
        <v>25</v>
      </c>
      <c r="AV2269">
        <v>375</v>
      </c>
      <c r="AW2269">
        <v>435</v>
      </c>
      <c r="AX2269">
        <v>599</v>
      </c>
      <c r="BA2269">
        <v>1</v>
      </c>
      <c r="BC2269" t="s">
        <v>4638</v>
      </c>
      <c r="BD2269" s="4">
        <v>43283.126388888886</v>
      </c>
      <c r="BE2269" s="4">
        <v>43283.130868055552</v>
      </c>
      <c r="BF2269" s="4">
        <v>43283.130868055552</v>
      </c>
      <c r="BG2269" t="s">
        <v>83</v>
      </c>
      <c r="BH2269" t="s">
        <v>84</v>
      </c>
      <c r="BI2269" t="s">
        <v>85</v>
      </c>
    </row>
    <row r="2270" spans="1:61" x14ac:dyDescent="0.3">
      <c r="A2270" t="str">
        <f>"200397C0200"</f>
        <v>200397C0200</v>
      </c>
      <c r="B2270" t="s">
        <v>4639</v>
      </c>
      <c r="C2270">
        <v>20</v>
      </c>
      <c r="D2270" t="s">
        <v>79</v>
      </c>
      <c r="E2270">
        <v>11</v>
      </c>
      <c r="F2270" t="s">
        <v>4565</v>
      </c>
      <c r="G2270">
        <v>397</v>
      </c>
      <c r="H2270">
        <v>2</v>
      </c>
      <c r="I2270" t="s">
        <v>89</v>
      </c>
      <c r="J2270">
        <v>0</v>
      </c>
      <c r="K2270">
        <v>1</v>
      </c>
      <c r="L2270">
        <v>2</v>
      </c>
      <c r="M2270">
        <v>245</v>
      </c>
      <c r="N2270">
        <v>376</v>
      </c>
      <c r="O2270">
        <v>2</v>
      </c>
      <c r="P2270">
        <v>376</v>
      </c>
      <c r="Q2270">
        <v>25</v>
      </c>
      <c r="R2270">
        <v>86</v>
      </c>
      <c r="S2270">
        <v>4</v>
      </c>
      <c r="T2270">
        <v>22</v>
      </c>
      <c r="U2270">
        <v>6</v>
      </c>
      <c r="V2270">
        <v>8</v>
      </c>
      <c r="W2270">
        <v>3</v>
      </c>
      <c r="X2270">
        <v>2</v>
      </c>
      <c r="Y2270">
        <v>203</v>
      </c>
      <c r="Z2270">
        <v>1</v>
      </c>
      <c r="AA2270">
        <v>2</v>
      </c>
      <c r="AB2270">
        <v>2</v>
      </c>
      <c r="AC2270" t="s">
        <v>100</v>
      </c>
      <c r="AD2270" t="s">
        <v>100</v>
      </c>
      <c r="AE2270" t="s">
        <v>100</v>
      </c>
      <c r="AF2270" t="s">
        <v>100</v>
      </c>
      <c r="AG2270" t="s">
        <v>100</v>
      </c>
      <c r="AH2270" t="s">
        <v>100</v>
      </c>
      <c r="AI2270" t="s">
        <v>100</v>
      </c>
      <c r="AJ2270" t="s">
        <v>100</v>
      </c>
      <c r="AK2270">
        <v>3</v>
      </c>
      <c r="AL2270" t="s">
        <v>100</v>
      </c>
      <c r="AM2270" t="s">
        <v>100</v>
      </c>
      <c r="AN2270" t="s">
        <v>100</v>
      </c>
      <c r="AT2270" t="s">
        <v>100</v>
      </c>
      <c r="AU2270" t="s">
        <v>100</v>
      </c>
      <c r="AV2270">
        <v>376</v>
      </c>
      <c r="AW2270">
        <v>367</v>
      </c>
      <c r="AX2270">
        <v>598</v>
      </c>
      <c r="AZ2270" t="s">
        <v>101</v>
      </c>
      <c r="BA2270">
        <v>1</v>
      </c>
      <c r="BC2270" s="2" t="s">
        <v>4640</v>
      </c>
      <c r="BD2270" s="4">
        <v>43283.128472222219</v>
      </c>
      <c r="BE2270" s="4">
        <v>43283.132662037038</v>
      </c>
      <c r="BF2270" s="4">
        <v>43283.132662037038</v>
      </c>
      <c r="BG2270" t="s">
        <v>83</v>
      </c>
      <c r="BH2270" t="s">
        <v>84</v>
      </c>
      <c r="BI2270" t="s">
        <v>85</v>
      </c>
    </row>
    <row r="2271" spans="1:61" x14ac:dyDescent="0.3">
      <c r="A2271" t="str">
        <f>"200398B0100"</f>
        <v>200398B0100</v>
      </c>
      <c r="B2271" t="s">
        <v>4641</v>
      </c>
      <c r="C2271">
        <v>20</v>
      </c>
      <c r="D2271" t="s">
        <v>79</v>
      </c>
      <c r="E2271">
        <v>11</v>
      </c>
      <c r="F2271" t="s">
        <v>4565</v>
      </c>
      <c r="G2271">
        <v>398</v>
      </c>
      <c r="H2271">
        <v>1</v>
      </c>
      <c r="I2271" t="s">
        <v>81</v>
      </c>
      <c r="J2271">
        <v>0</v>
      </c>
      <c r="K2271">
        <v>1</v>
      </c>
      <c r="L2271">
        <v>2</v>
      </c>
      <c r="M2271">
        <v>171</v>
      </c>
      <c r="N2271">
        <v>322</v>
      </c>
      <c r="O2271">
        <v>2</v>
      </c>
      <c r="P2271">
        <v>322</v>
      </c>
      <c r="Q2271">
        <v>38</v>
      </c>
      <c r="R2271">
        <v>39</v>
      </c>
      <c r="S2271">
        <v>7</v>
      </c>
      <c r="T2271">
        <v>9</v>
      </c>
      <c r="U2271">
        <v>3</v>
      </c>
      <c r="V2271">
        <v>5</v>
      </c>
      <c r="W2271">
        <v>3</v>
      </c>
      <c r="X2271">
        <v>2</v>
      </c>
      <c r="Y2271">
        <v>191</v>
      </c>
      <c r="Z2271">
        <v>6</v>
      </c>
      <c r="AA2271">
        <v>1</v>
      </c>
      <c r="AB2271">
        <v>4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3</v>
      </c>
      <c r="AL2271">
        <v>2</v>
      </c>
      <c r="AM2271">
        <v>0</v>
      </c>
      <c r="AN2271">
        <v>0</v>
      </c>
      <c r="AT2271">
        <v>0</v>
      </c>
      <c r="AU2271">
        <v>9</v>
      </c>
      <c r="AV2271">
        <v>322</v>
      </c>
      <c r="AW2271">
        <v>322</v>
      </c>
      <c r="AX2271">
        <v>474</v>
      </c>
      <c r="BA2271">
        <v>1</v>
      </c>
      <c r="BC2271" t="s">
        <v>4642</v>
      </c>
      <c r="BD2271" s="4">
        <v>43283.112500000003</v>
      </c>
      <c r="BE2271" s="4">
        <v>43283.134583333333</v>
      </c>
      <c r="BF2271" s="4">
        <v>43283.134583333333</v>
      </c>
      <c r="BG2271" t="s">
        <v>83</v>
      </c>
      <c r="BH2271" t="s">
        <v>84</v>
      </c>
      <c r="BI2271" t="s">
        <v>85</v>
      </c>
    </row>
    <row r="2272" spans="1:61" x14ac:dyDescent="0.3">
      <c r="A2272" t="str">
        <f>"200398C0100"</f>
        <v>200398C0100</v>
      </c>
      <c r="B2272" t="s">
        <v>4643</v>
      </c>
      <c r="C2272">
        <v>20</v>
      </c>
      <c r="D2272" t="s">
        <v>79</v>
      </c>
      <c r="E2272">
        <v>11</v>
      </c>
      <c r="F2272" t="s">
        <v>4565</v>
      </c>
      <c r="G2272">
        <v>398</v>
      </c>
      <c r="H2272">
        <v>1</v>
      </c>
      <c r="I2272" t="s">
        <v>89</v>
      </c>
      <c r="J2272">
        <v>0</v>
      </c>
      <c r="K2272">
        <v>1</v>
      </c>
      <c r="L2272">
        <v>2</v>
      </c>
      <c r="M2272">
        <v>180</v>
      </c>
      <c r="N2272">
        <v>316</v>
      </c>
      <c r="O2272">
        <v>0</v>
      </c>
      <c r="P2272">
        <v>318</v>
      </c>
      <c r="Q2272">
        <v>28</v>
      </c>
      <c r="R2272">
        <v>41</v>
      </c>
      <c r="S2272">
        <v>16</v>
      </c>
      <c r="T2272">
        <v>11</v>
      </c>
      <c r="U2272">
        <v>8</v>
      </c>
      <c r="V2272">
        <v>7</v>
      </c>
      <c r="W2272">
        <v>3</v>
      </c>
      <c r="X2272">
        <v>0</v>
      </c>
      <c r="Y2272">
        <v>184</v>
      </c>
      <c r="Z2272">
        <v>3</v>
      </c>
      <c r="AA2272">
        <v>1</v>
      </c>
      <c r="AB2272">
        <v>3</v>
      </c>
      <c r="AC2272">
        <v>1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1</v>
      </c>
      <c r="AL2272">
        <v>0</v>
      </c>
      <c r="AM2272">
        <v>0</v>
      </c>
      <c r="AN2272">
        <v>1</v>
      </c>
      <c r="AT2272">
        <v>0</v>
      </c>
      <c r="AU2272">
        <v>10</v>
      </c>
      <c r="AV2272">
        <v>318</v>
      </c>
      <c r="AW2272">
        <v>318</v>
      </c>
      <c r="AX2272">
        <v>473</v>
      </c>
      <c r="BA2272">
        <v>1</v>
      </c>
      <c r="BC2272" t="s">
        <v>4644</v>
      </c>
      <c r="BD2272" s="4">
        <v>43283.111111111109</v>
      </c>
      <c r="BE2272" s="4">
        <v>43283.116435185184</v>
      </c>
      <c r="BF2272" s="4">
        <v>43283.116435185184</v>
      </c>
      <c r="BG2272" t="s">
        <v>83</v>
      </c>
      <c r="BH2272" t="s">
        <v>84</v>
      </c>
      <c r="BI2272" t="s">
        <v>85</v>
      </c>
    </row>
    <row r="2273" spans="1:61" x14ac:dyDescent="0.3">
      <c r="A2273" t="str">
        <f>"200399B0100"</f>
        <v>200399B0100</v>
      </c>
      <c r="B2273" t="s">
        <v>4645</v>
      </c>
      <c r="C2273">
        <v>20</v>
      </c>
      <c r="D2273" t="s">
        <v>79</v>
      </c>
      <c r="E2273">
        <v>11</v>
      </c>
      <c r="F2273" t="s">
        <v>4565</v>
      </c>
      <c r="G2273">
        <v>399</v>
      </c>
      <c r="H2273">
        <v>1</v>
      </c>
      <c r="I2273" t="s">
        <v>81</v>
      </c>
      <c r="J2273">
        <v>0</v>
      </c>
      <c r="K2273">
        <v>1</v>
      </c>
      <c r="L2273">
        <v>2</v>
      </c>
      <c r="M2273">
        <v>259</v>
      </c>
      <c r="N2273">
        <v>433</v>
      </c>
      <c r="O2273">
        <v>11</v>
      </c>
      <c r="P2273" t="s">
        <v>100</v>
      </c>
      <c r="Q2273">
        <v>52</v>
      </c>
      <c r="R2273">
        <v>78</v>
      </c>
      <c r="S2273">
        <v>8</v>
      </c>
      <c r="T2273">
        <v>21</v>
      </c>
      <c r="U2273">
        <v>13</v>
      </c>
      <c r="V2273">
        <v>6</v>
      </c>
      <c r="W2273">
        <v>4</v>
      </c>
      <c r="X2273">
        <v>3</v>
      </c>
      <c r="Y2273">
        <v>201</v>
      </c>
      <c r="Z2273">
        <v>9</v>
      </c>
      <c r="AA2273">
        <v>4</v>
      </c>
      <c r="AB2273">
        <v>8</v>
      </c>
      <c r="AC2273">
        <v>2</v>
      </c>
      <c r="AD2273">
        <v>0</v>
      </c>
      <c r="AE2273">
        <v>0</v>
      </c>
      <c r="AF2273">
        <v>0</v>
      </c>
      <c r="AG2273">
        <v>0</v>
      </c>
      <c r="AH2273">
        <v>1</v>
      </c>
      <c r="AI2273">
        <v>0</v>
      </c>
      <c r="AJ2273">
        <v>0</v>
      </c>
      <c r="AK2273">
        <v>3</v>
      </c>
      <c r="AL2273">
        <v>1</v>
      </c>
      <c r="AM2273">
        <v>1</v>
      </c>
      <c r="AN2273">
        <v>1</v>
      </c>
      <c r="AT2273">
        <v>1</v>
      </c>
      <c r="AU2273">
        <v>16</v>
      </c>
      <c r="AV2273">
        <v>433</v>
      </c>
      <c r="AW2273">
        <v>433</v>
      </c>
      <c r="AX2273">
        <v>669</v>
      </c>
      <c r="BA2273">
        <v>1</v>
      </c>
      <c r="BC2273" t="s">
        <v>4646</v>
      </c>
      <c r="BD2273" s="4">
        <v>43283.147222222222</v>
      </c>
      <c r="BE2273" s="4">
        <v>43283.159363425926</v>
      </c>
      <c r="BF2273" s="4">
        <v>43283.159363425926</v>
      </c>
      <c r="BG2273" t="s">
        <v>83</v>
      </c>
      <c r="BH2273" t="s">
        <v>84</v>
      </c>
      <c r="BI2273" t="s">
        <v>85</v>
      </c>
    </row>
    <row r="2274" spans="1:61" x14ac:dyDescent="0.3">
      <c r="A2274" t="str">
        <f>"200399C0100"</f>
        <v>200399C0100</v>
      </c>
      <c r="B2274" t="s">
        <v>4647</v>
      </c>
      <c r="C2274">
        <v>20</v>
      </c>
      <c r="D2274" t="s">
        <v>79</v>
      </c>
      <c r="E2274">
        <v>11</v>
      </c>
      <c r="F2274" t="s">
        <v>4565</v>
      </c>
      <c r="G2274">
        <v>399</v>
      </c>
      <c r="H2274">
        <v>1</v>
      </c>
      <c r="I2274" t="s">
        <v>89</v>
      </c>
      <c r="J2274">
        <v>0</v>
      </c>
      <c r="K2274">
        <v>1</v>
      </c>
      <c r="L2274">
        <v>2</v>
      </c>
      <c r="M2274">
        <v>271</v>
      </c>
      <c r="N2274">
        <v>421</v>
      </c>
      <c r="O2274">
        <v>10</v>
      </c>
      <c r="P2274">
        <v>421</v>
      </c>
      <c r="Q2274">
        <v>38</v>
      </c>
      <c r="R2274">
        <v>65</v>
      </c>
      <c r="S2274">
        <v>8</v>
      </c>
      <c r="T2274">
        <v>17</v>
      </c>
      <c r="U2274">
        <v>12</v>
      </c>
      <c r="V2274">
        <v>10</v>
      </c>
      <c r="W2274">
        <v>6</v>
      </c>
      <c r="X2274">
        <v>4</v>
      </c>
      <c r="Y2274">
        <v>216</v>
      </c>
      <c r="Z2274">
        <v>7</v>
      </c>
      <c r="AA2274">
        <v>3</v>
      </c>
      <c r="AB2274">
        <v>8</v>
      </c>
      <c r="AC2274">
        <v>0</v>
      </c>
      <c r="AD2274">
        <v>0</v>
      </c>
      <c r="AE2274">
        <v>0</v>
      </c>
      <c r="AF2274">
        <v>0</v>
      </c>
      <c r="AG2274">
        <v>1</v>
      </c>
      <c r="AH2274">
        <v>2</v>
      </c>
      <c r="AI2274">
        <v>0</v>
      </c>
      <c r="AJ2274">
        <v>1</v>
      </c>
      <c r="AK2274">
        <v>1</v>
      </c>
      <c r="AL2274">
        <v>0</v>
      </c>
      <c r="AM2274">
        <v>0</v>
      </c>
      <c r="AN2274">
        <v>3</v>
      </c>
      <c r="AT2274">
        <v>0</v>
      </c>
      <c r="AU2274">
        <v>19</v>
      </c>
      <c r="AV2274">
        <v>421</v>
      </c>
      <c r="AW2274">
        <v>421</v>
      </c>
      <c r="AX2274">
        <v>669</v>
      </c>
      <c r="BA2274">
        <v>1</v>
      </c>
      <c r="BC2274" t="s">
        <v>4648</v>
      </c>
      <c r="BD2274" s="4">
        <v>43283.148611111108</v>
      </c>
      <c r="BE2274" s="4">
        <v>43283.157650462963</v>
      </c>
      <c r="BF2274" s="4">
        <v>43283.157650462963</v>
      </c>
      <c r="BG2274" t="s">
        <v>83</v>
      </c>
      <c r="BH2274" t="s">
        <v>84</v>
      </c>
      <c r="BI2274" t="s">
        <v>85</v>
      </c>
    </row>
    <row r="2275" spans="1:61" x14ac:dyDescent="0.3">
      <c r="A2275" t="str">
        <f>"200400B0100"</f>
        <v>200400B0100</v>
      </c>
      <c r="B2275" t="s">
        <v>4649</v>
      </c>
      <c r="C2275">
        <v>20</v>
      </c>
      <c r="D2275" t="s">
        <v>79</v>
      </c>
      <c r="E2275">
        <v>11</v>
      </c>
      <c r="F2275" t="s">
        <v>4565</v>
      </c>
      <c r="G2275">
        <v>400</v>
      </c>
      <c r="H2275">
        <v>1</v>
      </c>
      <c r="I2275" t="s">
        <v>81</v>
      </c>
      <c r="J2275">
        <v>0</v>
      </c>
      <c r="K2275">
        <v>1</v>
      </c>
      <c r="L2275">
        <v>2</v>
      </c>
      <c r="M2275">
        <v>317</v>
      </c>
      <c r="N2275">
        <v>429</v>
      </c>
      <c r="O2275">
        <v>0</v>
      </c>
      <c r="P2275">
        <v>429</v>
      </c>
      <c r="Q2275">
        <v>27</v>
      </c>
      <c r="R2275">
        <v>54</v>
      </c>
      <c r="S2275">
        <v>9</v>
      </c>
      <c r="T2275">
        <v>20</v>
      </c>
      <c r="U2275">
        <v>15</v>
      </c>
      <c r="V2275">
        <v>11</v>
      </c>
      <c r="W2275">
        <v>6</v>
      </c>
      <c r="X2275">
        <v>8</v>
      </c>
      <c r="Y2275">
        <v>224</v>
      </c>
      <c r="Z2275">
        <v>10</v>
      </c>
      <c r="AA2275">
        <v>2</v>
      </c>
      <c r="AB2275">
        <v>11</v>
      </c>
      <c r="AC2275">
        <v>1</v>
      </c>
      <c r="AD2275">
        <v>1</v>
      </c>
      <c r="AE2275">
        <v>0</v>
      </c>
      <c r="AF2275">
        <v>0</v>
      </c>
      <c r="AG2275">
        <v>1</v>
      </c>
      <c r="AH2275">
        <v>2</v>
      </c>
      <c r="AI2275">
        <v>0</v>
      </c>
      <c r="AJ2275">
        <v>0</v>
      </c>
      <c r="AK2275">
        <v>4</v>
      </c>
      <c r="AL2275">
        <v>0</v>
      </c>
      <c r="AM2275">
        <v>0</v>
      </c>
      <c r="AN2275">
        <v>2</v>
      </c>
      <c r="AT2275">
        <v>0</v>
      </c>
      <c r="AU2275">
        <v>20</v>
      </c>
      <c r="AV2275">
        <v>428</v>
      </c>
      <c r="AW2275">
        <v>428</v>
      </c>
      <c r="AX2275">
        <v>722</v>
      </c>
      <c r="BA2275">
        <v>1</v>
      </c>
      <c r="BC2275" t="s">
        <v>4650</v>
      </c>
      <c r="BD2275" s="4">
        <v>43283.145833333336</v>
      </c>
      <c r="BE2275" s="4">
        <v>43283.158113425925</v>
      </c>
      <c r="BF2275" s="4">
        <v>43283.158113425925</v>
      </c>
      <c r="BG2275" t="s">
        <v>83</v>
      </c>
      <c r="BH2275" t="s">
        <v>84</v>
      </c>
      <c r="BI2275" t="s">
        <v>85</v>
      </c>
    </row>
    <row r="2276" spans="1:61" x14ac:dyDescent="0.3">
      <c r="A2276" t="str">
        <f>"200400C0100"</f>
        <v>200400C0100</v>
      </c>
      <c r="B2276" t="s">
        <v>4651</v>
      </c>
      <c r="C2276">
        <v>20</v>
      </c>
      <c r="D2276" t="s">
        <v>79</v>
      </c>
      <c r="E2276">
        <v>11</v>
      </c>
      <c r="F2276" t="s">
        <v>4565</v>
      </c>
      <c r="G2276">
        <v>400</v>
      </c>
      <c r="H2276">
        <v>1</v>
      </c>
      <c r="I2276" t="s">
        <v>89</v>
      </c>
      <c r="J2276">
        <v>0</v>
      </c>
      <c r="K2276">
        <v>1</v>
      </c>
      <c r="L2276">
        <v>2</v>
      </c>
      <c r="M2276">
        <v>291</v>
      </c>
      <c r="N2276">
        <v>453</v>
      </c>
      <c r="O2276">
        <v>1</v>
      </c>
      <c r="P2276">
        <v>5</v>
      </c>
      <c r="Q2276">
        <v>35</v>
      </c>
      <c r="R2276">
        <v>58</v>
      </c>
      <c r="S2276">
        <v>11</v>
      </c>
      <c r="T2276">
        <v>36</v>
      </c>
      <c r="U2276">
        <v>18</v>
      </c>
      <c r="V2276">
        <v>10</v>
      </c>
      <c r="W2276">
        <v>4</v>
      </c>
      <c r="X2276">
        <v>14</v>
      </c>
      <c r="Y2276">
        <v>204</v>
      </c>
      <c r="Z2276">
        <v>10</v>
      </c>
      <c r="AA2276">
        <v>3</v>
      </c>
      <c r="AB2276">
        <v>6</v>
      </c>
      <c r="AC2276">
        <v>0</v>
      </c>
      <c r="AD2276">
        <v>0</v>
      </c>
      <c r="AE2276">
        <v>0</v>
      </c>
      <c r="AF2276">
        <v>0</v>
      </c>
      <c r="AG2276">
        <v>1</v>
      </c>
      <c r="AH2276">
        <v>2</v>
      </c>
      <c r="AI2276">
        <v>1</v>
      </c>
      <c r="AJ2276">
        <v>0</v>
      </c>
      <c r="AK2276">
        <v>9</v>
      </c>
      <c r="AL2276">
        <v>0</v>
      </c>
      <c r="AM2276">
        <v>0</v>
      </c>
      <c r="AN2276">
        <v>1</v>
      </c>
      <c r="AT2276">
        <v>0</v>
      </c>
      <c r="AU2276">
        <v>25</v>
      </c>
      <c r="AV2276">
        <v>448</v>
      </c>
      <c r="AW2276">
        <v>448</v>
      </c>
      <c r="AX2276">
        <v>721</v>
      </c>
      <c r="BA2276">
        <v>1</v>
      </c>
      <c r="BC2276" t="s">
        <v>4652</v>
      </c>
      <c r="BD2276" s="4">
        <v>43283.146527777775</v>
      </c>
      <c r="BE2276" s="4">
        <v>43283.153958333336</v>
      </c>
      <c r="BF2276" s="4">
        <v>43283.153958333336</v>
      </c>
      <c r="BG2276" t="s">
        <v>83</v>
      </c>
      <c r="BH2276" t="s">
        <v>84</v>
      </c>
      <c r="BI2276" t="s">
        <v>85</v>
      </c>
    </row>
    <row r="2277" spans="1:61" x14ac:dyDescent="0.3">
      <c r="A2277" t="str">
        <f>"200400C0200"</f>
        <v>200400C0200</v>
      </c>
      <c r="B2277" t="s">
        <v>4653</v>
      </c>
      <c r="C2277">
        <v>20</v>
      </c>
      <c r="D2277" t="s">
        <v>79</v>
      </c>
      <c r="E2277">
        <v>11</v>
      </c>
      <c r="F2277" t="s">
        <v>4565</v>
      </c>
      <c r="G2277">
        <v>400</v>
      </c>
      <c r="H2277">
        <v>2</v>
      </c>
      <c r="I2277" t="s">
        <v>89</v>
      </c>
      <c r="J2277">
        <v>0</v>
      </c>
      <c r="K2277">
        <v>1</v>
      </c>
      <c r="L2277">
        <v>2</v>
      </c>
      <c r="M2277">
        <v>289</v>
      </c>
      <c r="N2277">
        <v>455</v>
      </c>
      <c r="O2277">
        <v>4</v>
      </c>
      <c r="P2277">
        <v>455</v>
      </c>
      <c r="Q2277">
        <v>42</v>
      </c>
      <c r="R2277">
        <v>42</v>
      </c>
      <c r="S2277">
        <v>9</v>
      </c>
      <c r="T2277">
        <v>32</v>
      </c>
      <c r="U2277">
        <v>11</v>
      </c>
      <c r="V2277">
        <v>14</v>
      </c>
      <c r="W2277">
        <v>4</v>
      </c>
      <c r="X2277">
        <v>5</v>
      </c>
      <c r="Y2277">
        <v>239</v>
      </c>
      <c r="Z2277">
        <v>9</v>
      </c>
      <c r="AA2277">
        <v>2</v>
      </c>
      <c r="AB2277">
        <v>11</v>
      </c>
      <c r="AC2277">
        <v>0</v>
      </c>
      <c r="AD2277">
        <v>1</v>
      </c>
      <c r="AE2277">
        <v>0</v>
      </c>
      <c r="AF2277">
        <v>0</v>
      </c>
      <c r="AG2277">
        <v>0</v>
      </c>
      <c r="AH2277">
        <v>2</v>
      </c>
      <c r="AI2277">
        <v>0</v>
      </c>
      <c r="AJ2277">
        <v>0</v>
      </c>
      <c r="AK2277">
        <v>3</v>
      </c>
      <c r="AL2277">
        <v>3</v>
      </c>
      <c r="AM2277">
        <v>1</v>
      </c>
      <c r="AN2277">
        <v>2</v>
      </c>
      <c r="AT2277">
        <v>0</v>
      </c>
      <c r="AU2277">
        <v>23</v>
      </c>
      <c r="AV2277">
        <v>450</v>
      </c>
      <c r="AW2277">
        <v>455</v>
      </c>
      <c r="AX2277">
        <v>721</v>
      </c>
      <c r="BA2277">
        <v>1</v>
      </c>
      <c r="BC2277" t="s">
        <v>4654</v>
      </c>
      <c r="BD2277" s="4">
        <v>43283.147222222222</v>
      </c>
      <c r="BE2277" s="4">
        <v>43283.159004629626</v>
      </c>
      <c r="BF2277" s="4">
        <v>43283.159004629626</v>
      </c>
      <c r="BG2277" t="s">
        <v>83</v>
      </c>
      <c r="BH2277" t="s">
        <v>84</v>
      </c>
      <c r="BI2277" t="s">
        <v>85</v>
      </c>
    </row>
    <row r="2278" spans="1:61" x14ac:dyDescent="0.3">
      <c r="A2278" t="str">
        <f>"200401B0100"</f>
        <v>200401B0100</v>
      </c>
      <c r="B2278" t="s">
        <v>4655</v>
      </c>
      <c r="C2278">
        <v>20</v>
      </c>
      <c r="D2278" t="s">
        <v>79</v>
      </c>
      <c r="E2278">
        <v>11</v>
      </c>
      <c r="F2278" t="s">
        <v>4565</v>
      </c>
      <c r="G2278">
        <v>401</v>
      </c>
      <c r="H2278">
        <v>1</v>
      </c>
      <c r="I2278" t="s">
        <v>81</v>
      </c>
      <c r="J2278">
        <v>0</v>
      </c>
      <c r="K2278">
        <v>1</v>
      </c>
      <c r="L2278">
        <v>2</v>
      </c>
      <c r="M2278">
        <v>197</v>
      </c>
      <c r="N2278">
        <v>335</v>
      </c>
      <c r="O2278">
        <v>5</v>
      </c>
      <c r="P2278">
        <v>335</v>
      </c>
      <c r="Q2278">
        <v>43</v>
      </c>
      <c r="R2278">
        <v>53</v>
      </c>
      <c r="S2278">
        <v>5</v>
      </c>
      <c r="T2278">
        <v>14</v>
      </c>
      <c r="U2278">
        <v>8</v>
      </c>
      <c r="V2278">
        <v>7</v>
      </c>
      <c r="W2278">
        <v>3</v>
      </c>
      <c r="X2278">
        <v>7</v>
      </c>
      <c r="Y2278">
        <v>168</v>
      </c>
      <c r="Z2278">
        <v>5</v>
      </c>
      <c r="AA2278" t="s">
        <v>100</v>
      </c>
      <c r="AB2278">
        <v>3</v>
      </c>
      <c r="AC2278" t="s">
        <v>100</v>
      </c>
      <c r="AD2278" t="s">
        <v>100</v>
      </c>
      <c r="AE2278" t="s">
        <v>100</v>
      </c>
      <c r="AF2278" t="s">
        <v>100</v>
      </c>
      <c r="AG2278" t="s">
        <v>100</v>
      </c>
      <c r="AH2278" t="s">
        <v>100</v>
      </c>
      <c r="AI2278" t="s">
        <v>100</v>
      </c>
      <c r="AJ2278" t="s">
        <v>100</v>
      </c>
      <c r="AK2278">
        <v>2</v>
      </c>
      <c r="AL2278">
        <v>1</v>
      </c>
      <c r="AM2278">
        <v>3</v>
      </c>
      <c r="AN2278">
        <v>2</v>
      </c>
      <c r="AT2278" t="s">
        <v>100</v>
      </c>
      <c r="AU2278">
        <v>11</v>
      </c>
      <c r="AV2278">
        <v>335</v>
      </c>
      <c r="AW2278">
        <v>335</v>
      </c>
      <c r="AX2278">
        <v>510</v>
      </c>
      <c r="AZ2278" t="s">
        <v>101</v>
      </c>
      <c r="BA2278">
        <v>1</v>
      </c>
      <c r="BC2278" t="s">
        <v>4656</v>
      </c>
      <c r="BD2278" s="4">
        <v>43283.011805555558</v>
      </c>
      <c r="BE2278" s="4">
        <v>43283.017534722225</v>
      </c>
      <c r="BF2278" s="4">
        <v>43283.017534722225</v>
      </c>
      <c r="BG2278" t="s">
        <v>83</v>
      </c>
      <c r="BH2278" t="s">
        <v>84</v>
      </c>
      <c r="BI2278" t="s">
        <v>85</v>
      </c>
    </row>
    <row r="2279" spans="1:61" x14ac:dyDescent="0.3">
      <c r="A2279" t="str">
        <f>"200401C0100"</f>
        <v>200401C0100</v>
      </c>
      <c r="B2279" t="s">
        <v>4657</v>
      </c>
      <c r="C2279">
        <v>20</v>
      </c>
      <c r="D2279" t="s">
        <v>79</v>
      </c>
      <c r="E2279">
        <v>11</v>
      </c>
      <c r="F2279" t="s">
        <v>4565</v>
      </c>
      <c r="G2279">
        <v>401</v>
      </c>
      <c r="H2279">
        <v>1</v>
      </c>
      <c r="I2279" t="s">
        <v>89</v>
      </c>
      <c r="J2279">
        <v>0</v>
      </c>
      <c r="K2279">
        <v>1</v>
      </c>
      <c r="L2279">
        <v>2</v>
      </c>
      <c r="M2279">
        <v>216</v>
      </c>
      <c r="N2279">
        <v>316</v>
      </c>
      <c r="O2279">
        <v>7</v>
      </c>
      <c r="P2279">
        <v>316</v>
      </c>
      <c r="Q2279">
        <v>36</v>
      </c>
      <c r="R2279">
        <v>48</v>
      </c>
      <c r="S2279">
        <v>6</v>
      </c>
      <c r="T2279">
        <v>8</v>
      </c>
      <c r="U2279">
        <v>8</v>
      </c>
      <c r="V2279">
        <v>7</v>
      </c>
      <c r="W2279">
        <v>3</v>
      </c>
      <c r="X2279">
        <v>2</v>
      </c>
      <c r="Y2279">
        <v>179</v>
      </c>
      <c r="Z2279">
        <v>3</v>
      </c>
      <c r="AA2279">
        <v>1</v>
      </c>
      <c r="AB2279">
        <v>6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1</v>
      </c>
      <c r="AI2279">
        <v>0</v>
      </c>
      <c r="AJ2279">
        <v>0</v>
      </c>
      <c r="AK2279">
        <v>0</v>
      </c>
      <c r="AL2279">
        <v>1</v>
      </c>
      <c r="AM2279">
        <v>0</v>
      </c>
      <c r="AN2279">
        <v>0</v>
      </c>
      <c r="AT2279">
        <v>0</v>
      </c>
      <c r="AU2279">
        <v>7</v>
      </c>
      <c r="AV2279" t="s">
        <v>100</v>
      </c>
      <c r="AW2279">
        <v>316</v>
      </c>
      <c r="AX2279">
        <v>509</v>
      </c>
      <c r="BA2279">
        <v>1</v>
      </c>
      <c r="BC2279" t="s">
        <v>4658</v>
      </c>
      <c r="BD2279" s="4">
        <v>43283.019444444442</v>
      </c>
      <c r="BE2279" s="4">
        <v>43283.023576388892</v>
      </c>
      <c r="BF2279" s="4">
        <v>43283.023576388892</v>
      </c>
      <c r="BG2279" t="s">
        <v>83</v>
      </c>
      <c r="BH2279" t="s">
        <v>84</v>
      </c>
      <c r="BI2279" t="s">
        <v>85</v>
      </c>
    </row>
    <row r="2280" spans="1:61" x14ac:dyDescent="0.3">
      <c r="A2280" t="str">
        <f>"200402B0100"</f>
        <v>200402B0100</v>
      </c>
      <c r="B2280" t="s">
        <v>4659</v>
      </c>
      <c r="C2280">
        <v>20</v>
      </c>
      <c r="D2280" t="s">
        <v>79</v>
      </c>
      <c r="E2280">
        <v>11</v>
      </c>
      <c r="F2280" t="s">
        <v>4565</v>
      </c>
      <c r="G2280">
        <v>402</v>
      </c>
      <c r="H2280">
        <v>1</v>
      </c>
      <c r="I2280" t="s">
        <v>81</v>
      </c>
      <c r="J2280">
        <v>0</v>
      </c>
      <c r="K2280">
        <v>1</v>
      </c>
      <c r="L2280">
        <v>2</v>
      </c>
      <c r="M2280">
        <v>172</v>
      </c>
      <c r="N2280">
        <v>8</v>
      </c>
      <c r="O2280">
        <v>8</v>
      </c>
      <c r="P2280">
        <v>315</v>
      </c>
      <c r="Q2280">
        <v>47</v>
      </c>
      <c r="R2280">
        <v>29</v>
      </c>
      <c r="S2280">
        <v>2</v>
      </c>
      <c r="T2280">
        <v>16</v>
      </c>
      <c r="U2280">
        <v>6</v>
      </c>
      <c r="V2280">
        <v>7</v>
      </c>
      <c r="W2280">
        <v>3</v>
      </c>
      <c r="X2280">
        <v>1</v>
      </c>
      <c r="Y2280">
        <v>182</v>
      </c>
      <c r="Z2280">
        <v>4</v>
      </c>
      <c r="AA2280">
        <v>2</v>
      </c>
      <c r="AB2280">
        <v>6</v>
      </c>
      <c r="AC2280" t="s">
        <v>100</v>
      </c>
      <c r="AD2280" t="s">
        <v>100</v>
      </c>
      <c r="AE2280" t="s">
        <v>100</v>
      </c>
      <c r="AF2280">
        <v>1</v>
      </c>
      <c r="AG2280" t="s">
        <v>100</v>
      </c>
      <c r="AH2280" t="s">
        <v>100</v>
      </c>
      <c r="AI2280" t="s">
        <v>100</v>
      </c>
      <c r="AJ2280" t="s">
        <v>100</v>
      </c>
      <c r="AK2280" t="s">
        <v>100</v>
      </c>
      <c r="AL2280" t="s">
        <v>100</v>
      </c>
      <c r="AM2280" t="s">
        <v>100</v>
      </c>
      <c r="AN2280" t="s">
        <v>100</v>
      </c>
      <c r="AT2280" t="s">
        <v>100</v>
      </c>
      <c r="AU2280" t="s">
        <v>100</v>
      </c>
      <c r="AV2280" t="s">
        <v>100</v>
      </c>
      <c r="AW2280">
        <v>306</v>
      </c>
      <c r="AX2280">
        <v>466</v>
      </c>
      <c r="AZ2280" t="s">
        <v>101</v>
      </c>
      <c r="BA2280">
        <v>1</v>
      </c>
      <c r="BC2280" t="s">
        <v>4660</v>
      </c>
      <c r="BD2280" s="4">
        <v>43283.084722222222</v>
      </c>
      <c r="BE2280" s="4">
        <v>43283.088877314818</v>
      </c>
      <c r="BF2280" s="4">
        <v>43283.088877314818</v>
      </c>
      <c r="BG2280" t="s">
        <v>83</v>
      </c>
      <c r="BH2280" t="s">
        <v>84</v>
      </c>
      <c r="BI2280" t="s">
        <v>548</v>
      </c>
    </row>
    <row r="2281" spans="1:61" x14ac:dyDescent="0.3">
      <c r="A2281" t="str">
        <f>"200402C0100"</f>
        <v>200402C0100</v>
      </c>
      <c r="B2281" t="s">
        <v>4661</v>
      </c>
      <c r="C2281">
        <v>20</v>
      </c>
      <c r="D2281" t="s">
        <v>79</v>
      </c>
      <c r="E2281">
        <v>11</v>
      </c>
      <c r="F2281" t="s">
        <v>4565</v>
      </c>
      <c r="G2281">
        <v>402</v>
      </c>
      <c r="H2281">
        <v>1</v>
      </c>
      <c r="I2281" t="s">
        <v>89</v>
      </c>
      <c r="J2281">
        <v>0</v>
      </c>
      <c r="K2281">
        <v>1</v>
      </c>
      <c r="L2281">
        <v>2</v>
      </c>
      <c r="M2281">
        <v>177</v>
      </c>
      <c r="N2281">
        <v>311</v>
      </c>
      <c r="O2281">
        <v>10</v>
      </c>
      <c r="P2281">
        <v>311</v>
      </c>
      <c r="Q2281">
        <v>47</v>
      </c>
      <c r="R2281">
        <v>53</v>
      </c>
      <c r="S2281">
        <v>2</v>
      </c>
      <c r="T2281">
        <v>9</v>
      </c>
      <c r="U2281">
        <v>8</v>
      </c>
      <c r="V2281">
        <v>6</v>
      </c>
      <c r="W2281">
        <v>3</v>
      </c>
      <c r="X2281">
        <v>2</v>
      </c>
      <c r="Y2281">
        <v>144</v>
      </c>
      <c r="Z2281">
        <v>4</v>
      </c>
      <c r="AA2281">
        <v>1</v>
      </c>
      <c r="AB2281">
        <v>8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6</v>
      </c>
      <c r="AL2281">
        <v>1</v>
      </c>
      <c r="AM2281">
        <v>1</v>
      </c>
      <c r="AN2281">
        <v>2</v>
      </c>
      <c r="AT2281">
        <v>0</v>
      </c>
      <c r="AU2281">
        <v>14</v>
      </c>
      <c r="AV2281">
        <v>311</v>
      </c>
      <c r="AW2281">
        <v>311</v>
      </c>
      <c r="AX2281">
        <v>465</v>
      </c>
      <c r="BA2281">
        <v>1</v>
      </c>
      <c r="BC2281" t="s">
        <v>4662</v>
      </c>
      <c r="BD2281" s="4">
        <v>43282.974305555559</v>
      </c>
      <c r="BE2281" s="4">
        <v>43282.980624999997</v>
      </c>
      <c r="BF2281" s="4">
        <v>43282.980624999997</v>
      </c>
      <c r="BG2281" t="s">
        <v>83</v>
      </c>
      <c r="BH2281" t="s">
        <v>84</v>
      </c>
      <c r="BI2281" t="s">
        <v>85</v>
      </c>
    </row>
    <row r="2282" spans="1:61" x14ac:dyDescent="0.3">
      <c r="A2282" t="str">
        <f>"200402S0100"</f>
        <v>200402S0100</v>
      </c>
      <c r="B2282" t="s">
        <v>4663</v>
      </c>
      <c r="C2282">
        <v>20</v>
      </c>
      <c r="D2282" t="s">
        <v>79</v>
      </c>
      <c r="E2282">
        <v>11</v>
      </c>
      <c r="F2282" t="s">
        <v>4565</v>
      </c>
      <c r="G2282">
        <v>402</v>
      </c>
      <c r="H2282">
        <v>1</v>
      </c>
      <c r="I2282" t="s">
        <v>104</v>
      </c>
      <c r="J2282">
        <v>0</v>
      </c>
      <c r="K2282">
        <v>1</v>
      </c>
      <c r="L2282">
        <v>3</v>
      </c>
      <c r="AX2282">
        <v>0</v>
      </c>
      <c r="AZ2282" t="s">
        <v>156</v>
      </c>
      <c r="BA2282">
        <v>0</v>
      </c>
      <c r="BC2282" t="s">
        <v>4664</v>
      </c>
      <c r="BD2282" s="4">
        <v>43283.771770833337</v>
      </c>
      <c r="BE2282" s="4">
        <v>43283.774247685185</v>
      </c>
      <c r="BF2282" s="4">
        <v>43283.774247685185</v>
      </c>
      <c r="BG2282" t="s">
        <v>83</v>
      </c>
      <c r="BH2282" t="s">
        <v>84</v>
      </c>
      <c r="BI2282" t="s">
        <v>85</v>
      </c>
    </row>
    <row r="2283" spans="1:61" x14ac:dyDescent="0.3">
      <c r="A2283" t="str">
        <f>"200403B0100"</f>
        <v>200403B0100</v>
      </c>
      <c r="B2283" t="s">
        <v>4665</v>
      </c>
      <c r="C2283">
        <v>20</v>
      </c>
      <c r="D2283" t="s">
        <v>79</v>
      </c>
      <c r="E2283">
        <v>11</v>
      </c>
      <c r="F2283" t="s">
        <v>4565</v>
      </c>
      <c r="G2283">
        <v>403</v>
      </c>
      <c r="H2283">
        <v>1</v>
      </c>
      <c r="I2283" t="s">
        <v>81</v>
      </c>
      <c r="J2283">
        <v>0</v>
      </c>
      <c r="K2283">
        <v>1</v>
      </c>
      <c r="L2283">
        <v>2</v>
      </c>
      <c r="M2283">
        <v>249</v>
      </c>
      <c r="N2283" t="s">
        <v>315</v>
      </c>
      <c r="O2283">
        <v>3</v>
      </c>
      <c r="P2283">
        <v>406</v>
      </c>
      <c r="Q2283">
        <v>43</v>
      </c>
      <c r="R2283">
        <v>48</v>
      </c>
      <c r="S2283">
        <v>10</v>
      </c>
      <c r="T2283">
        <v>11</v>
      </c>
      <c r="U2283">
        <v>10</v>
      </c>
      <c r="V2283">
        <v>17</v>
      </c>
      <c r="W2283">
        <v>4</v>
      </c>
      <c r="X2283">
        <v>5</v>
      </c>
      <c r="Y2283">
        <v>228</v>
      </c>
      <c r="Z2283">
        <v>13</v>
      </c>
      <c r="AA2283">
        <v>3</v>
      </c>
      <c r="AB2283">
        <v>1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T2283">
        <v>0</v>
      </c>
      <c r="AU2283">
        <v>13</v>
      </c>
      <c r="AV2283">
        <v>406</v>
      </c>
      <c r="AW2283">
        <v>406</v>
      </c>
      <c r="AX2283">
        <v>632</v>
      </c>
      <c r="BA2283">
        <v>1</v>
      </c>
      <c r="BC2283" t="s">
        <v>4666</v>
      </c>
      <c r="BD2283" s="4">
        <v>43283.024305555555</v>
      </c>
      <c r="BE2283" s="4">
        <v>43283.034004629626</v>
      </c>
      <c r="BF2283" s="4">
        <v>43283.034004629626</v>
      </c>
      <c r="BG2283" t="s">
        <v>83</v>
      </c>
      <c r="BH2283" t="s">
        <v>84</v>
      </c>
      <c r="BI2283" t="s">
        <v>85</v>
      </c>
    </row>
    <row r="2284" spans="1:61" x14ac:dyDescent="0.3">
      <c r="A2284" t="str">
        <f>"200403C0100"</f>
        <v>200403C0100</v>
      </c>
      <c r="B2284" t="s">
        <v>4667</v>
      </c>
      <c r="C2284">
        <v>20</v>
      </c>
      <c r="D2284" t="s">
        <v>79</v>
      </c>
      <c r="E2284">
        <v>11</v>
      </c>
      <c r="F2284" t="s">
        <v>4565</v>
      </c>
      <c r="G2284">
        <v>403</v>
      </c>
      <c r="H2284">
        <v>1</v>
      </c>
      <c r="I2284" t="s">
        <v>89</v>
      </c>
      <c r="J2284">
        <v>0</v>
      </c>
      <c r="K2284">
        <v>1</v>
      </c>
      <c r="L2284">
        <v>2</v>
      </c>
      <c r="M2284">
        <v>426</v>
      </c>
      <c r="N2284">
        <v>430</v>
      </c>
      <c r="O2284">
        <v>1</v>
      </c>
      <c r="P2284">
        <v>430</v>
      </c>
      <c r="Q2284">
        <v>31</v>
      </c>
      <c r="R2284">
        <v>62</v>
      </c>
      <c r="S2284">
        <v>7</v>
      </c>
      <c r="T2284">
        <v>16</v>
      </c>
      <c r="U2284">
        <v>21</v>
      </c>
      <c r="V2284">
        <v>5</v>
      </c>
      <c r="W2284">
        <v>3</v>
      </c>
      <c r="X2284">
        <v>2</v>
      </c>
      <c r="Y2284">
        <v>255</v>
      </c>
      <c r="Z2284">
        <v>4</v>
      </c>
      <c r="AA2284">
        <v>3</v>
      </c>
      <c r="AB2284">
        <v>3</v>
      </c>
      <c r="AC2284">
        <v>1</v>
      </c>
      <c r="AD2284">
        <v>0</v>
      </c>
      <c r="AE2284">
        <v>0</v>
      </c>
      <c r="AF2284">
        <v>0</v>
      </c>
      <c r="AG2284">
        <v>0</v>
      </c>
      <c r="AH2284">
        <v>3</v>
      </c>
      <c r="AI2284">
        <v>0</v>
      </c>
      <c r="AJ2284">
        <v>0</v>
      </c>
      <c r="AK2284">
        <v>2</v>
      </c>
      <c r="AL2284">
        <v>1</v>
      </c>
      <c r="AM2284">
        <v>0</v>
      </c>
      <c r="AN2284">
        <v>0</v>
      </c>
      <c r="AT2284">
        <v>0</v>
      </c>
      <c r="AU2284">
        <v>10</v>
      </c>
      <c r="AV2284">
        <v>429</v>
      </c>
      <c r="AW2284">
        <v>429</v>
      </c>
      <c r="AX2284">
        <v>632</v>
      </c>
      <c r="BA2284">
        <v>1</v>
      </c>
      <c r="BC2284" t="s">
        <v>4668</v>
      </c>
      <c r="BD2284" s="4">
        <v>43283.082638888889</v>
      </c>
      <c r="BE2284" s="4">
        <v>43283.086875000001</v>
      </c>
      <c r="BF2284" s="4">
        <v>43283.086875000001</v>
      </c>
      <c r="BG2284" t="s">
        <v>83</v>
      </c>
      <c r="BH2284" t="s">
        <v>84</v>
      </c>
      <c r="BI2284" t="s">
        <v>85</v>
      </c>
    </row>
    <row r="2285" spans="1:61" x14ac:dyDescent="0.3">
      <c r="A2285" t="str">
        <f>"200404B0100"</f>
        <v>200404B0100</v>
      </c>
      <c r="B2285" t="s">
        <v>4669</v>
      </c>
      <c r="C2285">
        <v>20</v>
      </c>
      <c r="D2285" t="s">
        <v>79</v>
      </c>
      <c r="E2285">
        <v>11</v>
      </c>
      <c r="F2285" t="s">
        <v>4565</v>
      </c>
      <c r="G2285">
        <v>404</v>
      </c>
      <c r="H2285">
        <v>1</v>
      </c>
      <c r="I2285" t="s">
        <v>81</v>
      </c>
      <c r="J2285">
        <v>0</v>
      </c>
      <c r="K2285">
        <v>1</v>
      </c>
      <c r="L2285">
        <v>2</v>
      </c>
      <c r="M2285">
        <v>161</v>
      </c>
      <c r="N2285">
        <v>398</v>
      </c>
      <c r="O2285">
        <v>5</v>
      </c>
      <c r="P2285">
        <v>400</v>
      </c>
      <c r="Q2285">
        <v>32</v>
      </c>
      <c r="R2285">
        <v>72</v>
      </c>
      <c r="S2285">
        <v>9</v>
      </c>
      <c r="T2285">
        <v>15</v>
      </c>
      <c r="U2285">
        <v>10</v>
      </c>
      <c r="V2285">
        <v>8</v>
      </c>
      <c r="W2285">
        <v>4</v>
      </c>
      <c r="X2285">
        <v>3</v>
      </c>
      <c r="Y2285">
        <v>220</v>
      </c>
      <c r="Z2285">
        <v>5</v>
      </c>
      <c r="AA2285">
        <v>2</v>
      </c>
      <c r="AB2285">
        <v>4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2</v>
      </c>
      <c r="AL2285">
        <v>2</v>
      </c>
      <c r="AM2285">
        <v>0</v>
      </c>
      <c r="AN2285">
        <v>2</v>
      </c>
      <c r="AT2285">
        <v>0</v>
      </c>
      <c r="AU2285">
        <v>10</v>
      </c>
      <c r="AV2285">
        <v>400</v>
      </c>
      <c r="AW2285">
        <v>400</v>
      </c>
      <c r="AX2285">
        <v>539</v>
      </c>
      <c r="BA2285">
        <v>1</v>
      </c>
      <c r="BC2285" t="s">
        <v>4670</v>
      </c>
      <c r="BD2285" s="4">
        <v>43283.256678240738</v>
      </c>
      <c r="BE2285" s="4">
        <v>43283.283032407409</v>
      </c>
      <c r="BF2285" s="4">
        <v>43283.283032407409</v>
      </c>
      <c r="BG2285" t="s">
        <v>83</v>
      </c>
      <c r="BH2285" t="s">
        <v>84</v>
      </c>
      <c r="BI2285" t="s">
        <v>85</v>
      </c>
    </row>
    <row r="2286" spans="1:61" x14ac:dyDescent="0.3">
      <c r="A2286" t="str">
        <f>"200404C0100"</f>
        <v>200404C0100</v>
      </c>
      <c r="B2286" t="s">
        <v>4671</v>
      </c>
      <c r="C2286">
        <v>20</v>
      </c>
      <c r="D2286" t="s">
        <v>79</v>
      </c>
      <c r="E2286">
        <v>11</v>
      </c>
      <c r="F2286" t="s">
        <v>4565</v>
      </c>
      <c r="G2286">
        <v>404</v>
      </c>
      <c r="H2286">
        <v>1</v>
      </c>
      <c r="I2286" t="s">
        <v>89</v>
      </c>
      <c r="J2286">
        <v>0</v>
      </c>
      <c r="K2286">
        <v>1</v>
      </c>
      <c r="L2286">
        <v>2</v>
      </c>
      <c r="M2286" t="s">
        <v>100</v>
      </c>
      <c r="N2286">
        <v>350</v>
      </c>
      <c r="O2286">
        <v>1</v>
      </c>
      <c r="P2286">
        <v>350</v>
      </c>
      <c r="Q2286">
        <v>27</v>
      </c>
      <c r="R2286">
        <v>52</v>
      </c>
      <c r="S2286">
        <v>9</v>
      </c>
      <c r="T2286">
        <v>10</v>
      </c>
      <c r="U2286">
        <v>6</v>
      </c>
      <c r="V2286">
        <v>6</v>
      </c>
      <c r="W2286">
        <v>1</v>
      </c>
      <c r="X2286">
        <v>2</v>
      </c>
      <c r="Y2286">
        <v>215</v>
      </c>
      <c r="Z2286">
        <v>5</v>
      </c>
      <c r="AA2286">
        <v>3</v>
      </c>
      <c r="AB2286">
        <v>2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1</v>
      </c>
      <c r="AI2286">
        <v>0</v>
      </c>
      <c r="AJ2286">
        <v>0</v>
      </c>
      <c r="AK2286">
        <v>2</v>
      </c>
      <c r="AL2286">
        <v>1</v>
      </c>
      <c r="AM2286">
        <v>0</v>
      </c>
      <c r="AN2286">
        <v>0</v>
      </c>
      <c r="AT2286">
        <v>0</v>
      </c>
      <c r="AU2286">
        <v>8</v>
      </c>
      <c r="AV2286">
        <v>350</v>
      </c>
      <c r="AW2286">
        <v>350</v>
      </c>
      <c r="AX2286">
        <v>539</v>
      </c>
      <c r="BA2286">
        <v>1</v>
      </c>
      <c r="BC2286" t="s">
        <v>4672</v>
      </c>
      <c r="BD2286" s="4">
        <v>43283.255752314813</v>
      </c>
      <c r="BE2286" s="4">
        <v>43283.280358796299</v>
      </c>
      <c r="BF2286" s="4">
        <v>43283.280358796299</v>
      </c>
      <c r="BG2286" t="s">
        <v>83</v>
      </c>
      <c r="BH2286" t="s">
        <v>84</v>
      </c>
      <c r="BI2286" t="s">
        <v>85</v>
      </c>
    </row>
    <row r="2287" spans="1:61" x14ac:dyDescent="0.3">
      <c r="A2287" t="str">
        <f>"200405B0100"</f>
        <v>200405B0100</v>
      </c>
      <c r="B2287" t="s">
        <v>4673</v>
      </c>
      <c r="C2287">
        <v>20</v>
      </c>
      <c r="D2287" t="s">
        <v>79</v>
      </c>
      <c r="E2287">
        <v>11</v>
      </c>
      <c r="F2287" t="s">
        <v>4565</v>
      </c>
      <c r="G2287">
        <v>405</v>
      </c>
      <c r="H2287">
        <v>1</v>
      </c>
      <c r="I2287" t="s">
        <v>81</v>
      </c>
      <c r="J2287">
        <v>0</v>
      </c>
      <c r="K2287">
        <v>1</v>
      </c>
      <c r="L2287">
        <v>2</v>
      </c>
      <c r="M2287">
        <v>190</v>
      </c>
      <c r="N2287">
        <v>324</v>
      </c>
      <c r="O2287">
        <v>5</v>
      </c>
      <c r="P2287">
        <v>324</v>
      </c>
      <c r="Q2287">
        <v>38</v>
      </c>
      <c r="R2287">
        <v>61</v>
      </c>
      <c r="S2287">
        <v>6</v>
      </c>
      <c r="T2287">
        <v>9</v>
      </c>
      <c r="U2287">
        <v>8</v>
      </c>
      <c r="V2287">
        <v>4</v>
      </c>
      <c r="W2287">
        <v>2</v>
      </c>
      <c r="X2287">
        <v>3</v>
      </c>
      <c r="Y2287">
        <v>163</v>
      </c>
      <c r="Z2287">
        <v>9</v>
      </c>
      <c r="AA2287">
        <v>2</v>
      </c>
      <c r="AB2287">
        <v>6</v>
      </c>
      <c r="AC2287">
        <v>1</v>
      </c>
      <c r="AD2287">
        <v>0</v>
      </c>
      <c r="AE2287">
        <v>1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1</v>
      </c>
      <c r="AL2287">
        <v>0</v>
      </c>
      <c r="AM2287">
        <v>0</v>
      </c>
      <c r="AN2287">
        <v>1</v>
      </c>
      <c r="AT2287">
        <v>0</v>
      </c>
      <c r="AU2287">
        <v>9</v>
      </c>
      <c r="AV2287">
        <v>324</v>
      </c>
      <c r="AW2287">
        <v>324</v>
      </c>
      <c r="AX2287">
        <v>492</v>
      </c>
      <c r="BA2287">
        <v>1</v>
      </c>
      <c r="BC2287" t="s">
        <v>4674</v>
      </c>
      <c r="BD2287" s="4">
        <v>43283.185648148145</v>
      </c>
      <c r="BE2287" s="4">
        <v>43283.203587962962</v>
      </c>
      <c r="BF2287" s="4">
        <v>43283.203587962962</v>
      </c>
      <c r="BG2287" t="s">
        <v>83</v>
      </c>
      <c r="BH2287" t="s">
        <v>84</v>
      </c>
      <c r="BI2287" t="s">
        <v>85</v>
      </c>
    </row>
    <row r="2288" spans="1:61" x14ac:dyDescent="0.3">
      <c r="A2288" t="str">
        <f>"200405C0100"</f>
        <v>200405C0100</v>
      </c>
      <c r="B2288" t="s">
        <v>4675</v>
      </c>
      <c r="C2288">
        <v>20</v>
      </c>
      <c r="D2288" t="s">
        <v>79</v>
      </c>
      <c r="E2288">
        <v>11</v>
      </c>
      <c r="F2288" t="s">
        <v>4565</v>
      </c>
      <c r="G2288">
        <v>405</v>
      </c>
      <c r="H2288">
        <v>1</v>
      </c>
      <c r="I2288" t="s">
        <v>89</v>
      </c>
      <c r="J2288">
        <v>0</v>
      </c>
      <c r="K2288">
        <v>1</v>
      </c>
      <c r="L2288">
        <v>2</v>
      </c>
      <c r="M2288">
        <v>196</v>
      </c>
      <c r="N2288">
        <v>318</v>
      </c>
      <c r="O2288">
        <v>6</v>
      </c>
      <c r="P2288">
        <v>318</v>
      </c>
      <c r="Q2288">
        <v>43</v>
      </c>
      <c r="R2288">
        <v>62</v>
      </c>
      <c r="S2288">
        <v>2</v>
      </c>
      <c r="T2288">
        <v>11</v>
      </c>
      <c r="U2288">
        <v>8</v>
      </c>
      <c r="V2288">
        <v>8</v>
      </c>
      <c r="W2288">
        <v>0</v>
      </c>
      <c r="X2288">
        <v>3</v>
      </c>
      <c r="Y2288">
        <v>160</v>
      </c>
      <c r="Z2288">
        <v>3</v>
      </c>
      <c r="AA2288">
        <v>3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4</v>
      </c>
      <c r="AL2288">
        <v>3</v>
      </c>
      <c r="AM2288">
        <v>0</v>
      </c>
      <c r="AN2288">
        <v>0</v>
      </c>
      <c r="AT2288">
        <v>0</v>
      </c>
      <c r="AU2288">
        <v>8</v>
      </c>
      <c r="AV2288">
        <v>318</v>
      </c>
      <c r="AW2288">
        <v>318</v>
      </c>
      <c r="AX2288">
        <v>491</v>
      </c>
      <c r="BA2288">
        <v>1</v>
      </c>
      <c r="BC2288" t="s">
        <v>4676</v>
      </c>
      <c r="BD2288" s="4">
        <v>43283.185104166667</v>
      </c>
      <c r="BE2288" s="4">
        <v>43283.202650462961</v>
      </c>
      <c r="BF2288" s="4">
        <v>43283.202650462961</v>
      </c>
      <c r="BG2288" t="s">
        <v>83</v>
      </c>
      <c r="BH2288" t="s">
        <v>84</v>
      </c>
      <c r="BI2288" t="s">
        <v>85</v>
      </c>
    </row>
    <row r="2289" spans="1:61" x14ac:dyDescent="0.3">
      <c r="A2289" t="str">
        <f>"200406B0100"</f>
        <v>200406B0100</v>
      </c>
      <c r="B2289" t="s">
        <v>4677</v>
      </c>
      <c r="C2289">
        <v>20</v>
      </c>
      <c r="D2289" t="s">
        <v>79</v>
      </c>
      <c r="E2289">
        <v>11</v>
      </c>
      <c r="F2289" t="s">
        <v>4565</v>
      </c>
      <c r="G2289">
        <v>406</v>
      </c>
      <c r="H2289">
        <v>1</v>
      </c>
      <c r="I2289" t="s">
        <v>81</v>
      </c>
      <c r="J2289">
        <v>0</v>
      </c>
      <c r="K2289">
        <v>1</v>
      </c>
      <c r="L2289">
        <v>2</v>
      </c>
      <c r="M2289" t="s">
        <v>315</v>
      </c>
      <c r="N2289">
        <v>398</v>
      </c>
      <c r="O2289">
        <v>1</v>
      </c>
      <c r="P2289">
        <v>398</v>
      </c>
      <c r="Q2289">
        <v>43</v>
      </c>
      <c r="R2289">
        <v>43</v>
      </c>
      <c r="S2289">
        <v>10</v>
      </c>
      <c r="T2289">
        <v>18</v>
      </c>
      <c r="U2289">
        <v>17</v>
      </c>
      <c r="V2289">
        <v>15</v>
      </c>
      <c r="W2289">
        <v>0</v>
      </c>
      <c r="X2289">
        <v>4</v>
      </c>
      <c r="Y2289">
        <v>209</v>
      </c>
      <c r="Z2289">
        <v>2</v>
      </c>
      <c r="AA2289">
        <v>1</v>
      </c>
      <c r="AB2289">
        <v>4</v>
      </c>
      <c r="AC2289">
        <v>0</v>
      </c>
      <c r="AD2289">
        <v>1</v>
      </c>
      <c r="AE2289">
        <v>0</v>
      </c>
      <c r="AF2289">
        <v>0</v>
      </c>
      <c r="AG2289">
        <v>1</v>
      </c>
      <c r="AH2289">
        <v>1</v>
      </c>
      <c r="AI2289">
        <v>0</v>
      </c>
      <c r="AJ2289">
        <v>0</v>
      </c>
      <c r="AK2289">
        <v>2</v>
      </c>
      <c r="AL2289">
        <v>1</v>
      </c>
      <c r="AM2289">
        <v>0</v>
      </c>
      <c r="AN2289">
        <v>2</v>
      </c>
      <c r="AT2289" t="s">
        <v>100</v>
      </c>
      <c r="AU2289">
        <v>17</v>
      </c>
      <c r="AV2289" t="s">
        <v>100</v>
      </c>
      <c r="AW2289">
        <v>391</v>
      </c>
      <c r="AX2289">
        <v>651</v>
      </c>
      <c r="AZ2289" t="s">
        <v>101</v>
      </c>
      <c r="BA2289">
        <v>1</v>
      </c>
      <c r="BC2289" t="s">
        <v>4678</v>
      </c>
      <c r="BD2289" s="4">
        <v>43283.09652777778</v>
      </c>
      <c r="BE2289" s="4">
        <v>43283.107905092591</v>
      </c>
      <c r="BF2289" s="4">
        <v>43283.107905092591</v>
      </c>
      <c r="BG2289" t="s">
        <v>83</v>
      </c>
      <c r="BH2289" t="s">
        <v>84</v>
      </c>
      <c r="BI2289" t="s">
        <v>85</v>
      </c>
    </row>
    <row r="2290" spans="1:61" x14ac:dyDescent="0.3">
      <c r="A2290" t="str">
        <f>"200406C0100"</f>
        <v>200406C0100</v>
      </c>
      <c r="B2290" t="s">
        <v>4679</v>
      </c>
      <c r="C2290">
        <v>20</v>
      </c>
      <c r="D2290" t="s">
        <v>79</v>
      </c>
      <c r="E2290">
        <v>11</v>
      </c>
      <c r="F2290" t="s">
        <v>4565</v>
      </c>
      <c r="G2290">
        <v>406</v>
      </c>
      <c r="H2290">
        <v>1</v>
      </c>
      <c r="I2290" t="s">
        <v>89</v>
      </c>
      <c r="J2290">
        <v>0</v>
      </c>
      <c r="K2290">
        <v>1</v>
      </c>
      <c r="L2290">
        <v>2</v>
      </c>
      <c r="M2290" t="s">
        <v>100</v>
      </c>
      <c r="N2290" t="s">
        <v>100</v>
      </c>
      <c r="O2290" t="s">
        <v>100</v>
      </c>
      <c r="P2290" t="s">
        <v>100</v>
      </c>
      <c r="Q2290">
        <v>36</v>
      </c>
      <c r="R2290">
        <v>59</v>
      </c>
      <c r="S2290">
        <v>5</v>
      </c>
      <c r="T2290">
        <v>17</v>
      </c>
      <c r="U2290">
        <v>19</v>
      </c>
      <c r="V2290">
        <v>15</v>
      </c>
      <c r="W2290">
        <v>1</v>
      </c>
      <c r="X2290">
        <v>3</v>
      </c>
      <c r="Y2290">
        <v>228</v>
      </c>
      <c r="Z2290">
        <v>7</v>
      </c>
      <c r="AA2290">
        <v>1</v>
      </c>
      <c r="AB2290">
        <v>3</v>
      </c>
      <c r="AC2290" t="s">
        <v>100</v>
      </c>
      <c r="AD2290" t="s">
        <v>100</v>
      </c>
      <c r="AE2290">
        <v>1</v>
      </c>
      <c r="AF2290" t="s">
        <v>100</v>
      </c>
      <c r="AG2290" t="s">
        <v>100</v>
      </c>
      <c r="AH2290" t="s">
        <v>100</v>
      </c>
      <c r="AI2290" t="s">
        <v>100</v>
      </c>
      <c r="AJ2290" t="s">
        <v>100</v>
      </c>
      <c r="AK2290">
        <v>2</v>
      </c>
      <c r="AL2290">
        <v>2</v>
      </c>
      <c r="AM2290" t="s">
        <v>100</v>
      </c>
      <c r="AN2290">
        <v>2</v>
      </c>
      <c r="AT2290" t="s">
        <v>100</v>
      </c>
      <c r="AU2290">
        <v>11</v>
      </c>
      <c r="AV2290">
        <v>412</v>
      </c>
      <c r="AW2290">
        <v>412</v>
      </c>
      <c r="AX2290">
        <v>650</v>
      </c>
      <c r="AZ2290" t="s">
        <v>101</v>
      </c>
      <c r="BA2290">
        <v>1</v>
      </c>
      <c r="BC2290" t="s">
        <v>4680</v>
      </c>
      <c r="BD2290" s="4">
        <v>43283.09652777778</v>
      </c>
      <c r="BE2290" s="4">
        <v>43283.101423611108</v>
      </c>
      <c r="BF2290" s="4">
        <v>43283.101423611108</v>
      </c>
      <c r="BG2290" t="s">
        <v>83</v>
      </c>
      <c r="BH2290" t="s">
        <v>84</v>
      </c>
      <c r="BI2290" t="s">
        <v>85</v>
      </c>
    </row>
    <row r="2291" spans="1:61" x14ac:dyDescent="0.3">
      <c r="A2291" t="str">
        <f>"200407B0100"</f>
        <v>200407B0100</v>
      </c>
      <c r="B2291" t="s">
        <v>4681</v>
      </c>
      <c r="C2291">
        <v>20</v>
      </c>
      <c r="D2291" t="s">
        <v>79</v>
      </c>
      <c r="E2291">
        <v>11</v>
      </c>
      <c r="F2291" t="s">
        <v>4565</v>
      </c>
      <c r="G2291">
        <v>407</v>
      </c>
      <c r="H2291">
        <v>1</v>
      </c>
      <c r="I2291" t="s">
        <v>81</v>
      </c>
      <c r="J2291">
        <v>0</v>
      </c>
      <c r="K2291">
        <v>1</v>
      </c>
      <c r="L2291">
        <v>2</v>
      </c>
      <c r="M2291">
        <v>309</v>
      </c>
      <c r="N2291">
        <v>405</v>
      </c>
      <c r="O2291">
        <v>1</v>
      </c>
      <c r="P2291">
        <v>406</v>
      </c>
      <c r="Q2291">
        <v>29</v>
      </c>
      <c r="R2291">
        <v>79</v>
      </c>
      <c r="S2291">
        <v>3</v>
      </c>
      <c r="T2291">
        <v>23</v>
      </c>
      <c r="U2291">
        <v>13</v>
      </c>
      <c r="V2291">
        <v>7</v>
      </c>
      <c r="W2291">
        <v>1</v>
      </c>
      <c r="X2291">
        <v>2</v>
      </c>
      <c r="Y2291">
        <v>192</v>
      </c>
      <c r="Z2291">
        <v>10</v>
      </c>
      <c r="AA2291">
        <v>2</v>
      </c>
      <c r="AB2291">
        <v>9</v>
      </c>
      <c r="AC2291" t="s">
        <v>100</v>
      </c>
      <c r="AD2291" t="s">
        <v>100</v>
      </c>
      <c r="AE2291" t="s">
        <v>100</v>
      </c>
      <c r="AF2291" t="s">
        <v>100</v>
      </c>
      <c r="AG2291">
        <v>1</v>
      </c>
      <c r="AH2291">
        <v>1</v>
      </c>
      <c r="AI2291" t="s">
        <v>100</v>
      </c>
      <c r="AJ2291" t="s">
        <v>100</v>
      </c>
      <c r="AK2291">
        <v>3</v>
      </c>
      <c r="AL2291">
        <v>1</v>
      </c>
      <c r="AM2291">
        <v>1</v>
      </c>
      <c r="AN2291" t="s">
        <v>100</v>
      </c>
      <c r="AT2291" t="s">
        <v>100</v>
      </c>
      <c r="AU2291">
        <v>29</v>
      </c>
      <c r="AV2291">
        <v>406</v>
      </c>
      <c r="AW2291">
        <v>406</v>
      </c>
      <c r="AX2291">
        <v>691</v>
      </c>
      <c r="AZ2291" t="s">
        <v>101</v>
      </c>
      <c r="BA2291">
        <v>1</v>
      </c>
      <c r="BC2291" t="s">
        <v>4682</v>
      </c>
      <c r="BD2291" s="4">
        <v>43283.102777777778</v>
      </c>
      <c r="BE2291" s="4">
        <v>43283.106944444444</v>
      </c>
      <c r="BF2291" s="4">
        <v>43283.106944444444</v>
      </c>
      <c r="BG2291" t="s">
        <v>83</v>
      </c>
      <c r="BH2291" t="s">
        <v>84</v>
      </c>
      <c r="BI2291" t="s">
        <v>85</v>
      </c>
    </row>
    <row r="2292" spans="1:61" x14ac:dyDescent="0.3">
      <c r="A2292" t="str">
        <f>"200407C0100"</f>
        <v>200407C0100</v>
      </c>
      <c r="B2292" t="s">
        <v>4683</v>
      </c>
      <c r="C2292">
        <v>20</v>
      </c>
      <c r="D2292" t="s">
        <v>79</v>
      </c>
      <c r="E2292">
        <v>11</v>
      </c>
      <c r="F2292" t="s">
        <v>4565</v>
      </c>
      <c r="G2292">
        <v>407</v>
      </c>
      <c r="H2292">
        <v>1</v>
      </c>
      <c r="I2292" t="s">
        <v>89</v>
      </c>
      <c r="J2292">
        <v>0</v>
      </c>
      <c r="K2292">
        <v>1</v>
      </c>
      <c r="L2292">
        <v>2</v>
      </c>
      <c r="M2292">
        <v>313</v>
      </c>
      <c r="N2292">
        <v>396</v>
      </c>
      <c r="O2292">
        <v>0</v>
      </c>
      <c r="P2292">
        <v>396</v>
      </c>
      <c r="Q2292">
        <v>38</v>
      </c>
      <c r="R2292">
        <v>58</v>
      </c>
      <c r="S2292">
        <v>8</v>
      </c>
      <c r="T2292">
        <v>38</v>
      </c>
      <c r="U2292">
        <v>14</v>
      </c>
      <c r="V2292">
        <v>4</v>
      </c>
      <c r="W2292">
        <v>2</v>
      </c>
      <c r="X2292">
        <v>5</v>
      </c>
      <c r="Y2292">
        <v>185</v>
      </c>
      <c r="Z2292">
        <v>6</v>
      </c>
      <c r="AA2292">
        <v>2</v>
      </c>
      <c r="AB2292">
        <v>3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1</v>
      </c>
      <c r="AI2292">
        <v>0</v>
      </c>
      <c r="AJ2292">
        <v>0</v>
      </c>
      <c r="AK2292">
        <v>2</v>
      </c>
      <c r="AL2292">
        <v>1</v>
      </c>
      <c r="AM2292">
        <v>0</v>
      </c>
      <c r="AN2292">
        <v>1</v>
      </c>
      <c r="AT2292">
        <v>0</v>
      </c>
      <c r="AU2292">
        <v>28</v>
      </c>
      <c r="AV2292">
        <v>396</v>
      </c>
      <c r="AW2292">
        <v>396</v>
      </c>
      <c r="AX2292">
        <v>691</v>
      </c>
      <c r="BA2292">
        <v>1</v>
      </c>
      <c r="BC2292" t="s">
        <v>4684</v>
      </c>
      <c r="BD2292" s="4">
        <v>43283.022222222222</v>
      </c>
      <c r="BE2292" s="4">
        <v>43283.026979166665</v>
      </c>
      <c r="BF2292" s="4">
        <v>43283.026979166665</v>
      </c>
      <c r="BG2292" t="s">
        <v>83</v>
      </c>
      <c r="BH2292" t="s">
        <v>84</v>
      </c>
      <c r="BI2292" t="s">
        <v>85</v>
      </c>
    </row>
    <row r="2293" spans="1:61" x14ac:dyDescent="0.3">
      <c r="A2293" t="str">
        <f>"200407C0200"</f>
        <v>200407C0200</v>
      </c>
      <c r="B2293" t="s">
        <v>4685</v>
      </c>
      <c r="C2293">
        <v>20</v>
      </c>
      <c r="D2293" t="s">
        <v>79</v>
      </c>
      <c r="E2293">
        <v>11</v>
      </c>
      <c r="F2293" t="s">
        <v>4565</v>
      </c>
      <c r="G2293">
        <v>407</v>
      </c>
      <c r="H2293">
        <v>2</v>
      </c>
      <c r="I2293" t="s">
        <v>89</v>
      </c>
      <c r="J2293">
        <v>0</v>
      </c>
      <c r="K2293">
        <v>1</v>
      </c>
      <c r="L2293">
        <v>2</v>
      </c>
      <c r="M2293">
        <v>324</v>
      </c>
      <c r="N2293">
        <v>741</v>
      </c>
      <c r="O2293">
        <v>3</v>
      </c>
      <c r="P2293" t="s">
        <v>100</v>
      </c>
      <c r="Q2293">
        <v>34</v>
      </c>
      <c r="R2293">
        <v>76</v>
      </c>
      <c r="S2293">
        <v>2</v>
      </c>
      <c r="T2293">
        <v>31</v>
      </c>
      <c r="U2293">
        <v>8</v>
      </c>
      <c r="V2293">
        <v>5</v>
      </c>
      <c r="W2293">
        <v>8</v>
      </c>
      <c r="X2293">
        <v>9</v>
      </c>
      <c r="Y2293">
        <v>192</v>
      </c>
      <c r="Z2293">
        <v>5</v>
      </c>
      <c r="AA2293">
        <v>2</v>
      </c>
      <c r="AB2293">
        <v>5</v>
      </c>
      <c r="AC2293">
        <v>0</v>
      </c>
      <c r="AD2293">
        <v>0</v>
      </c>
      <c r="AE2293">
        <v>0</v>
      </c>
      <c r="AF2293">
        <v>0</v>
      </c>
      <c r="AG2293">
        <v>1</v>
      </c>
      <c r="AH2293">
        <v>3</v>
      </c>
      <c r="AI2293">
        <v>0</v>
      </c>
      <c r="AJ2293">
        <v>0</v>
      </c>
      <c r="AK2293">
        <v>5</v>
      </c>
      <c r="AL2293">
        <v>2</v>
      </c>
      <c r="AM2293">
        <v>0</v>
      </c>
      <c r="AN2293">
        <v>2</v>
      </c>
      <c r="AT2293" t="s">
        <v>100</v>
      </c>
      <c r="AU2293">
        <v>28</v>
      </c>
      <c r="AV2293">
        <v>418</v>
      </c>
      <c r="AW2293">
        <v>418</v>
      </c>
      <c r="AX2293">
        <v>691</v>
      </c>
      <c r="AZ2293" t="s">
        <v>101</v>
      </c>
      <c r="BA2293">
        <v>1</v>
      </c>
      <c r="BC2293" t="s">
        <v>4686</v>
      </c>
      <c r="BD2293" s="4">
        <v>43283.103472222225</v>
      </c>
      <c r="BE2293" s="4">
        <v>43283.106574074074</v>
      </c>
      <c r="BF2293" s="4">
        <v>43283.106574074074</v>
      </c>
      <c r="BG2293" t="s">
        <v>83</v>
      </c>
      <c r="BH2293" t="s">
        <v>84</v>
      </c>
      <c r="BI2293" t="s">
        <v>85</v>
      </c>
    </row>
    <row r="2294" spans="1:61" x14ac:dyDescent="0.3">
      <c r="A2294" t="str">
        <f>"200408B0100"</f>
        <v>200408B0100</v>
      </c>
      <c r="B2294" t="s">
        <v>4687</v>
      </c>
      <c r="C2294">
        <v>20</v>
      </c>
      <c r="D2294" t="s">
        <v>79</v>
      </c>
      <c r="E2294">
        <v>11</v>
      </c>
      <c r="F2294" t="s">
        <v>4565</v>
      </c>
      <c r="G2294">
        <v>408</v>
      </c>
      <c r="H2294">
        <v>1</v>
      </c>
      <c r="I2294" t="s">
        <v>81</v>
      </c>
      <c r="J2294">
        <v>0</v>
      </c>
      <c r="K2294">
        <v>1</v>
      </c>
      <c r="L2294">
        <v>2</v>
      </c>
      <c r="M2294">
        <v>274</v>
      </c>
      <c r="N2294">
        <v>368</v>
      </c>
      <c r="O2294">
        <v>1</v>
      </c>
      <c r="P2294">
        <v>368</v>
      </c>
      <c r="Q2294">
        <v>23</v>
      </c>
      <c r="R2294">
        <v>68</v>
      </c>
      <c r="S2294">
        <v>5</v>
      </c>
      <c r="T2294">
        <v>53</v>
      </c>
      <c r="U2294">
        <v>7</v>
      </c>
      <c r="V2294">
        <v>9</v>
      </c>
      <c r="W2294">
        <v>2</v>
      </c>
      <c r="X2294">
        <v>2</v>
      </c>
      <c r="Y2294">
        <v>151</v>
      </c>
      <c r="Z2294">
        <v>8</v>
      </c>
      <c r="AA2294">
        <v>3</v>
      </c>
      <c r="AB2294">
        <v>5</v>
      </c>
      <c r="AC2294">
        <v>1</v>
      </c>
      <c r="AD2294">
        <v>1</v>
      </c>
      <c r="AE2294">
        <v>0</v>
      </c>
      <c r="AF2294">
        <v>0</v>
      </c>
      <c r="AG2294">
        <v>1</v>
      </c>
      <c r="AH2294">
        <v>2</v>
      </c>
      <c r="AI2294">
        <v>0</v>
      </c>
      <c r="AJ2294">
        <v>1</v>
      </c>
      <c r="AK2294">
        <v>1</v>
      </c>
      <c r="AL2294">
        <v>2</v>
      </c>
      <c r="AM2294">
        <v>0</v>
      </c>
      <c r="AN2294">
        <v>1</v>
      </c>
      <c r="AT2294">
        <v>0</v>
      </c>
      <c r="AU2294">
        <v>23</v>
      </c>
      <c r="AV2294">
        <v>368</v>
      </c>
      <c r="AW2294">
        <v>369</v>
      </c>
      <c r="AX2294">
        <v>619</v>
      </c>
      <c r="BA2294">
        <v>1</v>
      </c>
      <c r="BC2294" t="s">
        <v>4688</v>
      </c>
      <c r="BD2294" s="4">
        <v>43283.257094907407</v>
      </c>
      <c r="BE2294" s="4">
        <v>43283.281585648147</v>
      </c>
      <c r="BF2294" s="4">
        <v>43283.281585648147</v>
      </c>
      <c r="BG2294" t="s">
        <v>83</v>
      </c>
      <c r="BH2294" t="s">
        <v>84</v>
      </c>
      <c r="BI2294" t="s">
        <v>85</v>
      </c>
    </row>
    <row r="2295" spans="1:61" x14ac:dyDescent="0.3">
      <c r="A2295" t="str">
        <f>"200408C0100"</f>
        <v>200408C0100</v>
      </c>
      <c r="B2295" t="s">
        <v>4689</v>
      </c>
      <c r="C2295">
        <v>20</v>
      </c>
      <c r="D2295" t="s">
        <v>79</v>
      </c>
      <c r="E2295">
        <v>11</v>
      </c>
      <c r="F2295" t="s">
        <v>4565</v>
      </c>
      <c r="G2295">
        <v>408</v>
      </c>
      <c r="H2295">
        <v>1</v>
      </c>
      <c r="I2295" t="s">
        <v>89</v>
      </c>
      <c r="J2295">
        <v>0</v>
      </c>
      <c r="K2295">
        <v>1</v>
      </c>
      <c r="L2295">
        <v>2</v>
      </c>
      <c r="M2295">
        <v>272</v>
      </c>
      <c r="N2295">
        <v>370</v>
      </c>
      <c r="O2295">
        <v>2</v>
      </c>
      <c r="P2295">
        <v>370</v>
      </c>
      <c r="Q2295">
        <v>29</v>
      </c>
      <c r="R2295">
        <v>46</v>
      </c>
      <c r="S2295">
        <v>10</v>
      </c>
      <c r="T2295">
        <v>50</v>
      </c>
      <c r="U2295">
        <v>12</v>
      </c>
      <c r="V2295">
        <v>15</v>
      </c>
      <c r="W2295">
        <v>3</v>
      </c>
      <c r="X2295">
        <v>2</v>
      </c>
      <c r="Y2295">
        <v>167</v>
      </c>
      <c r="Z2295">
        <v>7</v>
      </c>
      <c r="AA2295">
        <v>1</v>
      </c>
      <c r="AB2295">
        <v>1</v>
      </c>
      <c r="AC2295">
        <v>0</v>
      </c>
      <c r="AD2295">
        <v>0</v>
      </c>
      <c r="AE2295">
        <v>0</v>
      </c>
      <c r="AF2295">
        <v>2</v>
      </c>
      <c r="AG2295">
        <v>0</v>
      </c>
      <c r="AH2295">
        <v>3</v>
      </c>
      <c r="AI2295">
        <v>0</v>
      </c>
      <c r="AJ2295">
        <v>0</v>
      </c>
      <c r="AK2295">
        <v>3</v>
      </c>
      <c r="AL2295">
        <v>1</v>
      </c>
      <c r="AM2295">
        <v>0</v>
      </c>
      <c r="AN2295">
        <v>0</v>
      </c>
      <c r="AT2295">
        <v>0</v>
      </c>
      <c r="AU2295">
        <v>16</v>
      </c>
      <c r="AV2295">
        <v>368</v>
      </c>
      <c r="AW2295">
        <v>368</v>
      </c>
      <c r="AX2295">
        <v>619</v>
      </c>
      <c r="BA2295">
        <v>1</v>
      </c>
      <c r="BC2295" t="s">
        <v>4690</v>
      </c>
      <c r="BD2295" s="4">
        <v>43283.257997685185</v>
      </c>
      <c r="BE2295" s="4">
        <v>43283.283067129632</v>
      </c>
      <c r="BF2295" s="4">
        <v>43283.283067129632</v>
      </c>
      <c r="BG2295" t="s">
        <v>83</v>
      </c>
      <c r="BH2295" t="s">
        <v>84</v>
      </c>
      <c r="BI2295" t="s">
        <v>85</v>
      </c>
    </row>
    <row r="2296" spans="1:61" x14ac:dyDescent="0.3">
      <c r="A2296" t="str">
        <f>"200408C0200"</f>
        <v>200408C0200</v>
      </c>
      <c r="B2296" t="s">
        <v>4691</v>
      </c>
      <c r="C2296">
        <v>20</v>
      </c>
      <c r="D2296" t="s">
        <v>79</v>
      </c>
      <c r="E2296">
        <v>11</v>
      </c>
      <c r="F2296" t="s">
        <v>4565</v>
      </c>
      <c r="G2296">
        <v>408</v>
      </c>
      <c r="H2296">
        <v>2</v>
      </c>
      <c r="I2296" t="s">
        <v>89</v>
      </c>
      <c r="J2296">
        <v>0</v>
      </c>
      <c r="K2296">
        <v>1</v>
      </c>
      <c r="L2296">
        <v>2</v>
      </c>
      <c r="M2296">
        <v>251</v>
      </c>
      <c r="N2296">
        <v>390</v>
      </c>
      <c r="O2296">
        <v>2</v>
      </c>
      <c r="P2296" t="s">
        <v>100</v>
      </c>
      <c r="Q2296">
        <v>36</v>
      </c>
      <c r="R2296">
        <v>75</v>
      </c>
      <c r="S2296">
        <v>8</v>
      </c>
      <c r="T2296">
        <v>40</v>
      </c>
      <c r="U2296">
        <v>11</v>
      </c>
      <c r="V2296">
        <v>11</v>
      </c>
      <c r="W2296">
        <v>0</v>
      </c>
      <c r="X2296">
        <v>0</v>
      </c>
      <c r="Y2296">
        <v>157</v>
      </c>
      <c r="Z2296">
        <v>6</v>
      </c>
      <c r="AA2296">
        <v>4</v>
      </c>
      <c r="AB2296">
        <v>7</v>
      </c>
      <c r="AC2296">
        <v>1</v>
      </c>
      <c r="AD2296">
        <v>1</v>
      </c>
      <c r="AE2296">
        <v>0</v>
      </c>
      <c r="AF2296">
        <v>0</v>
      </c>
      <c r="AG2296">
        <v>1</v>
      </c>
      <c r="AH2296">
        <v>3</v>
      </c>
      <c r="AI2296">
        <v>0</v>
      </c>
      <c r="AJ2296">
        <v>1</v>
      </c>
      <c r="AK2296">
        <v>2</v>
      </c>
      <c r="AL2296">
        <v>1</v>
      </c>
      <c r="AM2296">
        <v>0</v>
      </c>
      <c r="AN2296">
        <v>0</v>
      </c>
      <c r="AT2296">
        <v>1</v>
      </c>
      <c r="AU2296">
        <v>24</v>
      </c>
      <c r="AV2296">
        <v>24</v>
      </c>
      <c r="AW2296">
        <v>390</v>
      </c>
      <c r="AX2296">
        <v>618</v>
      </c>
      <c r="BA2296">
        <v>1</v>
      </c>
      <c r="BC2296" t="s">
        <v>4692</v>
      </c>
      <c r="BD2296" s="4">
        <v>43283.257581018515</v>
      </c>
      <c r="BE2296" s="4">
        <v>43283.285682870373</v>
      </c>
      <c r="BF2296" s="4">
        <v>43283.285682870373</v>
      </c>
      <c r="BG2296" t="s">
        <v>83</v>
      </c>
      <c r="BH2296" t="s">
        <v>84</v>
      </c>
      <c r="BI2296" t="s">
        <v>85</v>
      </c>
    </row>
    <row r="2297" spans="1:61" x14ac:dyDescent="0.3">
      <c r="A2297" t="str">
        <f>"200409B0100"</f>
        <v>200409B0100</v>
      </c>
      <c r="B2297" t="s">
        <v>4693</v>
      </c>
      <c r="C2297">
        <v>20</v>
      </c>
      <c r="D2297" t="s">
        <v>79</v>
      </c>
      <c r="E2297">
        <v>11</v>
      </c>
      <c r="F2297" t="s">
        <v>4565</v>
      </c>
      <c r="G2297">
        <v>409</v>
      </c>
      <c r="H2297">
        <v>1</v>
      </c>
      <c r="I2297" t="s">
        <v>81</v>
      </c>
      <c r="J2297">
        <v>0</v>
      </c>
      <c r="K2297">
        <v>1</v>
      </c>
      <c r="L2297">
        <v>2</v>
      </c>
      <c r="M2297">
        <v>247</v>
      </c>
      <c r="N2297">
        <v>442</v>
      </c>
      <c r="O2297">
        <v>7</v>
      </c>
      <c r="P2297">
        <v>275</v>
      </c>
      <c r="Q2297">
        <v>22</v>
      </c>
      <c r="R2297">
        <v>29</v>
      </c>
      <c r="S2297">
        <v>14</v>
      </c>
      <c r="T2297">
        <v>37</v>
      </c>
      <c r="U2297">
        <v>17</v>
      </c>
      <c r="V2297">
        <v>18</v>
      </c>
      <c r="W2297">
        <v>2</v>
      </c>
      <c r="X2297">
        <v>114</v>
      </c>
      <c r="Y2297">
        <v>139</v>
      </c>
      <c r="Z2297">
        <v>8</v>
      </c>
      <c r="AA2297">
        <v>0</v>
      </c>
      <c r="AB2297">
        <v>2</v>
      </c>
      <c r="AC2297">
        <v>1</v>
      </c>
      <c r="AD2297" t="s">
        <v>100</v>
      </c>
      <c r="AE2297" t="s">
        <v>100</v>
      </c>
      <c r="AF2297" t="s">
        <v>100</v>
      </c>
      <c r="AG2297">
        <v>2</v>
      </c>
      <c r="AH2297" t="s">
        <v>100</v>
      </c>
      <c r="AI2297" t="s">
        <v>100</v>
      </c>
      <c r="AJ2297" t="s">
        <v>100</v>
      </c>
      <c r="AK2297">
        <v>8</v>
      </c>
      <c r="AL2297" t="s">
        <v>100</v>
      </c>
      <c r="AM2297" t="s">
        <v>100</v>
      </c>
      <c r="AN2297" t="s">
        <v>100</v>
      </c>
      <c r="AT2297" t="s">
        <v>100</v>
      </c>
      <c r="AU2297">
        <v>31</v>
      </c>
      <c r="AV2297">
        <v>275</v>
      </c>
      <c r="AW2297">
        <v>444</v>
      </c>
      <c r="AX2297">
        <v>666</v>
      </c>
      <c r="AZ2297" t="s">
        <v>101</v>
      </c>
      <c r="BA2297">
        <v>1</v>
      </c>
      <c r="BC2297" t="s">
        <v>4694</v>
      </c>
      <c r="BD2297" s="4">
        <v>43283.244432870371</v>
      </c>
      <c r="BE2297" s="4">
        <v>43283.267835648148</v>
      </c>
      <c r="BF2297" s="4">
        <v>43283.267835648148</v>
      </c>
      <c r="BG2297" t="s">
        <v>83</v>
      </c>
      <c r="BH2297" t="s">
        <v>84</v>
      </c>
      <c r="BI2297" t="s">
        <v>85</v>
      </c>
    </row>
    <row r="2298" spans="1:61" x14ac:dyDescent="0.3">
      <c r="A2298" t="str">
        <f>"200409C0100"</f>
        <v>200409C0100</v>
      </c>
      <c r="B2298" t="s">
        <v>4695</v>
      </c>
      <c r="C2298">
        <v>20</v>
      </c>
      <c r="D2298" t="s">
        <v>79</v>
      </c>
      <c r="E2298">
        <v>11</v>
      </c>
      <c r="F2298" t="s">
        <v>4565</v>
      </c>
      <c r="G2298">
        <v>409</v>
      </c>
      <c r="H2298">
        <v>1</v>
      </c>
      <c r="I2298" t="s">
        <v>89</v>
      </c>
      <c r="J2298">
        <v>0</v>
      </c>
      <c r="K2298">
        <v>1</v>
      </c>
      <c r="L2298">
        <v>2</v>
      </c>
      <c r="M2298">
        <v>245</v>
      </c>
      <c r="N2298">
        <v>444</v>
      </c>
      <c r="O2298">
        <v>5</v>
      </c>
      <c r="P2298">
        <v>441</v>
      </c>
      <c r="Q2298">
        <v>21</v>
      </c>
      <c r="R2298">
        <v>32</v>
      </c>
      <c r="S2298">
        <v>4</v>
      </c>
      <c r="T2298">
        <v>33</v>
      </c>
      <c r="U2298">
        <v>8</v>
      </c>
      <c r="V2298">
        <v>22</v>
      </c>
      <c r="W2298">
        <v>3</v>
      </c>
      <c r="X2298">
        <v>127</v>
      </c>
      <c r="Y2298">
        <v>150</v>
      </c>
      <c r="Z2298">
        <v>2</v>
      </c>
      <c r="AA2298">
        <v>1</v>
      </c>
      <c r="AB2298" t="s">
        <v>100</v>
      </c>
      <c r="AC2298">
        <v>0</v>
      </c>
      <c r="AD2298" t="s">
        <v>100</v>
      </c>
      <c r="AE2298" t="s">
        <v>100</v>
      </c>
      <c r="AF2298" t="s">
        <v>100</v>
      </c>
      <c r="AG2298">
        <v>1</v>
      </c>
      <c r="AH2298" t="s">
        <v>100</v>
      </c>
      <c r="AI2298" t="s">
        <v>100</v>
      </c>
      <c r="AJ2298" t="s">
        <v>100</v>
      </c>
      <c r="AK2298">
        <v>7</v>
      </c>
      <c r="AL2298" t="s">
        <v>100</v>
      </c>
      <c r="AM2298" t="s">
        <v>100</v>
      </c>
      <c r="AN2298">
        <v>1</v>
      </c>
      <c r="AT2298">
        <v>1</v>
      </c>
      <c r="AU2298">
        <v>23</v>
      </c>
      <c r="AV2298" t="s">
        <v>100</v>
      </c>
      <c r="AW2298">
        <v>436</v>
      </c>
      <c r="AX2298">
        <v>666</v>
      </c>
      <c r="AZ2298" t="s">
        <v>101</v>
      </c>
      <c r="BA2298">
        <v>1</v>
      </c>
      <c r="BC2298" t="s">
        <v>4696</v>
      </c>
      <c r="BD2298" s="4">
        <v>43283.245428240742</v>
      </c>
      <c r="BE2298" s="4">
        <v>43283.269166666665</v>
      </c>
      <c r="BF2298" s="4">
        <v>43283.269166666665</v>
      </c>
      <c r="BG2298" t="s">
        <v>83</v>
      </c>
      <c r="BH2298" t="s">
        <v>84</v>
      </c>
      <c r="BI2298" t="s">
        <v>85</v>
      </c>
    </row>
    <row r="2299" spans="1:61" x14ac:dyDescent="0.3">
      <c r="A2299" t="str">
        <f>"200409E0100"</f>
        <v>200409E0100</v>
      </c>
      <c r="B2299" s="2" t="s">
        <v>4697</v>
      </c>
      <c r="C2299">
        <v>20</v>
      </c>
      <c r="D2299" t="s">
        <v>79</v>
      </c>
      <c r="E2299">
        <v>11</v>
      </c>
      <c r="F2299" t="s">
        <v>4565</v>
      </c>
      <c r="G2299">
        <v>409</v>
      </c>
      <c r="H2299">
        <v>1</v>
      </c>
      <c r="I2299" t="s">
        <v>145</v>
      </c>
      <c r="J2299">
        <v>0</v>
      </c>
      <c r="K2299">
        <v>2</v>
      </c>
      <c r="L2299">
        <v>2</v>
      </c>
      <c r="M2299">
        <v>157</v>
      </c>
      <c r="N2299">
        <v>229</v>
      </c>
      <c r="O2299">
        <v>4</v>
      </c>
      <c r="P2299">
        <v>229</v>
      </c>
      <c r="Q2299">
        <v>15</v>
      </c>
      <c r="R2299">
        <v>54</v>
      </c>
      <c r="S2299">
        <v>9</v>
      </c>
      <c r="T2299">
        <v>22</v>
      </c>
      <c r="U2299">
        <v>4</v>
      </c>
      <c r="V2299">
        <v>6</v>
      </c>
      <c r="W2299">
        <v>4</v>
      </c>
      <c r="X2299">
        <v>20</v>
      </c>
      <c r="Y2299">
        <v>64</v>
      </c>
      <c r="Z2299">
        <v>6</v>
      </c>
      <c r="AA2299">
        <v>0</v>
      </c>
      <c r="AB2299">
        <v>1</v>
      </c>
      <c r="AC2299">
        <v>0</v>
      </c>
      <c r="AD2299">
        <v>0</v>
      </c>
      <c r="AE2299">
        <v>0</v>
      </c>
      <c r="AF2299">
        <v>0</v>
      </c>
      <c r="AG2299">
        <v>1</v>
      </c>
      <c r="AH2299">
        <v>0</v>
      </c>
      <c r="AI2299">
        <v>0</v>
      </c>
      <c r="AJ2299">
        <v>1</v>
      </c>
      <c r="AK2299">
        <v>2</v>
      </c>
      <c r="AL2299">
        <v>1</v>
      </c>
      <c r="AM2299">
        <v>0</v>
      </c>
      <c r="AN2299">
        <v>1</v>
      </c>
      <c r="AT2299">
        <v>0</v>
      </c>
      <c r="AU2299">
        <v>18</v>
      </c>
      <c r="AV2299">
        <v>229</v>
      </c>
      <c r="AW2299">
        <v>229</v>
      </c>
      <c r="AX2299">
        <v>363</v>
      </c>
      <c r="BA2299">
        <v>1</v>
      </c>
      <c r="BC2299" t="s">
        <v>4698</v>
      </c>
      <c r="BD2299" s="4">
        <v>43283.254710648151</v>
      </c>
      <c r="BE2299" s="4">
        <v>43283.279305555552</v>
      </c>
      <c r="BF2299" s="4">
        <v>43283.279305555552</v>
      </c>
      <c r="BG2299" t="s">
        <v>83</v>
      </c>
      <c r="BH2299" t="s">
        <v>84</v>
      </c>
      <c r="BI2299" t="s">
        <v>85</v>
      </c>
    </row>
    <row r="2300" spans="1:61" x14ac:dyDescent="0.3">
      <c r="A2300" t="str">
        <f>"200410B0100"</f>
        <v>200410B0100</v>
      </c>
      <c r="B2300" t="s">
        <v>4699</v>
      </c>
      <c r="C2300">
        <v>20</v>
      </c>
      <c r="D2300" t="s">
        <v>79</v>
      </c>
      <c r="E2300">
        <v>11</v>
      </c>
      <c r="F2300" t="s">
        <v>4565</v>
      </c>
      <c r="G2300">
        <v>410</v>
      </c>
      <c r="H2300">
        <v>1</v>
      </c>
      <c r="I2300" t="s">
        <v>81</v>
      </c>
      <c r="J2300">
        <v>0</v>
      </c>
      <c r="K2300">
        <v>1</v>
      </c>
      <c r="L2300">
        <v>2</v>
      </c>
      <c r="M2300">
        <v>250</v>
      </c>
      <c r="N2300">
        <v>383</v>
      </c>
      <c r="O2300">
        <v>1</v>
      </c>
      <c r="P2300">
        <v>383</v>
      </c>
      <c r="Q2300">
        <v>16</v>
      </c>
      <c r="R2300">
        <v>47</v>
      </c>
      <c r="S2300">
        <v>12</v>
      </c>
      <c r="T2300">
        <v>39</v>
      </c>
      <c r="U2300">
        <v>6</v>
      </c>
      <c r="V2300">
        <v>13</v>
      </c>
      <c r="W2300">
        <v>5</v>
      </c>
      <c r="X2300">
        <v>5</v>
      </c>
      <c r="Y2300">
        <v>195</v>
      </c>
      <c r="Z2300">
        <v>7</v>
      </c>
      <c r="AA2300">
        <v>1</v>
      </c>
      <c r="AB2300">
        <v>2</v>
      </c>
      <c r="AC2300">
        <v>0</v>
      </c>
      <c r="AD2300" t="s">
        <v>100</v>
      </c>
      <c r="AE2300" t="s">
        <v>100</v>
      </c>
      <c r="AF2300">
        <v>1</v>
      </c>
      <c r="AG2300">
        <v>1</v>
      </c>
      <c r="AH2300">
        <v>2</v>
      </c>
      <c r="AI2300" t="s">
        <v>100</v>
      </c>
      <c r="AJ2300" t="s">
        <v>100</v>
      </c>
      <c r="AK2300">
        <v>4</v>
      </c>
      <c r="AL2300" t="s">
        <v>100</v>
      </c>
      <c r="AM2300" t="s">
        <v>100</v>
      </c>
      <c r="AN2300" t="s">
        <v>100</v>
      </c>
      <c r="AT2300" t="s">
        <v>100</v>
      </c>
      <c r="AU2300">
        <v>23</v>
      </c>
      <c r="AV2300">
        <v>383</v>
      </c>
      <c r="AW2300">
        <v>379</v>
      </c>
      <c r="AX2300">
        <v>610</v>
      </c>
      <c r="AZ2300" t="s">
        <v>101</v>
      </c>
      <c r="BA2300">
        <v>1</v>
      </c>
      <c r="BC2300" t="s">
        <v>4700</v>
      </c>
      <c r="BD2300" s="4">
        <v>43283.24391203704</v>
      </c>
      <c r="BE2300" s="4">
        <v>43283.266782407409</v>
      </c>
      <c r="BF2300" s="4">
        <v>43283.266782407409</v>
      </c>
      <c r="BG2300" t="s">
        <v>83</v>
      </c>
      <c r="BH2300" t="s">
        <v>84</v>
      </c>
      <c r="BI2300" t="s">
        <v>85</v>
      </c>
    </row>
    <row r="2301" spans="1:61" x14ac:dyDescent="0.3">
      <c r="A2301" t="str">
        <f>"200410C0100"</f>
        <v>200410C0100</v>
      </c>
      <c r="B2301" t="s">
        <v>4701</v>
      </c>
      <c r="C2301">
        <v>20</v>
      </c>
      <c r="D2301" t="s">
        <v>79</v>
      </c>
      <c r="E2301">
        <v>11</v>
      </c>
      <c r="F2301" t="s">
        <v>4565</v>
      </c>
      <c r="G2301">
        <v>410</v>
      </c>
      <c r="H2301">
        <v>1</v>
      </c>
      <c r="I2301" t="s">
        <v>89</v>
      </c>
      <c r="J2301">
        <v>0</v>
      </c>
      <c r="K2301">
        <v>1</v>
      </c>
      <c r="L2301">
        <v>2</v>
      </c>
      <c r="M2301">
        <v>260</v>
      </c>
      <c r="N2301">
        <v>373</v>
      </c>
      <c r="O2301">
        <v>0</v>
      </c>
      <c r="P2301">
        <v>375</v>
      </c>
      <c r="Q2301">
        <v>22</v>
      </c>
      <c r="R2301">
        <v>33</v>
      </c>
      <c r="S2301">
        <v>8</v>
      </c>
      <c r="T2301">
        <v>28</v>
      </c>
      <c r="U2301">
        <v>6</v>
      </c>
      <c r="V2301">
        <v>9</v>
      </c>
      <c r="W2301">
        <v>0</v>
      </c>
      <c r="X2301">
        <v>10</v>
      </c>
      <c r="Y2301">
        <v>224</v>
      </c>
      <c r="Z2301">
        <v>6</v>
      </c>
      <c r="AA2301">
        <v>0</v>
      </c>
      <c r="AB2301">
        <v>2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3</v>
      </c>
      <c r="AI2301">
        <v>0</v>
      </c>
      <c r="AJ2301">
        <v>0</v>
      </c>
      <c r="AK2301">
        <v>3</v>
      </c>
      <c r="AL2301">
        <v>0</v>
      </c>
      <c r="AM2301">
        <v>0</v>
      </c>
      <c r="AN2301">
        <v>0</v>
      </c>
      <c r="AT2301">
        <v>0</v>
      </c>
      <c r="AU2301">
        <v>21</v>
      </c>
      <c r="AV2301">
        <v>375</v>
      </c>
      <c r="AW2301">
        <v>375</v>
      </c>
      <c r="AX2301">
        <v>610</v>
      </c>
      <c r="BA2301">
        <v>1</v>
      </c>
      <c r="BC2301" t="s">
        <v>4702</v>
      </c>
      <c r="BD2301" s="4">
        <v>43283.24287037037</v>
      </c>
      <c r="BE2301" s="4">
        <v>43283.265752314815</v>
      </c>
      <c r="BF2301" s="4">
        <v>43283.265752314815</v>
      </c>
      <c r="BG2301" t="s">
        <v>83</v>
      </c>
      <c r="BH2301" t="s">
        <v>84</v>
      </c>
      <c r="BI2301" t="s">
        <v>85</v>
      </c>
    </row>
    <row r="2302" spans="1:61" x14ac:dyDescent="0.3">
      <c r="A2302" t="str">
        <f>"200411B0100"</f>
        <v>200411B0100</v>
      </c>
      <c r="B2302" t="s">
        <v>4703</v>
      </c>
      <c r="C2302">
        <v>20</v>
      </c>
      <c r="D2302" t="s">
        <v>79</v>
      </c>
      <c r="E2302">
        <v>11</v>
      </c>
      <c r="F2302" t="s">
        <v>4565</v>
      </c>
      <c r="G2302">
        <v>411</v>
      </c>
      <c r="H2302">
        <v>1</v>
      </c>
      <c r="I2302" t="s">
        <v>81</v>
      </c>
      <c r="J2302">
        <v>0</v>
      </c>
      <c r="K2302">
        <v>2</v>
      </c>
      <c r="L2302">
        <v>2</v>
      </c>
      <c r="M2302">
        <v>187</v>
      </c>
      <c r="N2302">
        <v>277</v>
      </c>
      <c r="O2302">
        <v>0</v>
      </c>
      <c r="P2302">
        <v>277</v>
      </c>
      <c r="Q2302">
        <v>12</v>
      </c>
      <c r="R2302">
        <v>35</v>
      </c>
      <c r="S2302">
        <v>6</v>
      </c>
      <c r="T2302">
        <v>17</v>
      </c>
      <c r="U2302">
        <v>11</v>
      </c>
      <c r="V2302">
        <v>6</v>
      </c>
      <c r="W2302">
        <v>8</v>
      </c>
      <c r="X2302">
        <v>7</v>
      </c>
      <c r="Y2302">
        <v>148</v>
      </c>
      <c r="Z2302">
        <v>3</v>
      </c>
      <c r="AA2302">
        <v>1</v>
      </c>
      <c r="AB2302">
        <v>1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3</v>
      </c>
      <c r="AI2302">
        <v>0</v>
      </c>
      <c r="AJ2302">
        <v>0</v>
      </c>
      <c r="AK2302">
        <v>4</v>
      </c>
      <c r="AL2302">
        <v>0</v>
      </c>
      <c r="AM2302">
        <v>0</v>
      </c>
      <c r="AN2302">
        <v>1</v>
      </c>
      <c r="AT2302">
        <v>0</v>
      </c>
      <c r="AU2302">
        <v>14</v>
      </c>
      <c r="AV2302">
        <v>277</v>
      </c>
      <c r="AW2302">
        <v>277</v>
      </c>
      <c r="AX2302">
        <v>441</v>
      </c>
      <c r="BA2302">
        <v>1</v>
      </c>
      <c r="BC2302" t="s">
        <v>4704</v>
      </c>
      <c r="BD2302" s="4">
        <v>43283.247037037036</v>
      </c>
      <c r="BE2302" s="4">
        <v>43283.269143518519</v>
      </c>
      <c r="BF2302" s="4">
        <v>43283.269143518519</v>
      </c>
      <c r="BG2302" t="s">
        <v>83</v>
      </c>
      <c r="BH2302" t="s">
        <v>84</v>
      </c>
      <c r="BI2302" t="s">
        <v>85</v>
      </c>
    </row>
    <row r="2303" spans="1:61" x14ac:dyDescent="0.3">
      <c r="A2303" t="str">
        <f>"200411C0100"</f>
        <v>200411C0100</v>
      </c>
      <c r="B2303" t="s">
        <v>4705</v>
      </c>
      <c r="C2303">
        <v>20</v>
      </c>
      <c r="D2303" t="s">
        <v>79</v>
      </c>
      <c r="E2303">
        <v>11</v>
      </c>
      <c r="F2303" t="s">
        <v>4565</v>
      </c>
      <c r="G2303">
        <v>411</v>
      </c>
      <c r="H2303">
        <v>1</v>
      </c>
      <c r="I2303" t="s">
        <v>89</v>
      </c>
      <c r="J2303">
        <v>0</v>
      </c>
      <c r="K2303">
        <v>1</v>
      </c>
      <c r="L2303">
        <v>2</v>
      </c>
      <c r="M2303">
        <v>189</v>
      </c>
      <c r="N2303">
        <v>275</v>
      </c>
      <c r="O2303">
        <v>0</v>
      </c>
      <c r="P2303">
        <v>275</v>
      </c>
      <c r="Q2303">
        <v>11</v>
      </c>
      <c r="R2303">
        <v>22</v>
      </c>
      <c r="S2303">
        <v>5</v>
      </c>
      <c r="T2303">
        <v>30</v>
      </c>
      <c r="U2303">
        <v>10</v>
      </c>
      <c r="V2303">
        <v>8</v>
      </c>
      <c r="W2303">
        <v>2</v>
      </c>
      <c r="X2303">
        <v>13</v>
      </c>
      <c r="Y2303">
        <v>41</v>
      </c>
      <c r="Z2303">
        <v>9</v>
      </c>
      <c r="AA2303">
        <v>0</v>
      </c>
      <c r="AB2303">
        <v>4</v>
      </c>
      <c r="AC2303">
        <v>2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7</v>
      </c>
      <c r="AL2303">
        <v>0</v>
      </c>
      <c r="AM2303">
        <v>3</v>
      </c>
      <c r="AN2303">
        <v>0</v>
      </c>
      <c r="AT2303">
        <v>0</v>
      </c>
      <c r="AU2303">
        <v>8</v>
      </c>
      <c r="AV2303" t="s">
        <v>100</v>
      </c>
      <c r="AW2303">
        <v>175</v>
      </c>
      <c r="AX2303">
        <v>441</v>
      </c>
      <c r="BA2303">
        <v>1</v>
      </c>
      <c r="BC2303" t="s">
        <v>4706</v>
      </c>
      <c r="BD2303" s="4">
        <v>43283.246539351851</v>
      </c>
      <c r="BE2303" s="4">
        <v>43283.269270833334</v>
      </c>
      <c r="BF2303" s="4">
        <v>43283.269270833334</v>
      </c>
      <c r="BG2303" t="s">
        <v>83</v>
      </c>
      <c r="BH2303" t="s">
        <v>84</v>
      </c>
      <c r="BI2303" t="s">
        <v>85</v>
      </c>
    </row>
    <row r="2304" spans="1:61" x14ac:dyDescent="0.3">
      <c r="A2304" t="str">
        <f>"200412B0100"</f>
        <v>200412B0100</v>
      </c>
      <c r="B2304" t="s">
        <v>4707</v>
      </c>
      <c r="C2304">
        <v>20</v>
      </c>
      <c r="D2304" t="s">
        <v>79</v>
      </c>
      <c r="E2304">
        <v>11</v>
      </c>
      <c r="F2304" t="s">
        <v>4565</v>
      </c>
      <c r="G2304">
        <v>412</v>
      </c>
      <c r="H2304">
        <v>1</v>
      </c>
      <c r="I2304" t="s">
        <v>81</v>
      </c>
      <c r="J2304">
        <v>0</v>
      </c>
      <c r="K2304">
        <v>2</v>
      </c>
      <c r="L2304">
        <v>2</v>
      </c>
      <c r="M2304">
        <v>195</v>
      </c>
      <c r="N2304">
        <v>243</v>
      </c>
      <c r="O2304">
        <v>2</v>
      </c>
      <c r="P2304">
        <v>243</v>
      </c>
      <c r="Q2304">
        <v>20</v>
      </c>
      <c r="R2304">
        <v>33</v>
      </c>
      <c r="S2304">
        <v>6</v>
      </c>
      <c r="T2304">
        <v>18</v>
      </c>
      <c r="U2304">
        <v>10</v>
      </c>
      <c r="V2304">
        <v>4</v>
      </c>
      <c r="W2304">
        <v>0</v>
      </c>
      <c r="X2304">
        <v>4</v>
      </c>
      <c r="Y2304">
        <v>119</v>
      </c>
      <c r="Z2304">
        <v>7</v>
      </c>
      <c r="AA2304">
        <v>0</v>
      </c>
      <c r="AB2304">
        <v>0</v>
      </c>
      <c r="AC2304">
        <v>2</v>
      </c>
      <c r="AD2304">
        <v>0</v>
      </c>
      <c r="AE2304">
        <v>1</v>
      </c>
      <c r="AF2304">
        <v>0</v>
      </c>
      <c r="AG2304">
        <v>0</v>
      </c>
      <c r="AH2304">
        <v>1</v>
      </c>
      <c r="AI2304">
        <v>0</v>
      </c>
      <c r="AJ2304">
        <v>0</v>
      </c>
      <c r="AK2304">
        <v>0</v>
      </c>
      <c r="AL2304">
        <v>1</v>
      </c>
      <c r="AM2304">
        <v>0</v>
      </c>
      <c r="AN2304">
        <v>0</v>
      </c>
      <c r="AT2304">
        <v>17</v>
      </c>
      <c r="AU2304">
        <v>17</v>
      </c>
      <c r="AV2304">
        <v>243</v>
      </c>
      <c r="AW2304">
        <v>260</v>
      </c>
      <c r="AX2304">
        <v>415</v>
      </c>
      <c r="BA2304">
        <v>1</v>
      </c>
      <c r="BC2304" t="s">
        <v>4708</v>
      </c>
      <c r="BD2304" s="4">
        <v>43283.482025462959</v>
      </c>
      <c r="BE2304" s="4">
        <v>43283.485983796294</v>
      </c>
      <c r="BF2304" s="4">
        <v>43283.485983796294</v>
      </c>
      <c r="BG2304" t="s">
        <v>83</v>
      </c>
      <c r="BH2304" t="s">
        <v>84</v>
      </c>
      <c r="BI2304" t="s">
        <v>85</v>
      </c>
    </row>
    <row r="2305" spans="1:61" x14ac:dyDescent="0.3">
      <c r="A2305" t="str">
        <f>"200412C0100"</f>
        <v>200412C0100</v>
      </c>
      <c r="B2305" t="s">
        <v>4709</v>
      </c>
      <c r="C2305">
        <v>20</v>
      </c>
      <c r="D2305" t="s">
        <v>79</v>
      </c>
      <c r="E2305">
        <v>11</v>
      </c>
      <c r="F2305" t="s">
        <v>4565</v>
      </c>
      <c r="G2305">
        <v>412</v>
      </c>
      <c r="H2305">
        <v>1</v>
      </c>
      <c r="I2305" t="s">
        <v>89</v>
      </c>
      <c r="J2305">
        <v>0</v>
      </c>
      <c r="K2305">
        <v>2</v>
      </c>
      <c r="L2305">
        <v>2</v>
      </c>
      <c r="M2305">
        <v>173</v>
      </c>
      <c r="N2305">
        <v>264</v>
      </c>
      <c r="O2305">
        <v>1</v>
      </c>
      <c r="P2305">
        <v>264</v>
      </c>
      <c r="Q2305">
        <v>22</v>
      </c>
      <c r="R2305">
        <v>46</v>
      </c>
      <c r="S2305">
        <v>7</v>
      </c>
      <c r="T2305">
        <v>34</v>
      </c>
      <c r="U2305">
        <v>4</v>
      </c>
      <c r="V2305">
        <v>20</v>
      </c>
      <c r="W2305">
        <v>0</v>
      </c>
      <c r="X2305">
        <v>103</v>
      </c>
      <c r="Y2305">
        <v>6</v>
      </c>
      <c r="Z2305">
        <v>2</v>
      </c>
      <c r="AA2305">
        <v>0</v>
      </c>
      <c r="AB2305">
        <v>0</v>
      </c>
      <c r="AC2305">
        <v>1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1</v>
      </c>
      <c r="AL2305">
        <v>0</v>
      </c>
      <c r="AM2305">
        <v>2</v>
      </c>
      <c r="AN2305">
        <v>3</v>
      </c>
      <c r="AT2305">
        <v>3</v>
      </c>
      <c r="AU2305">
        <v>8</v>
      </c>
      <c r="AV2305">
        <v>262</v>
      </c>
      <c r="AW2305">
        <v>262</v>
      </c>
      <c r="AX2305">
        <v>414</v>
      </c>
      <c r="BA2305">
        <v>1</v>
      </c>
      <c r="BC2305" t="s">
        <v>4710</v>
      </c>
      <c r="BD2305" s="4">
        <v>43283.484375</v>
      </c>
      <c r="BE2305" s="4">
        <v>43283.497939814813</v>
      </c>
      <c r="BF2305" s="4">
        <v>43283.497939814813</v>
      </c>
      <c r="BG2305" t="s">
        <v>83</v>
      </c>
      <c r="BH2305" t="s">
        <v>84</v>
      </c>
      <c r="BI2305" t="s">
        <v>85</v>
      </c>
    </row>
    <row r="2306" spans="1:61" x14ac:dyDescent="0.3">
      <c r="A2306" t="str">
        <f>"200412E0100"</f>
        <v>200412E0100</v>
      </c>
      <c r="B2306" s="2" t="s">
        <v>4711</v>
      </c>
      <c r="C2306">
        <v>20</v>
      </c>
      <c r="D2306" t="s">
        <v>79</v>
      </c>
      <c r="E2306">
        <v>11</v>
      </c>
      <c r="F2306" t="s">
        <v>4565</v>
      </c>
      <c r="G2306">
        <v>412</v>
      </c>
      <c r="H2306">
        <v>1</v>
      </c>
      <c r="I2306" t="s">
        <v>145</v>
      </c>
      <c r="J2306">
        <v>0</v>
      </c>
      <c r="K2306">
        <v>2</v>
      </c>
      <c r="L2306">
        <v>2</v>
      </c>
      <c r="M2306">
        <v>117</v>
      </c>
      <c r="N2306">
        <v>189</v>
      </c>
      <c r="O2306">
        <v>1</v>
      </c>
      <c r="P2306" t="s">
        <v>100</v>
      </c>
      <c r="Q2306">
        <v>25</v>
      </c>
      <c r="R2306">
        <v>20</v>
      </c>
      <c r="S2306">
        <v>6</v>
      </c>
      <c r="T2306">
        <v>51</v>
      </c>
      <c r="U2306">
        <v>1</v>
      </c>
      <c r="V2306">
        <v>29</v>
      </c>
      <c r="W2306" t="s">
        <v>100</v>
      </c>
      <c r="X2306">
        <v>3</v>
      </c>
      <c r="Y2306">
        <v>36</v>
      </c>
      <c r="Z2306">
        <v>1</v>
      </c>
      <c r="AA2306" t="s">
        <v>100</v>
      </c>
      <c r="AB2306">
        <v>1</v>
      </c>
      <c r="AC2306" t="s">
        <v>100</v>
      </c>
      <c r="AD2306" t="s">
        <v>100</v>
      </c>
      <c r="AE2306">
        <v>1</v>
      </c>
      <c r="AF2306" t="s">
        <v>100</v>
      </c>
      <c r="AG2306" t="s">
        <v>100</v>
      </c>
      <c r="AH2306" t="s">
        <v>100</v>
      </c>
      <c r="AI2306" t="s">
        <v>100</v>
      </c>
      <c r="AJ2306">
        <v>1</v>
      </c>
      <c r="AK2306" t="s">
        <v>100</v>
      </c>
      <c r="AL2306" t="s">
        <v>100</v>
      </c>
      <c r="AM2306" t="s">
        <v>100</v>
      </c>
      <c r="AN2306" t="s">
        <v>100</v>
      </c>
      <c r="AT2306" t="s">
        <v>100</v>
      </c>
      <c r="AU2306">
        <v>14</v>
      </c>
      <c r="AV2306">
        <v>189</v>
      </c>
      <c r="AW2306">
        <v>189</v>
      </c>
      <c r="AX2306">
        <v>283</v>
      </c>
      <c r="AZ2306" t="s">
        <v>101</v>
      </c>
      <c r="BA2306">
        <v>1</v>
      </c>
      <c r="BC2306" t="s">
        <v>4712</v>
      </c>
      <c r="BD2306" s="4">
        <v>43283.485856481479</v>
      </c>
      <c r="BE2306" s="4">
        <v>43283.48847222222</v>
      </c>
      <c r="BF2306" s="4">
        <v>43283.48847222222</v>
      </c>
      <c r="BG2306" t="s">
        <v>83</v>
      </c>
      <c r="BH2306" t="s">
        <v>84</v>
      </c>
      <c r="BI2306" t="s">
        <v>85</v>
      </c>
    </row>
    <row r="2307" spans="1:61" x14ac:dyDescent="0.3">
      <c r="A2307" t="str">
        <f>"200413B0100"</f>
        <v>200413B0100</v>
      </c>
      <c r="B2307" t="s">
        <v>4713</v>
      </c>
      <c r="C2307">
        <v>20</v>
      </c>
      <c r="D2307" t="s">
        <v>79</v>
      </c>
      <c r="E2307">
        <v>11</v>
      </c>
      <c r="F2307" t="s">
        <v>4565</v>
      </c>
      <c r="G2307">
        <v>413</v>
      </c>
      <c r="H2307">
        <v>1</v>
      </c>
      <c r="I2307" t="s">
        <v>81</v>
      </c>
      <c r="J2307">
        <v>0</v>
      </c>
      <c r="K2307">
        <v>2</v>
      </c>
      <c r="L2307">
        <v>2</v>
      </c>
      <c r="M2307">
        <v>169</v>
      </c>
      <c r="N2307">
        <v>317</v>
      </c>
      <c r="O2307">
        <v>4</v>
      </c>
      <c r="P2307" t="s">
        <v>100</v>
      </c>
      <c r="Q2307">
        <v>26</v>
      </c>
      <c r="R2307">
        <v>48</v>
      </c>
      <c r="S2307">
        <v>12</v>
      </c>
      <c r="T2307">
        <v>23</v>
      </c>
      <c r="U2307">
        <v>8</v>
      </c>
      <c r="V2307">
        <v>28</v>
      </c>
      <c r="W2307">
        <v>1</v>
      </c>
      <c r="X2307">
        <v>3</v>
      </c>
      <c r="Y2307">
        <v>138</v>
      </c>
      <c r="Z2307">
        <v>6</v>
      </c>
      <c r="AA2307">
        <v>1</v>
      </c>
      <c r="AB2307">
        <v>1</v>
      </c>
      <c r="AC2307">
        <v>2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5</v>
      </c>
      <c r="AL2307">
        <v>0</v>
      </c>
      <c r="AM2307">
        <v>0</v>
      </c>
      <c r="AN2307">
        <v>0</v>
      </c>
      <c r="AT2307">
        <v>0</v>
      </c>
      <c r="AU2307">
        <v>15</v>
      </c>
      <c r="AV2307">
        <v>317</v>
      </c>
      <c r="AW2307">
        <v>317</v>
      </c>
      <c r="AX2307">
        <v>463</v>
      </c>
      <c r="BA2307">
        <v>1</v>
      </c>
      <c r="BC2307" t="s">
        <v>4714</v>
      </c>
      <c r="BD2307" s="4">
        <v>43283.490995370368</v>
      </c>
      <c r="BE2307" s="4">
        <v>43283.496099537035</v>
      </c>
      <c r="BF2307" s="4">
        <v>43283.496099537035</v>
      </c>
      <c r="BG2307" t="s">
        <v>83</v>
      </c>
      <c r="BH2307" t="s">
        <v>84</v>
      </c>
      <c r="BI2307" t="s">
        <v>85</v>
      </c>
    </row>
    <row r="2308" spans="1:61" x14ac:dyDescent="0.3">
      <c r="A2308" t="str">
        <f>"200414B0100"</f>
        <v>200414B0100</v>
      </c>
      <c r="B2308" t="s">
        <v>4715</v>
      </c>
      <c r="C2308">
        <v>20</v>
      </c>
      <c r="D2308" t="s">
        <v>79</v>
      </c>
      <c r="E2308">
        <v>11</v>
      </c>
      <c r="F2308" t="s">
        <v>4565</v>
      </c>
      <c r="G2308">
        <v>414</v>
      </c>
      <c r="H2308">
        <v>1</v>
      </c>
      <c r="I2308" t="s">
        <v>81</v>
      </c>
      <c r="J2308">
        <v>0</v>
      </c>
      <c r="K2308">
        <v>2</v>
      </c>
      <c r="L2308">
        <v>2</v>
      </c>
      <c r="M2308">
        <v>175</v>
      </c>
      <c r="N2308">
        <v>247</v>
      </c>
      <c r="O2308">
        <v>1</v>
      </c>
      <c r="P2308">
        <v>247</v>
      </c>
      <c r="Q2308">
        <v>23</v>
      </c>
      <c r="R2308">
        <v>9</v>
      </c>
      <c r="S2308">
        <v>3</v>
      </c>
      <c r="T2308">
        <v>32</v>
      </c>
      <c r="U2308">
        <v>9</v>
      </c>
      <c r="V2308">
        <v>13</v>
      </c>
      <c r="W2308">
        <v>4</v>
      </c>
      <c r="X2308">
        <v>6</v>
      </c>
      <c r="Y2308">
        <v>118</v>
      </c>
      <c r="Z2308">
        <v>5</v>
      </c>
      <c r="AA2308">
        <v>1</v>
      </c>
      <c r="AB2308">
        <v>5</v>
      </c>
      <c r="AC2308">
        <v>0</v>
      </c>
      <c r="AD2308">
        <v>0</v>
      </c>
      <c r="AE2308">
        <v>1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2</v>
      </c>
      <c r="AT2308">
        <v>0</v>
      </c>
      <c r="AU2308">
        <v>16</v>
      </c>
      <c r="AV2308">
        <v>246</v>
      </c>
      <c r="AW2308">
        <v>247</v>
      </c>
      <c r="AX2308">
        <v>399</v>
      </c>
      <c r="BA2308">
        <v>1</v>
      </c>
      <c r="BC2308" t="s">
        <v>4716</v>
      </c>
      <c r="BD2308" s="4">
        <v>43283.073611111111</v>
      </c>
      <c r="BE2308" s="4">
        <v>43283.080254629633</v>
      </c>
      <c r="BF2308" s="4">
        <v>43283.080254629633</v>
      </c>
      <c r="BG2308" t="s">
        <v>83</v>
      </c>
      <c r="BH2308" t="s">
        <v>84</v>
      </c>
      <c r="BI2308" t="s">
        <v>85</v>
      </c>
    </row>
    <row r="2309" spans="1:61" x14ac:dyDescent="0.3">
      <c r="A2309" t="str">
        <f>"200414C0100"</f>
        <v>200414C0100</v>
      </c>
      <c r="B2309" t="s">
        <v>4717</v>
      </c>
      <c r="C2309">
        <v>20</v>
      </c>
      <c r="D2309" t="s">
        <v>79</v>
      </c>
      <c r="E2309">
        <v>11</v>
      </c>
      <c r="F2309" t="s">
        <v>4565</v>
      </c>
      <c r="G2309">
        <v>414</v>
      </c>
      <c r="H2309">
        <v>1</v>
      </c>
      <c r="I2309" t="s">
        <v>89</v>
      </c>
      <c r="J2309">
        <v>0</v>
      </c>
      <c r="K2309">
        <v>2</v>
      </c>
      <c r="L2309">
        <v>2</v>
      </c>
      <c r="M2309">
        <v>175</v>
      </c>
      <c r="N2309">
        <v>2</v>
      </c>
      <c r="O2309">
        <v>2</v>
      </c>
      <c r="P2309">
        <v>246</v>
      </c>
      <c r="Q2309">
        <v>16</v>
      </c>
      <c r="R2309">
        <v>8</v>
      </c>
      <c r="S2309">
        <v>6</v>
      </c>
      <c r="T2309">
        <v>29</v>
      </c>
      <c r="U2309">
        <v>16</v>
      </c>
      <c r="V2309">
        <v>13</v>
      </c>
      <c r="W2309" t="s">
        <v>100</v>
      </c>
      <c r="X2309">
        <v>7</v>
      </c>
      <c r="Y2309">
        <v>124</v>
      </c>
      <c r="Z2309">
        <v>4</v>
      </c>
      <c r="AA2309">
        <v>2</v>
      </c>
      <c r="AB2309" t="s">
        <v>100</v>
      </c>
      <c r="AC2309">
        <v>0</v>
      </c>
      <c r="AD2309">
        <v>0</v>
      </c>
      <c r="AE2309">
        <v>1</v>
      </c>
      <c r="AF2309">
        <v>0</v>
      </c>
      <c r="AG2309">
        <v>1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1</v>
      </c>
      <c r="AT2309">
        <v>0</v>
      </c>
      <c r="AU2309">
        <v>18</v>
      </c>
      <c r="AV2309">
        <v>246</v>
      </c>
      <c r="AW2309">
        <v>246</v>
      </c>
      <c r="AX2309">
        <v>398</v>
      </c>
      <c r="AZ2309" t="s">
        <v>101</v>
      </c>
      <c r="BA2309">
        <v>1</v>
      </c>
      <c r="BC2309" t="s">
        <v>4718</v>
      </c>
      <c r="BD2309" s="4">
        <v>43283.072916666664</v>
      </c>
      <c r="BE2309" s="4">
        <v>43283.07880787037</v>
      </c>
      <c r="BF2309" s="4">
        <v>43283.07880787037</v>
      </c>
      <c r="BG2309" t="s">
        <v>83</v>
      </c>
      <c r="BH2309" t="s">
        <v>84</v>
      </c>
      <c r="BI2309" t="s">
        <v>85</v>
      </c>
    </row>
    <row r="2310" spans="1:61" x14ac:dyDescent="0.3">
      <c r="A2310" t="str">
        <f>"200414E0100"</f>
        <v>200414E0100</v>
      </c>
      <c r="B2310" s="2" t="s">
        <v>4719</v>
      </c>
      <c r="C2310">
        <v>20</v>
      </c>
      <c r="D2310" t="s">
        <v>79</v>
      </c>
      <c r="E2310">
        <v>11</v>
      </c>
      <c r="F2310" t="s">
        <v>4565</v>
      </c>
      <c r="G2310">
        <v>414</v>
      </c>
      <c r="H2310">
        <v>1</v>
      </c>
      <c r="I2310" t="s">
        <v>145</v>
      </c>
      <c r="J2310">
        <v>0</v>
      </c>
      <c r="K2310">
        <v>2</v>
      </c>
      <c r="L2310">
        <v>2</v>
      </c>
      <c r="M2310">
        <v>65</v>
      </c>
      <c r="N2310">
        <v>87</v>
      </c>
      <c r="O2310">
        <v>1</v>
      </c>
      <c r="P2310">
        <v>87</v>
      </c>
      <c r="Q2310">
        <v>9</v>
      </c>
      <c r="R2310">
        <v>19</v>
      </c>
      <c r="S2310">
        <v>1</v>
      </c>
      <c r="T2310">
        <v>13</v>
      </c>
      <c r="U2310">
        <v>0</v>
      </c>
      <c r="V2310">
        <v>0</v>
      </c>
      <c r="W2310">
        <v>0</v>
      </c>
      <c r="X2310">
        <v>1</v>
      </c>
      <c r="Y2310">
        <v>39</v>
      </c>
      <c r="Z2310">
        <v>2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T2310">
        <v>0</v>
      </c>
      <c r="AU2310">
        <v>3</v>
      </c>
      <c r="AV2310">
        <v>87</v>
      </c>
      <c r="AW2310">
        <v>87</v>
      </c>
      <c r="AX2310">
        <v>129</v>
      </c>
      <c r="BA2310">
        <v>1</v>
      </c>
      <c r="BC2310" t="s">
        <v>4720</v>
      </c>
      <c r="BD2310" s="4">
        <v>43283.072916666664</v>
      </c>
      <c r="BE2310" s="4">
        <v>43283.076898148145</v>
      </c>
      <c r="BF2310" s="4">
        <v>43283.076898148145</v>
      </c>
      <c r="BG2310" t="s">
        <v>83</v>
      </c>
      <c r="BH2310" t="s">
        <v>84</v>
      </c>
      <c r="BI2310" t="s">
        <v>85</v>
      </c>
    </row>
    <row r="2311" spans="1:61" x14ac:dyDescent="0.3">
      <c r="A2311" t="str">
        <f>"200415B0100"</f>
        <v>200415B0100</v>
      </c>
      <c r="B2311" t="s">
        <v>4721</v>
      </c>
      <c r="C2311">
        <v>20</v>
      </c>
      <c r="D2311" t="s">
        <v>79</v>
      </c>
      <c r="E2311">
        <v>11</v>
      </c>
      <c r="F2311" t="s">
        <v>4565</v>
      </c>
      <c r="G2311">
        <v>415</v>
      </c>
      <c r="H2311">
        <v>1</v>
      </c>
      <c r="I2311" t="s">
        <v>81</v>
      </c>
      <c r="J2311">
        <v>0</v>
      </c>
      <c r="K2311">
        <v>2</v>
      </c>
      <c r="L2311">
        <v>2</v>
      </c>
      <c r="M2311">
        <v>248</v>
      </c>
      <c r="N2311" t="s">
        <v>315</v>
      </c>
      <c r="O2311">
        <v>1</v>
      </c>
      <c r="P2311">
        <v>355</v>
      </c>
      <c r="Q2311">
        <v>48</v>
      </c>
      <c r="R2311">
        <v>42</v>
      </c>
      <c r="S2311">
        <v>11</v>
      </c>
      <c r="T2311">
        <v>42</v>
      </c>
      <c r="U2311">
        <v>7</v>
      </c>
      <c r="V2311">
        <v>21</v>
      </c>
      <c r="W2311">
        <v>2</v>
      </c>
      <c r="X2311">
        <v>6</v>
      </c>
      <c r="Y2311">
        <v>157</v>
      </c>
      <c r="Z2311">
        <v>4</v>
      </c>
      <c r="AA2311">
        <v>1</v>
      </c>
      <c r="AB2311">
        <v>1</v>
      </c>
      <c r="AC2311">
        <v>0</v>
      </c>
      <c r="AD2311">
        <v>1</v>
      </c>
      <c r="AE2311">
        <v>0</v>
      </c>
      <c r="AF2311">
        <v>0</v>
      </c>
      <c r="AG2311">
        <v>0</v>
      </c>
      <c r="AH2311">
        <v>2</v>
      </c>
      <c r="AI2311">
        <v>0</v>
      </c>
      <c r="AJ2311">
        <v>0</v>
      </c>
      <c r="AK2311">
        <v>1</v>
      </c>
      <c r="AL2311">
        <v>1</v>
      </c>
      <c r="AM2311">
        <v>0</v>
      </c>
      <c r="AN2311">
        <v>0</v>
      </c>
      <c r="AT2311">
        <v>0</v>
      </c>
      <c r="AU2311">
        <v>8</v>
      </c>
      <c r="AV2311">
        <v>355</v>
      </c>
      <c r="AW2311">
        <v>355</v>
      </c>
      <c r="AX2311">
        <v>580</v>
      </c>
      <c r="BA2311">
        <v>1</v>
      </c>
      <c r="BC2311" t="s">
        <v>4722</v>
      </c>
      <c r="BD2311" s="4">
        <v>43283.080555555556</v>
      </c>
      <c r="BE2311" s="4">
        <v>43283.085277777776</v>
      </c>
      <c r="BF2311" s="4">
        <v>43283.085277777776</v>
      </c>
      <c r="BG2311" t="s">
        <v>83</v>
      </c>
      <c r="BH2311" t="s">
        <v>84</v>
      </c>
      <c r="BI2311" t="s">
        <v>85</v>
      </c>
    </row>
    <row r="2312" spans="1:61" x14ac:dyDescent="0.3">
      <c r="A2312" t="str">
        <f>"200415C0100"</f>
        <v>200415C0100</v>
      </c>
      <c r="B2312" t="s">
        <v>4723</v>
      </c>
      <c r="C2312">
        <v>20</v>
      </c>
      <c r="D2312" t="s">
        <v>79</v>
      </c>
      <c r="E2312">
        <v>11</v>
      </c>
      <c r="F2312" t="s">
        <v>4565</v>
      </c>
      <c r="G2312">
        <v>415</v>
      </c>
      <c r="H2312">
        <v>1</v>
      </c>
      <c r="I2312" t="s">
        <v>89</v>
      </c>
      <c r="J2312">
        <v>0</v>
      </c>
      <c r="K2312">
        <v>2</v>
      </c>
      <c r="L2312">
        <v>2</v>
      </c>
      <c r="AX2312">
        <v>580</v>
      </c>
      <c r="AZ2312" t="s">
        <v>156</v>
      </c>
      <c r="BA2312">
        <v>0</v>
      </c>
      <c r="BC2312" t="s">
        <v>4724</v>
      </c>
      <c r="BD2312" s="4">
        <v>43283.771458333336</v>
      </c>
      <c r="BE2312" s="4">
        <v>43283.773842592593</v>
      </c>
      <c r="BF2312" s="4">
        <v>43283.773842592593</v>
      </c>
      <c r="BG2312" t="s">
        <v>83</v>
      </c>
      <c r="BH2312" t="s">
        <v>84</v>
      </c>
      <c r="BI2312" t="s">
        <v>85</v>
      </c>
    </row>
    <row r="2313" spans="1:61" x14ac:dyDescent="0.3">
      <c r="A2313" t="str">
        <f>"200415C0200"</f>
        <v>200415C0200</v>
      </c>
      <c r="B2313" t="s">
        <v>4725</v>
      </c>
      <c r="C2313">
        <v>20</v>
      </c>
      <c r="D2313" t="s">
        <v>79</v>
      </c>
      <c r="E2313">
        <v>11</v>
      </c>
      <c r="F2313" t="s">
        <v>4565</v>
      </c>
      <c r="G2313">
        <v>415</v>
      </c>
      <c r="H2313">
        <v>2</v>
      </c>
      <c r="I2313" t="s">
        <v>89</v>
      </c>
      <c r="J2313">
        <v>0</v>
      </c>
      <c r="K2313">
        <v>2</v>
      </c>
      <c r="L2313">
        <v>2</v>
      </c>
      <c r="M2313">
        <v>243</v>
      </c>
      <c r="N2313">
        <v>359</v>
      </c>
      <c r="O2313">
        <v>1</v>
      </c>
      <c r="P2313">
        <v>359</v>
      </c>
      <c r="Q2313">
        <v>33</v>
      </c>
      <c r="R2313">
        <v>42</v>
      </c>
      <c r="S2313">
        <v>16</v>
      </c>
      <c r="T2313">
        <v>39</v>
      </c>
      <c r="U2313">
        <v>14</v>
      </c>
      <c r="V2313">
        <v>18</v>
      </c>
      <c r="W2313">
        <v>0</v>
      </c>
      <c r="X2313">
        <v>6</v>
      </c>
      <c r="Y2313">
        <v>163</v>
      </c>
      <c r="Z2313">
        <v>3</v>
      </c>
      <c r="AA2313">
        <v>0</v>
      </c>
      <c r="AB2313">
        <v>0</v>
      </c>
      <c r="AC2313">
        <v>1</v>
      </c>
      <c r="AD2313">
        <v>0</v>
      </c>
      <c r="AE2313">
        <v>0</v>
      </c>
      <c r="AF2313">
        <v>0</v>
      </c>
      <c r="AG2313">
        <v>0</v>
      </c>
      <c r="AH2313">
        <v>2</v>
      </c>
      <c r="AI2313">
        <v>0</v>
      </c>
      <c r="AJ2313">
        <v>0</v>
      </c>
      <c r="AK2313">
        <v>2</v>
      </c>
      <c r="AL2313">
        <v>0</v>
      </c>
      <c r="AM2313">
        <v>0</v>
      </c>
      <c r="AN2313">
        <v>0</v>
      </c>
      <c r="AT2313">
        <v>4</v>
      </c>
      <c r="AU2313">
        <v>16</v>
      </c>
      <c r="AV2313">
        <v>359</v>
      </c>
      <c r="AW2313">
        <v>359</v>
      </c>
      <c r="AX2313">
        <v>579</v>
      </c>
      <c r="BA2313">
        <v>1</v>
      </c>
      <c r="BC2313" t="s">
        <v>4726</v>
      </c>
      <c r="BD2313" s="4">
        <v>43283.113194444442</v>
      </c>
      <c r="BE2313" s="4">
        <v>43283.119027777779</v>
      </c>
      <c r="BF2313" s="4">
        <v>43283.119027777779</v>
      </c>
      <c r="BG2313" t="s">
        <v>83</v>
      </c>
      <c r="BH2313" t="s">
        <v>84</v>
      </c>
      <c r="BI2313" t="s">
        <v>85</v>
      </c>
    </row>
    <row r="2314" spans="1:61" x14ac:dyDescent="0.3">
      <c r="A2314" t="str">
        <f>"200416B0100"</f>
        <v>200416B0100</v>
      </c>
      <c r="B2314" t="s">
        <v>4727</v>
      </c>
      <c r="C2314">
        <v>20</v>
      </c>
      <c r="D2314" t="s">
        <v>79</v>
      </c>
      <c r="E2314">
        <v>11</v>
      </c>
      <c r="F2314" t="s">
        <v>4565</v>
      </c>
      <c r="G2314">
        <v>416</v>
      </c>
      <c r="H2314">
        <v>1</v>
      </c>
      <c r="I2314" t="s">
        <v>81</v>
      </c>
      <c r="J2314">
        <v>0</v>
      </c>
      <c r="K2314">
        <v>2</v>
      </c>
      <c r="L2314">
        <v>2</v>
      </c>
      <c r="M2314">
        <v>135</v>
      </c>
      <c r="N2314">
        <v>310</v>
      </c>
      <c r="O2314">
        <v>1</v>
      </c>
      <c r="P2314">
        <v>310</v>
      </c>
      <c r="Q2314">
        <v>8</v>
      </c>
      <c r="R2314">
        <v>22</v>
      </c>
      <c r="S2314">
        <v>2</v>
      </c>
      <c r="T2314">
        <v>30</v>
      </c>
      <c r="U2314">
        <v>8</v>
      </c>
      <c r="V2314">
        <v>17</v>
      </c>
      <c r="W2314">
        <v>2</v>
      </c>
      <c r="X2314">
        <v>143</v>
      </c>
      <c r="Y2314">
        <v>32</v>
      </c>
      <c r="Z2314">
        <v>5</v>
      </c>
      <c r="AA2314">
        <v>4</v>
      </c>
      <c r="AB2314">
        <v>2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2</v>
      </c>
      <c r="AK2314">
        <v>2</v>
      </c>
      <c r="AL2314">
        <v>1</v>
      </c>
      <c r="AM2314">
        <v>1</v>
      </c>
      <c r="AN2314">
        <v>1</v>
      </c>
      <c r="AT2314">
        <v>0</v>
      </c>
      <c r="AU2314">
        <v>28</v>
      </c>
      <c r="AV2314">
        <v>310</v>
      </c>
      <c r="AW2314">
        <v>310</v>
      </c>
      <c r="AX2314">
        <v>422</v>
      </c>
      <c r="BA2314">
        <v>1</v>
      </c>
      <c r="BC2314" t="s">
        <v>4728</v>
      </c>
      <c r="BD2314" s="4">
        <v>43283.152083333334</v>
      </c>
      <c r="BE2314" s="4">
        <v>43283.163055555553</v>
      </c>
      <c r="BF2314" s="4">
        <v>43283.163055555553</v>
      </c>
      <c r="BG2314" t="s">
        <v>83</v>
      </c>
      <c r="BH2314" t="s">
        <v>84</v>
      </c>
      <c r="BI2314" t="s">
        <v>85</v>
      </c>
    </row>
    <row r="2315" spans="1:61" x14ac:dyDescent="0.3">
      <c r="A2315" t="str">
        <f>"200416E0100"</f>
        <v>200416E0100</v>
      </c>
      <c r="B2315" s="2" t="s">
        <v>4729</v>
      </c>
      <c r="C2315">
        <v>20</v>
      </c>
      <c r="D2315" t="s">
        <v>79</v>
      </c>
      <c r="E2315">
        <v>11</v>
      </c>
      <c r="F2315" t="s">
        <v>4565</v>
      </c>
      <c r="G2315">
        <v>416</v>
      </c>
      <c r="H2315">
        <v>1</v>
      </c>
      <c r="I2315" t="s">
        <v>145</v>
      </c>
      <c r="J2315">
        <v>0</v>
      </c>
      <c r="K2315">
        <v>2</v>
      </c>
      <c r="L2315">
        <v>2</v>
      </c>
      <c r="M2315">
        <v>72</v>
      </c>
      <c r="N2315">
        <v>126</v>
      </c>
      <c r="O2315">
        <v>4</v>
      </c>
      <c r="P2315">
        <v>126</v>
      </c>
      <c r="Q2315">
        <v>27</v>
      </c>
      <c r="R2315">
        <v>7</v>
      </c>
      <c r="S2315">
        <v>2</v>
      </c>
      <c r="T2315">
        <v>10</v>
      </c>
      <c r="U2315">
        <v>4</v>
      </c>
      <c r="V2315">
        <v>18</v>
      </c>
      <c r="W2315">
        <v>2</v>
      </c>
      <c r="X2315">
        <v>16</v>
      </c>
      <c r="Y2315">
        <v>30</v>
      </c>
      <c r="Z2315">
        <v>6</v>
      </c>
      <c r="AA2315">
        <v>1</v>
      </c>
      <c r="AB2315">
        <v>0</v>
      </c>
      <c r="AC2315">
        <v>0</v>
      </c>
      <c r="AD2315">
        <v>1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T2315">
        <v>0</v>
      </c>
      <c r="AU2315">
        <v>1</v>
      </c>
      <c r="AV2315">
        <v>126</v>
      </c>
      <c r="AW2315">
        <v>125</v>
      </c>
      <c r="AX2315">
        <v>175</v>
      </c>
      <c r="BA2315">
        <v>1</v>
      </c>
      <c r="BC2315" t="s">
        <v>4730</v>
      </c>
      <c r="BD2315" s="4">
        <v>43283.154166666667</v>
      </c>
      <c r="BE2315" s="4">
        <v>43283.165000000001</v>
      </c>
      <c r="BF2315" s="4">
        <v>43283.165000000001</v>
      </c>
      <c r="BG2315" t="s">
        <v>83</v>
      </c>
      <c r="BH2315" t="s">
        <v>84</v>
      </c>
      <c r="BI2315" t="s">
        <v>85</v>
      </c>
    </row>
    <row r="2316" spans="1:61" x14ac:dyDescent="0.3">
      <c r="A2316" t="str">
        <f>"200417B0100"</f>
        <v>200417B0100</v>
      </c>
      <c r="B2316" t="s">
        <v>4731</v>
      </c>
      <c r="C2316">
        <v>20</v>
      </c>
      <c r="D2316" t="s">
        <v>79</v>
      </c>
      <c r="E2316">
        <v>11</v>
      </c>
      <c r="F2316" t="s">
        <v>4565</v>
      </c>
      <c r="G2316">
        <v>417</v>
      </c>
      <c r="H2316">
        <v>1</v>
      </c>
      <c r="I2316" t="s">
        <v>81</v>
      </c>
      <c r="J2316">
        <v>0</v>
      </c>
      <c r="K2316">
        <v>2</v>
      </c>
      <c r="L2316">
        <v>2</v>
      </c>
      <c r="M2316">
        <v>229</v>
      </c>
      <c r="N2316">
        <v>558</v>
      </c>
      <c r="O2316">
        <v>0</v>
      </c>
      <c r="P2316">
        <v>359</v>
      </c>
      <c r="Q2316">
        <v>33</v>
      </c>
      <c r="R2316">
        <v>67</v>
      </c>
      <c r="S2316">
        <v>21</v>
      </c>
      <c r="T2316">
        <v>16</v>
      </c>
      <c r="U2316">
        <v>11</v>
      </c>
      <c r="V2316">
        <v>11</v>
      </c>
      <c r="W2316">
        <v>1</v>
      </c>
      <c r="X2316">
        <v>5</v>
      </c>
      <c r="Y2316">
        <v>153</v>
      </c>
      <c r="Z2316">
        <v>4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2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T2316">
        <v>0</v>
      </c>
      <c r="AU2316">
        <v>35</v>
      </c>
      <c r="AV2316">
        <v>359</v>
      </c>
      <c r="AW2316">
        <v>359</v>
      </c>
      <c r="AX2316">
        <v>565</v>
      </c>
      <c r="BA2316">
        <v>1</v>
      </c>
      <c r="BC2316" t="s">
        <v>4732</v>
      </c>
      <c r="BD2316" s="4">
        <v>43283.155555555553</v>
      </c>
      <c r="BE2316" s="4">
        <v>43283.169027777774</v>
      </c>
      <c r="BF2316" s="4">
        <v>43283.169027777774</v>
      </c>
      <c r="BG2316" t="s">
        <v>83</v>
      </c>
      <c r="BH2316" t="s">
        <v>84</v>
      </c>
      <c r="BI2316" t="s">
        <v>85</v>
      </c>
    </row>
    <row r="2317" spans="1:61" x14ac:dyDescent="0.3">
      <c r="A2317" t="str">
        <f>"200417E0100"</f>
        <v>200417E0100</v>
      </c>
      <c r="B2317" s="2" t="s">
        <v>4733</v>
      </c>
      <c r="C2317">
        <v>20</v>
      </c>
      <c r="D2317" t="s">
        <v>79</v>
      </c>
      <c r="E2317">
        <v>11</v>
      </c>
      <c r="F2317" t="s">
        <v>4565</v>
      </c>
      <c r="G2317">
        <v>417</v>
      </c>
      <c r="H2317">
        <v>1</v>
      </c>
      <c r="I2317" t="s">
        <v>145</v>
      </c>
      <c r="J2317">
        <v>0</v>
      </c>
      <c r="K2317">
        <v>2</v>
      </c>
      <c r="L2317">
        <v>2</v>
      </c>
      <c r="M2317">
        <v>78</v>
      </c>
      <c r="N2317">
        <v>120</v>
      </c>
      <c r="O2317">
        <v>2</v>
      </c>
      <c r="P2317">
        <v>109</v>
      </c>
      <c r="Q2317">
        <v>3</v>
      </c>
      <c r="R2317">
        <v>26</v>
      </c>
      <c r="S2317">
        <v>1</v>
      </c>
      <c r="T2317">
        <v>7</v>
      </c>
      <c r="U2317">
        <v>3</v>
      </c>
      <c r="V2317">
        <v>2</v>
      </c>
      <c r="W2317">
        <v>0</v>
      </c>
      <c r="X2317">
        <v>2</v>
      </c>
      <c r="Y2317">
        <v>48</v>
      </c>
      <c r="Z2317">
        <v>3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1</v>
      </c>
      <c r="AH2317">
        <v>0</v>
      </c>
      <c r="AI2317">
        <v>0</v>
      </c>
      <c r="AJ2317">
        <v>0</v>
      </c>
      <c r="AK2317">
        <v>3</v>
      </c>
      <c r="AL2317">
        <v>2</v>
      </c>
      <c r="AM2317">
        <v>0</v>
      </c>
      <c r="AN2317">
        <v>3</v>
      </c>
      <c r="AT2317">
        <v>0</v>
      </c>
      <c r="AU2317">
        <v>5</v>
      </c>
      <c r="AV2317">
        <v>109</v>
      </c>
      <c r="AW2317">
        <v>109</v>
      </c>
      <c r="AX2317">
        <v>164</v>
      </c>
      <c r="BA2317">
        <v>1</v>
      </c>
      <c r="BC2317" t="s">
        <v>4734</v>
      </c>
      <c r="BD2317" s="4">
        <v>43283.15625</v>
      </c>
      <c r="BE2317" s="4">
        <v>43283.171331018515</v>
      </c>
      <c r="BF2317" s="4">
        <v>43283.171331018515</v>
      </c>
      <c r="BG2317" t="s">
        <v>83</v>
      </c>
      <c r="BH2317" t="s">
        <v>84</v>
      </c>
      <c r="BI2317" t="s">
        <v>85</v>
      </c>
    </row>
    <row r="2318" spans="1:61" x14ac:dyDescent="0.3">
      <c r="A2318" t="str">
        <f>"200418B0100"</f>
        <v>200418B0100</v>
      </c>
      <c r="B2318" t="s">
        <v>4735</v>
      </c>
      <c r="C2318">
        <v>20</v>
      </c>
      <c r="D2318" t="s">
        <v>79</v>
      </c>
      <c r="E2318">
        <v>11</v>
      </c>
      <c r="F2318" t="s">
        <v>4565</v>
      </c>
      <c r="G2318">
        <v>418</v>
      </c>
      <c r="H2318">
        <v>1</v>
      </c>
      <c r="I2318" t="s">
        <v>81</v>
      </c>
      <c r="J2318">
        <v>0</v>
      </c>
      <c r="K2318">
        <v>2</v>
      </c>
      <c r="L2318">
        <v>2</v>
      </c>
      <c r="M2318" t="s">
        <v>100</v>
      </c>
      <c r="N2318" t="s">
        <v>100</v>
      </c>
      <c r="O2318" t="s">
        <v>100</v>
      </c>
      <c r="P2318" t="s">
        <v>100</v>
      </c>
      <c r="Q2318" t="s">
        <v>100</v>
      </c>
      <c r="R2318" t="s">
        <v>100</v>
      </c>
      <c r="S2318" t="s">
        <v>100</v>
      </c>
      <c r="T2318" t="s">
        <v>100</v>
      </c>
      <c r="U2318" t="s">
        <v>100</v>
      </c>
      <c r="V2318" t="s">
        <v>100</v>
      </c>
      <c r="W2318" t="s">
        <v>100</v>
      </c>
      <c r="X2318" t="s">
        <v>100</v>
      </c>
      <c r="Y2318" t="s">
        <v>100</v>
      </c>
      <c r="Z2318" t="s">
        <v>100</v>
      </c>
      <c r="AA2318" t="s">
        <v>100</v>
      </c>
      <c r="AB2318" t="s">
        <v>100</v>
      </c>
      <c r="AC2318" t="s">
        <v>100</v>
      </c>
      <c r="AD2318" t="s">
        <v>100</v>
      </c>
      <c r="AE2318" t="s">
        <v>100</v>
      </c>
      <c r="AF2318" t="s">
        <v>100</v>
      </c>
      <c r="AG2318" t="s">
        <v>100</v>
      </c>
      <c r="AH2318" t="s">
        <v>100</v>
      </c>
      <c r="AI2318" t="s">
        <v>100</v>
      </c>
      <c r="AJ2318" t="s">
        <v>100</v>
      </c>
      <c r="AK2318" t="s">
        <v>100</v>
      </c>
      <c r="AL2318" t="s">
        <v>100</v>
      </c>
      <c r="AM2318" t="s">
        <v>100</v>
      </c>
      <c r="AN2318" t="s">
        <v>100</v>
      </c>
      <c r="AT2318" t="s">
        <v>100</v>
      </c>
      <c r="AU2318" t="s">
        <v>100</v>
      </c>
      <c r="AX2318">
        <v>307</v>
      </c>
      <c r="AZ2318" t="s">
        <v>794</v>
      </c>
      <c r="BA2318">
        <v>0</v>
      </c>
      <c r="BC2318" t="s">
        <v>4736</v>
      </c>
      <c r="BD2318" s="4">
        <v>43283.657569444447</v>
      </c>
      <c r="BE2318" s="4">
        <v>43283.660567129627</v>
      </c>
      <c r="BF2318" s="4">
        <v>43283.660567129627</v>
      </c>
      <c r="BG2318" t="s">
        <v>83</v>
      </c>
      <c r="BH2318" t="s">
        <v>84</v>
      </c>
      <c r="BI2318" t="s">
        <v>548</v>
      </c>
    </row>
    <row r="2319" spans="1:61" x14ac:dyDescent="0.3">
      <c r="A2319" t="str">
        <f>"200419B0100"</f>
        <v>200419B0100</v>
      </c>
      <c r="B2319" t="s">
        <v>4737</v>
      </c>
      <c r="C2319">
        <v>20</v>
      </c>
      <c r="D2319" t="s">
        <v>79</v>
      </c>
      <c r="E2319">
        <v>11</v>
      </c>
      <c r="F2319" t="s">
        <v>4565</v>
      </c>
      <c r="G2319">
        <v>419</v>
      </c>
      <c r="H2319">
        <v>1</v>
      </c>
      <c r="I2319" t="s">
        <v>81</v>
      </c>
      <c r="J2319">
        <v>0</v>
      </c>
      <c r="K2319">
        <v>2</v>
      </c>
      <c r="L2319">
        <v>2</v>
      </c>
      <c r="M2319">
        <v>119</v>
      </c>
      <c r="N2319">
        <v>252</v>
      </c>
      <c r="O2319">
        <v>2</v>
      </c>
      <c r="P2319">
        <v>252</v>
      </c>
      <c r="Q2319">
        <v>20</v>
      </c>
      <c r="R2319">
        <v>23</v>
      </c>
      <c r="S2319">
        <v>10</v>
      </c>
      <c r="T2319">
        <v>35</v>
      </c>
      <c r="U2319">
        <v>8</v>
      </c>
      <c r="V2319">
        <v>7</v>
      </c>
      <c r="W2319">
        <v>5</v>
      </c>
      <c r="X2319">
        <v>3</v>
      </c>
      <c r="Y2319">
        <v>112</v>
      </c>
      <c r="Z2319">
        <v>9</v>
      </c>
      <c r="AA2319">
        <v>2</v>
      </c>
      <c r="AB2319">
        <v>3</v>
      </c>
      <c r="AC2319">
        <v>1</v>
      </c>
      <c r="AD2319">
        <v>3</v>
      </c>
      <c r="AE2319">
        <v>0</v>
      </c>
      <c r="AF2319">
        <v>0</v>
      </c>
      <c r="AG2319">
        <v>0</v>
      </c>
      <c r="AH2319">
        <v>1</v>
      </c>
      <c r="AI2319">
        <v>0</v>
      </c>
      <c r="AJ2319">
        <v>0</v>
      </c>
      <c r="AK2319">
        <v>1</v>
      </c>
      <c r="AL2319">
        <v>1</v>
      </c>
      <c r="AM2319">
        <v>0</v>
      </c>
      <c r="AN2319">
        <v>1</v>
      </c>
      <c r="AT2319">
        <v>0</v>
      </c>
      <c r="AU2319">
        <v>7</v>
      </c>
      <c r="AV2319">
        <v>252</v>
      </c>
      <c r="AW2319">
        <v>252</v>
      </c>
      <c r="AX2319">
        <v>348</v>
      </c>
      <c r="BA2319">
        <v>1</v>
      </c>
      <c r="BC2319" t="s">
        <v>4738</v>
      </c>
      <c r="BD2319" s="4">
        <v>43283.250347222223</v>
      </c>
      <c r="BE2319" s="4">
        <v>43283.274467592593</v>
      </c>
      <c r="BF2319" s="4">
        <v>43283.274467592593</v>
      </c>
      <c r="BG2319" t="s">
        <v>83</v>
      </c>
      <c r="BH2319" t="s">
        <v>84</v>
      </c>
      <c r="BI2319" t="s">
        <v>85</v>
      </c>
    </row>
    <row r="2320" spans="1:61" x14ac:dyDescent="0.3">
      <c r="A2320" t="str">
        <f>"200419E0100"</f>
        <v>200419E0100</v>
      </c>
      <c r="B2320" s="2" t="s">
        <v>4739</v>
      </c>
      <c r="C2320">
        <v>20</v>
      </c>
      <c r="D2320" t="s">
        <v>79</v>
      </c>
      <c r="E2320">
        <v>11</v>
      </c>
      <c r="F2320" t="s">
        <v>4565</v>
      </c>
      <c r="G2320">
        <v>419</v>
      </c>
      <c r="H2320">
        <v>1</v>
      </c>
      <c r="I2320" t="s">
        <v>145</v>
      </c>
      <c r="J2320">
        <v>0</v>
      </c>
      <c r="K2320">
        <v>2</v>
      </c>
      <c r="L2320">
        <v>2</v>
      </c>
      <c r="M2320">
        <v>106</v>
      </c>
      <c r="N2320">
        <v>135</v>
      </c>
      <c r="O2320">
        <v>2</v>
      </c>
      <c r="P2320">
        <v>135</v>
      </c>
      <c r="Q2320">
        <v>31</v>
      </c>
      <c r="R2320">
        <v>8</v>
      </c>
      <c r="S2320">
        <v>6</v>
      </c>
      <c r="T2320">
        <v>24</v>
      </c>
      <c r="U2320">
        <v>3</v>
      </c>
      <c r="V2320">
        <v>0</v>
      </c>
      <c r="W2320">
        <v>1</v>
      </c>
      <c r="X2320">
        <v>2</v>
      </c>
      <c r="Y2320">
        <v>50</v>
      </c>
      <c r="Z2320">
        <v>2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1</v>
      </c>
      <c r="AI2320">
        <v>0</v>
      </c>
      <c r="AJ2320">
        <v>0</v>
      </c>
      <c r="AK2320">
        <v>1</v>
      </c>
      <c r="AL2320">
        <v>2</v>
      </c>
      <c r="AM2320">
        <v>0</v>
      </c>
      <c r="AN2320">
        <v>0</v>
      </c>
      <c r="AT2320">
        <v>0</v>
      </c>
      <c r="AU2320">
        <v>4</v>
      </c>
      <c r="AV2320">
        <v>135</v>
      </c>
      <c r="AW2320">
        <v>135</v>
      </c>
      <c r="AX2320">
        <v>218</v>
      </c>
      <c r="BA2320">
        <v>1</v>
      </c>
      <c r="BC2320" t="s">
        <v>4740</v>
      </c>
      <c r="BD2320" s="4">
        <v>43283.214942129627</v>
      </c>
      <c r="BE2320" s="4">
        <v>43283.23510416667</v>
      </c>
      <c r="BF2320" s="4">
        <v>43283.23510416667</v>
      </c>
      <c r="BG2320" t="s">
        <v>83</v>
      </c>
      <c r="BH2320" t="s">
        <v>84</v>
      </c>
      <c r="BI2320" t="s">
        <v>85</v>
      </c>
    </row>
    <row r="2321" spans="1:61" x14ac:dyDescent="0.3">
      <c r="A2321" t="str">
        <f>"200420B0100"</f>
        <v>200420B0100</v>
      </c>
      <c r="B2321" t="s">
        <v>4741</v>
      </c>
      <c r="C2321">
        <v>20</v>
      </c>
      <c r="D2321" t="s">
        <v>79</v>
      </c>
      <c r="E2321">
        <v>11</v>
      </c>
      <c r="F2321" t="s">
        <v>4565</v>
      </c>
      <c r="G2321">
        <v>420</v>
      </c>
      <c r="H2321">
        <v>1</v>
      </c>
      <c r="I2321" t="s">
        <v>81</v>
      </c>
      <c r="J2321">
        <v>0</v>
      </c>
      <c r="K2321">
        <v>2</v>
      </c>
      <c r="L2321">
        <v>2</v>
      </c>
      <c r="M2321">
        <v>294</v>
      </c>
      <c r="N2321">
        <v>401</v>
      </c>
      <c r="O2321">
        <v>0</v>
      </c>
      <c r="P2321">
        <v>401</v>
      </c>
      <c r="Q2321">
        <v>53</v>
      </c>
      <c r="R2321">
        <v>40</v>
      </c>
      <c r="S2321">
        <v>7</v>
      </c>
      <c r="T2321">
        <v>58</v>
      </c>
      <c r="U2321">
        <v>8</v>
      </c>
      <c r="V2321">
        <v>9</v>
      </c>
      <c r="W2321">
        <v>0</v>
      </c>
      <c r="X2321">
        <v>3</v>
      </c>
      <c r="Y2321" t="s">
        <v>315</v>
      </c>
      <c r="Z2321">
        <v>3</v>
      </c>
      <c r="AA2321">
        <v>1</v>
      </c>
      <c r="AB2321">
        <v>5</v>
      </c>
      <c r="AC2321">
        <v>1</v>
      </c>
      <c r="AD2321">
        <v>0</v>
      </c>
      <c r="AE2321">
        <v>0</v>
      </c>
      <c r="AF2321">
        <v>0</v>
      </c>
      <c r="AG2321">
        <v>0</v>
      </c>
      <c r="AH2321">
        <v>1</v>
      </c>
      <c r="AI2321">
        <v>2</v>
      </c>
      <c r="AJ2321">
        <v>0</v>
      </c>
      <c r="AK2321">
        <v>1</v>
      </c>
      <c r="AL2321">
        <v>2</v>
      </c>
      <c r="AM2321">
        <v>0</v>
      </c>
      <c r="AN2321">
        <v>1</v>
      </c>
      <c r="AT2321">
        <v>0</v>
      </c>
      <c r="AU2321">
        <v>26</v>
      </c>
      <c r="AV2321">
        <v>402</v>
      </c>
      <c r="AW2321">
        <v>221</v>
      </c>
      <c r="AX2321">
        <v>677</v>
      </c>
      <c r="AZ2321" t="s">
        <v>101</v>
      </c>
      <c r="BA2321">
        <v>1</v>
      </c>
      <c r="BC2321" t="s">
        <v>4742</v>
      </c>
      <c r="BD2321" s="4">
        <v>43283.230740740742</v>
      </c>
      <c r="BE2321" s="4">
        <v>43283.264293981483</v>
      </c>
      <c r="BF2321" s="4">
        <v>43283.264293981483</v>
      </c>
      <c r="BG2321" t="s">
        <v>83</v>
      </c>
      <c r="BH2321" t="s">
        <v>84</v>
      </c>
      <c r="BI2321" t="s">
        <v>85</v>
      </c>
    </row>
    <row r="2322" spans="1:61" x14ac:dyDescent="0.3">
      <c r="A2322" t="str">
        <f>"200420C0100"</f>
        <v>200420C0100</v>
      </c>
      <c r="B2322" t="s">
        <v>4743</v>
      </c>
      <c r="C2322">
        <v>20</v>
      </c>
      <c r="D2322" t="s">
        <v>79</v>
      </c>
      <c r="E2322">
        <v>11</v>
      </c>
      <c r="F2322" t="s">
        <v>4565</v>
      </c>
      <c r="G2322">
        <v>420</v>
      </c>
      <c r="H2322">
        <v>1</v>
      </c>
      <c r="I2322" t="s">
        <v>89</v>
      </c>
      <c r="J2322">
        <v>0</v>
      </c>
      <c r="K2322">
        <v>2</v>
      </c>
      <c r="L2322">
        <v>2</v>
      </c>
      <c r="M2322">
        <v>283</v>
      </c>
      <c r="N2322">
        <v>417</v>
      </c>
      <c r="O2322">
        <v>0</v>
      </c>
      <c r="P2322">
        <v>417</v>
      </c>
      <c r="Q2322">
        <v>45</v>
      </c>
      <c r="R2322">
        <v>50</v>
      </c>
      <c r="S2322">
        <v>5</v>
      </c>
      <c r="T2322">
        <v>56</v>
      </c>
      <c r="U2322">
        <v>19</v>
      </c>
      <c r="V2322">
        <v>12</v>
      </c>
      <c r="W2322">
        <v>3</v>
      </c>
      <c r="X2322">
        <v>4</v>
      </c>
      <c r="Y2322">
        <v>189</v>
      </c>
      <c r="Z2322">
        <v>4</v>
      </c>
      <c r="AA2322">
        <v>1</v>
      </c>
      <c r="AB2322">
        <v>3</v>
      </c>
      <c r="AC2322">
        <v>1</v>
      </c>
      <c r="AD2322">
        <v>1</v>
      </c>
      <c r="AE2322">
        <v>0</v>
      </c>
      <c r="AF2322">
        <v>0</v>
      </c>
      <c r="AG2322">
        <v>1</v>
      </c>
      <c r="AH2322">
        <v>1</v>
      </c>
      <c r="AI2322">
        <v>0</v>
      </c>
      <c r="AJ2322">
        <v>0</v>
      </c>
      <c r="AK2322">
        <v>3</v>
      </c>
      <c r="AL2322">
        <v>1</v>
      </c>
      <c r="AM2322">
        <v>1</v>
      </c>
      <c r="AN2322">
        <v>1</v>
      </c>
      <c r="AT2322">
        <v>0</v>
      </c>
      <c r="AU2322">
        <v>16</v>
      </c>
      <c r="AV2322">
        <v>417</v>
      </c>
      <c r="AW2322">
        <v>417</v>
      </c>
      <c r="AX2322">
        <v>677</v>
      </c>
      <c r="BA2322">
        <v>1</v>
      </c>
      <c r="BC2322" t="s">
        <v>4744</v>
      </c>
      <c r="BD2322" s="4">
        <v>43283.248518518521</v>
      </c>
      <c r="BE2322" s="4">
        <v>43283.271701388891</v>
      </c>
      <c r="BF2322" s="4">
        <v>43283.271701388891</v>
      </c>
      <c r="BG2322" t="s">
        <v>83</v>
      </c>
      <c r="BH2322" t="s">
        <v>84</v>
      </c>
      <c r="BI2322" t="s">
        <v>85</v>
      </c>
    </row>
    <row r="2323" spans="1:61" x14ac:dyDescent="0.3">
      <c r="A2323" t="str">
        <f>"200420C0200"</f>
        <v>200420C0200</v>
      </c>
      <c r="B2323" t="s">
        <v>4745</v>
      </c>
      <c r="C2323">
        <v>20</v>
      </c>
      <c r="D2323" t="s">
        <v>79</v>
      </c>
      <c r="E2323">
        <v>11</v>
      </c>
      <c r="F2323" t="s">
        <v>4565</v>
      </c>
      <c r="G2323">
        <v>420</v>
      </c>
      <c r="H2323">
        <v>2</v>
      </c>
      <c r="I2323" t="s">
        <v>89</v>
      </c>
      <c r="J2323">
        <v>0</v>
      </c>
      <c r="K2323">
        <v>2</v>
      </c>
      <c r="L2323">
        <v>2</v>
      </c>
      <c r="M2323">
        <v>298</v>
      </c>
      <c r="N2323">
        <v>402</v>
      </c>
      <c r="O2323">
        <v>0</v>
      </c>
      <c r="P2323">
        <v>402</v>
      </c>
      <c r="Q2323">
        <v>52</v>
      </c>
      <c r="R2323">
        <v>64</v>
      </c>
      <c r="S2323">
        <v>8</v>
      </c>
      <c r="T2323">
        <v>48</v>
      </c>
      <c r="U2323">
        <v>11</v>
      </c>
      <c r="V2323">
        <v>2</v>
      </c>
      <c r="W2323">
        <v>4</v>
      </c>
      <c r="X2323">
        <v>1</v>
      </c>
      <c r="Y2323">
        <v>173</v>
      </c>
      <c r="Z2323">
        <v>7</v>
      </c>
      <c r="AA2323">
        <v>1</v>
      </c>
      <c r="AB2323">
        <v>2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3</v>
      </c>
      <c r="AI2323">
        <v>0</v>
      </c>
      <c r="AJ2323">
        <v>0</v>
      </c>
      <c r="AK2323">
        <v>3</v>
      </c>
      <c r="AL2323">
        <v>1</v>
      </c>
      <c r="AM2323">
        <v>0</v>
      </c>
      <c r="AN2323">
        <v>3</v>
      </c>
      <c r="AT2323">
        <v>0</v>
      </c>
      <c r="AU2323">
        <v>19</v>
      </c>
      <c r="AV2323">
        <v>402</v>
      </c>
      <c r="AW2323">
        <v>402</v>
      </c>
      <c r="AX2323">
        <v>677</v>
      </c>
      <c r="BA2323">
        <v>1</v>
      </c>
      <c r="BC2323" t="s">
        <v>4746</v>
      </c>
      <c r="BD2323" s="4">
        <v>43283.2497337963</v>
      </c>
      <c r="BE2323" s="4">
        <v>43283.273402777777</v>
      </c>
      <c r="BF2323" s="4">
        <v>43283.273402777777</v>
      </c>
      <c r="BG2323" t="s">
        <v>83</v>
      </c>
      <c r="BH2323" t="s">
        <v>84</v>
      </c>
      <c r="BI2323" t="s">
        <v>85</v>
      </c>
    </row>
    <row r="2324" spans="1:61" x14ac:dyDescent="0.3">
      <c r="A2324" t="str">
        <f>"200420E0100"</f>
        <v>200420E0100</v>
      </c>
      <c r="B2324" s="2" t="s">
        <v>4747</v>
      </c>
      <c r="C2324">
        <v>20</v>
      </c>
      <c r="D2324" t="s">
        <v>79</v>
      </c>
      <c r="E2324">
        <v>11</v>
      </c>
      <c r="F2324" t="s">
        <v>4565</v>
      </c>
      <c r="G2324">
        <v>420</v>
      </c>
      <c r="H2324">
        <v>1</v>
      </c>
      <c r="I2324" t="s">
        <v>145</v>
      </c>
      <c r="J2324">
        <v>0</v>
      </c>
      <c r="K2324">
        <v>2</v>
      </c>
      <c r="L2324">
        <v>2</v>
      </c>
      <c r="M2324">
        <v>70</v>
      </c>
      <c r="N2324">
        <v>103</v>
      </c>
      <c r="O2324">
        <v>6</v>
      </c>
      <c r="P2324">
        <v>103</v>
      </c>
      <c r="Q2324">
        <v>32</v>
      </c>
      <c r="R2324">
        <v>13</v>
      </c>
      <c r="S2324">
        <v>1</v>
      </c>
      <c r="T2324">
        <v>10</v>
      </c>
      <c r="U2324">
        <v>3</v>
      </c>
      <c r="V2324">
        <v>2</v>
      </c>
      <c r="W2324">
        <v>0</v>
      </c>
      <c r="X2324">
        <v>0</v>
      </c>
      <c r="Y2324">
        <v>37</v>
      </c>
      <c r="Z2324">
        <v>1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T2324">
        <v>0</v>
      </c>
      <c r="AU2324">
        <v>4</v>
      </c>
      <c r="AV2324">
        <v>103</v>
      </c>
      <c r="AW2324">
        <v>103</v>
      </c>
      <c r="AX2324">
        <v>150</v>
      </c>
      <c r="BA2324">
        <v>1</v>
      </c>
      <c r="BC2324" t="s">
        <v>4748</v>
      </c>
      <c r="BD2324" s="4">
        <v>43283.112500000003</v>
      </c>
      <c r="BE2324" s="4">
        <v>43283.132951388892</v>
      </c>
      <c r="BF2324" s="4">
        <v>43283.132951388892</v>
      </c>
      <c r="BG2324" t="s">
        <v>83</v>
      </c>
      <c r="BH2324" t="s">
        <v>84</v>
      </c>
      <c r="BI2324" t="s">
        <v>85</v>
      </c>
    </row>
    <row r="2325" spans="1:61" x14ac:dyDescent="0.3">
      <c r="A2325" t="str">
        <f>"200421B0100"</f>
        <v>200421B0100</v>
      </c>
      <c r="B2325" t="s">
        <v>4749</v>
      </c>
      <c r="C2325">
        <v>20</v>
      </c>
      <c r="D2325" t="s">
        <v>79</v>
      </c>
      <c r="E2325">
        <v>11</v>
      </c>
      <c r="F2325" t="s">
        <v>4565</v>
      </c>
      <c r="G2325">
        <v>421</v>
      </c>
      <c r="H2325">
        <v>1</v>
      </c>
      <c r="I2325" t="s">
        <v>81</v>
      </c>
      <c r="J2325">
        <v>0</v>
      </c>
      <c r="K2325">
        <v>2</v>
      </c>
      <c r="L2325">
        <v>2</v>
      </c>
      <c r="M2325">
        <v>55</v>
      </c>
      <c r="N2325">
        <v>110</v>
      </c>
      <c r="O2325">
        <v>8</v>
      </c>
      <c r="P2325">
        <v>110</v>
      </c>
      <c r="Q2325">
        <v>6</v>
      </c>
      <c r="R2325">
        <v>25</v>
      </c>
      <c r="S2325">
        <v>5</v>
      </c>
      <c r="T2325">
        <v>14</v>
      </c>
      <c r="U2325">
        <v>1</v>
      </c>
      <c r="V2325">
        <v>10</v>
      </c>
      <c r="W2325">
        <v>1</v>
      </c>
      <c r="X2325">
        <v>0</v>
      </c>
      <c r="Y2325">
        <v>40</v>
      </c>
      <c r="Z2325">
        <v>2</v>
      </c>
      <c r="AA2325">
        <v>0</v>
      </c>
      <c r="AB2325">
        <v>0</v>
      </c>
      <c r="AC2325">
        <v>1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1</v>
      </c>
      <c r="AL2325">
        <v>0</v>
      </c>
      <c r="AM2325">
        <v>0</v>
      </c>
      <c r="AN2325">
        <v>1</v>
      </c>
      <c r="AT2325">
        <v>0</v>
      </c>
      <c r="AU2325">
        <v>3</v>
      </c>
      <c r="AV2325">
        <v>110</v>
      </c>
      <c r="AW2325">
        <v>110</v>
      </c>
      <c r="AX2325">
        <v>142</v>
      </c>
      <c r="BA2325">
        <v>1</v>
      </c>
      <c r="BC2325" t="s">
        <v>4750</v>
      </c>
      <c r="BD2325" s="4">
        <v>43283.256226851852</v>
      </c>
      <c r="BE2325" s="4">
        <v>43283.280671296299</v>
      </c>
      <c r="BF2325" s="4">
        <v>43283.280671296299</v>
      </c>
      <c r="BG2325" t="s">
        <v>83</v>
      </c>
      <c r="BH2325" t="s">
        <v>84</v>
      </c>
      <c r="BI2325" t="s">
        <v>85</v>
      </c>
    </row>
    <row r="2326" spans="1:61" x14ac:dyDescent="0.3">
      <c r="A2326" t="str">
        <f>"200661B0100"</f>
        <v>200661B0100</v>
      </c>
      <c r="B2326" t="s">
        <v>4751</v>
      </c>
      <c r="C2326">
        <v>20</v>
      </c>
      <c r="D2326" t="s">
        <v>79</v>
      </c>
      <c r="E2326">
        <v>11</v>
      </c>
      <c r="F2326" t="s">
        <v>4565</v>
      </c>
      <c r="G2326">
        <v>661</v>
      </c>
      <c r="H2326">
        <v>1</v>
      </c>
      <c r="I2326" t="s">
        <v>81</v>
      </c>
      <c r="J2326">
        <v>0</v>
      </c>
      <c r="K2326">
        <v>1</v>
      </c>
      <c r="L2326">
        <v>2</v>
      </c>
      <c r="AX2326">
        <v>514</v>
      </c>
      <c r="AZ2326" t="s">
        <v>156</v>
      </c>
      <c r="BA2326">
        <v>0</v>
      </c>
      <c r="BC2326" t="s">
        <v>4752</v>
      </c>
      <c r="BD2326" s="4">
        <v>43283.771122685182</v>
      </c>
      <c r="BE2326" s="4">
        <v>43283.773425925923</v>
      </c>
      <c r="BF2326" s="4">
        <v>43283.773425925923</v>
      </c>
      <c r="BG2326" t="s">
        <v>83</v>
      </c>
      <c r="BH2326" t="s">
        <v>84</v>
      </c>
      <c r="BI2326" t="s">
        <v>85</v>
      </c>
    </row>
    <row r="2327" spans="1:61" x14ac:dyDescent="0.3">
      <c r="A2327" t="str">
        <f>"200661C0100"</f>
        <v>200661C0100</v>
      </c>
      <c r="B2327" t="s">
        <v>4753</v>
      </c>
      <c r="C2327">
        <v>20</v>
      </c>
      <c r="D2327" t="s">
        <v>79</v>
      </c>
      <c r="E2327">
        <v>11</v>
      </c>
      <c r="F2327" t="s">
        <v>4565</v>
      </c>
      <c r="G2327">
        <v>661</v>
      </c>
      <c r="H2327">
        <v>1</v>
      </c>
      <c r="I2327" t="s">
        <v>89</v>
      </c>
      <c r="J2327">
        <v>0</v>
      </c>
      <c r="K2327">
        <v>1</v>
      </c>
      <c r="L2327">
        <v>2</v>
      </c>
      <c r="M2327">
        <v>129</v>
      </c>
      <c r="N2327">
        <v>417</v>
      </c>
      <c r="O2327">
        <v>9</v>
      </c>
      <c r="P2327">
        <v>417</v>
      </c>
      <c r="Q2327">
        <v>9</v>
      </c>
      <c r="R2327">
        <v>173</v>
      </c>
      <c r="S2327">
        <v>6</v>
      </c>
      <c r="T2327">
        <v>3</v>
      </c>
      <c r="U2327">
        <v>6</v>
      </c>
      <c r="V2327">
        <v>7</v>
      </c>
      <c r="W2327">
        <v>2</v>
      </c>
      <c r="X2327">
        <v>5</v>
      </c>
      <c r="Y2327">
        <v>165</v>
      </c>
      <c r="Z2327">
        <v>3</v>
      </c>
      <c r="AA2327">
        <v>1</v>
      </c>
      <c r="AB2327">
        <v>13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1</v>
      </c>
      <c r="AM2327">
        <v>0</v>
      </c>
      <c r="AN2327">
        <v>1</v>
      </c>
      <c r="AT2327" t="s">
        <v>100</v>
      </c>
      <c r="AU2327">
        <v>11</v>
      </c>
      <c r="AV2327">
        <v>406</v>
      </c>
      <c r="AW2327">
        <v>406</v>
      </c>
      <c r="AX2327">
        <v>513</v>
      </c>
      <c r="AZ2327" t="s">
        <v>101</v>
      </c>
      <c r="BA2327">
        <v>1</v>
      </c>
      <c r="BC2327" t="s">
        <v>4754</v>
      </c>
      <c r="BD2327" s="4">
        <v>43283.336122685185</v>
      </c>
      <c r="BE2327" s="4">
        <v>43283.352418981478</v>
      </c>
      <c r="BF2327" s="4">
        <v>43283.352418981478</v>
      </c>
      <c r="BG2327" t="s">
        <v>83</v>
      </c>
      <c r="BH2327" t="s">
        <v>84</v>
      </c>
      <c r="BI2327" t="s">
        <v>85</v>
      </c>
    </row>
    <row r="2328" spans="1:61" x14ac:dyDescent="0.3">
      <c r="A2328" t="str">
        <f>"200662B0100"</f>
        <v>200662B0100</v>
      </c>
      <c r="B2328" t="s">
        <v>4755</v>
      </c>
      <c r="C2328">
        <v>20</v>
      </c>
      <c r="D2328" t="s">
        <v>79</v>
      </c>
      <c r="E2328">
        <v>11</v>
      </c>
      <c r="F2328" t="s">
        <v>4565</v>
      </c>
      <c r="G2328">
        <v>662</v>
      </c>
      <c r="H2328">
        <v>1</v>
      </c>
      <c r="I2328" t="s">
        <v>81</v>
      </c>
      <c r="J2328">
        <v>0</v>
      </c>
      <c r="K2328">
        <v>1</v>
      </c>
      <c r="L2328">
        <v>2</v>
      </c>
      <c r="M2328" t="s">
        <v>100</v>
      </c>
      <c r="N2328" t="s">
        <v>100</v>
      </c>
      <c r="O2328" t="s">
        <v>100</v>
      </c>
      <c r="P2328" t="s">
        <v>100</v>
      </c>
      <c r="Q2328" t="s">
        <v>100</v>
      </c>
      <c r="R2328" t="s">
        <v>100</v>
      </c>
      <c r="S2328" t="s">
        <v>100</v>
      </c>
      <c r="T2328" t="s">
        <v>100</v>
      </c>
      <c r="U2328" t="s">
        <v>100</v>
      </c>
      <c r="V2328" t="s">
        <v>100</v>
      </c>
      <c r="W2328" t="s">
        <v>100</v>
      </c>
      <c r="X2328" t="s">
        <v>100</v>
      </c>
      <c r="Y2328" t="s">
        <v>100</v>
      </c>
      <c r="Z2328" t="s">
        <v>100</v>
      </c>
      <c r="AA2328" t="s">
        <v>100</v>
      </c>
      <c r="AB2328" t="s">
        <v>100</v>
      </c>
      <c r="AC2328" t="s">
        <v>100</v>
      </c>
      <c r="AD2328" t="s">
        <v>100</v>
      </c>
      <c r="AE2328" t="s">
        <v>100</v>
      </c>
      <c r="AF2328" t="s">
        <v>100</v>
      </c>
      <c r="AG2328" t="s">
        <v>100</v>
      </c>
      <c r="AH2328" t="s">
        <v>100</v>
      </c>
      <c r="AI2328" t="s">
        <v>100</v>
      </c>
      <c r="AJ2328" t="s">
        <v>100</v>
      </c>
      <c r="AK2328" t="s">
        <v>100</v>
      </c>
      <c r="AL2328" t="s">
        <v>100</v>
      </c>
      <c r="AM2328" t="s">
        <v>100</v>
      </c>
      <c r="AN2328" t="s">
        <v>100</v>
      </c>
      <c r="AT2328" t="s">
        <v>100</v>
      </c>
      <c r="AU2328" t="s">
        <v>100</v>
      </c>
      <c r="AX2328">
        <v>557</v>
      </c>
      <c r="AZ2328" t="s">
        <v>794</v>
      </c>
      <c r="BA2328">
        <v>0</v>
      </c>
      <c r="BC2328" t="s">
        <v>4756</v>
      </c>
      <c r="BD2328" s="4">
        <v>43283.678981481484</v>
      </c>
      <c r="BE2328" s="4">
        <v>43283.681504629632</v>
      </c>
      <c r="BF2328" s="4">
        <v>43283.681504629632</v>
      </c>
      <c r="BG2328" t="s">
        <v>83</v>
      </c>
      <c r="BH2328" t="s">
        <v>84</v>
      </c>
      <c r="BI2328" t="s">
        <v>85</v>
      </c>
    </row>
    <row r="2329" spans="1:61" x14ac:dyDescent="0.3">
      <c r="A2329" t="str">
        <f>"200662C0100"</f>
        <v>200662C0100</v>
      </c>
      <c r="B2329" t="s">
        <v>4757</v>
      </c>
      <c r="C2329">
        <v>20</v>
      </c>
      <c r="D2329" t="s">
        <v>79</v>
      </c>
      <c r="E2329">
        <v>11</v>
      </c>
      <c r="F2329" t="s">
        <v>4565</v>
      </c>
      <c r="G2329">
        <v>662</v>
      </c>
      <c r="H2329">
        <v>1</v>
      </c>
      <c r="I2329" t="s">
        <v>89</v>
      </c>
      <c r="J2329">
        <v>0</v>
      </c>
      <c r="K2329">
        <v>1</v>
      </c>
      <c r="L2329">
        <v>2</v>
      </c>
      <c r="M2329">
        <v>94</v>
      </c>
      <c r="N2329">
        <v>492</v>
      </c>
      <c r="O2329">
        <v>6</v>
      </c>
      <c r="P2329">
        <v>484</v>
      </c>
      <c r="Q2329">
        <v>8</v>
      </c>
      <c r="R2329">
        <v>198</v>
      </c>
      <c r="S2329">
        <v>7</v>
      </c>
      <c r="T2329">
        <v>6</v>
      </c>
      <c r="U2329">
        <v>11</v>
      </c>
      <c r="V2329">
        <v>7</v>
      </c>
      <c r="W2329">
        <v>1</v>
      </c>
      <c r="X2329">
        <v>4</v>
      </c>
      <c r="Y2329">
        <v>201</v>
      </c>
      <c r="Z2329">
        <v>5</v>
      </c>
      <c r="AA2329">
        <v>1</v>
      </c>
      <c r="AB2329">
        <v>9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2</v>
      </c>
      <c r="AI2329">
        <v>0</v>
      </c>
      <c r="AJ2329">
        <v>0</v>
      </c>
      <c r="AK2329">
        <v>1</v>
      </c>
      <c r="AL2329">
        <v>0</v>
      </c>
      <c r="AM2329">
        <v>0</v>
      </c>
      <c r="AN2329">
        <v>1</v>
      </c>
      <c r="AT2329">
        <v>0</v>
      </c>
      <c r="AU2329">
        <v>22</v>
      </c>
      <c r="AV2329">
        <v>484</v>
      </c>
      <c r="AW2329">
        <v>484</v>
      </c>
      <c r="AX2329">
        <v>556</v>
      </c>
      <c r="BA2329">
        <v>1</v>
      </c>
      <c r="BC2329" t="s">
        <v>4758</v>
      </c>
      <c r="BD2329" s="4">
        <v>43283.336597222224</v>
      </c>
      <c r="BE2329" s="4">
        <v>43283.353460648148</v>
      </c>
      <c r="BF2329" s="4">
        <v>43283.353460648148</v>
      </c>
      <c r="BG2329" t="s">
        <v>83</v>
      </c>
      <c r="BH2329" t="s">
        <v>84</v>
      </c>
      <c r="BI2329" t="s">
        <v>85</v>
      </c>
    </row>
    <row r="2330" spans="1:61" x14ac:dyDescent="0.3">
      <c r="A2330" t="str">
        <f>"201139B0100"</f>
        <v>201139B0100</v>
      </c>
      <c r="B2330" t="s">
        <v>4759</v>
      </c>
      <c r="C2330">
        <v>20</v>
      </c>
      <c r="D2330" t="s">
        <v>79</v>
      </c>
      <c r="E2330">
        <v>11</v>
      </c>
      <c r="F2330" t="s">
        <v>4565</v>
      </c>
      <c r="G2330">
        <v>1139</v>
      </c>
      <c r="H2330">
        <v>1</v>
      </c>
      <c r="I2330" t="s">
        <v>81</v>
      </c>
      <c r="J2330">
        <v>0</v>
      </c>
      <c r="K2330">
        <v>1</v>
      </c>
      <c r="L2330">
        <v>2</v>
      </c>
      <c r="M2330">
        <v>123</v>
      </c>
      <c r="N2330">
        <v>374</v>
      </c>
      <c r="O2330">
        <v>1</v>
      </c>
      <c r="P2330">
        <v>374</v>
      </c>
      <c r="Q2330">
        <v>6</v>
      </c>
      <c r="R2330">
        <v>59</v>
      </c>
      <c r="S2330">
        <v>152</v>
      </c>
      <c r="T2330">
        <v>1</v>
      </c>
      <c r="U2330">
        <v>41</v>
      </c>
      <c r="V2330">
        <v>1</v>
      </c>
      <c r="W2330">
        <v>1</v>
      </c>
      <c r="X2330">
        <v>0</v>
      </c>
      <c r="Y2330">
        <v>86</v>
      </c>
      <c r="Z2330">
        <v>2</v>
      </c>
      <c r="AA2330">
        <v>0</v>
      </c>
      <c r="AB2330">
        <v>2</v>
      </c>
      <c r="AC2330">
        <v>1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1</v>
      </c>
      <c r="AL2330">
        <v>0</v>
      </c>
      <c r="AM2330">
        <v>0</v>
      </c>
      <c r="AN2330">
        <v>1</v>
      </c>
      <c r="AT2330">
        <v>0</v>
      </c>
      <c r="AU2330">
        <v>20</v>
      </c>
      <c r="AV2330">
        <v>374</v>
      </c>
      <c r="AW2330">
        <v>374</v>
      </c>
      <c r="AX2330">
        <v>475</v>
      </c>
      <c r="BA2330">
        <v>1</v>
      </c>
      <c r="BC2330" t="s">
        <v>4760</v>
      </c>
      <c r="BD2330" s="4">
        <v>43283.236979166664</v>
      </c>
      <c r="BE2330" s="4">
        <v>43283.258599537039</v>
      </c>
      <c r="BF2330" s="4">
        <v>43283.258599537039</v>
      </c>
      <c r="BG2330" t="s">
        <v>83</v>
      </c>
      <c r="BH2330" t="s">
        <v>84</v>
      </c>
      <c r="BI2330" t="s">
        <v>85</v>
      </c>
    </row>
    <row r="2331" spans="1:61" x14ac:dyDescent="0.3">
      <c r="A2331" t="str">
        <f>"201139C0100"</f>
        <v>201139C0100</v>
      </c>
      <c r="B2331" t="s">
        <v>4761</v>
      </c>
      <c r="C2331">
        <v>20</v>
      </c>
      <c r="D2331" t="s">
        <v>79</v>
      </c>
      <c r="E2331">
        <v>11</v>
      </c>
      <c r="F2331" t="s">
        <v>4565</v>
      </c>
      <c r="G2331">
        <v>1139</v>
      </c>
      <c r="H2331">
        <v>1</v>
      </c>
      <c r="I2331" t="s">
        <v>89</v>
      </c>
      <c r="J2331">
        <v>0</v>
      </c>
      <c r="K2331">
        <v>1</v>
      </c>
      <c r="L2331">
        <v>2</v>
      </c>
      <c r="M2331">
        <v>129</v>
      </c>
      <c r="N2331">
        <v>368</v>
      </c>
      <c r="O2331">
        <v>0</v>
      </c>
      <c r="P2331">
        <v>368</v>
      </c>
      <c r="Q2331">
        <v>1</v>
      </c>
      <c r="R2331">
        <v>67</v>
      </c>
      <c r="S2331">
        <v>176</v>
      </c>
      <c r="T2331">
        <v>2</v>
      </c>
      <c r="U2331">
        <v>28</v>
      </c>
      <c r="V2331">
        <v>1</v>
      </c>
      <c r="W2331">
        <v>1</v>
      </c>
      <c r="X2331">
        <v>1</v>
      </c>
      <c r="Y2331">
        <v>70</v>
      </c>
      <c r="Z2331">
        <v>1</v>
      </c>
      <c r="AA2331" t="s">
        <v>100</v>
      </c>
      <c r="AB2331" t="s">
        <v>100</v>
      </c>
      <c r="AC2331">
        <v>1</v>
      </c>
      <c r="AD2331" t="s">
        <v>100</v>
      </c>
      <c r="AE2331" t="s">
        <v>100</v>
      </c>
      <c r="AF2331" t="s">
        <v>100</v>
      </c>
      <c r="AG2331" t="s">
        <v>100</v>
      </c>
      <c r="AH2331">
        <v>2</v>
      </c>
      <c r="AI2331" t="s">
        <v>100</v>
      </c>
      <c r="AJ2331" t="s">
        <v>100</v>
      </c>
      <c r="AK2331">
        <v>1</v>
      </c>
      <c r="AL2331">
        <v>2</v>
      </c>
      <c r="AM2331" t="s">
        <v>100</v>
      </c>
      <c r="AN2331" t="s">
        <v>100</v>
      </c>
      <c r="AT2331" t="s">
        <v>100</v>
      </c>
      <c r="AU2331">
        <v>14</v>
      </c>
      <c r="AV2331">
        <v>368</v>
      </c>
      <c r="AW2331">
        <v>368</v>
      </c>
      <c r="AX2331">
        <v>475</v>
      </c>
      <c r="AZ2331" t="s">
        <v>101</v>
      </c>
      <c r="BA2331">
        <v>1</v>
      </c>
      <c r="BC2331" t="s">
        <v>4762</v>
      </c>
      <c r="BD2331" s="4">
        <v>43283.236273148148</v>
      </c>
      <c r="BE2331" s="4">
        <v>43283.2580787037</v>
      </c>
      <c r="BF2331" s="4">
        <v>43283.2580787037</v>
      </c>
      <c r="BG2331" t="s">
        <v>83</v>
      </c>
      <c r="BH2331" t="s">
        <v>84</v>
      </c>
      <c r="BI2331" t="s">
        <v>85</v>
      </c>
    </row>
    <row r="2332" spans="1:61" x14ac:dyDescent="0.3">
      <c r="A2332" t="str">
        <f>"201140B0100"</f>
        <v>201140B0100</v>
      </c>
      <c r="B2332" t="s">
        <v>4763</v>
      </c>
      <c r="C2332">
        <v>20</v>
      </c>
      <c r="D2332" t="s">
        <v>79</v>
      </c>
      <c r="E2332">
        <v>11</v>
      </c>
      <c r="F2332" t="s">
        <v>4565</v>
      </c>
      <c r="G2332">
        <v>1140</v>
      </c>
      <c r="H2332">
        <v>1</v>
      </c>
      <c r="I2332" t="s">
        <v>81</v>
      </c>
      <c r="J2332">
        <v>0</v>
      </c>
      <c r="K2332">
        <v>1</v>
      </c>
      <c r="L2332">
        <v>2</v>
      </c>
      <c r="M2332">
        <v>117</v>
      </c>
      <c r="N2332">
        <v>398</v>
      </c>
      <c r="O2332">
        <v>2</v>
      </c>
      <c r="P2332">
        <v>398</v>
      </c>
      <c r="Q2332">
        <v>2</v>
      </c>
      <c r="R2332">
        <v>73</v>
      </c>
      <c r="S2332">
        <v>171</v>
      </c>
      <c r="T2332">
        <v>5</v>
      </c>
      <c r="U2332">
        <v>54</v>
      </c>
      <c r="V2332">
        <v>0</v>
      </c>
      <c r="W2332">
        <v>1</v>
      </c>
      <c r="X2332">
        <v>0</v>
      </c>
      <c r="Y2332">
        <v>71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2</v>
      </c>
      <c r="AH2332">
        <v>0</v>
      </c>
      <c r="AI2332">
        <v>0</v>
      </c>
      <c r="AJ2332">
        <v>0</v>
      </c>
      <c r="AK2332">
        <v>3</v>
      </c>
      <c r="AL2332">
        <v>0</v>
      </c>
      <c r="AM2332">
        <v>0</v>
      </c>
      <c r="AN2332">
        <v>0</v>
      </c>
      <c r="AT2332">
        <v>0</v>
      </c>
      <c r="AU2332">
        <v>16</v>
      </c>
      <c r="AV2332">
        <v>398</v>
      </c>
      <c r="AW2332">
        <v>398</v>
      </c>
      <c r="AX2332">
        <v>493</v>
      </c>
      <c r="BA2332">
        <v>1</v>
      </c>
      <c r="BC2332" t="s">
        <v>4764</v>
      </c>
      <c r="BD2332" s="4">
        <v>43283.243368055555</v>
      </c>
      <c r="BE2332" s="4">
        <v>43283.265601851854</v>
      </c>
      <c r="BF2332" s="4">
        <v>43283.265601851854</v>
      </c>
      <c r="BG2332" t="s">
        <v>83</v>
      </c>
      <c r="BH2332" t="s">
        <v>84</v>
      </c>
      <c r="BI2332" t="s">
        <v>85</v>
      </c>
    </row>
    <row r="2333" spans="1:61" x14ac:dyDescent="0.3">
      <c r="A2333" t="str">
        <f>"201140C0100"</f>
        <v>201140C0100</v>
      </c>
      <c r="B2333" t="s">
        <v>4765</v>
      </c>
      <c r="C2333">
        <v>20</v>
      </c>
      <c r="D2333" t="s">
        <v>79</v>
      </c>
      <c r="E2333">
        <v>11</v>
      </c>
      <c r="F2333" t="s">
        <v>4565</v>
      </c>
      <c r="G2333">
        <v>1140</v>
      </c>
      <c r="H2333">
        <v>1</v>
      </c>
      <c r="I2333" t="s">
        <v>89</v>
      </c>
      <c r="J2333">
        <v>0</v>
      </c>
      <c r="K2333">
        <v>1</v>
      </c>
      <c r="L2333">
        <v>2</v>
      </c>
      <c r="M2333">
        <v>127</v>
      </c>
      <c r="N2333">
        <v>388</v>
      </c>
      <c r="O2333">
        <v>2</v>
      </c>
      <c r="P2333">
        <v>388</v>
      </c>
      <c r="Q2333">
        <v>4</v>
      </c>
      <c r="R2333">
        <v>46</v>
      </c>
      <c r="S2333">
        <v>178</v>
      </c>
      <c r="T2333">
        <v>5</v>
      </c>
      <c r="U2333">
        <v>62</v>
      </c>
      <c r="V2333">
        <v>0</v>
      </c>
      <c r="W2333">
        <v>0</v>
      </c>
      <c r="X2333">
        <v>1</v>
      </c>
      <c r="Y2333">
        <v>64</v>
      </c>
      <c r="Z2333">
        <v>3</v>
      </c>
      <c r="AA2333">
        <v>0</v>
      </c>
      <c r="AB2333">
        <v>0</v>
      </c>
      <c r="AC2333">
        <v>1</v>
      </c>
      <c r="AD2333">
        <v>2</v>
      </c>
      <c r="AE2333">
        <v>0</v>
      </c>
      <c r="AF2333">
        <v>0</v>
      </c>
      <c r="AG2333">
        <v>1</v>
      </c>
      <c r="AH2333">
        <v>1</v>
      </c>
      <c r="AI2333">
        <v>0</v>
      </c>
      <c r="AJ2333">
        <v>0</v>
      </c>
      <c r="AK2333">
        <v>1</v>
      </c>
      <c r="AL2333">
        <v>1</v>
      </c>
      <c r="AM2333">
        <v>0</v>
      </c>
      <c r="AN2333">
        <v>0</v>
      </c>
      <c r="AT2333">
        <v>0</v>
      </c>
      <c r="AU2333">
        <v>18</v>
      </c>
      <c r="AV2333">
        <v>388</v>
      </c>
      <c r="AW2333">
        <v>388</v>
      </c>
      <c r="AX2333">
        <v>493</v>
      </c>
      <c r="BA2333">
        <v>1</v>
      </c>
      <c r="BC2333" t="s">
        <v>4766</v>
      </c>
      <c r="BD2333" s="4">
        <v>43283.242361111108</v>
      </c>
      <c r="BE2333" s="4">
        <v>43283.264745370368</v>
      </c>
      <c r="BF2333" s="4">
        <v>43283.264745370368</v>
      </c>
      <c r="BG2333" t="s">
        <v>83</v>
      </c>
      <c r="BH2333" t="s">
        <v>84</v>
      </c>
      <c r="BI2333" t="s">
        <v>85</v>
      </c>
    </row>
    <row r="2334" spans="1:61" x14ac:dyDescent="0.3">
      <c r="A2334" t="str">
        <f>"201141B0100"</f>
        <v>201141B0100</v>
      </c>
      <c r="B2334" t="s">
        <v>4767</v>
      </c>
      <c r="C2334">
        <v>20</v>
      </c>
      <c r="D2334" t="s">
        <v>79</v>
      </c>
      <c r="E2334">
        <v>11</v>
      </c>
      <c r="F2334" t="s">
        <v>4565</v>
      </c>
      <c r="G2334">
        <v>1141</v>
      </c>
      <c r="H2334">
        <v>1</v>
      </c>
      <c r="I2334" t="s">
        <v>81</v>
      </c>
      <c r="J2334">
        <v>0</v>
      </c>
      <c r="K2334">
        <v>1</v>
      </c>
      <c r="L2334">
        <v>2</v>
      </c>
      <c r="M2334">
        <v>141</v>
      </c>
      <c r="N2334">
        <v>469</v>
      </c>
      <c r="O2334">
        <v>2</v>
      </c>
      <c r="P2334">
        <v>469</v>
      </c>
      <c r="Q2334">
        <v>1</v>
      </c>
      <c r="R2334">
        <v>57</v>
      </c>
      <c r="S2334">
        <v>257</v>
      </c>
      <c r="T2334">
        <v>1</v>
      </c>
      <c r="U2334">
        <v>58</v>
      </c>
      <c r="V2334">
        <v>0</v>
      </c>
      <c r="W2334">
        <v>3</v>
      </c>
      <c r="X2334">
        <v>1</v>
      </c>
      <c r="Y2334">
        <v>66</v>
      </c>
      <c r="Z2334">
        <v>2</v>
      </c>
      <c r="AA2334">
        <v>1</v>
      </c>
      <c r="AB2334">
        <v>0</v>
      </c>
      <c r="AC2334">
        <v>1</v>
      </c>
      <c r="AD2334">
        <v>1</v>
      </c>
      <c r="AE2334">
        <v>0</v>
      </c>
      <c r="AF2334">
        <v>0</v>
      </c>
      <c r="AG2334">
        <v>1</v>
      </c>
      <c r="AH2334">
        <v>0</v>
      </c>
      <c r="AI2334">
        <v>0</v>
      </c>
      <c r="AJ2334">
        <v>0</v>
      </c>
      <c r="AK2334">
        <v>0</v>
      </c>
      <c r="AL2334">
        <v>1</v>
      </c>
      <c r="AM2334">
        <v>0</v>
      </c>
      <c r="AN2334">
        <v>0</v>
      </c>
      <c r="AT2334">
        <v>0</v>
      </c>
      <c r="AU2334">
        <v>18</v>
      </c>
      <c r="AV2334">
        <v>469</v>
      </c>
      <c r="AW2334">
        <v>469</v>
      </c>
      <c r="AX2334">
        <v>588</v>
      </c>
      <c r="BA2334">
        <v>1</v>
      </c>
      <c r="BC2334" t="s">
        <v>4768</v>
      </c>
      <c r="BD2334" s="4">
        <v>43283.240520833337</v>
      </c>
      <c r="BE2334" s="4">
        <v>43283.262650462966</v>
      </c>
      <c r="BF2334" s="4">
        <v>43283.262650462966</v>
      </c>
      <c r="BG2334" t="s">
        <v>83</v>
      </c>
      <c r="BH2334" t="s">
        <v>84</v>
      </c>
      <c r="BI2334" t="s">
        <v>85</v>
      </c>
    </row>
    <row r="2335" spans="1:61" x14ac:dyDescent="0.3">
      <c r="A2335" t="str">
        <f>"201141C0100"</f>
        <v>201141C0100</v>
      </c>
      <c r="B2335" t="s">
        <v>4769</v>
      </c>
      <c r="C2335">
        <v>20</v>
      </c>
      <c r="D2335" t="s">
        <v>79</v>
      </c>
      <c r="E2335">
        <v>11</v>
      </c>
      <c r="F2335" t="s">
        <v>4565</v>
      </c>
      <c r="G2335">
        <v>1141</v>
      </c>
      <c r="H2335">
        <v>1</v>
      </c>
      <c r="I2335" t="s">
        <v>89</v>
      </c>
      <c r="J2335">
        <v>0</v>
      </c>
      <c r="K2335">
        <v>1</v>
      </c>
      <c r="L2335">
        <v>2</v>
      </c>
      <c r="M2335">
        <v>138</v>
      </c>
      <c r="N2335">
        <v>471</v>
      </c>
      <c r="O2335">
        <v>3</v>
      </c>
      <c r="P2335">
        <v>471</v>
      </c>
      <c r="Q2335">
        <v>3</v>
      </c>
      <c r="R2335">
        <v>56</v>
      </c>
      <c r="S2335">
        <v>213</v>
      </c>
      <c r="T2335">
        <v>5</v>
      </c>
      <c r="U2335">
        <v>57</v>
      </c>
      <c r="V2335">
        <v>0</v>
      </c>
      <c r="W2335">
        <v>1</v>
      </c>
      <c r="X2335">
        <v>0</v>
      </c>
      <c r="Y2335">
        <v>107</v>
      </c>
      <c r="Z2335">
        <v>2</v>
      </c>
      <c r="AA2335">
        <v>0</v>
      </c>
      <c r="AB2335">
        <v>2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3</v>
      </c>
      <c r="AL2335">
        <v>2</v>
      </c>
      <c r="AM2335">
        <v>0</v>
      </c>
      <c r="AN2335">
        <v>0</v>
      </c>
      <c r="AT2335">
        <v>0</v>
      </c>
      <c r="AU2335">
        <v>20</v>
      </c>
      <c r="AV2335">
        <v>471</v>
      </c>
      <c r="AW2335">
        <v>471</v>
      </c>
      <c r="AX2335">
        <v>587</v>
      </c>
      <c r="BA2335">
        <v>1</v>
      </c>
      <c r="BC2335" t="s">
        <v>4770</v>
      </c>
      <c r="BD2335" s="4">
        <v>43283.252384259256</v>
      </c>
      <c r="BE2335" s="4">
        <v>43283.277233796296</v>
      </c>
      <c r="BF2335" s="4">
        <v>43283.277233796296</v>
      </c>
      <c r="BG2335" t="s">
        <v>83</v>
      </c>
      <c r="BH2335" t="s">
        <v>84</v>
      </c>
      <c r="BI2335" t="s">
        <v>85</v>
      </c>
    </row>
    <row r="2336" spans="1:61" x14ac:dyDescent="0.3">
      <c r="A2336" t="str">
        <f>"201142B0100"</f>
        <v>201142B0100</v>
      </c>
      <c r="B2336" t="s">
        <v>4771</v>
      </c>
      <c r="C2336">
        <v>20</v>
      </c>
      <c r="D2336" t="s">
        <v>79</v>
      </c>
      <c r="E2336">
        <v>11</v>
      </c>
      <c r="F2336" t="s">
        <v>4565</v>
      </c>
      <c r="G2336">
        <v>1142</v>
      </c>
      <c r="H2336">
        <v>1</v>
      </c>
      <c r="I2336" t="s">
        <v>81</v>
      </c>
      <c r="J2336">
        <v>0</v>
      </c>
      <c r="K2336">
        <v>1</v>
      </c>
      <c r="L2336">
        <v>2</v>
      </c>
      <c r="M2336">
        <v>104</v>
      </c>
      <c r="N2336">
        <v>341</v>
      </c>
      <c r="O2336">
        <v>2</v>
      </c>
      <c r="P2336">
        <v>341</v>
      </c>
      <c r="Q2336">
        <v>3</v>
      </c>
      <c r="R2336">
        <v>25</v>
      </c>
      <c r="S2336">
        <v>188</v>
      </c>
      <c r="T2336">
        <v>0</v>
      </c>
      <c r="U2336">
        <v>28</v>
      </c>
      <c r="V2336">
        <v>2</v>
      </c>
      <c r="W2336">
        <v>6</v>
      </c>
      <c r="X2336">
        <v>0</v>
      </c>
      <c r="Y2336">
        <v>82</v>
      </c>
      <c r="Z2336">
        <v>2</v>
      </c>
      <c r="AA2336">
        <v>0</v>
      </c>
      <c r="AB2336">
        <v>1</v>
      </c>
      <c r="AC2336">
        <v>0</v>
      </c>
      <c r="AD2336">
        <v>0</v>
      </c>
      <c r="AE2336">
        <v>0</v>
      </c>
      <c r="AF2336">
        <v>0</v>
      </c>
      <c r="AG2336">
        <v>1</v>
      </c>
      <c r="AH2336">
        <v>0</v>
      </c>
      <c r="AI2336">
        <v>0</v>
      </c>
      <c r="AJ2336">
        <v>0</v>
      </c>
      <c r="AK2336">
        <v>1</v>
      </c>
      <c r="AL2336">
        <v>0</v>
      </c>
      <c r="AM2336">
        <v>0</v>
      </c>
      <c r="AN2336">
        <v>0</v>
      </c>
      <c r="AT2336">
        <v>0</v>
      </c>
      <c r="AU2336">
        <v>2</v>
      </c>
      <c r="AV2336">
        <v>341</v>
      </c>
      <c r="AW2336">
        <v>341</v>
      </c>
      <c r="AX2336">
        <v>423</v>
      </c>
      <c r="BA2336">
        <v>1</v>
      </c>
      <c r="BC2336" t="s">
        <v>4772</v>
      </c>
      <c r="BD2336" s="4">
        <v>43283.322488425925</v>
      </c>
      <c r="BE2336" s="4">
        <v>43283.3437962963</v>
      </c>
      <c r="BF2336" s="4">
        <v>43283.3437962963</v>
      </c>
      <c r="BG2336" t="s">
        <v>83</v>
      </c>
      <c r="BH2336" t="s">
        <v>84</v>
      </c>
      <c r="BI2336" t="s">
        <v>85</v>
      </c>
    </row>
    <row r="2337" spans="1:61" x14ac:dyDescent="0.3">
      <c r="A2337" t="str">
        <f>"201142E0100"</f>
        <v>201142E0100</v>
      </c>
      <c r="B2337" s="2" t="s">
        <v>4773</v>
      </c>
      <c r="C2337">
        <v>20</v>
      </c>
      <c r="D2337" t="s">
        <v>79</v>
      </c>
      <c r="E2337">
        <v>11</v>
      </c>
      <c r="F2337" t="s">
        <v>4565</v>
      </c>
      <c r="G2337">
        <v>1142</v>
      </c>
      <c r="H2337">
        <v>1</v>
      </c>
      <c r="I2337" t="s">
        <v>145</v>
      </c>
      <c r="J2337">
        <v>0</v>
      </c>
      <c r="K2337">
        <v>2</v>
      </c>
      <c r="L2337">
        <v>2</v>
      </c>
      <c r="M2337">
        <v>137</v>
      </c>
      <c r="N2337">
        <v>431</v>
      </c>
      <c r="O2337">
        <v>0</v>
      </c>
      <c r="P2337">
        <v>431</v>
      </c>
      <c r="Q2337">
        <v>1</v>
      </c>
      <c r="R2337">
        <v>65</v>
      </c>
      <c r="S2337">
        <v>167</v>
      </c>
      <c r="T2337">
        <v>1</v>
      </c>
      <c r="U2337">
        <v>19</v>
      </c>
      <c r="V2337">
        <v>1</v>
      </c>
      <c r="W2337">
        <v>18</v>
      </c>
      <c r="X2337">
        <v>0</v>
      </c>
      <c r="Y2337">
        <v>153</v>
      </c>
      <c r="Z2337">
        <v>3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T2337">
        <v>0</v>
      </c>
      <c r="AU2337">
        <v>3</v>
      </c>
      <c r="AV2337">
        <v>431</v>
      </c>
      <c r="AW2337">
        <v>431</v>
      </c>
      <c r="AX2337">
        <v>546</v>
      </c>
      <c r="BA2337">
        <v>1</v>
      </c>
      <c r="BC2337" t="s">
        <v>4774</v>
      </c>
      <c r="BD2337" s="4">
        <v>43283.322951388887</v>
      </c>
      <c r="BE2337" s="4">
        <v>43283.365879629629</v>
      </c>
      <c r="BF2337" s="4">
        <v>43283.365879629629</v>
      </c>
      <c r="BG2337" t="s">
        <v>83</v>
      </c>
      <c r="BH2337" t="s">
        <v>84</v>
      </c>
      <c r="BI2337" t="s">
        <v>85</v>
      </c>
    </row>
    <row r="2338" spans="1:61" x14ac:dyDescent="0.3">
      <c r="A2338" t="str">
        <f>"201142E0101"</f>
        <v>201142E0101</v>
      </c>
      <c r="B2338" s="2" t="s">
        <v>4775</v>
      </c>
      <c r="C2338">
        <v>20</v>
      </c>
      <c r="D2338" t="s">
        <v>79</v>
      </c>
      <c r="E2338">
        <v>11</v>
      </c>
      <c r="F2338" t="s">
        <v>4565</v>
      </c>
      <c r="G2338">
        <v>1142</v>
      </c>
      <c r="H2338">
        <v>1</v>
      </c>
      <c r="I2338" t="s">
        <v>145</v>
      </c>
      <c r="J2338">
        <v>1</v>
      </c>
      <c r="K2338">
        <v>2</v>
      </c>
      <c r="L2338">
        <v>2</v>
      </c>
      <c r="M2338">
        <v>119</v>
      </c>
      <c r="N2338">
        <v>449</v>
      </c>
      <c r="O2338">
        <v>0</v>
      </c>
      <c r="P2338">
        <v>449</v>
      </c>
      <c r="Q2338">
        <v>0</v>
      </c>
      <c r="R2338">
        <v>59</v>
      </c>
      <c r="S2338">
        <v>209</v>
      </c>
      <c r="T2338">
        <v>1</v>
      </c>
      <c r="U2338">
        <v>22</v>
      </c>
      <c r="V2338">
        <v>0</v>
      </c>
      <c r="W2338">
        <v>18</v>
      </c>
      <c r="X2338">
        <v>0</v>
      </c>
      <c r="Y2338">
        <v>137</v>
      </c>
      <c r="Z2338">
        <v>2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T2338">
        <v>0</v>
      </c>
      <c r="AU2338">
        <v>1</v>
      </c>
      <c r="AV2338">
        <v>449</v>
      </c>
      <c r="AW2338">
        <v>449</v>
      </c>
      <c r="AX2338">
        <v>546</v>
      </c>
      <c r="BA2338">
        <v>1</v>
      </c>
      <c r="BC2338" t="s">
        <v>4776</v>
      </c>
      <c r="BD2338" s="4">
        <v>43283.325949074075</v>
      </c>
      <c r="BE2338" s="4">
        <v>43283.345011574071</v>
      </c>
      <c r="BF2338" s="4">
        <v>43283.345011574071</v>
      </c>
      <c r="BG2338" t="s">
        <v>83</v>
      </c>
      <c r="BH2338" t="s">
        <v>84</v>
      </c>
      <c r="BI2338" t="s">
        <v>85</v>
      </c>
    </row>
    <row r="2339" spans="1:61" x14ac:dyDescent="0.3">
      <c r="A2339" t="str">
        <f>"201143B0100"</f>
        <v>201143B0100</v>
      </c>
      <c r="B2339" t="s">
        <v>4777</v>
      </c>
      <c r="C2339">
        <v>20</v>
      </c>
      <c r="D2339" t="s">
        <v>79</v>
      </c>
      <c r="E2339">
        <v>11</v>
      </c>
      <c r="F2339" t="s">
        <v>4565</v>
      </c>
      <c r="G2339">
        <v>1143</v>
      </c>
      <c r="H2339">
        <v>1</v>
      </c>
      <c r="I2339" t="s">
        <v>81</v>
      </c>
      <c r="J2339">
        <v>0</v>
      </c>
      <c r="K2339">
        <v>2</v>
      </c>
      <c r="L2339">
        <v>2</v>
      </c>
      <c r="M2339">
        <v>74</v>
      </c>
      <c r="N2339">
        <v>166</v>
      </c>
      <c r="O2339">
        <v>0</v>
      </c>
      <c r="P2339">
        <v>166</v>
      </c>
      <c r="Q2339">
        <v>1</v>
      </c>
      <c r="R2339">
        <v>15</v>
      </c>
      <c r="S2339">
        <v>64</v>
      </c>
      <c r="T2339">
        <v>7</v>
      </c>
      <c r="U2339">
        <v>12</v>
      </c>
      <c r="V2339">
        <v>1</v>
      </c>
      <c r="W2339">
        <v>1</v>
      </c>
      <c r="X2339">
        <v>7</v>
      </c>
      <c r="Y2339">
        <v>38</v>
      </c>
      <c r="Z2339">
        <v>1</v>
      </c>
      <c r="AA2339">
        <v>1</v>
      </c>
      <c r="AB2339">
        <v>3</v>
      </c>
      <c r="AC2339">
        <v>0</v>
      </c>
      <c r="AD2339">
        <v>0</v>
      </c>
      <c r="AE2339">
        <v>0</v>
      </c>
      <c r="AF2339">
        <v>0</v>
      </c>
      <c r="AG2339">
        <v>2</v>
      </c>
      <c r="AH2339">
        <v>2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T2339">
        <v>0</v>
      </c>
      <c r="AU2339">
        <v>11</v>
      </c>
      <c r="AV2339">
        <v>166</v>
      </c>
      <c r="AW2339">
        <v>166</v>
      </c>
      <c r="AX2339">
        <v>218</v>
      </c>
      <c r="BA2339">
        <v>1</v>
      </c>
      <c r="BC2339" t="s">
        <v>4778</v>
      </c>
      <c r="BD2339" s="4">
        <v>43283.254270833335</v>
      </c>
      <c r="BE2339" s="4">
        <v>43283.27921296296</v>
      </c>
      <c r="BF2339" s="4">
        <v>43283.27921296296</v>
      </c>
      <c r="BG2339" t="s">
        <v>83</v>
      </c>
      <c r="BH2339" t="s">
        <v>84</v>
      </c>
      <c r="BI2339" t="s">
        <v>85</v>
      </c>
    </row>
    <row r="2340" spans="1:61" x14ac:dyDescent="0.3">
      <c r="A2340" t="str">
        <f>"201143E0100"</f>
        <v>201143E0100</v>
      </c>
      <c r="B2340" s="2" t="s">
        <v>4779</v>
      </c>
      <c r="C2340">
        <v>20</v>
      </c>
      <c r="D2340" t="s">
        <v>79</v>
      </c>
      <c r="E2340">
        <v>11</v>
      </c>
      <c r="F2340" t="s">
        <v>4565</v>
      </c>
      <c r="G2340">
        <v>1143</v>
      </c>
      <c r="H2340">
        <v>1</v>
      </c>
      <c r="I2340" t="s">
        <v>145</v>
      </c>
      <c r="J2340">
        <v>0</v>
      </c>
      <c r="K2340">
        <v>2</v>
      </c>
      <c r="L2340">
        <v>2</v>
      </c>
      <c r="M2340">
        <v>83</v>
      </c>
      <c r="N2340">
        <v>185</v>
      </c>
      <c r="O2340">
        <v>0</v>
      </c>
      <c r="P2340">
        <v>185</v>
      </c>
      <c r="Q2340">
        <v>11</v>
      </c>
      <c r="R2340">
        <v>22</v>
      </c>
      <c r="S2340">
        <v>97</v>
      </c>
      <c r="T2340">
        <v>1</v>
      </c>
      <c r="U2340">
        <v>7</v>
      </c>
      <c r="V2340">
        <v>33</v>
      </c>
      <c r="W2340">
        <v>0</v>
      </c>
      <c r="X2340">
        <v>0</v>
      </c>
      <c r="Y2340">
        <v>5</v>
      </c>
      <c r="Z2340">
        <v>1</v>
      </c>
      <c r="AA2340">
        <v>0</v>
      </c>
      <c r="AB2340">
        <v>0</v>
      </c>
      <c r="AC2340">
        <v>1</v>
      </c>
      <c r="AD2340">
        <v>1</v>
      </c>
      <c r="AE2340">
        <v>0</v>
      </c>
      <c r="AF2340">
        <v>2</v>
      </c>
      <c r="AG2340">
        <v>0</v>
      </c>
      <c r="AH2340">
        <v>2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T2340">
        <v>0</v>
      </c>
      <c r="AU2340">
        <v>2</v>
      </c>
      <c r="AV2340">
        <v>185</v>
      </c>
      <c r="AW2340">
        <v>185</v>
      </c>
      <c r="AX2340">
        <v>246</v>
      </c>
      <c r="BA2340">
        <v>1</v>
      </c>
      <c r="BC2340" t="s">
        <v>4780</v>
      </c>
      <c r="BD2340" s="4">
        <v>43283.15625</v>
      </c>
      <c r="BE2340" s="4">
        <v>43283.166921296295</v>
      </c>
      <c r="BF2340" s="4">
        <v>43283.166921296295</v>
      </c>
      <c r="BG2340" t="s">
        <v>83</v>
      </c>
      <c r="BH2340" t="s">
        <v>84</v>
      </c>
      <c r="BI2340" t="s">
        <v>85</v>
      </c>
    </row>
    <row r="2341" spans="1:61" x14ac:dyDescent="0.3">
      <c r="A2341" t="str">
        <f>"201143E0200"</f>
        <v>201143E0200</v>
      </c>
      <c r="B2341" s="2" t="s">
        <v>4781</v>
      </c>
      <c r="C2341">
        <v>20</v>
      </c>
      <c r="D2341" t="s">
        <v>79</v>
      </c>
      <c r="E2341">
        <v>11</v>
      </c>
      <c r="F2341" t="s">
        <v>4565</v>
      </c>
      <c r="G2341">
        <v>1143</v>
      </c>
      <c r="H2341">
        <v>2</v>
      </c>
      <c r="I2341" t="s">
        <v>145</v>
      </c>
      <c r="J2341">
        <v>0</v>
      </c>
      <c r="K2341">
        <v>2</v>
      </c>
      <c r="L2341">
        <v>2</v>
      </c>
      <c r="M2341">
        <v>45</v>
      </c>
      <c r="N2341">
        <v>77</v>
      </c>
      <c r="O2341">
        <v>4</v>
      </c>
      <c r="P2341">
        <v>75</v>
      </c>
      <c r="Q2341">
        <v>3</v>
      </c>
      <c r="R2341">
        <v>30</v>
      </c>
      <c r="S2341">
        <v>13</v>
      </c>
      <c r="T2341">
        <v>3</v>
      </c>
      <c r="U2341">
        <v>4</v>
      </c>
      <c r="V2341">
        <v>0</v>
      </c>
      <c r="W2341">
        <v>0</v>
      </c>
      <c r="X2341">
        <v>2</v>
      </c>
      <c r="Y2341">
        <v>14</v>
      </c>
      <c r="Z2341">
        <v>1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3</v>
      </c>
      <c r="AI2341">
        <v>0</v>
      </c>
      <c r="AJ2341">
        <v>0</v>
      </c>
      <c r="AK2341">
        <v>1</v>
      </c>
      <c r="AL2341">
        <v>0</v>
      </c>
      <c r="AM2341">
        <v>0</v>
      </c>
      <c r="AN2341">
        <v>0</v>
      </c>
      <c r="AT2341">
        <v>0</v>
      </c>
      <c r="AU2341">
        <v>1</v>
      </c>
      <c r="AV2341">
        <v>75</v>
      </c>
      <c r="AW2341">
        <v>75</v>
      </c>
      <c r="AX2341">
        <v>98</v>
      </c>
      <c r="BA2341">
        <v>1</v>
      </c>
      <c r="BC2341" t="s">
        <v>4782</v>
      </c>
      <c r="BD2341" s="4">
        <v>43283.125694444447</v>
      </c>
      <c r="BE2341" s="4">
        <v>43283.129259259258</v>
      </c>
      <c r="BF2341" s="4">
        <v>43283.129259259258</v>
      </c>
      <c r="BG2341" t="s">
        <v>83</v>
      </c>
      <c r="BH2341" t="s">
        <v>84</v>
      </c>
      <c r="BI2341" t="s">
        <v>85</v>
      </c>
    </row>
    <row r="2342" spans="1:61" x14ac:dyDescent="0.3">
      <c r="A2342" t="str">
        <f>"201144B0100"</f>
        <v>201144B0100</v>
      </c>
      <c r="B2342" t="s">
        <v>4783</v>
      </c>
      <c r="C2342">
        <v>20</v>
      </c>
      <c r="D2342" t="s">
        <v>79</v>
      </c>
      <c r="E2342">
        <v>11</v>
      </c>
      <c r="F2342" t="s">
        <v>4565</v>
      </c>
      <c r="G2342">
        <v>1144</v>
      </c>
      <c r="H2342">
        <v>1</v>
      </c>
      <c r="I2342" t="s">
        <v>81</v>
      </c>
      <c r="J2342">
        <v>0</v>
      </c>
      <c r="K2342">
        <v>2</v>
      </c>
      <c r="L2342">
        <v>2</v>
      </c>
      <c r="M2342">
        <v>132</v>
      </c>
      <c r="N2342">
        <v>268</v>
      </c>
      <c r="O2342">
        <v>0</v>
      </c>
      <c r="P2342">
        <v>268</v>
      </c>
      <c r="Q2342">
        <v>21</v>
      </c>
      <c r="R2342">
        <v>14</v>
      </c>
      <c r="S2342">
        <v>136</v>
      </c>
      <c r="T2342">
        <v>7</v>
      </c>
      <c r="U2342">
        <v>11</v>
      </c>
      <c r="V2342">
        <v>17</v>
      </c>
      <c r="W2342">
        <v>1</v>
      </c>
      <c r="X2342">
        <v>1</v>
      </c>
      <c r="Y2342">
        <v>43</v>
      </c>
      <c r="Z2342">
        <v>1</v>
      </c>
      <c r="AA2342" t="s">
        <v>100</v>
      </c>
      <c r="AB2342" t="s">
        <v>100</v>
      </c>
      <c r="AC2342">
        <v>2</v>
      </c>
      <c r="AD2342">
        <v>1</v>
      </c>
      <c r="AE2342" t="s">
        <v>100</v>
      </c>
      <c r="AF2342" t="s">
        <v>100</v>
      </c>
      <c r="AG2342" t="s">
        <v>100</v>
      </c>
      <c r="AH2342" t="s">
        <v>100</v>
      </c>
      <c r="AI2342" t="s">
        <v>100</v>
      </c>
      <c r="AJ2342" t="s">
        <v>100</v>
      </c>
      <c r="AK2342">
        <v>1</v>
      </c>
      <c r="AL2342" t="s">
        <v>100</v>
      </c>
      <c r="AM2342" t="s">
        <v>100</v>
      </c>
      <c r="AN2342" t="s">
        <v>100</v>
      </c>
      <c r="AT2342" t="s">
        <v>100</v>
      </c>
      <c r="AU2342">
        <v>12</v>
      </c>
      <c r="AV2342" t="s">
        <v>100</v>
      </c>
      <c r="AW2342">
        <v>268</v>
      </c>
      <c r="AX2342">
        <v>378</v>
      </c>
      <c r="AZ2342" t="s">
        <v>101</v>
      </c>
      <c r="BA2342">
        <v>1</v>
      </c>
      <c r="BC2342" t="s">
        <v>4784</v>
      </c>
      <c r="BD2342" s="4">
        <v>43283.325462962966</v>
      </c>
      <c r="BE2342" s="4">
        <v>43283.348449074074</v>
      </c>
      <c r="BF2342" s="4">
        <v>43283.348449074074</v>
      </c>
      <c r="BG2342" t="s">
        <v>83</v>
      </c>
      <c r="BH2342" t="s">
        <v>84</v>
      </c>
      <c r="BI2342" t="s">
        <v>85</v>
      </c>
    </row>
    <row r="2343" spans="1:61" x14ac:dyDescent="0.3">
      <c r="A2343" t="str">
        <f>"201144E0100"</f>
        <v>201144E0100</v>
      </c>
      <c r="B2343" s="2" t="s">
        <v>4785</v>
      </c>
      <c r="C2343">
        <v>20</v>
      </c>
      <c r="D2343" t="s">
        <v>79</v>
      </c>
      <c r="E2343">
        <v>11</v>
      </c>
      <c r="F2343" t="s">
        <v>4565</v>
      </c>
      <c r="G2343">
        <v>1144</v>
      </c>
      <c r="H2343">
        <v>1</v>
      </c>
      <c r="I2343" t="s">
        <v>145</v>
      </c>
      <c r="J2343">
        <v>0</v>
      </c>
      <c r="K2343">
        <v>1</v>
      </c>
      <c r="L2343">
        <v>2</v>
      </c>
      <c r="M2343">
        <v>187</v>
      </c>
      <c r="N2343">
        <v>421</v>
      </c>
      <c r="O2343">
        <v>0</v>
      </c>
      <c r="P2343">
        <v>421</v>
      </c>
      <c r="Q2343">
        <v>3</v>
      </c>
      <c r="R2343">
        <v>84</v>
      </c>
      <c r="S2343">
        <v>157</v>
      </c>
      <c r="T2343">
        <v>4</v>
      </c>
      <c r="U2343">
        <v>40</v>
      </c>
      <c r="V2343">
        <v>8</v>
      </c>
      <c r="W2343">
        <v>0</v>
      </c>
      <c r="X2343">
        <v>26</v>
      </c>
      <c r="Y2343">
        <v>69</v>
      </c>
      <c r="Z2343">
        <v>2</v>
      </c>
      <c r="AA2343">
        <v>0</v>
      </c>
      <c r="AB2343">
        <v>2</v>
      </c>
      <c r="AC2343">
        <v>0</v>
      </c>
      <c r="AD2343">
        <v>0</v>
      </c>
      <c r="AE2343">
        <v>0</v>
      </c>
      <c r="AF2343">
        <v>0</v>
      </c>
      <c r="AG2343">
        <v>4</v>
      </c>
      <c r="AH2343">
        <v>0</v>
      </c>
      <c r="AI2343">
        <v>2</v>
      </c>
      <c r="AJ2343">
        <v>0</v>
      </c>
      <c r="AK2343">
        <v>1</v>
      </c>
      <c r="AL2343">
        <v>0</v>
      </c>
      <c r="AM2343">
        <v>0</v>
      </c>
      <c r="AN2343">
        <v>0</v>
      </c>
      <c r="AT2343">
        <v>0</v>
      </c>
      <c r="AU2343">
        <v>17</v>
      </c>
      <c r="AV2343">
        <v>421</v>
      </c>
      <c r="AW2343">
        <v>419</v>
      </c>
      <c r="AX2343">
        <v>586</v>
      </c>
      <c r="BA2343">
        <v>1</v>
      </c>
      <c r="BC2343" t="s">
        <v>4786</v>
      </c>
      <c r="BD2343" s="4">
        <v>43283.327245370368</v>
      </c>
      <c r="BE2343" s="4">
        <v>43283.346180555556</v>
      </c>
      <c r="BF2343" s="4">
        <v>43283.346180555556</v>
      </c>
      <c r="BG2343" t="s">
        <v>83</v>
      </c>
      <c r="BH2343" t="s">
        <v>84</v>
      </c>
      <c r="BI2343" t="s">
        <v>85</v>
      </c>
    </row>
    <row r="2344" spans="1:61" x14ac:dyDescent="0.3">
      <c r="A2344" t="str">
        <f>"201144E0200"</f>
        <v>201144E0200</v>
      </c>
      <c r="B2344" s="2" t="s">
        <v>4787</v>
      </c>
      <c r="C2344">
        <v>20</v>
      </c>
      <c r="D2344" t="s">
        <v>79</v>
      </c>
      <c r="E2344">
        <v>11</v>
      </c>
      <c r="F2344" t="s">
        <v>4565</v>
      </c>
      <c r="G2344">
        <v>1144</v>
      </c>
      <c r="H2344">
        <v>2</v>
      </c>
      <c r="I2344" t="s">
        <v>145</v>
      </c>
      <c r="J2344">
        <v>0</v>
      </c>
      <c r="K2344">
        <v>2</v>
      </c>
      <c r="L2344">
        <v>2</v>
      </c>
      <c r="M2344">
        <v>57</v>
      </c>
      <c r="N2344">
        <v>141</v>
      </c>
      <c r="O2344">
        <v>2</v>
      </c>
      <c r="P2344">
        <v>141</v>
      </c>
      <c r="Q2344">
        <v>2</v>
      </c>
      <c r="R2344">
        <v>5</v>
      </c>
      <c r="S2344">
        <v>104</v>
      </c>
      <c r="T2344">
        <v>0</v>
      </c>
      <c r="U2344">
        <v>7</v>
      </c>
      <c r="V2344">
        <v>0</v>
      </c>
      <c r="W2344">
        <v>0</v>
      </c>
      <c r="X2344">
        <v>0</v>
      </c>
      <c r="Y2344">
        <v>14</v>
      </c>
      <c r="Z2344">
        <v>1</v>
      </c>
      <c r="AA2344">
        <v>0</v>
      </c>
      <c r="AB2344">
        <v>1</v>
      </c>
      <c r="AC2344">
        <v>1</v>
      </c>
      <c r="AD2344">
        <v>1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2</v>
      </c>
      <c r="AL2344">
        <v>0</v>
      </c>
      <c r="AM2344">
        <v>1</v>
      </c>
      <c r="AN2344">
        <v>0</v>
      </c>
      <c r="AT2344">
        <v>0</v>
      </c>
      <c r="AU2344">
        <v>2</v>
      </c>
      <c r="AV2344">
        <v>141</v>
      </c>
      <c r="AW2344">
        <v>141</v>
      </c>
      <c r="AX2344">
        <v>176</v>
      </c>
      <c r="BA2344">
        <v>1</v>
      </c>
      <c r="BC2344" t="s">
        <v>4788</v>
      </c>
      <c r="BD2344" s="4">
        <v>43283.327650462961</v>
      </c>
      <c r="BE2344" s="4">
        <v>43283.347384259258</v>
      </c>
      <c r="BF2344" s="4">
        <v>43283.347384259258</v>
      </c>
      <c r="BG2344" t="s">
        <v>83</v>
      </c>
      <c r="BH2344" t="s">
        <v>84</v>
      </c>
      <c r="BI2344" t="s">
        <v>85</v>
      </c>
    </row>
    <row r="2345" spans="1:61" x14ac:dyDescent="0.3">
      <c r="A2345" t="str">
        <f>"201145B0100"</f>
        <v>201145B0100</v>
      </c>
      <c r="B2345" t="s">
        <v>4789</v>
      </c>
      <c r="C2345">
        <v>20</v>
      </c>
      <c r="D2345" t="s">
        <v>79</v>
      </c>
      <c r="E2345">
        <v>11</v>
      </c>
      <c r="F2345" t="s">
        <v>4565</v>
      </c>
      <c r="G2345">
        <v>1145</v>
      </c>
      <c r="H2345">
        <v>1</v>
      </c>
      <c r="I2345" t="s">
        <v>81</v>
      </c>
      <c r="J2345">
        <v>0</v>
      </c>
      <c r="K2345">
        <v>2</v>
      </c>
      <c r="L2345">
        <v>2</v>
      </c>
      <c r="M2345">
        <v>189</v>
      </c>
      <c r="N2345">
        <v>408</v>
      </c>
      <c r="O2345">
        <v>3</v>
      </c>
      <c r="P2345" t="s">
        <v>100</v>
      </c>
      <c r="Q2345">
        <v>1</v>
      </c>
      <c r="R2345">
        <v>19</v>
      </c>
      <c r="S2345">
        <v>142</v>
      </c>
      <c r="T2345">
        <v>44</v>
      </c>
      <c r="U2345">
        <v>47</v>
      </c>
      <c r="V2345">
        <v>1</v>
      </c>
      <c r="W2345">
        <v>2</v>
      </c>
      <c r="X2345">
        <v>2</v>
      </c>
      <c r="Y2345">
        <v>115</v>
      </c>
      <c r="Z2345">
        <v>7</v>
      </c>
      <c r="AA2345">
        <v>1</v>
      </c>
      <c r="AB2345">
        <v>0</v>
      </c>
      <c r="AC2345" t="s">
        <v>100</v>
      </c>
      <c r="AD2345">
        <v>1</v>
      </c>
      <c r="AE2345" t="s">
        <v>100</v>
      </c>
      <c r="AF2345" t="s">
        <v>100</v>
      </c>
      <c r="AG2345" t="s">
        <v>100</v>
      </c>
      <c r="AH2345" t="s">
        <v>100</v>
      </c>
      <c r="AI2345" t="s">
        <v>100</v>
      </c>
      <c r="AJ2345" t="s">
        <v>100</v>
      </c>
      <c r="AK2345">
        <v>3</v>
      </c>
      <c r="AL2345" t="s">
        <v>100</v>
      </c>
      <c r="AM2345" t="s">
        <v>100</v>
      </c>
      <c r="AN2345">
        <v>1</v>
      </c>
      <c r="AT2345">
        <v>1</v>
      </c>
      <c r="AU2345">
        <v>22</v>
      </c>
      <c r="AV2345">
        <v>406</v>
      </c>
      <c r="AW2345">
        <v>409</v>
      </c>
      <c r="AX2345">
        <v>575</v>
      </c>
      <c r="AZ2345" t="s">
        <v>101</v>
      </c>
      <c r="BA2345">
        <v>1</v>
      </c>
      <c r="BC2345" t="s">
        <v>4790</v>
      </c>
      <c r="BD2345" s="4">
        <v>43283.253275462965</v>
      </c>
      <c r="BE2345" s="4">
        <v>43283.278622685182</v>
      </c>
      <c r="BF2345" s="4">
        <v>43283.278622685182</v>
      </c>
      <c r="BG2345" t="s">
        <v>83</v>
      </c>
      <c r="BH2345" t="s">
        <v>84</v>
      </c>
      <c r="BI2345" t="s">
        <v>85</v>
      </c>
    </row>
    <row r="2346" spans="1:61" x14ac:dyDescent="0.3">
      <c r="A2346" t="str">
        <f>"201145E0100"</f>
        <v>201145E0100</v>
      </c>
      <c r="B2346" s="2" t="s">
        <v>4791</v>
      </c>
      <c r="C2346">
        <v>20</v>
      </c>
      <c r="D2346" t="s">
        <v>79</v>
      </c>
      <c r="E2346">
        <v>11</v>
      </c>
      <c r="F2346" t="s">
        <v>4565</v>
      </c>
      <c r="G2346">
        <v>1145</v>
      </c>
      <c r="H2346">
        <v>1</v>
      </c>
      <c r="I2346" t="s">
        <v>145</v>
      </c>
      <c r="J2346">
        <v>0</v>
      </c>
      <c r="K2346">
        <v>2</v>
      </c>
      <c r="L2346">
        <v>2</v>
      </c>
      <c r="M2346">
        <v>105</v>
      </c>
      <c r="N2346">
        <v>254</v>
      </c>
      <c r="O2346">
        <v>2</v>
      </c>
      <c r="P2346">
        <v>254</v>
      </c>
      <c r="Q2346">
        <v>6</v>
      </c>
      <c r="R2346">
        <v>13</v>
      </c>
      <c r="S2346">
        <v>162</v>
      </c>
      <c r="T2346">
        <v>6</v>
      </c>
      <c r="U2346">
        <v>19</v>
      </c>
      <c r="V2346">
        <v>1</v>
      </c>
      <c r="W2346">
        <v>0</v>
      </c>
      <c r="X2346">
        <v>6</v>
      </c>
      <c r="Y2346">
        <v>29</v>
      </c>
      <c r="Z2346">
        <v>0</v>
      </c>
      <c r="AA2346">
        <v>0</v>
      </c>
      <c r="AB2346">
        <v>1</v>
      </c>
      <c r="AC2346">
        <v>2</v>
      </c>
      <c r="AD2346">
        <v>1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1</v>
      </c>
      <c r="AL2346">
        <v>0</v>
      </c>
      <c r="AM2346">
        <v>0</v>
      </c>
      <c r="AN2346">
        <v>0</v>
      </c>
      <c r="AT2346">
        <v>0</v>
      </c>
      <c r="AU2346">
        <v>7</v>
      </c>
      <c r="AV2346">
        <v>254</v>
      </c>
      <c r="AW2346">
        <v>254</v>
      </c>
      <c r="AX2346">
        <v>337</v>
      </c>
      <c r="BA2346">
        <v>1</v>
      </c>
      <c r="BC2346" t="s">
        <v>4792</v>
      </c>
      <c r="BD2346" s="4">
        <v>43283.252835648149</v>
      </c>
      <c r="BE2346" s="4">
        <v>43283.282638888886</v>
      </c>
      <c r="BF2346" s="4">
        <v>43283.282638888886</v>
      </c>
      <c r="BG2346" t="s">
        <v>83</v>
      </c>
      <c r="BH2346" t="s">
        <v>84</v>
      </c>
      <c r="BI2346" t="s">
        <v>85</v>
      </c>
    </row>
    <row r="2347" spans="1:61" x14ac:dyDescent="0.3">
      <c r="A2347" t="str">
        <f>"201146B0100"</f>
        <v>201146B0100</v>
      </c>
      <c r="B2347" t="s">
        <v>4793</v>
      </c>
      <c r="C2347">
        <v>20</v>
      </c>
      <c r="D2347" t="s">
        <v>79</v>
      </c>
      <c r="E2347">
        <v>11</v>
      </c>
      <c r="F2347" t="s">
        <v>4565</v>
      </c>
      <c r="G2347">
        <v>1146</v>
      </c>
      <c r="H2347">
        <v>1</v>
      </c>
      <c r="I2347" t="s">
        <v>81</v>
      </c>
      <c r="J2347">
        <v>0</v>
      </c>
      <c r="K2347">
        <v>2</v>
      </c>
      <c r="L2347">
        <v>2</v>
      </c>
      <c r="M2347">
        <v>96</v>
      </c>
      <c r="N2347">
        <v>285</v>
      </c>
      <c r="O2347">
        <v>0</v>
      </c>
      <c r="P2347">
        <v>285</v>
      </c>
      <c r="Q2347">
        <v>1</v>
      </c>
      <c r="R2347">
        <v>30</v>
      </c>
      <c r="S2347">
        <v>193</v>
      </c>
      <c r="T2347">
        <v>2</v>
      </c>
      <c r="U2347">
        <v>12</v>
      </c>
      <c r="V2347">
        <v>0</v>
      </c>
      <c r="W2347">
        <v>1</v>
      </c>
      <c r="X2347">
        <v>3</v>
      </c>
      <c r="Y2347">
        <v>25</v>
      </c>
      <c r="Z2347">
        <v>3</v>
      </c>
      <c r="AA2347">
        <v>0</v>
      </c>
      <c r="AB2347">
        <v>0</v>
      </c>
      <c r="AC2347" t="s">
        <v>100</v>
      </c>
      <c r="AD2347">
        <v>1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1</v>
      </c>
      <c r="AM2347">
        <v>0</v>
      </c>
      <c r="AN2347">
        <v>0</v>
      </c>
      <c r="AT2347">
        <v>0</v>
      </c>
      <c r="AU2347">
        <v>13</v>
      </c>
      <c r="AV2347">
        <v>285</v>
      </c>
      <c r="AW2347">
        <v>285</v>
      </c>
      <c r="AX2347">
        <v>359</v>
      </c>
      <c r="AZ2347" t="s">
        <v>101</v>
      </c>
      <c r="BA2347">
        <v>1</v>
      </c>
      <c r="BC2347" t="s">
        <v>4794</v>
      </c>
      <c r="BD2347" s="4">
        <v>43283.453379629631</v>
      </c>
      <c r="BE2347" s="4">
        <v>43283.456655092596</v>
      </c>
      <c r="BF2347" s="4">
        <v>43283.456655092596</v>
      </c>
      <c r="BG2347" t="s">
        <v>83</v>
      </c>
      <c r="BH2347" t="s">
        <v>84</v>
      </c>
      <c r="BI2347" t="s">
        <v>85</v>
      </c>
    </row>
    <row r="2348" spans="1:61" x14ac:dyDescent="0.3">
      <c r="A2348" t="str">
        <f>"201146E0100"</f>
        <v>201146E0100</v>
      </c>
      <c r="B2348" s="2" t="s">
        <v>4795</v>
      </c>
      <c r="C2348">
        <v>20</v>
      </c>
      <c r="D2348" t="s">
        <v>79</v>
      </c>
      <c r="E2348">
        <v>11</v>
      </c>
      <c r="F2348" t="s">
        <v>4565</v>
      </c>
      <c r="G2348">
        <v>1146</v>
      </c>
      <c r="H2348">
        <v>1</v>
      </c>
      <c r="I2348" t="s">
        <v>145</v>
      </c>
      <c r="J2348">
        <v>0</v>
      </c>
      <c r="K2348">
        <v>2</v>
      </c>
      <c r="L2348">
        <v>2</v>
      </c>
      <c r="M2348">
        <v>47</v>
      </c>
      <c r="N2348">
        <v>186</v>
      </c>
      <c r="O2348">
        <v>2</v>
      </c>
      <c r="P2348" t="s">
        <v>100</v>
      </c>
      <c r="Q2348">
        <v>2</v>
      </c>
      <c r="R2348">
        <v>12</v>
      </c>
      <c r="S2348">
        <v>98</v>
      </c>
      <c r="T2348">
        <v>1</v>
      </c>
      <c r="U2348">
        <v>22</v>
      </c>
      <c r="V2348">
        <v>1</v>
      </c>
      <c r="W2348">
        <v>1</v>
      </c>
      <c r="X2348">
        <v>1</v>
      </c>
      <c r="Y2348">
        <v>34</v>
      </c>
      <c r="Z2348">
        <v>3</v>
      </c>
      <c r="AA2348">
        <v>0</v>
      </c>
      <c r="AB2348">
        <v>2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2</v>
      </c>
      <c r="AM2348">
        <v>0</v>
      </c>
      <c r="AN2348">
        <v>1</v>
      </c>
      <c r="AT2348">
        <v>0</v>
      </c>
      <c r="AU2348">
        <v>6</v>
      </c>
      <c r="AV2348">
        <v>186</v>
      </c>
      <c r="AW2348">
        <v>186</v>
      </c>
      <c r="AX2348">
        <v>211</v>
      </c>
      <c r="BA2348">
        <v>1</v>
      </c>
      <c r="BC2348" t="s">
        <v>4796</v>
      </c>
      <c r="BD2348" s="4">
        <v>43283.258518518516</v>
      </c>
      <c r="BE2348" s="4">
        <v>43283.283449074072</v>
      </c>
      <c r="BF2348" s="4">
        <v>43283.283449074072</v>
      </c>
      <c r="BG2348" t="s">
        <v>83</v>
      </c>
      <c r="BH2348" t="s">
        <v>84</v>
      </c>
      <c r="BI2348" t="s">
        <v>85</v>
      </c>
    </row>
    <row r="2349" spans="1:61" x14ac:dyDescent="0.3">
      <c r="A2349" t="str">
        <f>"201147B0100"</f>
        <v>201147B0100</v>
      </c>
      <c r="B2349" t="s">
        <v>4797</v>
      </c>
      <c r="C2349">
        <v>20</v>
      </c>
      <c r="D2349" t="s">
        <v>79</v>
      </c>
      <c r="E2349">
        <v>11</v>
      </c>
      <c r="F2349" t="s">
        <v>4565</v>
      </c>
      <c r="G2349">
        <v>1147</v>
      </c>
      <c r="H2349">
        <v>1</v>
      </c>
      <c r="I2349" t="s">
        <v>81</v>
      </c>
      <c r="J2349">
        <v>0</v>
      </c>
      <c r="K2349">
        <v>2</v>
      </c>
      <c r="L2349">
        <v>2</v>
      </c>
      <c r="M2349">
        <v>136</v>
      </c>
      <c r="N2349">
        <v>304</v>
      </c>
      <c r="O2349">
        <v>0</v>
      </c>
      <c r="P2349">
        <v>304</v>
      </c>
      <c r="Q2349">
        <v>1</v>
      </c>
      <c r="R2349">
        <v>41</v>
      </c>
      <c r="S2349">
        <v>163</v>
      </c>
      <c r="T2349">
        <v>1</v>
      </c>
      <c r="U2349">
        <v>45</v>
      </c>
      <c r="V2349">
        <v>1</v>
      </c>
      <c r="W2349">
        <v>1</v>
      </c>
      <c r="X2349">
        <v>4</v>
      </c>
      <c r="Y2349">
        <v>37</v>
      </c>
      <c r="Z2349">
        <v>1</v>
      </c>
      <c r="AA2349" t="s">
        <v>100</v>
      </c>
      <c r="AB2349" t="s">
        <v>100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2</v>
      </c>
      <c r="AL2349">
        <v>0</v>
      </c>
      <c r="AM2349">
        <v>0</v>
      </c>
      <c r="AN2349">
        <v>0</v>
      </c>
      <c r="AT2349">
        <v>0</v>
      </c>
      <c r="AU2349">
        <v>7</v>
      </c>
      <c r="AV2349">
        <v>304</v>
      </c>
      <c r="AW2349">
        <v>304</v>
      </c>
      <c r="AX2349">
        <v>418</v>
      </c>
      <c r="AZ2349" t="s">
        <v>101</v>
      </c>
      <c r="BA2349">
        <v>1</v>
      </c>
      <c r="BC2349" t="s">
        <v>4798</v>
      </c>
      <c r="BD2349" s="4">
        <v>43283.454953703702</v>
      </c>
      <c r="BE2349" s="4">
        <v>43283.457835648151</v>
      </c>
      <c r="BF2349" s="4">
        <v>43283.457835648151</v>
      </c>
      <c r="BG2349" t="s">
        <v>83</v>
      </c>
      <c r="BH2349" t="s">
        <v>84</v>
      </c>
      <c r="BI2349" t="s">
        <v>85</v>
      </c>
    </row>
    <row r="2350" spans="1:61" x14ac:dyDescent="0.3">
      <c r="A2350" t="str">
        <f>"201147E0100"</f>
        <v>201147E0100</v>
      </c>
      <c r="B2350" s="2" t="s">
        <v>4799</v>
      </c>
      <c r="C2350">
        <v>20</v>
      </c>
      <c r="D2350" t="s">
        <v>79</v>
      </c>
      <c r="E2350">
        <v>11</v>
      </c>
      <c r="F2350" t="s">
        <v>4565</v>
      </c>
      <c r="G2350">
        <v>1147</v>
      </c>
      <c r="H2350">
        <v>1</v>
      </c>
      <c r="I2350" t="s">
        <v>145</v>
      </c>
      <c r="J2350">
        <v>0</v>
      </c>
      <c r="K2350">
        <v>2</v>
      </c>
      <c r="L2350">
        <v>2</v>
      </c>
      <c r="M2350">
        <v>122</v>
      </c>
      <c r="N2350">
        <v>245</v>
      </c>
      <c r="O2350">
        <v>0</v>
      </c>
      <c r="P2350">
        <v>245</v>
      </c>
      <c r="Q2350">
        <v>4</v>
      </c>
      <c r="R2350">
        <v>45</v>
      </c>
      <c r="S2350">
        <v>63</v>
      </c>
      <c r="T2350">
        <v>8</v>
      </c>
      <c r="U2350">
        <v>26</v>
      </c>
      <c r="V2350">
        <v>3</v>
      </c>
      <c r="W2350">
        <v>2</v>
      </c>
      <c r="X2350">
        <v>5</v>
      </c>
      <c r="Y2350">
        <v>62</v>
      </c>
      <c r="Z2350">
        <v>3</v>
      </c>
      <c r="AA2350">
        <v>0</v>
      </c>
      <c r="AB2350">
        <v>2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2</v>
      </c>
      <c r="AL2350">
        <v>0</v>
      </c>
      <c r="AM2350">
        <v>0</v>
      </c>
      <c r="AN2350">
        <v>1</v>
      </c>
      <c r="AT2350">
        <v>0</v>
      </c>
      <c r="AU2350">
        <v>19</v>
      </c>
      <c r="AV2350">
        <v>245</v>
      </c>
      <c r="AW2350">
        <v>245</v>
      </c>
      <c r="AX2350">
        <v>345</v>
      </c>
      <c r="BA2350">
        <v>1</v>
      </c>
      <c r="BC2350" t="s">
        <v>4800</v>
      </c>
      <c r="BD2350" s="4">
        <v>43283.259189814817</v>
      </c>
      <c r="BE2350" s="4">
        <v>43283.284236111111</v>
      </c>
      <c r="BF2350" s="4">
        <v>43283.284236111111</v>
      </c>
      <c r="BG2350" t="s">
        <v>83</v>
      </c>
      <c r="BH2350" t="s">
        <v>84</v>
      </c>
      <c r="BI2350" t="s">
        <v>85</v>
      </c>
    </row>
    <row r="2351" spans="1:61" x14ac:dyDescent="0.3">
      <c r="A2351" t="str">
        <f>"201148B0100"</f>
        <v>201148B0100</v>
      </c>
      <c r="B2351" t="s">
        <v>4801</v>
      </c>
      <c r="C2351">
        <v>20</v>
      </c>
      <c r="D2351" t="s">
        <v>79</v>
      </c>
      <c r="E2351">
        <v>11</v>
      </c>
      <c r="F2351" t="s">
        <v>4565</v>
      </c>
      <c r="G2351">
        <v>1148</v>
      </c>
      <c r="H2351">
        <v>1</v>
      </c>
      <c r="I2351" t="s">
        <v>81</v>
      </c>
      <c r="J2351">
        <v>0</v>
      </c>
      <c r="K2351">
        <v>2</v>
      </c>
      <c r="L2351">
        <v>2</v>
      </c>
      <c r="AX2351">
        <v>635</v>
      </c>
      <c r="AZ2351" t="s">
        <v>156</v>
      </c>
      <c r="BA2351">
        <v>0</v>
      </c>
      <c r="BC2351" t="s">
        <v>4802</v>
      </c>
      <c r="BD2351" s="4">
        <v>43283.770821759259</v>
      </c>
      <c r="BE2351" s="4">
        <v>43283.772916666669</v>
      </c>
      <c r="BF2351" s="4">
        <v>43283.772916666669</v>
      </c>
      <c r="BG2351" t="s">
        <v>83</v>
      </c>
      <c r="BH2351" t="s">
        <v>84</v>
      </c>
      <c r="BI2351" t="s">
        <v>85</v>
      </c>
    </row>
    <row r="2352" spans="1:61" x14ac:dyDescent="0.3">
      <c r="A2352" t="str">
        <f>"201148E0100"</f>
        <v>201148E0100</v>
      </c>
      <c r="B2352" s="2" t="s">
        <v>4803</v>
      </c>
      <c r="C2352">
        <v>20</v>
      </c>
      <c r="D2352" t="s">
        <v>79</v>
      </c>
      <c r="E2352">
        <v>11</v>
      </c>
      <c r="F2352" t="s">
        <v>4565</v>
      </c>
      <c r="G2352">
        <v>1148</v>
      </c>
      <c r="H2352">
        <v>1</v>
      </c>
      <c r="I2352" t="s">
        <v>145</v>
      </c>
      <c r="J2352">
        <v>0</v>
      </c>
      <c r="K2352">
        <v>2</v>
      </c>
      <c r="L2352">
        <v>2</v>
      </c>
      <c r="M2352">
        <v>50</v>
      </c>
      <c r="N2352">
        <v>74</v>
      </c>
      <c r="O2352">
        <v>2</v>
      </c>
      <c r="P2352">
        <v>74</v>
      </c>
      <c r="Q2352">
        <v>0</v>
      </c>
      <c r="R2352">
        <v>1</v>
      </c>
      <c r="S2352">
        <v>55</v>
      </c>
      <c r="T2352">
        <v>0</v>
      </c>
      <c r="U2352">
        <v>14</v>
      </c>
      <c r="V2352">
        <v>0</v>
      </c>
      <c r="W2352">
        <v>0</v>
      </c>
      <c r="X2352">
        <v>0</v>
      </c>
      <c r="Y2352">
        <v>3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1</v>
      </c>
      <c r="AL2352">
        <v>0</v>
      </c>
      <c r="AM2352">
        <v>0</v>
      </c>
      <c r="AN2352">
        <v>0</v>
      </c>
      <c r="AT2352">
        <v>0</v>
      </c>
      <c r="AU2352">
        <v>0</v>
      </c>
      <c r="AV2352">
        <v>74</v>
      </c>
      <c r="AW2352">
        <v>74</v>
      </c>
      <c r="AX2352">
        <v>102</v>
      </c>
      <c r="BA2352">
        <v>1</v>
      </c>
      <c r="BC2352" t="s">
        <v>4804</v>
      </c>
      <c r="BD2352" s="4">
        <v>43283.149305555555</v>
      </c>
      <c r="BE2352" s="4">
        <v>43283.157962962963</v>
      </c>
      <c r="BF2352" s="4">
        <v>43283.157962962963</v>
      </c>
      <c r="BG2352" t="s">
        <v>83</v>
      </c>
      <c r="BH2352" t="s">
        <v>84</v>
      </c>
      <c r="BI2352" t="s">
        <v>85</v>
      </c>
    </row>
    <row r="2353" spans="1:61" x14ac:dyDescent="0.3">
      <c r="A2353" t="str">
        <f>"201149B0100"</f>
        <v>201149B0100</v>
      </c>
      <c r="B2353" t="s">
        <v>4805</v>
      </c>
      <c r="C2353">
        <v>20</v>
      </c>
      <c r="D2353" t="s">
        <v>79</v>
      </c>
      <c r="E2353">
        <v>11</v>
      </c>
      <c r="F2353" t="s">
        <v>4565</v>
      </c>
      <c r="G2353">
        <v>1149</v>
      </c>
      <c r="H2353">
        <v>1</v>
      </c>
      <c r="I2353" t="s">
        <v>81</v>
      </c>
      <c r="J2353">
        <v>0</v>
      </c>
      <c r="K2353">
        <v>2</v>
      </c>
      <c r="L2353">
        <v>2</v>
      </c>
      <c r="M2353">
        <v>113</v>
      </c>
      <c r="N2353">
        <v>315</v>
      </c>
      <c r="O2353">
        <v>0</v>
      </c>
      <c r="P2353">
        <v>315</v>
      </c>
      <c r="Q2353">
        <v>3</v>
      </c>
      <c r="R2353">
        <v>51</v>
      </c>
      <c r="S2353">
        <v>108</v>
      </c>
      <c r="T2353">
        <v>3</v>
      </c>
      <c r="U2353">
        <v>27</v>
      </c>
      <c r="V2353">
        <v>7</v>
      </c>
      <c r="W2353">
        <v>2</v>
      </c>
      <c r="X2353">
        <v>3</v>
      </c>
      <c r="Y2353">
        <v>183</v>
      </c>
      <c r="Z2353">
        <v>2</v>
      </c>
      <c r="AA2353">
        <v>1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1</v>
      </c>
      <c r="AJ2353">
        <v>0</v>
      </c>
      <c r="AK2353">
        <v>3</v>
      </c>
      <c r="AL2353">
        <v>1</v>
      </c>
      <c r="AM2353">
        <v>0</v>
      </c>
      <c r="AN2353">
        <v>5</v>
      </c>
      <c r="AT2353">
        <v>0</v>
      </c>
      <c r="AU2353">
        <v>12</v>
      </c>
      <c r="AV2353">
        <v>412</v>
      </c>
      <c r="AW2353">
        <v>412</v>
      </c>
      <c r="AX2353">
        <v>406</v>
      </c>
      <c r="BA2353">
        <v>1</v>
      </c>
      <c r="BC2353" t="s">
        <v>4806</v>
      </c>
      <c r="BD2353" s="4">
        <v>43283.237523148149</v>
      </c>
      <c r="BE2353" s="4">
        <v>43283.271412037036</v>
      </c>
      <c r="BF2353" s="4">
        <v>43283.271412037036</v>
      </c>
      <c r="BG2353" t="s">
        <v>83</v>
      </c>
      <c r="BH2353" t="s">
        <v>84</v>
      </c>
      <c r="BI2353" t="s">
        <v>85</v>
      </c>
    </row>
    <row r="2354" spans="1:61" x14ac:dyDescent="0.3">
      <c r="A2354" t="str">
        <f>"201149C0100"</f>
        <v>201149C0100</v>
      </c>
      <c r="B2354" t="s">
        <v>4807</v>
      </c>
      <c r="C2354">
        <v>20</v>
      </c>
      <c r="D2354" t="s">
        <v>79</v>
      </c>
      <c r="E2354">
        <v>11</v>
      </c>
      <c r="F2354" t="s">
        <v>4565</v>
      </c>
      <c r="G2354">
        <v>1149</v>
      </c>
      <c r="H2354">
        <v>1</v>
      </c>
      <c r="I2354" t="s">
        <v>89</v>
      </c>
      <c r="J2354">
        <v>0</v>
      </c>
      <c r="K2354">
        <v>2</v>
      </c>
      <c r="L2354">
        <v>2</v>
      </c>
      <c r="M2354">
        <v>110</v>
      </c>
      <c r="N2354">
        <v>318</v>
      </c>
      <c r="O2354">
        <v>0</v>
      </c>
      <c r="P2354">
        <v>318</v>
      </c>
      <c r="Q2354">
        <v>3</v>
      </c>
      <c r="R2354">
        <v>40</v>
      </c>
      <c r="S2354">
        <v>141</v>
      </c>
      <c r="T2354">
        <v>7</v>
      </c>
      <c r="U2354">
        <v>19</v>
      </c>
      <c r="V2354">
        <v>1</v>
      </c>
      <c r="W2354">
        <v>0</v>
      </c>
      <c r="X2354">
        <v>1</v>
      </c>
      <c r="Y2354">
        <v>82</v>
      </c>
      <c r="Z2354">
        <v>4</v>
      </c>
      <c r="AA2354">
        <v>1</v>
      </c>
      <c r="AB2354">
        <v>0</v>
      </c>
      <c r="AC2354">
        <v>0</v>
      </c>
      <c r="AD2354">
        <v>0</v>
      </c>
      <c r="AE2354">
        <v>0</v>
      </c>
      <c r="AF2354">
        <v>1</v>
      </c>
      <c r="AG2354">
        <v>1</v>
      </c>
      <c r="AH2354">
        <v>2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T2354">
        <v>0</v>
      </c>
      <c r="AU2354">
        <v>15</v>
      </c>
      <c r="AV2354">
        <v>318</v>
      </c>
      <c r="AW2354">
        <v>318</v>
      </c>
      <c r="AX2354">
        <v>406</v>
      </c>
      <c r="BA2354">
        <v>1</v>
      </c>
      <c r="BC2354" t="s">
        <v>4808</v>
      </c>
      <c r="BD2354" s="4">
        <v>43283.224699074075</v>
      </c>
      <c r="BE2354" s="4">
        <v>43283.246689814812</v>
      </c>
      <c r="BF2354" s="4">
        <v>43283.246689814812</v>
      </c>
      <c r="BG2354" t="s">
        <v>83</v>
      </c>
      <c r="BH2354" t="s">
        <v>84</v>
      </c>
      <c r="BI2354" t="s">
        <v>85</v>
      </c>
    </row>
    <row r="2355" spans="1:61" x14ac:dyDescent="0.3">
      <c r="A2355" t="str">
        <f>"201150B0100"</f>
        <v>201150B0100</v>
      </c>
      <c r="B2355" t="s">
        <v>4809</v>
      </c>
      <c r="C2355">
        <v>20</v>
      </c>
      <c r="D2355" t="s">
        <v>79</v>
      </c>
      <c r="E2355">
        <v>11</v>
      </c>
      <c r="F2355" t="s">
        <v>4565</v>
      </c>
      <c r="G2355">
        <v>1150</v>
      </c>
      <c r="H2355">
        <v>1</v>
      </c>
      <c r="I2355" t="s">
        <v>81</v>
      </c>
      <c r="J2355">
        <v>0</v>
      </c>
      <c r="K2355">
        <v>2</v>
      </c>
      <c r="L2355">
        <v>2</v>
      </c>
      <c r="M2355">
        <v>146</v>
      </c>
      <c r="N2355">
        <v>318</v>
      </c>
      <c r="O2355">
        <v>0</v>
      </c>
      <c r="P2355">
        <v>318</v>
      </c>
      <c r="Q2355">
        <v>3</v>
      </c>
      <c r="R2355">
        <v>24</v>
      </c>
      <c r="S2355">
        <v>180</v>
      </c>
      <c r="T2355">
        <v>3</v>
      </c>
      <c r="U2355">
        <v>13</v>
      </c>
      <c r="V2355">
        <v>2</v>
      </c>
      <c r="W2355">
        <v>2</v>
      </c>
      <c r="X2355">
        <v>2</v>
      </c>
      <c r="Y2355">
        <v>65</v>
      </c>
      <c r="Z2355">
        <v>4</v>
      </c>
      <c r="AA2355" t="s">
        <v>100</v>
      </c>
      <c r="AB2355">
        <v>2</v>
      </c>
      <c r="AC2355">
        <v>1</v>
      </c>
      <c r="AD2355">
        <v>1</v>
      </c>
      <c r="AE2355">
        <v>1</v>
      </c>
      <c r="AF2355" t="s">
        <v>100</v>
      </c>
      <c r="AG2355" t="s">
        <v>100</v>
      </c>
      <c r="AH2355">
        <v>1</v>
      </c>
      <c r="AI2355" t="s">
        <v>100</v>
      </c>
      <c r="AJ2355" t="s">
        <v>100</v>
      </c>
      <c r="AK2355" t="s">
        <v>100</v>
      </c>
      <c r="AL2355">
        <v>1</v>
      </c>
      <c r="AM2355" t="s">
        <v>100</v>
      </c>
      <c r="AN2355" t="s">
        <v>100</v>
      </c>
      <c r="AT2355" t="s">
        <v>100</v>
      </c>
      <c r="AU2355">
        <v>13</v>
      </c>
      <c r="AV2355">
        <v>318</v>
      </c>
      <c r="AW2355">
        <v>318</v>
      </c>
      <c r="AX2355">
        <v>442</v>
      </c>
      <c r="AZ2355" t="s">
        <v>101</v>
      </c>
      <c r="BA2355">
        <v>1</v>
      </c>
      <c r="BC2355" t="s">
        <v>4810</v>
      </c>
      <c r="BD2355" s="4">
        <v>43283.225312499999</v>
      </c>
      <c r="BE2355" s="4">
        <v>43283.247546296298</v>
      </c>
      <c r="BF2355" s="4">
        <v>43283.247546296298</v>
      </c>
      <c r="BG2355" t="s">
        <v>83</v>
      </c>
      <c r="BH2355" t="s">
        <v>84</v>
      </c>
      <c r="BI2355" t="s">
        <v>85</v>
      </c>
    </row>
    <row r="2356" spans="1:61" x14ac:dyDescent="0.3">
      <c r="A2356" t="str">
        <f>"201150C0100"</f>
        <v>201150C0100</v>
      </c>
      <c r="B2356" t="s">
        <v>4811</v>
      </c>
      <c r="C2356">
        <v>20</v>
      </c>
      <c r="D2356" t="s">
        <v>79</v>
      </c>
      <c r="E2356">
        <v>11</v>
      </c>
      <c r="F2356" t="s">
        <v>4565</v>
      </c>
      <c r="G2356">
        <v>1150</v>
      </c>
      <c r="H2356">
        <v>1</v>
      </c>
      <c r="I2356" t="s">
        <v>89</v>
      </c>
      <c r="J2356">
        <v>0</v>
      </c>
      <c r="K2356">
        <v>2</v>
      </c>
      <c r="L2356">
        <v>2</v>
      </c>
      <c r="M2356">
        <v>158</v>
      </c>
      <c r="N2356">
        <v>305</v>
      </c>
      <c r="O2356">
        <v>2</v>
      </c>
      <c r="P2356">
        <v>305</v>
      </c>
      <c r="Q2356">
        <v>1</v>
      </c>
      <c r="R2356">
        <v>24</v>
      </c>
      <c r="S2356">
        <v>135</v>
      </c>
      <c r="T2356">
        <v>6</v>
      </c>
      <c r="U2356">
        <v>22</v>
      </c>
      <c r="V2356">
        <v>2</v>
      </c>
      <c r="W2356">
        <v>0</v>
      </c>
      <c r="X2356">
        <v>0</v>
      </c>
      <c r="Y2356">
        <v>78</v>
      </c>
      <c r="Z2356">
        <v>3</v>
      </c>
      <c r="AA2356">
        <v>0</v>
      </c>
      <c r="AB2356">
        <v>1</v>
      </c>
      <c r="AC2356">
        <v>0</v>
      </c>
      <c r="AD2356">
        <v>1</v>
      </c>
      <c r="AE2356">
        <v>0</v>
      </c>
      <c r="AF2356">
        <v>1</v>
      </c>
      <c r="AG2356">
        <v>0</v>
      </c>
      <c r="AH2356">
        <v>5</v>
      </c>
      <c r="AI2356">
        <v>0</v>
      </c>
      <c r="AJ2356">
        <v>0</v>
      </c>
      <c r="AK2356">
        <v>2</v>
      </c>
      <c r="AL2356">
        <v>0</v>
      </c>
      <c r="AM2356">
        <v>0</v>
      </c>
      <c r="AN2356">
        <v>1</v>
      </c>
      <c r="AT2356">
        <v>0</v>
      </c>
      <c r="AU2356">
        <v>23</v>
      </c>
      <c r="AV2356">
        <v>305</v>
      </c>
      <c r="AW2356">
        <v>305</v>
      </c>
      <c r="AX2356">
        <v>441</v>
      </c>
      <c r="BA2356">
        <v>1</v>
      </c>
      <c r="BC2356" t="s">
        <v>4812</v>
      </c>
      <c r="BD2356" s="4">
        <v>43283.226134259261</v>
      </c>
      <c r="BE2356" s="4">
        <v>43283.247766203705</v>
      </c>
      <c r="BF2356" s="4">
        <v>43283.247766203705</v>
      </c>
      <c r="BG2356" t="s">
        <v>83</v>
      </c>
      <c r="BH2356" t="s">
        <v>84</v>
      </c>
      <c r="BI2356" t="s">
        <v>85</v>
      </c>
    </row>
    <row r="2357" spans="1:61" x14ac:dyDescent="0.3">
      <c r="A2357" t="str">
        <f>"201151B0100"</f>
        <v>201151B0100</v>
      </c>
      <c r="B2357" t="s">
        <v>4813</v>
      </c>
      <c r="C2357">
        <v>20</v>
      </c>
      <c r="D2357" t="s">
        <v>79</v>
      </c>
      <c r="E2357">
        <v>11</v>
      </c>
      <c r="F2357" t="s">
        <v>4565</v>
      </c>
      <c r="G2357">
        <v>1151</v>
      </c>
      <c r="H2357">
        <v>1</v>
      </c>
      <c r="I2357" t="s">
        <v>81</v>
      </c>
      <c r="J2357">
        <v>0</v>
      </c>
      <c r="K2357">
        <v>2</v>
      </c>
      <c r="L2357">
        <v>2</v>
      </c>
      <c r="M2357">
        <v>118</v>
      </c>
      <c r="N2357">
        <v>449</v>
      </c>
      <c r="O2357">
        <v>0</v>
      </c>
      <c r="P2357">
        <v>449</v>
      </c>
      <c r="Q2357">
        <v>0</v>
      </c>
      <c r="R2357">
        <v>178</v>
      </c>
      <c r="S2357">
        <v>167</v>
      </c>
      <c r="T2357">
        <v>3</v>
      </c>
      <c r="U2357">
        <v>49</v>
      </c>
      <c r="V2357">
        <v>0</v>
      </c>
      <c r="W2357">
        <v>0</v>
      </c>
      <c r="X2357">
        <v>2</v>
      </c>
      <c r="Y2357">
        <v>23</v>
      </c>
      <c r="Z2357">
        <v>2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2</v>
      </c>
      <c r="AH2357">
        <v>2</v>
      </c>
      <c r="AI2357">
        <v>0</v>
      </c>
      <c r="AJ2357">
        <v>0</v>
      </c>
      <c r="AK2357">
        <v>0</v>
      </c>
      <c r="AL2357">
        <v>1</v>
      </c>
      <c r="AM2357">
        <v>0</v>
      </c>
      <c r="AN2357">
        <v>0</v>
      </c>
      <c r="AT2357">
        <v>0</v>
      </c>
      <c r="AU2357">
        <v>20</v>
      </c>
      <c r="AV2357">
        <v>449</v>
      </c>
      <c r="AW2357">
        <v>449</v>
      </c>
      <c r="AX2357">
        <v>546</v>
      </c>
      <c r="BA2357">
        <v>1</v>
      </c>
      <c r="BC2357" t="s">
        <v>4814</v>
      </c>
      <c r="BD2357" s="4">
        <v>43283.22792824074</v>
      </c>
      <c r="BE2357" s="4">
        <v>43283.250601851854</v>
      </c>
      <c r="BF2357" s="4">
        <v>43283.250601851854</v>
      </c>
      <c r="BG2357" t="s">
        <v>83</v>
      </c>
      <c r="BH2357" t="s">
        <v>84</v>
      </c>
      <c r="BI2357" t="s">
        <v>85</v>
      </c>
    </row>
    <row r="2358" spans="1:61" x14ac:dyDescent="0.3">
      <c r="A2358" t="str">
        <f>"201151C0100"</f>
        <v>201151C0100</v>
      </c>
      <c r="B2358" t="s">
        <v>4815</v>
      </c>
      <c r="C2358">
        <v>20</v>
      </c>
      <c r="D2358" t="s">
        <v>79</v>
      </c>
      <c r="E2358">
        <v>11</v>
      </c>
      <c r="F2358" t="s">
        <v>4565</v>
      </c>
      <c r="G2358">
        <v>1151</v>
      </c>
      <c r="H2358">
        <v>1</v>
      </c>
      <c r="I2358" t="s">
        <v>89</v>
      </c>
      <c r="J2358">
        <v>0</v>
      </c>
      <c r="K2358">
        <v>2</v>
      </c>
      <c r="L2358">
        <v>2</v>
      </c>
      <c r="M2358">
        <v>132</v>
      </c>
      <c r="N2358">
        <v>432</v>
      </c>
      <c r="O2358">
        <v>2</v>
      </c>
      <c r="P2358">
        <v>432</v>
      </c>
      <c r="Q2358">
        <v>3</v>
      </c>
      <c r="R2358">
        <v>142</v>
      </c>
      <c r="S2358">
        <v>217</v>
      </c>
      <c r="T2358">
        <v>0</v>
      </c>
      <c r="U2358">
        <v>29</v>
      </c>
      <c r="V2358">
        <v>2</v>
      </c>
      <c r="W2358">
        <v>0</v>
      </c>
      <c r="X2358">
        <v>1</v>
      </c>
      <c r="Y2358">
        <v>15</v>
      </c>
      <c r="Z2358">
        <v>1</v>
      </c>
      <c r="AA2358">
        <v>0</v>
      </c>
      <c r="AB2358">
        <v>0</v>
      </c>
      <c r="AC2358">
        <v>0</v>
      </c>
      <c r="AD2358">
        <v>1</v>
      </c>
      <c r="AE2358">
        <v>0</v>
      </c>
      <c r="AF2358">
        <v>0</v>
      </c>
      <c r="AG2358">
        <v>1</v>
      </c>
      <c r="AH2358">
        <v>1</v>
      </c>
      <c r="AI2358">
        <v>0</v>
      </c>
      <c r="AJ2358">
        <v>0</v>
      </c>
      <c r="AK2358">
        <v>1</v>
      </c>
      <c r="AL2358">
        <v>0</v>
      </c>
      <c r="AM2358">
        <v>1</v>
      </c>
      <c r="AN2358">
        <v>0</v>
      </c>
      <c r="AT2358">
        <v>0</v>
      </c>
      <c r="AU2358">
        <v>17</v>
      </c>
      <c r="AV2358">
        <v>432</v>
      </c>
      <c r="AW2358">
        <v>432</v>
      </c>
      <c r="AX2358">
        <v>546</v>
      </c>
      <c r="BA2358">
        <v>1</v>
      </c>
      <c r="BC2358" t="s">
        <v>4816</v>
      </c>
      <c r="BD2358" s="4">
        <v>43283.226666666669</v>
      </c>
      <c r="BE2358" s="4">
        <v>43283.248692129629</v>
      </c>
      <c r="BF2358" s="4">
        <v>43283.248692129629</v>
      </c>
      <c r="BG2358" t="s">
        <v>83</v>
      </c>
      <c r="BH2358" t="s">
        <v>84</v>
      </c>
      <c r="BI2358" t="s">
        <v>85</v>
      </c>
    </row>
    <row r="2359" spans="1:61" x14ac:dyDescent="0.3">
      <c r="A2359" t="str">
        <f>"201152B0100"</f>
        <v>201152B0100</v>
      </c>
      <c r="B2359" t="s">
        <v>4817</v>
      </c>
      <c r="C2359">
        <v>20</v>
      </c>
      <c r="D2359" t="s">
        <v>79</v>
      </c>
      <c r="E2359">
        <v>11</v>
      </c>
      <c r="F2359" t="s">
        <v>4565</v>
      </c>
      <c r="G2359">
        <v>1152</v>
      </c>
      <c r="H2359">
        <v>1</v>
      </c>
      <c r="I2359" t="s">
        <v>81</v>
      </c>
      <c r="J2359">
        <v>0</v>
      </c>
      <c r="K2359">
        <v>2</v>
      </c>
      <c r="L2359">
        <v>2</v>
      </c>
      <c r="M2359">
        <v>121</v>
      </c>
      <c r="N2359">
        <v>355</v>
      </c>
      <c r="O2359">
        <v>0</v>
      </c>
      <c r="P2359">
        <v>355</v>
      </c>
      <c r="Q2359">
        <v>0</v>
      </c>
      <c r="R2359">
        <v>26</v>
      </c>
      <c r="S2359">
        <v>236</v>
      </c>
      <c r="T2359">
        <v>0</v>
      </c>
      <c r="U2359">
        <v>88</v>
      </c>
      <c r="V2359">
        <v>0</v>
      </c>
      <c r="W2359">
        <v>0</v>
      </c>
      <c r="X2359">
        <v>1</v>
      </c>
      <c r="Y2359">
        <v>2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T2359">
        <v>0</v>
      </c>
      <c r="AU2359">
        <v>2</v>
      </c>
      <c r="AV2359">
        <v>355</v>
      </c>
      <c r="AW2359">
        <v>355</v>
      </c>
      <c r="AX2359">
        <v>454</v>
      </c>
      <c r="BA2359">
        <v>1</v>
      </c>
      <c r="BC2359" t="s">
        <v>4818</v>
      </c>
      <c r="BD2359" s="4">
        <v>43283.104166666664</v>
      </c>
      <c r="BE2359" s="4">
        <v>43283.109398148146</v>
      </c>
      <c r="BF2359" s="4">
        <v>43283.109398148146</v>
      </c>
      <c r="BG2359" t="s">
        <v>83</v>
      </c>
      <c r="BH2359" t="s">
        <v>84</v>
      </c>
      <c r="BI2359" t="s">
        <v>85</v>
      </c>
    </row>
    <row r="2360" spans="1:61" x14ac:dyDescent="0.3">
      <c r="A2360" t="str">
        <f>"201152E0100"</f>
        <v>201152E0100</v>
      </c>
      <c r="B2360" s="2" t="s">
        <v>4819</v>
      </c>
      <c r="C2360">
        <v>20</v>
      </c>
      <c r="D2360" t="s">
        <v>79</v>
      </c>
      <c r="E2360">
        <v>11</v>
      </c>
      <c r="F2360" t="s">
        <v>4565</v>
      </c>
      <c r="G2360">
        <v>1152</v>
      </c>
      <c r="H2360">
        <v>1</v>
      </c>
      <c r="I2360" t="s">
        <v>145</v>
      </c>
      <c r="J2360">
        <v>0</v>
      </c>
      <c r="K2360">
        <v>2</v>
      </c>
      <c r="L2360">
        <v>2</v>
      </c>
      <c r="M2360">
        <v>37</v>
      </c>
      <c r="N2360">
        <v>125</v>
      </c>
      <c r="O2360">
        <v>1</v>
      </c>
      <c r="P2360">
        <v>125</v>
      </c>
      <c r="Q2360">
        <v>0</v>
      </c>
      <c r="R2360">
        <v>7</v>
      </c>
      <c r="S2360">
        <v>95</v>
      </c>
      <c r="T2360">
        <v>0</v>
      </c>
      <c r="U2360">
        <v>21</v>
      </c>
      <c r="V2360">
        <v>0</v>
      </c>
      <c r="W2360">
        <v>0</v>
      </c>
      <c r="X2360">
        <v>0</v>
      </c>
      <c r="Y2360">
        <v>2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T2360">
        <v>0</v>
      </c>
      <c r="AU2360">
        <v>0</v>
      </c>
      <c r="AV2360" t="s">
        <v>100</v>
      </c>
      <c r="AW2360">
        <v>125</v>
      </c>
      <c r="AX2360">
        <v>140</v>
      </c>
      <c r="BA2360">
        <v>1</v>
      </c>
      <c r="BC2360" t="s">
        <v>4820</v>
      </c>
      <c r="BD2360" s="4">
        <v>43283.103472222225</v>
      </c>
      <c r="BE2360" s="4">
        <v>43283.108472222222</v>
      </c>
      <c r="BF2360" s="4">
        <v>43283.108472222222</v>
      </c>
      <c r="BG2360" t="s">
        <v>83</v>
      </c>
      <c r="BH2360" t="s">
        <v>84</v>
      </c>
      <c r="BI2360" t="s">
        <v>85</v>
      </c>
    </row>
    <row r="2361" spans="1:61" x14ac:dyDescent="0.3">
      <c r="A2361" t="str">
        <f>"201153B0100"</f>
        <v>201153B0100</v>
      </c>
      <c r="B2361" t="s">
        <v>4821</v>
      </c>
      <c r="C2361">
        <v>20</v>
      </c>
      <c r="D2361" t="s">
        <v>79</v>
      </c>
      <c r="E2361">
        <v>11</v>
      </c>
      <c r="F2361" t="s">
        <v>4565</v>
      </c>
      <c r="G2361">
        <v>1153</v>
      </c>
      <c r="H2361">
        <v>1</v>
      </c>
      <c r="I2361" t="s">
        <v>81</v>
      </c>
      <c r="J2361">
        <v>0</v>
      </c>
      <c r="K2361">
        <v>2</v>
      </c>
      <c r="L2361">
        <v>2</v>
      </c>
      <c r="M2361">
        <v>221</v>
      </c>
      <c r="N2361">
        <v>481</v>
      </c>
      <c r="O2361">
        <v>0</v>
      </c>
      <c r="P2361">
        <v>481</v>
      </c>
      <c r="Q2361">
        <v>1</v>
      </c>
      <c r="R2361">
        <v>94</v>
      </c>
      <c r="S2361">
        <v>277</v>
      </c>
      <c r="T2361">
        <v>2</v>
      </c>
      <c r="U2361">
        <v>16</v>
      </c>
      <c r="V2361">
        <v>4</v>
      </c>
      <c r="W2361">
        <v>0</v>
      </c>
      <c r="X2361">
        <v>1</v>
      </c>
      <c r="Y2361">
        <v>64</v>
      </c>
      <c r="Z2361">
        <v>3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T2361">
        <v>0</v>
      </c>
      <c r="AU2361">
        <v>19</v>
      </c>
      <c r="AV2361">
        <v>481</v>
      </c>
      <c r="AW2361">
        <v>481</v>
      </c>
      <c r="AX2361">
        <v>680</v>
      </c>
      <c r="BA2361">
        <v>1</v>
      </c>
      <c r="BC2361" t="s">
        <v>4822</v>
      </c>
      <c r="BD2361" s="4">
        <v>43283.224212962959</v>
      </c>
      <c r="BE2361" s="4">
        <v>43283.246331018519</v>
      </c>
      <c r="BF2361" s="4">
        <v>43283.246331018519</v>
      </c>
      <c r="BG2361" t="s">
        <v>83</v>
      </c>
      <c r="BH2361" t="s">
        <v>84</v>
      </c>
      <c r="BI2361" t="s">
        <v>85</v>
      </c>
    </row>
    <row r="2362" spans="1:61" x14ac:dyDescent="0.3">
      <c r="A2362" t="str">
        <f>"201154B0100"</f>
        <v>201154B0100</v>
      </c>
      <c r="B2362" t="s">
        <v>4823</v>
      </c>
      <c r="C2362">
        <v>20</v>
      </c>
      <c r="D2362" t="s">
        <v>79</v>
      </c>
      <c r="E2362">
        <v>11</v>
      </c>
      <c r="F2362" t="s">
        <v>4565</v>
      </c>
      <c r="G2362">
        <v>1154</v>
      </c>
      <c r="H2362">
        <v>1</v>
      </c>
      <c r="I2362" t="s">
        <v>81</v>
      </c>
      <c r="J2362">
        <v>0</v>
      </c>
      <c r="K2362">
        <v>2</v>
      </c>
      <c r="L2362">
        <v>2</v>
      </c>
      <c r="M2362">
        <v>171</v>
      </c>
      <c r="N2362">
        <v>562</v>
      </c>
      <c r="O2362">
        <v>0</v>
      </c>
      <c r="P2362">
        <v>562</v>
      </c>
      <c r="Q2362">
        <v>2</v>
      </c>
      <c r="R2362">
        <v>87</v>
      </c>
      <c r="S2362">
        <v>245</v>
      </c>
      <c r="T2362">
        <v>3</v>
      </c>
      <c r="U2362">
        <v>25</v>
      </c>
      <c r="V2362" t="s">
        <v>100</v>
      </c>
      <c r="W2362" t="s">
        <v>100</v>
      </c>
      <c r="X2362">
        <v>1</v>
      </c>
      <c r="Y2362">
        <v>17</v>
      </c>
      <c r="Z2362" t="s">
        <v>100</v>
      </c>
      <c r="AA2362" t="s">
        <v>100</v>
      </c>
      <c r="AB2362" t="s">
        <v>100</v>
      </c>
      <c r="AC2362" t="s">
        <v>100</v>
      </c>
      <c r="AD2362" t="s">
        <v>100</v>
      </c>
      <c r="AE2362" t="s">
        <v>100</v>
      </c>
      <c r="AF2362">
        <v>1</v>
      </c>
      <c r="AG2362" t="s">
        <v>100</v>
      </c>
      <c r="AH2362">
        <v>1</v>
      </c>
      <c r="AI2362" t="s">
        <v>100</v>
      </c>
      <c r="AJ2362" t="s">
        <v>100</v>
      </c>
      <c r="AK2362" t="s">
        <v>100</v>
      </c>
      <c r="AL2362" t="s">
        <v>100</v>
      </c>
      <c r="AM2362" t="s">
        <v>100</v>
      </c>
      <c r="AN2362" t="s">
        <v>100</v>
      </c>
      <c r="AT2362" t="s">
        <v>100</v>
      </c>
      <c r="AU2362">
        <v>9</v>
      </c>
      <c r="AV2362">
        <v>391</v>
      </c>
      <c r="AW2362">
        <v>391</v>
      </c>
      <c r="AX2362">
        <v>540</v>
      </c>
      <c r="AZ2362" t="s">
        <v>101</v>
      </c>
      <c r="BA2362">
        <v>1</v>
      </c>
      <c r="BC2362" t="s">
        <v>4824</v>
      </c>
      <c r="BD2362" s="4">
        <v>43283.196979166663</v>
      </c>
      <c r="BE2362" s="4">
        <v>43283.214050925926</v>
      </c>
      <c r="BF2362" s="4">
        <v>43283.214050925926</v>
      </c>
      <c r="BG2362" t="s">
        <v>83</v>
      </c>
      <c r="BH2362" t="s">
        <v>84</v>
      </c>
      <c r="BI2362" t="s">
        <v>85</v>
      </c>
    </row>
    <row r="2363" spans="1:61" x14ac:dyDescent="0.3">
      <c r="A2363" t="str">
        <f>"201154C0100"</f>
        <v>201154C0100</v>
      </c>
      <c r="B2363" t="s">
        <v>4825</v>
      </c>
      <c r="C2363">
        <v>20</v>
      </c>
      <c r="D2363" t="s">
        <v>79</v>
      </c>
      <c r="E2363">
        <v>11</v>
      </c>
      <c r="F2363" t="s">
        <v>4565</v>
      </c>
      <c r="G2363">
        <v>1154</v>
      </c>
      <c r="H2363">
        <v>1</v>
      </c>
      <c r="I2363" t="s">
        <v>89</v>
      </c>
      <c r="J2363">
        <v>0</v>
      </c>
      <c r="K2363">
        <v>2</v>
      </c>
      <c r="L2363">
        <v>2</v>
      </c>
      <c r="M2363">
        <v>171</v>
      </c>
      <c r="N2363" t="s">
        <v>100</v>
      </c>
      <c r="O2363">
        <v>0</v>
      </c>
      <c r="P2363">
        <v>390</v>
      </c>
      <c r="Q2363">
        <v>4</v>
      </c>
      <c r="R2363">
        <v>88</v>
      </c>
      <c r="S2363">
        <v>260</v>
      </c>
      <c r="T2363">
        <v>0</v>
      </c>
      <c r="U2363">
        <v>15</v>
      </c>
      <c r="V2363">
        <v>1</v>
      </c>
      <c r="W2363" t="s">
        <v>100</v>
      </c>
      <c r="X2363">
        <v>1</v>
      </c>
      <c r="Y2363">
        <v>12</v>
      </c>
      <c r="Z2363">
        <v>1</v>
      </c>
      <c r="AA2363" t="s">
        <v>100</v>
      </c>
      <c r="AB2363" t="s">
        <v>100</v>
      </c>
      <c r="AC2363" t="s">
        <v>100</v>
      </c>
      <c r="AD2363" t="s">
        <v>100</v>
      </c>
      <c r="AE2363" t="s">
        <v>100</v>
      </c>
      <c r="AF2363" t="s">
        <v>100</v>
      </c>
      <c r="AG2363" t="s">
        <v>100</v>
      </c>
      <c r="AH2363" t="s">
        <v>100</v>
      </c>
      <c r="AI2363" t="s">
        <v>100</v>
      </c>
      <c r="AJ2363" t="s">
        <v>100</v>
      </c>
      <c r="AK2363" t="s">
        <v>100</v>
      </c>
      <c r="AL2363" t="s">
        <v>100</v>
      </c>
      <c r="AM2363" t="s">
        <v>100</v>
      </c>
      <c r="AN2363" t="s">
        <v>100</v>
      </c>
      <c r="AT2363" t="s">
        <v>100</v>
      </c>
      <c r="AU2363">
        <v>8</v>
      </c>
      <c r="AV2363">
        <v>390</v>
      </c>
      <c r="AW2363">
        <v>390</v>
      </c>
      <c r="AX2363">
        <v>539</v>
      </c>
      <c r="AZ2363" t="s">
        <v>101</v>
      </c>
      <c r="BA2363">
        <v>1</v>
      </c>
      <c r="BC2363" t="s">
        <v>4826</v>
      </c>
      <c r="BD2363" s="4">
        <v>43283.213240740741</v>
      </c>
      <c r="BE2363" s="4">
        <v>43283.232673611114</v>
      </c>
      <c r="BF2363" s="4">
        <v>43283.232673611114</v>
      </c>
      <c r="BG2363" t="s">
        <v>83</v>
      </c>
      <c r="BH2363" t="s">
        <v>84</v>
      </c>
      <c r="BI2363" t="s">
        <v>85</v>
      </c>
    </row>
    <row r="2364" spans="1:61" x14ac:dyDescent="0.3">
      <c r="A2364" t="str">
        <f>"201155B0100"</f>
        <v>201155B0100</v>
      </c>
      <c r="B2364" t="s">
        <v>4827</v>
      </c>
      <c r="C2364">
        <v>20</v>
      </c>
      <c r="D2364" t="s">
        <v>79</v>
      </c>
      <c r="E2364">
        <v>11</v>
      </c>
      <c r="F2364" t="s">
        <v>4565</v>
      </c>
      <c r="G2364">
        <v>1155</v>
      </c>
      <c r="H2364">
        <v>1</v>
      </c>
      <c r="I2364" t="s">
        <v>81</v>
      </c>
      <c r="J2364">
        <v>0</v>
      </c>
      <c r="K2364">
        <v>2</v>
      </c>
      <c r="L2364">
        <v>2</v>
      </c>
      <c r="M2364">
        <v>128</v>
      </c>
      <c r="N2364">
        <v>392</v>
      </c>
      <c r="O2364">
        <v>0</v>
      </c>
      <c r="P2364">
        <v>392</v>
      </c>
      <c r="Q2364">
        <v>1</v>
      </c>
      <c r="R2364">
        <v>94</v>
      </c>
      <c r="S2364">
        <v>178</v>
      </c>
      <c r="T2364">
        <v>0</v>
      </c>
      <c r="U2364">
        <v>50</v>
      </c>
      <c r="V2364">
        <v>2</v>
      </c>
      <c r="W2364">
        <v>1</v>
      </c>
      <c r="X2364">
        <v>1</v>
      </c>
      <c r="Y2364">
        <v>52</v>
      </c>
      <c r="Z2364">
        <v>3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T2364">
        <v>0</v>
      </c>
      <c r="AU2364">
        <v>10</v>
      </c>
      <c r="AV2364">
        <v>392</v>
      </c>
      <c r="AW2364">
        <v>392</v>
      </c>
      <c r="AX2364">
        <v>498</v>
      </c>
      <c r="BA2364">
        <v>1</v>
      </c>
      <c r="BC2364" t="s">
        <v>4828</v>
      </c>
      <c r="BD2364" s="4">
        <v>43283.107638888891</v>
      </c>
      <c r="BE2364" s="4">
        <v>43283.124421296299</v>
      </c>
      <c r="BF2364" s="4">
        <v>43283.124421296299</v>
      </c>
      <c r="BG2364" t="s">
        <v>83</v>
      </c>
      <c r="BH2364" t="s">
        <v>84</v>
      </c>
      <c r="BI2364" t="s">
        <v>85</v>
      </c>
    </row>
    <row r="2365" spans="1:61" x14ac:dyDescent="0.3">
      <c r="A2365" t="str">
        <f>"201155C0100"</f>
        <v>201155C0100</v>
      </c>
      <c r="B2365" t="s">
        <v>4829</v>
      </c>
      <c r="C2365">
        <v>20</v>
      </c>
      <c r="D2365" t="s">
        <v>79</v>
      </c>
      <c r="E2365">
        <v>11</v>
      </c>
      <c r="F2365" t="s">
        <v>4565</v>
      </c>
      <c r="G2365">
        <v>1155</v>
      </c>
      <c r="H2365">
        <v>1</v>
      </c>
      <c r="I2365" t="s">
        <v>89</v>
      </c>
      <c r="J2365">
        <v>0</v>
      </c>
      <c r="K2365">
        <v>2</v>
      </c>
      <c r="L2365">
        <v>2</v>
      </c>
      <c r="M2365">
        <v>122</v>
      </c>
      <c r="N2365">
        <v>520</v>
      </c>
      <c r="O2365" t="s">
        <v>100</v>
      </c>
      <c r="P2365">
        <v>398</v>
      </c>
      <c r="Q2365">
        <v>4</v>
      </c>
      <c r="R2365">
        <v>74</v>
      </c>
      <c r="S2365">
        <v>228</v>
      </c>
      <c r="T2365">
        <v>2</v>
      </c>
      <c r="U2365">
        <v>42</v>
      </c>
      <c r="V2365">
        <v>2</v>
      </c>
      <c r="W2365">
        <v>0</v>
      </c>
      <c r="X2365">
        <v>2</v>
      </c>
      <c r="Y2365">
        <v>3</v>
      </c>
      <c r="Z2365">
        <v>5</v>
      </c>
      <c r="AA2365">
        <v>0</v>
      </c>
      <c r="AB2365">
        <v>0</v>
      </c>
      <c r="AC2365" t="s">
        <v>100</v>
      </c>
      <c r="AD2365">
        <v>2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T2365" t="s">
        <v>100</v>
      </c>
      <c r="AU2365" t="s">
        <v>315</v>
      </c>
      <c r="AV2365">
        <v>364</v>
      </c>
      <c r="AW2365">
        <v>364</v>
      </c>
      <c r="AX2365">
        <v>498</v>
      </c>
      <c r="AZ2365" t="s">
        <v>101</v>
      </c>
      <c r="BA2365">
        <v>1</v>
      </c>
      <c r="BC2365" t="s">
        <v>4830</v>
      </c>
      <c r="BD2365" s="4">
        <v>43283.106944444444</v>
      </c>
      <c r="BE2365" s="4">
        <v>43283.121006944442</v>
      </c>
      <c r="BF2365" s="4">
        <v>43283.121006944442</v>
      </c>
      <c r="BG2365" t="s">
        <v>83</v>
      </c>
      <c r="BH2365" t="s">
        <v>84</v>
      </c>
      <c r="BI2365" t="s">
        <v>85</v>
      </c>
    </row>
    <row r="2366" spans="1:61" x14ac:dyDescent="0.3">
      <c r="A2366" t="str">
        <f>"201156B0100"</f>
        <v>201156B0100</v>
      </c>
      <c r="B2366" t="s">
        <v>4831</v>
      </c>
      <c r="C2366">
        <v>20</v>
      </c>
      <c r="D2366" t="s">
        <v>79</v>
      </c>
      <c r="E2366">
        <v>11</v>
      </c>
      <c r="F2366" t="s">
        <v>4565</v>
      </c>
      <c r="G2366">
        <v>1156</v>
      </c>
      <c r="H2366">
        <v>1</v>
      </c>
      <c r="I2366" t="s">
        <v>81</v>
      </c>
      <c r="J2366">
        <v>0</v>
      </c>
      <c r="K2366">
        <v>2</v>
      </c>
      <c r="L2366">
        <v>2</v>
      </c>
      <c r="M2366">
        <v>259</v>
      </c>
      <c r="N2366">
        <v>483</v>
      </c>
      <c r="O2366">
        <v>1</v>
      </c>
      <c r="P2366">
        <v>483</v>
      </c>
      <c r="Q2366">
        <v>8</v>
      </c>
      <c r="R2366">
        <v>39</v>
      </c>
      <c r="S2366">
        <v>202</v>
      </c>
      <c r="T2366">
        <v>1</v>
      </c>
      <c r="U2366">
        <v>142</v>
      </c>
      <c r="V2366">
        <v>3</v>
      </c>
      <c r="W2366">
        <v>1</v>
      </c>
      <c r="X2366">
        <v>1</v>
      </c>
      <c r="Y2366">
        <v>59</v>
      </c>
      <c r="Z2366">
        <v>3</v>
      </c>
      <c r="AA2366">
        <v>0</v>
      </c>
      <c r="AB2366">
        <v>0</v>
      </c>
      <c r="AC2366">
        <v>1</v>
      </c>
      <c r="AD2366">
        <v>2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1</v>
      </c>
      <c r="AM2366">
        <v>0</v>
      </c>
      <c r="AN2366">
        <v>0</v>
      </c>
      <c r="AT2366">
        <v>0</v>
      </c>
      <c r="AU2366">
        <v>20</v>
      </c>
      <c r="AV2366">
        <v>483</v>
      </c>
      <c r="AW2366">
        <v>483</v>
      </c>
      <c r="AX2366">
        <v>720</v>
      </c>
      <c r="BA2366">
        <v>1</v>
      </c>
      <c r="BC2366" t="s">
        <v>4832</v>
      </c>
      <c r="BD2366" s="4">
        <v>43283.152083333334</v>
      </c>
      <c r="BE2366" s="4">
        <v>43283.16134259259</v>
      </c>
      <c r="BF2366" s="4">
        <v>43283.16134259259</v>
      </c>
      <c r="BG2366" t="s">
        <v>83</v>
      </c>
      <c r="BH2366" t="s">
        <v>84</v>
      </c>
      <c r="BI2366" t="s">
        <v>85</v>
      </c>
    </row>
    <row r="2367" spans="1:61" x14ac:dyDescent="0.3">
      <c r="A2367" t="str">
        <f>"201156E0100"</f>
        <v>201156E0100</v>
      </c>
      <c r="B2367" s="2" t="s">
        <v>4833</v>
      </c>
      <c r="C2367">
        <v>20</v>
      </c>
      <c r="D2367" t="s">
        <v>79</v>
      </c>
      <c r="E2367">
        <v>11</v>
      </c>
      <c r="F2367" t="s">
        <v>4565</v>
      </c>
      <c r="G2367">
        <v>1156</v>
      </c>
      <c r="H2367">
        <v>1</v>
      </c>
      <c r="I2367" t="s">
        <v>145</v>
      </c>
      <c r="J2367">
        <v>0</v>
      </c>
      <c r="K2367">
        <v>2</v>
      </c>
      <c r="L2367">
        <v>2</v>
      </c>
      <c r="M2367">
        <v>111</v>
      </c>
      <c r="N2367">
        <v>269</v>
      </c>
      <c r="O2367">
        <v>0</v>
      </c>
      <c r="P2367">
        <v>269</v>
      </c>
      <c r="Q2367">
        <v>6</v>
      </c>
      <c r="R2367">
        <v>33</v>
      </c>
      <c r="S2367">
        <v>170</v>
      </c>
      <c r="T2367">
        <v>4</v>
      </c>
      <c r="U2367">
        <v>21</v>
      </c>
      <c r="V2367">
        <v>1</v>
      </c>
      <c r="W2367">
        <v>1</v>
      </c>
      <c r="X2367">
        <v>1</v>
      </c>
      <c r="Y2367">
        <v>15</v>
      </c>
      <c r="Z2367">
        <v>0</v>
      </c>
      <c r="AA2367">
        <v>0</v>
      </c>
      <c r="AB2367">
        <v>0</v>
      </c>
      <c r="AC2367">
        <v>2</v>
      </c>
      <c r="AD2367">
        <v>0</v>
      </c>
      <c r="AE2367">
        <v>0</v>
      </c>
      <c r="AF2367">
        <v>0</v>
      </c>
      <c r="AG2367">
        <v>2</v>
      </c>
      <c r="AH2367">
        <v>3</v>
      </c>
      <c r="AI2367">
        <v>0</v>
      </c>
      <c r="AJ2367">
        <v>0</v>
      </c>
      <c r="AK2367">
        <v>2</v>
      </c>
      <c r="AL2367">
        <v>0</v>
      </c>
      <c r="AM2367">
        <v>0</v>
      </c>
      <c r="AN2367">
        <v>0</v>
      </c>
      <c r="AT2367">
        <v>0</v>
      </c>
      <c r="AU2367">
        <v>8</v>
      </c>
      <c r="AV2367">
        <v>269</v>
      </c>
      <c r="AW2367">
        <v>269</v>
      </c>
      <c r="AX2367">
        <v>358</v>
      </c>
      <c r="BA2367">
        <v>1</v>
      </c>
      <c r="BC2367" t="s">
        <v>4834</v>
      </c>
      <c r="BD2367" s="4">
        <v>43283.151388888888</v>
      </c>
      <c r="BE2367" s="4">
        <v>43283.164421296293</v>
      </c>
      <c r="BF2367" s="4">
        <v>43283.164421296293</v>
      </c>
      <c r="BG2367" t="s">
        <v>83</v>
      </c>
      <c r="BH2367" t="s">
        <v>84</v>
      </c>
      <c r="BI2367" t="s">
        <v>85</v>
      </c>
    </row>
    <row r="2368" spans="1:61" x14ac:dyDescent="0.3">
      <c r="A2368" t="str">
        <f>"201157B0100"</f>
        <v>201157B0100</v>
      </c>
      <c r="B2368" t="s">
        <v>4835</v>
      </c>
      <c r="C2368">
        <v>20</v>
      </c>
      <c r="D2368" t="s">
        <v>79</v>
      </c>
      <c r="E2368">
        <v>11</v>
      </c>
      <c r="F2368" t="s">
        <v>4565</v>
      </c>
      <c r="G2368">
        <v>1157</v>
      </c>
      <c r="H2368">
        <v>1</v>
      </c>
      <c r="I2368" t="s">
        <v>81</v>
      </c>
      <c r="J2368">
        <v>0</v>
      </c>
      <c r="K2368">
        <v>2</v>
      </c>
      <c r="L2368">
        <v>2</v>
      </c>
      <c r="M2368">
        <v>213</v>
      </c>
      <c r="N2368">
        <v>440</v>
      </c>
      <c r="O2368">
        <v>0</v>
      </c>
      <c r="P2368">
        <v>440</v>
      </c>
      <c r="Q2368">
        <v>6</v>
      </c>
      <c r="R2368">
        <v>101</v>
      </c>
      <c r="S2368">
        <v>180</v>
      </c>
      <c r="T2368">
        <v>1</v>
      </c>
      <c r="U2368">
        <v>21</v>
      </c>
      <c r="V2368">
        <v>4</v>
      </c>
      <c r="W2368">
        <v>1</v>
      </c>
      <c r="X2368">
        <v>0</v>
      </c>
      <c r="Y2368">
        <v>93</v>
      </c>
      <c r="Z2368">
        <v>3</v>
      </c>
      <c r="AA2368">
        <v>0</v>
      </c>
      <c r="AB2368">
        <v>0</v>
      </c>
      <c r="AC2368">
        <v>2</v>
      </c>
      <c r="AD2368">
        <v>0</v>
      </c>
      <c r="AE2368">
        <v>0</v>
      </c>
      <c r="AF2368">
        <v>0</v>
      </c>
      <c r="AG2368">
        <v>5</v>
      </c>
      <c r="AH2368">
        <v>0</v>
      </c>
      <c r="AI2368">
        <v>0</v>
      </c>
      <c r="AJ2368">
        <v>0</v>
      </c>
      <c r="AK2368">
        <v>2</v>
      </c>
      <c r="AL2368">
        <v>0</v>
      </c>
      <c r="AM2368">
        <v>0</v>
      </c>
      <c r="AN2368">
        <v>0</v>
      </c>
      <c r="AT2368">
        <v>0</v>
      </c>
      <c r="AU2368">
        <v>21</v>
      </c>
      <c r="AV2368">
        <v>440</v>
      </c>
      <c r="AW2368">
        <v>440</v>
      </c>
      <c r="AX2368">
        <v>631</v>
      </c>
      <c r="BA2368">
        <v>1</v>
      </c>
      <c r="BC2368" t="s">
        <v>4836</v>
      </c>
      <c r="BD2368" s="4">
        <v>43283.247708333336</v>
      </c>
      <c r="BE2368" s="4">
        <v>43283.27134259259</v>
      </c>
      <c r="BF2368" s="4">
        <v>43283.27134259259</v>
      </c>
      <c r="BG2368" t="s">
        <v>83</v>
      </c>
      <c r="BH2368" t="s">
        <v>84</v>
      </c>
      <c r="BI2368" t="s">
        <v>85</v>
      </c>
    </row>
    <row r="2369" spans="1:61" x14ac:dyDescent="0.3">
      <c r="A2369" t="str">
        <f>"201157C0100"</f>
        <v>201157C0100</v>
      </c>
      <c r="B2369" t="s">
        <v>4837</v>
      </c>
      <c r="C2369">
        <v>20</v>
      </c>
      <c r="D2369" t="s">
        <v>79</v>
      </c>
      <c r="E2369">
        <v>11</v>
      </c>
      <c r="F2369" t="s">
        <v>4565</v>
      </c>
      <c r="G2369">
        <v>1157</v>
      </c>
      <c r="H2369">
        <v>1</v>
      </c>
      <c r="I2369" t="s">
        <v>89</v>
      </c>
      <c r="J2369">
        <v>0</v>
      </c>
      <c r="K2369">
        <v>2</v>
      </c>
      <c r="L2369">
        <v>2</v>
      </c>
      <c r="M2369">
        <v>241</v>
      </c>
      <c r="N2369">
        <v>411</v>
      </c>
      <c r="O2369">
        <v>0</v>
      </c>
      <c r="P2369">
        <v>411</v>
      </c>
      <c r="Q2369">
        <v>7</v>
      </c>
      <c r="R2369">
        <v>75</v>
      </c>
      <c r="S2369">
        <v>214</v>
      </c>
      <c r="T2369">
        <v>4</v>
      </c>
      <c r="U2369">
        <v>9</v>
      </c>
      <c r="V2369">
        <v>1</v>
      </c>
      <c r="W2369">
        <v>3</v>
      </c>
      <c r="X2369">
        <v>1</v>
      </c>
      <c r="Y2369">
        <v>4</v>
      </c>
      <c r="Z2369">
        <v>0</v>
      </c>
      <c r="AA2369">
        <v>0</v>
      </c>
      <c r="AB2369">
        <v>0</v>
      </c>
      <c r="AC2369">
        <v>0</v>
      </c>
      <c r="AD2369">
        <v>1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T2369">
        <v>0</v>
      </c>
      <c r="AU2369">
        <v>30</v>
      </c>
      <c r="AV2369">
        <v>411</v>
      </c>
      <c r="AW2369">
        <v>349</v>
      </c>
      <c r="AX2369">
        <v>630</v>
      </c>
      <c r="BA2369">
        <v>1</v>
      </c>
      <c r="BC2369" t="s">
        <v>4838</v>
      </c>
      <c r="BD2369" s="4">
        <v>43283.227210648147</v>
      </c>
      <c r="BE2369" s="4">
        <v>43283.266550925924</v>
      </c>
      <c r="BF2369" s="4">
        <v>43283.266550925924</v>
      </c>
      <c r="BG2369" t="s">
        <v>83</v>
      </c>
      <c r="BH2369" t="s">
        <v>84</v>
      </c>
      <c r="BI2369" t="s">
        <v>85</v>
      </c>
    </row>
    <row r="2370" spans="1:61" x14ac:dyDescent="0.3">
      <c r="A2370" t="str">
        <f>"201158B0100"</f>
        <v>201158B0100</v>
      </c>
      <c r="B2370" t="s">
        <v>4839</v>
      </c>
      <c r="C2370">
        <v>20</v>
      </c>
      <c r="D2370" t="s">
        <v>79</v>
      </c>
      <c r="E2370">
        <v>11</v>
      </c>
      <c r="F2370" t="s">
        <v>4565</v>
      </c>
      <c r="G2370">
        <v>1158</v>
      </c>
      <c r="H2370">
        <v>1</v>
      </c>
      <c r="I2370" t="s">
        <v>81</v>
      </c>
      <c r="J2370">
        <v>0</v>
      </c>
      <c r="K2370">
        <v>2</v>
      </c>
      <c r="L2370">
        <v>2</v>
      </c>
      <c r="M2370">
        <v>193</v>
      </c>
      <c r="N2370">
        <v>360</v>
      </c>
      <c r="O2370">
        <v>1</v>
      </c>
      <c r="P2370">
        <v>0</v>
      </c>
      <c r="Q2370">
        <v>7</v>
      </c>
      <c r="R2370">
        <v>62</v>
      </c>
      <c r="S2370">
        <v>139</v>
      </c>
      <c r="T2370">
        <v>4</v>
      </c>
      <c r="U2370">
        <v>62</v>
      </c>
      <c r="V2370">
        <v>6</v>
      </c>
      <c r="W2370">
        <v>2</v>
      </c>
      <c r="X2370">
        <v>0</v>
      </c>
      <c r="Y2370">
        <v>42</v>
      </c>
      <c r="Z2370">
        <v>1</v>
      </c>
      <c r="AA2370">
        <v>1</v>
      </c>
      <c r="AB2370">
        <v>1</v>
      </c>
      <c r="AC2370">
        <v>0</v>
      </c>
      <c r="AD2370">
        <v>4</v>
      </c>
      <c r="AE2370">
        <v>0</v>
      </c>
      <c r="AF2370">
        <v>0</v>
      </c>
      <c r="AG2370">
        <v>1</v>
      </c>
      <c r="AH2370">
        <v>5</v>
      </c>
      <c r="AI2370">
        <v>0</v>
      </c>
      <c r="AJ2370">
        <v>0</v>
      </c>
      <c r="AK2370">
        <v>2</v>
      </c>
      <c r="AL2370">
        <v>2</v>
      </c>
      <c r="AM2370">
        <v>0</v>
      </c>
      <c r="AN2370">
        <v>0</v>
      </c>
      <c r="AT2370">
        <v>0</v>
      </c>
      <c r="AU2370">
        <v>19</v>
      </c>
      <c r="AV2370">
        <v>360</v>
      </c>
      <c r="AW2370">
        <v>360</v>
      </c>
      <c r="AX2370">
        <v>531</v>
      </c>
      <c r="BA2370">
        <v>1</v>
      </c>
      <c r="BC2370" t="s">
        <v>4840</v>
      </c>
      <c r="BD2370" s="4">
        <v>43283.156944444447</v>
      </c>
      <c r="BE2370" s="4">
        <v>43283.16815972222</v>
      </c>
      <c r="BF2370" s="4">
        <v>43283.16815972222</v>
      </c>
      <c r="BG2370" t="s">
        <v>83</v>
      </c>
      <c r="BH2370" t="s">
        <v>84</v>
      </c>
      <c r="BI2370" t="s">
        <v>85</v>
      </c>
    </row>
    <row r="2371" spans="1:61" x14ac:dyDescent="0.3">
      <c r="A2371" t="str">
        <f>"201158C0100"</f>
        <v>201158C0100</v>
      </c>
      <c r="B2371" t="s">
        <v>4841</v>
      </c>
      <c r="C2371">
        <v>20</v>
      </c>
      <c r="D2371" t="s">
        <v>79</v>
      </c>
      <c r="E2371">
        <v>11</v>
      </c>
      <c r="F2371" t="s">
        <v>4565</v>
      </c>
      <c r="G2371">
        <v>1158</v>
      </c>
      <c r="H2371">
        <v>1</v>
      </c>
      <c r="I2371" t="s">
        <v>89</v>
      </c>
      <c r="J2371">
        <v>0</v>
      </c>
      <c r="K2371">
        <v>2</v>
      </c>
      <c r="L2371">
        <v>2</v>
      </c>
      <c r="M2371">
        <v>187</v>
      </c>
      <c r="N2371">
        <v>365</v>
      </c>
      <c r="O2371">
        <v>6</v>
      </c>
      <c r="P2371" t="s">
        <v>100</v>
      </c>
      <c r="Q2371">
        <v>11</v>
      </c>
      <c r="R2371">
        <v>45</v>
      </c>
      <c r="S2371">
        <v>170</v>
      </c>
      <c r="T2371">
        <v>7</v>
      </c>
      <c r="U2371">
        <v>60</v>
      </c>
      <c r="V2371">
        <v>4</v>
      </c>
      <c r="W2371" t="s">
        <v>100</v>
      </c>
      <c r="X2371">
        <v>2</v>
      </c>
      <c r="Y2371">
        <v>35</v>
      </c>
      <c r="Z2371">
        <v>6</v>
      </c>
      <c r="AA2371">
        <v>3</v>
      </c>
      <c r="AB2371" t="s">
        <v>100</v>
      </c>
      <c r="AC2371">
        <v>1</v>
      </c>
      <c r="AD2371" t="s">
        <v>100</v>
      </c>
      <c r="AE2371" t="s">
        <v>100</v>
      </c>
      <c r="AF2371" t="s">
        <v>100</v>
      </c>
      <c r="AG2371" t="s">
        <v>100</v>
      </c>
      <c r="AH2371" t="s">
        <v>100</v>
      </c>
      <c r="AI2371" t="s">
        <v>100</v>
      </c>
      <c r="AJ2371" t="s">
        <v>100</v>
      </c>
      <c r="AK2371" t="s">
        <v>100</v>
      </c>
      <c r="AL2371">
        <v>1</v>
      </c>
      <c r="AM2371" t="s">
        <v>100</v>
      </c>
      <c r="AN2371" t="s">
        <v>100</v>
      </c>
      <c r="AT2371" t="s">
        <v>100</v>
      </c>
      <c r="AU2371">
        <v>20</v>
      </c>
      <c r="AV2371">
        <v>365</v>
      </c>
      <c r="AW2371">
        <v>365</v>
      </c>
      <c r="AX2371">
        <v>530</v>
      </c>
      <c r="AZ2371" t="s">
        <v>101</v>
      </c>
      <c r="BA2371">
        <v>1</v>
      </c>
      <c r="BC2371" t="s">
        <v>4842</v>
      </c>
      <c r="BD2371" s="4">
        <v>43283.157638888886</v>
      </c>
      <c r="BE2371" s="4">
        <v>43283.168796296297</v>
      </c>
      <c r="BF2371" s="4">
        <v>43283.168796296297</v>
      </c>
      <c r="BG2371" t="s">
        <v>83</v>
      </c>
      <c r="BH2371" t="s">
        <v>84</v>
      </c>
      <c r="BI2371" t="s">
        <v>85</v>
      </c>
    </row>
    <row r="2372" spans="1:61" x14ac:dyDescent="0.3">
      <c r="A2372" t="str">
        <f>"201158E0100"</f>
        <v>201158E0100</v>
      </c>
      <c r="B2372" s="2" t="s">
        <v>4843</v>
      </c>
      <c r="C2372">
        <v>20</v>
      </c>
      <c r="D2372" t="s">
        <v>79</v>
      </c>
      <c r="E2372">
        <v>11</v>
      </c>
      <c r="F2372" t="s">
        <v>4565</v>
      </c>
      <c r="G2372">
        <v>1158</v>
      </c>
      <c r="H2372">
        <v>1</v>
      </c>
      <c r="I2372" t="s">
        <v>145</v>
      </c>
      <c r="J2372">
        <v>0</v>
      </c>
      <c r="K2372">
        <v>2</v>
      </c>
      <c r="L2372">
        <v>2</v>
      </c>
      <c r="M2372">
        <v>64</v>
      </c>
      <c r="N2372">
        <v>148</v>
      </c>
      <c r="O2372">
        <v>0</v>
      </c>
      <c r="P2372">
        <v>148</v>
      </c>
      <c r="Q2372">
        <v>0</v>
      </c>
      <c r="R2372">
        <v>11</v>
      </c>
      <c r="S2372">
        <v>95</v>
      </c>
      <c r="T2372">
        <v>0</v>
      </c>
      <c r="U2372">
        <v>27</v>
      </c>
      <c r="V2372">
        <v>0</v>
      </c>
      <c r="W2372">
        <v>0</v>
      </c>
      <c r="X2372">
        <v>0</v>
      </c>
      <c r="Y2372">
        <v>8</v>
      </c>
      <c r="Z2372">
        <v>0</v>
      </c>
      <c r="AA2372">
        <v>1</v>
      </c>
      <c r="AB2372">
        <v>0</v>
      </c>
      <c r="AC2372">
        <v>0</v>
      </c>
      <c r="AD2372">
        <v>1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1</v>
      </c>
      <c r="AM2372">
        <v>0</v>
      </c>
      <c r="AN2372">
        <v>0</v>
      </c>
      <c r="AT2372">
        <v>0</v>
      </c>
      <c r="AU2372">
        <v>4</v>
      </c>
      <c r="AV2372">
        <v>148</v>
      </c>
      <c r="AW2372">
        <v>148</v>
      </c>
      <c r="AX2372">
        <v>190</v>
      </c>
      <c r="BA2372">
        <v>1</v>
      </c>
      <c r="BC2372" t="s">
        <v>4844</v>
      </c>
      <c r="BD2372" s="4">
        <v>43283.157638888886</v>
      </c>
      <c r="BE2372" s="4">
        <v>43283.168032407404</v>
      </c>
      <c r="BF2372" s="4">
        <v>43283.168032407404</v>
      </c>
      <c r="BG2372" t="s">
        <v>83</v>
      </c>
      <c r="BH2372" t="s">
        <v>84</v>
      </c>
      <c r="BI2372" t="s">
        <v>85</v>
      </c>
    </row>
    <row r="2373" spans="1:61" x14ac:dyDescent="0.3">
      <c r="A2373" t="str">
        <f>"201159B0100"</f>
        <v>201159B0100</v>
      </c>
      <c r="B2373" t="s">
        <v>4845</v>
      </c>
      <c r="C2373">
        <v>20</v>
      </c>
      <c r="D2373" t="s">
        <v>79</v>
      </c>
      <c r="E2373">
        <v>11</v>
      </c>
      <c r="F2373" t="s">
        <v>4565</v>
      </c>
      <c r="G2373">
        <v>1159</v>
      </c>
      <c r="H2373">
        <v>1</v>
      </c>
      <c r="I2373" t="s">
        <v>81</v>
      </c>
      <c r="J2373">
        <v>0</v>
      </c>
      <c r="K2373">
        <v>2</v>
      </c>
      <c r="L2373">
        <v>2</v>
      </c>
      <c r="M2373">
        <v>144</v>
      </c>
      <c r="N2373">
        <v>378</v>
      </c>
      <c r="O2373">
        <v>1</v>
      </c>
      <c r="P2373">
        <v>0</v>
      </c>
      <c r="Q2373">
        <v>1</v>
      </c>
      <c r="R2373">
        <v>86</v>
      </c>
      <c r="S2373">
        <v>191</v>
      </c>
      <c r="T2373">
        <v>5</v>
      </c>
      <c r="U2373">
        <v>28</v>
      </c>
      <c r="V2373">
        <v>3</v>
      </c>
      <c r="W2373">
        <v>2</v>
      </c>
      <c r="X2373">
        <v>2</v>
      </c>
      <c r="Y2373">
        <v>32</v>
      </c>
      <c r="Z2373">
        <v>1</v>
      </c>
      <c r="AA2373">
        <v>0</v>
      </c>
      <c r="AB2373">
        <v>1</v>
      </c>
      <c r="AC2373">
        <v>0</v>
      </c>
      <c r="AD2373">
        <v>0</v>
      </c>
      <c r="AE2373">
        <v>0</v>
      </c>
      <c r="AF2373">
        <v>1</v>
      </c>
      <c r="AG2373">
        <v>2</v>
      </c>
      <c r="AH2373">
        <v>2</v>
      </c>
      <c r="AI2373">
        <v>1</v>
      </c>
      <c r="AJ2373">
        <v>0</v>
      </c>
      <c r="AK2373">
        <v>1</v>
      </c>
      <c r="AL2373">
        <v>1</v>
      </c>
      <c r="AM2373">
        <v>0</v>
      </c>
      <c r="AN2373">
        <v>0</v>
      </c>
      <c r="AT2373">
        <v>0</v>
      </c>
      <c r="AU2373">
        <v>18</v>
      </c>
      <c r="AV2373">
        <v>378</v>
      </c>
      <c r="AW2373">
        <v>378</v>
      </c>
      <c r="AX2373">
        <v>500</v>
      </c>
      <c r="BA2373">
        <v>1</v>
      </c>
      <c r="BC2373" t="s">
        <v>4846</v>
      </c>
      <c r="BD2373" s="4">
        <v>43283.241226851853</v>
      </c>
      <c r="BE2373" s="4">
        <v>43283.272499999999</v>
      </c>
      <c r="BF2373" s="4">
        <v>43283.272499999999</v>
      </c>
      <c r="BG2373" t="s">
        <v>83</v>
      </c>
      <c r="BH2373" t="s">
        <v>84</v>
      </c>
      <c r="BI2373" t="s">
        <v>85</v>
      </c>
    </row>
    <row r="2374" spans="1:61" x14ac:dyDescent="0.3">
      <c r="A2374" t="str">
        <f>"201159C0100"</f>
        <v>201159C0100</v>
      </c>
      <c r="B2374" t="s">
        <v>4847</v>
      </c>
      <c r="C2374">
        <v>20</v>
      </c>
      <c r="D2374" t="s">
        <v>79</v>
      </c>
      <c r="E2374">
        <v>11</v>
      </c>
      <c r="F2374" t="s">
        <v>4565</v>
      </c>
      <c r="G2374">
        <v>1159</v>
      </c>
      <c r="H2374">
        <v>1</v>
      </c>
      <c r="I2374" t="s">
        <v>89</v>
      </c>
      <c r="J2374">
        <v>0</v>
      </c>
      <c r="K2374">
        <v>2</v>
      </c>
      <c r="L2374">
        <v>2</v>
      </c>
      <c r="M2374">
        <v>241</v>
      </c>
      <c r="N2374">
        <v>411</v>
      </c>
      <c r="O2374">
        <v>0</v>
      </c>
      <c r="P2374">
        <v>411</v>
      </c>
      <c r="Q2374">
        <v>7</v>
      </c>
      <c r="R2374">
        <v>75</v>
      </c>
      <c r="S2374">
        <v>214</v>
      </c>
      <c r="T2374">
        <v>4</v>
      </c>
      <c r="U2374">
        <v>9</v>
      </c>
      <c r="V2374">
        <v>1</v>
      </c>
      <c r="W2374">
        <v>3</v>
      </c>
      <c r="X2374">
        <v>1</v>
      </c>
      <c r="Y2374">
        <v>4</v>
      </c>
      <c r="Z2374">
        <v>0</v>
      </c>
      <c r="AA2374">
        <v>0</v>
      </c>
      <c r="AB2374">
        <v>0</v>
      </c>
      <c r="AC2374">
        <v>0</v>
      </c>
      <c r="AD2374">
        <v>1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T2374">
        <v>0</v>
      </c>
      <c r="AU2374">
        <v>30</v>
      </c>
      <c r="AV2374">
        <v>411</v>
      </c>
      <c r="AW2374">
        <v>349</v>
      </c>
      <c r="AX2374">
        <v>500</v>
      </c>
      <c r="BA2374">
        <v>1</v>
      </c>
      <c r="BC2374" t="s">
        <v>4848</v>
      </c>
      <c r="BD2374" s="4">
        <v>43283.642372685186</v>
      </c>
      <c r="BE2374" s="4">
        <v>43283.650613425925</v>
      </c>
      <c r="BF2374" s="4">
        <v>43283.650613425925</v>
      </c>
      <c r="BG2374" t="s">
        <v>83</v>
      </c>
      <c r="BH2374" t="s">
        <v>84</v>
      </c>
      <c r="BI2374" t="s">
        <v>85</v>
      </c>
    </row>
    <row r="2375" spans="1:61" x14ac:dyDescent="0.3">
      <c r="A2375" t="str">
        <f>"201160B0100"</f>
        <v>201160B0100</v>
      </c>
      <c r="B2375" t="s">
        <v>4849</v>
      </c>
      <c r="C2375">
        <v>20</v>
      </c>
      <c r="D2375" t="s">
        <v>79</v>
      </c>
      <c r="E2375">
        <v>11</v>
      </c>
      <c r="F2375" t="s">
        <v>4565</v>
      </c>
      <c r="G2375">
        <v>1160</v>
      </c>
      <c r="H2375">
        <v>1</v>
      </c>
      <c r="I2375" t="s">
        <v>81</v>
      </c>
      <c r="J2375">
        <v>0</v>
      </c>
      <c r="K2375">
        <v>2</v>
      </c>
      <c r="L2375">
        <v>2</v>
      </c>
      <c r="M2375">
        <v>176</v>
      </c>
      <c r="N2375">
        <v>477</v>
      </c>
      <c r="O2375">
        <v>0</v>
      </c>
      <c r="P2375">
        <v>477</v>
      </c>
      <c r="Q2375">
        <v>1</v>
      </c>
      <c r="R2375">
        <v>124</v>
      </c>
      <c r="S2375">
        <v>312</v>
      </c>
      <c r="T2375">
        <v>0</v>
      </c>
      <c r="U2375">
        <v>21</v>
      </c>
      <c r="V2375">
        <v>0</v>
      </c>
      <c r="W2375">
        <v>0</v>
      </c>
      <c r="X2375">
        <v>2</v>
      </c>
      <c r="Y2375">
        <v>12</v>
      </c>
      <c r="Z2375">
        <v>1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T2375">
        <v>0</v>
      </c>
      <c r="AU2375">
        <v>4</v>
      </c>
      <c r="AV2375">
        <v>477</v>
      </c>
      <c r="AW2375">
        <v>477</v>
      </c>
      <c r="AX2375">
        <v>631</v>
      </c>
      <c r="BA2375">
        <v>1</v>
      </c>
      <c r="BC2375" t="s">
        <v>4850</v>
      </c>
      <c r="BD2375" s="4">
        <v>43283.120833333334</v>
      </c>
      <c r="BE2375" s="4">
        <v>43283.129236111112</v>
      </c>
      <c r="BF2375" s="4">
        <v>43283.129236111112</v>
      </c>
      <c r="BG2375" t="s">
        <v>83</v>
      </c>
      <c r="BH2375" t="s">
        <v>84</v>
      </c>
      <c r="BI2375" t="s">
        <v>85</v>
      </c>
    </row>
    <row r="2376" spans="1:61" x14ac:dyDescent="0.3">
      <c r="A2376" t="str">
        <f>"201160C0100"</f>
        <v>201160C0100</v>
      </c>
      <c r="B2376" t="s">
        <v>4851</v>
      </c>
      <c r="C2376">
        <v>20</v>
      </c>
      <c r="D2376" t="s">
        <v>79</v>
      </c>
      <c r="E2376">
        <v>11</v>
      </c>
      <c r="F2376" t="s">
        <v>4565</v>
      </c>
      <c r="G2376">
        <v>1160</v>
      </c>
      <c r="H2376">
        <v>1</v>
      </c>
      <c r="I2376" t="s">
        <v>89</v>
      </c>
      <c r="J2376">
        <v>0</v>
      </c>
      <c r="K2376">
        <v>2</v>
      </c>
      <c r="L2376">
        <v>2</v>
      </c>
      <c r="M2376">
        <v>143</v>
      </c>
      <c r="N2376">
        <v>508</v>
      </c>
      <c r="O2376">
        <v>0</v>
      </c>
      <c r="P2376">
        <v>508</v>
      </c>
      <c r="Q2376">
        <v>0</v>
      </c>
      <c r="R2376">
        <v>9</v>
      </c>
      <c r="S2376">
        <v>381</v>
      </c>
      <c r="T2376">
        <v>0</v>
      </c>
      <c r="U2376">
        <v>108</v>
      </c>
      <c r="V2376">
        <v>0</v>
      </c>
      <c r="W2376">
        <v>0</v>
      </c>
      <c r="X2376">
        <v>0</v>
      </c>
      <c r="Y2376">
        <v>9</v>
      </c>
      <c r="Z2376">
        <v>0</v>
      </c>
      <c r="AA2376" t="s">
        <v>100</v>
      </c>
      <c r="AB2376" t="s">
        <v>100</v>
      </c>
      <c r="AC2376">
        <v>0</v>
      </c>
      <c r="AD2376">
        <v>1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T2376" t="s">
        <v>100</v>
      </c>
      <c r="AU2376">
        <v>4</v>
      </c>
      <c r="AV2376">
        <v>508</v>
      </c>
      <c r="AW2376">
        <v>512</v>
      </c>
      <c r="AX2376">
        <v>630</v>
      </c>
      <c r="AZ2376" t="s">
        <v>101</v>
      </c>
      <c r="BA2376">
        <v>1</v>
      </c>
      <c r="BC2376" t="s">
        <v>4852</v>
      </c>
      <c r="BD2376" s="4">
        <v>43283.120138888888</v>
      </c>
      <c r="BE2376" s="4">
        <v>43283.141608796293</v>
      </c>
      <c r="BF2376" s="4">
        <v>43283.141608796293</v>
      </c>
      <c r="BG2376" t="s">
        <v>83</v>
      </c>
      <c r="BH2376" t="s">
        <v>84</v>
      </c>
      <c r="BI2376" t="s">
        <v>85</v>
      </c>
    </row>
    <row r="2377" spans="1:61" x14ac:dyDescent="0.3">
      <c r="A2377" t="str">
        <f>"201161B0100"</f>
        <v>201161B0100</v>
      </c>
      <c r="B2377" t="s">
        <v>4853</v>
      </c>
      <c r="C2377">
        <v>20</v>
      </c>
      <c r="D2377" t="s">
        <v>79</v>
      </c>
      <c r="E2377">
        <v>11</v>
      </c>
      <c r="F2377" t="s">
        <v>4565</v>
      </c>
      <c r="G2377">
        <v>1161</v>
      </c>
      <c r="H2377">
        <v>1</v>
      </c>
      <c r="I2377" t="s">
        <v>81</v>
      </c>
      <c r="J2377">
        <v>0</v>
      </c>
      <c r="K2377">
        <v>2</v>
      </c>
      <c r="L2377">
        <v>2</v>
      </c>
      <c r="M2377">
        <v>104</v>
      </c>
      <c r="N2377">
        <v>435</v>
      </c>
      <c r="O2377">
        <v>1</v>
      </c>
      <c r="P2377">
        <v>435</v>
      </c>
      <c r="Q2377">
        <v>1</v>
      </c>
      <c r="R2377">
        <v>5</v>
      </c>
      <c r="S2377">
        <v>264</v>
      </c>
      <c r="T2377" t="s">
        <v>100</v>
      </c>
      <c r="U2377">
        <v>27</v>
      </c>
      <c r="V2377" t="s">
        <v>100</v>
      </c>
      <c r="W2377" t="s">
        <v>100</v>
      </c>
      <c r="X2377">
        <v>2</v>
      </c>
      <c r="Y2377">
        <v>135</v>
      </c>
      <c r="Z2377" t="s">
        <v>100</v>
      </c>
      <c r="AA2377" t="s">
        <v>100</v>
      </c>
      <c r="AB2377" t="s">
        <v>100</v>
      </c>
      <c r="AC2377" t="s">
        <v>100</v>
      </c>
      <c r="AD2377" t="s">
        <v>100</v>
      </c>
      <c r="AE2377" t="s">
        <v>100</v>
      </c>
      <c r="AF2377" t="s">
        <v>100</v>
      </c>
      <c r="AG2377" t="s">
        <v>100</v>
      </c>
      <c r="AH2377" t="s">
        <v>100</v>
      </c>
      <c r="AI2377" t="s">
        <v>100</v>
      </c>
      <c r="AJ2377" t="s">
        <v>100</v>
      </c>
      <c r="AK2377" t="s">
        <v>100</v>
      </c>
      <c r="AL2377" t="s">
        <v>100</v>
      </c>
      <c r="AM2377" t="s">
        <v>100</v>
      </c>
      <c r="AN2377" t="s">
        <v>100</v>
      </c>
      <c r="AT2377" t="s">
        <v>100</v>
      </c>
      <c r="AU2377">
        <v>1</v>
      </c>
      <c r="AV2377">
        <v>435</v>
      </c>
      <c r="AW2377">
        <v>435</v>
      </c>
      <c r="AX2377">
        <v>517</v>
      </c>
      <c r="AZ2377" t="s">
        <v>101</v>
      </c>
      <c r="BA2377">
        <v>1</v>
      </c>
      <c r="BC2377" t="s">
        <v>4854</v>
      </c>
      <c r="BD2377" s="4">
        <v>43283.123611111114</v>
      </c>
      <c r="BE2377" s="4">
        <v>43283.13</v>
      </c>
      <c r="BF2377" s="4">
        <v>43283.13</v>
      </c>
      <c r="BG2377" t="s">
        <v>83</v>
      </c>
      <c r="BH2377" t="s">
        <v>84</v>
      </c>
      <c r="BI2377" t="s">
        <v>85</v>
      </c>
    </row>
    <row r="2378" spans="1:61" x14ac:dyDescent="0.3">
      <c r="A2378" t="str">
        <f>"201161C0100"</f>
        <v>201161C0100</v>
      </c>
      <c r="B2378" t="s">
        <v>4855</v>
      </c>
      <c r="C2378">
        <v>20</v>
      </c>
      <c r="D2378" t="s">
        <v>79</v>
      </c>
      <c r="E2378">
        <v>11</v>
      </c>
      <c r="F2378" t="s">
        <v>4565</v>
      </c>
      <c r="G2378">
        <v>1161</v>
      </c>
      <c r="H2378">
        <v>1</v>
      </c>
      <c r="I2378" t="s">
        <v>89</v>
      </c>
      <c r="J2378">
        <v>0</v>
      </c>
      <c r="K2378">
        <v>2</v>
      </c>
      <c r="L2378">
        <v>2</v>
      </c>
      <c r="M2378">
        <v>120</v>
      </c>
      <c r="N2378">
        <v>418</v>
      </c>
      <c r="O2378">
        <v>0</v>
      </c>
      <c r="P2378">
        <v>418</v>
      </c>
      <c r="Q2378">
        <v>0</v>
      </c>
      <c r="R2378">
        <v>5</v>
      </c>
      <c r="S2378">
        <v>262</v>
      </c>
      <c r="T2378">
        <v>0</v>
      </c>
      <c r="U2378">
        <v>47</v>
      </c>
      <c r="V2378">
        <v>0</v>
      </c>
      <c r="W2378">
        <v>0</v>
      </c>
      <c r="X2378">
        <v>0</v>
      </c>
      <c r="Y2378">
        <v>104</v>
      </c>
      <c r="Z2378">
        <v>0</v>
      </c>
      <c r="AA2378">
        <v>0</v>
      </c>
      <c r="AB2378" t="s">
        <v>100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T2378">
        <v>0</v>
      </c>
      <c r="AU2378">
        <v>0</v>
      </c>
      <c r="AV2378">
        <v>0</v>
      </c>
      <c r="AW2378">
        <v>418</v>
      </c>
      <c r="AX2378">
        <v>516</v>
      </c>
      <c r="AZ2378" t="s">
        <v>101</v>
      </c>
      <c r="BA2378">
        <v>1</v>
      </c>
      <c r="BC2378" s="2" t="s">
        <v>4856</v>
      </c>
      <c r="BD2378" s="4">
        <v>43283.122916666667</v>
      </c>
      <c r="BE2378" s="4">
        <v>43283.12771990741</v>
      </c>
      <c r="BF2378" s="4">
        <v>43283.12771990741</v>
      </c>
      <c r="BG2378" t="s">
        <v>83</v>
      </c>
      <c r="BH2378" t="s">
        <v>84</v>
      </c>
      <c r="BI2378" t="s">
        <v>85</v>
      </c>
    </row>
    <row r="2379" spans="1:61" x14ac:dyDescent="0.3">
      <c r="A2379" t="str">
        <f>"201189B0100"</f>
        <v>201189B0100</v>
      </c>
      <c r="B2379" t="s">
        <v>4857</v>
      </c>
      <c r="C2379">
        <v>20</v>
      </c>
      <c r="D2379" t="s">
        <v>79</v>
      </c>
      <c r="E2379">
        <v>11</v>
      </c>
      <c r="F2379" t="s">
        <v>4565</v>
      </c>
      <c r="G2379">
        <v>1189</v>
      </c>
      <c r="H2379">
        <v>1</v>
      </c>
      <c r="I2379" t="s">
        <v>81</v>
      </c>
      <c r="J2379">
        <v>0</v>
      </c>
      <c r="K2379">
        <v>2</v>
      </c>
      <c r="L2379">
        <v>2</v>
      </c>
      <c r="M2379">
        <v>257</v>
      </c>
      <c r="N2379">
        <v>734</v>
      </c>
      <c r="O2379">
        <v>734</v>
      </c>
      <c r="P2379">
        <v>477</v>
      </c>
      <c r="Q2379">
        <v>12</v>
      </c>
      <c r="R2379">
        <v>56</v>
      </c>
      <c r="S2379">
        <v>15</v>
      </c>
      <c r="T2379">
        <v>2</v>
      </c>
      <c r="U2379">
        <v>29</v>
      </c>
      <c r="V2379">
        <v>8</v>
      </c>
      <c r="W2379">
        <v>13</v>
      </c>
      <c r="X2379">
        <v>24</v>
      </c>
      <c r="Y2379">
        <v>270</v>
      </c>
      <c r="Z2379">
        <v>15</v>
      </c>
      <c r="AA2379">
        <v>0</v>
      </c>
      <c r="AB2379">
        <v>1</v>
      </c>
      <c r="AC2379">
        <v>0</v>
      </c>
      <c r="AD2379">
        <v>0</v>
      </c>
      <c r="AE2379">
        <v>0</v>
      </c>
      <c r="AF2379">
        <v>0</v>
      </c>
      <c r="AG2379">
        <v>2</v>
      </c>
      <c r="AH2379">
        <v>1</v>
      </c>
      <c r="AI2379">
        <v>0</v>
      </c>
      <c r="AJ2379">
        <v>0</v>
      </c>
      <c r="AK2379">
        <v>7</v>
      </c>
      <c r="AL2379">
        <v>0</v>
      </c>
      <c r="AM2379">
        <v>1</v>
      </c>
      <c r="AN2379">
        <v>5</v>
      </c>
      <c r="AT2379" t="s">
        <v>100</v>
      </c>
      <c r="AU2379">
        <v>16</v>
      </c>
      <c r="AV2379">
        <v>477</v>
      </c>
      <c r="AW2379">
        <v>477</v>
      </c>
      <c r="AX2379">
        <v>712</v>
      </c>
      <c r="AZ2379" t="s">
        <v>101</v>
      </c>
      <c r="BA2379">
        <v>1</v>
      </c>
      <c r="BC2379" t="s">
        <v>4858</v>
      </c>
      <c r="BD2379" s="4">
        <v>43283.125</v>
      </c>
      <c r="BE2379" s="4">
        <v>43283.147326388891</v>
      </c>
      <c r="BF2379" s="4">
        <v>43283.147326388891</v>
      </c>
      <c r="BG2379" t="s">
        <v>83</v>
      </c>
      <c r="BH2379" t="s">
        <v>84</v>
      </c>
      <c r="BI2379" t="s">
        <v>85</v>
      </c>
    </row>
    <row r="2380" spans="1:61" x14ac:dyDescent="0.3">
      <c r="A2380" t="str">
        <f>"201189E0100"</f>
        <v>201189E0100</v>
      </c>
      <c r="B2380" s="2" t="s">
        <v>4859</v>
      </c>
      <c r="C2380">
        <v>20</v>
      </c>
      <c r="D2380" t="s">
        <v>79</v>
      </c>
      <c r="E2380">
        <v>11</v>
      </c>
      <c r="F2380" t="s">
        <v>4565</v>
      </c>
      <c r="G2380">
        <v>1189</v>
      </c>
      <c r="H2380">
        <v>1</v>
      </c>
      <c r="I2380" t="s">
        <v>145</v>
      </c>
      <c r="J2380">
        <v>0</v>
      </c>
      <c r="K2380">
        <v>2</v>
      </c>
      <c r="L2380">
        <v>2</v>
      </c>
      <c r="M2380">
        <v>85</v>
      </c>
      <c r="N2380">
        <v>165</v>
      </c>
      <c r="O2380">
        <v>1</v>
      </c>
      <c r="P2380">
        <v>165</v>
      </c>
      <c r="Q2380">
        <v>13</v>
      </c>
      <c r="R2380">
        <v>6</v>
      </c>
      <c r="S2380">
        <v>16</v>
      </c>
      <c r="T2380">
        <v>1</v>
      </c>
      <c r="U2380">
        <v>20</v>
      </c>
      <c r="V2380">
        <v>8</v>
      </c>
      <c r="W2380">
        <v>1</v>
      </c>
      <c r="X2380">
        <v>6</v>
      </c>
      <c r="Y2380">
        <v>76</v>
      </c>
      <c r="Z2380">
        <v>8</v>
      </c>
      <c r="AA2380">
        <v>0</v>
      </c>
      <c r="AB2380">
        <v>1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1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T2380">
        <v>0</v>
      </c>
      <c r="AU2380">
        <v>8</v>
      </c>
      <c r="AV2380">
        <v>165</v>
      </c>
      <c r="AW2380">
        <v>165</v>
      </c>
      <c r="AX2380">
        <v>228</v>
      </c>
      <c r="BA2380">
        <v>1</v>
      </c>
      <c r="BC2380" t="s">
        <v>4860</v>
      </c>
      <c r="BD2380" s="4">
        <v>43283.662303240744</v>
      </c>
      <c r="BE2380" s="4">
        <v>43283.667581018519</v>
      </c>
      <c r="BF2380" s="4">
        <v>43283.667581018519</v>
      </c>
      <c r="BG2380" t="s">
        <v>83</v>
      </c>
      <c r="BH2380" t="s">
        <v>84</v>
      </c>
      <c r="BI2380" t="s">
        <v>85</v>
      </c>
    </row>
    <row r="2381" spans="1:61" x14ac:dyDescent="0.3">
      <c r="A2381" t="str">
        <f>"201189E0200"</f>
        <v>201189E0200</v>
      </c>
      <c r="B2381" s="2" t="s">
        <v>4861</v>
      </c>
      <c r="C2381">
        <v>20</v>
      </c>
      <c r="D2381" t="s">
        <v>79</v>
      </c>
      <c r="E2381">
        <v>11</v>
      </c>
      <c r="F2381" t="s">
        <v>4565</v>
      </c>
      <c r="G2381">
        <v>1189</v>
      </c>
      <c r="H2381">
        <v>2</v>
      </c>
      <c r="I2381" t="s">
        <v>145</v>
      </c>
      <c r="J2381">
        <v>0</v>
      </c>
      <c r="K2381">
        <v>2</v>
      </c>
      <c r="L2381">
        <v>2</v>
      </c>
      <c r="M2381">
        <v>112</v>
      </c>
      <c r="N2381" t="s">
        <v>315</v>
      </c>
      <c r="O2381">
        <v>1</v>
      </c>
      <c r="P2381" t="s">
        <v>315</v>
      </c>
      <c r="Q2381">
        <v>5</v>
      </c>
      <c r="R2381">
        <v>6</v>
      </c>
      <c r="S2381">
        <v>7</v>
      </c>
      <c r="T2381">
        <v>1</v>
      </c>
      <c r="U2381">
        <v>20</v>
      </c>
      <c r="V2381">
        <v>3</v>
      </c>
      <c r="W2381">
        <v>0</v>
      </c>
      <c r="X2381">
        <v>2</v>
      </c>
      <c r="Y2381">
        <v>89</v>
      </c>
      <c r="Z2381">
        <v>3</v>
      </c>
      <c r="AA2381">
        <v>1</v>
      </c>
      <c r="AB2381">
        <v>1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1</v>
      </c>
      <c r="AM2381" t="s">
        <v>100</v>
      </c>
      <c r="AN2381">
        <v>4</v>
      </c>
      <c r="AT2381" t="s">
        <v>100</v>
      </c>
      <c r="AU2381">
        <v>10</v>
      </c>
      <c r="AV2381" t="s">
        <v>315</v>
      </c>
      <c r="AW2381">
        <v>153</v>
      </c>
      <c r="AX2381">
        <v>243</v>
      </c>
      <c r="AZ2381" t="s">
        <v>101</v>
      </c>
      <c r="BA2381">
        <v>1</v>
      </c>
      <c r="BC2381" t="s">
        <v>4862</v>
      </c>
      <c r="BD2381" s="4">
        <v>43283.124305555553</v>
      </c>
      <c r="BE2381" s="4">
        <v>43283.130578703705</v>
      </c>
      <c r="BF2381" s="4">
        <v>43283.130578703705</v>
      </c>
      <c r="BG2381" t="s">
        <v>83</v>
      </c>
      <c r="BH2381" t="s">
        <v>84</v>
      </c>
      <c r="BI2381" t="s">
        <v>85</v>
      </c>
    </row>
    <row r="2382" spans="1:61" x14ac:dyDescent="0.3">
      <c r="A2382" t="str">
        <f>"201189E0300"</f>
        <v>201189E0300</v>
      </c>
      <c r="B2382" s="2" t="s">
        <v>4863</v>
      </c>
      <c r="C2382">
        <v>20</v>
      </c>
      <c r="D2382" t="s">
        <v>79</v>
      </c>
      <c r="E2382">
        <v>11</v>
      </c>
      <c r="F2382" t="s">
        <v>4565</v>
      </c>
      <c r="G2382">
        <v>1189</v>
      </c>
      <c r="H2382">
        <v>3</v>
      </c>
      <c r="I2382" t="s">
        <v>145</v>
      </c>
      <c r="J2382">
        <v>0</v>
      </c>
      <c r="K2382">
        <v>2</v>
      </c>
      <c r="L2382">
        <v>2</v>
      </c>
      <c r="M2382">
        <v>80</v>
      </c>
      <c r="N2382">
        <v>168</v>
      </c>
      <c r="O2382">
        <v>0</v>
      </c>
      <c r="P2382">
        <v>168</v>
      </c>
      <c r="Q2382">
        <v>10</v>
      </c>
      <c r="R2382">
        <v>21</v>
      </c>
      <c r="S2382">
        <v>4</v>
      </c>
      <c r="T2382">
        <v>1</v>
      </c>
      <c r="U2382">
        <v>7</v>
      </c>
      <c r="V2382">
        <v>11</v>
      </c>
      <c r="W2382">
        <v>2</v>
      </c>
      <c r="X2382">
        <v>1</v>
      </c>
      <c r="Y2382">
        <v>88</v>
      </c>
      <c r="Z2382">
        <v>4</v>
      </c>
      <c r="AA2382">
        <v>0</v>
      </c>
      <c r="AB2382">
        <v>0</v>
      </c>
      <c r="AC2382">
        <v>1</v>
      </c>
      <c r="AD2382">
        <v>1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6</v>
      </c>
      <c r="AL2382">
        <v>0</v>
      </c>
      <c r="AM2382">
        <v>0</v>
      </c>
      <c r="AN2382">
        <v>1</v>
      </c>
      <c r="AT2382" t="s">
        <v>100</v>
      </c>
      <c r="AU2382">
        <v>10</v>
      </c>
      <c r="AV2382">
        <v>168</v>
      </c>
      <c r="AW2382">
        <v>168</v>
      </c>
      <c r="AX2382">
        <v>226</v>
      </c>
      <c r="AZ2382" t="s">
        <v>101</v>
      </c>
      <c r="BA2382">
        <v>1</v>
      </c>
      <c r="BC2382" t="s">
        <v>4864</v>
      </c>
      <c r="BD2382" s="4">
        <v>43283.125</v>
      </c>
      <c r="BE2382" s="4">
        <v>43283.128819444442</v>
      </c>
      <c r="BF2382" s="4">
        <v>43283.128819444442</v>
      </c>
      <c r="BG2382" t="s">
        <v>83</v>
      </c>
      <c r="BH2382" t="s">
        <v>84</v>
      </c>
      <c r="BI2382" t="s">
        <v>85</v>
      </c>
    </row>
    <row r="2383" spans="1:61" x14ac:dyDescent="0.3">
      <c r="A2383" t="str">
        <f>"201189E0400"</f>
        <v>201189E0400</v>
      </c>
      <c r="B2383" s="2" t="s">
        <v>4865</v>
      </c>
      <c r="C2383">
        <v>20</v>
      </c>
      <c r="D2383" t="s">
        <v>79</v>
      </c>
      <c r="E2383">
        <v>11</v>
      </c>
      <c r="F2383" t="s">
        <v>4565</v>
      </c>
      <c r="G2383">
        <v>1189</v>
      </c>
      <c r="H2383">
        <v>4</v>
      </c>
      <c r="I2383" t="s">
        <v>145</v>
      </c>
      <c r="J2383">
        <v>0</v>
      </c>
      <c r="K2383">
        <v>2</v>
      </c>
      <c r="L2383">
        <v>2</v>
      </c>
      <c r="M2383">
        <v>134</v>
      </c>
      <c r="N2383">
        <v>190</v>
      </c>
      <c r="O2383">
        <v>2</v>
      </c>
      <c r="P2383">
        <v>190</v>
      </c>
      <c r="Q2383">
        <v>18</v>
      </c>
      <c r="R2383">
        <v>8</v>
      </c>
      <c r="S2383">
        <v>5</v>
      </c>
      <c r="T2383">
        <v>6</v>
      </c>
      <c r="U2383">
        <v>9</v>
      </c>
      <c r="V2383">
        <v>74</v>
      </c>
      <c r="W2383">
        <v>2</v>
      </c>
      <c r="X2383">
        <v>1</v>
      </c>
      <c r="Y2383">
        <v>40</v>
      </c>
      <c r="Z2383">
        <v>3</v>
      </c>
      <c r="AA2383">
        <v>1</v>
      </c>
      <c r="AB2383">
        <v>1</v>
      </c>
      <c r="AC2383">
        <v>2</v>
      </c>
      <c r="AD2383">
        <v>0</v>
      </c>
      <c r="AE2383">
        <v>3</v>
      </c>
      <c r="AF2383">
        <v>2</v>
      </c>
      <c r="AG2383">
        <v>0</v>
      </c>
      <c r="AH2383">
        <v>1</v>
      </c>
      <c r="AI2383">
        <v>1</v>
      </c>
      <c r="AJ2383">
        <v>1</v>
      </c>
      <c r="AK2383">
        <v>4</v>
      </c>
      <c r="AL2383">
        <v>3</v>
      </c>
      <c r="AM2383">
        <v>0</v>
      </c>
      <c r="AN2383">
        <v>0</v>
      </c>
      <c r="AT2383">
        <v>1</v>
      </c>
      <c r="AU2383">
        <v>6</v>
      </c>
      <c r="AV2383">
        <v>190</v>
      </c>
      <c r="AW2383">
        <v>192</v>
      </c>
      <c r="AX2383">
        <v>302</v>
      </c>
      <c r="BA2383">
        <v>1</v>
      </c>
      <c r="BC2383" t="s">
        <v>4866</v>
      </c>
      <c r="BD2383" s="4">
        <v>43283.15347222222</v>
      </c>
      <c r="BE2383" s="4">
        <v>43283.166608796295</v>
      </c>
      <c r="BF2383" s="4">
        <v>43283.166608796295</v>
      </c>
      <c r="BG2383" t="s">
        <v>83</v>
      </c>
      <c r="BH2383" t="s">
        <v>84</v>
      </c>
      <c r="BI2383" t="s">
        <v>85</v>
      </c>
    </row>
    <row r="2384" spans="1:61" x14ac:dyDescent="0.3">
      <c r="A2384" t="str">
        <f>"201189E0500"</f>
        <v>201189E0500</v>
      </c>
      <c r="B2384" s="2" t="s">
        <v>4867</v>
      </c>
      <c r="C2384">
        <v>20</v>
      </c>
      <c r="D2384" t="s">
        <v>79</v>
      </c>
      <c r="E2384">
        <v>11</v>
      </c>
      <c r="F2384" t="s">
        <v>4565</v>
      </c>
      <c r="G2384">
        <v>1189</v>
      </c>
      <c r="H2384">
        <v>5</v>
      </c>
      <c r="I2384" t="s">
        <v>145</v>
      </c>
      <c r="J2384">
        <v>0</v>
      </c>
      <c r="K2384">
        <v>2</v>
      </c>
      <c r="L2384">
        <v>2</v>
      </c>
      <c r="M2384">
        <v>52</v>
      </c>
      <c r="N2384">
        <v>152</v>
      </c>
      <c r="O2384">
        <v>1</v>
      </c>
      <c r="P2384">
        <v>152</v>
      </c>
      <c r="Q2384">
        <v>1</v>
      </c>
      <c r="R2384">
        <v>41</v>
      </c>
      <c r="S2384">
        <v>3</v>
      </c>
      <c r="T2384">
        <v>1</v>
      </c>
      <c r="U2384">
        <v>10</v>
      </c>
      <c r="V2384">
        <v>2</v>
      </c>
      <c r="W2384">
        <v>0</v>
      </c>
      <c r="X2384">
        <v>0</v>
      </c>
      <c r="Y2384">
        <v>71</v>
      </c>
      <c r="Z2384">
        <v>7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2</v>
      </c>
      <c r="AH2384">
        <v>3</v>
      </c>
      <c r="AI2384">
        <v>0</v>
      </c>
      <c r="AJ2384">
        <v>0</v>
      </c>
      <c r="AK2384">
        <v>3</v>
      </c>
      <c r="AL2384">
        <v>0</v>
      </c>
      <c r="AM2384">
        <v>0</v>
      </c>
      <c r="AN2384">
        <v>5</v>
      </c>
      <c r="AT2384">
        <v>0</v>
      </c>
      <c r="AU2384">
        <v>4</v>
      </c>
      <c r="AV2384">
        <v>152</v>
      </c>
      <c r="AW2384">
        <v>153</v>
      </c>
      <c r="AX2384">
        <v>182</v>
      </c>
      <c r="BA2384">
        <v>1</v>
      </c>
      <c r="BC2384" s="2" t="s">
        <v>4868</v>
      </c>
      <c r="BD2384" s="4">
        <v>43283.255150462966</v>
      </c>
      <c r="BE2384" s="4">
        <v>43283.280416666668</v>
      </c>
      <c r="BF2384" s="4">
        <v>43283.280416666668</v>
      </c>
      <c r="BG2384" t="s">
        <v>83</v>
      </c>
      <c r="BH2384" t="s">
        <v>84</v>
      </c>
      <c r="BI2384" t="s">
        <v>85</v>
      </c>
    </row>
    <row r="2385" spans="1:61" x14ac:dyDescent="0.3">
      <c r="A2385" t="str">
        <f>"201192B0100"</f>
        <v>201192B0100</v>
      </c>
      <c r="B2385" t="s">
        <v>4869</v>
      </c>
      <c r="C2385">
        <v>20</v>
      </c>
      <c r="D2385" t="s">
        <v>79</v>
      </c>
      <c r="E2385">
        <v>11</v>
      </c>
      <c r="F2385" t="s">
        <v>4565</v>
      </c>
      <c r="G2385">
        <v>1192</v>
      </c>
      <c r="H2385">
        <v>1</v>
      </c>
      <c r="I2385" t="s">
        <v>81</v>
      </c>
      <c r="J2385">
        <v>0</v>
      </c>
      <c r="K2385">
        <v>2</v>
      </c>
      <c r="L2385">
        <v>2</v>
      </c>
      <c r="AX2385">
        <v>492</v>
      </c>
      <c r="AZ2385" t="s">
        <v>156</v>
      </c>
      <c r="BA2385">
        <v>0</v>
      </c>
      <c r="BC2385" t="s">
        <v>4870</v>
      </c>
      <c r="BD2385" s="4">
        <v>43283.770486111112</v>
      </c>
      <c r="BE2385" s="4">
        <v>43283.77270833333</v>
      </c>
      <c r="BF2385" s="4">
        <v>43283.77270833333</v>
      </c>
      <c r="BG2385" t="s">
        <v>83</v>
      </c>
      <c r="BH2385" t="s">
        <v>84</v>
      </c>
      <c r="BI2385" t="s">
        <v>85</v>
      </c>
    </row>
    <row r="2386" spans="1:61" x14ac:dyDescent="0.3">
      <c r="A2386" t="str">
        <f>"201192E0100"</f>
        <v>201192E0100</v>
      </c>
      <c r="B2386" s="2" t="s">
        <v>4871</v>
      </c>
      <c r="C2386">
        <v>20</v>
      </c>
      <c r="D2386" t="s">
        <v>79</v>
      </c>
      <c r="E2386">
        <v>11</v>
      </c>
      <c r="F2386" t="s">
        <v>4565</v>
      </c>
      <c r="G2386">
        <v>1192</v>
      </c>
      <c r="H2386">
        <v>1</v>
      </c>
      <c r="I2386" t="s">
        <v>145</v>
      </c>
      <c r="J2386">
        <v>0</v>
      </c>
      <c r="K2386">
        <v>2</v>
      </c>
      <c r="L2386">
        <v>2</v>
      </c>
      <c r="M2386">
        <v>223</v>
      </c>
      <c r="N2386">
        <v>225</v>
      </c>
      <c r="O2386">
        <v>2</v>
      </c>
      <c r="P2386">
        <v>225</v>
      </c>
      <c r="Q2386">
        <v>26</v>
      </c>
      <c r="R2386">
        <v>46</v>
      </c>
      <c r="S2386">
        <v>8</v>
      </c>
      <c r="T2386">
        <v>4</v>
      </c>
      <c r="U2386">
        <v>6</v>
      </c>
      <c r="V2386">
        <v>22</v>
      </c>
      <c r="W2386">
        <v>4</v>
      </c>
      <c r="X2386">
        <v>44</v>
      </c>
      <c r="Y2386">
        <v>46</v>
      </c>
      <c r="Z2386">
        <v>4</v>
      </c>
      <c r="AA2386">
        <v>1</v>
      </c>
      <c r="AB2386">
        <v>1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1</v>
      </c>
      <c r="AI2386">
        <v>1</v>
      </c>
      <c r="AJ2386">
        <v>0</v>
      </c>
      <c r="AK2386">
        <v>4</v>
      </c>
      <c r="AL2386">
        <v>0</v>
      </c>
      <c r="AM2386">
        <v>0</v>
      </c>
      <c r="AN2386">
        <v>0</v>
      </c>
      <c r="AT2386">
        <v>0</v>
      </c>
      <c r="AU2386">
        <v>7</v>
      </c>
      <c r="AV2386">
        <v>225</v>
      </c>
      <c r="AW2386">
        <v>225</v>
      </c>
      <c r="AX2386">
        <v>379</v>
      </c>
      <c r="BA2386">
        <v>1</v>
      </c>
      <c r="BC2386" t="s">
        <v>4872</v>
      </c>
      <c r="BD2386" s="4">
        <v>43283.151388888888</v>
      </c>
      <c r="BE2386" s="4">
        <v>43283.160983796297</v>
      </c>
      <c r="BF2386" s="4">
        <v>43283.160983796297</v>
      </c>
      <c r="BG2386" t="s">
        <v>83</v>
      </c>
      <c r="BH2386" t="s">
        <v>84</v>
      </c>
      <c r="BI2386" t="s">
        <v>85</v>
      </c>
    </row>
    <row r="2387" spans="1:61" x14ac:dyDescent="0.3">
      <c r="A2387" t="str">
        <f>"201338B0100"</f>
        <v>201338B0100</v>
      </c>
      <c r="B2387" t="s">
        <v>4873</v>
      </c>
      <c r="C2387">
        <v>20</v>
      </c>
      <c r="D2387" t="s">
        <v>79</v>
      </c>
      <c r="E2387">
        <v>11</v>
      </c>
      <c r="F2387" t="s">
        <v>4565</v>
      </c>
      <c r="G2387">
        <v>1338</v>
      </c>
      <c r="H2387">
        <v>1</v>
      </c>
      <c r="I2387" t="s">
        <v>81</v>
      </c>
      <c r="J2387">
        <v>0</v>
      </c>
      <c r="K2387">
        <v>1</v>
      </c>
      <c r="L2387">
        <v>2</v>
      </c>
      <c r="M2387">
        <v>151</v>
      </c>
      <c r="N2387">
        <v>328</v>
      </c>
      <c r="O2387">
        <v>1</v>
      </c>
      <c r="P2387">
        <v>328</v>
      </c>
      <c r="Q2387">
        <v>6</v>
      </c>
      <c r="R2387">
        <v>167</v>
      </c>
      <c r="S2387">
        <v>6</v>
      </c>
      <c r="T2387">
        <v>2</v>
      </c>
      <c r="U2387">
        <v>22</v>
      </c>
      <c r="V2387">
        <v>0</v>
      </c>
      <c r="W2387">
        <v>2</v>
      </c>
      <c r="X2387">
        <v>3</v>
      </c>
      <c r="Y2387">
        <v>87</v>
      </c>
      <c r="Z2387">
        <v>3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1</v>
      </c>
      <c r="AG2387">
        <v>2</v>
      </c>
      <c r="AH2387">
        <v>7</v>
      </c>
      <c r="AI2387">
        <v>0</v>
      </c>
      <c r="AJ2387">
        <v>0</v>
      </c>
      <c r="AK2387">
        <v>2</v>
      </c>
      <c r="AL2387">
        <v>0</v>
      </c>
      <c r="AM2387">
        <v>0</v>
      </c>
      <c r="AN2387">
        <v>1</v>
      </c>
      <c r="AT2387">
        <v>0</v>
      </c>
      <c r="AU2387">
        <v>17</v>
      </c>
      <c r="AV2387">
        <v>328</v>
      </c>
      <c r="AW2387">
        <v>328</v>
      </c>
      <c r="AX2387">
        <v>457</v>
      </c>
      <c r="BA2387">
        <v>1</v>
      </c>
      <c r="BC2387" t="s">
        <v>4874</v>
      </c>
      <c r="BD2387" s="4">
        <v>43283.115972222222</v>
      </c>
      <c r="BE2387" s="4">
        <v>43283.122094907405</v>
      </c>
      <c r="BF2387" s="4">
        <v>43283.122094907405</v>
      </c>
      <c r="BG2387" t="s">
        <v>83</v>
      </c>
      <c r="BH2387" t="s">
        <v>84</v>
      </c>
      <c r="BI2387" t="s">
        <v>85</v>
      </c>
    </row>
    <row r="2388" spans="1:61" x14ac:dyDescent="0.3">
      <c r="A2388" t="str">
        <f>"201338C0100"</f>
        <v>201338C0100</v>
      </c>
      <c r="B2388" t="s">
        <v>4875</v>
      </c>
      <c r="C2388">
        <v>20</v>
      </c>
      <c r="D2388" t="s">
        <v>79</v>
      </c>
      <c r="E2388">
        <v>11</v>
      </c>
      <c r="F2388" t="s">
        <v>4565</v>
      </c>
      <c r="G2388">
        <v>1338</v>
      </c>
      <c r="H2388">
        <v>1</v>
      </c>
      <c r="I2388" t="s">
        <v>89</v>
      </c>
      <c r="J2388">
        <v>0</v>
      </c>
      <c r="K2388">
        <v>1</v>
      </c>
      <c r="L2388">
        <v>2</v>
      </c>
      <c r="M2388">
        <v>180</v>
      </c>
      <c r="N2388" t="s">
        <v>315</v>
      </c>
      <c r="O2388">
        <v>0</v>
      </c>
      <c r="P2388">
        <v>298</v>
      </c>
      <c r="Q2388">
        <v>4</v>
      </c>
      <c r="R2388">
        <v>126</v>
      </c>
      <c r="S2388">
        <v>11</v>
      </c>
      <c r="T2388">
        <v>4</v>
      </c>
      <c r="U2388">
        <v>26</v>
      </c>
      <c r="V2388">
        <v>3</v>
      </c>
      <c r="W2388">
        <v>1</v>
      </c>
      <c r="X2388">
        <v>10</v>
      </c>
      <c r="Y2388">
        <v>82</v>
      </c>
      <c r="Z2388">
        <v>2</v>
      </c>
      <c r="AA2388">
        <v>1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2</v>
      </c>
      <c r="AH2388">
        <v>6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T2388">
        <v>0</v>
      </c>
      <c r="AU2388">
        <v>20</v>
      </c>
      <c r="AV2388">
        <v>298</v>
      </c>
      <c r="AW2388">
        <v>298</v>
      </c>
      <c r="AX2388">
        <v>456</v>
      </c>
      <c r="BA2388">
        <v>1</v>
      </c>
      <c r="BC2388" t="s">
        <v>4876</v>
      </c>
      <c r="BD2388" s="4">
        <v>43283.115277777775</v>
      </c>
      <c r="BE2388" s="4">
        <v>43283.12572916667</v>
      </c>
      <c r="BF2388" s="4">
        <v>43283.12572916667</v>
      </c>
      <c r="BG2388" t="s">
        <v>83</v>
      </c>
      <c r="BH2388" t="s">
        <v>84</v>
      </c>
      <c r="BI2388" t="s">
        <v>85</v>
      </c>
    </row>
    <row r="2389" spans="1:61" x14ac:dyDescent="0.3">
      <c r="A2389" t="str">
        <f>"201339B0100"</f>
        <v>201339B0100</v>
      </c>
      <c r="B2389" t="s">
        <v>4877</v>
      </c>
      <c r="C2389">
        <v>20</v>
      </c>
      <c r="D2389" t="s">
        <v>79</v>
      </c>
      <c r="E2389">
        <v>11</v>
      </c>
      <c r="F2389" t="s">
        <v>4565</v>
      </c>
      <c r="G2389">
        <v>1339</v>
      </c>
      <c r="H2389">
        <v>1</v>
      </c>
      <c r="I2389" t="s">
        <v>81</v>
      </c>
      <c r="J2389">
        <v>0</v>
      </c>
      <c r="K2389">
        <v>1</v>
      </c>
      <c r="L2389">
        <v>2</v>
      </c>
      <c r="M2389">
        <v>104</v>
      </c>
      <c r="N2389">
        <v>225</v>
      </c>
      <c r="O2389">
        <v>2</v>
      </c>
      <c r="P2389">
        <v>225</v>
      </c>
      <c r="Q2389">
        <v>2</v>
      </c>
      <c r="R2389">
        <v>80</v>
      </c>
      <c r="S2389">
        <v>3</v>
      </c>
      <c r="T2389">
        <v>1</v>
      </c>
      <c r="U2389">
        <v>8</v>
      </c>
      <c r="V2389">
        <v>4</v>
      </c>
      <c r="W2389">
        <v>1</v>
      </c>
      <c r="X2389">
        <v>3</v>
      </c>
      <c r="Y2389">
        <v>103</v>
      </c>
      <c r="Z2389">
        <v>3</v>
      </c>
      <c r="AA2389">
        <v>0</v>
      </c>
      <c r="AB2389">
        <v>2</v>
      </c>
      <c r="AC2389">
        <v>0</v>
      </c>
      <c r="AD2389">
        <v>0</v>
      </c>
      <c r="AE2389">
        <v>0</v>
      </c>
      <c r="AF2389">
        <v>0</v>
      </c>
      <c r="AG2389">
        <v>1</v>
      </c>
      <c r="AH2389">
        <v>0</v>
      </c>
      <c r="AI2389">
        <v>1</v>
      </c>
      <c r="AJ2389">
        <v>0</v>
      </c>
      <c r="AK2389">
        <v>1</v>
      </c>
      <c r="AL2389">
        <v>2</v>
      </c>
      <c r="AM2389">
        <v>0</v>
      </c>
      <c r="AN2389">
        <v>0</v>
      </c>
      <c r="AT2389">
        <v>0</v>
      </c>
      <c r="AU2389">
        <v>9</v>
      </c>
      <c r="AV2389">
        <v>225</v>
      </c>
      <c r="AW2389">
        <v>224</v>
      </c>
      <c r="AX2389">
        <v>307</v>
      </c>
      <c r="BA2389">
        <v>1</v>
      </c>
      <c r="BC2389" s="2" t="s">
        <v>4878</v>
      </c>
      <c r="BD2389" s="4">
        <v>43283.116666666669</v>
      </c>
      <c r="BE2389" s="4">
        <v>43283.122465277775</v>
      </c>
      <c r="BF2389" s="4">
        <v>43283.122465277775</v>
      </c>
      <c r="BG2389" t="s">
        <v>83</v>
      </c>
      <c r="BH2389" t="s">
        <v>84</v>
      </c>
      <c r="BI2389" t="s">
        <v>85</v>
      </c>
    </row>
    <row r="2390" spans="1:61" x14ac:dyDescent="0.3">
      <c r="A2390" t="str">
        <f>"201339E0100"</f>
        <v>201339E0100</v>
      </c>
      <c r="B2390" s="2" t="s">
        <v>4879</v>
      </c>
      <c r="C2390">
        <v>20</v>
      </c>
      <c r="D2390" t="s">
        <v>79</v>
      </c>
      <c r="E2390">
        <v>11</v>
      </c>
      <c r="F2390" t="s">
        <v>4565</v>
      </c>
      <c r="G2390">
        <v>1339</v>
      </c>
      <c r="H2390">
        <v>1</v>
      </c>
      <c r="I2390" t="s">
        <v>145</v>
      </c>
      <c r="J2390">
        <v>0</v>
      </c>
      <c r="K2390">
        <v>2</v>
      </c>
      <c r="L2390">
        <v>2</v>
      </c>
      <c r="M2390">
        <v>178</v>
      </c>
      <c r="N2390">
        <v>220</v>
      </c>
      <c r="O2390">
        <v>0</v>
      </c>
      <c r="P2390">
        <v>220</v>
      </c>
      <c r="Q2390">
        <v>4</v>
      </c>
      <c r="R2390">
        <v>96</v>
      </c>
      <c r="S2390">
        <v>9</v>
      </c>
      <c r="T2390">
        <v>4</v>
      </c>
      <c r="U2390">
        <v>26</v>
      </c>
      <c r="V2390">
        <v>0</v>
      </c>
      <c r="W2390">
        <v>2</v>
      </c>
      <c r="X2390">
        <v>4</v>
      </c>
      <c r="Y2390">
        <v>64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1</v>
      </c>
      <c r="AH2390">
        <v>1</v>
      </c>
      <c r="AI2390">
        <v>0</v>
      </c>
      <c r="AJ2390">
        <v>0</v>
      </c>
      <c r="AK2390">
        <v>1</v>
      </c>
      <c r="AL2390">
        <v>0</v>
      </c>
      <c r="AM2390">
        <v>1</v>
      </c>
      <c r="AN2390">
        <v>0</v>
      </c>
      <c r="AT2390">
        <v>0</v>
      </c>
      <c r="AU2390">
        <v>7</v>
      </c>
      <c r="AV2390">
        <v>220</v>
      </c>
      <c r="AW2390">
        <v>220</v>
      </c>
      <c r="AX2390">
        <v>376</v>
      </c>
      <c r="BA2390">
        <v>1</v>
      </c>
      <c r="BC2390" t="s">
        <v>4880</v>
      </c>
      <c r="BD2390" s="4">
        <v>43283.115972222222</v>
      </c>
      <c r="BE2390" s="4">
        <v>43283.12122685185</v>
      </c>
      <c r="BF2390" s="4">
        <v>43283.12122685185</v>
      </c>
      <c r="BG2390" t="s">
        <v>83</v>
      </c>
      <c r="BH2390" t="s">
        <v>84</v>
      </c>
      <c r="BI2390" t="s">
        <v>85</v>
      </c>
    </row>
    <row r="2391" spans="1:61" x14ac:dyDescent="0.3">
      <c r="A2391" t="str">
        <f>"201340B0100"</f>
        <v>201340B0100</v>
      </c>
      <c r="B2391" t="s">
        <v>4881</v>
      </c>
      <c r="C2391">
        <v>20</v>
      </c>
      <c r="D2391" t="s">
        <v>79</v>
      </c>
      <c r="E2391">
        <v>11</v>
      </c>
      <c r="F2391" t="s">
        <v>4565</v>
      </c>
      <c r="G2391">
        <v>1340</v>
      </c>
      <c r="H2391">
        <v>1</v>
      </c>
      <c r="I2391" t="s">
        <v>81</v>
      </c>
      <c r="J2391">
        <v>0</v>
      </c>
      <c r="K2391">
        <v>2</v>
      </c>
      <c r="L2391">
        <v>2</v>
      </c>
      <c r="M2391">
        <v>128</v>
      </c>
      <c r="N2391">
        <v>129</v>
      </c>
      <c r="O2391">
        <v>0</v>
      </c>
      <c r="P2391">
        <v>129</v>
      </c>
      <c r="Q2391">
        <v>7</v>
      </c>
      <c r="R2391">
        <v>18</v>
      </c>
      <c r="S2391">
        <v>11</v>
      </c>
      <c r="T2391">
        <v>0</v>
      </c>
      <c r="U2391">
        <v>10</v>
      </c>
      <c r="V2391">
        <v>3</v>
      </c>
      <c r="W2391">
        <v>1</v>
      </c>
      <c r="X2391">
        <v>0</v>
      </c>
      <c r="Y2391">
        <v>73</v>
      </c>
      <c r="Z2391">
        <v>1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T2391">
        <v>0</v>
      </c>
      <c r="AU2391">
        <v>5</v>
      </c>
      <c r="AV2391">
        <v>129</v>
      </c>
      <c r="AW2391">
        <v>129</v>
      </c>
      <c r="AX2391">
        <v>235</v>
      </c>
      <c r="BA2391">
        <v>1</v>
      </c>
      <c r="BC2391" t="s">
        <v>4882</v>
      </c>
      <c r="BD2391" s="4">
        <v>43283.601550925923</v>
      </c>
      <c r="BE2391" s="4">
        <v>43283.605046296296</v>
      </c>
      <c r="BF2391" s="4">
        <v>43283.605046296296</v>
      </c>
      <c r="BG2391" t="s">
        <v>83</v>
      </c>
      <c r="BH2391" t="s">
        <v>84</v>
      </c>
      <c r="BI2391" t="s">
        <v>85</v>
      </c>
    </row>
    <row r="2392" spans="1:61" x14ac:dyDescent="0.3">
      <c r="A2392" t="str">
        <f>"201340E0100"</f>
        <v>201340E0100</v>
      </c>
      <c r="B2392" s="2" t="s">
        <v>4883</v>
      </c>
      <c r="C2392">
        <v>20</v>
      </c>
      <c r="D2392" t="s">
        <v>79</v>
      </c>
      <c r="E2392">
        <v>11</v>
      </c>
      <c r="F2392" t="s">
        <v>4565</v>
      </c>
      <c r="G2392">
        <v>1340</v>
      </c>
      <c r="H2392">
        <v>1</v>
      </c>
      <c r="I2392" t="s">
        <v>145</v>
      </c>
      <c r="J2392">
        <v>0</v>
      </c>
      <c r="K2392">
        <v>2</v>
      </c>
      <c r="L2392">
        <v>2</v>
      </c>
      <c r="M2392">
        <v>163</v>
      </c>
      <c r="N2392">
        <v>300</v>
      </c>
      <c r="O2392">
        <v>0</v>
      </c>
      <c r="P2392">
        <v>137</v>
      </c>
      <c r="Q2392">
        <v>5</v>
      </c>
      <c r="R2392">
        <v>82</v>
      </c>
      <c r="S2392">
        <v>7</v>
      </c>
      <c r="T2392">
        <v>4</v>
      </c>
      <c r="U2392">
        <v>3</v>
      </c>
      <c r="V2392">
        <v>2</v>
      </c>
      <c r="W2392">
        <v>1</v>
      </c>
      <c r="X2392">
        <v>1</v>
      </c>
      <c r="Y2392">
        <v>22</v>
      </c>
      <c r="Z2392">
        <v>1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1</v>
      </c>
      <c r="AH2392">
        <v>0</v>
      </c>
      <c r="AI2392">
        <v>1</v>
      </c>
      <c r="AJ2392">
        <v>1</v>
      </c>
      <c r="AK2392">
        <v>2</v>
      </c>
      <c r="AL2392">
        <v>0</v>
      </c>
      <c r="AM2392">
        <v>0</v>
      </c>
      <c r="AN2392">
        <v>0</v>
      </c>
      <c r="AT2392">
        <v>0</v>
      </c>
      <c r="AU2392">
        <v>4</v>
      </c>
      <c r="AV2392">
        <v>137</v>
      </c>
      <c r="AW2392">
        <v>137</v>
      </c>
      <c r="AX2392">
        <v>278</v>
      </c>
      <c r="BA2392">
        <v>1</v>
      </c>
      <c r="BC2392" t="s">
        <v>4884</v>
      </c>
      <c r="BD2392" s="4">
        <v>43283.326377314814</v>
      </c>
      <c r="BE2392" s="4">
        <v>43283.345983796295</v>
      </c>
      <c r="BF2392" s="4">
        <v>43283.345983796295</v>
      </c>
      <c r="BG2392" t="s">
        <v>83</v>
      </c>
      <c r="BH2392" t="s">
        <v>84</v>
      </c>
      <c r="BI2392" t="s">
        <v>85</v>
      </c>
    </row>
    <row r="2393" spans="1:61" x14ac:dyDescent="0.3">
      <c r="A2393" t="str">
        <f>"201342B0100"</f>
        <v>201342B0100</v>
      </c>
      <c r="B2393" t="s">
        <v>4885</v>
      </c>
      <c r="C2393">
        <v>20</v>
      </c>
      <c r="D2393" t="s">
        <v>79</v>
      </c>
      <c r="E2393">
        <v>11</v>
      </c>
      <c r="F2393" t="s">
        <v>4565</v>
      </c>
      <c r="G2393">
        <v>1342</v>
      </c>
      <c r="H2393">
        <v>1</v>
      </c>
      <c r="I2393" t="s">
        <v>81</v>
      </c>
      <c r="J2393">
        <v>0</v>
      </c>
      <c r="K2393">
        <v>2</v>
      </c>
      <c r="L2393">
        <v>2</v>
      </c>
      <c r="M2393">
        <v>151</v>
      </c>
      <c r="N2393">
        <v>243</v>
      </c>
      <c r="O2393">
        <v>1</v>
      </c>
      <c r="P2393">
        <v>243</v>
      </c>
      <c r="Q2393">
        <v>0</v>
      </c>
      <c r="R2393">
        <v>148</v>
      </c>
      <c r="S2393">
        <v>8</v>
      </c>
      <c r="T2393">
        <v>0</v>
      </c>
      <c r="U2393">
        <v>3</v>
      </c>
      <c r="V2393">
        <v>0</v>
      </c>
      <c r="W2393">
        <v>0</v>
      </c>
      <c r="X2393">
        <v>2</v>
      </c>
      <c r="Y2393">
        <v>74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T2393">
        <v>0</v>
      </c>
      <c r="AU2393">
        <v>8</v>
      </c>
      <c r="AV2393">
        <v>243</v>
      </c>
      <c r="AW2393">
        <v>243</v>
      </c>
      <c r="AX2393">
        <v>372</v>
      </c>
      <c r="BA2393">
        <v>1</v>
      </c>
      <c r="BC2393" t="s">
        <v>4886</v>
      </c>
      <c r="BD2393" s="4">
        <v>43283.248124999998</v>
      </c>
      <c r="BE2393" s="4">
        <v>43283.273784722223</v>
      </c>
      <c r="BF2393" s="4">
        <v>43283.273784722223</v>
      </c>
      <c r="BG2393" t="s">
        <v>83</v>
      </c>
      <c r="BH2393" t="s">
        <v>84</v>
      </c>
      <c r="BI2393" t="s">
        <v>85</v>
      </c>
    </row>
    <row r="2394" spans="1:61" x14ac:dyDescent="0.3">
      <c r="A2394" t="str">
        <f>"201343B0100"</f>
        <v>201343B0100</v>
      </c>
      <c r="B2394" t="s">
        <v>4887</v>
      </c>
      <c r="C2394">
        <v>20</v>
      </c>
      <c r="D2394" t="s">
        <v>79</v>
      </c>
      <c r="E2394">
        <v>11</v>
      </c>
      <c r="F2394" t="s">
        <v>4565</v>
      </c>
      <c r="G2394">
        <v>1343</v>
      </c>
      <c r="H2394">
        <v>1</v>
      </c>
      <c r="I2394" t="s">
        <v>81</v>
      </c>
      <c r="J2394">
        <v>0</v>
      </c>
      <c r="K2394">
        <v>2</v>
      </c>
      <c r="L2394">
        <v>2</v>
      </c>
      <c r="AX2394">
        <v>541</v>
      </c>
      <c r="AZ2394" t="s">
        <v>156</v>
      </c>
      <c r="BA2394">
        <v>0</v>
      </c>
      <c r="BC2394" t="s">
        <v>4888</v>
      </c>
      <c r="BD2394" s="4">
        <v>43283.770162037035</v>
      </c>
      <c r="BE2394" s="4">
        <v>43283.772546296299</v>
      </c>
      <c r="BF2394" s="4">
        <v>43283.772546296299</v>
      </c>
      <c r="BG2394" t="s">
        <v>83</v>
      </c>
      <c r="BH2394" t="s">
        <v>84</v>
      </c>
      <c r="BI2394" t="s">
        <v>85</v>
      </c>
    </row>
    <row r="2395" spans="1:61" x14ac:dyDescent="0.3">
      <c r="A2395" t="str">
        <f>"201343C0100"</f>
        <v>201343C0100</v>
      </c>
      <c r="B2395" t="s">
        <v>4889</v>
      </c>
      <c r="C2395">
        <v>20</v>
      </c>
      <c r="D2395" t="s">
        <v>79</v>
      </c>
      <c r="E2395">
        <v>11</v>
      </c>
      <c r="F2395" t="s">
        <v>4565</v>
      </c>
      <c r="G2395">
        <v>1343</v>
      </c>
      <c r="H2395">
        <v>1</v>
      </c>
      <c r="I2395" t="s">
        <v>89</v>
      </c>
      <c r="J2395">
        <v>0</v>
      </c>
      <c r="K2395">
        <v>2</v>
      </c>
      <c r="L2395">
        <v>2</v>
      </c>
      <c r="M2395">
        <v>105</v>
      </c>
      <c r="N2395" t="s">
        <v>100</v>
      </c>
      <c r="O2395">
        <v>0</v>
      </c>
      <c r="P2395">
        <v>351</v>
      </c>
      <c r="Q2395">
        <v>6</v>
      </c>
      <c r="R2395">
        <v>151</v>
      </c>
      <c r="S2395">
        <v>8</v>
      </c>
      <c r="T2395">
        <v>17</v>
      </c>
      <c r="U2395">
        <v>17</v>
      </c>
      <c r="V2395">
        <v>3</v>
      </c>
      <c r="W2395">
        <v>0</v>
      </c>
      <c r="X2395">
        <v>3</v>
      </c>
      <c r="Y2395">
        <v>99</v>
      </c>
      <c r="Z2395">
        <v>0</v>
      </c>
      <c r="AA2395">
        <v>0</v>
      </c>
      <c r="AB2395">
        <v>1</v>
      </c>
      <c r="AC2395" t="s">
        <v>100</v>
      </c>
      <c r="AD2395" t="s">
        <v>100</v>
      </c>
      <c r="AE2395" t="s">
        <v>100</v>
      </c>
      <c r="AF2395" t="s">
        <v>100</v>
      </c>
      <c r="AG2395">
        <v>8</v>
      </c>
      <c r="AH2395" t="s">
        <v>100</v>
      </c>
      <c r="AI2395" t="s">
        <v>100</v>
      </c>
      <c r="AJ2395" t="s">
        <v>100</v>
      </c>
      <c r="AK2395" t="s">
        <v>100</v>
      </c>
      <c r="AL2395" t="s">
        <v>100</v>
      </c>
      <c r="AM2395">
        <v>2</v>
      </c>
      <c r="AN2395" t="s">
        <v>100</v>
      </c>
      <c r="AT2395" t="s">
        <v>100</v>
      </c>
      <c r="AU2395">
        <v>29</v>
      </c>
      <c r="AV2395" t="s">
        <v>100</v>
      </c>
      <c r="AW2395">
        <v>344</v>
      </c>
      <c r="AX2395">
        <v>540</v>
      </c>
      <c r="AZ2395" t="s">
        <v>101</v>
      </c>
      <c r="BA2395">
        <v>1</v>
      </c>
      <c r="BC2395" t="s">
        <v>4890</v>
      </c>
      <c r="BD2395" s="4">
        <v>43283.235486111109</v>
      </c>
      <c r="BE2395" s="4">
        <v>43283.276875000003</v>
      </c>
      <c r="BF2395" s="4">
        <v>43283.276875000003</v>
      </c>
      <c r="BG2395" t="s">
        <v>83</v>
      </c>
      <c r="BH2395" t="s">
        <v>84</v>
      </c>
      <c r="BI2395" t="s">
        <v>85</v>
      </c>
    </row>
    <row r="2396" spans="1:61" x14ac:dyDescent="0.3">
      <c r="A2396" t="str">
        <f>"201344B0100"</f>
        <v>201344B0100</v>
      </c>
      <c r="B2396" t="s">
        <v>4891</v>
      </c>
      <c r="C2396">
        <v>20</v>
      </c>
      <c r="D2396" t="s">
        <v>79</v>
      </c>
      <c r="E2396">
        <v>11</v>
      </c>
      <c r="F2396" t="s">
        <v>4565</v>
      </c>
      <c r="G2396">
        <v>1344</v>
      </c>
      <c r="H2396">
        <v>1</v>
      </c>
      <c r="I2396" t="s">
        <v>81</v>
      </c>
      <c r="J2396">
        <v>0</v>
      </c>
      <c r="K2396">
        <v>2</v>
      </c>
      <c r="L2396">
        <v>2</v>
      </c>
      <c r="M2396">
        <v>276</v>
      </c>
      <c r="N2396">
        <v>426</v>
      </c>
      <c r="O2396">
        <v>0</v>
      </c>
      <c r="P2396">
        <v>426</v>
      </c>
      <c r="Q2396">
        <v>10</v>
      </c>
      <c r="R2396">
        <v>209</v>
      </c>
      <c r="S2396">
        <v>7</v>
      </c>
      <c r="T2396">
        <v>7</v>
      </c>
      <c r="U2396">
        <v>7</v>
      </c>
      <c r="V2396">
        <v>0</v>
      </c>
      <c r="W2396">
        <v>2</v>
      </c>
      <c r="X2396">
        <v>3</v>
      </c>
      <c r="Y2396">
        <v>163</v>
      </c>
      <c r="Z2396">
        <v>5</v>
      </c>
      <c r="AA2396">
        <v>0</v>
      </c>
      <c r="AB2396">
        <v>1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3</v>
      </c>
      <c r="AI2396">
        <v>0</v>
      </c>
      <c r="AJ2396">
        <v>0</v>
      </c>
      <c r="AK2396">
        <v>1</v>
      </c>
      <c r="AL2396">
        <v>0</v>
      </c>
      <c r="AM2396">
        <v>0</v>
      </c>
      <c r="AN2396">
        <v>0</v>
      </c>
      <c r="AT2396">
        <v>0</v>
      </c>
      <c r="AU2396">
        <v>8</v>
      </c>
      <c r="AV2396">
        <v>426</v>
      </c>
      <c r="AW2396">
        <v>426</v>
      </c>
      <c r="AX2396">
        <v>582</v>
      </c>
      <c r="BA2396">
        <v>1</v>
      </c>
      <c r="BC2396" t="s">
        <v>4892</v>
      </c>
      <c r="BD2396" s="4">
        <v>43283.234953703701</v>
      </c>
      <c r="BE2396" s="4">
        <v>43283.256851851853</v>
      </c>
      <c r="BF2396" s="4">
        <v>43283.256851851853</v>
      </c>
      <c r="BG2396" t="s">
        <v>83</v>
      </c>
      <c r="BH2396" t="s">
        <v>84</v>
      </c>
      <c r="BI2396" t="s">
        <v>85</v>
      </c>
    </row>
    <row r="2397" spans="1:61" x14ac:dyDescent="0.3">
      <c r="A2397" t="str">
        <f>"201344E0100"</f>
        <v>201344E0100</v>
      </c>
      <c r="B2397" s="2" t="s">
        <v>4893</v>
      </c>
      <c r="C2397">
        <v>20</v>
      </c>
      <c r="D2397" t="s">
        <v>79</v>
      </c>
      <c r="E2397">
        <v>11</v>
      </c>
      <c r="F2397" t="s">
        <v>4565</v>
      </c>
      <c r="G2397">
        <v>1344</v>
      </c>
      <c r="H2397">
        <v>1</v>
      </c>
      <c r="I2397" t="s">
        <v>145</v>
      </c>
      <c r="J2397">
        <v>0</v>
      </c>
      <c r="K2397">
        <v>2</v>
      </c>
      <c r="L2397">
        <v>2</v>
      </c>
      <c r="M2397">
        <v>238</v>
      </c>
      <c r="N2397" t="s">
        <v>100</v>
      </c>
      <c r="O2397" t="s">
        <v>100</v>
      </c>
      <c r="P2397">
        <v>524</v>
      </c>
      <c r="Q2397">
        <v>9</v>
      </c>
      <c r="R2397">
        <v>260</v>
      </c>
      <c r="S2397">
        <v>7</v>
      </c>
      <c r="T2397">
        <v>5</v>
      </c>
      <c r="U2397">
        <v>21</v>
      </c>
      <c r="V2397">
        <v>2</v>
      </c>
      <c r="W2397">
        <v>0</v>
      </c>
      <c r="X2397">
        <v>4</v>
      </c>
      <c r="Y2397">
        <v>178</v>
      </c>
      <c r="Z2397">
        <v>2</v>
      </c>
      <c r="AA2397">
        <v>2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5</v>
      </c>
      <c r="AH2397">
        <v>7</v>
      </c>
      <c r="AI2397">
        <v>0</v>
      </c>
      <c r="AJ2397">
        <v>0</v>
      </c>
      <c r="AK2397">
        <v>5</v>
      </c>
      <c r="AL2397">
        <v>0</v>
      </c>
      <c r="AM2397">
        <v>0</v>
      </c>
      <c r="AN2397">
        <v>1</v>
      </c>
      <c r="AT2397">
        <v>0</v>
      </c>
      <c r="AU2397">
        <v>16</v>
      </c>
      <c r="AV2397">
        <v>524</v>
      </c>
      <c r="AW2397">
        <v>524</v>
      </c>
      <c r="AX2397">
        <v>740</v>
      </c>
      <c r="BA2397">
        <v>1</v>
      </c>
      <c r="BC2397" t="s">
        <v>4894</v>
      </c>
      <c r="BD2397" s="4">
        <v>43283.626087962963</v>
      </c>
      <c r="BE2397" s="4">
        <v>43283.629664351851</v>
      </c>
      <c r="BF2397" s="4">
        <v>43283.629664351851</v>
      </c>
      <c r="BG2397" t="s">
        <v>83</v>
      </c>
      <c r="BH2397" t="s">
        <v>84</v>
      </c>
      <c r="BI2397" t="s">
        <v>548</v>
      </c>
    </row>
    <row r="2398" spans="1:61" x14ac:dyDescent="0.3">
      <c r="A2398" t="str">
        <f>"201544B0100"</f>
        <v>201544B0100</v>
      </c>
      <c r="B2398" t="s">
        <v>4895</v>
      </c>
      <c r="C2398">
        <v>20</v>
      </c>
      <c r="D2398" t="s">
        <v>79</v>
      </c>
      <c r="E2398">
        <v>11</v>
      </c>
      <c r="F2398" t="s">
        <v>4565</v>
      </c>
      <c r="G2398">
        <v>1544</v>
      </c>
      <c r="H2398">
        <v>1</v>
      </c>
      <c r="I2398" t="s">
        <v>81</v>
      </c>
      <c r="J2398">
        <v>0</v>
      </c>
      <c r="K2398">
        <v>1</v>
      </c>
      <c r="L2398">
        <v>2</v>
      </c>
      <c r="AX2398">
        <v>640</v>
      </c>
      <c r="AZ2398" t="s">
        <v>156</v>
      </c>
      <c r="BA2398">
        <v>0</v>
      </c>
      <c r="BC2398" t="s">
        <v>4896</v>
      </c>
      <c r="BD2398" s="4">
        <v>43283.769872685189</v>
      </c>
      <c r="BE2398" s="4">
        <v>43283.776122685187</v>
      </c>
      <c r="BF2398" s="4">
        <v>43283.776122685187</v>
      </c>
      <c r="BG2398" t="s">
        <v>83</v>
      </c>
      <c r="BH2398" t="s">
        <v>84</v>
      </c>
      <c r="BI2398" t="s">
        <v>85</v>
      </c>
    </row>
    <row r="2399" spans="1:61" x14ac:dyDescent="0.3">
      <c r="A2399" t="str">
        <f>"201544C0100"</f>
        <v>201544C0100</v>
      </c>
      <c r="B2399" t="s">
        <v>4897</v>
      </c>
      <c r="C2399">
        <v>20</v>
      </c>
      <c r="D2399" t="s">
        <v>79</v>
      </c>
      <c r="E2399">
        <v>11</v>
      </c>
      <c r="F2399" t="s">
        <v>4565</v>
      </c>
      <c r="G2399">
        <v>1544</v>
      </c>
      <c r="H2399">
        <v>1</v>
      </c>
      <c r="I2399" t="s">
        <v>89</v>
      </c>
      <c r="J2399">
        <v>0</v>
      </c>
      <c r="K2399">
        <v>1</v>
      </c>
      <c r="L2399">
        <v>2</v>
      </c>
      <c r="AX2399">
        <v>640</v>
      </c>
      <c r="AZ2399" t="s">
        <v>156</v>
      </c>
      <c r="BA2399">
        <v>0</v>
      </c>
      <c r="BC2399" t="s">
        <v>4898</v>
      </c>
      <c r="BD2399" s="4">
        <v>43283.769548611112</v>
      </c>
      <c r="BE2399" s="4">
        <v>43283.770995370367</v>
      </c>
      <c r="BF2399" s="4">
        <v>43283.770995370367</v>
      </c>
      <c r="BG2399" t="s">
        <v>83</v>
      </c>
      <c r="BH2399" t="s">
        <v>84</v>
      </c>
      <c r="BI2399" t="s">
        <v>85</v>
      </c>
    </row>
    <row r="2400" spans="1:61" x14ac:dyDescent="0.3">
      <c r="A2400" t="str">
        <f>"201545B0100"</f>
        <v>201545B0100</v>
      </c>
      <c r="B2400" t="s">
        <v>4899</v>
      </c>
      <c r="C2400">
        <v>20</v>
      </c>
      <c r="D2400" t="s">
        <v>79</v>
      </c>
      <c r="E2400">
        <v>11</v>
      </c>
      <c r="F2400" t="s">
        <v>4565</v>
      </c>
      <c r="G2400">
        <v>1545</v>
      </c>
      <c r="H2400">
        <v>1</v>
      </c>
      <c r="I2400" t="s">
        <v>81</v>
      </c>
      <c r="J2400">
        <v>0</v>
      </c>
      <c r="K2400">
        <v>1</v>
      </c>
      <c r="L2400">
        <v>2</v>
      </c>
      <c r="M2400">
        <v>241</v>
      </c>
      <c r="N2400">
        <v>517</v>
      </c>
      <c r="O2400">
        <v>0</v>
      </c>
      <c r="P2400">
        <v>517</v>
      </c>
      <c r="Q2400">
        <v>33</v>
      </c>
      <c r="R2400">
        <v>145</v>
      </c>
      <c r="S2400">
        <v>6</v>
      </c>
      <c r="T2400">
        <v>8</v>
      </c>
      <c r="U2400">
        <v>6</v>
      </c>
      <c r="V2400">
        <v>11</v>
      </c>
      <c r="W2400">
        <v>0</v>
      </c>
      <c r="X2400">
        <v>2</v>
      </c>
      <c r="Y2400">
        <v>263</v>
      </c>
      <c r="Z2400">
        <v>2</v>
      </c>
      <c r="AA2400">
        <v>8</v>
      </c>
      <c r="AB2400">
        <v>3</v>
      </c>
      <c r="AC2400">
        <v>1</v>
      </c>
      <c r="AD2400">
        <v>0</v>
      </c>
      <c r="AE2400">
        <v>0</v>
      </c>
      <c r="AF2400">
        <v>1</v>
      </c>
      <c r="AG2400">
        <v>0</v>
      </c>
      <c r="AH2400">
        <v>1</v>
      </c>
      <c r="AI2400">
        <v>0</v>
      </c>
      <c r="AJ2400">
        <v>0</v>
      </c>
      <c r="AK2400">
        <v>2</v>
      </c>
      <c r="AL2400">
        <v>1</v>
      </c>
      <c r="AM2400">
        <v>0</v>
      </c>
      <c r="AN2400">
        <v>1</v>
      </c>
      <c r="AT2400">
        <v>0</v>
      </c>
      <c r="AU2400">
        <v>23</v>
      </c>
      <c r="AV2400">
        <v>517</v>
      </c>
      <c r="AW2400">
        <v>517</v>
      </c>
      <c r="AX2400">
        <v>735</v>
      </c>
      <c r="BA2400">
        <v>1</v>
      </c>
      <c r="BC2400" t="s">
        <v>4900</v>
      </c>
      <c r="BD2400" s="4">
        <v>43283.354398148149</v>
      </c>
      <c r="BE2400" s="4">
        <v>43283.366377314815</v>
      </c>
      <c r="BF2400" s="4">
        <v>43283.366377314815</v>
      </c>
      <c r="BG2400" t="s">
        <v>83</v>
      </c>
      <c r="BH2400" t="s">
        <v>84</v>
      </c>
      <c r="BI2400" t="s">
        <v>85</v>
      </c>
    </row>
    <row r="2401" spans="1:61" x14ac:dyDescent="0.3">
      <c r="A2401" t="str">
        <f>"201545C0100"</f>
        <v>201545C0100</v>
      </c>
      <c r="B2401" t="s">
        <v>4901</v>
      </c>
      <c r="C2401">
        <v>20</v>
      </c>
      <c r="D2401" t="s">
        <v>79</v>
      </c>
      <c r="E2401">
        <v>11</v>
      </c>
      <c r="F2401" t="s">
        <v>4565</v>
      </c>
      <c r="G2401">
        <v>1545</v>
      </c>
      <c r="H2401">
        <v>1</v>
      </c>
      <c r="I2401" t="s">
        <v>89</v>
      </c>
      <c r="J2401">
        <v>0</v>
      </c>
      <c r="K2401">
        <v>1</v>
      </c>
      <c r="L2401">
        <v>2</v>
      </c>
      <c r="M2401">
        <v>198</v>
      </c>
      <c r="N2401">
        <v>559</v>
      </c>
      <c r="O2401">
        <v>0</v>
      </c>
      <c r="P2401">
        <v>559</v>
      </c>
      <c r="Q2401">
        <v>32</v>
      </c>
      <c r="R2401">
        <v>172</v>
      </c>
      <c r="S2401">
        <v>10</v>
      </c>
      <c r="T2401" t="s">
        <v>100</v>
      </c>
      <c r="U2401">
        <v>10</v>
      </c>
      <c r="V2401">
        <v>16</v>
      </c>
      <c r="W2401">
        <v>2</v>
      </c>
      <c r="X2401">
        <v>1</v>
      </c>
      <c r="Y2401">
        <v>279</v>
      </c>
      <c r="Z2401" t="s">
        <v>100</v>
      </c>
      <c r="AA2401">
        <v>7</v>
      </c>
      <c r="AB2401">
        <v>2</v>
      </c>
      <c r="AC2401">
        <v>1</v>
      </c>
      <c r="AD2401" t="s">
        <v>100</v>
      </c>
      <c r="AE2401" t="s">
        <v>100</v>
      </c>
      <c r="AF2401" t="s">
        <v>100</v>
      </c>
      <c r="AG2401" t="s">
        <v>100</v>
      </c>
      <c r="AH2401" t="s">
        <v>100</v>
      </c>
      <c r="AI2401" t="s">
        <v>100</v>
      </c>
      <c r="AJ2401" t="s">
        <v>100</v>
      </c>
      <c r="AK2401" t="s">
        <v>100</v>
      </c>
      <c r="AL2401" t="s">
        <v>100</v>
      </c>
      <c r="AM2401" t="s">
        <v>100</v>
      </c>
      <c r="AN2401" t="s">
        <v>100</v>
      </c>
      <c r="AT2401" t="s">
        <v>100</v>
      </c>
      <c r="AU2401">
        <v>27</v>
      </c>
      <c r="AV2401">
        <v>559</v>
      </c>
      <c r="AW2401">
        <v>559</v>
      </c>
      <c r="AX2401">
        <v>734</v>
      </c>
      <c r="AZ2401" t="s">
        <v>101</v>
      </c>
      <c r="BA2401">
        <v>1</v>
      </c>
      <c r="BC2401" t="s">
        <v>4902</v>
      </c>
      <c r="BD2401" s="4">
        <v>43283.353807870371</v>
      </c>
      <c r="BE2401" s="4">
        <v>43283.365266203706</v>
      </c>
      <c r="BF2401" s="4">
        <v>43283.365266203706</v>
      </c>
      <c r="BG2401" t="s">
        <v>83</v>
      </c>
      <c r="BH2401" t="s">
        <v>84</v>
      </c>
      <c r="BI2401" t="s">
        <v>85</v>
      </c>
    </row>
    <row r="2402" spans="1:61" x14ac:dyDescent="0.3">
      <c r="A2402" t="str">
        <f>"201546B0100"</f>
        <v>201546B0100</v>
      </c>
      <c r="B2402" t="s">
        <v>4903</v>
      </c>
      <c r="C2402">
        <v>20</v>
      </c>
      <c r="D2402" t="s">
        <v>79</v>
      </c>
      <c r="E2402">
        <v>11</v>
      </c>
      <c r="F2402" t="s">
        <v>4565</v>
      </c>
      <c r="G2402">
        <v>1546</v>
      </c>
      <c r="H2402">
        <v>1</v>
      </c>
      <c r="I2402" t="s">
        <v>81</v>
      </c>
      <c r="J2402">
        <v>0</v>
      </c>
      <c r="K2402">
        <v>1</v>
      </c>
      <c r="L2402">
        <v>2</v>
      </c>
      <c r="M2402">
        <v>142</v>
      </c>
      <c r="N2402">
        <v>379</v>
      </c>
      <c r="O2402">
        <v>0</v>
      </c>
      <c r="P2402">
        <v>379</v>
      </c>
      <c r="Q2402">
        <v>16</v>
      </c>
      <c r="R2402">
        <v>100</v>
      </c>
      <c r="S2402">
        <v>8</v>
      </c>
      <c r="T2402">
        <v>7</v>
      </c>
      <c r="U2402">
        <v>8</v>
      </c>
      <c r="V2402">
        <v>9</v>
      </c>
      <c r="W2402">
        <v>2</v>
      </c>
      <c r="X2402">
        <v>3</v>
      </c>
      <c r="Y2402">
        <v>192</v>
      </c>
      <c r="Z2402">
        <v>5</v>
      </c>
      <c r="AA2402">
        <v>4</v>
      </c>
      <c r="AB2402">
        <v>1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1</v>
      </c>
      <c r="AI2402">
        <v>0</v>
      </c>
      <c r="AJ2402">
        <v>0</v>
      </c>
      <c r="AK2402">
        <v>1</v>
      </c>
      <c r="AL2402">
        <v>1</v>
      </c>
      <c r="AM2402">
        <v>0</v>
      </c>
      <c r="AN2402">
        <v>1</v>
      </c>
      <c r="AT2402">
        <v>0</v>
      </c>
      <c r="AU2402">
        <v>20</v>
      </c>
      <c r="AV2402">
        <v>379</v>
      </c>
      <c r="AW2402">
        <v>379</v>
      </c>
      <c r="AX2402">
        <v>498</v>
      </c>
      <c r="BA2402">
        <v>1</v>
      </c>
      <c r="BC2402" t="s">
        <v>4904</v>
      </c>
      <c r="BD2402" s="4">
        <v>43283.355821759258</v>
      </c>
      <c r="BE2402" s="4">
        <v>43283.38721064815</v>
      </c>
      <c r="BF2402" s="4">
        <v>43283.38721064815</v>
      </c>
      <c r="BG2402" t="s">
        <v>83</v>
      </c>
      <c r="BH2402" t="s">
        <v>84</v>
      </c>
      <c r="BI2402" t="s">
        <v>85</v>
      </c>
    </row>
    <row r="2403" spans="1:61" x14ac:dyDescent="0.3">
      <c r="A2403" t="str">
        <f>"201546C0100"</f>
        <v>201546C0100</v>
      </c>
      <c r="B2403" t="s">
        <v>4905</v>
      </c>
      <c r="C2403">
        <v>20</v>
      </c>
      <c r="D2403" t="s">
        <v>79</v>
      </c>
      <c r="E2403">
        <v>11</v>
      </c>
      <c r="F2403" t="s">
        <v>4565</v>
      </c>
      <c r="G2403">
        <v>1546</v>
      </c>
      <c r="H2403">
        <v>1</v>
      </c>
      <c r="I2403" t="s">
        <v>89</v>
      </c>
      <c r="J2403">
        <v>0</v>
      </c>
      <c r="K2403">
        <v>1</v>
      </c>
      <c r="L2403">
        <v>2</v>
      </c>
      <c r="M2403">
        <v>137</v>
      </c>
      <c r="N2403">
        <v>384</v>
      </c>
      <c r="O2403">
        <v>0</v>
      </c>
      <c r="P2403">
        <v>384</v>
      </c>
      <c r="Q2403">
        <v>32</v>
      </c>
      <c r="R2403">
        <v>106</v>
      </c>
      <c r="S2403">
        <v>6</v>
      </c>
      <c r="T2403">
        <v>5</v>
      </c>
      <c r="U2403">
        <v>11</v>
      </c>
      <c r="V2403">
        <v>5</v>
      </c>
      <c r="W2403">
        <v>2</v>
      </c>
      <c r="X2403">
        <v>4</v>
      </c>
      <c r="Y2403">
        <v>178</v>
      </c>
      <c r="Z2403">
        <v>1</v>
      </c>
      <c r="AA2403">
        <v>2</v>
      </c>
      <c r="AB2403">
        <v>3</v>
      </c>
      <c r="AC2403">
        <v>0</v>
      </c>
      <c r="AD2403">
        <v>1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1</v>
      </c>
      <c r="AL2403">
        <v>2</v>
      </c>
      <c r="AM2403">
        <v>0</v>
      </c>
      <c r="AN2403">
        <v>0</v>
      </c>
      <c r="AT2403">
        <v>0</v>
      </c>
      <c r="AU2403">
        <v>25</v>
      </c>
      <c r="AV2403">
        <v>384</v>
      </c>
      <c r="AW2403">
        <v>384</v>
      </c>
      <c r="AX2403">
        <v>498</v>
      </c>
      <c r="BA2403">
        <v>1</v>
      </c>
      <c r="BC2403" t="s">
        <v>4906</v>
      </c>
      <c r="BD2403" s="4">
        <v>43283.35527777778</v>
      </c>
      <c r="BE2403" s="4">
        <v>43283.366597222222</v>
      </c>
      <c r="BF2403" s="4">
        <v>43283.366597222222</v>
      </c>
      <c r="BG2403" t="s">
        <v>83</v>
      </c>
      <c r="BH2403" t="s">
        <v>84</v>
      </c>
      <c r="BI2403" t="s">
        <v>85</v>
      </c>
    </row>
    <row r="2404" spans="1:61" x14ac:dyDescent="0.3">
      <c r="A2404" t="str">
        <f>"201547B0100"</f>
        <v>201547B0100</v>
      </c>
      <c r="B2404" t="s">
        <v>4907</v>
      </c>
      <c r="C2404">
        <v>20</v>
      </c>
      <c r="D2404" t="s">
        <v>79</v>
      </c>
      <c r="E2404">
        <v>11</v>
      </c>
      <c r="F2404" t="s">
        <v>4565</v>
      </c>
      <c r="G2404">
        <v>1547</v>
      </c>
      <c r="H2404">
        <v>1</v>
      </c>
      <c r="I2404" t="s">
        <v>81</v>
      </c>
      <c r="J2404">
        <v>0</v>
      </c>
      <c r="K2404">
        <v>1</v>
      </c>
      <c r="L2404">
        <v>2</v>
      </c>
      <c r="M2404">
        <v>128</v>
      </c>
      <c r="N2404">
        <v>355</v>
      </c>
      <c r="O2404">
        <v>3</v>
      </c>
      <c r="P2404">
        <v>355</v>
      </c>
      <c r="Q2404">
        <v>28</v>
      </c>
      <c r="R2404">
        <v>102</v>
      </c>
      <c r="S2404">
        <v>6</v>
      </c>
      <c r="T2404">
        <v>4</v>
      </c>
      <c r="U2404">
        <v>8</v>
      </c>
      <c r="V2404">
        <v>6</v>
      </c>
      <c r="W2404">
        <v>0</v>
      </c>
      <c r="X2404">
        <v>4</v>
      </c>
      <c r="Y2404">
        <v>178</v>
      </c>
      <c r="Z2404">
        <v>4</v>
      </c>
      <c r="AA2404">
        <v>0</v>
      </c>
      <c r="AB2404">
        <v>1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1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T2404">
        <v>0</v>
      </c>
      <c r="AU2404">
        <v>13</v>
      </c>
      <c r="AV2404">
        <v>355</v>
      </c>
      <c r="AW2404">
        <v>355</v>
      </c>
      <c r="AX2404">
        <v>460</v>
      </c>
      <c r="BA2404">
        <v>1</v>
      </c>
      <c r="BC2404" t="s">
        <v>4908</v>
      </c>
      <c r="BD2404" s="4">
        <v>43283.367361111108</v>
      </c>
      <c r="BE2404" s="4">
        <v>43283.375543981485</v>
      </c>
      <c r="BF2404" s="4">
        <v>43283.375543981485</v>
      </c>
      <c r="BG2404" t="s">
        <v>83</v>
      </c>
      <c r="BH2404" t="s">
        <v>84</v>
      </c>
      <c r="BI2404" t="s">
        <v>85</v>
      </c>
    </row>
    <row r="2405" spans="1:61" x14ac:dyDescent="0.3">
      <c r="A2405" t="str">
        <f>"201547C0100"</f>
        <v>201547C0100</v>
      </c>
      <c r="B2405" t="s">
        <v>4909</v>
      </c>
      <c r="C2405">
        <v>20</v>
      </c>
      <c r="D2405" t="s">
        <v>79</v>
      </c>
      <c r="E2405">
        <v>11</v>
      </c>
      <c r="F2405" t="s">
        <v>4565</v>
      </c>
      <c r="G2405">
        <v>1547</v>
      </c>
      <c r="H2405">
        <v>1</v>
      </c>
      <c r="I2405" t="s">
        <v>89</v>
      </c>
      <c r="J2405">
        <v>0</v>
      </c>
      <c r="K2405">
        <v>1</v>
      </c>
      <c r="L2405">
        <v>2</v>
      </c>
      <c r="M2405" t="s">
        <v>100</v>
      </c>
      <c r="N2405" t="s">
        <v>100</v>
      </c>
      <c r="O2405" t="s">
        <v>100</v>
      </c>
      <c r="P2405" t="s">
        <v>100</v>
      </c>
      <c r="Q2405">
        <v>31</v>
      </c>
      <c r="R2405">
        <v>103</v>
      </c>
      <c r="S2405">
        <v>5</v>
      </c>
      <c r="T2405">
        <v>11</v>
      </c>
      <c r="U2405">
        <v>10</v>
      </c>
      <c r="V2405">
        <v>4</v>
      </c>
      <c r="W2405">
        <v>0</v>
      </c>
      <c r="X2405">
        <v>3</v>
      </c>
      <c r="Y2405">
        <v>158</v>
      </c>
      <c r="Z2405">
        <v>1</v>
      </c>
      <c r="AA2405">
        <v>3</v>
      </c>
      <c r="AB2405">
        <v>1</v>
      </c>
      <c r="AC2405" t="s">
        <v>100</v>
      </c>
      <c r="AD2405" t="s">
        <v>100</v>
      </c>
      <c r="AE2405" t="s">
        <v>100</v>
      </c>
      <c r="AF2405" t="s">
        <v>100</v>
      </c>
      <c r="AG2405" t="s">
        <v>100</v>
      </c>
      <c r="AH2405">
        <v>2</v>
      </c>
      <c r="AI2405" t="s">
        <v>100</v>
      </c>
      <c r="AJ2405" t="s">
        <v>100</v>
      </c>
      <c r="AK2405" t="s">
        <v>100</v>
      </c>
      <c r="AL2405" t="s">
        <v>100</v>
      </c>
      <c r="AM2405" t="s">
        <v>100</v>
      </c>
      <c r="AN2405">
        <v>1</v>
      </c>
      <c r="AT2405" t="s">
        <v>100</v>
      </c>
      <c r="AU2405">
        <v>26</v>
      </c>
      <c r="AV2405">
        <v>359</v>
      </c>
      <c r="AW2405">
        <v>359</v>
      </c>
      <c r="AX2405">
        <v>460</v>
      </c>
      <c r="AZ2405" t="s">
        <v>101</v>
      </c>
      <c r="BA2405">
        <v>1</v>
      </c>
      <c r="BC2405" t="s">
        <v>4910</v>
      </c>
      <c r="BD2405" s="4">
        <v>43283.366747685184</v>
      </c>
      <c r="BE2405" s="4">
        <v>43283.3749537037</v>
      </c>
      <c r="BF2405" s="4">
        <v>43283.3749537037</v>
      </c>
      <c r="BG2405" t="s">
        <v>83</v>
      </c>
      <c r="BH2405" t="s">
        <v>84</v>
      </c>
      <c r="BI2405" t="s">
        <v>85</v>
      </c>
    </row>
    <row r="2406" spans="1:61" x14ac:dyDescent="0.3">
      <c r="A2406" t="str">
        <f>"201548B0100"</f>
        <v>201548B0100</v>
      </c>
      <c r="B2406" t="s">
        <v>4911</v>
      </c>
      <c r="C2406">
        <v>20</v>
      </c>
      <c r="D2406" t="s">
        <v>79</v>
      </c>
      <c r="E2406">
        <v>11</v>
      </c>
      <c r="F2406" t="s">
        <v>4565</v>
      </c>
      <c r="G2406">
        <v>1548</v>
      </c>
      <c r="H2406">
        <v>1</v>
      </c>
      <c r="I2406" t="s">
        <v>81</v>
      </c>
      <c r="J2406">
        <v>0</v>
      </c>
      <c r="K2406">
        <v>1</v>
      </c>
      <c r="L2406">
        <v>2</v>
      </c>
      <c r="M2406" t="s">
        <v>100</v>
      </c>
      <c r="N2406">
        <v>514</v>
      </c>
      <c r="O2406">
        <v>1</v>
      </c>
      <c r="P2406" t="s">
        <v>100</v>
      </c>
      <c r="Q2406">
        <v>42</v>
      </c>
      <c r="R2406">
        <v>127</v>
      </c>
      <c r="S2406">
        <v>12</v>
      </c>
      <c r="T2406">
        <v>10</v>
      </c>
      <c r="U2406">
        <v>10</v>
      </c>
      <c r="V2406">
        <v>7</v>
      </c>
      <c r="W2406">
        <v>1</v>
      </c>
      <c r="X2406">
        <v>4</v>
      </c>
      <c r="Y2406">
        <v>260</v>
      </c>
      <c r="Z2406">
        <v>8</v>
      </c>
      <c r="AA2406">
        <v>2</v>
      </c>
      <c r="AB2406">
        <v>2</v>
      </c>
      <c r="AC2406" t="s">
        <v>100</v>
      </c>
      <c r="AD2406" t="s">
        <v>100</v>
      </c>
      <c r="AE2406" t="s">
        <v>100</v>
      </c>
      <c r="AF2406" t="s">
        <v>100</v>
      </c>
      <c r="AG2406" t="s">
        <v>100</v>
      </c>
      <c r="AH2406">
        <v>1</v>
      </c>
      <c r="AI2406" t="s">
        <v>100</v>
      </c>
      <c r="AJ2406" t="s">
        <v>100</v>
      </c>
      <c r="AK2406" t="s">
        <v>100</v>
      </c>
      <c r="AL2406" t="s">
        <v>100</v>
      </c>
      <c r="AM2406" t="s">
        <v>100</v>
      </c>
      <c r="AN2406" t="s">
        <v>100</v>
      </c>
      <c r="AT2406">
        <v>17</v>
      </c>
      <c r="AU2406">
        <v>7</v>
      </c>
      <c r="AV2406">
        <v>510</v>
      </c>
      <c r="AW2406">
        <v>510</v>
      </c>
      <c r="AX2406">
        <v>657</v>
      </c>
      <c r="AZ2406" t="s">
        <v>101</v>
      </c>
      <c r="BA2406">
        <v>1</v>
      </c>
      <c r="BC2406" t="s">
        <v>4912</v>
      </c>
      <c r="BD2406" s="4">
        <v>43283.372337962966</v>
      </c>
      <c r="BE2406" s="4">
        <v>43283.378020833334</v>
      </c>
      <c r="BF2406" s="4">
        <v>43283.378020833334</v>
      </c>
      <c r="BG2406" t="s">
        <v>83</v>
      </c>
      <c r="BH2406" t="s">
        <v>84</v>
      </c>
      <c r="BI2406" t="s">
        <v>85</v>
      </c>
    </row>
    <row r="2407" spans="1:61" x14ac:dyDescent="0.3">
      <c r="A2407" t="str">
        <f>"201548C0100"</f>
        <v>201548C0100</v>
      </c>
      <c r="B2407" t="s">
        <v>4913</v>
      </c>
      <c r="C2407">
        <v>20</v>
      </c>
      <c r="D2407" t="s">
        <v>79</v>
      </c>
      <c r="E2407">
        <v>11</v>
      </c>
      <c r="F2407" t="s">
        <v>4565</v>
      </c>
      <c r="G2407">
        <v>1548</v>
      </c>
      <c r="H2407">
        <v>1</v>
      </c>
      <c r="I2407" t="s">
        <v>89</v>
      </c>
      <c r="J2407">
        <v>0</v>
      </c>
      <c r="K2407">
        <v>1</v>
      </c>
      <c r="L2407">
        <v>2</v>
      </c>
      <c r="M2407">
        <v>209</v>
      </c>
      <c r="N2407">
        <v>679</v>
      </c>
      <c r="O2407">
        <v>3</v>
      </c>
      <c r="P2407">
        <v>470</v>
      </c>
      <c r="Q2407">
        <v>37</v>
      </c>
      <c r="R2407">
        <v>153</v>
      </c>
      <c r="S2407">
        <v>4</v>
      </c>
      <c r="T2407">
        <v>6</v>
      </c>
      <c r="U2407">
        <v>11</v>
      </c>
      <c r="V2407">
        <v>9</v>
      </c>
      <c r="W2407">
        <v>2</v>
      </c>
      <c r="X2407">
        <v>1</v>
      </c>
      <c r="Y2407">
        <v>215</v>
      </c>
      <c r="Z2407">
        <v>3</v>
      </c>
      <c r="AA2407">
        <v>5</v>
      </c>
      <c r="AB2407">
        <v>2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2</v>
      </c>
      <c r="AI2407">
        <v>0</v>
      </c>
      <c r="AJ2407">
        <v>0</v>
      </c>
      <c r="AK2407">
        <v>1</v>
      </c>
      <c r="AL2407">
        <v>0</v>
      </c>
      <c r="AM2407">
        <v>0</v>
      </c>
      <c r="AN2407">
        <v>1</v>
      </c>
      <c r="AT2407">
        <v>0</v>
      </c>
      <c r="AU2407">
        <v>18</v>
      </c>
      <c r="AV2407">
        <v>470</v>
      </c>
      <c r="AW2407">
        <v>470</v>
      </c>
      <c r="AX2407">
        <v>656</v>
      </c>
      <c r="BA2407">
        <v>1</v>
      </c>
      <c r="BC2407" t="s">
        <v>4914</v>
      </c>
      <c r="BD2407" s="4">
        <v>43283.371712962966</v>
      </c>
      <c r="BE2407" s="4">
        <v>43283.378310185188</v>
      </c>
      <c r="BF2407" s="4">
        <v>43283.378310185188</v>
      </c>
      <c r="BG2407" t="s">
        <v>83</v>
      </c>
      <c r="BH2407" t="s">
        <v>84</v>
      </c>
      <c r="BI2407" t="s">
        <v>85</v>
      </c>
    </row>
    <row r="2408" spans="1:61" x14ac:dyDescent="0.3">
      <c r="A2408" t="str">
        <f>"201549B0100"</f>
        <v>201549B0100</v>
      </c>
      <c r="B2408" t="s">
        <v>4915</v>
      </c>
      <c r="C2408">
        <v>20</v>
      </c>
      <c r="D2408" t="s">
        <v>79</v>
      </c>
      <c r="E2408">
        <v>11</v>
      </c>
      <c r="F2408" t="s">
        <v>4565</v>
      </c>
      <c r="G2408">
        <v>1549</v>
      </c>
      <c r="H2408">
        <v>1</v>
      </c>
      <c r="I2408" t="s">
        <v>81</v>
      </c>
      <c r="J2408">
        <v>0</v>
      </c>
      <c r="K2408">
        <v>2</v>
      </c>
      <c r="L2408">
        <v>2</v>
      </c>
      <c r="M2408">
        <v>131</v>
      </c>
      <c r="N2408">
        <v>380</v>
      </c>
      <c r="O2408">
        <v>1</v>
      </c>
      <c r="P2408">
        <v>380</v>
      </c>
      <c r="Q2408">
        <v>17</v>
      </c>
      <c r="R2408">
        <v>84</v>
      </c>
      <c r="S2408">
        <v>7</v>
      </c>
      <c r="T2408">
        <v>11</v>
      </c>
      <c r="U2408">
        <v>9</v>
      </c>
      <c r="V2408">
        <v>12</v>
      </c>
      <c r="W2408">
        <v>2</v>
      </c>
      <c r="X2408">
        <v>2</v>
      </c>
      <c r="Y2408">
        <v>189</v>
      </c>
      <c r="Z2408">
        <v>6</v>
      </c>
      <c r="AA2408">
        <v>7</v>
      </c>
      <c r="AB2408">
        <v>2</v>
      </c>
      <c r="AC2408" t="s">
        <v>100</v>
      </c>
      <c r="AD2408" t="s">
        <v>100</v>
      </c>
      <c r="AE2408" t="s">
        <v>100</v>
      </c>
      <c r="AF2408" t="s">
        <v>100</v>
      </c>
      <c r="AG2408" t="s">
        <v>100</v>
      </c>
      <c r="AH2408">
        <v>3</v>
      </c>
      <c r="AI2408">
        <v>1</v>
      </c>
      <c r="AJ2408" t="s">
        <v>100</v>
      </c>
      <c r="AK2408">
        <v>0</v>
      </c>
      <c r="AL2408">
        <v>2</v>
      </c>
      <c r="AM2408" t="s">
        <v>100</v>
      </c>
      <c r="AN2408" t="s">
        <v>100</v>
      </c>
      <c r="AT2408" t="s">
        <v>100</v>
      </c>
      <c r="AU2408">
        <v>27</v>
      </c>
      <c r="AV2408">
        <v>381</v>
      </c>
      <c r="AW2408">
        <v>381</v>
      </c>
      <c r="AX2408">
        <v>488</v>
      </c>
      <c r="AZ2408" t="s">
        <v>101</v>
      </c>
      <c r="BA2408">
        <v>1</v>
      </c>
      <c r="BC2408" t="s">
        <v>4916</v>
      </c>
      <c r="BD2408" s="4">
        <v>43283.625347222223</v>
      </c>
      <c r="BE2408" s="4">
        <v>43283.635462962964</v>
      </c>
      <c r="BF2408" s="4">
        <v>43283.635462962964</v>
      </c>
      <c r="BG2408" t="s">
        <v>83</v>
      </c>
      <c r="BH2408" t="s">
        <v>84</v>
      </c>
      <c r="BI2408" t="s">
        <v>548</v>
      </c>
    </row>
    <row r="2409" spans="1:61" x14ac:dyDescent="0.3">
      <c r="A2409" t="str">
        <f>"201549C0100"</f>
        <v>201549C0100</v>
      </c>
      <c r="B2409" t="s">
        <v>4917</v>
      </c>
      <c r="C2409">
        <v>20</v>
      </c>
      <c r="D2409" t="s">
        <v>79</v>
      </c>
      <c r="E2409">
        <v>11</v>
      </c>
      <c r="F2409" t="s">
        <v>4565</v>
      </c>
      <c r="G2409">
        <v>1549</v>
      </c>
      <c r="H2409">
        <v>1</v>
      </c>
      <c r="I2409" t="s">
        <v>89</v>
      </c>
      <c r="J2409">
        <v>0</v>
      </c>
      <c r="K2409">
        <v>2</v>
      </c>
      <c r="L2409">
        <v>2</v>
      </c>
      <c r="M2409">
        <v>126</v>
      </c>
      <c r="N2409">
        <v>509</v>
      </c>
      <c r="O2409">
        <v>1</v>
      </c>
      <c r="P2409" t="s">
        <v>100</v>
      </c>
      <c r="Q2409">
        <v>15</v>
      </c>
      <c r="R2409">
        <v>97</v>
      </c>
      <c r="S2409">
        <v>6</v>
      </c>
      <c r="T2409">
        <v>8</v>
      </c>
      <c r="U2409">
        <v>17</v>
      </c>
      <c r="V2409">
        <v>10</v>
      </c>
      <c r="W2409">
        <v>3</v>
      </c>
      <c r="X2409">
        <v>1</v>
      </c>
      <c r="Y2409">
        <v>178</v>
      </c>
      <c r="Z2409">
        <v>14</v>
      </c>
      <c r="AA2409">
        <v>13</v>
      </c>
      <c r="AB2409">
        <v>3</v>
      </c>
      <c r="AC2409" t="s">
        <v>100</v>
      </c>
      <c r="AD2409" t="s">
        <v>100</v>
      </c>
      <c r="AE2409" t="s">
        <v>100</v>
      </c>
      <c r="AF2409" t="s">
        <v>100</v>
      </c>
      <c r="AG2409" t="s">
        <v>100</v>
      </c>
      <c r="AH2409" t="s">
        <v>100</v>
      </c>
      <c r="AI2409" t="s">
        <v>100</v>
      </c>
      <c r="AJ2409" t="s">
        <v>100</v>
      </c>
      <c r="AK2409" t="s">
        <v>100</v>
      </c>
      <c r="AL2409" t="s">
        <v>100</v>
      </c>
      <c r="AM2409" t="s">
        <v>100</v>
      </c>
      <c r="AN2409" t="s">
        <v>100</v>
      </c>
      <c r="AT2409" t="s">
        <v>100</v>
      </c>
      <c r="AU2409">
        <v>18</v>
      </c>
      <c r="AV2409">
        <v>383</v>
      </c>
      <c r="AW2409">
        <v>383</v>
      </c>
      <c r="AX2409">
        <v>487</v>
      </c>
      <c r="AZ2409" t="s">
        <v>101</v>
      </c>
      <c r="BA2409">
        <v>1</v>
      </c>
      <c r="BC2409" t="s">
        <v>4918</v>
      </c>
      <c r="BD2409" s="4">
        <v>43283.36922453704</v>
      </c>
      <c r="BE2409" s="4">
        <v>43283.376435185186</v>
      </c>
      <c r="BF2409" s="4">
        <v>43283.376435185186</v>
      </c>
      <c r="BG2409" t="s">
        <v>83</v>
      </c>
      <c r="BH2409" t="s">
        <v>84</v>
      </c>
      <c r="BI2409" t="s">
        <v>85</v>
      </c>
    </row>
    <row r="2410" spans="1:61" x14ac:dyDescent="0.3">
      <c r="A2410" t="str">
        <f>"201549E0100"</f>
        <v>201549E0100</v>
      </c>
      <c r="B2410" s="2" t="s">
        <v>4919</v>
      </c>
      <c r="C2410">
        <v>20</v>
      </c>
      <c r="D2410" t="s">
        <v>79</v>
      </c>
      <c r="E2410">
        <v>11</v>
      </c>
      <c r="F2410" t="s">
        <v>4565</v>
      </c>
      <c r="G2410">
        <v>1549</v>
      </c>
      <c r="H2410">
        <v>1</v>
      </c>
      <c r="I2410" t="s">
        <v>145</v>
      </c>
      <c r="J2410">
        <v>0</v>
      </c>
      <c r="K2410">
        <v>2</v>
      </c>
      <c r="L2410">
        <v>2</v>
      </c>
      <c r="M2410">
        <v>115</v>
      </c>
      <c r="N2410">
        <v>302</v>
      </c>
      <c r="O2410">
        <v>2</v>
      </c>
      <c r="P2410">
        <v>302</v>
      </c>
      <c r="Q2410">
        <v>32</v>
      </c>
      <c r="R2410">
        <v>58</v>
      </c>
      <c r="S2410">
        <v>4</v>
      </c>
      <c r="T2410">
        <v>8</v>
      </c>
      <c r="U2410">
        <v>22</v>
      </c>
      <c r="V2410">
        <v>10</v>
      </c>
      <c r="W2410">
        <v>1</v>
      </c>
      <c r="X2410">
        <v>10</v>
      </c>
      <c r="Y2410">
        <v>133</v>
      </c>
      <c r="Z2410">
        <v>1</v>
      </c>
      <c r="AA2410">
        <v>2</v>
      </c>
      <c r="AB2410">
        <v>5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1</v>
      </c>
      <c r="AL2410">
        <v>1</v>
      </c>
      <c r="AM2410">
        <v>0</v>
      </c>
      <c r="AN2410">
        <v>0</v>
      </c>
      <c r="AT2410">
        <v>0</v>
      </c>
      <c r="AU2410">
        <v>14</v>
      </c>
      <c r="AV2410">
        <v>302</v>
      </c>
      <c r="AW2410">
        <v>302</v>
      </c>
      <c r="AX2410">
        <v>394</v>
      </c>
      <c r="BA2410">
        <v>1</v>
      </c>
      <c r="BC2410" t="s">
        <v>4920</v>
      </c>
      <c r="BD2410" s="4">
        <v>43283.356354166666</v>
      </c>
      <c r="BE2410" s="4">
        <v>43283.388275462959</v>
      </c>
      <c r="BF2410" s="4">
        <v>43283.388275462959</v>
      </c>
      <c r="BG2410" t="s">
        <v>83</v>
      </c>
      <c r="BH2410" t="s">
        <v>84</v>
      </c>
      <c r="BI2410" t="s">
        <v>85</v>
      </c>
    </row>
    <row r="2411" spans="1:61" x14ac:dyDescent="0.3">
      <c r="A2411" t="str">
        <f>"201550B0100"</f>
        <v>201550B0100</v>
      </c>
      <c r="B2411" t="s">
        <v>4921</v>
      </c>
      <c r="C2411">
        <v>20</v>
      </c>
      <c r="D2411" t="s">
        <v>79</v>
      </c>
      <c r="E2411">
        <v>11</v>
      </c>
      <c r="F2411" t="s">
        <v>4565</v>
      </c>
      <c r="G2411">
        <v>1550</v>
      </c>
      <c r="H2411">
        <v>1</v>
      </c>
      <c r="I2411" t="s">
        <v>81</v>
      </c>
      <c r="J2411">
        <v>0</v>
      </c>
      <c r="K2411">
        <v>2</v>
      </c>
      <c r="L2411">
        <v>2</v>
      </c>
      <c r="M2411">
        <v>161</v>
      </c>
      <c r="N2411">
        <v>496</v>
      </c>
      <c r="O2411">
        <v>0</v>
      </c>
      <c r="P2411">
        <v>496</v>
      </c>
      <c r="Q2411">
        <v>20</v>
      </c>
      <c r="R2411">
        <v>139</v>
      </c>
      <c r="S2411">
        <v>6</v>
      </c>
      <c r="T2411">
        <v>17</v>
      </c>
      <c r="U2411">
        <v>18</v>
      </c>
      <c r="V2411">
        <v>37</v>
      </c>
      <c r="W2411">
        <v>2</v>
      </c>
      <c r="X2411">
        <v>3</v>
      </c>
      <c r="Y2411">
        <v>210</v>
      </c>
      <c r="Z2411">
        <v>6</v>
      </c>
      <c r="AA2411">
        <v>0</v>
      </c>
      <c r="AB2411">
        <v>2</v>
      </c>
      <c r="AC2411">
        <v>0</v>
      </c>
      <c r="AD2411">
        <v>0</v>
      </c>
      <c r="AE2411">
        <v>1</v>
      </c>
      <c r="AF2411">
        <v>0</v>
      </c>
      <c r="AG2411">
        <v>0</v>
      </c>
      <c r="AH2411">
        <v>2</v>
      </c>
      <c r="AI2411">
        <v>1</v>
      </c>
      <c r="AJ2411">
        <v>0</v>
      </c>
      <c r="AK2411">
        <v>4</v>
      </c>
      <c r="AL2411">
        <v>1</v>
      </c>
      <c r="AM2411">
        <v>0</v>
      </c>
      <c r="AN2411">
        <v>0</v>
      </c>
      <c r="AT2411" t="s">
        <v>100</v>
      </c>
      <c r="AU2411">
        <v>27</v>
      </c>
      <c r="AV2411">
        <v>496</v>
      </c>
      <c r="AW2411">
        <v>496</v>
      </c>
      <c r="AX2411">
        <v>634</v>
      </c>
      <c r="AZ2411" t="s">
        <v>101</v>
      </c>
      <c r="BA2411">
        <v>1</v>
      </c>
      <c r="BC2411" t="s">
        <v>4922</v>
      </c>
      <c r="BD2411" s="4">
        <v>43283.371087962965</v>
      </c>
      <c r="BE2411" s="4">
        <v>43283.377453703702</v>
      </c>
      <c r="BF2411" s="4">
        <v>43283.377453703702</v>
      </c>
      <c r="BG2411" t="s">
        <v>83</v>
      </c>
      <c r="BH2411" t="s">
        <v>84</v>
      </c>
      <c r="BI2411" t="s">
        <v>85</v>
      </c>
    </row>
    <row r="2412" spans="1:61" x14ac:dyDescent="0.3">
      <c r="A2412" t="str">
        <f>"201550E0100"</f>
        <v>201550E0100</v>
      </c>
      <c r="B2412" s="2" t="s">
        <v>4923</v>
      </c>
      <c r="C2412">
        <v>20</v>
      </c>
      <c r="D2412" t="s">
        <v>79</v>
      </c>
      <c r="E2412">
        <v>11</v>
      </c>
      <c r="F2412" t="s">
        <v>4565</v>
      </c>
      <c r="G2412">
        <v>1550</v>
      </c>
      <c r="H2412">
        <v>1</v>
      </c>
      <c r="I2412" t="s">
        <v>145</v>
      </c>
      <c r="J2412">
        <v>0</v>
      </c>
      <c r="K2412">
        <v>2</v>
      </c>
      <c r="L2412">
        <v>2</v>
      </c>
      <c r="AX2412">
        <v>392</v>
      </c>
      <c r="AZ2412" t="s">
        <v>156</v>
      </c>
      <c r="BA2412">
        <v>0</v>
      </c>
      <c r="BC2412" t="s">
        <v>4924</v>
      </c>
      <c r="BD2412" s="4">
        <v>43283.769143518519</v>
      </c>
      <c r="BE2412" s="4">
        <v>43283.771770833337</v>
      </c>
      <c r="BF2412" s="4">
        <v>43283.771770833337</v>
      </c>
      <c r="BG2412" t="s">
        <v>83</v>
      </c>
      <c r="BH2412" t="s">
        <v>84</v>
      </c>
      <c r="BI2412" t="s">
        <v>85</v>
      </c>
    </row>
    <row r="2413" spans="1:61" x14ac:dyDescent="0.3">
      <c r="A2413" t="str">
        <f>"201550E0101"</f>
        <v>201550E0101</v>
      </c>
      <c r="B2413" s="2" t="s">
        <v>4925</v>
      </c>
      <c r="C2413">
        <v>20</v>
      </c>
      <c r="D2413" t="s">
        <v>79</v>
      </c>
      <c r="E2413">
        <v>11</v>
      </c>
      <c r="F2413" t="s">
        <v>4565</v>
      </c>
      <c r="G2413">
        <v>1550</v>
      </c>
      <c r="H2413">
        <v>1</v>
      </c>
      <c r="I2413" t="s">
        <v>145</v>
      </c>
      <c r="J2413">
        <v>1</v>
      </c>
      <c r="K2413">
        <v>2</v>
      </c>
      <c r="L2413">
        <v>2</v>
      </c>
      <c r="AX2413">
        <v>391</v>
      </c>
      <c r="AZ2413" t="s">
        <v>156</v>
      </c>
      <c r="BA2413">
        <v>0</v>
      </c>
      <c r="BC2413" s="2" t="s">
        <v>4926</v>
      </c>
      <c r="BD2413" s="4">
        <v>43283.79409722222</v>
      </c>
      <c r="BE2413" s="4">
        <v>43283.798020833332</v>
      </c>
      <c r="BF2413" s="4">
        <v>43283.798020833332</v>
      </c>
      <c r="BG2413" t="s">
        <v>83</v>
      </c>
      <c r="BH2413" t="s">
        <v>84</v>
      </c>
      <c r="BI2413" t="s">
        <v>85</v>
      </c>
    </row>
    <row r="2414" spans="1:61" x14ac:dyDescent="0.3">
      <c r="A2414" t="str">
        <f>"201550E0200"</f>
        <v>201550E0200</v>
      </c>
      <c r="B2414" s="2" t="s">
        <v>4927</v>
      </c>
      <c r="C2414">
        <v>20</v>
      </c>
      <c r="D2414" t="s">
        <v>79</v>
      </c>
      <c r="E2414">
        <v>11</v>
      </c>
      <c r="F2414" t="s">
        <v>4565</v>
      </c>
      <c r="G2414">
        <v>1550</v>
      </c>
      <c r="H2414">
        <v>2</v>
      </c>
      <c r="I2414" t="s">
        <v>145</v>
      </c>
      <c r="J2414">
        <v>0</v>
      </c>
      <c r="K2414">
        <v>2</v>
      </c>
      <c r="L2414">
        <v>2</v>
      </c>
      <c r="M2414">
        <v>87</v>
      </c>
      <c r="N2414">
        <v>333</v>
      </c>
      <c r="O2414">
        <v>0</v>
      </c>
      <c r="P2414">
        <v>333</v>
      </c>
      <c r="Q2414">
        <v>14</v>
      </c>
      <c r="R2414">
        <v>62</v>
      </c>
      <c r="S2414">
        <v>4</v>
      </c>
      <c r="T2414">
        <v>11</v>
      </c>
      <c r="U2414">
        <v>11</v>
      </c>
      <c r="V2414">
        <v>7</v>
      </c>
      <c r="W2414">
        <v>2</v>
      </c>
      <c r="X2414">
        <v>3</v>
      </c>
      <c r="Y2414">
        <v>196</v>
      </c>
      <c r="Z2414">
        <v>5</v>
      </c>
      <c r="AA2414">
        <v>1</v>
      </c>
      <c r="AB2414" t="s">
        <v>100</v>
      </c>
      <c r="AC2414" t="s">
        <v>100</v>
      </c>
      <c r="AD2414" t="s">
        <v>100</v>
      </c>
      <c r="AE2414" t="s">
        <v>100</v>
      </c>
      <c r="AF2414" t="s">
        <v>100</v>
      </c>
      <c r="AG2414" t="s">
        <v>100</v>
      </c>
      <c r="AH2414" t="s">
        <v>100</v>
      </c>
      <c r="AI2414" t="s">
        <v>100</v>
      </c>
      <c r="AJ2414" t="s">
        <v>100</v>
      </c>
      <c r="AK2414" t="s">
        <v>100</v>
      </c>
      <c r="AL2414" t="s">
        <v>100</v>
      </c>
      <c r="AM2414" t="s">
        <v>100</v>
      </c>
      <c r="AN2414" t="s">
        <v>100</v>
      </c>
      <c r="AT2414" t="s">
        <v>100</v>
      </c>
      <c r="AU2414">
        <v>17</v>
      </c>
      <c r="AV2414">
        <v>333</v>
      </c>
      <c r="AW2414">
        <v>333</v>
      </c>
      <c r="AX2414">
        <v>397</v>
      </c>
      <c r="AZ2414" t="s">
        <v>101</v>
      </c>
      <c r="BA2414">
        <v>1</v>
      </c>
      <c r="BC2414" t="s">
        <v>4928</v>
      </c>
      <c r="BD2414" s="4">
        <v>43283.366354166668</v>
      </c>
      <c r="BE2414" s="4">
        <v>43283.375833333332</v>
      </c>
      <c r="BF2414" s="4">
        <v>43283.375833333332</v>
      </c>
      <c r="BG2414" t="s">
        <v>83</v>
      </c>
      <c r="BH2414" t="s">
        <v>84</v>
      </c>
      <c r="BI2414" t="s">
        <v>85</v>
      </c>
    </row>
    <row r="2415" spans="1:61" x14ac:dyDescent="0.3">
      <c r="A2415" t="str">
        <f>"201551B0100"</f>
        <v>201551B0100</v>
      </c>
      <c r="B2415" t="s">
        <v>4929</v>
      </c>
      <c r="C2415">
        <v>20</v>
      </c>
      <c r="D2415" t="s">
        <v>79</v>
      </c>
      <c r="E2415">
        <v>11</v>
      </c>
      <c r="F2415" t="s">
        <v>4565</v>
      </c>
      <c r="G2415">
        <v>1551</v>
      </c>
      <c r="H2415">
        <v>1</v>
      </c>
      <c r="I2415" t="s">
        <v>81</v>
      </c>
      <c r="J2415">
        <v>0</v>
      </c>
      <c r="K2415">
        <v>2</v>
      </c>
      <c r="L2415">
        <v>2</v>
      </c>
      <c r="M2415">
        <v>82</v>
      </c>
      <c r="N2415">
        <v>237</v>
      </c>
      <c r="O2415">
        <v>0</v>
      </c>
      <c r="P2415">
        <v>237</v>
      </c>
      <c r="Q2415">
        <v>10</v>
      </c>
      <c r="R2415">
        <v>52</v>
      </c>
      <c r="S2415">
        <v>3</v>
      </c>
      <c r="T2415">
        <v>8</v>
      </c>
      <c r="U2415">
        <v>5</v>
      </c>
      <c r="V2415">
        <v>3</v>
      </c>
      <c r="W2415">
        <v>0</v>
      </c>
      <c r="X2415">
        <v>1</v>
      </c>
      <c r="Y2415">
        <v>59</v>
      </c>
      <c r="Z2415">
        <v>3</v>
      </c>
      <c r="AA2415">
        <v>1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1</v>
      </c>
      <c r="AJ2415">
        <v>0</v>
      </c>
      <c r="AK2415">
        <v>0</v>
      </c>
      <c r="AL2415">
        <v>0</v>
      </c>
      <c r="AM2415">
        <v>0</v>
      </c>
      <c r="AN2415">
        <v>0</v>
      </c>
      <c r="AT2415">
        <v>0</v>
      </c>
      <c r="AU2415">
        <v>9</v>
      </c>
      <c r="AV2415">
        <v>155</v>
      </c>
      <c r="AW2415">
        <v>155</v>
      </c>
      <c r="AX2415">
        <v>214</v>
      </c>
      <c r="BA2415">
        <v>1</v>
      </c>
      <c r="BC2415" t="s">
        <v>4930</v>
      </c>
      <c r="BD2415" s="4">
        <v>43283.368587962963</v>
      </c>
      <c r="BE2415" s="4">
        <v>43283.376122685186</v>
      </c>
      <c r="BF2415" s="4">
        <v>43283.376122685186</v>
      </c>
      <c r="BG2415" t="s">
        <v>83</v>
      </c>
      <c r="BH2415" t="s">
        <v>84</v>
      </c>
      <c r="BI2415" t="s">
        <v>85</v>
      </c>
    </row>
    <row r="2416" spans="1:61" x14ac:dyDescent="0.3">
      <c r="A2416" t="str">
        <f>"201552B0100"</f>
        <v>201552B0100</v>
      </c>
      <c r="B2416" t="s">
        <v>4931</v>
      </c>
      <c r="C2416">
        <v>20</v>
      </c>
      <c r="D2416" t="s">
        <v>79</v>
      </c>
      <c r="E2416">
        <v>11</v>
      </c>
      <c r="F2416" t="s">
        <v>4565</v>
      </c>
      <c r="G2416">
        <v>1552</v>
      </c>
      <c r="H2416">
        <v>1</v>
      </c>
      <c r="I2416" t="s">
        <v>81</v>
      </c>
      <c r="J2416">
        <v>0</v>
      </c>
      <c r="K2416">
        <v>2</v>
      </c>
      <c r="L2416">
        <v>2</v>
      </c>
      <c r="M2416">
        <v>89</v>
      </c>
      <c r="N2416" t="s">
        <v>315</v>
      </c>
      <c r="O2416">
        <v>0</v>
      </c>
      <c r="P2416">
        <v>156</v>
      </c>
      <c r="Q2416">
        <v>18</v>
      </c>
      <c r="R2416">
        <v>67</v>
      </c>
      <c r="S2416">
        <v>2</v>
      </c>
      <c r="T2416">
        <v>4</v>
      </c>
      <c r="U2416">
        <v>6</v>
      </c>
      <c r="V2416">
        <v>5</v>
      </c>
      <c r="W2416">
        <v>1</v>
      </c>
      <c r="X2416">
        <v>3</v>
      </c>
      <c r="Y2416">
        <v>39</v>
      </c>
      <c r="Z2416">
        <v>3</v>
      </c>
      <c r="AA2416">
        <v>1</v>
      </c>
      <c r="AB2416">
        <v>1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T2416">
        <v>1</v>
      </c>
      <c r="AU2416">
        <v>5</v>
      </c>
      <c r="AV2416">
        <v>156</v>
      </c>
      <c r="AW2416">
        <v>156</v>
      </c>
      <c r="AX2416">
        <v>222</v>
      </c>
      <c r="BA2416">
        <v>1</v>
      </c>
      <c r="BC2416" t="s">
        <v>4932</v>
      </c>
      <c r="BD2416" s="4">
        <v>43283.369849537034</v>
      </c>
      <c r="BE2416" s="4">
        <v>43283.377337962964</v>
      </c>
      <c r="BF2416" s="4">
        <v>43283.377337962964</v>
      </c>
      <c r="BG2416" t="s">
        <v>83</v>
      </c>
      <c r="BH2416" t="s">
        <v>84</v>
      </c>
      <c r="BI2416" t="s">
        <v>85</v>
      </c>
    </row>
    <row r="2417" spans="1:61" x14ac:dyDescent="0.3">
      <c r="A2417" t="str">
        <f>"201552E0100"</f>
        <v>201552E0100</v>
      </c>
      <c r="B2417" s="2" t="s">
        <v>4933</v>
      </c>
      <c r="C2417">
        <v>20</v>
      </c>
      <c r="D2417" t="s">
        <v>79</v>
      </c>
      <c r="E2417">
        <v>11</v>
      </c>
      <c r="F2417" t="s">
        <v>4565</v>
      </c>
      <c r="G2417">
        <v>1552</v>
      </c>
      <c r="H2417">
        <v>1</v>
      </c>
      <c r="I2417" t="s">
        <v>145</v>
      </c>
      <c r="J2417">
        <v>0</v>
      </c>
      <c r="K2417">
        <v>2</v>
      </c>
      <c r="L2417">
        <v>2</v>
      </c>
      <c r="M2417">
        <v>134</v>
      </c>
      <c r="N2417">
        <v>372</v>
      </c>
      <c r="O2417">
        <v>1</v>
      </c>
      <c r="P2417">
        <v>372</v>
      </c>
      <c r="Q2417">
        <v>66</v>
      </c>
      <c r="R2417">
        <v>59</v>
      </c>
      <c r="S2417">
        <v>1</v>
      </c>
      <c r="T2417">
        <v>3</v>
      </c>
      <c r="U2417">
        <v>18</v>
      </c>
      <c r="V2417">
        <v>13</v>
      </c>
      <c r="W2417">
        <v>3</v>
      </c>
      <c r="X2417">
        <v>175</v>
      </c>
      <c r="Y2417">
        <v>7</v>
      </c>
      <c r="Z2417">
        <v>6</v>
      </c>
      <c r="AA2417">
        <v>1</v>
      </c>
      <c r="AB2417">
        <v>2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1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T2417">
        <v>0</v>
      </c>
      <c r="AU2417">
        <v>17</v>
      </c>
      <c r="AV2417">
        <v>372</v>
      </c>
      <c r="AW2417">
        <v>372</v>
      </c>
      <c r="AX2417">
        <v>483</v>
      </c>
      <c r="BA2417">
        <v>1</v>
      </c>
      <c r="BC2417" t="s">
        <v>4934</v>
      </c>
      <c r="BD2417" s="4">
        <v>43283.370474537034</v>
      </c>
      <c r="BE2417" s="4">
        <v>43283.379745370374</v>
      </c>
      <c r="BF2417" s="4">
        <v>43283.379745370374</v>
      </c>
      <c r="BG2417" t="s">
        <v>83</v>
      </c>
      <c r="BH2417" t="s">
        <v>84</v>
      </c>
      <c r="BI2417" t="s">
        <v>85</v>
      </c>
    </row>
    <row r="2418" spans="1:61" x14ac:dyDescent="0.3">
      <c r="A2418" t="str">
        <f>"201810B0100"</f>
        <v>201810B0100</v>
      </c>
      <c r="B2418" t="s">
        <v>4935</v>
      </c>
      <c r="C2418">
        <v>20</v>
      </c>
      <c r="D2418" t="s">
        <v>79</v>
      </c>
      <c r="E2418">
        <v>11</v>
      </c>
      <c r="F2418" t="s">
        <v>4565</v>
      </c>
      <c r="G2418">
        <v>1810</v>
      </c>
      <c r="H2418">
        <v>1</v>
      </c>
      <c r="I2418" t="s">
        <v>81</v>
      </c>
      <c r="J2418">
        <v>0</v>
      </c>
      <c r="K2418">
        <v>1</v>
      </c>
      <c r="L2418">
        <v>2</v>
      </c>
      <c r="M2418">
        <v>274</v>
      </c>
      <c r="N2418">
        <v>400</v>
      </c>
      <c r="O2418">
        <v>0</v>
      </c>
      <c r="P2418">
        <v>400</v>
      </c>
      <c r="Q2418">
        <v>24</v>
      </c>
      <c r="R2418">
        <v>51</v>
      </c>
      <c r="S2418">
        <v>28</v>
      </c>
      <c r="T2418">
        <v>4</v>
      </c>
      <c r="U2418">
        <v>27</v>
      </c>
      <c r="V2418">
        <v>12</v>
      </c>
      <c r="W2418">
        <v>0</v>
      </c>
      <c r="X2418">
        <v>8</v>
      </c>
      <c r="Y2418">
        <v>173</v>
      </c>
      <c r="Z2418">
        <v>20</v>
      </c>
      <c r="AA2418">
        <v>3</v>
      </c>
      <c r="AB2418">
        <v>2</v>
      </c>
      <c r="AC2418">
        <v>2</v>
      </c>
      <c r="AD2418">
        <v>0</v>
      </c>
      <c r="AE2418">
        <v>0</v>
      </c>
      <c r="AF2418">
        <v>0</v>
      </c>
      <c r="AG2418">
        <v>1</v>
      </c>
      <c r="AH2418">
        <v>0</v>
      </c>
      <c r="AI2418">
        <v>0</v>
      </c>
      <c r="AJ2418">
        <v>0</v>
      </c>
      <c r="AK2418">
        <v>5</v>
      </c>
      <c r="AL2418">
        <v>2</v>
      </c>
      <c r="AM2418">
        <v>2</v>
      </c>
      <c r="AN2418">
        <v>1</v>
      </c>
      <c r="AT2418">
        <v>0</v>
      </c>
      <c r="AU2418">
        <v>35</v>
      </c>
      <c r="AV2418">
        <v>400</v>
      </c>
      <c r="AW2418">
        <v>400</v>
      </c>
      <c r="AX2418">
        <v>652</v>
      </c>
      <c r="BA2418">
        <v>1</v>
      </c>
      <c r="BC2418" t="s">
        <v>4936</v>
      </c>
      <c r="BD2418" s="4">
        <v>43283.604467592595</v>
      </c>
      <c r="BE2418" s="4">
        <v>43283.60733796296</v>
      </c>
      <c r="BF2418" s="4">
        <v>43283.60733796296</v>
      </c>
      <c r="BG2418" t="s">
        <v>83</v>
      </c>
      <c r="BH2418" t="s">
        <v>84</v>
      </c>
      <c r="BI2418" t="s">
        <v>548</v>
      </c>
    </row>
    <row r="2419" spans="1:61" x14ac:dyDescent="0.3">
      <c r="A2419" t="str">
        <f>"201810C0100"</f>
        <v>201810C0100</v>
      </c>
      <c r="B2419" t="s">
        <v>4937</v>
      </c>
      <c r="C2419">
        <v>20</v>
      </c>
      <c r="D2419" t="s">
        <v>79</v>
      </c>
      <c r="E2419">
        <v>11</v>
      </c>
      <c r="F2419" t="s">
        <v>4565</v>
      </c>
      <c r="G2419">
        <v>1810</v>
      </c>
      <c r="H2419">
        <v>1</v>
      </c>
      <c r="I2419" t="s">
        <v>89</v>
      </c>
      <c r="J2419">
        <v>0</v>
      </c>
      <c r="K2419">
        <v>1</v>
      </c>
      <c r="L2419">
        <v>2</v>
      </c>
      <c r="M2419">
        <v>314</v>
      </c>
      <c r="N2419">
        <v>359</v>
      </c>
      <c r="O2419">
        <v>0</v>
      </c>
      <c r="P2419">
        <v>359</v>
      </c>
      <c r="Q2419">
        <v>13</v>
      </c>
      <c r="R2419">
        <v>33</v>
      </c>
      <c r="S2419">
        <v>11</v>
      </c>
      <c r="T2419">
        <v>3</v>
      </c>
      <c r="U2419">
        <v>55</v>
      </c>
      <c r="V2419">
        <v>20</v>
      </c>
      <c r="W2419">
        <v>0</v>
      </c>
      <c r="X2419">
        <v>14</v>
      </c>
      <c r="Y2419">
        <v>125</v>
      </c>
      <c r="Z2419">
        <v>24</v>
      </c>
      <c r="AA2419">
        <v>0</v>
      </c>
      <c r="AB2419">
        <v>1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1</v>
      </c>
      <c r="AI2419">
        <v>0</v>
      </c>
      <c r="AJ2419">
        <v>0</v>
      </c>
      <c r="AK2419">
        <v>17</v>
      </c>
      <c r="AL2419">
        <v>2</v>
      </c>
      <c r="AM2419">
        <v>0</v>
      </c>
      <c r="AN2419">
        <v>1</v>
      </c>
      <c r="AT2419">
        <v>0</v>
      </c>
      <c r="AU2419">
        <v>39</v>
      </c>
      <c r="AV2419">
        <v>359</v>
      </c>
      <c r="AW2419">
        <v>359</v>
      </c>
      <c r="AX2419">
        <v>651</v>
      </c>
      <c r="BA2419">
        <v>1</v>
      </c>
      <c r="BC2419" t="s">
        <v>4938</v>
      </c>
      <c r="BD2419" s="4">
        <v>43283.323414351849</v>
      </c>
      <c r="BE2419" s="4">
        <v>43283.343472222223</v>
      </c>
      <c r="BF2419" s="4">
        <v>43283.343472222223</v>
      </c>
      <c r="BG2419" t="s">
        <v>83</v>
      </c>
      <c r="BH2419" t="s">
        <v>84</v>
      </c>
      <c r="BI2419" t="s">
        <v>85</v>
      </c>
    </row>
    <row r="2420" spans="1:61" x14ac:dyDescent="0.3">
      <c r="A2420" t="str">
        <f>"201810C0200"</f>
        <v>201810C0200</v>
      </c>
      <c r="B2420" t="s">
        <v>4939</v>
      </c>
      <c r="C2420">
        <v>20</v>
      </c>
      <c r="D2420" t="s">
        <v>79</v>
      </c>
      <c r="E2420">
        <v>11</v>
      </c>
      <c r="F2420" t="s">
        <v>4565</v>
      </c>
      <c r="G2420">
        <v>1810</v>
      </c>
      <c r="H2420">
        <v>2</v>
      </c>
      <c r="I2420" t="s">
        <v>89</v>
      </c>
      <c r="J2420">
        <v>0</v>
      </c>
      <c r="K2420">
        <v>1</v>
      </c>
      <c r="L2420">
        <v>2</v>
      </c>
      <c r="M2420">
        <v>305</v>
      </c>
      <c r="N2420">
        <v>370</v>
      </c>
      <c r="O2420">
        <v>0</v>
      </c>
      <c r="P2420">
        <v>368</v>
      </c>
      <c r="Q2420">
        <v>23</v>
      </c>
      <c r="R2420">
        <v>40</v>
      </c>
      <c r="S2420">
        <v>18</v>
      </c>
      <c r="T2420">
        <v>1</v>
      </c>
      <c r="U2420">
        <v>45</v>
      </c>
      <c r="V2420">
        <v>28</v>
      </c>
      <c r="W2420">
        <v>5</v>
      </c>
      <c r="X2420">
        <v>8</v>
      </c>
      <c r="Y2420">
        <v>151</v>
      </c>
      <c r="Z2420">
        <v>18</v>
      </c>
      <c r="AA2420">
        <v>1</v>
      </c>
      <c r="AB2420">
        <v>4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1</v>
      </c>
      <c r="AJ2420">
        <v>0</v>
      </c>
      <c r="AK2420">
        <v>3</v>
      </c>
      <c r="AL2420">
        <v>1</v>
      </c>
      <c r="AM2420">
        <v>0</v>
      </c>
      <c r="AN2420">
        <v>3</v>
      </c>
      <c r="AT2420">
        <v>0</v>
      </c>
      <c r="AU2420">
        <v>18</v>
      </c>
      <c r="AV2420">
        <v>368</v>
      </c>
      <c r="AW2420">
        <v>368</v>
      </c>
      <c r="AX2420">
        <v>651</v>
      </c>
      <c r="BA2420">
        <v>1</v>
      </c>
      <c r="BC2420" t="s">
        <v>4940</v>
      </c>
      <c r="BD2420" s="4">
        <v>43283.324918981481</v>
      </c>
      <c r="BE2420" s="4">
        <v>43283.366863425923</v>
      </c>
      <c r="BF2420" s="4">
        <v>43283.366863425923</v>
      </c>
      <c r="BG2420" t="s">
        <v>83</v>
      </c>
      <c r="BH2420" t="s">
        <v>84</v>
      </c>
      <c r="BI2420" t="s">
        <v>85</v>
      </c>
    </row>
    <row r="2421" spans="1:61" x14ac:dyDescent="0.3">
      <c r="A2421" t="str">
        <f>"201811B0100"</f>
        <v>201811B0100</v>
      </c>
      <c r="B2421" t="s">
        <v>4941</v>
      </c>
      <c r="C2421">
        <v>20</v>
      </c>
      <c r="D2421" t="s">
        <v>79</v>
      </c>
      <c r="E2421">
        <v>11</v>
      </c>
      <c r="F2421" t="s">
        <v>4565</v>
      </c>
      <c r="G2421">
        <v>1811</v>
      </c>
      <c r="H2421">
        <v>1</v>
      </c>
      <c r="I2421" t="s">
        <v>81</v>
      </c>
      <c r="J2421">
        <v>0</v>
      </c>
      <c r="K2421">
        <v>2</v>
      </c>
      <c r="L2421">
        <v>2</v>
      </c>
      <c r="M2421">
        <v>243</v>
      </c>
      <c r="N2421">
        <v>446</v>
      </c>
      <c r="O2421">
        <v>0</v>
      </c>
      <c r="P2421">
        <v>446</v>
      </c>
      <c r="Q2421">
        <v>17</v>
      </c>
      <c r="R2421">
        <v>18</v>
      </c>
      <c r="S2421">
        <v>10</v>
      </c>
      <c r="T2421">
        <v>6</v>
      </c>
      <c r="U2421">
        <v>47</v>
      </c>
      <c r="V2421">
        <v>6</v>
      </c>
      <c r="W2421">
        <v>5</v>
      </c>
      <c r="X2421">
        <v>3</v>
      </c>
      <c r="Y2421">
        <v>271</v>
      </c>
      <c r="Z2421">
        <v>17</v>
      </c>
      <c r="AA2421">
        <v>1</v>
      </c>
      <c r="AB2421">
        <v>0</v>
      </c>
      <c r="AC2421">
        <v>1</v>
      </c>
      <c r="AD2421">
        <v>1</v>
      </c>
      <c r="AE2421">
        <v>0</v>
      </c>
      <c r="AF2421">
        <v>0</v>
      </c>
      <c r="AG2421">
        <v>0</v>
      </c>
      <c r="AH2421">
        <v>1</v>
      </c>
      <c r="AI2421">
        <v>0</v>
      </c>
      <c r="AJ2421">
        <v>0</v>
      </c>
      <c r="AK2421">
        <v>15</v>
      </c>
      <c r="AL2421">
        <v>2</v>
      </c>
      <c r="AM2421">
        <v>1</v>
      </c>
      <c r="AN2421">
        <v>2</v>
      </c>
      <c r="AT2421">
        <v>0</v>
      </c>
      <c r="AU2421">
        <v>22</v>
      </c>
      <c r="AV2421">
        <v>446</v>
      </c>
      <c r="AW2421">
        <v>446</v>
      </c>
      <c r="AX2421">
        <v>667</v>
      </c>
      <c r="BA2421">
        <v>1</v>
      </c>
      <c r="BC2421" t="s">
        <v>4942</v>
      </c>
      <c r="BD2421" s="4">
        <v>43283.109722222223</v>
      </c>
      <c r="BE2421" s="4">
        <v>43283.113854166666</v>
      </c>
      <c r="BF2421" s="4">
        <v>43283.113854166666</v>
      </c>
      <c r="BG2421" t="s">
        <v>83</v>
      </c>
      <c r="BH2421" t="s">
        <v>84</v>
      </c>
      <c r="BI2421" t="s">
        <v>85</v>
      </c>
    </row>
    <row r="2422" spans="1:61" x14ac:dyDescent="0.3">
      <c r="A2422" t="str">
        <f>"201811E0100"</f>
        <v>201811E0100</v>
      </c>
      <c r="B2422" s="2" t="s">
        <v>4943</v>
      </c>
      <c r="C2422">
        <v>20</v>
      </c>
      <c r="D2422" t="s">
        <v>79</v>
      </c>
      <c r="E2422">
        <v>11</v>
      </c>
      <c r="F2422" t="s">
        <v>4565</v>
      </c>
      <c r="G2422">
        <v>1811</v>
      </c>
      <c r="H2422">
        <v>1</v>
      </c>
      <c r="I2422" t="s">
        <v>145</v>
      </c>
      <c r="J2422">
        <v>0</v>
      </c>
      <c r="K2422">
        <v>2</v>
      </c>
      <c r="L2422">
        <v>2</v>
      </c>
      <c r="M2422">
        <v>79</v>
      </c>
      <c r="N2422">
        <v>100</v>
      </c>
      <c r="O2422">
        <v>0</v>
      </c>
      <c r="P2422">
        <v>100</v>
      </c>
      <c r="Q2422">
        <v>27</v>
      </c>
      <c r="R2422">
        <v>5</v>
      </c>
      <c r="S2422">
        <v>4</v>
      </c>
      <c r="T2422">
        <v>4</v>
      </c>
      <c r="U2422">
        <v>9</v>
      </c>
      <c r="V2422">
        <v>3</v>
      </c>
      <c r="W2422">
        <v>1</v>
      </c>
      <c r="X2422">
        <v>3</v>
      </c>
      <c r="Y2422">
        <v>39</v>
      </c>
      <c r="Z2422">
        <v>4</v>
      </c>
      <c r="AA2422">
        <v>0</v>
      </c>
      <c r="AB2422">
        <v>1</v>
      </c>
      <c r="AC2422">
        <v>1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1</v>
      </c>
      <c r="AM2422">
        <v>0</v>
      </c>
      <c r="AN2422">
        <v>0</v>
      </c>
      <c r="AT2422">
        <v>0</v>
      </c>
      <c r="AU2422">
        <v>1</v>
      </c>
      <c r="AV2422">
        <v>100</v>
      </c>
      <c r="AW2422">
        <v>103</v>
      </c>
      <c r="AX2422">
        <v>157</v>
      </c>
      <c r="BA2422">
        <v>1</v>
      </c>
      <c r="BC2422" t="s">
        <v>4944</v>
      </c>
      <c r="BD2422" s="4">
        <v>43283.056250000001</v>
      </c>
      <c r="BE2422" s="4">
        <v>43283.061331018522</v>
      </c>
      <c r="BF2422" s="4">
        <v>43283.061331018522</v>
      </c>
      <c r="BG2422" t="s">
        <v>83</v>
      </c>
      <c r="BH2422" t="s">
        <v>84</v>
      </c>
      <c r="BI2422" t="s">
        <v>85</v>
      </c>
    </row>
    <row r="2423" spans="1:61" x14ac:dyDescent="0.3">
      <c r="A2423" t="str">
        <f>"201812B0100"</f>
        <v>201812B0100</v>
      </c>
      <c r="B2423" t="s">
        <v>4945</v>
      </c>
      <c r="C2423">
        <v>20</v>
      </c>
      <c r="D2423" t="s">
        <v>79</v>
      </c>
      <c r="E2423">
        <v>11</v>
      </c>
      <c r="F2423" t="s">
        <v>4565</v>
      </c>
      <c r="G2423">
        <v>1812</v>
      </c>
      <c r="H2423">
        <v>1</v>
      </c>
      <c r="I2423" t="s">
        <v>81</v>
      </c>
      <c r="J2423">
        <v>0</v>
      </c>
      <c r="K2423">
        <v>2</v>
      </c>
      <c r="L2423">
        <v>2</v>
      </c>
      <c r="AX2423">
        <v>512</v>
      </c>
      <c r="AZ2423" t="s">
        <v>156</v>
      </c>
      <c r="BA2423">
        <v>0</v>
      </c>
      <c r="BC2423" t="s">
        <v>4946</v>
      </c>
      <c r="BD2423" s="4">
        <v>43283.774872685186</v>
      </c>
      <c r="BE2423" s="4">
        <v>43283.780185185184</v>
      </c>
      <c r="BF2423" s="4">
        <v>43283.780185185184</v>
      </c>
      <c r="BG2423" t="s">
        <v>83</v>
      </c>
      <c r="BH2423" t="s">
        <v>84</v>
      </c>
      <c r="BI2423" t="s">
        <v>85</v>
      </c>
    </row>
    <row r="2424" spans="1:61" x14ac:dyDescent="0.3">
      <c r="A2424" t="str">
        <f>"201812E0100"</f>
        <v>201812E0100</v>
      </c>
      <c r="B2424" s="2" t="s">
        <v>4947</v>
      </c>
      <c r="C2424">
        <v>20</v>
      </c>
      <c r="D2424" t="s">
        <v>79</v>
      </c>
      <c r="E2424">
        <v>11</v>
      </c>
      <c r="F2424" t="s">
        <v>4565</v>
      </c>
      <c r="G2424">
        <v>1812</v>
      </c>
      <c r="H2424">
        <v>1</v>
      </c>
      <c r="I2424" t="s">
        <v>145</v>
      </c>
      <c r="J2424">
        <v>0</v>
      </c>
      <c r="K2424">
        <v>2</v>
      </c>
      <c r="L2424">
        <v>2</v>
      </c>
      <c r="M2424">
        <v>163</v>
      </c>
      <c r="N2424">
        <v>281</v>
      </c>
      <c r="O2424">
        <v>0</v>
      </c>
      <c r="P2424">
        <v>281</v>
      </c>
      <c r="Q2424">
        <v>23</v>
      </c>
      <c r="R2424">
        <v>91</v>
      </c>
      <c r="S2424">
        <v>5</v>
      </c>
      <c r="T2424">
        <v>7</v>
      </c>
      <c r="U2424">
        <v>23</v>
      </c>
      <c r="V2424">
        <v>7</v>
      </c>
      <c r="W2424">
        <v>2</v>
      </c>
      <c r="X2424">
        <v>4</v>
      </c>
      <c r="Y2424">
        <v>84</v>
      </c>
      <c r="Z2424">
        <v>7</v>
      </c>
      <c r="AA2424">
        <v>0</v>
      </c>
      <c r="AB2424">
        <v>0</v>
      </c>
      <c r="AC2424">
        <v>0</v>
      </c>
      <c r="AD2424">
        <v>1</v>
      </c>
      <c r="AE2424">
        <v>0</v>
      </c>
      <c r="AF2424">
        <v>0</v>
      </c>
      <c r="AG2424">
        <v>0</v>
      </c>
      <c r="AH2424">
        <v>2</v>
      </c>
      <c r="AI2424">
        <v>1</v>
      </c>
      <c r="AJ2424">
        <v>0</v>
      </c>
      <c r="AK2424">
        <v>2</v>
      </c>
      <c r="AL2424">
        <v>2</v>
      </c>
      <c r="AM2424">
        <v>0</v>
      </c>
      <c r="AN2424">
        <v>4</v>
      </c>
      <c r="AT2424">
        <v>0</v>
      </c>
      <c r="AU2424">
        <v>16</v>
      </c>
      <c r="AV2424">
        <v>281</v>
      </c>
      <c r="AW2424">
        <v>281</v>
      </c>
      <c r="AX2424">
        <v>422</v>
      </c>
      <c r="BA2424">
        <v>1</v>
      </c>
      <c r="BC2424" t="s">
        <v>4948</v>
      </c>
      <c r="BD2424" s="4">
        <v>43283.265023148146</v>
      </c>
      <c r="BE2424" s="4">
        <v>43283.291435185187</v>
      </c>
      <c r="BF2424" s="4">
        <v>43283.291435185187</v>
      </c>
      <c r="BG2424" t="s">
        <v>83</v>
      </c>
      <c r="BH2424" t="s">
        <v>84</v>
      </c>
      <c r="BI2424" t="s">
        <v>85</v>
      </c>
    </row>
    <row r="2425" spans="1:61" x14ac:dyDescent="0.3">
      <c r="A2425" t="str">
        <f>"201812E0200"</f>
        <v>201812E0200</v>
      </c>
      <c r="B2425" s="2" t="s">
        <v>4949</v>
      </c>
      <c r="C2425">
        <v>20</v>
      </c>
      <c r="D2425" t="s">
        <v>79</v>
      </c>
      <c r="E2425">
        <v>11</v>
      </c>
      <c r="F2425" t="s">
        <v>4565</v>
      </c>
      <c r="G2425">
        <v>1812</v>
      </c>
      <c r="H2425">
        <v>2</v>
      </c>
      <c r="I2425" t="s">
        <v>145</v>
      </c>
      <c r="J2425">
        <v>0</v>
      </c>
      <c r="K2425">
        <v>2</v>
      </c>
      <c r="L2425">
        <v>2</v>
      </c>
      <c r="M2425">
        <v>51</v>
      </c>
      <c r="N2425">
        <v>112</v>
      </c>
      <c r="O2425">
        <v>0</v>
      </c>
      <c r="P2425">
        <v>112</v>
      </c>
      <c r="Q2425">
        <v>8</v>
      </c>
      <c r="R2425">
        <v>2</v>
      </c>
      <c r="S2425">
        <v>1</v>
      </c>
      <c r="T2425">
        <v>0</v>
      </c>
      <c r="U2425">
        <v>1</v>
      </c>
      <c r="V2425">
        <v>1</v>
      </c>
      <c r="W2425">
        <v>0</v>
      </c>
      <c r="X2425">
        <v>1</v>
      </c>
      <c r="Y2425">
        <v>93</v>
      </c>
      <c r="Z2425">
        <v>3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T2425">
        <v>0</v>
      </c>
      <c r="AU2425">
        <v>2</v>
      </c>
      <c r="AV2425">
        <v>112</v>
      </c>
      <c r="AW2425">
        <v>112</v>
      </c>
      <c r="AX2425">
        <v>141</v>
      </c>
      <c r="BA2425">
        <v>1</v>
      </c>
      <c r="BC2425" t="s">
        <v>4950</v>
      </c>
      <c r="BD2425" s="4">
        <v>43283.265532407408</v>
      </c>
      <c r="BE2425" s="4">
        <v>43283.290312500001</v>
      </c>
      <c r="BF2425" s="4">
        <v>43283.290312500001</v>
      </c>
      <c r="BG2425" t="s">
        <v>83</v>
      </c>
      <c r="BH2425" t="s">
        <v>84</v>
      </c>
      <c r="BI2425" t="s">
        <v>85</v>
      </c>
    </row>
    <row r="2426" spans="1:61" x14ac:dyDescent="0.3">
      <c r="A2426" t="str">
        <f>"201813B0100"</f>
        <v>201813B0100</v>
      </c>
      <c r="B2426" t="s">
        <v>4951</v>
      </c>
      <c r="C2426">
        <v>20</v>
      </c>
      <c r="D2426" t="s">
        <v>79</v>
      </c>
      <c r="E2426">
        <v>11</v>
      </c>
      <c r="F2426" t="s">
        <v>4565</v>
      </c>
      <c r="G2426">
        <v>1813</v>
      </c>
      <c r="H2426">
        <v>1</v>
      </c>
      <c r="I2426" t="s">
        <v>81</v>
      </c>
      <c r="J2426">
        <v>0</v>
      </c>
      <c r="K2426">
        <v>2</v>
      </c>
      <c r="L2426">
        <v>2</v>
      </c>
      <c r="M2426">
        <v>103</v>
      </c>
      <c r="N2426">
        <v>129</v>
      </c>
      <c r="O2426">
        <v>1</v>
      </c>
      <c r="P2426">
        <v>125</v>
      </c>
      <c r="Q2426">
        <v>0</v>
      </c>
      <c r="R2426">
        <v>5</v>
      </c>
      <c r="S2426">
        <v>20</v>
      </c>
      <c r="T2426">
        <v>2</v>
      </c>
      <c r="U2426">
        <v>4</v>
      </c>
      <c r="V2426">
        <v>4</v>
      </c>
      <c r="W2426">
        <v>1</v>
      </c>
      <c r="X2426">
        <v>1</v>
      </c>
      <c r="Y2426">
        <v>65</v>
      </c>
      <c r="Z2426">
        <v>13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5</v>
      </c>
      <c r="AL2426">
        <v>1</v>
      </c>
      <c r="AM2426">
        <v>0</v>
      </c>
      <c r="AN2426">
        <v>3</v>
      </c>
      <c r="AT2426">
        <v>0</v>
      </c>
      <c r="AU2426">
        <v>5</v>
      </c>
      <c r="AV2426">
        <v>129</v>
      </c>
      <c r="AW2426">
        <v>129</v>
      </c>
      <c r="AX2426">
        <v>210</v>
      </c>
      <c r="BA2426">
        <v>1</v>
      </c>
      <c r="BC2426" t="s">
        <v>4952</v>
      </c>
      <c r="BD2426" s="4">
        <v>43283.326840277776</v>
      </c>
      <c r="BE2426" s="4">
        <v>43283.345520833333</v>
      </c>
      <c r="BF2426" s="4">
        <v>43283.345520833333</v>
      </c>
      <c r="BG2426" t="s">
        <v>83</v>
      </c>
      <c r="BH2426" t="s">
        <v>84</v>
      </c>
      <c r="BI2426" t="s">
        <v>85</v>
      </c>
    </row>
    <row r="2427" spans="1:61" x14ac:dyDescent="0.3">
      <c r="A2427" t="str">
        <f>"201814B0100"</f>
        <v>201814B0100</v>
      </c>
      <c r="B2427" t="s">
        <v>4953</v>
      </c>
      <c r="C2427">
        <v>20</v>
      </c>
      <c r="D2427" t="s">
        <v>79</v>
      </c>
      <c r="E2427">
        <v>11</v>
      </c>
      <c r="F2427" t="s">
        <v>4565</v>
      </c>
      <c r="G2427">
        <v>1814</v>
      </c>
      <c r="H2427">
        <v>1</v>
      </c>
      <c r="I2427" t="s">
        <v>81</v>
      </c>
      <c r="J2427">
        <v>0</v>
      </c>
      <c r="K2427">
        <v>2</v>
      </c>
      <c r="L2427">
        <v>2</v>
      </c>
      <c r="M2427">
        <v>70</v>
      </c>
      <c r="N2427">
        <v>93</v>
      </c>
      <c r="O2427">
        <v>1</v>
      </c>
      <c r="P2427">
        <v>93</v>
      </c>
      <c r="Q2427">
        <v>9</v>
      </c>
      <c r="R2427">
        <v>7</v>
      </c>
      <c r="S2427">
        <v>1</v>
      </c>
      <c r="T2427">
        <v>7</v>
      </c>
      <c r="U2427">
        <v>3</v>
      </c>
      <c r="V2427">
        <v>2</v>
      </c>
      <c r="W2427">
        <v>0</v>
      </c>
      <c r="X2427">
        <v>2</v>
      </c>
      <c r="Y2427">
        <v>51</v>
      </c>
      <c r="Z2427">
        <v>3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2</v>
      </c>
      <c r="AL2427">
        <v>1</v>
      </c>
      <c r="AM2427">
        <v>0</v>
      </c>
      <c r="AN2427">
        <v>1</v>
      </c>
      <c r="AT2427">
        <v>0</v>
      </c>
      <c r="AU2427">
        <v>4</v>
      </c>
      <c r="AV2427">
        <v>93</v>
      </c>
      <c r="AW2427">
        <v>93</v>
      </c>
      <c r="AX2427">
        <v>141</v>
      </c>
      <c r="BA2427">
        <v>1</v>
      </c>
      <c r="BC2427" t="s">
        <v>4954</v>
      </c>
      <c r="BD2427" s="4">
        <v>43283.01666666667</v>
      </c>
      <c r="BE2427" s="4">
        <v>43283.021064814813</v>
      </c>
      <c r="BF2427" s="4">
        <v>43283.021064814813</v>
      </c>
      <c r="BG2427" t="s">
        <v>83</v>
      </c>
      <c r="BH2427" t="s">
        <v>84</v>
      </c>
      <c r="BI2427" t="s">
        <v>85</v>
      </c>
    </row>
    <row r="2428" spans="1:61" x14ac:dyDescent="0.3">
      <c r="A2428" t="str">
        <f>"201815B0100"</f>
        <v>201815B0100</v>
      </c>
      <c r="B2428" t="s">
        <v>4955</v>
      </c>
      <c r="C2428">
        <v>20</v>
      </c>
      <c r="D2428" t="s">
        <v>79</v>
      </c>
      <c r="E2428">
        <v>11</v>
      </c>
      <c r="F2428" t="s">
        <v>4565</v>
      </c>
      <c r="G2428">
        <v>1815</v>
      </c>
      <c r="H2428">
        <v>1</v>
      </c>
      <c r="I2428" t="s">
        <v>81</v>
      </c>
      <c r="J2428">
        <v>0</v>
      </c>
      <c r="K2428">
        <v>2</v>
      </c>
      <c r="L2428">
        <v>2</v>
      </c>
      <c r="M2428">
        <v>716</v>
      </c>
      <c r="N2428">
        <v>842</v>
      </c>
      <c r="O2428">
        <v>3</v>
      </c>
      <c r="P2428">
        <v>845</v>
      </c>
      <c r="Q2428">
        <v>9</v>
      </c>
      <c r="R2428">
        <v>39</v>
      </c>
      <c r="S2428">
        <v>10</v>
      </c>
      <c r="T2428">
        <v>2</v>
      </c>
      <c r="U2428">
        <v>4</v>
      </c>
      <c r="V2428">
        <v>3</v>
      </c>
      <c r="W2428" t="s">
        <v>100</v>
      </c>
      <c r="X2428" t="s">
        <v>100</v>
      </c>
      <c r="Y2428">
        <v>34</v>
      </c>
      <c r="Z2428">
        <v>6</v>
      </c>
      <c r="AA2428" t="s">
        <v>100</v>
      </c>
      <c r="AB2428">
        <v>3</v>
      </c>
      <c r="AC2428" t="s">
        <v>100</v>
      </c>
      <c r="AD2428" t="s">
        <v>100</v>
      </c>
      <c r="AE2428" t="s">
        <v>100</v>
      </c>
      <c r="AF2428" t="s">
        <v>100</v>
      </c>
      <c r="AG2428">
        <v>1</v>
      </c>
      <c r="AH2428" t="s">
        <v>100</v>
      </c>
      <c r="AI2428" t="s">
        <v>100</v>
      </c>
      <c r="AJ2428" t="s">
        <v>100</v>
      </c>
      <c r="AK2428">
        <v>1</v>
      </c>
      <c r="AL2428">
        <v>2</v>
      </c>
      <c r="AM2428" t="s">
        <v>100</v>
      </c>
      <c r="AN2428">
        <v>2</v>
      </c>
      <c r="AT2428" t="s">
        <v>100</v>
      </c>
      <c r="AU2428">
        <v>12</v>
      </c>
      <c r="AV2428">
        <v>128</v>
      </c>
      <c r="AW2428">
        <v>128</v>
      </c>
      <c r="AX2428">
        <v>222</v>
      </c>
      <c r="AZ2428" t="s">
        <v>101</v>
      </c>
      <c r="BA2428">
        <v>1</v>
      </c>
      <c r="BC2428" t="s">
        <v>4956</v>
      </c>
      <c r="BD2428" s="4">
        <v>43283.600185185183</v>
      </c>
      <c r="BE2428" s="4">
        <v>43283.60297453704</v>
      </c>
      <c r="BF2428" s="4">
        <v>43283.60297453704</v>
      </c>
      <c r="BG2428" t="s">
        <v>83</v>
      </c>
      <c r="BH2428" t="s">
        <v>84</v>
      </c>
      <c r="BI2428" t="s">
        <v>85</v>
      </c>
    </row>
    <row r="2429" spans="1:61" x14ac:dyDescent="0.3">
      <c r="A2429" t="str">
        <f>"201815E0100"</f>
        <v>201815E0100</v>
      </c>
      <c r="B2429" s="2" t="s">
        <v>4957</v>
      </c>
      <c r="C2429">
        <v>20</v>
      </c>
      <c r="D2429" t="s">
        <v>79</v>
      </c>
      <c r="E2429">
        <v>11</v>
      </c>
      <c r="F2429" t="s">
        <v>4565</v>
      </c>
      <c r="G2429">
        <v>1815</v>
      </c>
      <c r="H2429">
        <v>1</v>
      </c>
      <c r="I2429" t="s">
        <v>145</v>
      </c>
      <c r="J2429">
        <v>0</v>
      </c>
      <c r="K2429">
        <v>2</v>
      </c>
      <c r="L2429">
        <v>2</v>
      </c>
      <c r="M2429">
        <v>114</v>
      </c>
      <c r="N2429">
        <v>142</v>
      </c>
      <c r="O2429">
        <v>0</v>
      </c>
      <c r="P2429">
        <v>142</v>
      </c>
      <c r="Q2429">
        <v>12</v>
      </c>
      <c r="R2429">
        <v>18</v>
      </c>
      <c r="S2429">
        <v>10</v>
      </c>
      <c r="T2429">
        <v>2</v>
      </c>
      <c r="U2429">
        <v>21</v>
      </c>
      <c r="V2429">
        <v>3</v>
      </c>
      <c r="W2429" t="s">
        <v>100</v>
      </c>
      <c r="X2429">
        <v>4</v>
      </c>
      <c r="Y2429">
        <v>49</v>
      </c>
      <c r="Z2429">
        <v>20</v>
      </c>
      <c r="AA2429" t="s">
        <v>100</v>
      </c>
      <c r="AB2429" t="s">
        <v>100</v>
      </c>
      <c r="AC2429" t="s">
        <v>100</v>
      </c>
      <c r="AD2429" t="s">
        <v>100</v>
      </c>
      <c r="AE2429" t="s">
        <v>100</v>
      </c>
      <c r="AF2429" t="s">
        <v>100</v>
      </c>
      <c r="AG2429" t="s">
        <v>100</v>
      </c>
      <c r="AH2429" t="s">
        <v>100</v>
      </c>
      <c r="AI2429" t="s">
        <v>100</v>
      </c>
      <c r="AJ2429" t="s">
        <v>100</v>
      </c>
      <c r="AK2429">
        <v>2</v>
      </c>
      <c r="AL2429" t="s">
        <v>100</v>
      </c>
      <c r="AM2429" t="s">
        <v>100</v>
      </c>
      <c r="AN2429">
        <v>1</v>
      </c>
      <c r="AT2429" t="s">
        <v>100</v>
      </c>
      <c r="AU2429" t="s">
        <v>100</v>
      </c>
      <c r="AV2429">
        <v>142</v>
      </c>
      <c r="AW2429">
        <v>142</v>
      </c>
      <c r="AX2429">
        <v>264</v>
      </c>
      <c r="AZ2429" t="s">
        <v>101</v>
      </c>
      <c r="BA2429">
        <v>1</v>
      </c>
      <c r="BC2429" t="s">
        <v>4958</v>
      </c>
      <c r="BD2429" s="4">
        <v>43283.464212962965</v>
      </c>
      <c r="BE2429" s="4">
        <v>43283.467164351852</v>
      </c>
      <c r="BF2429" s="4">
        <v>43283.467164351852</v>
      </c>
      <c r="BG2429" t="s">
        <v>83</v>
      </c>
      <c r="BH2429" t="s">
        <v>84</v>
      </c>
      <c r="BI2429" t="s">
        <v>85</v>
      </c>
    </row>
    <row r="2430" spans="1:61" x14ac:dyDescent="0.3">
      <c r="A2430" t="str">
        <f>"201815E0200"</f>
        <v>201815E0200</v>
      </c>
      <c r="B2430" s="2" t="s">
        <v>4959</v>
      </c>
      <c r="C2430">
        <v>20</v>
      </c>
      <c r="D2430" t="s">
        <v>79</v>
      </c>
      <c r="E2430">
        <v>11</v>
      </c>
      <c r="F2430" t="s">
        <v>4565</v>
      </c>
      <c r="G2430">
        <v>1815</v>
      </c>
      <c r="H2430">
        <v>2</v>
      </c>
      <c r="I2430" t="s">
        <v>145</v>
      </c>
      <c r="J2430">
        <v>0</v>
      </c>
      <c r="K2430">
        <v>2</v>
      </c>
      <c r="L2430">
        <v>2</v>
      </c>
      <c r="M2430">
        <v>183</v>
      </c>
      <c r="N2430">
        <v>213</v>
      </c>
      <c r="O2430" t="s">
        <v>100</v>
      </c>
      <c r="P2430">
        <v>213</v>
      </c>
      <c r="Q2430">
        <v>4</v>
      </c>
      <c r="R2430">
        <v>32</v>
      </c>
      <c r="S2430">
        <v>5</v>
      </c>
      <c r="T2430">
        <v>9</v>
      </c>
      <c r="U2430">
        <v>10</v>
      </c>
      <c r="V2430">
        <v>8</v>
      </c>
      <c r="W2430">
        <v>2</v>
      </c>
      <c r="X2430">
        <v>7</v>
      </c>
      <c r="Y2430">
        <v>102</v>
      </c>
      <c r="Z2430">
        <v>2</v>
      </c>
      <c r="AA2430" t="s">
        <v>100</v>
      </c>
      <c r="AB2430">
        <v>2</v>
      </c>
      <c r="AC2430" t="s">
        <v>100</v>
      </c>
      <c r="AD2430">
        <v>1</v>
      </c>
      <c r="AE2430" t="s">
        <v>100</v>
      </c>
      <c r="AF2430" t="s">
        <v>100</v>
      </c>
      <c r="AG2430">
        <v>6</v>
      </c>
      <c r="AH2430">
        <v>5</v>
      </c>
      <c r="AI2430" t="s">
        <v>100</v>
      </c>
      <c r="AJ2430" t="s">
        <v>100</v>
      </c>
      <c r="AK2430">
        <v>2</v>
      </c>
      <c r="AL2430" t="s">
        <v>100</v>
      </c>
      <c r="AM2430" t="s">
        <v>100</v>
      </c>
      <c r="AN2430" t="s">
        <v>100</v>
      </c>
      <c r="AT2430" t="s">
        <v>100</v>
      </c>
      <c r="AU2430">
        <v>17</v>
      </c>
      <c r="AV2430">
        <v>214</v>
      </c>
      <c r="AW2430">
        <v>214</v>
      </c>
      <c r="AX2430">
        <v>375</v>
      </c>
      <c r="AZ2430" t="s">
        <v>101</v>
      </c>
      <c r="BA2430">
        <v>1</v>
      </c>
      <c r="BC2430" t="s">
        <v>4960</v>
      </c>
      <c r="BD2430" s="4">
        <v>43283.457476851851</v>
      </c>
      <c r="BE2430" s="4">
        <v>43283.462268518517</v>
      </c>
      <c r="BF2430" s="4">
        <v>43283.462268518517</v>
      </c>
      <c r="BG2430" t="s">
        <v>83</v>
      </c>
      <c r="BH2430" t="s">
        <v>84</v>
      </c>
      <c r="BI2430" t="s">
        <v>85</v>
      </c>
    </row>
    <row r="2431" spans="1:61" x14ac:dyDescent="0.3">
      <c r="A2431" t="str">
        <f>"201888B0100"</f>
        <v>201888B0100</v>
      </c>
      <c r="B2431" t="s">
        <v>4961</v>
      </c>
      <c r="C2431">
        <v>20</v>
      </c>
      <c r="D2431" t="s">
        <v>79</v>
      </c>
      <c r="E2431">
        <v>11</v>
      </c>
      <c r="F2431" t="s">
        <v>4565</v>
      </c>
      <c r="G2431">
        <v>1888</v>
      </c>
      <c r="H2431">
        <v>1</v>
      </c>
      <c r="I2431" t="s">
        <v>81</v>
      </c>
      <c r="J2431">
        <v>0</v>
      </c>
      <c r="K2431">
        <v>1</v>
      </c>
      <c r="L2431">
        <v>2</v>
      </c>
      <c r="M2431">
        <v>167</v>
      </c>
      <c r="N2431" t="s">
        <v>315</v>
      </c>
      <c r="O2431" t="s">
        <v>315</v>
      </c>
      <c r="P2431" t="s">
        <v>315</v>
      </c>
      <c r="Q2431">
        <v>9</v>
      </c>
      <c r="R2431">
        <v>123</v>
      </c>
      <c r="S2431">
        <v>17</v>
      </c>
      <c r="T2431">
        <v>71</v>
      </c>
      <c r="U2431">
        <v>33</v>
      </c>
      <c r="V2431">
        <v>6</v>
      </c>
      <c r="W2431">
        <v>3</v>
      </c>
      <c r="X2431">
        <v>2</v>
      </c>
      <c r="Y2431">
        <v>272</v>
      </c>
      <c r="Z2431">
        <v>5</v>
      </c>
      <c r="AA2431">
        <v>2</v>
      </c>
      <c r="AB2431">
        <v>3</v>
      </c>
      <c r="AC2431">
        <v>0</v>
      </c>
      <c r="AD2431">
        <v>0</v>
      </c>
      <c r="AE2431">
        <v>0</v>
      </c>
      <c r="AF2431">
        <v>0</v>
      </c>
      <c r="AG2431">
        <v>2</v>
      </c>
      <c r="AH2431">
        <v>0</v>
      </c>
      <c r="AI2431">
        <v>0</v>
      </c>
      <c r="AJ2431">
        <v>0</v>
      </c>
      <c r="AK2431">
        <v>4</v>
      </c>
      <c r="AL2431">
        <v>1</v>
      </c>
      <c r="AM2431">
        <v>0</v>
      </c>
      <c r="AN2431">
        <v>1</v>
      </c>
      <c r="AT2431">
        <v>0</v>
      </c>
      <c r="AU2431">
        <v>17</v>
      </c>
      <c r="AV2431" t="s">
        <v>100</v>
      </c>
      <c r="AW2431">
        <v>571</v>
      </c>
      <c r="AX2431">
        <v>717</v>
      </c>
      <c r="BA2431">
        <v>1</v>
      </c>
      <c r="BC2431" t="s">
        <v>4962</v>
      </c>
      <c r="BD2431" s="4">
        <v>43283.272581018522</v>
      </c>
      <c r="BE2431" s="4">
        <v>43283.297627314816</v>
      </c>
      <c r="BF2431" s="4">
        <v>43283.297627314816</v>
      </c>
      <c r="BG2431" t="s">
        <v>83</v>
      </c>
      <c r="BH2431" t="s">
        <v>84</v>
      </c>
      <c r="BI2431" t="s">
        <v>85</v>
      </c>
    </row>
    <row r="2432" spans="1:61" x14ac:dyDescent="0.3">
      <c r="A2432" t="str">
        <f>"201889B0100"</f>
        <v>201889B0100</v>
      </c>
      <c r="B2432" t="s">
        <v>4963</v>
      </c>
      <c r="C2432">
        <v>20</v>
      </c>
      <c r="D2432" t="s">
        <v>79</v>
      </c>
      <c r="E2432">
        <v>11</v>
      </c>
      <c r="F2432" t="s">
        <v>4565</v>
      </c>
      <c r="G2432">
        <v>1889</v>
      </c>
      <c r="H2432">
        <v>1</v>
      </c>
      <c r="I2432" t="s">
        <v>81</v>
      </c>
      <c r="J2432">
        <v>0</v>
      </c>
      <c r="K2432">
        <v>1</v>
      </c>
      <c r="L2432">
        <v>2</v>
      </c>
      <c r="AX2432">
        <v>516</v>
      </c>
      <c r="AZ2432" t="s">
        <v>1868</v>
      </c>
      <c r="BA2432">
        <v>0</v>
      </c>
      <c r="BC2432" t="s">
        <v>4964</v>
      </c>
      <c r="BD2432" s="4">
        <v>43283.233148148145</v>
      </c>
      <c r="BE2432" s="4">
        <v>43283.258645833332</v>
      </c>
      <c r="BF2432" s="4">
        <v>43283.258645833332</v>
      </c>
      <c r="BG2432" t="s">
        <v>83</v>
      </c>
      <c r="BH2432" t="s">
        <v>84</v>
      </c>
      <c r="BI2432" t="s">
        <v>85</v>
      </c>
    </row>
    <row r="2433" spans="1:61" x14ac:dyDescent="0.3">
      <c r="A2433" t="str">
        <f>"201889C0100"</f>
        <v>201889C0100</v>
      </c>
      <c r="B2433" t="s">
        <v>4965</v>
      </c>
      <c r="C2433">
        <v>20</v>
      </c>
      <c r="D2433" t="s">
        <v>79</v>
      </c>
      <c r="E2433">
        <v>11</v>
      </c>
      <c r="F2433" t="s">
        <v>4565</v>
      </c>
      <c r="G2433">
        <v>1889</v>
      </c>
      <c r="H2433">
        <v>1</v>
      </c>
      <c r="I2433" t="s">
        <v>89</v>
      </c>
      <c r="J2433">
        <v>0</v>
      </c>
      <c r="K2433">
        <v>2</v>
      </c>
      <c r="L2433">
        <v>2</v>
      </c>
      <c r="AX2433">
        <v>516</v>
      </c>
      <c r="AZ2433" t="s">
        <v>1868</v>
      </c>
      <c r="BA2433">
        <v>0</v>
      </c>
      <c r="BC2433" t="s">
        <v>4966</v>
      </c>
      <c r="BD2433" s="4">
        <v>43283.234363425923</v>
      </c>
      <c r="BE2433" s="4">
        <v>43283.26258101852</v>
      </c>
      <c r="BF2433" s="4">
        <v>43283.26258101852</v>
      </c>
      <c r="BG2433" t="s">
        <v>83</v>
      </c>
      <c r="BH2433" t="s">
        <v>84</v>
      </c>
      <c r="BI2433" t="s">
        <v>85</v>
      </c>
    </row>
    <row r="2434" spans="1:61" x14ac:dyDescent="0.3">
      <c r="A2434" t="str">
        <f>"201890B0100"</f>
        <v>201890B0100</v>
      </c>
      <c r="B2434" t="s">
        <v>4967</v>
      </c>
      <c r="C2434">
        <v>20</v>
      </c>
      <c r="D2434" t="s">
        <v>79</v>
      </c>
      <c r="E2434">
        <v>11</v>
      </c>
      <c r="F2434" t="s">
        <v>4565</v>
      </c>
      <c r="G2434">
        <v>1890</v>
      </c>
      <c r="H2434">
        <v>1</v>
      </c>
      <c r="I2434" t="s">
        <v>81</v>
      </c>
      <c r="J2434">
        <v>0</v>
      </c>
      <c r="K2434">
        <v>1</v>
      </c>
      <c r="L2434">
        <v>2</v>
      </c>
      <c r="M2434">
        <v>219</v>
      </c>
      <c r="N2434">
        <v>303</v>
      </c>
      <c r="O2434">
        <v>3</v>
      </c>
      <c r="P2434">
        <v>303</v>
      </c>
      <c r="Q2434">
        <v>9</v>
      </c>
      <c r="R2434">
        <v>67</v>
      </c>
      <c r="S2434">
        <v>10</v>
      </c>
      <c r="T2434">
        <v>9</v>
      </c>
      <c r="U2434">
        <v>12</v>
      </c>
      <c r="V2434">
        <v>6</v>
      </c>
      <c r="W2434">
        <v>1</v>
      </c>
      <c r="X2434">
        <v>3</v>
      </c>
      <c r="Y2434">
        <v>158</v>
      </c>
      <c r="Z2434">
        <v>5</v>
      </c>
      <c r="AA2434">
        <v>1</v>
      </c>
      <c r="AB2434">
        <v>4</v>
      </c>
      <c r="AC2434">
        <v>0</v>
      </c>
      <c r="AD2434">
        <v>1</v>
      </c>
      <c r="AE2434">
        <v>0</v>
      </c>
      <c r="AF2434">
        <v>0</v>
      </c>
      <c r="AG2434">
        <v>0</v>
      </c>
      <c r="AH2434">
        <v>3</v>
      </c>
      <c r="AI2434">
        <v>0</v>
      </c>
      <c r="AJ2434">
        <v>1</v>
      </c>
      <c r="AK2434">
        <v>3</v>
      </c>
      <c r="AL2434">
        <v>0</v>
      </c>
      <c r="AM2434">
        <v>0</v>
      </c>
      <c r="AN2434">
        <v>2</v>
      </c>
      <c r="AT2434">
        <v>0</v>
      </c>
      <c r="AU2434">
        <v>13</v>
      </c>
      <c r="AV2434">
        <v>308</v>
      </c>
      <c r="AW2434">
        <v>308</v>
      </c>
      <c r="AX2434">
        <v>502</v>
      </c>
      <c r="BA2434">
        <v>1</v>
      </c>
      <c r="BC2434" t="s">
        <v>4968</v>
      </c>
      <c r="BD2434" s="4">
        <v>43283.134722222225</v>
      </c>
      <c r="BE2434" s="4">
        <v>43283.139340277776</v>
      </c>
      <c r="BF2434" s="4">
        <v>43283.139340277776</v>
      </c>
      <c r="BG2434" t="s">
        <v>83</v>
      </c>
      <c r="BH2434" t="s">
        <v>84</v>
      </c>
      <c r="BI2434" t="s">
        <v>85</v>
      </c>
    </row>
    <row r="2435" spans="1:61" x14ac:dyDescent="0.3">
      <c r="A2435" t="str">
        <f>"201890C0100"</f>
        <v>201890C0100</v>
      </c>
      <c r="B2435" t="s">
        <v>4969</v>
      </c>
      <c r="C2435">
        <v>20</v>
      </c>
      <c r="D2435" t="s">
        <v>79</v>
      </c>
      <c r="E2435">
        <v>11</v>
      </c>
      <c r="F2435" t="s">
        <v>4565</v>
      </c>
      <c r="G2435">
        <v>1890</v>
      </c>
      <c r="H2435">
        <v>1</v>
      </c>
      <c r="I2435" t="s">
        <v>89</v>
      </c>
      <c r="J2435">
        <v>0</v>
      </c>
      <c r="K2435">
        <v>1</v>
      </c>
      <c r="L2435">
        <v>2</v>
      </c>
      <c r="M2435">
        <v>187</v>
      </c>
      <c r="N2435">
        <v>342</v>
      </c>
      <c r="O2435">
        <v>5</v>
      </c>
      <c r="P2435">
        <v>331</v>
      </c>
      <c r="Q2435">
        <v>5</v>
      </c>
      <c r="R2435">
        <v>91</v>
      </c>
      <c r="S2435">
        <v>8</v>
      </c>
      <c r="T2435">
        <v>14</v>
      </c>
      <c r="U2435">
        <v>11</v>
      </c>
      <c r="V2435">
        <v>2</v>
      </c>
      <c r="W2435">
        <v>0</v>
      </c>
      <c r="X2435">
        <v>2</v>
      </c>
      <c r="Y2435">
        <v>185</v>
      </c>
      <c r="Z2435">
        <v>3</v>
      </c>
      <c r="AA2435">
        <v>1</v>
      </c>
      <c r="AB2435">
        <v>2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1</v>
      </c>
      <c r="AL2435">
        <v>2</v>
      </c>
      <c r="AM2435">
        <v>0</v>
      </c>
      <c r="AN2435">
        <v>0</v>
      </c>
      <c r="AT2435">
        <v>0</v>
      </c>
      <c r="AU2435">
        <v>5</v>
      </c>
      <c r="AV2435">
        <v>332</v>
      </c>
      <c r="AW2435">
        <v>332</v>
      </c>
      <c r="AX2435">
        <v>502</v>
      </c>
      <c r="BA2435">
        <v>1</v>
      </c>
      <c r="BC2435" t="s">
        <v>4970</v>
      </c>
      <c r="BD2435" s="4">
        <v>43283.134722222225</v>
      </c>
      <c r="BE2435" s="4">
        <v>43283.139050925929</v>
      </c>
      <c r="BF2435" s="4">
        <v>43283.139050925929</v>
      </c>
      <c r="BG2435" t="s">
        <v>83</v>
      </c>
      <c r="BH2435" t="s">
        <v>84</v>
      </c>
      <c r="BI2435" t="s">
        <v>85</v>
      </c>
    </row>
    <row r="2436" spans="1:61" x14ac:dyDescent="0.3">
      <c r="A2436" t="str">
        <f>"201890C0200"</f>
        <v>201890C0200</v>
      </c>
      <c r="B2436" t="s">
        <v>4971</v>
      </c>
      <c r="C2436">
        <v>20</v>
      </c>
      <c r="D2436" t="s">
        <v>79</v>
      </c>
      <c r="E2436">
        <v>11</v>
      </c>
      <c r="F2436" t="s">
        <v>4565</v>
      </c>
      <c r="G2436">
        <v>1890</v>
      </c>
      <c r="H2436">
        <v>2</v>
      </c>
      <c r="I2436" t="s">
        <v>89</v>
      </c>
      <c r="J2436">
        <v>0</v>
      </c>
      <c r="K2436">
        <v>1</v>
      </c>
      <c r="L2436">
        <v>2</v>
      </c>
      <c r="M2436">
        <v>213</v>
      </c>
      <c r="N2436">
        <v>309</v>
      </c>
      <c r="O2436">
        <v>4</v>
      </c>
      <c r="P2436">
        <v>309</v>
      </c>
      <c r="Q2436">
        <v>8</v>
      </c>
      <c r="R2436">
        <v>81</v>
      </c>
      <c r="S2436">
        <v>8</v>
      </c>
      <c r="T2436">
        <v>10</v>
      </c>
      <c r="U2436">
        <v>10</v>
      </c>
      <c r="V2436">
        <v>7</v>
      </c>
      <c r="W2436">
        <v>1</v>
      </c>
      <c r="X2436">
        <v>1</v>
      </c>
      <c r="Y2436">
        <v>158</v>
      </c>
      <c r="Z2436">
        <v>6</v>
      </c>
      <c r="AA2436">
        <v>1</v>
      </c>
      <c r="AB2436">
        <v>4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1</v>
      </c>
      <c r="AI2436">
        <v>0</v>
      </c>
      <c r="AJ2436">
        <v>0</v>
      </c>
      <c r="AK2436">
        <v>1</v>
      </c>
      <c r="AL2436">
        <v>1</v>
      </c>
      <c r="AM2436">
        <v>0</v>
      </c>
      <c r="AN2436">
        <v>1</v>
      </c>
      <c r="AT2436">
        <v>0</v>
      </c>
      <c r="AU2436">
        <v>15</v>
      </c>
      <c r="AV2436">
        <v>314</v>
      </c>
      <c r="AW2436">
        <v>314</v>
      </c>
      <c r="AX2436">
        <v>501</v>
      </c>
      <c r="BA2436">
        <v>1</v>
      </c>
      <c r="BC2436" t="s">
        <v>4972</v>
      </c>
      <c r="BD2436" s="4">
        <v>43283.135416666664</v>
      </c>
      <c r="BE2436" s="4">
        <v>43283.154490740744</v>
      </c>
      <c r="BF2436" s="4">
        <v>43283.154490740744</v>
      </c>
      <c r="BG2436" t="s">
        <v>83</v>
      </c>
      <c r="BH2436" t="s">
        <v>84</v>
      </c>
      <c r="BI2436" t="s">
        <v>85</v>
      </c>
    </row>
    <row r="2437" spans="1:61" x14ac:dyDescent="0.3">
      <c r="A2437" t="str">
        <f>"201891B0100"</f>
        <v>201891B0100</v>
      </c>
      <c r="B2437" t="s">
        <v>4973</v>
      </c>
      <c r="C2437">
        <v>20</v>
      </c>
      <c r="D2437" t="s">
        <v>79</v>
      </c>
      <c r="E2437">
        <v>11</v>
      </c>
      <c r="F2437" t="s">
        <v>4565</v>
      </c>
      <c r="G2437">
        <v>1891</v>
      </c>
      <c r="H2437">
        <v>1</v>
      </c>
      <c r="I2437" t="s">
        <v>81</v>
      </c>
      <c r="J2437">
        <v>0</v>
      </c>
      <c r="K2437">
        <v>1</v>
      </c>
      <c r="L2437">
        <v>2</v>
      </c>
      <c r="M2437">
        <v>275</v>
      </c>
      <c r="N2437">
        <v>410</v>
      </c>
      <c r="O2437" t="s">
        <v>100</v>
      </c>
      <c r="P2437">
        <v>414</v>
      </c>
      <c r="Q2437">
        <v>18</v>
      </c>
      <c r="R2437">
        <v>82</v>
      </c>
      <c r="S2437">
        <v>9</v>
      </c>
      <c r="T2437">
        <v>9</v>
      </c>
      <c r="U2437">
        <v>9</v>
      </c>
      <c r="V2437">
        <v>1</v>
      </c>
      <c r="W2437">
        <v>2</v>
      </c>
      <c r="X2437">
        <v>2</v>
      </c>
      <c r="Y2437">
        <v>244</v>
      </c>
      <c r="Z2437">
        <v>9</v>
      </c>
      <c r="AA2437">
        <v>0</v>
      </c>
      <c r="AB2437">
        <v>7</v>
      </c>
      <c r="AC2437">
        <v>1</v>
      </c>
      <c r="AD2437">
        <v>0</v>
      </c>
      <c r="AE2437">
        <v>0</v>
      </c>
      <c r="AF2437">
        <v>0</v>
      </c>
      <c r="AG2437">
        <v>0</v>
      </c>
      <c r="AH2437">
        <v>1</v>
      </c>
      <c r="AI2437">
        <v>1</v>
      </c>
      <c r="AJ2437">
        <v>0</v>
      </c>
      <c r="AK2437">
        <v>5</v>
      </c>
      <c r="AL2437">
        <v>1</v>
      </c>
      <c r="AM2437">
        <v>0</v>
      </c>
      <c r="AN2437">
        <v>0</v>
      </c>
      <c r="AT2437" t="s">
        <v>100</v>
      </c>
      <c r="AU2437">
        <v>13</v>
      </c>
      <c r="AV2437">
        <v>414</v>
      </c>
      <c r="AW2437">
        <v>414</v>
      </c>
      <c r="AX2437">
        <v>665</v>
      </c>
      <c r="AZ2437" t="s">
        <v>101</v>
      </c>
      <c r="BA2437">
        <v>1</v>
      </c>
      <c r="BC2437" t="s">
        <v>4974</v>
      </c>
      <c r="BD2437" s="4">
        <v>43283.134027777778</v>
      </c>
      <c r="BE2437" s="4">
        <v>43283.140324074076</v>
      </c>
      <c r="BF2437" s="4">
        <v>43283.140324074076</v>
      </c>
      <c r="BG2437" t="s">
        <v>83</v>
      </c>
      <c r="BH2437" t="s">
        <v>84</v>
      </c>
      <c r="BI2437" t="s">
        <v>85</v>
      </c>
    </row>
    <row r="2438" spans="1:61" x14ac:dyDescent="0.3">
      <c r="A2438" t="str">
        <f>"201891C0100"</f>
        <v>201891C0100</v>
      </c>
      <c r="B2438" t="s">
        <v>4975</v>
      </c>
      <c r="C2438">
        <v>20</v>
      </c>
      <c r="D2438" t="s">
        <v>79</v>
      </c>
      <c r="E2438">
        <v>11</v>
      </c>
      <c r="F2438" t="s">
        <v>4565</v>
      </c>
      <c r="G2438">
        <v>1891</v>
      </c>
      <c r="H2438">
        <v>1</v>
      </c>
      <c r="I2438" t="s">
        <v>89</v>
      </c>
      <c r="J2438">
        <v>0</v>
      </c>
      <c r="K2438">
        <v>1</v>
      </c>
      <c r="L2438">
        <v>2</v>
      </c>
      <c r="M2438" t="s">
        <v>100</v>
      </c>
      <c r="N2438" t="s">
        <v>100</v>
      </c>
      <c r="O2438" t="s">
        <v>100</v>
      </c>
      <c r="P2438" t="s">
        <v>100</v>
      </c>
      <c r="Q2438">
        <v>23</v>
      </c>
      <c r="R2438">
        <v>71</v>
      </c>
      <c r="S2438">
        <v>9</v>
      </c>
      <c r="T2438">
        <v>5</v>
      </c>
      <c r="U2438">
        <v>19</v>
      </c>
      <c r="V2438">
        <v>4</v>
      </c>
      <c r="W2438">
        <v>2</v>
      </c>
      <c r="X2438">
        <v>1</v>
      </c>
      <c r="Y2438">
        <v>268</v>
      </c>
      <c r="Z2438">
        <v>2</v>
      </c>
      <c r="AA2438" t="s">
        <v>100</v>
      </c>
      <c r="AB2438">
        <v>4</v>
      </c>
      <c r="AC2438" t="s">
        <v>100</v>
      </c>
      <c r="AD2438">
        <v>1</v>
      </c>
      <c r="AE2438" t="s">
        <v>100</v>
      </c>
      <c r="AF2438" t="s">
        <v>100</v>
      </c>
      <c r="AG2438" t="s">
        <v>100</v>
      </c>
      <c r="AH2438">
        <v>1</v>
      </c>
      <c r="AI2438" t="s">
        <v>100</v>
      </c>
      <c r="AJ2438" t="s">
        <v>100</v>
      </c>
      <c r="AK2438" t="s">
        <v>100</v>
      </c>
      <c r="AL2438" t="s">
        <v>100</v>
      </c>
      <c r="AM2438" t="s">
        <v>100</v>
      </c>
      <c r="AN2438">
        <v>1</v>
      </c>
      <c r="AT2438" t="s">
        <v>100</v>
      </c>
      <c r="AU2438">
        <v>14</v>
      </c>
      <c r="AV2438" t="s">
        <v>100</v>
      </c>
      <c r="AW2438">
        <v>425</v>
      </c>
      <c r="AX2438">
        <v>664</v>
      </c>
      <c r="AZ2438" t="s">
        <v>101</v>
      </c>
      <c r="BA2438">
        <v>1</v>
      </c>
      <c r="BC2438" s="2" t="s">
        <v>4976</v>
      </c>
      <c r="BD2438" s="4">
        <v>43283.135416666664</v>
      </c>
      <c r="BE2438" s="4">
        <v>43283.142233796294</v>
      </c>
      <c r="BF2438" s="4">
        <v>43283.142233796294</v>
      </c>
      <c r="BG2438" t="s">
        <v>83</v>
      </c>
      <c r="BH2438" t="s">
        <v>84</v>
      </c>
      <c r="BI2438" t="s">
        <v>85</v>
      </c>
    </row>
    <row r="2439" spans="1:61" x14ac:dyDescent="0.3">
      <c r="A2439" t="str">
        <f>"201892B0100"</f>
        <v>201892B0100</v>
      </c>
      <c r="B2439" t="s">
        <v>4977</v>
      </c>
      <c r="C2439">
        <v>20</v>
      </c>
      <c r="D2439" t="s">
        <v>79</v>
      </c>
      <c r="E2439">
        <v>11</v>
      </c>
      <c r="F2439" t="s">
        <v>4565</v>
      </c>
      <c r="G2439">
        <v>1892</v>
      </c>
      <c r="H2439">
        <v>1</v>
      </c>
      <c r="I2439" t="s">
        <v>81</v>
      </c>
      <c r="J2439">
        <v>0</v>
      </c>
      <c r="K2439">
        <v>1</v>
      </c>
      <c r="L2439">
        <v>2</v>
      </c>
      <c r="M2439">
        <v>214</v>
      </c>
      <c r="N2439">
        <v>335</v>
      </c>
      <c r="O2439">
        <v>3</v>
      </c>
      <c r="P2439">
        <v>335</v>
      </c>
      <c r="Q2439">
        <v>14</v>
      </c>
      <c r="R2439">
        <v>41</v>
      </c>
      <c r="S2439">
        <v>5</v>
      </c>
      <c r="T2439">
        <v>16</v>
      </c>
      <c r="U2439">
        <v>9</v>
      </c>
      <c r="V2439">
        <v>4</v>
      </c>
      <c r="W2439">
        <v>1</v>
      </c>
      <c r="X2439">
        <v>1</v>
      </c>
      <c r="Y2439">
        <v>208</v>
      </c>
      <c r="Z2439">
        <v>7</v>
      </c>
      <c r="AA2439">
        <v>0</v>
      </c>
      <c r="AB2439">
        <v>5</v>
      </c>
      <c r="AC2439">
        <v>3</v>
      </c>
      <c r="AD2439">
        <v>0</v>
      </c>
      <c r="AE2439">
        <v>0</v>
      </c>
      <c r="AF2439">
        <v>1</v>
      </c>
      <c r="AG2439">
        <v>0</v>
      </c>
      <c r="AH2439">
        <v>2</v>
      </c>
      <c r="AI2439">
        <v>1</v>
      </c>
      <c r="AJ2439">
        <v>0</v>
      </c>
      <c r="AK2439">
        <v>4</v>
      </c>
      <c r="AL2439">
        <v>1</v>
      </c>
      <c r="AM2439">
        <v>0</v>
      </c>
      <c r="AN2439">
        <v>0</v>
      </c>
      <c r="AT2439">
        <v>0</v>
      </c>
      <c r="AU2439">
        <v>12</v>
      </c>
      <c r="AV2439">
        <v>335</v>
      </c>
      <c r="AW2439">
        <v>335</v>
      </c>
      <c r="AX2439">
        <v>527</v>
      </c>
      <c r="BA2439">
        <v>1</v>
      </c>
      <c r="BC2439" t="s">
        <v>4978</v>
      </c>
      <c r="BD2439" s="4">
        <v>43283.104861111111</v>
      </c>
      <c r="BE2439" s="4">
        <v>43283.109872685185</v>
      </c>
      <c r="BF2439" s="4">
        <v>43283.109872685185</v>
      </c>
      <c r="BG2439" t="s">
        <v>83</v>
      </c>
      <c r="BH2439" t="s">
        <v>84</v>
      </c>
      <c r="BI2439" t="s">
        <v>85</v>
      </c>
    </row>
    <row r="2440" spans="1:61" x14ac:dyDescent="0.3">
      <c r="A2440" t="str">
        <f>"201892C0100"</f>
        <v>201892C0100</v>
      </c>
      <c r="B2440" t="s">
        <v>4979</v>
      </c>
      <c r="C2440">
        <v>20</v>
      </c>
      <c r="D2440" t="s">
        <v>79</v>
      </c>
      <c r="E2440">
        <v>11</v>
      </c>
      <c r="F2440" t="s">
        <v>4565</v>
      </c>
      <c r="G2440">
        <v>1892</v>
      </c>
      <c r="H2440">
        <v>1</v>
      </c>
      <c r="I2440" t="s">
        <v>89</v>
      </c>
      <c r="J2440">
        <v>0</v>
      </c>
      <c r="K2440">
        <v>1</v>
      </c>
      <c r="L2440">
        <v>2</v>
      </c>
      <c r="M2440">
        <v>221</v>
      </c>
      <c r="N2440">
        <v>570</v>
      </c>
      <c r="O2440">
        <v>3</v>
      </c>
      <c r="P2440">
        <v>316</v>
      </c>
      <c r="Q2440">
        <v>19</v>
      </c>
      <c r="R2440">
        <v>50</v>
      </c>
      <c r="S2440">
        <v>3</v>
      </c>
      <c r="T2440">
        <v>12</v>
      </c>
      <c r="U2440">
        <v>11</v>
      </c>
      <c r="V2440">
        <v>4</v>
      </c>
      <c r="W2440">
        <v>0</v>
      </c>
      <c r="X2440">
        <v>4</v>
      </c>
      <c r="Y2440">
        <v>205</v>
      </c>
      <c r="Z2440">
        <v>4</v>
      </c>
      <c r="AA2440">
        <v>1</v>
      </c>
      <c r="AB2440">
        <v>1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2</v>
      </c>
      <c r="AL2440">
        <v>0</v>
      </c>
      <c r="AM2440">
        <v>0</v>
      </c>
      <c r="AN2440">
        <v>0</v>
      </c>
      <c r="AT2440">
        <v>0</v>
      </c>
      <c r="AU2440">
        <v>9</v>
      </c>
      <c r="AV2440">
        <v>324</v>
      </c>
      <c r="AW2440">
        <v>325</v>
      </c>
      <c r="AX2440">
        <v>526</v>
      </c>
      <c r="BA2440">
        <v>1</v>
      </c>
      <c r="BC2440" t="s">
        <v>4980</v>
      </c>
      <c r="BD2440" s="4">
        <v>43283.105555555558</v>
      </c>
      <c r="BE2440" s="4">
        <v>43283.118506944447</v>
      </c>
      <c r="BF2440" s="4">
        <v>43283.118506944447</v>
      </c>
      <c r="BG2440" t="s">
        <v>83</v>
      </c>
      <c r="BH2440" t="s">
        <v>84</v>
      </c>
      <c r="BI2440" t="s">
        <v>85</v>
      </c>
    </row>
    <row r="2441" spans="1:61" x14ac:dyDescent="0.3">
      <c r="A2441" t="str">
        <f>"201893B0100"</f>
        <v>201893B0100</v>
      </c>
      <c r="B2441" t="s">
        <v>4981</v>
      </c>
      <c r="C2441">
        <v>20</v>
      </c>
      <c r="D2441" t="s">
        <v>79</v>
      </c>
      <c r="E2441">
        <v>11</v>
      </c>
      <c r="F2441" t="s">
        <v>4565</v>
      </c>
      <c r="G2441">
        <v>1893</v>
      </c>
      <c r="H2441">
        <v>1</v>
      </c>
      <c r="I2441" t="s">
        <v>81</v>
      </c>
      <c r="J2441">
        <v>0</v>
      </c>
      <c r="K2441">
        <v>1</v>
      </c>
      <c r="L2441">
        <v>2</v>
      </c>
      <c r="M2441">
        <v>285</v>
      </c>
      <c r="N2441">
        <v>325</v>
      </c>
      <c r="O2441">
        <v>3</v>
      </c>
      <c r="P2441">
        <v>324</v>
      </c>
      <c r="Q2441">
        <v>21</v>
      </c>
      <c r="R2441">
        <v>44</v>
      </c>
      <c r="S2441">
        <v>7</v>
      </c>
      <c r="T2441">
        <v>14</v>
      </c>
      <c r="U2441">
        <v>14</v>
      </c>
      <c r="V2441">
        <v>5</v>
      </c>
      <c r="W2441">
        <v>0</v>
      </c>
      <c r="X2441">
        <v>5</v>
      </c>
      <c r="Y2441">
        <v>186</v>
      </c>
      <c r="Z2441">
        <v>9</v>
      </c>
      <c r="AA2441">
        <v>0</v>
      </c>
      <c r="AB2441">
        <v>2</v>
      </c>
      <c r="AC2441">
        <v>1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1</v>
      </c>
      <c r="AM2441">
        <v>0</v>
      </c>
      <c r="AN2441">
        <v>2</v>
      </c>
      <c r="AT2441">
        <v>0</v>
      </c>
      <c r="AU2441">
        <v>13</v>
      </c>
      <c r="AV2441" t="s">
        <v>100</v>
      </c>
      <c r="AW2441">
        <v>324</v>
      </c>
      <c r="AX2441">
        <v>587</v>
      </c>
      <c r="BA2441">
        <v>1</v>
      </c>
      <c r="BC2441" t="s">
        <v>4982</v>
      </c>
      <c r="BD2441" s="4">
        <v>43283.20003472222</v>
      </c>
      <c r="BE2441" s="4">
        <v>43283.217141203706</v>
      </c>
      <c r="BF2441" s="4">
        <v>43283.217141203706</v>
      </c>
      <c r="BG2441" t="s">
        <v>83</v>
      </c>
      <c r="BH2441" t="s">
        <v>84</v>
      </c>
      <c r="BI2441" t="s">
        <v>85</v>
      </c>
    </row>
    <row r="2442" spans="1:61" x14ac:dyDescent="0.3">
      <c r="A2442" t="str">
        <f>"201893C0100"</f>
        <v>201893C0100</v>
      </c>
      <c r="B2442" t="s">
        <v>4983</v>
      </c>
      <c r="C2442">
        <v>20</v>
      </c>
      <c r="D2442" t="s">
        <v>79</v>
      </c>
      <c r="E2442">
        <v>11</v>
      </c>
      <c r="F2442" t="s">
        <v>4565</v>
      </c>
      <c r="G2442">
        <v>1893</v>
      </c>
      <c r="H2442">
        <v>1</v>
      </c>
      <c r="I2442" t="s">
        <v>89</v>
      </c>
      <c r="J2442">
        <v>0</v>
      </c>
      <c r="K2442">
        <v>1</v>
      </c>
      <c r="L2442">
        <v>2</v>
      </c>
      <c r="M2442">
        <v>277</v>
      </c>
      <c r="N2442">
        <v>333</v>
      </c>
      <c r="O2442">
        <v>1</v>
      </c>
      <c r="P2442">
        <v>332</v>
      </c>
      <c r="Q2442">
        <v>13</v>
      </c>
      <c r="R2442">
        <v>80</v>
      </c>
      <c r="S2442">
        <v>13</v>
      </c>
      <c r="T2442">
        <v>16</v>
      </c>
      <c r="U2442">
        <v>14</v>
      </c>
      <c r="V2442">
        <v>4</v>
      </c>
      <c r="W2442">
        <v>1</v>
      </c>
      <c r="X2442">
        <v>3</v>
      </c>
      <c r="Y2442">
        <v>165</v>
      </c>
      <c r="Z2442">
        <v>9</v>
      </c>
      <c r="AA2442">
        <v>1</v>
      </c>
      <c r="AB2442">
        <v>2</v>
      </c>
      <c r="AC2442">
        <v>1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1</v>
      </c>
      <c r="AT2442">
        <v>0</v>
      </c>
      <c r="AU2442">
        <v>9</v>
      </c>
      <c r="AV2442">
        <v>332</v>
      </c>
      <c r="AW2442">
        <v>332</v>
      </c>
      <c r="AX2442">
        <v>587</v>
      </c>
      <c r="BA2442">
        <v>1</v>
      </c>
      <c r="BC2442" t="s">
        <v>4984</v>
      </c>
      <c r="BD2442" s="4">
        <v>43283.708425925928</v>
      </c>
      <c r="BE2442" s="4">
        <v>43283.712627314817</v>
      </c>
      <c r="BF2442" s="4">
        <v>43283.712627314817</v>
      </c>
      <c r="BG2442" t="s">
        <v>83</v>
      </c>
      <c r="BH2442" t="s">
        <v>84</v>
      </c>
      <c r="BI2442" t="s">
        <v>85</v>
      </c>
    </row>
    <row r="2443" spans="1:61" x14ac:dyDescent="0.3">
      <c r="A2443" t="str">
        <f>"201893C0200"</f>
        <v>201893C0200</v>
      </c>
      <c r="B2443" t="s">
        <v>4985</v>
      </c>
      <c r="C2443">
        <v>20</v>
      </c>
      <c r="D2443" t="s">
        <v>79</v>
      </c>
      <c r="E2443">
        <v>11</v>
      </c>
      <c r="F2443" t="s">
        <v>4565</v>
      </c>
      <c r="G2443">
        <v>1893</v>
      </c>
      <c r="H2443">
        <v>2</v>
      </c>
      <c r="I2443" t="s">
        <v>89</v>
      </c>
      <c r="J2443">
        <v>0</v>
      </c>
      <c r="K2443">
        <v>1</v>
      </c>
      <c r="L2443">
        <v>2</v>
      </c>
      <c r="M2443">
        <v>263</v>
      </c>
      <c r="N2443">
        <v>344</v>
      </c>
      <c r="O2443">
        <v>4</v>
      </c>
      <c r="P2443">
        <v>348</v>
      </c>
      <c r="Q2443">
        <v>10</v>
      </c>
      <c r="R2443">
        <v>39</v>
      </c>
      <c r="S2443">
        <v>6</v>
      </c>
      <c r="T2443">
        <v>15</v>
      </c>
      <c r="U2443">
        <v>9</v>
      </c>
      <c r="V2443">
        <v>11</v>
      </c>
      <c r="W2443">
        <v>2</v>
      </c>
      <c r="X2443">
        <v>7</v>
      </c>
      <c r="Y2443">
        <v>212</v>
      </c>
      <c r="Z2443">
        <v>5</v>
      </c>
      <c r="AA2443">
        <v>1</v>
      </c>
      <c r="AB2443">
        <v>3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2</v>
      </c>
      <c r="AI2443">
        <v>2</v>
      </c>
      <c r="AJ2443">
        <v>0</v>
      </c>
      <c r="AK2443">
        <v>1</v>
      </c>
      <c r="AL2443">
        <v>1</v>
      </c>
      <c r="AM2443">
        <v>0</v>
      </c>
      <c r="AN2443">
        <v>0</v>
      </c>
      <c r="AT2443">
        <v>0</v>
      </c>
      <c r="AU2443">
        <v>22</v>
      </c>
      <c r="AV2443">
        <v>348</v>
      </c>
      <c r="AW2443">
        <v>348</v>
      </c>
      <c r="AX2443">
        <v>586</v>
      </c>
      <c r="BA2443">
        <v>1</v>
      </c>
      <c r="BC2443" t="s">
        <v>4986</v>
      </c>
      <c r="BD2443" s="4">
        <v>43283.200671296298</v>
      </c>
      <c r="BE2443" s="4">
        <v>43283.217407407406</v>
      </c>
      <c r="BF2443" s="4">
        <v>43283.217407407406</v>
      </c>
      <c r="BG2443" t="s">
        <v>83</v>
      </c>
      <c r="BH2443" t="s">
        <v>84</v>
      </c>
      <c r="BI2443" t="s">
        <v>85</v>
      </c>
    </row>
    <row r="2444" spans="1:61" x14ac:dyDescent="0.3">
      <c r="A2444" t="str">
        <f>"201894B0100"</f>
        <v>201894B0100</v>
      </c>
      <c r="B2444" t="s">
        <v>4987</v>
      </c>
      <c r="C2444">
        <v>20</v>
      </c>
      <c r="D2444" t="s">
        <v>79</v>
      </c>
      <c r="E2444">
        <v>11</v>
      </c>
      <c r="F2444" t="s">
        <v>4565</v>
      </c>
      <c r="G2444">
        <v>1894</v>
      </c>
      <c r="H2444">
        <v>1</v>
      </c>
      <c r="I2444" t="s">
        <v>81</v>
      </c>
      <c r="J2444">
        <v>0</v>
      </c>
      <c r="K2444">
        <v>1</v>
      </c>
      <c r="L2444">
        <v>2</v>
      </c>
      <c r="M2444">
        <v>172</v>
      </c>
      <c r="N2444">
        <v>388</v>
      </c>
      <c r="O2444">
        <v>1</v>
      </c>
      <c r="P2444">
        <v>388</v>
      </c>
      <c r="Q2444">
        <v>14</v>
      </c>
      <c r="R2444">
        <v>107</v>
      </c>
      <c r="S2444">
        <v>15</v>
      </c>
      <c r="T2444">
        <v>32</v>
      </c>
      <c r="U2444">
        <v>23</v>
      </c>
      <c r="V2444">
        <v>14</v>
      </c>
      <c r="W2444">
        <v>3</v>
      </c>
      <c r="X2444">
        <v>4</v>
      </c>
      <c r="Y2444">
        <v>146</v>
      </c>
      <c r="Z2444">
        <v>8</v>
      </c>
      <c r="AA2444">
        <v>0</v>
      </c>
      <c r="AB2444">
        <v>0</v>
      </c>
      <c r="AC2444">
        <v>2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1</v>
      </c>
      <c r="AM2444">
        <v>0</v>
      </c>
      <c r="AN2444">
        <v>1</v>
      </c>
      <c r="AT2444">
        <v>0</v>
      </c>
      <c r="AU2444">
        <v>18</v>
      </c>
      <c r="AV2444">
        <v>388</v>
      </c>
      <c r="AW2444">
        <v>388</v>
      </c>
      <c r="AX2444">
        <v>538</v>
      </c>
      <c r="BA2444">
        <v>1</v>
      </c>
      <c r="BC2444" t="s">
        <v>4988</v>
      </c>
      <c r="BD2444" s="4">
        <v>43283.11041666667</v>
      </c>
      <c r="BE2444" s="4">
        <v>43283.117314814815</v>
      </c>
      <c r="BF2444" s="4">
        <v>43283.117314814815</v>
      </c>
      <c r="BG2444" t="s">
        <v>83</v>
      </c>
      <c r="BH2444" t="s">
        <v>84</v>
      </c>
      <c r="BI2444" t="s">
        <v>85</v>
      </c>
    </row>
    <row r="2445" spans="1:61" x14ac:dyDescent="0.3">
      <c r="A2445" t="str">
        <f>"201894C0100"</f>
        <v>201894C0100</v>
      </c>
      <c r="B2445" t="s">
        <v>4989</v>
      </c>
      <c r="C2445">
        <v>20</v>
      </c>
      <c r="D2445" t="s">
        <v>79</v>
      </c>
      <c r="E2445">
        <v>11</v>
      </c>
      <c r="F2445" t="s">
        <v>4565</v>
      </c>
      <c r="G2445">
        <v>1894</v>
      </c>
      <c r="H2445">
        <v>1</v>
      </c>
      <c r="I2445" t="s">
        <v>89</v>
      </c>
      <c r="J2445">
        <v>0</v>
      </c>
      <c r="K2445">
        <v>1</v>
      </c>
      <c r="L2445">
        <v>2</v>
      </c>
      <c r="M2445">
        <v>180</v>
      </c>
      <c r="N2445">
        <v>380</v>
      </c>
      <c r="O2445">
        <v>1</v>
      </c>
      <c r="P2445">
        <v>380</v>
      </c>
      <c r="Q2445">
        <v>10</v>
      </c>
      <c r="R2445">
        <v>101</v>
      </c>
      <c r="S2445">
        <v>13</v>
      </c>
      <c r="T2445">
        <v>25</v>
      </c>
      <c r="U2445">
        <v>25</v>
      </c>
      <c r="V2445">
        <v>9</v>
      </c>
      <c r="W2445">
        <v>4</v>
      </c>
      <c r="X2445">
        <v>5</v>
      </c>
      <c r="Y2445">
        <v>147</v>
      </c>
      <c r="Z2445">
        <v>7</v>
      </c>
      <c r="AA2445">
        <v>0</v>
      </c>
      <c r="AB2445">
        <v>4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1</v>
      </c>
      <c r="AI2445">
        <v>0</v>
      </c>
      <c r="AJ2445">
        <v>0</v>
      </c>
      <c r="AK2445">
        <v>3</v>
      </c>
      <c r="AL2445">
        <v>1</v>
      </c>
      <c r="AM2445">
        <v>1</v>
      </c>
      <c r="AN2445">
        <v>0</v>
      </c>
      <c r="AT2445">
        <v>0</v>
      </c>
      <c r="AU2445">
        <v>24</v>
      </c>
      <c r="AV2445">
        <v>380</v>
      </c>
      <c r="AW2445">
        <v>380</v>
      </c>
      <c r="AX2445">
        <v>538</v>
      </c>
      <c r="BA2445">
        <v>1</v>
      </c>
      <c r="BC2445" t="s">
        <v>4990</v>
      </c>
      <c r="BD2445" s="4">
        <v>43283.109722222223</v>
      </c>
      <c r="BE2445" s="4">
        <v>43283.113969907405</v>
      </c>
      <c r="BF2445" s="4">
        <v>43283.113969907405</v>
      </c>
      <c r="BG2445" t="s">
        <v>83</v>
      </c>
      <c r="BH2445" t="s">
        <v>84</v>
      </c>
      <c r="BI2445" t="s">
        <v>85</v>
      </c>
    </row>
    <row r="2446" spans="1:61" x14ac:dyDescent="0.3">
      <c r="A2446" t="str">
        <f>"201894E0100"</f>
        <v>201894E0100</v>
      </c>
      <c r="B2446" s="2" t="s">
        <v>4991</v>
      </c>
      <c r="C2446">
        <v>20</v>
      </c>
      <c r="D2446" t="s">
        <v>79</v>
      </c>
      <c r="E2446">
        <v>11</v>
      </c>
      <c r="F2446" t="s">
        <v>4565</v>
      </c>
      <c r="G2446">
        <v>1894</v>
      </c>
      <c r="H2446">
        <v>1</v>
      </c>
      <c r="I2446" t="s">
        <v>145</v>
      </c>
      <c r="J2446">
        <v>0</v>
      </c>
      <c r="K2446">
        <v>2</v>
      </c>
      <c r="L2446">
        <v>2</v>
      </c>
      <c r="M2446">
        <v>84</v>
      </c>
      <c r="N2446">
        <v>285</v>
      </c>
      <c r="O2446">
        <v>1</v>
      </c>
      <c r="P2446">
        <v>284</v>
      </c>
      <c r="Q2446">
        <v>11</v>
      </c>
      <c r="R2446">
        <v>79</v>
      </c>
      <c r="S2446">
        <v>7</v>
      </c>
      <c r="T2446">
        <v>9</v>
      </c>
      <c r="U2446">
        <v>15</v>
      </c>
      <c r="V2446">
        <v>3</v>
      </c>
      <c r="W2446">
        <v>0</v>
      </c>
      <c r="X2446">
        <v>0</v>
      </c>
      <c r="Y2446">
        <v>149</v>
      </c>
      <c r="Z2446">
        <v>0</v>
      </c>
      <c r="AA2446">
        <v>0</v>
      </c>
      <c r="AB2446">
        <v>1</v>
      </c>
      <c r="AC2446">
        <v>0</v>
      </c>
      <c r="AD2446">
        <v>0</v>
      </c>
      <c r="AE2446">
        <v>0</v>
      </c>
      <c r="AF2446">
        <v>0</v>
      </c>
      <c r="AG2446">
        <v>2</v>
      </c>
      <c r="AH2446">
        <v>0</v>
      </c>
      <c r="AI2446">
        <v>0</v>
      </c>
      <c r="AJ2446">
        <v>0</v>
      </c>
      <c r="AK2446">
        <v>2</v>
      </c>
      <c r="AL2446">
        <v>1</v>
      </c>
      <c r="AM2446">
        <v>0</v>
      </c>
      <c r="AN2446">
        <v>0</v>
      </c>
      <c r="AT2446">
        <v>0</v>
      </c>
      <c r="AU2446">
        <v>5</v>
      </c>
      <c r="AV2446">
        <v>284</v>
      </c>
      <c r="AW2446">
        <v>284</v>
      </c>
      <c r="AX2446">
        <v>347</v>
      </c>
      <c r="BA2446">
        <v>1</v>
      </c>
      <c r="BC2446" t="s">
        <v>4992</v>
      </c>
      <c r="BD2446" s="4">
        <v>43283.109027777777</v>
      </c>
      <c r="BE2446" s="4">
        <v>43283.113113425927</v>
      </c>
      <c r="BF2446" s="4">
        <v>43283.113113425927</v>
      </c>
      <c r="BG2446" t="s">
        <v>83</v>
      </c>
      <c r="BH2446" t="s">
        <v>84</v>
      </c>
      <c r="BI2446" t="s">
        <v>85</v>
      </c>
    </row>
    <row r="2447" spans="1:61" x14ac:dyDescent="0.3">
      <c r="A2447" t="str">
        <f>"201895B0100"</f>
        <v>201895B0100</v>
      </c>
      <c r="B2447" t="s">
        <v>4993</v>
      </c>
      <c r="C2447">
        <v>20</v>
      </c>
      <c r="D2447" t="s">
        <v>79</v>
      </c>
      <c r="E2447">
        <v>11</v>
      </c>
      <c r="F2447" t="s">
        <v>4565</v>
      </c>
      <c r="G2447">
        <v>1895</v>
      </c>
      <c r="H2447">
        <v>1</v>
      </c>
      <c r="I2447" t="s">
        <v>81</v>
      </c>
      <c r="J2447">
        <v>0</v>
      </c>
      <c r="K2447">
        <v>2</v>
      </c>
      <c r="L2447">
        <v>2</v>
      </c>
      <c r="M2447">
        <v>118</v>
      </c>
      <c r="N2447">
        <v>378</v>
      </c>
      <c r="O2447">
        <v>0</v>
      </c>
      <c r="P2447">
        <v>378</v>
      </c>
      <c r="Q2447">
        <v>3</v>
      </c>
      <c r="R2447">
        <v>151</v>
      </c>
      <c r="S2447">
        <v>2</v>
      </c>
      <c r="T2447">
        <v>18</v>
      </c>
      <c r="U2447">
        <v>22</v>
      </c>
      <c r="V2447">
        <v>0</v>
      </c>
      <c r="W2447">
        <v>1</v>
      </c>
      <c r="X2447">
        <v>0</v>
      </c>
      <c r="Y2447">
        <v>168</v>
      </c>
      <c r="Z2447">
        <v>4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2</v>
      </c>
      <c r="AI2447">
        <v>0</v>
      </c>
      <c r="AJ2447">
        <v>0</v>
      </c>
      <c r="AK2447">
        <v>0</v>
      </c>
      <c r="AL2447">
        <v>3</v>
      </c>
      <c r="AM2447">
        <v>0</v>
      </c>
      <c r="AN2447">
        <v>0</v>
      </c>
      <c r="AT2447">
        <v>0</v>
      </c>
      <c r="AU2447">
        <v>4</v>
      </c>
      <c r="AV2447">
        <v>378</v>
      </c>
      <c r="AW2447">
        <v>378</v>
      </c>
      <c r="AX2447">
        <v>474</v>
      </c>
      <c r="BA2447">
        <v>1</v>
      </c>
      <c r="BC2447" t="s">
        <v>4994</v>
      </c>
      <c r="BD2447" s="4">
        <v>43283.214479166665</v>
      </c>
      <c r="BE2447" s="4">
        <v>43283.236655092594</v>
      </c>
      <c r="BF2447" s="4">
        <v>43283.236655092594</v>
      </c>
      <c r="BG2447" t="s">
        <v>83</v>
      </c>
      <c r="BH2447" t="s">
        <v>84</v>
      </c>
      <c r="BI2447" t="s">
        <v>85</v>
      </c>
    </row>
    <row r="2448" spans="1:61" x14ac:dyDescent="0.3">
      <c r="A2448" t="str">
        <f>"201895C0100"</f>
        <v>201895C0100</v>
      </c>
      <c r="B2448" t="s">
        <v>4995</v>
      </c>
      <c r="C2448">
        <v>20</v>
      </c>
      <c r="D2448" t="s">
        <v>79</v>
      </c>
      <c r="E2448">
        <v>11</v>
      </c>
      <c r="F2448" t="s">
        <v>4565</v>
      </c>
      <c r="G2448">
        <v>1895</v>
      </c>
      <c r="H2448">
        <v>1</v>
      </c>
      <c r="I2448" t="s">
        <v>89</v>
      </c>
      <c r="J2448">
        <v>0</v>
      </c>
      <c r="K2448">
        <v>2</v>
      </c>
      <c r="L2448">
        <v>2</v>
      </c>
      <c r="M2448">
        <v>121</v>
      </c>
      <c r="N2448" t="s">
        <v>100</v>
      </c>
      <c r="O2448" t="s">
        <v>100</v>
      </c>
      <c r="P2448" t="s">
        <v>100</v>
      </c>
      <c r="Q2448">
        <v>2</v>
      </c>
      <c r="R2448">
        <v>148</v>
      </c>
      <c r="S2448">
        <v>8</v>
      </c>
      <c r="T2448">
        <v>17</v>
      </c>
      <c r="U2448">
        <v>24</v>
      </c>
      <c r="V2448">
        <v>1</v>
      </c>
      <c r="W2448">
        <v>0</v>
      </c>
      <c r="X2448">
        <v>0</v>
      </c>
      <c r="Y2448">
        <v>161</v>
      </c>
      <c r="Z2448">
        <v>2</v>
      </c>
      <c r="AA2448">
        <v>0</v>
      </c>
      <c r="AB2448">
        <v>1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1</v>
      </c>
      <c r="AI2448">
        <v>0</v>
      </c>
      <c r="AJ2448">
        <v>0</v>
      </c>
      <c r="AK2448">
        <v>1</v>
      </c>
      <c r="AL2448">
        <v>0</v>
      </c>
      <c r="AM2448">
        <v>0</v>
      </c>
      <c r="AN2448">
        <v>0</v>
      </c>
      <c r="AT2448">
        <v>0</v>
      </c>
      <c r="AU2448">
        <v>9</v>
      </c>
      <c r="AV2448">
        <v>375</v>
      </c>
      <c r="AW2448">
        <v>375</v>
      </c>
      <c r="AX2448">
        <v>474</v>
      </c>
      <c r="BA2448">
        <v>1</v>
      </c>
      <c r="BC2448" t="s">
        <v>4996</v>
      </c>
      <c r="BD2448" s="4">
        <v>43283.216608796298</v>
      </c>
      <c r="BE2448" s="4">
        <v>43283.23741898148</v>
      </c>
      <c r="BF2448" s="4">
        <v>43283.23741898148</v>
      </c>
      <c r="BG2448" t="s">
        <v>83</v>
      </c>
      <c r="BH2448" t="s">
        <v>84</v>
      </c>
      <c r="BI2448" t="s">
        <v>85</v>
      </c>
    </row>
    <row r="2449" spans="1:61" x14ac:dyDescent="0.3">
      <c r="A2449" t="str">
        <f>"201895E0100"</f>
        <v>201895E0100</v>
      </c>
      <c r="B2449" s="2" t="s">
        <v>4997</v>
      </c>
      <c r="C2449">
        <v>20</v>
      </c>
      <c r="D2449" t="s">
        <v>79</v>
      </c>
      <c r="E2449">
        <v>11</v>
      </c>
      <c r="F2449" t="s">
        <v>4565</v>
      </c>
      <c r="G2449">
        <v>1895</v>
      </c>
      <c r="H2449">
        <v>1</v>
      </c>
      <c r="I2449" t="s">
        <v>145</v>
      </c>
      <c r="J2449">
        <v>0</v>
      </c>
      <c r="K2449">
        <v>2</v>
      </c>
      <c r="L2449">
        <v>2</v>
      </c>
      <c r="M2449">
        <v>81</v>
      </c>
      <c r="N2449">
        <v>324</v>
      </c>
      <c r="O2449">
        <v>2</v>
      </c>
      <c r="P2449">
        <v>324</v>
      </c>
      <c r="Q2449">
        <v>7</v>
      </c>
      <c r="R2449">
        <v>135</v>
      </c>
      <c r="S2449">
        <v>18</v>
      </c>
      <c r="T2449">
        <v>38</v>
      </c>
      <c r="U2449">
        <v>12</v>
      </c>
      <c r="V2449">
        <v>3</v>
      </c>
      <c r="W2449">
        <v>0</v>
      </c>
      <c r="X2449">
        <v>2</v>
      </c>
      <c r="Y2449">
        <v>98</v>
      </c>
      <c r="Z2449">
        <v>2</v>
      </c>
      <c r="AA2449">
        <v>2</v>
      </c>
      <c r="AB2449">
        <v>1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T2449">
        <v>0</v>
      </c>
      <c r="AU2449">
        <v>6</v>
      </c>
      <c r="AV2449">
        <v>324</v>
      </c>
      <c r="AW2449">
        <v>324</v>
      </c>
      <c r="AX2449">
        <v>383</v>
      </c>
      <c r="BA2449">
        <v>1</v>
      </c>
      <c r="BC2449" t="s">
        <v>4998</v>
      </c>
      <c r="BD2449" s="4">
        <v>43283.213854166665</v>
      </c>
      <c r="BE2449" s="4">
        <v>43283.244849537034</v>
      </c>
      <c r="BF2449" s="4">
        <v>43283.244849537034</v>
      </c>
      <c r="BG2449" t="s">
        <v>83</v>
      </c>
      <c r="BH2449" t="s">
        <v>84</v>
      </c>
      <c r="BI2449" t="s">
        <v>85</v>
      </c>
    </row>
    <row r="2450" spans="1:61" x14ac:dyDescent="0.3">
      <c r="A2450" t="str">
        <f>"201896B0100"</f>
        <v>201896B0100</v>
      </c>
      <c r="B2450" t="s">
        <v>4999</v>
      </c>
      <c r="C2450">
        <v>20</v>
      </c>
      <c r="D2450" t="s">
        <v>79</v>
      </c>
      <c r="E2450">
        <v>11</v>
      </c>
      <c r="F2450" t="s">
        <v>4565</v>
      </c>
      <c r="G2450">
        <v>1896</v>
      </c>
      <c r="H2450">
        <v>1</v>
      </c>
      <c r="I2450" t="s">
        <v>81</v>
      </c>
      <c r="J2450">
        <v>0</v>
      </c>
      <c r="K2450">
        <v>2</v>
      </c>
      <c r="L2450">
        <v>2</v>
      </c>
      <c r="M2450">
        <v>162</v>
      </c>
      <c r="N2450">
        <v>679</v>
      </c>
      <c r="O2450">
        <v>0</v>
      </c>
      <c r="P2450">
        <v>517</v>
      </c>
      <c r="Q2450">
        <v>16</v>
      </c>
      <c r="R2450">
        <v>174</v>
      </c>
      <c r="S2450">
        <v>18</v>
      </c>
      <c r="T2450">
        <v>28</v>
      </c>
      <c r="U2450">
        <v>20</v>
      </c>
      <c r="V2450">
        <v>6</v>
      </c>
      <c r="W2450">
        <v>0</v>
      </c>
      <c r="X2450">
        <v>1</v>
      </c>
      <c r="Y2450">
        <v>224</v>
      </c>
      <c r="Z2450">
        <v>7</v>
      </c>
      <c r="AA2450">
        <v>2</v>
      </c>
      <c r="AB2450">
        <v>1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4</v>
      </c>
      <c r="AL2450">
        <v>1</v>
      </c>
      <c r="AM2450">
        <v>0</v>
      </c>
      <c r="AN2450">
        <v>0</v>
      </c>
      <c r="AT2450" t="s">
        <v>100</v>
      </c>
      <c r="AU2450">
        <v>15</v>
      </c>
      <c r="AV2450">
        <v>517</v>
      </c>
      <c r="AW2450">
        <v>517</v>
      </c>
      <c r="AX2450">
        <v>657</v>
      </c>
      <c r="AZ2450" t="s">
        <v>101</v>
      </c>
      <c r="BA2450">
        <v>1</v>
      </c>
      <c r="BC2450" t="s">
        <v>5000</v>
      </c>
      <c r="BD2450" s="4">
        <v>43283.272013888891</v>
      </c>
      <c r="BE2450" s="4">
        <v>43283.29755787037</v>
      </c>
      <c r="BF2450" s="4">
        <v>43283.29755787037</v>
      </c>
      <c r="BG2450" t="s">
        <v>83</v>
      </c>
      <c r="BH2450" t="s">
        <v>84</v>
      </c>
      <c r="BI2450" t="s">
        <v>85</v>
      </c>
    </row>
    <row r="2451" spans="1:61" x14ac:dyDescent="0.3">
      <c r="A2451" t="str">
        <f>"201897B0100"</f>
        <v>201897B0100</v>
      </c>
      <c r="B2451" t="s">
        <v>5001</v>
      </c>
      <c r="C2451">
        <v>20</v>
      </c>
      <c r="D2451" t="s">
        <v>79</v>
      </c>
      <c r="E2451">
        <v>11</v>
      </c>
      <c r="F2451" t="s">
        <v>4565</v>
      </c>
      <c r="G2451">
        <v>1897</v>
      </c>
      <c r="H2451">
        <v>1</v>
      </c>
      <c r="I2451" t="s">
        <v>81</v>
      </c>
      <c r="J2451">
        <v>0</v>
      </c>
      <c r="K2451">
        <v>2</v>
      </c>
      <c r="L2451">
        <v>2</v>
      </c>
      <c r="M2451">
        <v>170</v>
      </c>
      <c r="N2451">
        <v>458</v>
      </c>
      <c r="O2451" t="s">
        <v>100</v>
      </c>
      <c r="P2451">
        <v>458</v>
      </c>
      <c r="Q2451">
        <v>3</v>
      </c>
      <c r="R2451">
        <v>47</v>
      </c>
      <c r="S2451">
        <v>6</v>
      </c>
      <c r="T2451">
        <v>14</v>
      </c>
      <c r="U2451">
        <v>46</v>
      </c>
      <c r="V2451">
        <v>4</v>
      </c>
      <c r="W2451" t="s">
        <v>100</v>
      </c>
      <c r="X2451">
        <v>2</v>
      </c>
      <c r="Y2451">
        <v>291</v>
      </c>
      <c r="Z2451">
        <v>7</v>
      </c>
      <c r="AA2451" t="s">
        <v>100</v>
      </c>
      <c r="AB2451">
        <v>6</v>
      </c>
      <c r="AC2451" t="s">
        <v>100</v>
      </c>
      <c r="AD2451" t="s">
        <v>100</v>
      </c>
      <c r="AE2451" t="s">
        <v>100</v>
      </c>
      <c r="AF2451" t="s">
        <v>100</v>
      </c>
      <c r="AG2451" t="s">
        <v>100</v>
      </c>
      <c r="AH2451" t="s">
        <v>100</v>
      </c>
      <c r="AI2451" t="s">
        <v>100</v>
      </c>
      <c r="AJ2451" t="s">
        <v>100</v>
      </c>
      <c r="AK2451">
        <v>7</v>
      </c>
      <c r="AL2451">
        <v>4</v>
      </c>
      <c r="AM2451">
        <v>1</v>
      </c>
      <c r="AN2451">
        <v>1</v>
      </c>
      <c r="AT2451" t="s">
        <v>100</v>
      </c>
      <c r="AU2451">
        <v>14</v>
      </c>
      <c r="AV2451">
        <v>458</v>
      </c>
      <c r="AW2451">
        <v>453</v>
      </c>
      <c r="AX2451">
        <v>606</v>
      </c>
      <c r="AZ2451" t="s">
        <v>101</v>
      </c>
      <c r="BA2451">
        <v>1</v>
      </c>
      <c r="BC2451" t="s">
        <v>5002</v>
      </c>
      <c r="BD2451" s="4">
        <v>43283.273078703707</v>
      </c>
      <c r="BE2451" s="4">
        <v>43283.299456018518</v>
      </c>
      <c r="BF2451" s="4">
        <v>43283.299456018518</v>
      </c>
      <c r="BG2451" t="s">
        <v>83</v>
      </c>
      <c r="BH2451" t="s">
        <v>84</v>
      </c>
      <c r="BI2451" t="s">
        <v>85</v>
      </c>
    </row>
    <row r="2452" spans="1:61" x14ac:dyDescent="0.3">
      <c r="A2452" t="str">
        <f>"202077B0100"</f>
        <v>202077B0100</v>
      </c>
      <c r="B2452" t="s">
        <v>5003</v>
      </c>
      <c r="C2452">
        <v>20</v>
      </c>
      <c r="D2452" t="s">
        <v>79</v>
      </c>
      <c r="E2452">
        <v>11</v>
      </c>
      <c r="F2452" t="s">
        <v>4565</v>
      </c>
      <c r="G2452">
        <v>2077</v>
      </c>
      <c r="H2452">
        <v>1</v>
      </c>
      <c r="I2452" t="s">
        <v>81</v>
      </c>
      <c r="J2452">
        <v>0</v>
      </c>
      <c r="K2452">
        <v>1</v>
      </c>
      <c r="L2452">
        <v>2</v>
      </c>
      <c r="M2452">
        <v>162</v>
      </c>
      <c r="N2452">
        <v>402</v>
      </c>
      <c r="O2452">
        <v>3</v>
      </c>
      <c r="P2452">
        <v>402</v>
      </c>
      <c r="Q2452">
        <v>4</v>
      </c>
      <c r="R2452">
        <v>85</v>
      </c>
      <c r="S2452">
        <v>41</v>
      </c>
      <c r="T2452">
        <v>4</v>
      </c>
      <c r="U2452">
        <v>57</v>
      </c>
      <c r="V2452">
        <v>0</v>
      </c>
      <c r="W2452">
        <v>3</v>
      </c>
      <c r="X2452">
        <v>2</v>
      </c>
      <c r="Y2452">
        <v>66</v>
      </c>
      <c r="Z2452">
        <v>3</v>
      </c>
      <c r="AA2452">
        <v>109</v>
      </c>
      <c r="AB2452">
        <v>1</v>
      </c>
      <c r="AC2452" t="s">
        <v>100</v>
      </c>
      <c r="AD2452" t="s">
        <v>100</v>
      </c>
      <c r="AE2452" t="s">
        <v>100</v>
      </c>
      <c r="AF2452" t="s">
        <v>100</v>
      </c>
      <c r="AG2452">
        <v>2</v>
      </c>
      <c r="AH2452">
        <v>2</v>
      </c>
      <c r="AI2452" t="s">
        <v>100</v>
      </c>
      <c r="AJ2452">
        <v>3</v>
      </c>
      <c r="AK2452" t="s">
        <v>100</v>
      </c>
      <c r="AL2452" t="s">
        <v>100</v>
      </c>
      <c r="AM2452" t="s">
        <v>100</v>
      </c>
      <c r="AN2452" t="s">
        <v>100</v>
      </c>
      <c r="AT2452" t="s">
        <v>100</v>
      </c>
      <c r="AU2452">
        <v>18</v>
      </c>
      <c r="AV2452">
        <v>402</v>
      </c>
      <c r="AW2452">
        <v>400</v>
      </c>
      <c r="AX2452">
        <v>542</v>
      </c>
      <c r="AZ2452" t="s">
        <v>101</v>
      </c>
      <c r="BA2452">
        <v>1</v>
      </c>
      <c r="BC2452" t="s">
        <v>5004</v>
      </c>
      <c r="BD2452" s="4">
        <v>43283.373576388891</v>
      </c>
      <c r="BE2452" s="4">
        <v>43283.395856481482</v>
      </c>
      <c r="BF2452" s="4">
        <v>43283.395856481482</v>
      </c>
      <c r="BG2452" t="s">
        <v>83</v>
      </c>
      <c r="BH2452" t="s">
        <v>84</v>
      </c>
      <c r="BI2452" t="s">
        <v>85</v>
      </c>
    </row>
    <row r="2453" spans="1:61" x14ac:dyDescent="0.3">
      <c r="A2453" t="str">
        <f>"202078B0100"</f>
        <v>202078B0100</v>
      </c>
      <c r="B2453" t="s">
        <v>5005</v>
      </c>
      <c r="C2453">
        <v>20</v>
      </c>
      <c r="D2453" t="s">
        <v>79</v>
      </c>
      <c r="E2453">
        <v>11</v>
      </c>
      <c r="F2453" t="s">
        <v>4565</v>
      </c>
      <c r="G2453">
        <v>2078</v>
      </c>
      <c r="H2453">
        <v>1</v>
      </c>
      <c r="I2453" t="s">
        <v>81</v>
      </c>
      <c r="J2453">
        <v>0</v>
      </c>
      <c r="K2453">
        <v>1</v>
      </c>
      <c r="L2453">
        <v>2</v>
      </c>
      <c r="M2453">
        <v>169</v>
      </c>
      <c r="N2453">
        <v>599</v>
      </c>
      <c r="O2453">
        <v>0</v>
      </c>
      <c r="P2453">
        <v>599</v>
      </c>
      <c r="Q2453">
        <v>0</v>
      </c>
      <c r="R2453">
        <v>221</v>
      </c>
      <c r="S2453">
        <v>91</v>
      </c>
      <c r="T2453">
        <v>0</v>
      </c>
      <c r="U2453">
        <v>30</v>
      </c>
      <c r="V2453">
        <v>0</v>
      </c>
      <c r="W2453">
        <v>7</v>
      </c>
      <c r="X2453">
        <v>0</v>
      </c>
      <c r="Y2453">
        <v>147</v>
      </c>
      <c r="Z2453">
        <v>0</v>
      </c>
      <c r="AA2453">
        <v>87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T2453">
        <v>0</v>
      </c>
      <c r="AU2453">
        <v>16</v>
      </c>
      <c r="AV2453">
        <v>599</v>
      </c>
      <c r="AW2453">
        <v>599</v>
      </c>
      <c r="AX2453">
        <v>747</v>
      </c>
      <c r="BA2453">
        <v>1</v>
      </c>
      <c r="BC2453" t="s">
        <v>5006</v>
      </c>
      <c r="BD2453" s="4">
        <v>43283.37295138889</v>
      </c>
      <c r="BE2453" s="4">
        <v>43283.379560185182</v>
      </c>
      <c r="BF2453" s="4">
        <v>43283.379560185182</v>
      </c>
      <c r="BG2453" t="s">
        <v>83</v>
      </c>
      <c r="BH2453" t="s">
        <v>84</v>
      </c>
      <c r="BI2453" t="s">
        <v>85</v>
      </c>
    </row>
    <row r="2454" spans="1:61" x14ac:dyDescent="0.3">
      <c r="A2454" t="str">
        <f>"202079B0100"</f>
        <v>202079B0100</v>
      </c>
      <c r="B2454" t="s">
        <v>5007</v>
      </c>
      <c r="C2454">
        <v>20</v>
      </c>
      <c r="D2454" t="s">
        <v>79</v>
      </c>
      <c r="E2454">
        <v>11</v>
      </c>
      <c r="F2454" t="s">
        <v>4565</v>
      </c>
      <c r="G2454">
        <v>2079</v>
      </c>
      <c r="H2454">
        <v>1</v>
      </c>
      <c r="I2454" t="s">
        <v>81</v>
      </c>
      <c r="J2454">
        <v>0</v>
      </c>
      <c r="K2454">
        <v>1</v>
      </c>
      <c r="L2454">
        <v>2</v>
      </c>
      <c r="M2454" t="s">
        <v>100</v>
      </c>
      <c r="N2454" t="s">
        <v>100</v>
      </c>
      <c r="O2454" t="s">
        <v>100</v>
      </c>
      <c r="P2454" t="s">
        <v>100</v>
      </c>
      <c r="Q2454">
        <v>8</v>
      </c>
      <c r="R2454" t="s">
        <v>315</v>
      </c>
      <c r="S2454" t="s">
        <v>315</v>
      </c>
      <c r="T2454" t="s">
        <v>315</v>
      </c>
      <c r="U2454">
        <v>29</v>
      </c>
      <c r="V2454">
        <v>2</v>
      </c>
      <c r="W2454">
        <v>4</v>
      </c>
      <c r="X2454">
        <v>2</v>
      </c>
      <c r="Y2454">
        <v>73</v>
      </c>
      <c r="Z2454">
        <v>0</v>
      </c>
      <c r="AA2454">
        <v>43</v>
      </c>
      <c r="AB2454">
        <v>0</v>
      </c>
      <c r="AC2454">
        <v>1</v>
      </c>
      <c r="AD2454">
        <v>0</v>
      </c>
      <c r="AE2454">
        <v>0</v>
      </c>
      <c r="AF2454">
        <v>0</v>
      </c>
      <c r="AG2454">
        <v>0</v>
      </c>
      <c r="AH2454">
        <v>1</v>
      </c>
      <c r="AI2454">
        <v>0</v>
      </c>
      <c r="AJ2454">
        <v>0</v>
      </c>
      <c r="AK2454">
        <v>1</v>
      </c>
      <c r="AL2454">
        <v>0</v>
      </c>
      <c r="AM2454">
        <v>0</v>
      </c>
      <c r="AN2454">
        <v>0</v>
      </c>
      <c r="AT2454" t="s">
        <v>100</v>
      </c>
      <c r="AU2454">
        <v>21</v>
      </c>
      <c r="AV2454">
        <v>392</v>
      </c>
      <c r="AW2454">
        <v>185</v>
      </c>
      <c r="AX2454">
        <v>498</v>
      </c>
      <c r="AZ2454" t="s">
        <v>101</v>
      </c>
      <c r="BA2454">
        <v>1</v>
      </c>
      <c r="BC2454" t="s">
        <v>5008</v>
      </c>
      <c r="BD2454" s="4">
        <v>43283.478715277779</v>
      </c>
      <c r="BE2454" s="4">
        <v>43283.492037037038</v>
      </c>
      <c r="BF2454" s="4">
        <v>43283.492037037038</v>
      </c>
      <c r="BG2454" t="s">
        <v>83</v>
      </c>
      <c r="BH2454" t="s">
        <v>84</v>
      </c>
      <c r="BI2454" t="s">
        <v>85</v>
      </c>
    </row>
    <row r="2455" spans="1:61" x14ac:dyDescent="0.3">
      <c r="A2455" t="str">
        <f>"202079C0100"</f>
        <v>202079C0100</v>
      </c>
      <c r="B2455" t="s">
        <v>5009</v>
      </c>
      <c r="C2455">
        <v>20</v>
      </c>
      <c r="D2455" t="s">
        <v>79</v>
      </c>
      <c r="E2455">
        <v>11</v>
      </c>
      <c r="F2455" t="s">
        <v>4565</v>
      </c>
      <c r="G2455">
        <v>2079</v>
      </c>
      <c r="H2455">
        <v>1</v>
      </c>
      <c r="I2455" t="s">
        <v>89</v>
      </c>
      <c r="J2455">
        <v>0</v>
      </c>
      <c r="K2455">
        <v>1</v>
      </c>
      <c r="L2455">
        <v>2</v>
      </c>
      <c r="M2455">
        <v>110</v>
      </c>
      <c r="N2455">
        <v>410</v>
      </c>
      <c r="O2455">
        <v>3</v>
      </c>
      <c r="P2455">
        <v>409</v>
      </c>
      <c r="Q2455">
        <v>6</v>
      </c>
      <c r="R2455">
        <v>192</v>
      </c>
      <c r="S2455">
        <v>27</v>
      </c>
      <c r="T2455">
        <v>3</v>
      </c>
      <c r="U2455">
        <v>21</v>
      </c>
      <c r="V2455">
        <v>3</v>
      </c>
      <c r="W2455">
        <v>1</v>
      </c>
      <c r="X2455">
        <v>3</v>
      </c>
      <c r="Y2455">
        <v>85</v>
      </c>
      <c r="Z2455">
        <v>0</v>
      </c>
      <c r="AA2455">
        <v>47</v>
      </c>
      <c r="AB2455">
        <v>0</v>
      </c>
      <c r="AC2455">
        <v>1</v>
      </c>
      <c r="AD2455">
        <v>0</v>
      </c>
      <c r="AE2455">
        <v>0</v>
      </c>
      <c r="AF2455">
        <v>0</v>
      </c>
      <c r="AG2455">
        <v>2</v>
      </c>
      <c r="AH2455">
        <v>1</v>
      </c>
      <c r="AI2455">
        <v>0</v>
      </c>
      <c r="AJ2455">
        <v>0</v>
      </c>
      <c r="AK2455">
        <v>2</v>
      </c>
      <c r="AL2455">
        <v>0</v>
      </c>
      <c r="AM2455">
        <v>0</v>
      </c>
      <c r="AN2455">
        <v>0</v>
      </c>
      <c r="AT2455">
        <v>0</v>
      </c>
      <c r="AU2455">
        <v>15</v>
      </c>
      <c r="AV2455">
        <v>409</v>
      </c>
      <c r="AW2455">
        <v>409</v>
      </c>
      <c r="AX2455">
        <v>497</v>
      </c>
      <c r="BA2455">
        <v>1</v>
      </c>
      <c r="BC2455" t="s">
        <v>5010</v>
      </c>
      <c r="BD2455" s="4">
        <v>43283.477118055554</v>
      </c>
      <c r="BE2455" s="4">
        <v>43283.479768518519</v>
      </c>
      <c r="BF2455" s="4">
        <v>43283.479768518519</v>
      </c>
      <c r="BG2455" t="s">
        <v>83</v>
      </c>
      <c r="BH2455" t="s">
        <v>84</v>
      </c>
      <c r="BI2455" t="s">
        <v>85</v>
      </c>
    </row>
    <row r="2456" spans="1:61" x14ac:dyDescent="0.3">
      <c r="A2456" t="str">
        <f>"202080B0100"</f>
        <v>202080B0100</v>
      </c>
      <c r="B2456" t="s">
        <v>5011</v>
      </c>
      <c r="C2456">
        <v>20</v>
      </c>
      <c r="D2456" t="s">
        <v>79</v>
      </c>
      <c r="E2456">
        <v>11</v>
      </c>
      <c r="F2456" t="s">
        <v>4565</v>
      </c>
      <c r="G2456">
        <v>2080</v>
      </c>
      <c r="H2456">
        <v>1</v>
      </c>
      <c r="I2456" t="s">
        <v>81</v>
      </c>
      <c r="J2456">
        <v>0</v>
      </c>
      <c r="K2456">
        <v>1</v>
      </c>
      <c r="L2456">
        <v>2</v>
      </c>
      <c r="M2456">
        <v>84</v>
      </c>
      <c r="N2456">
        <v>365</v>
      </c>
      <c r="O2456">
        <v>4</v>
      </c>
      <c r="P2456">
        <v>365</v>
      </c>
      <c r="Q2456">
        <v>2</v>
      </c>
      <c r="R2456">
        <v>97</v>
      </c>
      <c r="S2456">
        <v>30</v>
      </c>
      <c r="T2456">
        <v>2</v>
      </c>
      <c r="U2456">
        <v>22</v>
      </c>
      <c r="V2456">
        <v>0</v>
      </c>
      <c r="W2456">
        <v>2</v>
      </c>
      <c r="X2456">
        <v>1</v>
      </c>
      <c r="Y2456">
        <v>92</v>
      </c>
      <c r="Z2456">
        <v>1</v>
      </c>
      <c r="AA2456">
        <v>86</v>
      </c>
      <c r="AB2456">
        <v>1</v>
      </c>
      <c r="AC2456">
        <v>0</v>
      </c>
      <c r="AD2456">
        <v>0</v>
      </c>
      <c r="AE2456">
        <v>0</v>
      </c>
      <c r="AF2456">
        <v>0</v>
      </c>
      <c r="AG2456">
        <v>1</v>
      </c>
      <c r="AH2456">
        <v>1</v>
      </c>
      <c r="AI2456">
        <v>0</v>
      </c>
      <c r="AJ2456">
        <v>0</v>
      </c>
      <c r="AK2456">
        <v>1</v>
      </c>
      <c r="AL2456">
        <v>0</v>
      </c>
      <c r="AM2456">
        <v>0</v>
      </c>
      <c r="AN2456">
        <v>0</v>
      </c>
      <c r="AT2456">
        <v>0</v>
      </c>
      <c r="AU2456">
        <v>26</v>
      </c>
      <c r="AV2456">
        <v>365</v>
      </c>
      <c r="AW2456">
        <v>365</v>
      </c>
      <c r="AX2456">
        <v>427</v>
      </c>
      <c r="BA2456">
        <v>1</v>
      </c>
      <c r="BC2456" t="s">
        <v>5012</v>
      </c>
      <c r="BD2456" s="4">
        <v>43283.495069444441</v>
      </c>
      <c r="BE2456" s="4">
        <v>43283.498726851853</v>
      </c>
      <c r="BF2456" s="4">
        <v>43283.498726851853</v>
      </c>
      <c r="BG2456" t="s">
        <v>83</v>
      </c>
      <c r="BH2456" t="s">
        <v>84</v>
      </c>
      <c r="BI2456" t="s">
        <v>85</v>
      </c>
    </row>
    <row r="2457" spans="1:61" x14ac:dyDescent="0.3">
      <c r="A2457" t="str">
        <f>"202080E0100"</f>
        <v>202080E0100</v>
      </c>
      <c r="B2457" s="2" t="s">
        <v>5013</v>
      </c>
      <c r="C2457">
        <v>20</v>
      </c>
      <c r="D2457" t="s">
        <v>79</v>
      </c>
      <c r="E2457">
        <v>11</v>
      </c>
      <c r="F2457" t="s">
        <v>4565</v>
      </c>
      <c r="G2457">
        <v>2080</v>
      </c>
      <c r="H2457">
        <v>1</v>
      </c>
      <c r="I2457" t="s">
        <v>145</v>
      </c>
      <c r="J2457">
        <v>0</v>
      </c>
      <c r="K2457">
        <v>2</v>
      </c>
      <c r="L2457">
        <v>2</v>
      </c>
      <c r="M2457">
        <v>61</v>
      </c>
      <c r="N2457">
        <v>279</v>
      </c>
      <c r="O2457">
        <v>3</v>
      </c>
      <c r="P2457">
        <v>279</v>
      </c>
      <c r="Q2457">
        <v>4</v>
      </c>
      <c r="R2457">
        <v>120</v>
      </c>
      <c r="S2457">
        <v>15</v>
      </c>
      <c r="T2457">
        <v>0</v>
      </c>
      <c r="U2457">
        <v>48</v>
      </c>
      <c r="V2457">
        <v>0</v>
      </c>
      <c r="W2457">
        <v>1</v>
      </c>
      <c r="X2457">
        <v>3</v>
      </c>
      <c r="Y2457">
        <v>29</v>
      </c>
      <c r="Z2457">
        <v>0</v>
      </c>
      <c r="AA2457">
        <v>41</v>
      </c>
      <c r="AB2457">
        <v>1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1</v>
      </c>
      <c r="AN2457">
        <v>1</v>
      </c>
      <c r="AT2457">
        <v>0</v>
      </c>
      <c r="AU2457">
        <v>13</v>
      </c>
      <c r="AV2457">
        <v>277</v>
      </c>
      <c r="AW2457">
        <v>277</v>
      </c>
      <c r="AX2457">
        <v>319</v>
      </c>
      <c r="BA2457">
        <v>1</v>
      </c>
      <c r="BC2457" t="s">
        <v>5014</v>
      </c>
      <c r="BD2457" s="4">
        <v>43283.336111111108</v>
      </c>
      <c r="BE2457" s="4">
        <v>43283.370092592595</v>
      </c>
      <c r="BF2457" s="4">
        <v>43283.370092592595</v>
      </c>
      <c r="BG2457" t="s">
        <v>83</v>
      </c>
      <c r="BH2457" t="s">
        <v>84</v>
      </c>
      <c r="BI2457" t="s">
        <v>85</v>
      </c>
    </row>
    <row r="2458" spans="1:61" x14ac:dyDescent="0.3">
      <c r="A2458" t="str">
        <f>"202081B0100"</f>
        <v>202081B0100</v>
      </c>
      <c r="B2458" t="s">
        <v>5015</v>
      </c>
      <c r="C2458">
        <v>20</v>
      </c>
      <c r="D2458" t="s">
        <v>79</v>
      </c>
      <c r="E2458">
        <v>11</v>
      </c>
      <c r="F2458" t="s">
        <v>4565</v>
      </c>
      <c r="G2458">
        <v>2081</v>
      </c>
      <c r="H2458">
        <v>1</v>
      </c>
      <c r="I2458" t="s">
        <v>81</v>
      </c>
      <c r="J2458">
        <v>0</v>
      </c>
      <c r="K2458">
        <v>2</v>
      </c>
      <c r="L2458">
        <v>2</v>
      </c>
      <c r="M2458">
        <v>106</v>
      </c>
      <c r="N2458">
        <v>483</v>
      </c>
      <c r="O2458">
        <v>0</v>
      </c>
      <c r="P2458">
        <v>377</v>
      </c>
      <c r="Q2458">
        <v>3</v>
      </c>
      <c r="R2458">
        <v>126</v>
      </c>
      <c r="S2458">
        <v>29</v>
      </c>
      <c r="T2458">
        <v>0</v>
      </c>
      <c r="U2458">
        <v>38</v>
      </c>
      <c r="V2458">
        <v>1</v>
      </c>
      <c r="W2458">
        <v>2</v>
      </c>
      <c r="X2458">
        <v>1</v>
      </c>
      <c r="Y2458">
        <v>74</v>
      </c>
      <c r="Z2458">
        <v>3</v>
      </c>
      <c r="AA2458">
        <v>70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2</v>
      </c>
      <c r="AH2458">
        <v>0</v>
      </c>
      <c r="AI2458">
        <v>0</v>
      </c>
      <c r="AJ2458">
        <v>0</v>
      </c>
      <c r="AK2458">
        <v>0</v>
      </c>
      <c r="AL2458">
        <v>4</v>
      </c>
      <c r="AM2458">
        <v>0</v>
      </c>
      <c r="AN2458">
        <v>0</v>
      </c>
      <c r="AT2458">
        <v>0</v>
      </c>
      <c r="AU2458">
        <v>0</v>
      </c>
      <c r="AV2458">
        <v>0</v>
      </c>
      <c r="AW2458">
        <v>353</v>
      </c>
      <c r="AX2458">
        <v>461</v>
      </c>
      <c r="BA2458">
        <v>1</v>
      </c>
      <c r="BC2458" t="s">
        <v>5016</v>
      </c>
      <c r="BD2458" s="4">
        <v>43283.48296296296</v>
      </c>
      <c r="BE2458" s="4">
        <v>43283.494675925926</v>
      </c>
      <c r="BF2458" s="4">
        <v>43283.494675925926</v>
      </c>
      <c r="BG2458" t="s">
        <v>83</v>
      </c>
      <c r="BH2458" t="s">
        <v>84</v>
      </c>
      <c r="BI2458" t="s">
        <v>85</v>
      </c>
    </row>
    <row r="2459" spans="1:61" x14ac:dyDescent="0.3">
      <c r="A2459" t="str">
        <f>"202082B0100"</f>
        <v>202082B0100</v>
      </c>
      <c r="B2459" t="s">
        <v>5017</v>
      </c>
      <c r="C2459">
        <v>20</v>
      </c>
      <c r="D2459" t="s">
        <v>79</v>
      </c>
      <c r="E2459">
        <v>11</v>
      </c>
      <c r="F2459" t="s">
        <v>4565</v>
      </c>
      <c r="G2459">
        <v>2082</v>
      </c>
      <c r="H2459">
        <v>1</v>
      </c>
      <c r="I2459" t="s">
        <v>81</v>
      </c>
      <c r="J2459">
        <v>0</v>
      </c>
      <c r="K2459">
        <v>2</v>
      </c>
      <c r="L2459">
        <v>2</v>
      </c>
      <c r="M2459">
        <v>42</v>
      </c>
      <c r="N2459">
        <v>162</v>
      </c>
      <c r="O2459">
        <v>4</v>
      </c>
      <c r="P2459">
        <v>162</v>
      </c>
      <c r="Q2459" t="s">
        <v>100</v>
      </c>
      <c r="R2459">
        <v>38</v>
      </c>
      <c r="S2459">
        <v>9</v>
      </c>
      <c r="T2459">
        <v>1</v>
      </c>
      <c r="U2459">
        <v>6</v>
      </c>
      <c r="V2459">
        <v>3</v>
      </c>
      <c r="W2459">
        <v>1</v>
      </c>
      <c r="X2459">
        <v>1</v>
      </c>
      <c r="Y2459">
        <v>27</v>
      </c>
      <c r="Z2459">
        <v>4</v>
      </c>
      <c r="AA2459">
        <v>62</v>
      </c>
      <c r="AB2459" t="s">
        <v>100</v>
      </c>
      <c r="AC2459" t="s">
        <v>100</v>
      </c>
      <c r="AD2459" t="s">
        <v>100</v>
      </c>
      <c r="AE2459" t="s">
        <v>100</v>
      </c>
      <c r="AF2459" t="s">
        <v>100</v>
      </c>
      <c r="AG2459" t="s">
        <v>100</v>
      </c>
      <c r="AH2459" t="s">
        <v>100</v>
      </c>
      <c r="AI2459" t="s">
        <v>100</v>
      </c>
      <c r="AJ2459" t="s">
        <v>100</v>
      </c>
      <c r="AK2459" t="s">
        <v>100</v>
      </c>
      <c r="AL2459" t="s">
        <v>100</v>
      </c>
      <c r="AM2459" t="s">
        <v>100</v>
      </c>
      <c r="AN2459" t="s">
        <v>100</v>
      </c>
      <c r="AT2459" t="s">
        <v>100</v>
      </c>
      <c r="AU2459">
        <v>10</v>
      </c>
      <c r="AV2459">
        <v>162</v>
      </c>
      <c r="AW2459">
        <v>162</v>
      </c>
      <c r="AX2459">
        <v>182</v>
      </c>
      <c r="AZ2459" t="s">
        <v>101</v>
      </c>
      <c r="BA2459">
        <v>1</v>
      </c>
      <c r="BC2459" t="s">
        <v>5018</v>
      </c>
      <c r="BD2459" s="4">
        <v>43283.479803240742</v>
      </c>
      <c r="BE2459" s="4">
        <v>43283.481851851851</v>
      </c>
      <c r="BF2459" s="4">
        <v>43283.481851851851</v>
      </c>
      <c r="BG2459" t="s">
        <v>83</v>
      </c>
      <c r="BH2459" t="s">
        <v>84</v>
      </c>
      <c r="BI2459" t="s">
        <v>85</v>
      </c>
    </row>
    <row r="2460" spans="1:61" x14ac:dyDescent="0.3">
      <c r="A2460" t="str">
        <f>"202083B0100"</f>
        <v>202083B0100</v>
      </c>
      <c r="B2460" t="s">
        <v>5019</v>
      </c>
      <c r="C2460">
        <v>20</v>
      </c>
      <c r="D2460" t="s">
        <v>79</v>
      </c>
      <c r="E2460">
        <v>11</v>
      </c>
      <c r="F2460" t="s">
        <v>4565</v>
      </c>
      <c r="G2460">
        <v>2083</v>
      </c>
      <c r="H2460">
        <v>1</v>
      </c>
      <c r="I2460" t="s">
        <v>81</v>
      </c>
      <c r="J2460">
        <v>0</v>
      </c>
      <c r="K2460">
        <v>2</v>
      </c>
      <c r="L2460">
        <v>2</v>
      </c>
      <c r="M2460">
        <v>116</v>
      </c>
      <c r="N2460">
        <v>560</v>
      </c>
      <c r="O2460">
        <v>0</v>
      </c>
      <c r="P2460">
        <v>444</v>
      </c>
      <c r="Q2460">
        <v>23</v>
      </c>
      <c r="R2460">
        <v>157</v>
      </c>
      <c r="S2460">
        <v>72</v>
      </c>
      <c r="T2460">
        <v>4</v>
      </c>
      <c r="U2460">
        <v>30</v>
      </c>
      <c r="V2460">
        <v>12</v>
      </c>
      <c r="W2460">
        <v>5</v>
      </c>
      <c r="X2460">
        <v>0</v>
      </c>
      <c r="Y2460">
        <v>61</v>
      </c>
      <c r="Z2460">
        <v>1</v>
      </c>
      <c r="AA2460">
        <v>62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1</v>
      </c>
      <c r="AL2460">
        <v>0</v>
      </c>
      <c r="AM2460">
        <v>0</v>
      </c>
      <c r="AN2460">
        <v>0</v>
      </c>
      <c r="AT2460">
        <v>0</v>
      </c>
      <c r="AU2460">
        <v>16</v>
      </c>
      <c r="AV2460">
        <v>444</v>
      </c>
      <c r="AW2460">
        <v>444</v>
      </c>
      <c r="AX2460">
        <v>538</v>
      </c>
      <c r="BA2460">
        <v>1</v>
      </c>
      <c r="BC2460" t="s">
        <v>5020</v>
      </c>
      <c r="BD2460" s="4">
        <v>43283.485381944447</v>
      </c>
      <c r="BE2460" s="4">
        <v>43283.498518518521</v>
      </c>
      <c r="BF2460" s="4">
        <v>43283.498518518521</v>
      </c>
      <c r="BG2460" t="s">
        <v>83</v>
      </c>
      <c r="BH2460" t="s">
        <v>84</v>
      </c>
      <c r="BI2460" t="s">
        <v>85</v>
      </c>
    </row>
    <row r="2461" spans="1:61" x14ac:dyDescent="0.3">
      <c r="A2461" t="str">
        <f>"202180B0100"</f>
        <v>202180B0100</v>
      </c>
      <c r="B2461" t="s">
        <v>5021</v>
      </c>
      <c r="C2461">
        <v>20</v>
      </c>
      <c r="D2461" t="s">
        <v>79</v>
      </c>
      <c r="E2461">
        <v>11</v>
      </c>
      <c r="F2461" t="s">
        <v>4565</v>
      </c>
      <c r="G2461">
        <v>2180</v>
      </c>
      <c r="H2461">
        <v>1</v>
      </c>
      <c r="I2461" t="s">
        <v>81</v>
      </c>
      <c r="J2461">
        <v>0</v>
      </c>
      <c r="K2461">
        <v>1</v>
      </c>
      <c r="L2461">
        <v>2</v>
      </c>
      <c r="M2461">
        <v>140</v>
      </c>
      <c r="N2461">
        <v>308</v>
      </c>
      <c r="O2461">
        <v>4</v>
      </c>
      <c r="P2461">
        <v>304</v>
      </c>
      <c r="Q2461">
        <v>7</v>
      </c>
      <c r="R2461">
        <v>162</v>
      </c>
      <c r="S2461">
        <v>2</v>
      </c>
      <c r="T2461">
        <v>5</v>
      </c>
      <c r="U2461">
        <v>2</v>
      </c>
      <c r="V2461">
        <v>1</v>
      </c>
      <c r="W2461">
        <v>0</v>
      </c>
      <c r="X2461">
        <v>2</v>
      </c>
      <c r="Y2461">
        <v>96</v>
      </c>
      <c r="Z2461">
        <v>1</v>
      </c>
      <c r="AA2461">
        <v>1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2</v>
      </c>
      <c r="AH2461">
        <v>2</v>
      </c>
      <c r="AI2461">
        <v>1</v>
      </c>
      <c r="AJ2461">
        <v>0</v>
      </c>
      <c r="AK2461">
        <v>0</v>
      </c>
      <c r="AL2461">
        <v>6</v>
      </c>
      <c r="AM2461">
        <v>1</v>
      </c>
      <c r="AN2461">
        <v>0</v>
      </c>
      <c r="AT2461">
        <v>0</v>
      </c>
      <c r="AU2461">
        <v>15</v>
      </c>
      <c r="AV2461">
        <v>306</v>
      </c>
      <c r="AW2461">
        <v>306</v>
      </c>
      <c r="AX2461">
        <v>427</v>
      </c>
      <c r="BA2461">
        <v>1</v>
      </c>
      <c r="BC2461" t="s">
        <v>5022</v>
      </c>
      <c r="BD2461" s="4">
        <v>43283.218900462962</v>
      </c>
      <c r="BE2461" s="4">
        <v>43283.240277777775</v>
      </c>
      <c r="BF2461" s="4">
        <v>43283.240277777775</v>
      </c>
      <c r="BG2461" t="s">
        <v>83</v>
      </c>
      <c r="BH2461" t="s">
        <v>84</v>
      </c>
      <c r="BI2461" t="s">
        <v>85</v>
      </c>
    </row>
    <row r="2462" spans="1:61" x14ac:dyDescent="0.3">
      <c r="A2462" t="str">
        <f>"202180C0100"</f>
        <v>202180C0100</v>
      </c>
      <c r="B2462" t="s">
        <v>5023</v>
      </c>
      <c r="C2462">
        <v>20</v>
      </c>
      <c r="D2462" t="s">
        <v>79</v>
      </c>
      <c r="E2462">
        <v>11</v>
      </c>
      <c r="F2462" t="s">
        <v>4565</v>
      </c>
      <c r="G2462">
        <v>2180</v>
      </c>
      <c r="H2462">
        <v>1</v>
      </c>
      <c r="I2462" t="s">
        <v>89</v>
      </c>
      <c r="J2462">
        <v>0</v>
      </c>
      <c r="K2462">
        <v>1</v>
      </c>
      <c r="L2462">
        <v>2</v>
      </c>
      <c r="M2462">
        <v>138</v>
      </c>
      <c r="N2462">
        <v>304</v>
      </c>
      <c r="O2462">
        <v>2</v>
      </c>
      <c r="P2462">
        <v>304</v>
      </c>
      <c r="Q2462">
        <v>3</v>
      </c>
      <c r="R2462">
        <v>155</v>
      </c>
      <c r="S2462">
        <v>2</v>
      </c>
      <c r="T2462">
        <v>10</v>
      </c>
      <c r="U2462">
        <v>4</v>
      </c>
      <c r="V2462">
        <v>9</v>
      </c>
      <c r="W2462">
        <v>0</v>
      </c>
      <c r="X2462">
        <v>4</v>
      </c>
      <c r="Y2462">
        <v>91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1</v>
      </c>
      <c r="AH2462">
        <v>3</v>
      </c>
      <c r="AI2462">
        <v>0</v>
      </c>
      <c r="AJ2462">
        <v>0</v>
      </c>
      <c r="AK2462">
        <v>1</v>
      </c>
      <c r="AL2462">
        <v>0</v>
      </c>
      <c r="AM2462">
        <v>0</v>
      </c>
      <c r="AN2462">
        <v>0</v>
      </c>
      <c r="AT2462">
        <v>0</v>
      </c>
      <c r="AU2462">
        <v>24</v>
      </c>
      <c r="AV2462">
        <v>307</v>
      </c>
      <c r="AW2462">
        <v>307</v>
      </c>
      <c r="AX2462">
        <v>427</v>
      </c>
      <c r="BA2462">
        <v>1</v>
      </c>
      <c r="BC2462" t="s">
        <v>5024</v>
      </c>
      <c r="BD2462" s="4">
        <v>43283.602280092593</v>
      </c>
      <c r="BE2462" s="4">
        <v>43283.609189814815</v>
      </c>
      <c r="BF2462" s="4">
        <v>43283.609189814815</v>
      </c>
      <c r="BG2462" t="s">
        <v>83</v>
      </c>
      <c r="BH2462" t="s">
        <v>84</v>
      </c>
      <c r="BI2462" t="s">
        <v>85</v>
      </c>
    </row>
    <row r="2463" spans="1:61" x14ac:dyDescent="0.3">
      <c r="A2463" t="str">
        <f>"202181B0100"</f>
        <v>202181B0100</v>
      </c>
      <c r="B2463" t="s">
        <v>5025</v>
      </c>
      <c r="C2463">
        <v>20</v>
      </c>
      <c r="D2463" t="s">
        <v>79</v>
      </c>
      <c r="E2463">
        <v>11</v>
      </c>
      <c r="F2463" t="s">
        <v>4565</v>
      </c>
      <c r="G2463">
        <v>2181</v>
      </c>
      <c r="H2463">
        <v>1</v>
      </c>
      <c r="I2463" t="s">
        <v>81</v>
      </c>
      <c r="J2463">
        <v>0</v>
      </c>
      <c r="K2463">
        <v>1</v>
      </c>
      <c r="L2463">
        <v>2</v>
      </c>
      <c r="M2463" t="s">
        <v>100</v>
      </c>
      <c r="N2463" t="s">
        <v>100</v>
      </c>
      <c r="O2463" t="s">
        <v>100</v>
      </c>
      <c r="P2463" t="s">
        <v>100</v>
      </c>
      <c r="Q2463">
        <v>10</v>
      </c>
      <c r="R2463">
        <v>203</v>
      </c>
      <c r="S2463">
        <v>3</v>
      </c>
      <c r="T2463">
        <v>12</v>
      </c>
      <c r="U2463">
        <v>3</v>
      </c>
      <c r="V2463">
        <v>6</v>
      </c>
      <c r="W2463">
        <v>1</v>
      </c>
      <c r="X2463">
        <v>9</v>
      </c>
      <c r="Y2463">
        <v>175</v>
      </c>
      <c r="Z2463">
        <v>2</v>
      </c>
      <c r="AA2463" t="s">
        <v>100</v>
      </c>
      <c r="AB2463" t="s">
        <v>100</v>
      </c>
      <c r="AC2463" t="s">
        <v>100</v>
      </c>
      <c r="AD2463" t="s">
        <v>100</v>
      </c>
      <c r="AE2463" t="s">
        <v>100</v>
      </c>
      <c r="AF2463" t="s">
        <v>100</v>
      </c>
      <c r="AG2463">
        <v>4</v>
      </c>
      <c r="AH2463">
        <v>3</v>
      </c>
      <c r="AI2463">
        <v>1</v>
      </c>
      <c r="AJ2463">
        <v>4</v>
      </c>
      <c r="AK2463">
        <v>1</v>
      </c>
      <c r="AL2463">
        <v>1</v>
      </c>
      <c r="AM2463" t="s">
        <v>100</v>
      </c>
      <c r="AN2463" t="s">
        <v>100</v>
      </c>
      <c r="AT2463">
        <v>3</v>
      </c>
      <c r="AU2463">
        <v>15</v>
      </c>
      <c r="AV2463">
        <v>455</v>
      </c>
      <c r="AW2463">
        <v>456</v>
      </c>
      <c r="AX2463">
        <v>659</v>
      </c>
      <c r="AZ2463" t="s">
        <v>101</v>
      </c>
      <c r="BA2463">
        <v>1</v>
      </c>
      <c r="BC2463" t="s">
        <v>5026</v>
      </c>
      <c r="BD2463" s="4">
        <v>43283.599224537036</v>
      </c>
      <c r="BE2463" s="4">
        <v>43283.60738425926</v>
      </c>
      <c r="BF2463" s="4">
        <v>43283.60738425926</v>
      </c>
      <c r="BG2463" t="s">
        <v>83</v>
      </c>
      <c r="BH2463" t="s">
        <v>84</v>
      </c>
      <c r="BI2463" t="s">
        <v>85</v>
      </c>
    </row>
    <row r="2464" spans="1:61" x14ac:dyDescent="0.3">
      <c r="A2464" t="str">
        <f>"202181C0100"</f>
        <v>202181C0100</v>
      </c>
      <c r="B2464" t="s">
        <v>5027</v>
      </c>
      <c r="C2464">
        <v>20</v>
      </c>
      <c r="D2464" t="s">
        <v>79</v>
      </c>
      <c r="E2464">
        <v>11</v>
      </c>
      <c r="F2464" t="s">
        <v>4565</v>
      </c>
      <c r="G2464">
        <v>2181</v>
      </c>
      <c r="H2464">
        <v>1</v>
      </c>
      <c r="I2464" t="s">
        <v>89</v>
      </c>
      <c r="J2464">
        <v>0</v>
      </c>
      <c r="K2464">
        <v>1</v>
      </c>
      <c r="L2464">
        <v>2</v>
      </c>
      <c r="M2464">
        <v>253</v>
      </c>
      <c r="N2464">
        <v>426</v>
      </c>
      <c r="O2464">
        <v>2</v>
      </c>
      <c r="P2464">
        <v>426</v>
      </c>
      <c r="Q2464">
        <v>11</v>
      </c>
      <c r="R2464">
        <v>152</v>
      </c>
      <c r="S2464">
        <v>1</v>
      </c>
      <c r="T2464">
        <v>9</v>
      </c>
      <c r="U2464">
        <v>5</v>
      </c>
      <c r="V2464">
        <v>4</v>
      </c>
      <c r="W2464">
        <v>1</v>
      </c>
      <c r="X2464">
        <v>7</v>
      </c>
      <c r="Y2464">
        <v>198</v>
      </c>
      <c r="Z2464">
        <v>2</v>
      </c>
      <c r="AA2464">
        <v>0</v>
      </c>
      <c r="AB2464">
        <v>2</v>
      </c>
      <c r="AC2464">
        <v>0</v>
      </c>
      <c r="AD2464">
        <v>0</v>
      </c>
      <c r="AE2464">
        <v>0</v>
      </c>
      <c r="AF2464">
        <v>0</v>
      </c>
      <c r="AG2464">
        <v>4</v>
      </c>
      <c r="AH2464">
        <v>2</v>
      </c>
      <c r="AI2464">
        <v>1</v>
      </c>
      <c r="AJ2464">
        <v>0</v>
      </c>
      <c r="AK2464">
        <v>0</v>
      </c>
      <c r="AL2464">
        <v>0</v>
      </c>
      <c r="AM2464">
        <v>0</v>
      </c>
      <c r="AN2464">
        <v>1</v>
      </c>
      <c r="AT2464">
        <v>0</v>
      </c>
      <c r="AU2464">
        <v>26</v>
      </c>
      <c r="AV2464">
        <v>426</v>
      </c>
      <c r="AW2464">
        <v>426</v>
      </c>
      <c r="AX2464">
        <v>659</v>
      </c>
      <c r="BA2464">
        <v>1</v>
      </c>
      <c r="BC2464" t="s">
        <v>5028</v>
      </c>
      <c r="BD2464" s="4">
        <v>43283.665613425925</v>
      </c>
      <c r="BE2464" s="4">
        <v>43283.668726851851</v>
      </c>
      <c r="BF2464" s="4">
        <v>43283.668726851851</v>
      </c>
      <c r="BG2464" t="s">
        <v>83</v>
      </c>
      <c r="BH2464" t="s">
        <v>84</v>
      </c>
      <c r="BI2464" t="s">
        <v>85</v>
      </c>
    </row>
    <row r="2465" spans="1:61" x14ac:dyDescent="0.3">
      <c r="A2465" t="str">
        <f>"202181C0200"</f>
        <v>202181C0200</v>
      </c>
      <c r="B2465" t="s">
        <v>5029</v>
      </c>
      <c r="C2465">
        <v>20</v>
      </c>
      <c r="D2465" t="s">
        <v>79</v>
      </c>
      <c r="E2465">
        <v>11</v>
      </c>
      <c r="F2465" t="s">
        <v>4565</v>
      </c>
      <c r="G2465">
        <v>2181</v>
      </c>
      <c r="H2465">
        <v>2</v>
      </c>
      <c r="I2465" t="s">
        <v>89</v>
      </c>
      <c r="J2465">
        <v>0</v>
      </c>
      <c r="K2465">
        <v>1</v>
      </c>
      <c r="L2465">
        <v>2</v>
      </c>
      <c r="AX2465">
        <v>659</v>
      </c>
      <c r="AZ2465" t="s">
        <v>156</v>
      </c>
      <c r="BA2465">
        <v>0</v>
      </c>
      <c r="BC2465" t="s">
        <v>5030</v>
      </c>
      <c r="BD2465" s="4">
        <v>43283.774583333332</v>
      </c>
      <c r="BE2465" s="4">
        <v>43283.779907407406</v>
      </c>
      <c r="BF2465" s="4">
        <v>43283.779907407406</v>
      </c>
      <c r="BG2465" t="s">
        <v>83</v>
      </c>
      <c r="BH2465" t="s">
        <v>84</v>
      </c>
      <c r="BI2465" t="s">
        <v>85</v>
      </c>
    </row>
    <row r="2466" spans="1:61" x14ac:dyDescent="0.3">
      <c r="A2466" t="str">
        <f>"202182B0100"</f>
        <v>202182B0100</v>
      </c>
      <c r="B2466" t="s">
        <v>5031</v>
      </c>
      <c r="C2466">
        <v>20</v>
      </c>
      <c r="D2466" t="s">
        <v>79</v>
      </c>
      <c r="E2466">
        <v>11</v>
      </c>
      <c r="F2466" t="s">
        <v>4565</v>
      </c>
      <c r="G2466">
        <v>2182</v>
      </c>
      <c r="H2466">
        <v>1</v>
      </c>
      <c r="I2466" t="s">
        <v>81</v>
      </c>
      <c r="J2466">
        <v>0</v>
      </c>
      <c r="K2466">
        <v>1</v>
      </c>
      <c r="L2466">
        <v>2</v>
      </c>
      <c r="M2466">
        <v>185</v>
      </c>
      <c r="N2466">
        <v>415</v>
      </c>
      <c r="O2466">
        <v>6</v>
      </c>
      <c r="P2466">
        <v>0</v>
      </c>
      <c r="Q2466">
        <v>14</v>
      </c>
      <c r="R2466">
        <v>165</v>
      </c>
      <c r="S2466">
        <v>2</v>
      </c>
      <c r="T2466">
        <v>11</v>
      </c>
      <c r="U2466">
        <v>3</v>
      </c>
      <c r="V2466">
        <v>2</v>
      </c>
      <c r="W2466">
        <v>2</v>
      </c>
      <c r="X2466">
        <v>9</v>
      </c>
      <c r="Y2466">
        <v>179</v>
      </c>
      <c r="Z2466">
        <v>3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2</v>
      </c>
      <c r="AH2466">
        <v>4</v>
      </c>
      <c r="AI2466">
        <v>0</v>
      </c>
      <c r="AJ2466">
        <v>0</v>
      </c>
      <c r="AK2466">
        <v>0</v>
      </c>
      <c r="AL2466">
        <v>1</v>
      </c>
      <c r="AM2466">
        <v>1</v>
      </c>
      <c r="AN2466">
        <v>0</v>
      </c>
      <c r="AT2466">
        <v>0</v>
      </c>
      <c r="AU2466">
        <v>17</v>
      </c>
      <c r="AV2466">
        <v>415</v>
      </c>
      <c r="AW2466">
        <v>415</v>
      </c>
      <c r="AX2466">
        <v>578</v>
      </c>
      <c r="BA2466">
        <v>1</v>
      </c>
      <c r="BC2466" t="s">
        <v>5032</v>
      </c>
      <c r="BD2466" s="4">
        <v>43283.600775462961</v>
      </c>
      <c r="BE2466" s="4">
        <v>43283.602592592593</v>
      </c>
      <c r="BF2466" s="4">
        <v>43283.602592592593</v>
      </c>
      <c r="BG2466" t="s">
        <v>83</v>
      </c>
      <c r="BH2466" t="s">
        <v>84</v>
      </c>
      <c r="BI2466" t="s">
        <v>85</v>
      </c>
    </row>
    <row r="2467" spans="1:61" x14ac:dyDescent="0.3">
      <c r="A2467" t="str">
        <f>"202182C0100"</f>
        <v>202182C0100</v>
      </c>
      <c r="B2467" t="s">
        <v>5033</v>
      </c>
      <c r="C2467">
        <v>20</v>
      </c>
      <c r="D2467" t="s">
        <v>79</v>
      </c>
      <c r="E2467">
        <v>11</v>
      </c>
      <c r="F2467" t="s">
        <v>4565</v>
      </c>
      <c r="G2467">
        <v>2182</v>
      </c>
      <c r="H2467">
        <v>1</v>
      </c>
      <c r="I2467" t="s">
        <v>89</v>
      </c>
      <c r="J2467">
        <v>0</v>
      </c>
      <c r="K2467">
        <v>1</v>
      </c>
      <c r="L2467">
        <v>2</v>
      </c>
      <c r="M2467">
        <v>174</v>
      </c>
      <c r="N2467">
        <v>426</v>
      </c>
      <c r="O2467">
        <v>7</v>
      </c>
      <c r="P2467">
        <v>426</v>
      </c>
      <c r="Q2467">
        <v>13</v>
      </c>
      <c r="R2467">
        <v>172</v>
      </c>
      <c r="S2467">
        <v>5</v>
      </c>
      <c r="T2467">
        <v>21</v>
      </c>
      <c r="U2467">
        <v>7</v>
      </c>
      <c r="V2467">
        <v>4</v>
      </c>
      <c r="W2467">
        <v>1</v>
      </c>
      <c r="X2467">
        <v>2</v>
      </c>
      <c r="Y2467">
        <v>181</v>
      </c>
      <c r="Z2467">
        <v>2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3</v>
      </c>
      <c r="AH2467">
        <v>2</v>
      </c>
      <c r="AI2467">
        <v>0</v>
      </c>
      <c r="AJ2467">
        <v>0</v>
      </c>
      <c r="AK2467">
        <v>1</v>
      </c>
      <c r="AL2467">
        <v>0</v>
      </c>
      <c r="AM2467">
        <v>0</v>
      </c>
      <c r="AN2467">
        <v>0</v>
      </c>
      <c r="AT2467">
        <v>0</v>
      </c>
      <c r="AU2467">
        <v>12</v>
      </c>
      <c r="AV2467">
        <v>426</v>
      </c>
      <c r="AW2467">
        <v>426</v>
      </c>
      <c r="AX2467">
        <v>578</v>
      </c>
      <c r="BA2467">
        <v>1</v>
      </c>
      <c r="BC2467" t="s">
        <v>5034</v>
      </c>
      <c r="BD2467" s="4">
        <v>43283.238194444442</v>
      </c>
      <c r="BE2467" s="4">
        <v>43283.259039351855</v>
      </c>
      <c r="BF2467" s="4">
        <v>43283.259039351855</v>
      </c>
      <c r="BG2467" t="s">
        <v>83</v>
      </c>
      <c r="BH2467" t="s">
        <v>84</v>
      </c>
      <c r="BI2467" t="s">
        <v>85</v>
      </c>
    </row>
    <row r="2468" spans="1:61" x14ac:dyDescent="0.3">
      <c r="A2468" t="str">
        <f>"202182C0200"</f>
        <v>202182C0200</v>
      </c>
      <c r="B2468" t="s">
        <v>5035</v>
      </c>
      <c r="C2468">
        <v>20</v>
      </c>
      <c r="D2468" t="s">
        <v>79</v>
      </c>
      <c r="E2468">
        <v>11</v>
      </c>
      <c r="F2468" t="s">
        <v>4565</v>
      </c>
      <c r="G2468">
        <v>2182</v>
      </c>
      <c r="H2468">
        <v>2</v>
      </c>
      <c r="I2468" t="s">
        <v>89</v>
      </c>
      <c r="J2468">
        <v>0</v>
      </c>
      <c r="K2468">
        <v>1</v>
      </c>
      <c r="L2468">
        <v>2</v>
      </c>
      <c r="M2468">
        <v>190</v>
      </c>
      <c r="N2468">
        <v>409</v>
      </c>
      <c r="O2468">
        <v>2</v>
      </c>
      <c r="P2468">
        <v>409</v>
      </c>
      <c r="Q2468">
        <v>15</v>
      </c>
      <c r="R2468">
        <v>177</v>
      </c>
      <c r="S2468">
        <v>2</v>
      </c>
      <c r="T2468">
        <v>9</v>
      </c>
      <c r="U2468">
        <v>1</v>
      </c>
      <c r="V2468">
        <v>2</v>
      </c>
      <c r="W2468">
        <v>0</v>
      </c>
      <c r="X2468">
        <v>5</v>
      </c>
      <c r="Y2468">
        <v>167</v>
      </c>
      <c r="Z2468">
        <v>2</v>
      </c>
      <c r="AA2468">
        <v>0</v>
      </c>
      <c r="AB2468">
        <v>1</v>
      </c>
      <c r="AC2468">
        <v>0</v>
      </c>
      <c r="AD2468">
        <v>0</v>
      </c>
      <c r="AE2468">
        <v>0</v>
      </c>
      <c r="AF2468">
        <v>0</v>
      </c>
      <c r="AG2468">
        <v>3</v>
      </c>
      <c r="AH2468">
        <v>0</v>
      </c>
      <c r="AI2468">
        <v>0</v>
      </c>
      <c r="AJ2468">
        <v>0</v>
      </c>
      <c r="AK2468">
        <v>1</v>
      </c>
      <c r="AL2468">
        <v>0</v>
      </c>
      <c r="AM2468">
        <v>0</v>
      </c>
      <c r="AN2468">
        <v>0</v>
      </c>
      <c r="AT2468">
        <v>0</v>
      </c>
      <c r="AU2468">
        <v>23</v>
      </c>
      <c r="AV2468">
        <v>409</v>
      </c>
      <c r="AW2468">
        <v>408</v>
      </c>
      <c r="AX2468">
        <v>578</v>
      </c>
      <c r="BA2468">
        <v>1</v>
      </c>
      <c r="BC2468" t="s">
        <v>5036</v>
      </c>
      <c r="BD2468" s="4">
        <v>43283.219421296293</v>
      </c>
      <c r="BE2468" s="4">
        <v>43283.250844907408</v>
      </c>
      <c r="BF2468" s="4">
        <v>43283.250844907408</v>
      </c>
      <c r="BG2468" t="s">
        <v>83</v>
      </c>
      <c r="BH2468" t="s">
        <v>84</v>
      </c>
      <c r="BI2468" t="s">
        <v>85</v>
      </c>
    </row>
    <row r="2469" spans="1:61" x14ac:dyDescent="0.3">
      <c r="A2469" t="str">
        <f>"202183B0100"</f>
        <v>202183B0100</v>
      </c>
      <c r="B2469" t="s">
        <v>5037</v>
      </c>
      <c r="C2469">
        <v>20</v>
      </c>
      <c r="D2469" t="s">
        <v>79</v>
      </c>
      <c r="E2469">
        <v>11</v>
      </c>
      <c r="F2469" t="s">
        <v>4565</v>
      </c>
      <c r="G2469">
        <v>2183</v>
      </c>
      <c r="H2469">
        <v>1</v>
      </c>
      <c r="I2469" t="s">
        <v>81</v>
      </c>
      <c r="J2469">
        <v>0</v>
      </c>
      <c r="K2469">
        <v>1</v>
      </c>
      <c r="L2469">
        <v>2</v>
      </c>
      <c r="M2469" t="s">
        <v>315</v>
      </c>
      <c r="N2469" t="s">
        <v>315</v>
      </c>
      <c r="O2469" t="s">
        <v>315</v>
      </c>
      <c r="P2469" t="s">
        <v>315</v>
      </c>
      <c r="Q2469">
        <v>12</v>
      </c>
      <c r="R2469">
        <v>242</v>
      </c>
      <c r="S2469">
        <v>7</v>
      </c>
      <c r="T2469">
        <v>7</v>
      </c>
      <c r="U2469" t="s">
        <v>315</v>
      </c>
      <c r="V2469">
        <v>0</v>
      </c>
      <c r="W2469">
        <v>1</v>
      </c>
      <c r="X2469">
        <v>9</v>
      </c>
      <c r="Y2469">
        <v>192</v>
      </c>
      <c r="Z2469">
        <v>5</v>
      </c>
      <c r="AA2469">
        <v>2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4</v>
      </c>
      <c r="AH2469">
        <v>4</v>
      </c>
      <c r="AI2469">
        <v>4</v>
      </c>
      <c r="AJ2469">
        <v>0</v>
      </c>
      <c r="AK2469">
        <v>2</v>
      </c>
      <c r="AL2469">
        <v>1</v>
      </c>
      <c r="AM2469">
        <v>0</v>
      </c>
      <c r="AN2469">
        <v>0</v>
      </c>
      <c r="AT2469">
        <v>0</v>
      </c>
      <c r="AU2469">
        <v>8</v>
      </c>
      <c r="AV2469" t="s">
        <v>315</v>
      </c>
      <c r="AW2469">
        <v>500</v>
      </c>
      <c r="AX2469">
        <v>658</v>
      </c>
      <c r="AZ2469" t="s">
        <v>101</v>
      </c>
      <c r="BA2469">
        <v>1</v>
      </c>
      <c r="BC2469" t="s">
        <v>5038</v>
      </c>
      <c r="BD2469" s="4">
        <v>43283.602939814817</v>
      </c>
      <c r="BE2469" s="4">
        <v>43283.614976851852</v>
      </c>
      <c r="BF2469" s="4">
        <v>43283.614976851852</v>
      </c>
      <c r="BG2469" t="s">
        <v>83</v>
      </c>
      <c r="BH2469" t="s">
        <v>84</v>
      </c>
      <c r="BI2469" t="s">
        <v>85</v>
      </c>
    </row>
    <row r="2470" spans="1:61" x14ac:dyDescent="0.3">
      <c r="A2470" t="str">
        <f>"202184B0100"</f>
        <v>202184B0100</v>
      </c>
      <c r="B2470" t="s">
        <v>5039</v>
      </c>
      <c r="C2470">
        <v>20</v>
      </c>
      <c r="D2470" t="s">
        <v>79</v>
      </c>
      <c r="E2470">
        <v>11</v>
      </c>
      <c r="F2470" t="s">
        <v>4565</v>
      </c>
      <c r="G2470">
        <v>2184</v>
      </c>
      <c r="H2470">
        <v>1</v>
      </c>
      <c r="I2470" t="s">
        <v>81</v>
      </c>
      <c r="J2470">
        <v>0</v>
      </c>
      <c r="K2470">
        <v>1</v>
      </c>
      <c r="L2470">
        <v>2</v>
      </c>
      <c r="M2470">
        <v>218</v>
      </c>
      <c r="N2470">
        <v>373</v>
      </c>
      <c r="O2470">
        <v>0</v>
      </c>
      <c r="P2470">
        <v>373</v>
      </c>
      <c r="Q2470">
        <v>6</v>
      </c>
      <c r="R2470">
        <v>182</v>
      </c>
      <c r="S2470">
        <v>4</v>
      </c>
      <c r="T2470">
        <v>6</v>
      </c>
      <c r="U2470">
        <v>1</v>
      </c>
      <c r="V2470">
        <v>0</v>
      </c>
      <c r="W2470">
        <v>0</v>
      </c>
      <c r="X2470">
        <v>5</v>
      </c>
      <c r="Y2470">
        <v>148</v>
      </c>
      <c r="Z2470">
        <v>1</v>
      </c>
      <c r="AA2470">
        <v>1</v>
      </c>
      <c r="AB2470">
        <v>1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T2470">
        <v>0</v>
      </c>
      <c r="AU2470">
        <v>18</v>
      </c>
      <c r="AV2470">
        <v>373</v>
      </c>
      <c r="AW2470">
        <v>373</v>
      </c>
      <c r="AX2470">
        <v>569</v>
      </c>
      <c r="BA2470">
        <v>1</v>
      </c>
      <c r="BC2470" t="s">
        <v>5040</v>
      </c>
      <c r="BD2470" s="4">
        <v>43283.232476851852</v>
      </c>
      <c r="BE2470" s="4">
        <v>43283.254259259258</v>
      </c>
      <c r="BF2470" s="4">
        <v>43283.254259259258</v>
      </c>
      <c r="BG2470" t="s">
        <v>83</v>
      </c>
      <c r="BH2470" t="s">
        <v>84</v>
      </c>
      <c r="BI2470" t="s">
        <v>85</v>
      </c>
    </row>
    <row r="2471" spans="1:61" x14ac:dyDescent="0.3">
      <c r="A2471" t="str">
        <f>"202184C0100"</f>
        <v>202184C0100</v>
      </c>
      <c r="B2471" t="s">
        <v>5041</v>
      </c>
      <c r="C2471">
        <v>20</v>
      </c>
      <c r="D2471" t="s">
        <v>79</v>
      </c>
      <c r="E2471">
        <v>11</v>
      </c>
      <c r="F2471" t="s">
        <v>4565</v>
      </c>
      <c r="G2471">
        <v>2184</v>
      </c>
      <c r="H2471">
        <v>1</v>
      </c>
      <c r="I2471" t="s">
        <v>89</v>
      </c>
      <c r="J2471">
        <v>0</v>
      </c>
      <c r="K2471">
        <v>1</v>
      </c>
      <c r="L2471">
        <v>2</v>
      </c>
      <c r="M2471">
        <v>217</v>
      </c>
      <c r="N2471">
        <v>374</v>
      </c>
      <c r="O2471">
        <v>0</v>
      </c>
      <c r="P2471">
        <v>374</v>
      </c>
      <c r="Q2471">
        <v>0</v>
      </c>
      <c r="R2471">
        <v>198</v>
      </c>
      <c r="S2471">
        <v>17</v>
      </c>
      <c r="T2471">
        <v>0</v>
      </c>
      <c r="U2471">
        <v>0</v>
      </c>
      <c r="V2471">
        <v>0</v>
      </c>
      <c r="W2471">
        <v>1</v>
      </c>
      <c r="X2471">
        <v>0</v>
      </c>
      <c r="Y2471">
        <v>133</v>
      </c>
      <c r="Z2471">
        <v>0</v>
      </c>
      <c r="AA2471">
        <v>2</v>
      </c>
      <c r="AB2471">
        <v>5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T2471">
        <v>0</v>
      </c>
      <c r="AU2471">
        <v>18</v>
      </c>
      <c r="AV2471" t="s">
        <v>100</v>
      </c>
      <c r="AW2471">
        <v>374</v>
      </c>
      <c r="AX2471">
        <v>569</v>
      </c>
      <c r="BA2471">
        <v>1</v>
      </c>
      <c r="BC2471" s="2" t="s">
        <v>5042</v>
      </c>
      <c r="BD2471" s="4">
        <v>43283.228680555556</v>
      </c>
      <c r="BE2471" s="4">
        <v>43283.249930555554</v>
      </c>
      <c r="BF2471" s="4">
        <v>43283.249930555554</v>
      </c>
      <c r="BG2471" t="s">
        <v>83</v>
      </c>
      <c r="BH2471" t="s">
        <v>84</v>
      </c>
      <c r="BI2471" t="s">
        <v>85</v>
      </c>
    </row>
    <row r="2472" spans="1:61" x14ac:dyDescent="0.3">
      <c r="A2472" t="str">
        <f>"202184E0100"</f>
        <v>202184E0100</v>
      </c>
      <c r="B2472" s="2" t="s">
        <v>5043</v>
      </c>
      <c r="C2472">
        <v>20</v>
      </c>
      <c r="D2472" t="s">
        <v>79</v>
      </c>
      <c r="E2472">
        <v>11</v>
      </c>
      <c r="F2472" t="s">
        <v>4565</v>
      </c>
      <c r="G2472">
        <v>2184</v>
      </c>
      <c r="H2472">
        <v>1</v>
      </c>
      <c r="I2472" t="s">
        <v>145</v>
      </c>
      <c r="J2472">
        <v>0</v>
      </c>
      <c r="K2472">
        <v>2</v>
      </c>
      <c r="L2472">
        <v>2</v>
      </c>
      <c r="M2472">
        <v>63</v>
      </c>
      <c r="N2472">
        <v>166</v>
      </c>
      <c r="O2472">
        <v>1</v>
      </c>
      <c r="P2472">
        <v>165</v>
      </c>
      <c r="Q2472">
        <v>4</v>
      </c>
      <c r="R2472">
        <v>82</v>
      </c>
      <c r="S2472">
        <v>0</v>
      </c>
      <c r="T2472">
        <v>2</v>
      </c>
      <c r="U2472">
        <v>3</v>
      </c>
      <c r="V2472">
        <v>2</v>
      </c>
      <c r="W2472">
        <v>0</v>
      </c>
      <c r="X2472">
        <v>1</v>
      </c>
      <c r="Y2472">
        <v>61</v>
      </c>
      <c r="Z2472">
        <v>3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1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T2472">
        <v>0</v>
      </c>
      <c r="AU2472">
        <v>6</v>
      </c>
      <c r="AV2472">
        <v>165</v>
      </c>
      <c r="AW2472">
        <v>165</v>
      </c>
      <c r="AX2472">
        <v>206</v>
      </c>
      <c r="BA2472">
        <v>1</v>
      </c>
      <c r="BC2472" t="s">
        <v>5044</v>
      </c>
      <c r="BD2472" s="4">
        <v>43283.23877314815</v>
      </c>
      <c r="BE2472" s="4">
        <v>43283.271377314813</v>
      </c>
      <c r="BF2472" s="4">
        <v>43283.271377314813</v>
      </c>
      <c r="BG2472" t="s">
        <v>83</v>
      </c>
      <c r="BH2472" t="s">
        <v>84</v>
      </c>
      <c r="BI2472" t="s">
        <v>85</v>
      </c>
    </row>
    <row r="2473" spans="1:61" x14ac:dyDescent="0.3">
      <c r="A2473" t="str">
        <f>"202249B0100"</f>
        <v>202249B0100</v>
      </c>
      <c r="B2473" t="s">
        <v>5045</v>
      </c>
      <c r="C2473">
        <v>20</v>
      </c>
      <c r="D2473" t="s">
        <v>79</v>
      </c>
      <c r="E2473">
        <v>11</v>
      </c>
      <c r="F2473" t="s">
        <v>4565</v>
      </c>
      <c r="G2473">
        <v>2249</v>
      </c>
      <c r="H2473">
        <v>1</v>
      </c>
      <c r="I2473" t="s">
        <v>81</v>
      </c>
      <c r="J2473">
        <v>0</v>
      </c>
      <c r="K2473">
        <v>1</v>
      </c>
      <c r="L2473">
        <v>2</v>
      </c>
      <c r="M2473">
        <v>148</v>
      </c>
      <c r="N2473">
        <v>408</v>
      </c>
      <c r="O2473">
        <v>0</v>
      </c>
      <c r="P2473">
        <v>406</v>
      </c>
      <c r="Q2473">
        <v>11</v>
      </c>
      <c r="R2473">
        <v>100</v>
      </c>
      <c r="S2473">
        <v>20</v>
      </c>
      <c r="T2473">
        <v>11</v>
      </c>
      <c r="U2473">
        <v>4</v>
      </c>
      <c r="V2473">
        <v>24</v>
      </c>
      <c r="W2473">
        <v>5</v>
      </c>
      <c r="X2473">
        <v>26</v>
      </c>
      <c r="Y2473">
        <v>161</v>
      </c>
      <c r="Z2473">
        <v>4</v>
      </c>
      <c r="AA2473">
        <v>0</v>
      </c>
      <c r="AB2473">
        <v>2</v>
      </c>
      <c r="AC2473">
        <v>1</v>
      </c>
      <c r="AD2473">
        <v>0</v>
      </c>
      <c r="AE2473">
        <v>0</v>
      </c>
      <c r="AF2473">
        <v>0</v>
      </c>
      <c r="AG2473">
        <v>4</v>
      </c>
      <c r="AH2473">
        <v>2</v>
      </c>
      <c r="AI2473">
        <v>1</v>
      </c>
      <c r="AJ2473">
        <v>2</v>
      </c>
      <c r="AK2473">
        <v>1</v>
      </c>
      <c r="AL2473">
        <v>1</v>
      </c>
      <c r="AM2473">
        <v>0</v>
      </c>
      <c r="AN2473">
        <v>0</v>
      </c>
      <c r="AT2473">
        <v>0</v>
      </c>
      <c r="AU2473">
        <v>22</v>
      </c>
      <c r="AV2473">
        <v>406</v>
      </c>
      <c r="AW2473">
        <v>402</v>
      </c>
      <c r="AX2473">
        <v>534</v>
      </c>
      <c r="BA2473">
        <v>1</v>
      </c>
      <c r="BC2473" t="s">
        <v>5046</v>
      </c>
      <c r="BD2473" s="4">
        <v>43283.484849537039</v>
      </c>
      <c r="BE2473" s="4">
        <v>43283.498935185184</v>
      </c>
      <c r="BF2473" s="4">
        <v>43283.498935185184</v>
      </c>
      <c r="BG2473" t="s">
        <v>83</v>
      </c>
      <c r="BH2473" t="s">
        <v>84</v>
      </c>
      <c r="BI2473" t="s">
        <v>85</v>
      </c>
    </row>
    <row r="2474" spans="1:61" x14ac:dyDescent="0.3">
      <c r="A2474" t="str">
        <f>"202249C0100"</f>
        <v>202249C0100</v>
      </c>
      <c r="B2474" t="s">
        <v>5047</v>
      </c>
      <c r="C2474">
        <v>20</v>
      </c>
      <c r="D2474" t="s">
        <v>79</v>
      </c>
      <c r="E2474">
        <v>11</v>
      </c>
      <c r="F2474" t="s">
        <v>4565</v>
      </c>
      <c r="G2474">
        <v>2249</v>
      </c>
      <c r="H2474">
        <v>1</v>
      </c>
      <c r="I2474" t="s">
        <v>89</v>
      </c>
      <c r="J2474">
        <v>0</v>
      </c>
      <c r="K2474">
        <v>1</v>
      </c>
      <c r="L2474">
        <v>2</v>
      </c>
      <c r="M2474">
        <v>135</v>
      </c>
      <c r="N2474">
        <v>420</v>
      </c>
      <c r="O2474">
        <v>1</v>
      </c>
      <c r="P2474">
        <v>420</v>
      </c>
      <c r="Q2474">
        <v>11</v>
      </c>
      <c r="R2474">
        <v>120</v>
      </c>
      <c r="S2474">
        <v>12</v>
      </c>
      <c r="T2474">
        <v>11</v>
      </c>
      <c r="U2474">
        <v>5</v>
      </c>
      <c r="V2474">
        <v>20</v>
      </c>
      <c r="W2474">
        <v>1</v>
      </c>
      <c r="X2474">
        <v>21</v>
      </c>
      <c r="Y2474">
        <v>191</v>
      </c>
      <c r="Z2474">
        <v>3</v>
      </c>
      <c r="AA2474">
        <v>0</v>
      </c>
      <c r="AB2474">
        <v>0</v>
      </c>
      <c r="AC2474">
        <v>2</v>
      </c>
      <c r="AD2474">
        <v>1</v>
      </c>
      <c r="AE2474">
        <v>1</v>
      </c>
      <c r="AF2474">
        <v>0</v>
      </c>
      <c r="AG2474">
        <v>4</v>
      </c>
      <c r="AH2474">
        <v>4</v>
      </c>
      <c r="AI2474">
        <v>1</v>
      </c>
      <c r="AJ2474">
        <v>0</v>
      </c>
      <c r="AK2474">
        <v>1</v>
      </c>
      <c r="AL2474">
        <v>0</v>
      </c>
      <c r="AM2474">
        <v>0</v>
      </c>
      <c r="AN2474">
        <v>0</v>
      </c>
      <c r="AT2474">
        <v>0</v>
      </c>
      <c r="AU2474">
        <v>23</v>
      </c>
      <c r="AV2474">
        <v>431</v>
      </c>
      <c r="AW2474">
        <v>432</v>
      </c>
      <c r="AX2474">
        <v>533</v>
      </c>
      <c r="BA2474">
        <v>1</v>
      </c>
      <c r="BC2474" t="s">
        <v>5048</v>
      </c>
      <c r="BD2474" s="4">
        <v>43283.482488425929</v>
      </c>
      <c r="BE2474" s="4">
        <v>43283.495416666665</v>
      </c>
      <c r="BF2474" s="4">
        <v>43283.495416666665</v>
      </c>
      <c r="BG2474" t="s">
        <v>83</v>
      </c>
      <c r="BH2474" t="s">
        <v>84</v>
      </c>
      <c r="BI2474" t="s">
        <v>85</v>
      </c>
    </row>
    <row r="2475" spans="1:61" x14ac:dyDescent="0.3">
      <c r="A2475" t="str">
        <f>"202250B0100"</f>
        <v>202250B0100</v>
      </c>
      <c r="B2475" t="s">
        <v>5049</v>
      </c>
      <c r="C2475">
        <v>20</v>
      </c>
      <c r="D2475" t="s">
        <v>79</v>
      </c>
      <c r="E2475">
        <v>11</v>
      </c>
      <c r="F2475" t="s">
        <v>4565</v>
      </c>
      <c r="G2475">
        <v>2250</v>
      </c>
      <c r="H2475">
        <v>1</v>
      </c>
      <c r="I2475" t="s">
        <v>81</v>
      </c>
      <c r="J2475">
        <v>0</v>
      </c>
      <c r="K2475">
        <v>1</v>
      </c>
      <c r="L2475">
        <v>2</v>
      </c>
      <c r="M2475">
        <v>187</v>
      </c>
      <c r="N2475">
        <v>501</v>
      </c>
      <c r="O2475">
        <v>0</v>
      </c>
      <c r="P2475">
        <v>684</v>
      </c>
      <c r="Q2475">
        <v>11</v>
      </c>
      <c r="R2475">
        <v>135</v>
      </c>
      <c r="S2475">
        <v>26</v>
      </c>
      <c r="T2475">
        <v>26</v>
      </c>
      <c r="U2475">
        <v>7</v>
      </c>
      <c r="V2475">
        <v>20</v>
      </c>
      <c r="W2475">
        <v>1</v>
      </c>
      <c r="X2475">
        <v>22</v>
      </c>
      <c r="Y2475">
        <v>203</v>
      </c>
      <c r="Z2475">
        <v>5</v>
      </c>
      <c r="AA2475">
        <v>2</v>
      </c>
      <c r="AB2475">
        <v>0</v>
      </c>
      <c r="AC2475">
        <v>0</v>
      </c>
      <c r="AD2475">
        <v>0</v>
      </c>
      <c r="AE2475">
        <v>0</v>
      </c>
      <c r="AF2475">
        <v>2</v>
      </c>
      <c r="AG2475">
        <v>9</v>
      </c>
      <c r="AH2475">
        <v>5</v>
      </c>
      <c r="AI2475">
        <v>3</v>
      </c>
      <c r="AJ2475">
        <v>0</v>
      </c>
      <c r="AK2475">
        <v>1</v>
      </c>
      <c r="AL2475">
        <v>1</v>
      </c>
      <c r="AM2475">
        <v>0</v>
      </c>
      <c r="AN2475">
        <v>1</v>
      </c>
      <c r="AT2475">
        <v>0</v>
      </c>
      <c r="AU2475">
        <v>19</v>
      </c>
      <c r="AV2475">
        <v>499</v>
      </c>
      <c r="AW2475">
        <v>499</v>
      </c>
      <c r="AX2475">
        <v>666</v>
      </c>
      <c r="BA2475">
        <v>1</v>
      </c>
      <c r="BC2475" t="s">
        <v>5050</v>
      </c>
      <c r="BD2475" s="4">
        <v>43283.477592592593</v>
      </c>
      <c r="BE2475" s="4">
        <v>43283.482037037036</v>
      </c>
      <c r="BF2475" s="4">
        <v>43283.482037037036</v>
      </c>
      <c r="BG2475" t="s">
        <v>83</v>
      </c>
      <c r="BH2475" t="s">
        <v>84</v>
      </c>
      <c r="BI2475" t="s">
        <v>85</v>
      </c>
    </row>
    <row r="2476" spans="1:61" x14ac:dyDescent="0.3">
      <c r="A2476" t="str">
        <f>"202250C0100"</f>
        <v>202250C0100</v>
      </c>
      <c r="B2476" t="s">
        <v>5051</v>
      </c>
      <c r="C2476">
        <v>20</v>
      </c>
      <c r="D2476" t="s">
        <v>79</v>
      </c>
      <c r="E2476">
        <v>11</v>
      </c>
      <c r="F2476" t="s">
        <v>4565</v>
      </c>
      <c r="G2476">
        <v>2250</v>
      </c>
      <c r="H2476">
        <v>1</v>
      </c>
      <c r="I2476" t="s">
        <v>89</v>
      </c>
      <c r="J2476">
        <v>0</v>
      </c>
      <c r="K2476">
        <v>1</v>
      </c>
      <c r="L2476">
        <v>2</v>
      </c>
      <c r="M2476">
        <v>188</v>
      </c>
      <c r="N2476" t="s">
        <v>315</v>
      </c>
      <c r="O2476">
        <v>0</v>
      </c>
      <c r="P2476">
        <v>499</v>
      </c>
      <c r="Q2476">
        <v>3</v>
      </c>
      <c r="R2476">
        <v>123</v>
      </c>
      <c r="S2476">
        <v>21</v>
      </c>
      <c r="T2476">
        <v>27</v>
      </c>
      <c r="U2476">
        <v>8</v>
      </c>
      <c r="V2476">
        <v>25</v>
      </c>
      <c r="W2476">
        <v>1</v>
      </c>
      <c r="X2476">
        <v>38</v>
      </c>
      <c r="Y2476">
        <v>215</v>
      </c>
      <c r="Z2476">
        <v>6</v>
      </c>
      <c r="AA2476">
        <v>3</v>
      </c>
      <c r="AB2476">
        <v>0</v>
      </c>
      <c r="AC2476">
        <v>0</v>
      </c>
      <c r="AD2476">
        <v>0</v>
      </c>
      <c r="AE2476">
        <v>0</v>
      </c>
      <c r="AF2476">
        <v>1</v>
      </c>
      <c r="AG2476">
        <v>5</v>
      </c>
      <c r="AH2476">
        <v>0</v>
      </c>
      <c r="AI2476">
        <v>2</v>
      </c>
      <c r="AJ2476">
        <v>0</v>
      </c>
      <c r="AK2476">
        <v>1</v>
      </c>
      <c r="AL2476">
        <v>1</v>
      </c>
      <c r="AM2476">
        <v>0</v>
      </c>
      <c r="AN2476">
        <v>0</v>
      </c>
      <c r="AT2476">
        <v>0</v>
      </c>
      <c r="AU2476">
        <v>19</v>
      </c>
      <c r="AV2476">
        <v>499</v>
      </c>
      <c r="AW2476">
        <v>499</v>
      </c>
      <c r="AX2476">
        <v>665</v>
      </c>
      <c r="BA2476">
        <v>1</v>
      </c>
      <c r="BC2476" t="s">
        <v>5052</v>
      </c>
      <c r="BD2476" s="4">
        <v>43283.491886574076</v>
      </c>
      <c r="BE2476" s="4">
        <v>43283.495393518519</v>
      </c>
      <c r="BF2476" s="4">
        <v>43283.495393518519</v>
      </c>
      <c r="BG2476" t="s">
        <v>83</v>
      </c>
      <c r="BH2476" t="s">
        <v>84</v>
      </c>
      <c r="BI2476" t="s">
        <v>85</v>
      </c>
    </row>
    <row r="2477" spans="1:61" x14ac:dyDescent="0.3">
      <c r="A2477" t="str">
        <f>"202251B0100"</f>
        <v>202251B0100</v>
      </c>
      <c r="B2477" t="s">
        <v>5053</v>
      </c>
      <c r="C2477">
        <v>20</v>
      </c>
      <c r="D2477" t="s">
        <v>79</v>
      </c>
      <c r="E2477">
        <v>11</v>
      </c>
      <c r="F2477" t="s">
        <v>4565</v>
      </c>
      <c r="G2477">
        <v>2251</v>
      </c>
      <c r="H2477">
        <v>1</v>
      </c>
      <c r="I2477" t="s">
        <v>81</v>
      </c>
      <c r="J2477">
        <v>0</v>
      </c>
      <c r="K2477">
        <v>1</v>
      </c>
      <c r="L2477">
        <v>2</v>
      </c>
      <c r="M2477">
        <v>210</v>
      </c>
      <c r="N2477">
        <v>438</v>
      </c>
      <c r="O2477">
        <v>1</v>
      </c>
      <c r="P2477">
        <v>438</v>
      </c>
      <c r="Q2477">
        <v>16</v>
      </c>
      <c r="R2477">
        <v>118</v>
      </c>
      <c r="S2477">
        <v>20</v>
      </c>
      <c r="T2477">
        <v>12</v>
      </c>
      <c r="U2477">
        <v>6</v>
      </c>
      <c r="V2477">
        <v>8</v>
      </c>
      <c r="W2477">
        <v>1</v>
      </c>
      <c r="X2477">
        <v>57</v>
      </c>
      <c r="Y2477">
        <v>166</v>
      </c>
      <c r="Z2477">
        <v>3</v>
      </c>
      <c r="AA2477" t="s">
        <v>100</v>
      </c>
      <c r="AB2477" t="s">
        <v>100</v>
      </c>
      <c r="AC2477" t="s">
        <v>100</v>
      </c>
      <c r="AD2477" t="s">
        <v>100</v>
      </c>
      <c r="AE2477">
        <v>1</v>
      </c>
      <c r="AF2477" t="s">
        <v>100</v>
      </c>
      <c r="AG2477">
        <v>8</v>
      </c>
      <c r="AH2477">
        <v>2</v>
      </c>
      <c r="AI2477">
        <v>1</v>
      </c>
      <c r="AJ2477" t="s">
        <v>100</v>
      </c>
      <c r="AK2477" t="s">
        <v>100</v>
      </c>
      <c r="AL2477">
        <v>1</v>
      </c>
      <c r="AM2477" t="s">
        <v>100</v>
      </c>
      <c r="AN2477">
        <v>1</v>
      </c>
      <c r="AT2477" t="s">
        <v>100</v>
      </c>
      <c r="AU2477">
        <v>19</v>
      </c>
      <c r="AV2477">
        <v>439</v>
      </c>
      <c r="AW2477">
        <v>440</v>
      </c>
      <c r="AX2477">
        <v>627</v>
      </c>
      <c r="AZ2477" t="s">
        <v>101</v>
      </c>
      <c r="BA2477">
        <v>1</v>
      </c>
      <c r="BC2477" t="s">
        <v>5054</v>
      </c>
      <c r="BD2477" s="4">
        <v>43283.4450462963</v>
      </c>
      <c r="BE2477" s="4">
        <v>43283.448263888888</v>
      </c>
      <c r="BF2477" s="4">
        <v>43283.448263888888</v>
      </c>
      <c r="BG2477" t="s">
        <v>83</v>
      </c>
      <c r="BH2477" t="s">
        <v>84</v>
      </c>
      <c r="BI2477" t="s">
        <v>85</v>
      </c>
    </row>
    <row r="2478" spans="1:61" x14ac:dyDescent="0.3">
      <c r="A2478" t="str">
        <f>"202251C0100"</f>
        <v>202251C0100</v>
      </c>
      <c r="B2478" t="s">
        <v>5055</v>
      </c>
      <c r="C2478">
        <v>20</v>
      </c>
      <c r="D2478" t="s">
        <v>79</v>
      </c>
      <c r="E2478">
        <v>11</v>
      </c>
      <c r="F2478" t="s">
        <v>4565</v>
      </c>
      <c r="G2478">
        <v>2251</v>
      </c>
      <c r="H2478">
        <v>1</v>
      </c>
      <c r="I2478" t="s">
        <v>89</v>
      </c>
      <c r="J2478">
        <v>0</v>
      </c>
      <c r="K2478">
        <v>1</v>
      </c>
      <c r="L2478">
        <v>2</v>
      </c>
      <c r="M2478">
        <v>206</v>
      </c>
      <c r="N2478">
        <v>443</v>
      </c>
      <c r="O2478">
        <v>2</v>
      </c>
      <c r="P2478" t="s">
        <v>100</v>
      </c>
      <c r="Q2478">
        <v>0</v>
      </c>
      <c r="R2478">
        <v>135</v>
      </c>
      <c r="S2478">
        <v>13</v>
      </c>
      <c r="T2478">
        <v>7</v>
      </c>
      <c r="U2478">
        <v>8</v>
      </c>
      <c r="V2478">
        <v>13</v>
      </c>
      <c r="W2478">
        <v>1</v>
      </c>
      <c r="X2478">
        <v>56</v>
      </c>
      <c r="Y2478">
        <v>171</v>
      </c>
      <c r="Z2478">
        <v>0</v>
      </c>
      <c r="AA2478">
        <v>0</v>
      </c>
      <c r="AB2478">
        <v>0</v>
      </c>
      <c r="AC2478">
        <v>0</v>
      </c>
      <c r="AD2478">
        <v>13</v>
      </c>
      <c r="AE2478">
        <v>0</v>
      </c>
      <c r="AF2478">
        <v>0</v>
      </c>
      <c r="AG2478">
        <v>8</v>
      </c>
      <c r="AH2478">
        <v>0</v>
      </c>
      <c r="AI2478">
        <v>0</v>
      </c>
      <c r="AJ2478">
        <v>0</v>
      </c>
      <c r="AK2478">
        <v>3</v>
      </c>
      <c r="AL2478">
        <v>0</v>
      </c>
      <c r="AM2478">
        <v>0</v>
      </c>
      <c r="AN2478">
        <v>0</v>
      </c>
      <c r="AT2478">
        <v>0</v>
      </c>
      <c r="AU2478">
        <v>16</v>
      </c>
      <c r="AV2478">
        <v>450</v>
      </c>
      <c r="AW2478">
        <v>444</v>
      </c>
      <c r="AX2478">
        <v>627</v>
      </c>
      <c r="BA2478">
        <v>1</v>
      </c>
      <c r="BC2478" t="s">
        <v>5056</v>
      </c>
      <c r="BD2478" s="4">
        <v>43283.483530092592</v>
      </c>
      <c r="BE2478" s="4">
        <v>43283.496574074074</v>
      </c>
      <c r="BF2478" s="4">
        <v>43283.496574074074</v>
      </c>
      <c r="BG2478" t="s">
        <v>83</v>
      </c>
      <c r="BH2478" t="s">
        <v>84</v>
      </c>
      <c r="BI2478" t="s">
        <v>85</v>
      </c>
    </row>
    <row r="2479" spans="1:61" x14ac:dyDescent="0.3">
      <c r="A2479" t="str">
        <f>"202252B0100"</f>
        <v>202252B0100</v>
      </c>
      <c r="B2479" t="s">
        <v>5057</v>
      </c>
      <c r="C2479">
        <v>20</v>
      </c>
      <c r="D2479" t="s">
        <v>79</v>
      </c>
      <c r="E2479">
        <v>11</v>
      </c>
      <c r="F2479" t="s">
        <v>4565</v>
      </c>
      <c r="G2479">
        <v>2252</v>
      </c>
      <c r="H2479">
        <v>1</v>
      </c>
      <c r="I2479" t="s">
        <v>81</v>
      </c>
      <c r="J2479">
        <v>0</v>
      </c>
      <c r="K2479">
        <v>1</v>
      </c>
      <c r="L2479">
        <v>2</v>
      </c>
      <c r="M2479">
        <v>177</v>
      </c>
      <c r="N2479">
        <v>358</v>
      </c>
      <c r="O2479">
        <v>1</v>
      </c>
      <c r="P2479">
        <v>358</v>
      </c>
      <c r="Q2479">
        <v>13</v>
      </c>
      <c r="R2479">
        <v>79</v>
      </c>
      <c r="S2479">
        <v>27</v>
      </c>
      <c r="T2479">
        <v>13</v>
      </c>
      <c r="U2479">
        <v>8</v>
      </c>
      <c r="V2479">
        <v>21</v>
      </c>
      <c r="W2479">
        <v>1</v>
      </c>
      <c r="X2479">
        <v>35</v>
      </c>
      <c r="Y2479">
        <v>140</v>
      </c>
      <c r="Z2479">
        <v>1</v>
      </c>
      <c r="AA2479">
        <v>1</v>
      </c>
      <c r="AB2479">
        <v>0</v>
      </c>
      <c r="AC2479">
        <v>2</v>
      </c>
      <c r="AD2479">
        <v>0</v>
      </c>
      <c r="AE2479">
        <v>0</v>
      </c>
      <c r="AF2479">
        <v>0</v>
      </c>
      <c r="AG2479">
        <v>2</v>
      </c>
      <c r="AH2479">
        <v>1</v>
      </c>
      <c r="AI2479">
        <v>1</v>
      </c>
      <c r="AJ2479">
        <v>0</v>
      </c>
      <c r="AK2479">
        <v>1</v>
      </c>
      <c r="AL2479">
        <v>0</v>
      </c>
      <c r="AM2479">
        <v>0</v>
      </c>
      <c r="AN2479">
        <v>0</v>
      </c>
      <c r="AT2479">
        <v>0</v>
      </c>
      <c r="AU2479">
        <v>12</v>
      </c>
      <c r="AV2479">
        <v>358</v>
      </c>
      <c r="AW2479">
        <v>358</v>
      </c>
      <c r="AX2479">
        <v>513</v>
      </c>
      <c r="BA2479">
        <v>1</v>
      </c>
      <c r="BC2479" t="s">
        <v>5058</v>
      </c>
      <c r="BD2479" s="4">
        <v>43283.48101851852</v>
      </c>
      <c r="BE2479" s="4">
        <v>43283.484317129631</v>
      </c>
      <c r="BF2479" s="4">
        <v>43283.484317129631</v>
      </c>
      <c r="BG2479" t="s">
        <v>83</v>
      </c>
      <c r="BH2479" t="s">
        <v>84</v>
      </c>
      <c r="BI2479" t="s">
        <v>85</v>
      </c>
    </row>
    <row r="2480" spans="1:61" x14ac:dyDescent="0.3">
      <c r="A2480" t="str">
        <f>"202252C0100"</f>
        <v>202252C0100</v>
      </c>
      <c r="B2480" t="s">
        <v>5059</v>
      </c>
      <c r="C2480">
        <v>20</v>
      </c>
      <c r="D2480" t="s">
        <v>79</v>
      </c>
      <c r="E2480">
        <v>11</v>
      </c>
      <c r="F2480" t="s">
        <v>4565</v>
      </c>
      <c r="G2480">
        <v>2252</v>
      </c>
      <c r="H2480">
        <v>1</v>
      </c>
      <c r="I2480" t="s">
        <v>89</v>
      </c>
      <c r="J2480">
        <v>0</v>
      </c>
      <c r="K2480">
        <v>1</v>
      </c>
      <c r="L2480">
        <v>2</v>
      </c>
      <c r="M2480">
        <v>174</v>
      </c>
      <c r="N2480">
        <v>366</v>
      </c>
      <c r="O2480">
        <v>5</v>
      </c>
      <c r="P2480">
        <v>366</v>
      </c>
      <c r="Q2480">
        <v>14</v>
      </c>
      <c r="R2480">
        <v>113</v>
      </c>
      <c r="S2480">
        <v>16</v>
      </c>
      <c r="T2480">
        <v>6</v>
      </c>
      <c r="U2480">
        <v>8</v>
      </c>
      <c r="V2480">
        <v>11</v>
      </c>
      <c r="W2480">
        <v>0</v>
      </c>
      <c r="X2480">
        <v>33</v>
      </c>
      <c r="Y2480">
        <v>141</v>
      </c>
      <c r="Z2480">
        <v>0</v>
      </c>
      <c r="AA2480">
        <v>0</v>
      </c>
      <c r="AB2480">
        <v>0</v>
      </c>
      <c r="AC2480">
        <v>5</v>
      </c>
      <c r="AD2480">
        <v>0</v>
      </c>
      <c r="AE2480">
        <v>0</v>
      </c>
      <c r="AF2480">
        <v>0</v>
      </c>
      <c r="AG2480">
        <v>6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T2480">
        <v>0</v>
      </c>
      <c r="AU2480">
        <v>8</v>
      </c>
      <c r="AV2480">
        <v>361</v>
      </c>
      <c r="AW2480">
        <v>361</v>
      </c>
      <c r="AX2480">
        <v>513</v>
      </c>
      <c r="BA2480">
        <v>1</v>
      </c>
      <c r="BC2480" t="s">
        <v>5060</v>
      </c>
      <c r="BD2480" s="4">
        <v>43283.478055555555</v>
      </c>
      <c r="BE2480" s="4">
        <v>43283.480879629627</v>
      </c>
      <c r="BF2480" s="4">
        <v>43283.480879629627</v>
      </c>
      <c r="BG2480" t="s">
        <v>83</v>
      </c>
      <c r="BH2480" t="s">
        <v>84</v>
      </c>
      <c r="BI2480" t="s">
        <v>85</v>
      </c>
    </row>
    <row r="2481" spans="1:61" x14ac:dyDescent="0.3">
      <c r="A2481" t="str">
        <f>"202253B0100"</f>
        <v>202253B0100</v>
      </c>
      <c r="B2481" t="s">
        <v>5061</v>
      </c>
      <c r="C2481">
        <v>20</v>
      </c>
      <c r="D2481" t="s">
        <v>79</v>
      </c>
      <c r="E2481">
        <v>11</v>
      </c>
      <c r="F2481" t="s">
        <v>4565</v>
      </c>
      <c r="G2481">
        <v>2253</v>
      </c>
      <c r="H2481">
        <v>1</v>
      </c>
      <c r="I2481" t="s">
        <v>81</v>
      </c>
      <c r="J2481">
        <v>0</v>
      </c>
      <c r="K2481">
        <v>1</v>
      </c>
      <c r="L2481">
        <v>2</v>
      </c>
      <c r="M2481">
        <v>166</v>
      </c>
      <c r="N2481">
        <v>384</v>
      </c>
      <c r="O2481">
        <v>0</v>
      </c>
      <c r="P2481">
        <v>384</v>
      </c>
      <c r="Q2481">
        <v>13</v>
      </c>
      <c r="R2481">
        <v>75</v>
      </c>
      <c r="S2481">
        <v>25</v>
      </c>
      <c r="T2481">
        <v>11</v>
      </c>
      <c r="U2481">
        <v>6</v>
      </c>
      <c r="V2481">
        <v>33</v>
      </c>
      <c r="W2481">
        <v>0</v>
      </c>
      <c r="X2481">
        <v>26</v>
      </c>
      <c r="Y2481">
        <v>181</v>
      </c>
      <c r="Z2481">
        <v>3</v>
      </c>
      <c r="AA2481">
        <v>0</v>
      </c>
      <c r="AB2481">
        <v>1</v>
      </c>
      <c r="AC2481">
        <v>1</v>
      </c>
      <c r="AD2481">
        <v>0</v>
      </c>
      <c r="AE2481">
        <v>0</v>
      </c>
      <c r="AF2481">
        <v>0</v>
      </c>
      <c r="AG2481">
        <v>3</v>
      </c>
      <c r="AH2481">
        <v>1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T2481">
        <v>0</v>
      </c>
      <c r="AU2481">
        <v>7</v>
      </c>
      <c r="AV2481">
        <v>384</v>
      </c>
      <c r="AW2481">
        <v>386</v>
      </c>
      <c r="AX2481">
        <v>528</v>
      </c>
      <c r="BA2481">
        <v>1</v>
      </c>
      <c r="BC2481" t="s">
        <v>5062</v>
      </c>
      <c r="BD2481" s="4">
        <v>43283.446504629632</v>
      </c>
      <c r="BE2481" s="4">
        <v>43283.44976851852</v>
      </c>
      <c r="BF2481" s="4">
        <v>43283.44976851852</v>
      </c>
      <c r="BG2481" t="s">
        <v>83</v>
      </c>
      <c r="BH2481" t="s">
        <v>84</v>
      </c>
      <c r="BI2481" t="s">
        <v>85</v>
      </c>
    </row>
    <row r="2482" spans="1:61" x14ac:dyDescent="0.3">
      <c r="A2482" t="str">
        <f>"202253C0100"</f>
        <v>202253C0100</v>
      </c>
      <c r="B2482" t="s">
        <v>5063</v>
      </c>
      <c r="C2482">
        <v>20</v>
      </c>
      <c r="D2482" t="s">
        <v>79</v>
      </c>
      <c r="E2482">
        <v>11</v>
      </c>
      <c r="F2482" t="s">
        <v>4565</v>
      </c>
      <c r="G2482">
        <v>2253</v>
      </c>
      <c r="H2482">
        <v>1</v>
      </c>
      <c r="I2482" t="s">
        <v>89</v>
      </c>
      <c r="J2482">
        <v>0</v>
      </c>
      <c r="K2482">
        <v>1</v>
      </c>
      <c r="L2482">
        <v>2</v>
      </c>
      <c r="M2482">
        <v>167</v>
      </c>
      <c r="N2482">
        <v>383</v>
      </c>
      <c r="O2482">
        <v>0</v>
      </c>
      <c r="P2482">
        <v>383</v>
      </c>
      <c r="Q2482">
        <v>12</v>
      </c>
      <c r="R2482">
        <v>89</v>
      </c>
      <c r="S2482">
        <v>25</v>
      </c>
      <c r="T2482">
        <v>17</v>
      </c>
      <c r="U2482">
        <v>5</v>
      </c>
      <c r="V2482">
        <v>17</v>
      </c>
      <c r="W2482">
        <v>1</v>
      </c>
      <c r="X2482">
        <v>26</v>
      </c>
      <c r="Y2482">
        <v>156</v>
      </c>
      <c r="Z2482">
        <v>2</v>
      </c>
      <c r="AA2482">
        <v>1</v>
      </c>
      <c r="AB2482">
        <v>1</v>
      </c>
      <c r="AC2482">
        <v>2</v>
      </c>
      <c r="AD2482">
        <v>1</v>
      </c>
      <c r="AE2482">
        <v>1</v>
      </c>
      <c r="AF2482">
        <v>1</v>
      </c>
      <c r="AG2482">
        <v>8</v>
      </c>
      <c r="AH2482">
        <v>6</v>
      </c>
      <c r="AI2482">
        <v>0</v>
      </c>
      <c r="AJ2482">
        <v>0</v>
      </c>
      <c r="AK2482">
        <v>2</v>
      </c>
      <c r="AL2482">
        <v>2</v>
      </c>
      <c r="AM2482">
        <v>0</v>
      </c>
      <c r="AN2482">
        <v>2</v>
      </c>
      <c r="AT2482">
        <v>0</v>
      </c>
      <c r="AU2482">
        <v>8</v>
      </c>
      <c r="AV2482">
        <v>383</v>
      </c>
      <c r="AW2482">
        <v>385</v>
      </c>
      <c r="AX2482">
        <v>528</v>
      </c>
      <c r="BA2482">
        <v>1</v>
      </c>
      <c r="BC2482" t="s">
        <v>5064</v>
      </c>
      <c r="BD2482" s="4">
        <v>43283.446898148148</v>
      </c>
      <c r="BE2482" s="4">
        <v>43283.449918981481</v>
      </c>
      <c r="BF2482" s="4">
        <v>43283.449918981481</v>
      </c>
      <c r="BG2482" t="s">
        <v>83</v>
      </c>
      <c r="BH2482" t="s">
        <v>84</v>
      </c>
      <c r="BI2482" t="s">
        <v>85</v>
      </c>
    </row>
    <row r="2483" spans="1:61" x14ac:dyDescent="0.3">
      <c r="A2483" t="str">
        <f>"202253E0100"</f>
        <v>202253E0100</v>
      </c>
      <c r="B2483" s="2" t="s">
        <v>5065</v>
      </c>
      <c r="C2483">
        <v>20</v>
      </c>
      <c r="D2483" t="s">
        <v>79</v>
      </c>
      <c r="E2483">
        <v>11</v>
      </c>
      <c r="F2483" t="s">
        <v>4565</v>
      </c>
      <c r="G2483">
        <v>2253</v>
      </c>
      <c r="H2483">
        <v>1</v>
      </c>
      <c r="I2483" t="s">
        <v>145</v>
      </c>
      <c r="J2483">
        <v>0</v>
      </c>
      <c r="K2483">
        <v>2</v>
      </c>
      <c r="L2483">
        <v>2</v>
      </c>
      <c r="M2483">
        <v>132</v>
      </c>
      <c r="N2483">
        <v>268</v>
      </c>
      <c r="O2483">
        <v>0</v>
      </c>
      <c r="P2483">
        <v>136</v>
      </c>
      <c r="Q2483">
        <v>5</v>
      </c>
      <c r="R2483">
        <v>41</v>
      </c>
      <c r="S2483">
        <v>6</v>
      </c>
      <c r="T2483">
        <v>13</v>
      </c>
      <c r="U2483">
        <v>4</v>
      </c>
      <c r="V2483">
        <v>5</v>
      </c>
      <c r="W2483">
        <v>1</v>
      </c>
      <c r="X2483">
        <v>7</v>
      </c>
      <c r="Y2483">
        <v>46</v>
      </c>
      <c r="Z2483">
        <v>1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2</v>
      </c>
      <c r="AH2483">
        <v>2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T2483">
        <v>0</v>
      </c>
      <c r="AU2483">
        <v>3</v>
      </c>
      <c r="AV2483">
        <v>136</v>
      </c>
      <c r="AW2483">
        <v>136</v>
      </c>
      <c r="AX2483">
        <v>246</v>
      </c>
      <c r="BA2483">
        <v>1</v>
      </c>
      <c r="BC2483" t="s">
        <v>5066</v>
      </c>
      <c r="BD2483" s="4">
        <v>43283.44599537037</v>
      </c>
      <c r="BE2483" s="4">
        <v>43283.448877314811</v>
      </c>
      <c r="BF2483" s="4">
        <v>43283.448877314811</v>
      </c>
      <c r="BG2483" t="s">
        <v>83</v>
      </c>
      <c r="BH2483" t="s">
        <v>84</v>
      </c>
      <c r="BI2483" t="s">
        <v>85</v>
      </c>
    </row>
    <row r="2484" spans="1:61" x14ac:dyDescent="0.3">
      <c r="A2484" t="str">
        <f>"202254B0100"</f>
        <v>202254B0100</v>
      </c>
      <c r="B2484" t="s">
        <v>5067</v>
      </c>
      <c r="C2484">
        <v>20</v>
      </c>
      <c r="D2484" t="s">
        <v>79</v>
      </c>
      <c r="E2484">
        <v>11</v>
      </c>
      <c r="F2484" t="s">
        <v>4565</v>
      </c>
      <c r="G2484">
        <v>2254</v>
      </c>
      <c r="H2484">
        <v>1</v>
      </c>
      <c r="I2484" t="s">
        <v>81</v>
      </c>
      <c r="J2484">
        <v>0</v>
      </c>
      <c r="K2484">
        <v>1</v>
      </c>
      <c r="L2484">
        <v>2</v>
      </c>
      <c r="AX2484">
        <v>561</v>
      </c>
      <c r="AZ2484" t="s">
        <v>1868</v>
      </c>
      <c r="BA2484">
        <v>0</v>
      </c>
      <c r="BC2484" t="s">
        <v>5068</v>
      </c>
      <c r="BD2484" s="4">
        <v>43283.486400462964</v>
      </c>
      <c r="BE2484" s="4">
        <v>43283.50199074074</v>
      </c>
      <c r="BF2484" s="4">
        <v>43283.50199074074</v>
      </c>
      <c r="BG2484" t="s">
        <v>83</v>
      </c>
      <c r="BH2484" t="s">
        <v>84</v>
      </c>
      <c r="BI2484" t="s">
        <v>85</v>
      </c>
    </row>
    <row r="2485" spans="1:61" x14ac:dyDescent="0.3">
      <c r="A2485" t="str">
        <f>"202255B0100"</f>
        <v>202255B0100</v>
      </c>
      <c r="B2485" t="s">
        <v>5069</v>
      </c>
      <c r="C2485">
        <v>20</v>
      </c>
      <c r="D2485" t="s">
        <v>79</v>
      </c>
      <c r="E2485">
        <v>11</v>
      </c>
      <c r="F2485" t="s">
        <v>4565</v>
      </c>
      <c r="G2485">
        <v>2255</v>
      </c>
      <c r="H2485">
        <v>1</v>
      </c>
      <c r="I2485" t="s">
        <v>81</v>
      </c>
      <c r="J2485">
        <v>0</v>
      </c>
      <c r="K2485">
        <v>1</v>
      </c>
      <c r="L2485">
        <v>2</v>
      </c>
      <c r="M2485">
        <v>123</v>
      </c>
      <c r="N2485" t="s">
        <v>100</v>
      </c>
      <c r="O2485" t="s">
        <v>100</v>
      </c>
      <c r="P2485" t="s">
        <v>100</v>
      </c>
      <c r="Q2485">
        <v>10</v>
      </c>
      <c r="R2485">
        <v>126</v>
      </c>
      <c r="S2485">
        <v>50</v>
      </c>
      <c r="T2485">
        <v>13</v>
      </c>
      <c r="U2485">
        <v>8</v>
      </c>
      <c r="V2485" t="s">
        <v>100</v>
      </c>
      <c r="W2485" t="s">
        <v>100</v>
      </c>
      <c r="X2485" t="s">
        <v>100</v>
      </c>
      <c r="Y2485">
        <v>113</v>
      </c>
      <c r="Z2485">
        <v>2</v>
      </c>
      <c r="AA2485" t="s">
        <v>100</v>
      </c>
      <c r="AB2485" t="s">
        <v>100</v>
      </c>
      <c r="AC2485" t="s">
        <v>100</v>
      </c>
      <c r="AD2485" t="s">
        <v>100</v>
      </c>
      <c r="AE2485" t="s">
        <v>100</v>
      </c>
      <c r="AF2485" t="s">
        <v>100</v>
      </c>
      <c r="AG2485" t="s">
        <v>100</v>
      </c>
      <c r="AH2485" t="s">
        <v>100</v>
      </c>
      <c r="AI2485" t="s">
        <v>100</v>
      </c>
      <c r="AJ2485" t="s">
        <v>100</v>
      </c>
      <c r="AK2485" t="s">
        <v>100</v>
      </c>
      <c r="AL2485" t="s">
        <v>100</v>
      </c>
      <c r="AM2485" t="s">
        <v>100</v>
      </c>
      <c r="AN2485" t="s">
        <v>100</v>
      </c>
      <c r="AT2485" t="s">
        <v>100</v>
      </c>
      <c r="AU2485" t="s">
        <v>100</v>
      </c>
      <c r="AV2485" t="s">
        <v>100</v>
      </c>
      <c r="AW2485">
        <v>322</v>
      </c>
      <c r="AX2485">
        <v>439</v>
      </c>
      <c r="AZ2485" t="s">
        <v>101</v>
      </c>
      <c r="BA2485">
        <v>1</v>
      </c>
      <c r="BC2485" t="s">
        <v>5070</v>
      </c>
      <c r="BD2485" s="4">
        <v>43283.496550925927</v>
      </c>
      <c r="BE2485" s="4">
        <v>43283.506412037037</v>
      </c>
      <c r="BF2485" s="4">
        <v>43283.506412037037</v>
      </c>
      <c r="BG2485" t="s">
        <v>83</v>
      </c>
      <c r="BH2485" t="s">
        <v>84</v>
      </c>
      <c r="BI2485" t="s">
        <v>85</v>
      </c>
    </row>
    <row r="2486" spans="1:61" x14ac:dyDescent="0.3">
      <c r="A2486" t="str">
        <f>"202255C0100"</f>
        <v>202255C0100</v>
      </c>
      <c r="B2486" t="s">
        <v>5071</v>
      </c>
      <c r="C2486">
        <v>20</v>
      </c>
      <c r="D2486" t="s">
        <v>79</v>
      </c>
      <c r="E2486">
        <v>11</v>
      </c>
      <c r="F2486" t="s">
        <v>4565</v>
      </c>
      <c r="G2486">
        <v>2255</v>
      </c>
      <c r="H2486">
        <v>1</v>
      </c>
      <c r="I2486" t="s">
        <v>89</v>
      </c>
      <c r="J2486">
        <v>0</v>
      </c>
      <c r="K2486">
        <v>1</v>
      </c>
      <c r="L2486">
        <v>2</v>
      </c>
      <c r="M2486">
        <v>123</v>
      </c>
      <c r="N2486">
        <v>460</v>
      </c>
      <c r="O2486">
        <v>0</v>
      </c>
      <c r="P2486">
        <v>337</v>
      </c>
      <c r="Q2486">
        <v>2</v>
      </c>
      <c r="R2486">
        <v>116</v>
      </c>
      <c r="S2486">
        <v>43</v>
      </c>
      <c r="T2486">
        <v>26</v>
      </c>
      <c r="U2486">
        <v>11</v>
      </c>
      <c r="V2486">
        <v>8</v>
      </c>
      <c r="W2486">
        <v>0</v>
      </c>
      <c r="X2486">
        <v>11</v>
      </c>
      <c r="Y2486">
        <v>109</v>
      </c>
      <c r="Z2486">
        <v>0</v>
      </c>
      <c r="AA2486">
        <v>2</v>
      </c>
      <c r="AB2486">
        <v>0</v>
      </c>
      <c r="AC2486">
        <v>1</v>
      </c>
      <c r="AD2486">
        <v>0</v>
      </c>
      <c r="AE2486">
        <v>0</v>
      </c>
      <c r="AF2486">
        <v>0</v>
      </c>
      <c r="AG2486">
        <v>5</v>
      </c>
      <c r="AH2486">
        <v>0</v>
      </c>
      <c r="AI2486">
        <v>0</v>
      </c>
      <c r="AJ2486">
        <v>0</v>
      </c>
      <c r="AK2486">
        <v>1</v>
      </c>
      <c r="AL2486">
        <v>0</v>
      </c>
      <c r="AM2486">
        <v>0</v>
      </c>
      <c r="AN2486">
        <v>0</v>
      </c>
      <c r="AT2486" t="s">
        <v>100</v>
      </c>
      <c r="AU2486">
        <v>2</v>
      </c>
      <c r="AV2486">
        <v>337</v>
      </c>
      <c r="AW2486">
        <v>337</v>
      </c>
      <c r="AX2486">
        <v>438</v>
      </c>
      <c r="AZ2486" t="s">
        <v>101</v>
      </c>
      <c r="BA2486">
        <v>1</v>
      </c>
      <c r="BC2486" t="s">
        <v>5072</v>
      </c>
      <c r="BD2486" s="4">
        <v>43283.603726851848</v>
      </c>
      <c r="BE2486" s="4">
        <v>43283.607939814814</v>
      </c>
      <c r="BF2486" s="4">
        <v>43283.607939814814</v>
      </c>
      <c r="BG2486" t="s">
        <v>83</v>
      </c>
      <c r="BH2486" t="s">
        <v>84</v>
      </c>
      <c r="BI2486" t="s">
        <v>548</v>
      </c>
    </row>
    <row r="2487" spans="1:61" x14ac:dyDescent="0.3">
      <c r="A2487" t="str">
        <f>"202256B0100"</f>
        <v>202256B0100</v>
      </c>
      <c r="B2487" t="s">
        <v>5073</v>
      </c>
      <c r="C2487">
        <v>20</v>
      </c>
      <c r="D2487" t="s">
        <v>79</v>
      </c>
      <c r="E2487">
        <v>11</v>
      </c>
      <c r="F2487" t="s">
        <v>4565</v>
      </c>
      <c r="G2487">
        <v>2256</v>
      </c>
      <c r="H2487">
        <v>1</v>
      </c>
      <c r="I2487" t="s">
        <v>81</v>
      </c>
      <c r="J2487">
        <v>0</v>
      </c>
      <c r="K2487">
        <v>2</v>
      </c>
      <c r="L2487">
        <v>2</v>
      </c>
      <c r="M2487">
        <v>46</v>
      </c>
      <c r="N2487">
        <v>91</v>
      </c>
      <c r="O2487">
        <v>1</v>
      </c>
      <c r="P2487" t="s">
        <v>100</v>
      </c>
      <c r="Q2487">
        <v>7</v>
      </c>
      <c r="R2487">
        <v>16</v>
      </c>
      <c r="S2487">
        <v>1</v>
      </c>
      <c r="T2487">
        <v>1</v>
      </c>
      <c r="U2487">
        <v>0</v>
      </c>
      <c r="V2487">
        <v>0</v>
      </c>
      <c r="W2487">
        <v>0</v>
      </c>
      <c r="X2487">
        <v>4</v>
      </c>
      <c r="Y2487">
        <v>52</v>
      </c>
      <c r="Z2487">
        <v>1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1</v>
      </c>
      <c r="AH2487">
        <v>0</v>
      </c>
      <c r="AI2487">
        <v>0</v>
      </c>
      <c r="AJ2487">
        <v>0</v>
      </c>
      <c r="AK2487">
        <v>1</v>
      </c>
      <c r="AL2487">
        <v>0</v>
      </c>
      <c r="AM2487">
        <v>0</v>
      </c>
      <c r="AN2487">
        <v>1</v>
      </c>
      <c r="AT2487">
        <v>0</v>
      </c>
      <c r="AU2487">
        <v>6</v>
      </c>
      <c r="AV2487">
        <v>91</v>
      </c>
      <c r="AW2487">
        <v>91</v>
      </c>
      <c r="AX2487">
        <v>115</v>
      </c>
      <c r="BA2487">
        <v>1</v>
      </c>
      <c r="BC2487" t="s">
        <v>5074</v>
      </c>
      <c r="BD2487" s="4">
        <v>43283.480300925927</v>
      </c>
      <c r="BE2487" s="4">
        <v>43283.483182870368</v>
      </c>
      <c r="BF2487" s="4">
        <v>43283.483182870368</v>
      </c>
      <c r="BG2487" t="s">
        <v>83</v>
      </c>
      <c r="BH2487" t="s">
        <v>84</v>
      </c>
      <c r="BI2487" t="s">
        <v>85</v>
      </c>
    </row>
    <row r="2488" spans="1:61" x14ac:dyDescent="0.3">
      <c r="A2488" t="str">
        <f>"202257B0100"</f>
        <v>202257B0100</v>
      </c>
      <c r="B2488" t="s">
        <v>5075</v>
      </c>
      <c r="C2488">
        <v>20</v>
      </c>
      <c r="D2488" t="s">
        <v>79</v>
      </c>
      <c r="E2488">
        <v>11</v>
      </c>
      <c r="F2488" t="s">
        <v>4565</v>
      </c>
      <c r="G2488">
        <v>2257</v>
      </c>
      <c r="H2488">
        <v>1</v>
      </c>
      <c r="I2488" t="s">
        <v>81</v>
      </c>
      <c r="J2488">
        <v>0</v>
      </c>
      <c r="K2488">
        <v>1</v>
      </c>
      <c r="L2488">
        <v>2</v>
      </c>
      <c r="M2488">
        <v>148</v>
      </c>
      <c r="N2488">
        <v>400</v>
      </c>
      <c r="O2488" t="s">
        <v>100</v>
      </c>
      <c r="P2488">
        <v>252</v>
      </c>
      <c r="Q2488">
        <v>6</v>
      </c>
      <c r="R2488">
        <v>60</v>
      </c>
      <c r="S2488">
        <v>17</v>
      </c>
      <c r="T2488">
        <v>40</v>
      </c>
      <c r="U2488">
        <v>4</v>
      </c>
      <c r="V2488">
        <v>7</v>
      </c>
      <c r="W2488" t="s">
        <v>100</v>
      </c>
      <c r="X2488">
        <v>17</v>
      </c>
      <c r="Y2488">
        <v>82</v>
      </c>
      <c r="Z2488">
        <v>8</v>
      </c>
      <c r="AA2488" t="s">
        <v>100</v>
      </c>
      <c r="AB2488" t="s">
        <v>100</v>
      </c>
      <c r="AC2488" t="s">
        <v>100</v>
      </c>
      <c r="AD2488" t="s">
        <v>100</v>
      </c>
      <c r="AE2488" t="s">
        <v>100</v>
      </c>
      <c r="AF2488" t="s">
        <v>100</v>
      </c>
      <c r="AG2488" t="s">
        <v>100</v>
      </c>
      <c r="AH2488">
        <v>1</v>
      </c>
      <c r="AI2488" t="s">
        <v>100</v>
      </c>
      <c r="AJ2488" t="s">
        <v>100</v>
      </c>
      <c r="AK2488" t="s">
        <v>100</v>
      </c>
      <c r="AL2488" t="s">
        <v>100</v>
      </c>
      <c r="AM2488" t="s">
        <v>100</v>
      </c>
      <c r="AN2488" t="s">
        <v>100</v>
      </c>
      <c r="AT2488" t="s">
        <v>100</v>
      </c>
      <c r="AU2488">
        <v>10</v>
      </c>
      <c r="AV2488">
        <v>252</v>
      </c>
      <c r="AW2488">
        <v>252</v>
      </c>
      <c r="AX2488">
        <v>378</v>
      </c>
      <c r="AZ2488" t="s">
        <v>101</v>
      </c>
      <c r="BA2488">
        <v>1</v>
      </c>
      <c r="BC2488" t="s">
        <v>5076</v>
      </c>
      <c r="BD2488" s="4">
        <v>43283.481493055559</v>
      </c>
      <c r="BE2488" s="4">
        <v>43283.484131944446</v>
      </c>
      <c r="BF2488" s="4">
        <v>43283.484131944446</v>
      </c>
      <c r="BG2488" t="s">
        <v>83</v>
      </c>
      <c r="BH2488" t="s">
        <v>84</v>
      </c>
      <c r="BI2488" t="s">
        <v>85</v>
      </c>
    </row>
    <row r="2489" spans="1:61" x14ac:dyDescent="0.3">
      <c r="A2489" t="str">
        <f>"202257C0100"</f>
        <v>202257C0100</v>
      </c>
      <c r="B2489" t="s">
        <v>5077</v>
      </c>
      <c r="C2489">
        <v>20</v>
      </c>
      <c r="D2489" t="s">
        <v>79</v>
      </c>
      <c r="E2489">
        <v>11</v>
      </c>
      <c r="F2489" t="s">
        <v>4565</v>
      </c>
      <c r="G2489">
        <v>2257</v>
      </c>
      <c r="H2489">
        <v>1</v>
      </c>
      <c r="I2489" t="s">
        <v>89</v>
      </c>
      <c r="J2489">
        <v>0</v>
      </c>
      <c r="K2489">
        <v>1</v>
      </c>
      <c r="L2489">
        <v>2</v>
      </c>
      <c r="M2489">
        <v>116</v>
      </c>
      <c r="N2489">
        <v>284</v>
      </c>
      <c r="O2489">
        <v>1</v>
      </c>
      <c r="P2489">
        <v>283</v>
      </c>
      <c r="Q2489">
        <v>16</v>
      </c>
      <c r="R2489">
        <v>70</v>
      </c>
      <c r="S2489">
        <v>24</v>
      </c>
      <c r="T2489">
        <v>35</v>
      </c>
      <c r="U2489">
        <v>6</v>
      </c>
      <c r="V2489">
        <v>10</v>
      </c>
      <c r="W2489" t="s">
        <v>100</v>
      </c>
      <c r="X2489">
        <v>13</v>
      </c>
      <c r="Y2489">
        <v>78</v>
      </c>
      <c r="Z2489" t="s">
        <v>100</v>
      </c>
      <c r="AA2489" t="s">
        <v>100</v>
      </c>
      <c r="AB2489" t="s">
        <v>100</v>
      </c>
      <c r="AC2489">
        <v>4</v>
      </c>
      <c r="AD2489" t="s">
        <v>100</v>
      </c>
      <c r="AE2489" t="s">
        <v>100</v>
      </c>
      <c r="AF2489" t="s">
        <v>100</v>
      </c>
      <c r="AG2489">
        <v>12</v>
      </c>
      <c r="AH2489" t="s">
        <v>100</v>
      </c>
      <c r="AI2489" t="s">
        <v>100</v>
      </c>
      <c r="AJ2489">
        <v>3</v>
      </c>
      <c r="AK2489">
        <v>3</v>
      </c>
      <c r="AL2489" t="s">
        <v>100</v>
      </c>
      <c r="AM2489" t="s">
        <v>100</v>
      </c>
      <c r="AN2489" t="s">
        <v>100</v>
      </c>
      <c r="AT2489" t="s">
        <v>100</v>
      </c>
      <c r="AU2489">
        <v>12</v>
      </c>
      <c r="AV2489" t="s">
        <v>100</v>
      </c>
      <c r="AW2489">
        <v>286</v>
      </c>
      <c r="AX2489">
        <v>378</v>
      </c>
      <c r="AZ2489" t="s">
        <v>101</v>
      </c>
      <c r="BA2489">
        <v>1</v>
      </c>
      <c r="BC2489" t="s">
        <v>5078</v>
      </c>
      <c r="BD2489" s="4">
        <v>43283.443368055552</v>
      </c>
      <c r="BE2489" s="4">
        <v>43283.447256944448</v>
      </c>
      <c r="BF2489" s="4">
        <v>43283.447256944448</v>
      </c>
      <c r="BG2489" t="s">
        <v>83</v>
      </c>
      <c r="BH2489" t="s">
        <v>84</v>
      </c>
      <c r="BI2489" t="s">
        <v>85</v>
      </c>
    </row>
    <row r="2490" spans="1:61" x14ac:dyDescent="0.3">
      <c r="A2490" t="str">
        <f>"202257E0100"</f>
        <v>202257E0100</v>
      </c>
      <c r="B2490" s="2" t="s">
        <v>5079</v>
      </c>
      <c r="C2490">
        <v>20</v>
      </c>
      <c r="D2490" t="s">
        <v>79</v>
      </c>
      <c r="E2490">
        <v>11</v>
      </c>
      <c r="F2490" t="s">
        <v>4565</v>
      </c>
      <c r="G2490">
        <v>2257</v>
      </c>
      <c r="H2490">
        <v>1</v>
      </c>
      <c r="I2490" t="s">
        <v>145</v>
      </c>
      <c r="J2490">
        <v>0</v>
      </c>
      <c r="K2490">
        <v>2</v>
      </c>
      <c r="L2490">
        <v>2</v>
      </c>
      <c r="M2490">
        <v>102</v>
      </c>
      <c r="N2490">
        <v>226</v>
      </c>
      <c r="O2490">
        <v>0</v>
      </c>
      <c r="P2490">
        <v>225</v>
      </c>
      <c r="Q2490">
        <v>12</v>
      </c>
      <c r="R2490">
        <v>47</v>
      </c>
      <c r="S2490">
        <v>16</v>
      </c>
      <c r="T2490">
        <v>30</v>
      </c>
      <c r="U2490">
        <v>7</v>
      </c>
      <c r="V2490">
        <v>10</v>
      </c>
      <c r="W2490">
        <v>2</v>
      </c>
      <c r="X2490">
        <v>27</v>
      </c>
      <c r="Y2490">
        <v>53</v>
      </c>
      <c r="Z2490" t="s">
        <v>100</v>
      </c>
      <c r="AA2490" t="s">
        <v>100</v>
      </c>
      <c r="AB2490" t="s">
        <v>100</v>
      </c>
      <c r="AC2490">
        <v>1</v>
      </c>
      <c r="AD2490" t="s">
        <v>100</v>
      </c>
      <c r="AE2490">
        <v>1</v>
      </c>
      <c r="AF2490" t="s">
        <v>100</v>
      </c>
      <c r="AG2490" t="s">
        <v>315</v>
      </c>
      <c r="AH2490" t="s">
        <v>315</v>
      </c>
      <c r="AI2490">
        <v>1</v>
      </c>
      <c r="AJ2490" t="s">
        <v>100</v>
      </c>
      <c r="AK2490" t="s">
        <v>100</v>
      </c>
      <c r="AL2490" t="s">
        <v>100</v>
      </c>
      <c r="AM2490" t="s">
        <v>100</v>
      </c>
      <c r="AN2490" t="s">
        <v>100</v>
      </c>
      <c r="AT2490" t="s">
        <v>315</v>
      </c>
      <c r="AU2490">
        <v>5</v>
      </c>
      <c r="AV2490">
        <v>225</v>
      </c>
      <c r="AW2490">
        <v>212</v>
      </c>
      <c r="AX2490">
        <v>306</v>
      </c>
      <c r="AZ2490" t="s">
        <v>101</v>
      </c>
      <c r="BA2490">
        <v>1</v>
      </c>
      <c r="BC2490" t="s">
        <v>5080</v>
      </c>
      <c r="BD2490" s="4">
        <v>43283.47928240741</v>
      </c>
      <c r="BE2490" s="4">
        <v>43283.492488425924</v>
      </c>
      <c r="BF2490" s="4">
        <v>43283.492488425924</v>
      </c>
      <c r="BG2490" t="s">
        <v>83</v>
      </c>
      <c r="BH2490" t="s">
        <v>84</v>
      </c>
      <c r="BI2490" t="s">
        <v>85</v>
      </c>
    </row>
    <row r="2491" spans="1:61" x14ac:dyDescent="0.3">
      <c r="A2491" t="str">
        <f>"200192B0100"</f>
        <v>200192B0100</v>
      </c>
      <c r="B2491" t="s">
        <v>5081</v>
      </c>
      <c r="C2491">
        <v>20</v>
      </c>
      <c r="D2491" t="s">
        <v>79</v>
      </c>
      <c r="E2491">
        <v>12</v>
      </c>
      <c r="F2491" t="s">
        <v>5082</v>
      </c>
      <c r="G2491">
        <v>192</v>
      </c>
      <c r="H2491">
        <v>1</v>
      </c>
      <c r="I2491" t="s">
        <v>81</v>
      </c>
      <c r="J2491">
        <v>0</v>
      </c>
      <c r="K2491">
        <v>2</v>
      </c>
      <c r="L2491">
        <v>2</v>
      </c>
      <c r="M2491">
        <v>306</v>
      </c>
      <c r="N2491">
        <v>387</v>
      </c>
      <c r="O2491">
        <v>0</v>
      </c>
      <c r="P2491">
        <v>386</v>
      </c>
      <c r="Q2491">
        <v>14</v>
      </c>
      <c r="R2491">
        <v>55</v>
      </c>
      <c r="S2491">
        <v>9</v>
      </c>
      <c r="T2491">
        <v>8</v>
      </c>
      <c r="U2491">
        <v>11</v>
      </c>
      <c r="V2491">
        <v>11</v>
      </c>
      <c r="W2491">
        <v>8</v>
      </c>
      <c r="X2491">
        <v>7</v>
      </c>
      <c r="Y2491">
        <v>210</v>
      </c>
      <c r="Z2491">
        <v>4</v>
      </c>
      <c r="AA2491">
        <v>5</v>
      </c>
      <c r="AB2491">
        <v>9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1</v>
      </c>
      <c r="AI2491">
        <v>0</v>
      </c>
      <c r="AJ2491">
        <v>3</v>
      </c>
      <c r="AK2491">
        <v>11</v>
      </c>
      <c r="AL2491">
        <v>1</v>
      </c>
      <c r="AM2491">
        <v>0</v>
      </c>
      <c r="AN2491">
        <v>4</v>
      </c>
      <c r="AT2491">
        <v>0</v>
      </c>
      <c r="AU2491">
        <v>15</v>
      </c>
      <c r="AV2491">
        <v>386</v>
      </c>
      <c r="AW2491">
        <v>386</v>
      </c>
      <c r="AX2491">
        <v>671</v>
      </c>
      <c r="BA2491">
        <v>1</v>
      </c>
      <c r="BC2491" t="s">
        <v>5083</v>
      </c>
      <c r="BD2491" s="4">
        <v>43282.986620370371</v>
      </c>
      <c r="BE2491" s="4">
        <v>43282.990104166667</v>
      </c>
      <c r="BF2491" s="4">
        <v>43282.990104166667</v>
      </c>
      <c r="BG2491" t="s">
        <v>373</v>
      </c>
      <c r="BH2491" t="s">
        <v>374</v>
      </c>
      <c r="BI2491" t="s">
        <v>85</v>
      </c>
    </row>
    <row r="2492" spans="1:61" x14ac:dyDescent="0.3">
      <c r="A2492" t="str">
        <f>"200192C0100"</f>
        <v>200192C0100</v>
      </c>
      <c r="B2492" t="s">
        <v>5084</v>
      </c>
      <c r="C2492">
        <v>20</v>
      </c>
      <c r="D2492" t="s">
        <v>79</v>
      </c>
      <c r="E2492">
        <v>12</v>
      </c>
      <c r="F2492" t="s">
        <v>5082</v>
      </c>
      <c r="G2492">
        <v>192</v>
      </c>
      <c r="H2492">
        <v>1</v>
      </c>
      <c r="I2492" t="s">
        <v>89</v>
      </c>
      <c r="J2492">
        <v>0</v>
      </c>
      <c r="K2492">
        <v>2</v>
      </c>
      <c r="L2492">
        <v>2</v>
      </c>
      <c r="M2492" t="s">
        <v>315</v>
      </c>
      <c r="N2492">
        <v>429</v>
      </c>
      <c r="O2492">
        <v>0</v>
      </c>
      <c r="P2492">
        <v>429</v>
      </c>
      <c r="Q2492">
        <v>15</v>
      </c>
      <c r="R2492">
        <v>60</v>
      </c>
      <c r="S2492">
        <v>15</v>
      </c>
      <c r="T2492">
        <v>7</v>
      </c>
      <c r="U2492">
        <v>31</v>
      </c>
      <c r="V2492">
        <v>11</v>
      </c>
      <c r="W2492">
        <v>4</v>
      </c>
      <c r="X2492">
        <v>5</v>
      </c>
      <c r="Y2492">
        <v>246</v>
      </c>
      <c r="Z2492">
        <v>2</v>
      </c>
      <c r="AA2492">
        <v>7</v>
      </c>
      <c r="AB2492">
        <v>5</v>
      </c>
      <c r="AC2492">
        <v>1</v>
      </c>
      <c r="AD2492">
        <v>0</v>
      </c>
      <c r="AE2492">
        <v>2</v>
      </c>
      <c r="AF2492">
        <v>0</v>
      </c>
      <c r="AG2492">
        <v>1</v>
      </c>
      <c r="AH2492">
        <v>2</v>
      </c>
      <c r="AI2492">
        <v>0</v>
      </c>
      <c r="AJ2492">
        <v>0</v>
      </c>
      <c r="AK2492">
        <v>6</v>
      </c>
      <c r="AL2492">
        <v>2</v>
      </c>
      <c r="AM2492">
        <v>1</v>
      </c>
      <c r="AN2492">
        <v>2</v>
      </c>
      <c r="AT2492">
        <v>1</v>
      </c>
      <c r="AU2492">
        <v>5</v>
      </c>
      <c r="AV2492">
        <v>431</v>
      </c>
      <c r="AW2492">
        <v>431</v>
      </c>
      <c r="AX2492">
        <v>670</v>
      </c>
      <c r="BA2492">
        <v>1</v>
      </c>
      <c r="BC2492" t="s">
        <v>5085</v>
      </c>
      <c r="BD2492" s="4">
        <v>43282.966446759259</v>
      </c>
      <c r="BE2492" s="4">
        <v>43282.971018518518</v>
      </c>
      <c r="BF2492" s="4">
        <v>43282.971018518518</v>
      </c>
      <c r="BG2492" t="s">
        <v>373</v>
      </c>
      <c r="BH2492" t="s">
        <v>374</v>
      </c>
      <c r="BI2492" t="s">
        <v>85</v>
      </c>
    </row>
    <row r="2493" spans="1:61" x14ac:dyDescent="0.3">
      <c r="A2493" t="str">
        <f>"200192C0200"</f>
        <v>200192C0200</v>
      </c>
      <c r="B2493" t="s">
        <v>5086</v>
      </c>
      <c r="C2493">
        <v>20</v>
      </c>
      <c r="D2493" t="s">
        <v>79</v>
      </c>
      <c r="E2493">
        <v>12</v>
      </c>
      <c r="F2493" t="s">
        <v>5082</v>
      </c>
      <c r="G2493">
        <v>192</v>
      </c>
      <c r="H2493">
        <v>2</v>
      </c>
      <c r="I2493" t="s">
        <v>89</v>
      </c>
      <c r="J2493">
        <v>0</v>
      </c>
      <c r="K2493">
        <v>2</v>
      </c>
      <c r="L2493">
        <v>2</v>
      </c>
      <c r="M2493">
        <v>264</v>
      </c>
      <c r="N2493">
        <v>428</v>
      </c>
      <c r="O2493">
        <v>0</v>
      </c>
      <c r="P2493">
        <v>428</v>
      </c>
      <c r="Q2493">
        <v>28</v>
      </c>
      <c r="R2493">
        <v>73</v>
      </c>
      <c r="S2493">
        <v>5</v>
      </c>
      <c r="T2493">
        <v>16</v>
      </c>
      <c r="U2493">
        <v>32</v>
      </c>
      <c r="V2493">
        <v>12</v>
      </c>
      <c r="W2493">
        <v>5</v>
      </c>
      <c r="X2493">
        <v>8</v>
      </c>
      <c r="Y2493">
        <v>206</v>
      </c>
      <c r="Z2493">
        <v>7</v>
      </c>
      <c r="AA2493">
        <v>3</v>
      </c>
      <c r="AB2493">
        <v>5</v>
      </c>
      <c r="AC2493">
        <v>1</v>
      </c>
      <c r="AD2493">
        <v>0</v>
      </c>
      <c r="AE2493">
        <v>0</v>
      </c>
      <c r="AF2493">
        <v>1</v>
      </c>
      <c r="AG2493">
        <v>0</v>
      </c>
      <c r="AH2493">
        <v>2</v>
      </c>
      <c r="AI2493">
        <v>0</v>
      </c>
      <c r="AJ2493">
        <v>0</v>
      </c>
      <c r="AK2493">
        <v>4</v>
      </c>
      <c r="AL2493">
        <v>3</v>
      </c>
      <c r="AM2493">
        <v>0</v>
      </c>
      <c r="AN2493">
        <v>0</v>
      </c>
      <c r="AT2493">
        <v>0</v>
      </c>
      <c r="AU2493">
        <v>15</v>
      </c>
      <c r="AV2493">
        <v>426</v>
      </c>
      <c r="AW2493">
        <v>426</v>
      </c>
      <c r="AX2493">
        <v>670</v>
      </c>
      <c r="BA2493">
        <v>1</v>
      </c>
      <c r="BC2493" t="s">
        <v>5087</v>
      </c>
      <c r="BD2493" s="4">
        <v>43282.986655092594</v>
      </c>
      <c r="BE2493" s="4">
        <v>43282.990949074076</v>
      </c>
      <c r="BF2493" s="4">
        <v>43282.990949074076</v>
      </c>
      <c r="BG2493" t="s">
        <v>373</v>
      </c>
      <c r="BH2493" t="s">
        <v>374</v>
      </c>
      <c r="BI2493" t="s">
        <v>85</v>
      </c>
    </row>
    <row r="2494" spans="1:61" x14ac:dyDescent="0.3">
      <c r="A2494" t="str">
        <f>"200459B0100"</f>
        <v>200459B0100</v>
      </c>
      <c r="B2494" t="s">
        <v>5088</v>
      </c>
      <c r="C2494">
        <v>20</v>
      </c>
      <c r="D2494" t="s">
        <v>79</v>
      </c>
      <c r="E2494">
        <v>12</v>
      </c>
      <c r="F2494" t="s">
        <v>5082</v>
      </c>
      <c r="G2494">
        <v>459</v>
      </c>
      <c r="H2494">
        <v>1</v>
      </c>
      <c r="I2494" t="s">
        <v>81</v>
      </c>
      <c r="J2494">
        <v>0</v>
      </c>
      <c r="K2494">
        <v>1</v>
      </c>
      <c r="L2494">
        <v>2</v>
      </c>
      <c r="M2494">
        <v>217</v>
      </c>
      <c r="N2494">
        <v>390</v>
      </c>
      <c r="O2494">
        <v>0</v>
      </c>
      <c r="P2494">
        <v>389</v>
      </c>
      <c r="Q2494">
        <v>8</v>
      </c>
      <c r="R2494">
        <v>45</v>
      </c>
      <c r="S2494">
        <v>7</v>
      </c>
      <c r="T2494">
        <v>8</v>
      </c>
      <c r="U2494">
        <v>24</v>
      </c>
      <c r="V2494">
        <v>6</v>
      </c>
      <c r="W2494">
        <v>2</v>
      </c>
      <c r="X2494">
        <v>3</v>
      </c>
      <c r="Y2494">
        <v>257</v>
      </c>
      <c r="Z2494">
        <v>4</v>
      </c>
      <c r="AA2494">
        <v>0</v>
      </c>
      <c r="AB2494">
        <v>5</v>
      </c>
      <c r="AC2494">
        <v>1</v>
      </c>
      <c r="AD2494">
        <v>0</v>
      </c>
      <c r="AE2494">
        <v>0</v>
      </c>
      <c r="AF2494">
        <v>0</v>
      </c>
      <c r="AG2494">
        <v>1</v>
      </c>
      <c r="AH2494">
        <v>1</v>
      </c>
      <c r="AI2494">
        <v>0</v>
      </c>
      <c r="AJ2494">
        <v>0</v>
      </c>
      <c r="AK2494">
        <v>4</v>
      </c>
      <c r="AL2494">
        <v>1</v>
      </c>
      <c r="AM2494">
        <v>0</v>
      </c>
      <c r="AN2494">
        <v>4</v>
      </c>
      <c r="AT2494">
        <v>0</v>
      </c>
      <c r="AU2494">
        <v>8</v>
      </c>
      <c r="AV2494">
        <v>389</v>
      </c>
      <c r="AW2494">
        <v>389</v>
      </c>
      <c r="AX2494">
        <v>585</v>
      </c>
      <c r="BA2494">
        <v>1</v>
      </c>
      <c r="BC2494" t="s">
        <v>5089</v>
      </c>
      <c r="BD2494" s="4">
        <v>43282.993564814817</v>
      </c>
      <c r="BE2494" s="4">
        <v>43282.996666666666</v>
      </c>
      <c r="BF2494" s="4">
        <v>43282.996666666666</v>
      </c>
      <c r="BG2494" t="s">
        <v>373</v>
      </c>
      <c r="BH2494" t="s">
        <v>374</v>
      </c>
      <c r="BI2494" t="s">
        <v>85</v>
      </c>
    </row>
    <row r="2495" spans="1:61" x14ac:dyDescent="0.3">
      <c r="A2495" t="str">
        <f>"200459C0100"</f>
        <v>200459C0100</v>
      </c>
      <c r="B2495" t="s">
        <v>5090</v>
      </c>
      <c r="C2495">
        <v>20</v>
      </c>
      <c r="D2495" t="s">
        <v>79</v>
      </c>
      <c r="E2495">
        <v>12</v>
      </c>
      <c r="F2495" t="s">
        <v>5082</v>
      </c>
      <c r="G2495">
        <v>459</v>
      </c>
      <c r="H2495">
        <v>1</v>
      </c>
      <c r="I2495" t="s">
        <v>89</v>
      </c>
      <c r="J2495">
        <v>0</v>
      </c>
      <c r="K2495">
        <v>1</v>
      </c>
      <c r="L2495">
        <v>2</v>
      </c>
      <c r="M2495">
        <v>214</v>
      </c>
      <c r="N2495">
        <v>385</v>
      </c>
      <c r="O2495">
        <v>0</v>
      </c>
      <c r="P2495">
        <v>385</v>
      </c>
      <c r="Q2495">
        <v>17</v>
      </c>
      <c r="R2495">
        <v>49</v>
      </c>
      <c r="S2495">
        <v>10</v>
      </c>
      <c r="T2495">
        <v>5</v>
      </c>
      <c r="U2495">
        <v>21</v>
      </c>
      <c r="V2495">
        <v>7</v>
      </c>
      <c r="W2495">
        <v>3</v>
      </c>
      <c r="X2495">
        <v>7</v>
      </c>
      <c r="Y2495">
        <v>227</v>
      </c>
      <c r="Z2495">
        <v>7</v>
      </c>
      <c r="AA2495">
        <v>3</v>
      </c>
      <c r="AB2495">
        <v>9</v>
      </c>
      <c r="AC2495">
        <v>1</v>
      </c>
      <c r="AD2495">
        <v>0</v>
      </c>
      <c r="AE2495">
        <v>0</v>
      </c>
      <c r="AF2495">
        <v>0</v>
      </c>
      <c r="AG2495">
        <v>0</v>
      </c>
      <c r="AH2495">
        <v>2</v>
      </c>
      <c r="AI2495">
        <v>0</v>
      </c>
      <c r="AJ2495">
        <v>0</v>
      </c>
      <c r="AK2495">
        <v>9</v>
      </c>
      <c r="AL2495">
        <v>1</v>
      </c>
      <c r="AM2495">
        <v>0</v>
      </c>
      <c r="AN2495">
        <v>1</v>
      </c>
      <c r="AT2495">
        <v>0</v>
      </c>
      <c r="AU2495">
        <v>8</v>
      </c>
      <c r="AV2495">
        <v>385</v>
      </c>
      <c r="AW2495">
        <v>387</v>
      </c>
      <c r="AX2495">
        <v>585</v>
      </c>
      <c r="BA2495">
        <v>1</v>
      </c>
      <c r="BC2495" t="s">
        <v>5091</v>
      </c>
      <c r="BD2495" s="4">
        <v>43282.992835648147</v>
      </c>
      <c r="BE2495" s="4">
        <v>43282.997662037036</v>
      </c>
      <c r="BF2495" s="4">
        <v>43282.997662037036</v>
      </c>
      <c r="BG2495" t="s">
        <v>373</v>
      </c>
      <c r="BH2495" t="s">
        <v>374</v>
      </c>
      <c r="BI2495" t="s">
        <v>85</v>
      </c>
    </row>
    <row r="2496" spans="1:61" x14ac:dyDescent="0.3">
      <c r="A2496" t="str">
        <f>"200459C0200"</f>
        <v>200459C0200</v>
      </c>
      <c r="B2496" t="s">
        <v>5092</v>
      </c>
      <c r="C2496">
        <v>20</v>
      </c>
      <c r="D2496" t="s">
        <v>79</v>
      </c>
      <c r="E2496">
        <v>12</v>
      </c>
      <c r="F2496" t="s">
        <v>5082</v>
      </c>
      <c r="G2496">
        <v>459</v>
      </c>
      <c r="H2496">
        <v>2</v>
      </c>
      <c r="I2496" t="s">
        <v>89</v>
      </c>
      <c r="J2496">
        <v>0</v>
      </c>
      <c r="K2496">
        <v>1</v>
      </c>
      <c r="L2496">
        <v>2</v>
      </c>
      <c r="M2496">
        <v>239</v>
      </c>
      <c r="N2496">
        <v>368</v>
      </c>
      <c r="O2496">
        <v>0</v>
      </c>
      <c r="P2496">
        <v>368</v>
      </c>
      <c r="Q2496">
        <v>17</v>
      </c>
      <c r="R2496">
        <v>47</v>
      </c>
      <c r="S2496">
        <v>4</v>
      </c>
      <c r="T2496">
        <v>2</v>
      </c>
      <c r="U2496">
        <v>19</v>
      </c>
      <c r="V2496">
        <v>14</v>
      </c>
      <c r="W2496">
        <v>2</v>
      </c>
      <c r="X2496">
        <v>4</v>
      </c>
      <c r="Y2496">
        <v>228</v>
      </c>
      <c r="Z2496">
        <v>7</v>
      </c>
      <c r="AA2496">
        <v>1</v>
      </c>
      <c r="AB2496">
        <v>7</v>
      </c>
      <c r="AC2496">
        <v>0</v>
      </c>
      <c r="AD2496">
        <v>0</v>
      </c>
      <c r="AE2496">
        <v>0</v>
      </c>
      <c r="AF2496">
        <v>0</v>
      </c>
      <c r="AG2496">
        <v>1</v>
      </c>
      <c r="AH2496">
        <v>0</v>
      </c>
      <c r="AI2496">
        <v>0</v>
      </c>
      <c r="AJ2496">
        <v>0</v>
      </c>
      <c r="AK2496">
        <v>5</v>
      </c>
      <c r="AL2496">
        <v>1</v>
      </c>
      <c r="AM2496">
        <v>0</v>
      </c>
      <c r="AN2496">
        <v>1</v>
      </c>
      <c r="AT2496">
        <v>0</v>
      </c>
      <c r="AU2496">
        <v>8</v>
      </c>
      <c r="AV2496">
        <v>368</v>
      </c>
      <c r="AW2496">
        <v>368</v>
      </c>
      <c r="AX2496">
        <v>585</v>
      </c>
      <c r="BA2496">
        <v>1</v>
      </c>
      <c r="BC2496" t="s">
        <v>5093</v>
      </c>
      <c r="BD2496" s="4">
        <v>43282.993159722224</v>
      </c>
      <c r="BE2496" s="4">
        <v>43282.995671296296</v>
      </c>
      <c r="BF2496" s="4">
        <v>43282.995671296296</v>
      </c>
      <c r="BG2496" t="s">
        <v>373</v>
      </c>
      <c r="BH2496" t="s">
        <v>374</v>
      </c>
      <c r="BI2496" t="s">
        <v>85</v>
      </c>
    </row>
    <row r="2497" spans="1:61" x14ac:dyDescent="0.3">
      <c r="A2497" t="str">
        <f>"200460B0100"</f>
        <v>200460B0100</v>
      </c>
      <c r="B2497" t="s">
        <v>5094</v>
      </c>
      <c r="C2497">
        <v>20</v>
      </c>
      <c r="D2497" t="s">
        <v>79</v>
      </c>
      <c r="E2497">
        <v>12</v>
      </c>
      <c r="F2497" t="s">
        <v>5082</v>
      </c>
      <c r="G2497">
        <v>460</v>
      </c>
      <c r="H2497">
        <v>1</v>
      </c>
      <c r="I2497" t="s">
        <v>81</v>
      </c>
      <c r="J2497">
        <v>0</v>
      </c>
      <c r="K2497">
        <v>1</v>
      </c>
      <c r="L2497">
        <v>2</v>
      </c>
      <c r="M2497">
        <v>202</v>
      </c>
      <c r="N2497">
        <v>525</v>
      </c>
      <c r="O2497">
        <v>0</v>
      </c>
      <c r="P2497">
        <v>323</v>
      </c>
      <c r="Q2497">
        <v>13</v>
      </c>
      <c r="R2497">
        <v>54</v>
      </c>
      <c r="S2497">
        <v>5</v>
      </c>
      <c r="T2497">
        <v>5</v>
      </c>
      <c r="U2497">
        <v>18</v>
      </c>
      <c r="V2497">
        <v>7</v>
      </c>
      <c r="W2497" t="s">
        <v>100</v>
      </c>
      <c r="X2497">
        <v>3</v>
      </c>
      <c r="Y2497">
        <v>193</v>
      </c>
      <c r="Z2497">
        <v>10</v>
      </c>
      <c r="AA2497" t="s">
        <v>100</v>
      </c>
      <c r="AB2497">
        <v>3</v>
      </c>
      <c r="AC2497">
        <v>1</v>
      </c>
      <c r="AD2497" t="s">
        <v>100</v>
      </c>
      <c r="AE2497" t="s">
        <v>100</v>
      </c>
      <c r="AF2497" t="s">
        <v>100</v>
      </c>
      <c r="AG2497" t="s">
        <v>100</v>
      </c>
      <c r="AH2497" t="s">
        <v>100</v>
      </c>
      <c r="AI2497" t="s">
        <v>100</v>
      </c>
      <c r="AJ2497" t="s">
        <v>100</v>
      </c>
      <c r="AK2497">
        <v>2</v>
      </c>
      <c r="AL2497" t="s">
        <v>100</v>
      </c>
      <c r="AM2497">
        <v>2</v>
      </c>
      <c r="AN2497" t="s">
        <v>100</v>
      </c>
      <c r="AT2497" t="s">
        <v>100</v>
      </c>
      <c r="AU2497" t="s">
        <v>100</v>
      </c>
      <c r="AV2497" t="s">
        <v>100</v>
      </c>
      <c r="AW2497">
        <v>316</v>
      </c>
      <c r="AX2497">
        <v>503</v>
      </c>
      <c r="AZ2497" t="s">
        <v>101</v>
      </c>
      <c r="BA2497">
        <v>1</v>
      </c>
      <c r="BC2497" t="s">
        <v>5095</v>
      </c>
      <c r="BD2497" s="4">
        <v>43282.889282407406</v>
      </c>
      <c r="BE2497" s="4">
        <v>43282.893252314818</v>
      </c>
      <c r="BF2497" s="4">
        <v>43282.893252314818</v>
      </c>
      <c r="BG2497" t="s">
        <v>373</v>
      </c>
      <c r="BH2497" t="s">
        <v>374</v>
      </c>
      <c r="BI2497" t="s">
        <v>85</v>
      </c>
    </row>
    <row r="2498" spans="1:61" x14ac:dyDescent="0.3">
      <c r="A2498" t="str">
        <f>"200460C0100"</f>
        <v>200460C0100</v>
      </c>
      <c r="B2498" t="s">
        <v>5096</v>
      </c>
      <c r="C2498">
        <v>20</v>
      </c>
      <c r="D2498" t="s">
        <v>79</v>
      </c>
      <c r="E2498">
        <v>12</v>
      </c>
      <c r="F2498" t="s">
        <v>5082</v>
      </c>
      <c r="G2498">
        <v>460</v>
      </c>
      <c r="H2498">
        <v>1</v>
      </c>
      <c r="I2498" t="s">
        <v>89</v>
      </c>
      <c r="J2498">
        <v>0</v>
      </c>
      <c r="K2498">
        <v>1</v>
      </c>
      <c r="L2498">
        <v>2</v>
      </c>
      <c r="M2498">
        <v>191</v>
      </c>
      <c r="N2498">
        <v>336</v>
      </c>
      <c r="O2498">
        <v>3</v>
      </c>
      <c r="P2498">
        <v>332</v>
      </c>
      <c r="Q2498">
        <v>18</v>
      </c>
      <c r="R2498">
        <v>45</v>
      </c>
      <c r="S2498">
        <v>5</v>
      </c>
      <c r="T2498">
        <v>2</v>
      </c>
      <c r="U2498">
        <v>28</v>
      </c>
      <c r="V2498">
        <v>2</v>
      </c>
      <c r="W2498">
        <v>1</v>
      </c>
      <c r="X2498">
        <v>1</v>
      </c>
      <c r="Y2498">
        <v>203</v>
      </c>
      <c r="Z2498">
        <v>6</v>
      </c>
      <c r="AA2498">
        <v>0</v>
      </c>
      <c r="AB2498">
        <v>6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5</v>
      </c>
      <c r="AL2498">
        <v>1</v>
      </c>
      <c r="AM2498">
        <v>0</v>
      </c>
      <c r="AN2498">
        <v>1</v>
      </c>
      <c r="AT2498" t="s">
        <v>100</v>
      </c>
      <c r="AU2498">
        <v>8</v>
      </c>
      <c r="AV2498">
        <v>332</v>
      </c>
      <c r="AW2498">
        <v>332</v>
      </c>
      <c r="AX2498">
        <v>502</v>
      </c>
      <c r="AZ2498" t="s">
        <v>101</v>
      </c>
      <c r="BA2498">
        <v>1</v>
      </c>
      <c r="BC2498" t="s">
        <v>5097</v>
      </c>
      <c r="BD2498" s="4">
        <v>43282.885416666664</v>
      </c>
      <c r="BE2498" s="4">
        <v>43282.889293981483</v>
      </c>
      <c r="BF2498" s="4">
        <v>43282.889293981483</v>
      </c>
      <c r="BG2498" t="s">
        <v>373</v>
      </c>
      <c r="BH2498" t="s">
        <v>374</v>
      </c>
      <c r="BI2498" t="s">
        <v>85</v>
      </c>
    </row>
    <row r="2499" spans="1:61" x14ac:dyDescent="0.3">
      <c r="A2499" t="str">
        <f>"200460C0200"</f>
        <v>200460C0200</v>
      </c>
      <c r="B2499" t="s">
        <v>5098</v>
      </c>
      <c r="C2499">
        <v>20</v>
      </c>
      <c r="D2499" t="s">
        <v>79</v>
      </c>
      <c r="E2499">
        <v>12</v>
      </c>
      <c r="F2499" t="s">
        <v>5082</v>
      </c>
      <c r="G2499">
        <v>460</v>
      </c>
      <c r="H2499">
        <v>2</v>
      </c>
      <c r="I2499" t="s">
        <v>89</v>
      </c>
      <c r="J2499">
        <v>0</v>
      </c>
      <c r="K2499">
        <v>1</v>
      </c>
      <c r="L2499">
        <v>2</v>
      </c>
      <c r="M2499">
        <v>171</v>
      </c>
      <c r="N2499">
        <v>353</v>
      </c>
      <c r="O2499">
        <v>0</v>
      </c>
      <c r="P2499">
        <v>0</v>
      </c>
      <c r="Q2499">
        <v>17</v>
      </c>
      <c r="R2499">
        <v>50</v>
      </c>
      <c r="S2499">
        <v>5</v>
      </c>
      <c r="T2499">
        <v>7</v>
      </c>
      <c r="U2499">
        <v>22</v>
      </c>
      <c r="V2499">
        <v>7</v>
      </c>
      <c r="W2499">
        <v>1</v>
      </c>
      <c r="X2499">
        <v>4</v>
      </c>
      <c r="Y2499">
        <v>204</v>
      </c>
      <c r="Z2499">
        <v>3</v>
      </c>
      <c r="AA2499">
        <v>1</v>
      </c>
      <c r="AB2499">
        <v>12</v>
      </c>
      <c r="AC2499">
        <v>1</v>
      </c>
      <c r="AD2499">
        <v>0</v>
      </c>
      <c r="AE2499">
        <v>0</v>
      </c>
      <c r="AF2499">
        <v>0</v>
      </c>
      <c r="AG2499">
        <v>2</v>
      </c>
      <c r="AH2499">
        <v>3</v>
      </c>
      <c r="AI2499">
        <v>0</v>
      </c>
      <c r="AJ2499">
        <v>0</v>
      </c>
      <c r="AK2499">
        <v>3</v>
      </c>
      <c r="AL2499">
        <v>0</v>
      </c>
      <c r="AM2499">
        <v>0</v>
      </c>
      <c r="AN2499">
        <v>3</v>
      </c>
      <c r="AT2499">
        <v>0</v>
      </c>
      <c r="AU2499">
        <v>8</v>
      </c>
      <c r="AV2499">
        <v>353</v>
      </c>
      <c r="AW2499">
        <v>353</v>
      </c>
      <c r="AX2499">
        <v>502</v>
      </c>
      <c r="BA2499">
        <v>1</v>
      </c>
      <c r="BC2499" t="s">
        <v>5099</v>
      </c>
      <c r="BD2499" s="4">
        <v>43282.877789351849</v>
      </c>
      <c r="BE2499" s="4">
        <v>43282.881157407406</v>
      </c>
      <c r="BF2499" s="4">
        <v>43282.881157407406</v>
      </c>
      <c r="BG2499" t="s">
        <v>373</v>
      </c>
      <c r="BH2499" t="s">
        <v>374</v>
      </c>
      <c r="BI2499" t="s">
        <v>85</v>
      </c>
    </row>
    <row r="2500" spans="1:61" x14ac:dyDescent="0.3">
      <c r="A2500" t="str">
        <f>"200719B0100"</f>
        <v>200719B0100</v>
      </c>
      <c r="B2500" t="s">
        <v>5100</v>
      </c>
      <c r="C2500">
        <v>20</v>
      </c>
      <c r="D2500" t="s">
        <v>79</v>
      </c>
      <c r="E2500">
        <v>12</v>
      </c>
      <c r="F2500" t="s">
        <v>5082</v>
      </c>
      <c r="G2500">
        <v>719</v>
      </c>
      <c r="H2500">
        <v>1</v>
      </c>
      <c r="I2500" t="s">
        <v>81</v>
      </c>
      <c r="J2500">
        <v>0</v>
      </c>
      <c r="K2500">
        <v>1</v>
      </c>
      <c r="L2500">
        <v>2</v>
      </c>
      <c r="M2500">
        <v>216</v>
      </c>
      <c r="N2500">
        <v>335</v>
      </c>
      <c r="O2500">
        <v>0</v>
      </c>
      <c r="P2500">
        <v>335</v>
      </c>
      <c r="Q2500">
        <v>15</v>
      </c>
      <c r="R2500">
        <v>55</v>
      </c>
      <c r="S2500">
        <v>5</v>
      </c>
      <c r="T2500">
        <v>8</v>
      </c>
      <c r="U2500">
        <v>13</v>
      </c>
      <c r="V2500">
        <v>5</v>
      </c>
      <c r="W2500">
        <v>4</v>
      </c>
      <c r="X2500">
        <v>3</v>
      </c>
      <c r="Y2500">
        <v>194</v>
      </c>
      <c r="Z2500">
        <v>4</v>
      </c>
      <c r="AA2500">
        <v>1</v>
      </c>
      <c r="AB2500">
        <v>2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2</v>
      </c>
      <c r="AI2500">
        <v>0</v>
      </c>
      <c r="AJ2500">
        <v>0</v>
      </c>
      <c r="AK2500">
        <v>5</v>
      </c>
      <c r="AL2500">
        <v>0</v>
      </c>
      <c r="AM2500">
        <v>0</v>
      </c>
      <c r="AN2500">
        <v>2</v>
      </c>
      <c r="AT2500">
        <v>0</v>
      </c>
      <c r="AU2500">
        <v>17</v>
      </c>
      <c r="AV2500">
        <v>335</v>
      </c>
      <c r="AW2500">
        <v>335</v>
      </c>
      <c r="AX2500">
        <v>528</v>
      </c>
      <c r="BA2500">
        <v>1</v>
      </c>
      <c r="BC2500" t="s">
        <v>5101</v>
      </c>
      <c r="BD2500" s="4">
        <v>43283.10560185185</v>
      </c>
      <c r="BE2500" s="4">
        <v>43283.112592592595</v>
      </c>
      <c r="BF2500" s="4">
        <v>43283.112592592595</v>
      </c>
      <c r="BG2500" t="s">
        <v>373</v>
      </c>
      <c r="BH2500" t="s">
        <v>374</v>
      </c>
      <c r="BI2500" t="s">
        <v>85</v>
      </c>
    </row>
    <row r="2501" spans="1:61" x14ac:dyDescent="0.3">
      <c r="A2501" t="str">
        <f>"200719C0100"</f>
        <v>200719C0100</v>
      </c>
      <c r="B2501" t="s">
        <v>5102</v>
      </c>
      <c r="C2501">
        <v>20</v>
      </c>
      <c r="D2501" t="s">
        <v>79</v>
      </c>
      <c r="E2501">
        <v>12</v>
      </c>
      <c r="F2501" t="s">
        <v>5082</v>
      </c>
      <c r="G2501">
        <v>719</v>
      </c>
      <c r="H2501">
        <v>1</v>
      </c>
      <c r="I2501" t="s">
        <v>89</v>
      </c>
      <c r="J2501">
        <v>0</v>
      </c>
      <c r="K2501">
        <v>1</v>
      </c>
      <c r="L2501">
        <v>2</v>
      </c>
      <c r="M2501">
        <v>225</v>
      </c>
      <c r="N2501">
        <v>325</v>
      </c>
      <c r="O2501">
        <v>1</v>
      </c>
      <c r="P2501" t="s">
        <v>100</v>
      </c>
      <c r="Q2501">
        <v>18</v>
      </c>
      <c r="R2501">
        <v>58</v>
      </c>
      <c r="S2501">
        <v>2</v>
      </c>
      <c r="T2501">
        <v>4</v>
      </c>
      <c r="U2501">
        <v>15</v>
      </c>
      <c r="V2501">
        <v>4</v>
      </c>
      <c r="W2501">
        <v>1</v>
      </c>
      <c r="X2501">
        <v>5</v>
      </c>
      <c r="Y2501">
        <v>177</v>
      </c>
      <c r="Z2501">
        <v>6</v>
      </c>
      <c r="AA2501">
        <v>1</v>
      </c>
      <c r="AB2501">
        <v>10</v>
      </c>
      <c r="AC2501">
        <v>0</v>
      </c>
      <c r="AD2501">
        <v>0</v>
      </c>
      <c r="AE2501">
        <v>0</v>
      </c>
      <c r="AF2501">
        <v>1</v>
      </c>
      <c r="AG2501">
        <v>3</v>
      </c>
      <c r="AH2501">
        <v>2</v>
      </c>
      <c r="AI2501">
        <v>0</v>
      </c>
      <c r="AJ2501">
        <v>0</v>
      </c>
      <c r="AK2501">
        <v>3</v>
      </c>
      <c r="AL2501">
        <v>6</v>
      </c>
      <c r="AM2501">
        <v>0</v>
      </c>
      <c r="AN2501">
        <v>0</v>
      </c>
      <c r="AT2501">
        <v>0</v>
      </c>
      <c r="AU2501">
        <v>9</v>
      </c>
      <c r="AV2501">
        <v>325</v>
      </c>
      <c r="AW2501">
        <v>325</v>
      </c>
      <c r="AX2501">
        <v>528</v>
      </c>
      <c r="BA2501">
        <v>1</v>
      </c>
      <c r="BC2501" t="s">
        <v>5103</v>
      </c>
      <c r="BD2501" s="4">
        <v>43283.105613425927</v>
      </c>
      <c r="BE2501" s="4">
        <v>43283.113680555558</v>
      </c>
      <c r="BF2501" s="4">
        <v>43283.113680555558</v>
      </c>
      <c r="BG2501" t="s">
        <v>373</v>
      </c>
      <c r="BH2501" t="s">
        <v>374</v>
      </c>
      <c r="BI2501" t="s">
        <v>85</v>
      </c>
    </row>
    <row r="2502" spans="1:61" x14ac:dyDescent="0.3">
      <c r="A2502" t="str">
        <f>"200719C0200"</f>
        <v>200719C0200</v>
      </c>
      <c r="B2502" t="s">
        <v>5104</v>
      </c>
      <c r="C2502">
        <v>20</v>
      </c>
      <c r="D2502" t="s">
        <v>79</v>
      </c>
      <c r="E2502">
        <v>12</v>
      </c>
      <c r="F2502" t="s">
        <v>5082</v>
      </c>
      <c r="G2502">
        <v>719</v>
      </c>
      <c r="H2502">
        <v>2</v>
      </c>
      <c r="I2502" t="s">
        <v>89</v>
      </c>
      <c r="J2502">
        <v>0</v>
      </c>
      <c r="K2502">
        <v>1</v>
      </c>
      <c r="L2502">
        <v>2</v>
      </c>
      <c r="M2502">
        <v>215</v>
      </c>
      <c r="N2502">
        <v>334</v>
      </c>
      <c r="O2502">
        <v>1</v>
      </c>
      <c r="P2502">
        <v>331</v>
      </c>
      <c r="Q2502">
        <v>23</v>
      </c>
      <c r="R2502">
        <v>50</v>
      </c>
      <c r="S2502">
        <v>4</v>
      </c>
      <c r="T2502">
        <v>8</v>
      </c>
      <c r="U2502">
        <v>26</v>
      </c>
      <c r="V2502">
        <v>1</v>
      </c>
      <c r="W2502">
        <v>2</v>
      </c>
      <c r="X2502">
        <v>4</v>
      </c>
      <c r="Y2502">
        <v>188</v>
      </c>
      <c r="Z2502">
        <v>9</v>
      </c>
      <c r="AA2502">
        <v>1</v>
      </c>
      <c r="AB2502">
        <v>4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1</v>
      </c>
      <c r="AI2502">
        <v>0</v>
      </c>
      <c r="AJ2502">
        <v>0</v>
      </c>
      <c r="AK2502">
        <v>6</v>
      </c>
      <c r="AL2502">
        <v>4</v>
      </c>
      <c r="AM2502">
        <v>0</v>
      </c>
      <c r="AN2502">
        <v>0</v>
      </c>
      <c r="AT2502">
        <v>1</v>
      </c>
      <c r="AU2502">
        <v>5</v>
      </c>
      <c r="AV2502">
        <v>334</v>
      </c>
      <c r="AW2502">
        <v>337</v>
      </c>
      <c r="AX2502">
        <v>527</v>
      </c>
      <c r="BA2502">
        <v>1</v>
      </c>
      <c r="BC2502" t="s">
        <v>5105</v>
      </c>
      <c r="BD2502" s="4">
        <v>43283.005474537036</v>
      </c>
      <c r="BE2502" s="4">
        <v>43283.008726851855</v>
      </c>
      <c r="BF2502" s="4">
        <v>43283.008726851855</v>
      </c>
      <c r="BG2502" t="s">
        <v>373</v>
      </c>
      <c r="BH2502" t="s">
        <v>374</v>
      </c>
      <c r="BI2502" t="s">
        <v>85</v>
      </c>
    </row>
    <row r="2503" spans="1:61" x14ac:dyDescent="0.3">
      <c r="A2503" t="str">
        <f>"200720B0100"</f>
        <v>200720B0100</v>
      </c>
      <c r="B2503" t="s">
        <v>5106</v>
      </c>
      <c r="C2503">
        <v>20</v>
      </c>
      <c r="D2503" t="s">
        <v>79</v>
      </c>
      <c r="E2503">
        <v>12</v>
      </c>
      <c r="F2503" t="s">
        <v>5082</v>
      </c>
      <c r="G2503">
        <v>720</v>
      </c>
      <c r="H2503">
        <v>1</v>
      </c>
      <c r="I2503" t="s">
        <v>81</v>
      </c>
      <c r="J2503">
        <v>0</v>
      </c>
      <c r="K2503">
        <v>1</v>
      </c>
      <c r="L2503">
        <v>2</v>
      </c>
      <c r="M2503">
        <v>172</v>
      </c>
      <c r="N2503" t="s">
        <v>315</v>
      </c>
      <c r="O2503">
        <v>2</v>
      </c>
      <c r="P2503">
        <v>374</v>
      </c>
      <c r="Q2503">
        <v>17</v>
      </c>
      <c r="R2503">
        <v>55</v>
      </c>
      <c r="S2503">
        <v>4</v>
      </c>
      <c r="T2503">
        <v>11</v>
      </c>
      <c r="U2503">
        <v>17</v>
      </c>
      <c r="V2503">
        <v>12</v>
      </c>
      <c r="W2503">
        <v>6</v>
      </c>
      <c r="X2503">
        <v>4</v>
      </c>
      <c r="Y2503">
        <v>216</v>
      </c>
      <c r="Z2503">
        <v>5</v>
      </c>
      <c r="AA2503">
        <v>0</v>
      </c>
      <c r="AB2503">
        <v>3</v>
      </c>
      <c r="AC2503">
        <v>0</v>
      </c>
      <c r="AD2503">
        <v>0</v>
      </c>
      <c r="AE2503">
        <v>0</v>
      </c>
      <c r="AF2503">
        <v>0</v>
      </c>
      <c r="AG2503">
        <v>2</v>
      </c>
      <c r="AH2503">
        <v>2</v>
      </c>
      <c r="AI2503">
        <v>0</v>
      </c>
      <c r="AJ2503">
        <v>0</v>
      </c>
      <c r="AK2503">
        <v>1</v>
      </c>
      <c r="AL2503">
        <v>6</v>
      </c>
      <c r="AM2503">
        <v>0</v>
      </c>
      <c r="AN2503">
        <v>0</v>
      </c>
      <c r="AT2503">
        <v>0</v>
      </c>
      <c r="AU2503">
        <v>13</v>
      </c>
      <c r="AV2503">
        <v>374</v>
      </c>
      <c r="AW2503">
        <v>374</v>
      </c>
      <c r="AX2503">
        <v>524</v>
      </c>
      <c r="BA2503">
        <v>1</v>
      </c>
      <c r="BC2503" t="s">
        <v>5107</v>
      </c>
      <c r="BD2503" s="4">
        <v>43283.02915509259</v>
      </c>
      <c r="BE2503" s="4">
        <v>43283.033333333333</v>
      </c>
      <c r="BF2503" s="4">
        <v>43283.033333333333</v>
      </c>
      <c r="BG2503" t="s">
        <v>373</v>
      </c>
      <c r="BH2503" t="s">
        <v>374</v>
      </c>
      <c r="BI2503" t="s">
        <v>85</v>
      </c>
    </row>
    <row r="2504" spans="1:61" x14ac:dyDescent="0.3">
      <c r="A2504" t="str">
        <f>"200720C0100"</f>
        <v>200720C0100</v>
      </c>
      <c r="B2504" t="s">
        <v>5108</v>
      </c>
      <c r="C2504">
        <v>20</v>
      </c>
      <c r="D2504" t="s">
        <v>79</v>
      </c>
      <c r="E2504">
        <v>12</v>
      </c>
      <c r="F2504" t="s">
        <v>5082</v>
      </c>
      <c r="G2504">
        <v>720</v>
      </c>
      <c r="H2504">
        <v>1</v>
      </c>
      <c r="I2504" t="s">
        <v>89</v>
      </c>
      <c r="J2504">
        <v>0</v>
      </c>
      <c r="K2504">
        <v>1</v>
      </c>
      <c r="L2504">
        <v>2</v>
      </c>
      <c r="M2504">
        <v>178</v>
      </c>
      <c r="N2504">
        <v>368</v>
      </c>
      <c r="O2504">
        <v>1</v>
      </c>
      <c r="P2504">
        <v>368</v>
      </c>
      <c r="Q2504">
        <v>23</v>
      </c>
      <c r="R2504">
        <v>61</v>
      </c>
      <c r="S2504">
        <v>4</v>
      </c>
      <c r="T2504">
        <v>12</v>
      </c>
      <c r="U2504">
        <v>27</v>
      </c>
      <c r="V2504">
        <v>11</v>
      </c>
      <c r="W2504">
        <v>7</v>
      </c>
      <c r="X2504">
        <v>3</v>
      </c>
      <c r="Y2504">
        <v>185</v>
      </c>
      <c r="Z2504">
        <v>6</v>
      </c>
      <c r="AA2504">
        <v>4</v>
      </c>
      <c r="AB2504">
        <v>6</v>
      </c>
      <c r="AC2504">
        <v>2</v>
      </c>
      <c r="AD2504">
        <v>1</v>
      </c>
      <c r="AE2504">
        <v>0</v>
      </c>
      <c r="AF2504">
        <v>0</v>
      </c>
      <c r="AG2504">
        <v>0</v>
      </c>
      <c r="AH2504">
        <v>2</v>
      </c>
      <c r="AI2504">
        <v>0</v>
      </c>
      <c r="AJ2504">
        <v>0</v>
      </c>
      <c r="AK2504">
        <v>4</v>
      </c>
      <c r="AL2504">
        <v>2</v>
      </c>
      <c r="AM2504">
        <v>0</v>
      </c>
      <c r="AN2504">
        <v>0</v>
      </c>
      <c r="AT2504">
        <v>0</v>
      </c>
      <c r="AU2504">
        <v>8</v>
      </c>
      <c r="AV2504">
        <v>368</v>
      </c>
      <c r="AW2504">
        <v>368</v>
      </c>
      <c r="AX2504">
        <v>524</v>
      </c>
      <c r="BA2504">
        <v>1</v>
      </c>
      <c r="BC2504" t="s">
        <v>5109</v>
      </c>
      <c r="BD2504" s="4">
        <v>43283.050023148149</v>
      </c>
      <c r="BE2504" s="4">
        <v>43283.054398148146</v>
      </c>
      <c r="BF2504" s="4">
        <v>43283.054398148146</v>
      </c>
      <c r="BG2504" t="s">
        <v>373</v>
      </c>
      <c r="BH2504" t="s">
        <v>374</v>
      </c>
      <c r="BI2504" t="s">
        <v>85</v>
      </c>
    </row>
    <row r="2505" spans="1:61" x14ac:dyDescent="0.3">
      <c r="A2505" t="str">
        <f>"200720C0200"</f>
        <v>200720C0200</v>
      </c>
      <c r="B2505" t="s">
        <v>5110</v>
      </c>
      <c r="C2505">
        <v>20</v>
      </c>
      <c r="D2505" t="s">
        <v>79</v>
      </c>
      <c r="E2505">
        <v>12</v>
      </c>
      <c r="F2505" t="s">
        <v>5082</v>
      </c>
      <c r="G2505">
        <v>720</v>
      </c>
      <c r="H2505">
        <v>2</v>
      </c>
      <c r="I2505" t="s">
        <v>89</v>
      </c>
      <c r="J2505">
        <v>0</v>
      </c>
      <c r="K2505">
        <v>1</v>
      </c>
      <c r="L2505">
        <v>2</v>
      </c>
      <c r="M2505">
        <v>184</v>
      </c>
      <c r="N2505">
        <v>361</v>
      </c>
      <c r="O2505">
        <v>1</v>
      </c>
      <c r="P2505">
        <v>355</v>
      </c>
      <c r="Q2505">
        <v>16</v>
      </c>
      <c r="R2505">
        <v>55</v>
      </c>
      <c r="S2505">
        <v>7</v>
      </c>
      <c r="T2505">
        <v>1</v>
      </c>
      <c r="U2505">
        <v>24</v>
      </c>
      <c r="V2505">
        <v>7</v>
      </c>
      <c r="W2505">
        <v>1</v>
      </c>
      <c r="X2505">
        <v>7</v>
      </c>
      <c r="Y2505">
        <v>212</v>
      </c>
      <c r="Z2505">
        <v>11</v>
      </c>
      <c r="AA2505">
        <v>0</v>
      </c>
      <c r="AB2505">
        <v>5</v>
      </c>
      <c r="AC2505">
        <v>0</v>
      </c>
      <c r="AD2505">
        <v>0</v>
      </c>
      <c r="AE2505">
        <v>0</v>
      </c>
      <c r="AF2505">
        <v>0</v>
      </c>
      <c r="AG2505">
        <v>2</v>
      </c>
      <c r="AH2505">
        <v>0</v>
      </c>
      <c r="AI2505">
        <v>0</v>
      </c>
      <c r="AJ2505">
        <v>0</v>
      </c>
      <c r="AK2505">
        <v>4</v>
      </c>
      <c r="AL2505">
        <v>3</v>
      </c>
      <c r="AM2505">
        <v>0</v>
      </c>
      <c r="AN2505">
        <v>1</v>
      </c>
      <c r="AT2505">
        <v>0</v>
      </c>
      <c r="AU2505">
        <v>5</v>
      </c>
      <c r="AV2505">
        <v>361</v>
      </c>
      <c r="AW2505">
        <v>361</v>
      </c>
      <c r="AX2505">
        <v>523</v>
      </c>
      <c r="BA2505">
        <v>1</v>
      </c>
      <c r="BC2505" t="s">
        <v>5111</v>
      </c>
      <c r="BD2505" s="4">
        <v>43283.024791666663</v>
      </c>
      <c r="BE2505" s="4">
        <v>43283.027407407404</v>
      </c>
      <c r="BF2505" s="4">
        <v>43283.027407407404</v>
      </c>
      <c r="BG2505" t="s">
        <v>373</v>
      </c>
      <c r="BH2505" t="s">
        <v>374</v>
      </c>
      <c r="BI2505" t="s">
        <v>85</v>
      </c>
    </row>
    <row r="2506" spans="1:61" x14ac:dyDescent="0.3">
      <c r="A2506" t="str">
        <f>"200736B0100"</f>
        <v>200736B0100</v>
      </c>
      <c r="B2506" t="s">
        <v>5112</v>
      </c>
      <c r="C2506">
        <v>20</v>
      </c>
      <c r="D2506" t="s">
        <v>79</v>
      </c>
      <c r="E2506">
        <v>12</v>
      </c>
      <c r="F2506" t="s">
        <v>5082</v>
      </c>
      <c r="G2506">
        <v>736</v>
      </c>
      <c r="H2506">
        <v>1</v>
      </c>
      <c r="I2506" t="s">
        <v>81</v>
      </c>
      <c r="J2506">
        <v>0</v>
      </c>
      <c r="K2506">
        <v>1</v>
      </c>
      <c r="L2506">
        <v>2</v>
      </c>
      <c r="M2506">
        <v>386</v>
      </c>
      <c r="N2506">
        <v>313</v>
      </c>
      <c r="O2506">
        <v>1</v>
      </c>
      <c r="P2506">
        <v>314</v>
      </c>
      <c r="Q2506">
        <v>15</v>
      </c>
      <c r="R2506">
        <v>36</v>
      </c>
      <c r="S2506">
        <v>1</v>
      </c>
      <c r="T2506">
        <v>10</v>
      </c>
      <c r="U2506">
        <v>33</v>
      </c>
      <c r="V2506">
        <v>4</v>
      </c>
      <c r="W2506">
        <v>3</v>
      </c>
      <c r="X2506">
        <v>5</v>
      </c>
      <c r="Y2506">
        <v>160</v>
      </c>
      <c r="Z2506">
        <v>9</v>
      </c>
      <c r="AA2506">
        <v>1</v>
      </c>
      <c r="AB2506">
        <v>6</v>
      </c>
      <c r="AC2506">
        <v>1</v>
      </c>
      <c r="AD2506">
        <v>0</v>
      </c>
      <c r="AE2506">
        <v>0</v>
      </c>
      <c r="AF2506">
        <v>0</v>
      </c>
      <c r="AG2506">
        <v>3</v>
      </c>
      <c r="AH2506">
        <v>1</v>
      </c>
      <c r="AI2506">
        <v>0</v>
      </c>
      <c r="AJ2506">
        <v>0</v>
      </c>
      <c r="AK2506">
        <v>12</v>
      </c>
      <c r="AL2506">
        <v>3</v>
      </c>
      <c r="AM2506">
        <v>0</v>
      </c>
      <c r="AN2506">
        <v>2</v>
      </c>
      <c r="AT2506">
        <v>0</v>
      </c>
      <c r="AU2506">
        <v>9</v>
      </c>
      <c r="AV2506">
        <v>314</v>
      </c>
      <c r="AW2506">
        <v>314</v>
      </c>
      <c r="AX2506">
        <v>678</v>
      </c>
      <c r="BA2506">
        <v>1</v>
      </c>
      <c r="BC2506" t="s">
        <v>5113</v>
      </c>
      <c r="BD2506" s="4">
        <v>43282.992361111108</v>
      </c>
      <c r="BE2506" s="4">
        <v>43282.996527777781</v>
      </c>
      <c r="BF2506" s="4">
        <v>43282.996527777781</v>
      </c>
      <c r="BG2506" t="s">
        <v>83</v>
      </c>
      <c r="BH2506" t="s">
        <v>84</v>
      </c>
      <c r="BI2506" t="s">
        <v>85</v>
      </c>
    </row>
    <row r="2507" spans="1:61" x14ac:dyDescent="0.3">
      <c r="A2507" t="str">
        <f>"200736C0100"</f>
        <v>200736C0100</v>
      </c>
      <c r="B2507" t="s">
        <v>5114</v>
      </c>
      <c r="C2507">
        <v>20</v>
      </c>
      <c r="D2507" t="s">
        <v>79</v>
      </c>
      <c r="E2507">
        <v>12</v>
      </c>
      <c r="F2507" t="s">
        <v>5082</v>
      </c>
      <c r="G2507">
        <v>736</v>
      </c>
      <c r="H2507">
        <v>1</v>
      </c>
      <c r="I2507" t="s">
        <v>89</v>
      </c>
      <c r="J2507">
        <v>0</v>
      </c>
      <c r="K2507">
        <v>1</v>
      </c>
      <c r="L2507">
        <v>2</v>
      </c>
      <c r="M2507">
        <v>412</v>
      </c>
      <c r="N2507">
        <v>287</v>
      </c>
      <c r="O2507">
        <v>2</v>
      </c>
      <c r="P2507">
        <v>287</v>
      </c>
      <c r="Q2507">
        <v>23</v>
      </c>
      <c r="R2507">
        <v>29</v>
      </c>
      <c r="S2507">
        <v>8</v>
      </c>
      <c r="T2507">
        <v>7</v>
      </c>
      <c r="U2507">
        <v>31</v>
      </c>
      <c r="V2507">
        <v>5</v>
      </c>
      <c r="W2507">
        <v>3</v>
      </c>
      <c r="X2507">
        <v>4</v>
      </c>
      <c r="Y2507">
        <v>134</v>
      </c>
      <c r="Z2507">
        <v>9</v>
      </c>
      <c r="AA2507">
        <v>1</v>
      </c>
      <c r="AB2507">
        <v>9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8</v>
      </c>
      <c r="AL2507">
        <v>7</v>
      </c>
      <c r="AM2507">
        <v>0</v>
      </c>
      <c r="AN2507">
        <v>1</v>
      </c>
      <c r="AT2507">
        <v>0</v>
      </c>
      <c r="AU2507">
        <v>8</v>
      </c>
      <c r="AV2507">
        <v>287</v>
      </c>
      <c r="AW2507">
        <v>287</v>
      </c>
      <c r="AX2507">
        <v>677</v>
      </c>
      <c r="BA2507">
        <v>1</v>
      </c>
      <c r="BC2507" t="s">
        <v>5115</v>
      </c>
      <c r="BD2507" s="4">
        <v>43282.990972222222</v>
      </c>
      <c r="BE2507" s="4">
        <v>43282.996157407404</v>
      </c>
      <c r="BF2507" s="4">
        <v>43282.996157407404</v>
      </c>
      <c r="BG2507" t="s">
        <v>83</v>
      </c>
      <c r="BH2507" t="s">
        <v>84</v>
      </c>
      <c r="BI2507" t="s">
        <v>85</v>
      </c>
    </row>
    <row r="2508" spans="1:61" x14ac:dyDescent="0.3">
      <c r="A2508" t="str">
        <f>"200736C0200"</f>
        <v>200736C0200</v>
      </c>
      <c r="B2508" t="s">
        <v>5116</v>
      </c>
      <c r="C2508">
        <v>20</v>
      </c>
      <c r="D2508" t="s">
        <v>79</v>
      </c>
      <c r="E2508">
        <v>12</v>
      </c>
      <c r="F2508" t="s">
        <v>5082</v>
      </c>
      <c r="G2508">
        <v>736</v>
      </c>
      <c r="H2508">
        <v>2</v>
      </c>
      <c r="I2508" t="s">
        <v>89</v>
      </c>
      <c r="J2508">
        <v>0</v>
      </c>
      <c r="K2508">
        <v>1</v>
      </c>
      <c r="L2508">
        <v>2</v>
      </c>
      <c r="M2508">
        <v>402</v>
      </c>
      <c r="N2508">
        <v>290</v>
      </c>
      <c r="O2508">
        <v>3</v>
      </c>
      <c r="P2508">
        <v>297</v>
      </c>
      <c r="Q2508">
        <v>24</v>
      </c>
      <c r="R2508">
        <v>42</v>
      </c>
      <c r="S2508">
        <v>6</v>
      </c>
      <c r="T2508">
        <v>6</v>
      </c>
      <c r="U2508">
        <v>34</v>
      </c>
      <c r="V2508">
        <v>4</v>
      </c>
      <c r="W2508">
        <v>6</v>
      </c>
      <c r="X2508">
        <v>3</v>
      </c>
      <c r="Y2508">
        <v>135</v>
      </c>
      <c r="Z2508">
        <v>8</v>
      </c>
      <c r="AA2508">
        <v>2</v>
      </c>
      <c r="AB2508">
        <v>1</v>
      </c>
      <c r="AC2508">
        <v>0</v>
      </c>
      <c r="AD2508">
        <v>0</v>
      </c>
      <c r="AE2508">
        <v>0</v>
      </c>
      <c r="AF2508">
        <v>0</v>
      </c>
      <c r="AG2508">
        <v>1</v>
      </c>
      <c r="AH2508">
        <v>0</v>
      </c>
      <c r="AI2508">
        <v>0</v>
      </c>
      <c r="AJ2508">
        <v>0</v>
      </c>
      <c r="AK2508">
        <v>6</v>
      </c>
      <c r="AL2508">
        <v>3</v>
      </c>
      <c r="AM2508">
        <v>0</v>
      </c>
      <c r="AN2508">
        <v>2</v>
      </c>
      <c r="AT2508">
        <v>0</v>
      </c>
      <c r="AU2508">
        <v>14</v>
      </c>
      <c r="AV2508">
        <v>297</v>
      </c>
      <c r="AW2508">
        <v>297</v>
      </c>
      <c r="AX2508">
        <v>677</v>
      </c>
      <c r="BA2508">
        <v>1</v>
      </c>
      <c r="BC2508" t="s">
        <v>5117</v>
      </c>
      <c r="BD2508" s="4">
        <v>43282.993055555555</v>
      </c>
      <c r="BE2508" s="4">
        <v>43283.000601851854</v>
      </c>
      <c r="BF2508" s="4">
        <v>43283.000601851854</v>
      </c>
      <c r="BG2508" t="s">
        <v>83</v>
      </c>
      <c r="BH2508" t="s">
        <v>84</v>
      </c>
      <c r="BI2508" t="s">
        <v>85</v>
      </c>
    </row>
    <row r="2509" spans="1:61" x14ac:dyDescent="0.3">
      <c r="A2509" t="str">
        <f>"200737B0100"</f>
        <v>200737B0100</v>
      </c>
      <c r="B2509" t="s">
        <v>5118</v>
      </c>
      <c r="C2509">
        <v>20</v>
      </c>
      <c r="D2509" t="s">
        <v>79</v>
      </c>
      <c r="E2509">
        <v>12</v>
      </c>
      <c r="F2509" t="s">
        <v>5082</v>
      </c>
      <c r="G2509">
        <v>737</v>
      </c>
      <c r="H2509">
        <v>1</v>
      </c>
      <c r="I2509" t="s">
        <v>81</v>
      </c>
      <c r="J2509">
        <v>0</v>
      </c>
      <c r="K2509">
        <v>1</v>
      </c>
      <c r="L2509">
        <v>2</v>
      </c>
      <c r="M2509">
        <v>341</v>
      </c>
      <c r="N2509">
        <v>225</v>
      </c>
      <c r="O2509">
        <v>1</v>
      </c>
      <c r="P2509" t="s">
        <v>100</v>
      </c>
      <c r="Q2509">
        <v>25</v>
      </c>
      <c r="R2509">
        <v>16</v>
      </c>
      <c r="S2509">
        <v>2</v>
      </c>
      <c r="T2509">
        <v>3</v>
      </c>
      <c r="U2509">
        <v>16</v>
      </c>
      <c r="V2509">
        <v>4</v>
      </c>
      <c r="W2509">
        <v>4</v>
      </c>
      <c r="X2509">
        <v>5</v>
      </c>
      <c r="Y2509">
        <v>117</v>
      </c>
      <c r="Z2509">
        <v>3</v>
      </c>
      <c r="AA2509">
        <v>2</v>
      </c>
      <c r="AB2509">
        <v>4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3</v>
      </c>
      <c r="AI2509">
        <v>3</v>
      </c>
      <c r="AJ2509">
        <v>0</v>
      </c>
      <c r="AK2509">
        <v>5</v>
      </c>
      <c r="AL2509">
        <v>4</v>
      </c>
      <c r="AM2509">
        <v>0</v>
      </c>
      <c r="AN2509">
        <v>1</v>
      </c>
      <c r="AT2509">
        <v>1</v>
      </c>
      <c r="AU2509">
        <v>6</v>
      </c>
      <c r="AV2509">
        <v>224</v>
      </c>
      <c r="AW2509">
        <v>224</v>
      </c>
      <c r="AX2509">
        <v>544</v>
      </c>
      <c r="BA2509">
        <v>1</v>
      </c>
      <c r="BC2509" t="s">
        <v>5119</v>
      </c>
      <c r="BD2509" s="4">
        <v>43282.987500000003</v>
      </c>
      <c r="BE2509" s="4">
        <v>43282.992615740739</v>
      </c>
      <c r="BF2509" s="4">
        <v>43282.992615740739</v>
      </c>
      <c r="BG2509" t="s">
        <v>83</v>
      </c>
      <c r="BH2509" t="s">
        <v>84</v>
      </c>
      <c r="BI2509" t="s">
        <v>85</v>
      </c>
    </row>
    <row r="2510" spans="1:61" x14ac:dyDescent="0.3">
      <c r="A2510" t="str">
        <f>"200737C0100"</f>
        <v>200737C0100</v>
      </c>
      <c r="B2510" t="s">
        <v>5120</v>
      </c>
      <c r="C2510">
        <v>20</v>
      </c>
      <c r="D2510" t="s">
        <v>79</v>
      </c>
      <c r="E2510">
        <v>12</v>
      </c>
      <c r="F2510" t="s">
        <v>5082</v>
      </c>
      <c r="G2510">
        <v>737</v>
      </c>
      <c r="H2510">
        <v>1</v>
      </c>
      <c r="I2510" t="s">
        <v>89</v>
      </c>
      <c r="J2510">
        <v>0</v>
      </c>
      <c r="K2510">
        <v>1</v>
      </c>
      <c r="L2510">
        <v>2</v>
      </c>
      <c r="M2510">
        <v>326</v>
      </c>
      <c r="N2510">
        <v>238</v>
      </c>
      <c r="O2510">
        <v>1</v>
      </c>
      <c r="P2510">
        <v>238</v>
      </c>
      <c r="Q2510">
        <v>23</v>
      </c>
      <c r="R2510">
        <v>31</v>
      </c>
      <c r="S2510">
        <v>5</v>
      </c>
      <c r="T2510">
        <v>8</v>
      </c>
      <c r="U2510">
        <v>24</v>
      </c>
      <c r="V2510">
        <v>6</v>
      </c>
      <c r="W2510">
        <v>2</v>
      </c>
      <c r="X2510">
        <v>3</v>
      </c>
      <c r="Y2510">
        <v>113</v>
      </c>
      <c r="Z2510">
        <v>5</v>
      </c>
      <c r="AA2510">
        <v>0</v>
      </c>
      <c r="AB2510">
        <v>6</v>
      </c>
      <c r="AC2510">
        <v>0</v>
      </c>
      <c r="AD2510">
        <v>0</v>
      </c>
      <c r="AE2510">
        <v>0</v>
      </c>
      <c r="AF2510">
        <v>0</v>
      </c>
      <c r="AG2510">
        <v>4</v>
      </c>
      <c r="AH2510">
        <v>0</v>
      </c>
      <c r="AI2510">
        <v>1</v>
      </c>
      <c r="AJ2510">
        <v>0</v>
      </c>
      <c r="AK2510">
        <v>1</v>
      </c>
      <c r="AL2510">
        <v>1</v>
      </c>
      <c r="AM2510">
        <v>1</v>
      </c>
      <c r="AN2510">
        <v>0</v>
      </c>
      <c r="AT2510">
        <v>0</v>
      </c>
      <c r="AU2510">
        <v>4</v>
      </c>
      <c r="AV2510">
        <v>238</v>
      </c>
      <c r="AW2510">
        <v>238</v>
      </c>
      <c r="AX2510">
        <v>543</v>
      </c>
      <c r="BA2510">
        <v>1</v>
      </c>
      <c r="BC2510" t="s">
        <v>5121</v>
      </c>
      <c r="BD2510" s="4">
        <v>43282.988888888889</v>
      </c>
      <c r="BE2510" s="4">
        <v>43282.994386574072</v>
      </c>
      <c r="BF2510" s="4">
        <v>43282.994386574072</v>
      </c>
      <c r="BG2510" t="s">
        <v>83</v>
      </c>
      <c r="BH2510" t="s">
        <v>84</v>
      </c>
      <c r="BI2510" t="s">
        <v>85</v>
      </c>
    </row>
    <row r="2511" spans="1:61" x14ac:dyDescent="0.3">
      <c r="A2511" t="str">
        <f>"200747B0100"</f>
        <v>200747B0100</v>
      </c>
      <c r="B2511" t="s">
        <v>5122</v>
      </c>
      <c r="C2511">
        <v>20</v>
      </c>
      <c r="D2511" t="s">
        <v>79</v>
      </c>
      <c r="E2511">
        <v>12</v>
      </c>
      <c r="F2511" t="s">
        <v>5082</v>
      </c>
      <c r="G2511">
        <v>747</v>
      </c>
      <c r="H2511">
        <v>1</v>
      </c>
      <c r="I2511" t="s">
        <v>81</v>
      </c>
      <c r="J2511">
        <v>0</v>
      </c>
      <c r="K2511">
        <v>1</v>
      </c>
      <c r="L2511">
        <v>2</v>
      </c>
      <c r="M2511">
        <v>282</v>
      </c>
      <c r="N2511">
        <v>394</v>
      </c>
      <c r="O2511">
        <v>1</v>
      </c>
      <c r="P2511">
        <v>394</v>
      </c>
      <c r="Q2511">
        <v>32</v>
      </c>
      <c r="R2511">
        <v>57</v>
      </c>
      <c r="S2511">
        <v>6</v>
      </c>
      <c r="T2511">
        <v>12</v>
      </c>
      <c r="U2511">
        <v>36</v>
      </c>
      <c r="V2511">
        <v>6</v>
      </c>
      <c r="W2511">
        <v>7</v>
      </c>
      <c r="X2511">
        <v>5</v>
      </c>
      <c r="Y2511">
        <v>191</v>
      </c>
      <c r="Z2511">
        <v>5</v>
      </c>
      <c r="AA2511">
        <v>0</v>
      </c>
      <c r="AB2511">
        <v>11</v>
      </c>
      <c r="AC2511">
        <v>1</v>
      </c>
      <c r="AD2511">
        <v>0</v>
      </c>
      <c r="AE2511">
        <v>0</v>
      </c>
      <c r="AF2511">
        <v>0</v>
      </c>
      <c r="AG2511">
        <v>3</v>
      </c>
      <c r="AH2511">
        <v>1</v>
      </c>
      <c r="AI2511">
        <v>0</v>
      </c>
      <c r="AJ2511">
        <v>0</v>
      </c>
      <c r="AK2511">
        <v>2</v>
      </c>
      <c r="AL2511">
        <v>3</v>
      </c>
      <c r="AM2511">
        <v>0</v>
      </c>
      <c r="AN2511">
        <v>1</v>
      </c>
      <c r="AT2511">
        <v>0</v>
      </c>
      <c r="AU2511">
        <v>15</v>
      </c>
      <c r="AV2511">
        <v>394</v>
      </c>
      <c r="AW2511">
        <v>394</v>
      </c>
      <c r="AX2511">
        <v>654</v>
      </c>
      <c r="BA2511">
        <v>1</v>
      </c>
      <c r="BC2511" t="s">
        <v>5123</v>
      </c>
      <c r="BD2511" s="4">
        <v>43283.103472222225</v>
      </c>
      <c r="BE2511" s="4">
        <v>43283.114571759259</v>
      </c>
      <c r="BF2511" s="4">
        <v>43283.114571759259</v>
      </c>
      <c r="BG2511" t="s">
        <v>83</v>
      </c>
      <c r="BH2511" t="s">
        <v>84</v>
      </c>
      <c r="BI2511" t="s">
        <v>85</v>
      </c>
    </row>
    <row r="2512" spans="1:61" x14ac:dyDescent="0.3">
      <c r="A2512" t="str">
        <f>"200747C0100"</f>
        <v>200747C0100</v>
      </c>
      <c r="B2512" t="s">
        <v>5124</v>
      </c>
      <c r="C2512">
        <v>20</v>
      </c>
      <c r="D2512" t="s">
        <v>79</v>
      </c>
      <c r="E2512">
        <v>12</v>
      </c>
      <c r="F2512" t="s">
        <v>5082</v>
      </c>
      <c r="G2512">
        <v>747</v>
      </c>
      <c r="H2512">
        <v>1</v>
      </c>
      <c r="I2512" t="s">
        <v>89</v>
      </c>
      <c r="J2512">
        <v>0</v>
      </c>
      <c r="K2512">
        <v>1</v>
      </c>
      <c r="L2512">
        <v>2</v>
      </c>
      <c r="M2512">
        <v>291</v>
      </c>
      <c r="N2512">
        <v>376</v>
      </c>
      <c r="O2512">
        <v>0</v>
      </c>
      <c r="P2512">
        <v>381</v>
      </c>
      <c r="Q2512">
        <v>26</v>
      </c>
      <c r="R2512">
        <v>55</v>
      </c>
      <c r="S2512">
        <v>8</v>
      </c>
      <c r="T2512">
        <v>20</v>
      </c>
      <c r="U2512">
        <v>18</v>
      </c>
      <c r="V2512">
        <v>4</v>
      </c>
      <c r="W2512">
        <v>1</v>
      </c>
      <c r="X2512">
        <v>4</v>
      </c>
      <c r="Y2512">
        <v>213</v>
      </c>
      <c r="Z2512">
        <v>4</v>
      </c>
      <c r="AA2512">
        <v>3</v>
      </c>
      <c r="AB2512">
        <v>8</v>
      </c>
      <c r="AC2512">
        <v>1</v>
      </c>
      <c r="AD2512">
        <v>1</v>
      </c>
      <c r="AE2512">
        <v>0</v>
      </c>
      <c r="AF2512">
        <v>0</v>
      </c>
      <c r="AG2512">
        <v>0</v>
      </c>
      <c r="AH2512">
        <v>2</v>
      </c>
      <c r="AI2512">
        <v>0</v>
      </c>
      <c r="AJ2512">
        <v>0</v>
      </c>
      <c r="AK2512">
        <v>3</v>
      </c>
      <c r="AL2512">
        <v>4</v>
      </c>
      <c r="AM2512">
        <v>0</v>
      </c>
      <c r="AN2512">
        <v>3</v>
      </c>
      <c r="AT2512">
        <v>0</v>
      </c>
      <c r="AU2512">
        <v>10</v>
      </c>
      <c r="AV2512">
        <v>381</v>
      </c>
      <c r="AW2512">
        <v>388</v>
      </c>
      <c r="AX2512">
        <v>654</v>
      </c>
      <c r="BA2512">
        <v>1</v>
      </c>
      <c r="BC2512" t="s">
        <v>5125</v>
      </c>
      <c r="BD2512" s="4">
        <v>43283.106944444444</v>
      </c>
      <c r="BE2512" s="4">
        <v>43283.117847222224</v>
      </c>
      <c r="BF2512" s="4">
        <v>43283.117847222224</v>
      </c>
      <c r="BG2512" t="s">
        <v>83</v>
      </c>
      <c r="BH2512" t="s">
        <v>84</v>
      </c>
      <c r="BI2512" t="s">
        <v>85</v>
      </c>
    </row>
    <row r="2513" spans="1:61" x14ac:dyDescent="0.3">
      <c r="A2513" t="str">
        <f>"200747C0200"</f>
        <v>200747C0200</v>
      </c>
      <c r="B2513" t="s">
        <v>5126</v>
      </c>
      <c r="C2513">
        <v>20</v>
      </c>
      <c r="D2513" t="s">
        <v>79</v>
      </c>
      <c r="E2513">
        <v>12</v>
      </c>
      <c r="F2513" t="s">
        <v>5082</v>
      </c>
      <c r="G2513">
        <v>747</v>
      </c>
      <c r="H2513">
        <v>2</v>
      </c>
      <c r="I2513" t="s">
        <v>89</v>
      </c>
      <c r="J2513">
        <v>0</v>
      </c>
      <c r="K2513">
        <v>1</v>
      </c>
      <c r="L2513">
        <v>2</v>
      </c>
      <c r="M2513">
        <v>257</v>
      </c>
      <c r="N2513">
        <v>417</v>
      </c>
      <c r="O2513">
        <v>0</v>
      </c>
      <c r="P2513">
        <v>417</v>
      </c>
      <c r="Q2513">
        <v>36</v>
      </c>
      <c r="R2513">
        <v>55</v>
      </c>
      <c r="S2513">
        <v>5</v>
      </c>
      <c r="T2513">
        <v>13</v>
      </c>
      <c r="U2513">
        <v>29</v>
      </c>
      <c r="V2513">
        <v>7</v>
      </c>
      <c r="W2513">
        <v>3</v>
      </c>
      <c r="X2513">
        <v>8</v>
      </c>
      <c r="Y2513">
        <v>206</v>
      </c>
      <c r="Z2513">
        <v>10</v>
      </c>
      <c r="AA2513">
        <v>3</v>
      </c>
      <c r="AB2513">
        <v>15</v>
      </c>
      <c r="AC2513">
        <v>0</v>
      </c>
      <c r="AD2513">
        <v>2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2</v>
      </c>
      <c r="AL2513">
        <v>4</v>
      </c>
      <c r="AM2513">
        <v>1</v>
      </c>
      <c r="AN2513">
        <v>1</v>
      </c>
      <c r="AT2513">
        <v>0</v>
      </c>
      <c r="AU2513">
        <v>17</v>
      </c>
      <c r="AV2513">
        <v>417</v>
      </c>
      <c r="AW2513">
        <v>417</v>
      </c>
      <c r="AX2513">
        <v>653</v>
      </c>
      <c r="BA2513">
        <v>1</v>
      </c>
      <c r="BC2513" t="s">
        <v>5127</v>
      </c>
      <c r="BD2513" s="4">
        <v>43283.11041666667</v>
      </c>
      <c r="BE2513" s="4">
        <v>43283.13921296296</v>
      </c>
      <c r="BF2513" s="4">
        <v>43283.13921296296</v>
      </c>
      <c r="BG2513" t="s">
        <v>83</v>
      </c>
      <c r="BH2513" t="s">
        <v>84</v>
      </c>
      <c r="BI2513" t="s">
        <v>85</v>
      </c>
    </row>
    <row r="2514" spans="1:61" x14ac:dyDescent="0.3">
      <c r="A2514" t="str">
        <f>"200748B0100"</f>
        <v>200748B0100</v>
      </c>
      <c r="B2514" t="s">
        <v>5128</v>
      </c>
      <c r="C2514">
        <v>20</v>
      </c>
      <c r="D2514" t="s">
        <v>79</v>
      </c>
      <c r="E2514">
        <v>12</v>
      </c>
      <c r="F2514" t="s">
        <v>5082</v>
      </c>
      <c r="G2514">
        <v>748</v>
      </c>
      <c r="H2514">
        <v>1</v>
      </c>
      <c r="I2514" t="s">
        <v>81</v>
      </c>
      <c r="J2514">
        <v>0</v>
      </c>
      <c r="K2514">
        <v>1</v>
      </c>
      <c r="L2514">
        <v>2</v>
      </c>
      <c r="M2514">
        <v>219</v>
      </c>
      <c r="N2514" t="s">
        <v>100</v>
      </c>
      <c r="O2514">
        <v>7</v>
      </c>
      <c r="P2514">
        <v>413</v>
      </c>
      <c r="Q2514">
        <v>41</v>
      </c>
      <c r="R2514">
        <v>56</v>
      </c>
      <c r="S2514">
        <v>7</v>
      </c>
      <c r="T2514">
        <v>8</v>
      </c>
      <c r="U2514">
        <v>17</v>
      </c>
      <c r="V2514">
        <v>6</v>
      </c>
      <c r="W2514">
        <v>0</v>
      </c>
      <c r="X2514">
        <v>8</v>
      </c>
      <c r="Y2514">
        <v>197</v>
      </c>
      <c r="Z2514">
        <v>8</v>
      </c>
      <c r="AA2514">
        <v>1</v>
      </c>
      <c r="AB2514">
        <v>16</v>
      </c>
      <c r="AC2514">
        <v>3</v>
      </c>
      <c r="AD2514">
        <v>0</v>
      </c>
      <c r="AE2514">
        <v>0</v>
      </c>
      <c r="AF2514">
        <v>0</v>
      </c>
      <c r="AG2514">
        <v>3</v>
      </c>
      <c r="AH2514">
        <v>1</v>
      </c>
      <c r="AI2514">
        <v>0</v>
      </c>
      <c r="AJ2514">
        <v>0</v>
      </c>
      <c r="AK2514">
        <v>3</v>
      </c>
      <c r="AL2514">
        <v>3</v>
      </c>
      <c r="AM2514">
        <v>1</v>
      </c>
      <c r="AN2514">
        <v>2</v>
      </c>
      <c r="AT2514">
        <v>2</v>
      </c>
      <c r="AU2514">
        <v>30</v>
      </c>
      <c r="AV2514">
        <v>413</v>
      </c>
      <c r="AW2514">
        <v>413</v>
      </c>
      <c r="AX2514">
        <v>610</v>
      </c>
      <c r="BA2514">
        <v>1</v>
      </c>
      <c r="BC2514" t="s">
        <v>5129</v>
      </c>
      <c r="BD2514" s="4">
        <v>43283.109027777777</v>
      </c>
      <c r="BE2514" s="4">
        <v>43283.118831018517</v>
      </c>
      <c r="BF2514" s="4">
        <v>43283.118831018517</v>
      </c>
      <c r="BG2514" t="s">
        <v>83</v>
      </c>
      <c r="BH2514" t="s">
        <v>84</v>
      </c>
      <c r="BI2514" t="s">
        <v>85</v>
      </c>
    </row>
    <row r="2515" spans="1:61" x14ac:dyDescent="0.3">
      <c r="A2515" t="str">
        <f>"200748C0100"</f>
        <v>200748C0100</v>
      </c>
      <c r="B2515" t="s">
        <v>5130</v>
      </c>
      <c r="C2515">
        <v>20</v>
      </c>
      <c r="D2515" t="s">
        <v>79</v>
      </c>
      <c r="E2515">
        <v>12</v>
      </c>
      <c r="F2515" t="s">
        <v>5082</v>
      </c>
      <c r="G2515">
        <v>748</v>
      </c>
      <c r="H2515">
        <v>1</v>
      </c>
      <c r="I2515" t="s">
        <v>89</v>
      </c>
      <c r="J2515">
        <v>0</v>
      </c>
      <c r="K2515">
        <v>1</v>
      </c>
      <c r="L2515">
        <v>2</v>
      </c>
      <c r="M2515">
        <v>240</v>
      </c>
      <c r="N2515">
        <v>391</v>
      </c>
      <c r="O2515">
        <v>3</v>
      </c>
      <c r="P2515">
        <v>391</v>
      </c>
      <c r="Q2515">
        <v>61</v>
      </c>
      <c r="R2515">
        <v>67</v>
      </c>
      <c r="S2515">
        <v>1</v>
      </c>
      <c r="T2515">
        <v>9</v>
      </c>
      <c r="U2515">
        <v>17</v>
      </c>
      <c r="V2515">
        <v>10</v>
      </c>
      <c r="W2515">
        <v>8</v>
      </c>
      <c r="X2515">
        <v>2</v>
      </c>
      <c r="Y2515">
        <v>172</v>
      </c>
      <c r="Z2515">
        <v>6</v>
      </c>
      <c r="AA2515">
        <v>5</v>
      </c>
      <c r="AB2515">
        <v>9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2</v>
      </c>
      <c r="AI2515">
        <v>0</v>
      </c>
      <c r="AJ2515">
        <v>0</v>
      </c>
      <c r="AK2515">
        <v>6</v>
      </c>
      <c r="AL2515">
        <v>2</v>
      </c>
      <c r="AM2515">
        <v>0</v>
      </c>
      <c r="AN2515">
        <v>0</v>
      </c>
      <c r="AT2515">
        <v>0</v>
      </c>
      <c r="AU2515">
        <v>14</v>
      </c>
      <c r="AV2515">
        <v>391</v>
      </c>
      <c r="AW2515">
        <v>391</v>
      </c>
      <c r="AX2515">
        <v>610</v>
      </c>
      <c r="BA2515">
        <v>1</v>
      </c>
      <c r="BC2515" t="s">
        <v>5131</v>
      </c>
      <c r="BD2515" s="4">
        <v>43283.109722222223</v>
      </c>
      <c r="BE2515" s="4">
        <v>43283.138935185183</v>
      </c>
      <c r="BF2515" s="4">
        <v>43283.138935185183</v>
      </c>
      <c r="BG2515" t="s">
        <v>83</v>
      </c>
      <c r="BH2515" t="s">
        <v>84</v>
      </c>
      <c r="BI2515" t="s">
        <v>85</v>
      </c>
    </row>
    <row r="2516" spans="1:61" x14ac:dyDescent="0.3">
      <c r="A2516" t="str">
        <f>"200748C0200"</f>
        <v>200748C0200</v>
      </c>
      <c r="B2516" t="s">
        <v>5132</v>
      </c>
      <c r="C2516">
        <v>20</v>
      </c>
      <c r="D2516" t="s">
        <v>79</v>
      </c>
      <c r="E2516">
        <v>12</v>
      </c>
      <c r="F2516" t="s">
        <v>5082</v>
      </c>
      <c r="G2516">
        <v>748</v>
      </c>
      <c r="H2516">
        <v>2</v>
      </c>
      <c r="I2516" t="s">
        <v>89</v>
      </c>
      <c r="J2516">
        <v>0</v>
      </c>
      <c r="K2516">
        <v>1</v>
      </c>
      <c r="L2516">
        <v>2</v>
      </c>
      <c r="M2516">
        <v>211</v>
      </c>
      <c r="N2516" t="s">
        <v>100</v>
      </c>
      <c r="O2516" t="s">
        <v>100</v>
      </c>
      <c r="P2516" t="s">
        <v>100</v>
      </c>
      <c r="Q2516">
        <v>63</v>
      </c>
      <c r="R2516">
        <v>63</v>
      </c>
      <c r="S2516">
        <v>10</v>
      </c>
      <c r="T2516">
        <v>16</v>
      </c>
      <c r="U2516">
        <v>17</v>
      </c>
      <c r="V2516">
        <v>5</v>
      </c>
      <c r="W2516">
        <v>11</v>
      </c>
      <c r="X2516">
        <v>3</v>
      </c>
      <c r="Y2516">
        <v>184</v>
      </c>
      <c r="Z2516">
        <v>5</v>
      </c>
      <c r="AA2516">
        <v>3</v>
      </c>
      <c r="AB2516">
        <v>7</v>
      </c>
      <c r="AC2516">
        <v>0</v>
      </c>
      <c r="AD2516">
        <v>2</v>
      </c>
      <c r="AE2516">
        <v>0</v>
      </c>
      <c r="AF2516">
        <v>0</v>
      </c>
      <c r="AG2516">
        <v>6</v>
      </c>
      <c r="AH2516">
        <v>0</v>
      </c>
      <c r="AI2516">
        <v>0</v>
      </c>
      <c r="AJ2516">
        <v>0</v>
      </c>
      <c r="AK2516">
        <v>4</v>
      </c>
      <c r="AL2516">
        <v>1</v>
      </c>
      <c r="AM2516">
        <v>0</v>
      </c>
      <c r="AN2516">
        <v>0</v>
      </c>
      <c r="AT2516" t="s">
        <v>315</v>
      </c>
      <c r="AU2516">
        <v>18</v>
      </c>
      <c r="AV2516">
        <v>418</v>
      </c>
      <c r="AW2516">
        <v>418</v>
      </c>
      <c r="AX2516">
        <v>610</v>
      </c>
      <c r="AZ2516" t="s">
        <v>101</v>
      </c>
      <c r="BA2516">
        <v>1</v>
      </c>
      <c r="BC2516" t="s">
        <v>5133</v>
      </c>
      <c r="BD2516" s="4">
        <v>43283.109027777777</v>
      </c>
      <c r="BE2516" s="4">
        <v>43283.135613425926</v>
      </c>
      <c r="BF2516" s="4">
        <v>43283.135613425926</v>
      </c>
      <c r="BG2516" t="s">
        <v>83</v>
      </c>
      <c r="BH2516" t="s">
        <v>84</v>
      </c>
      <c r="BI2516" t="s">
        <v>85</v>
      </c>
    </row>
    <row r="2517" spans="1:61" x14ac:dyDescent="0.3">
      <c r="A2517" t="str">
        <f>"200749B0100"</f>
        <v>200749B0100</v>
      </c>
      <c r="B2517" t="s">
        <v>5134</v>
      </c>
      <c r="C2517">
        <v>20</v>
      </c>
      <c r="D2517" t="s">
        <v>79</v>
      </c>
      <c r="E2517">
        <v>12</v>
      </c>
      <c r="F2517" t="s">
        <v>5082</v>
      </c>
      <c r="G2517">
        <v>749</v>
      </c>
      <c r="H2517">
        <v>1</v>
      </c>
      <c r="I2517" t="s">
        <v>81</v>
      </c>
      <c r="J2517">
        <v>0</v>
      </c>
      <c r="K2517">
        <v>2</v>
      </c>
      <c r="L2517">
        <v>2</v>
      </c>
      <c r="M2517">
        <v>268</v>
      </c>
      <c r="N2517">
        <v>315</v>
      </c>
      <c r="O2517">
        <v>0</v>
      </c>
      <c r="P2517">
        <v>315</v>
      </c>
      <c r="Q2517">
        <v>25</v>
      </c>
      <c r="R2517">
        <v>42</v>
      </c>
      <c r="S2517">
        <v>15</v>
      </c>
      <c r="T2517">
        <v>3</v>
      </c>
      <c r="U2517">
        <v>24</v>
      </c>
      <c r="V2517">
        <v>6</v>
      </c>
      <c r="W2517">
        <v>8</v>
      </c>
      <c r="X2517">
        <v>1</v>
      </c>
      <c r="Y2517">
        <v>148</v>
      </c>
      <c r="Z2517">
        <v>0</v>
      </c>
      <c r="AA2517">
        <v>1</v>
      </c>
      <c r="AB2517">
        <v>12</v>
      </c>
      <c r="AC2517">
        <v>0</v>
      </c>
      <c r="AD2517">
        <v>0</v>
      </c>
      <c r="AE2517">
        <v>0</v>
      </c>
      <c r="AF2517">
        <v>0</v>
      </c>
      <c r="AG2517">
        <v>5</v>
      </c>
      <c r="AH2517">
        <v>3</v>
      </c>
      <c r="AI2517">
        <v>0</v>
      </c>
      <c r="AJ2517">
        <v>0</v>
      </c>
      <c r="AK2517">
        <v>9</v>
      </c>
      <c r="AL2517">
        <v>0</v>
      </c>
      <c r="AM2517">
        <v>0</v>
      </c>
      <c r="AN2517">
        <v>0</v>
      </c>
      <c r="AT2517">
        <v>0</v>
      </c>
      <c r="AU2517">
        <v>13</v>
      </c>
      <c r="AV2517">
        <v>315</v>
      </c>
      <c r="AW2517">
        <v>315</v>
      </c>
      <c r="AX2517">
        <v>562</v>
      </c>
      <c r="BA2517">
        <v>1</v>
      </c>
      <c r="BC2517" t="s">
        <v>5135</v>
      </c>
      <c r="BD2517" s="4">
        <v>43282.906354166669</v>
      </c>
      <c r="BE2517" s="4">
        <v>43282.913113425922</v>
      </c>
      <c r="BF2517" s="4">
        <v>43282.913113425922</v>
      </c>
      <c r="BG2517" t="s">
        <v>373</v>
      </c>
      <c r="BH2517" t="s">
        <v>374</v>
      </c>
      <c r="BI2517" t="s">
        <v>85</v>
      </c>
    </row>
    <row r="2518" spans="1:61" x14ac:dyDescent="0.3">
      <c r="A2518" t="str">
        <f>"200749C0100"</f>
        <v>200749C0100</v>
      </c>
      <c r="B2518" t="s">
        <v>5136</v>
      </c>
      <c r="C2518">
        <v>20</v>
      </c>
      <c r="D2518" t="s">
        <v>79</v>
      </c>
      <c r="E2518">
        <v>12</v>
      </c>
      <c r="F2518" t="s">
        <v>5082</v>
      </c>
      <c r="G2518">
        <v>749</v>
      </c>
      <c r="H2518">
        <v>1</v>
      </c>
      <c r="I2518" t="s">
        <v>89</v>
      </c>
      <c r="J2518">
        <v>0</v>
      </c>
      <c r="K2518">
        <v>2</v>
      </c>
      <c r="L2518">
        <v>2</v>
      </c>
      <c r="M2518">
        <v>284</v>
      </c>
      <c r="N2518">
        <v>300</v>
      </c>
      <c r="O2518">
        <v>0</v>
      </c>
      <c r="P2518">
        <v>300</v>
      </c>
      <c r="Q2518">
        <v>31</v>
      </c>
      <c r="R2518">
        <v>31</v>
      </c>
      <c r="S2518">
        <v>5</v>
      </c>
      <c r="T2518">
        <v>3</v>
      </c>
      <c r="U2518">
        <v>28</v>
      </c>
      <c r="V2518">
        <v>4</v>
      </c>
      <c r="W2518">
        <v>12</v>
      </c>
      <c r="X2518">
        <v>2</v>
      </c>
      <c r="Y2518">
        <v>138</v>
      </c>
      <c r="Z2518">
        <v>3</v>
      </c>
      <c r="AA2518">
        <v>2</v>
      </c>
      <c r="AB2518">
        <v>6</v>
      </c>
      <c r="AC2518">
        <v>1</v>
      </c>
      <c r="AD2518">
        <v>0</v>
      </c>
      <c r="AE2518">
        <v>0</v>
      </c>
      <c r="AF2518">
        <v>1</v>
      </c>
      <c r="AG2518">
        <v>1</v>
      </c>
      <c r="AH2518">
        <v>5</v>
      </c>
      <c r="AI2518">
        <v>0</v>
      </c>
      <c r="AJ2518">
        <v>8</v>
      </c>
      <c r="AK2518">
        <v>5</v>
      </c>
      <c r="AL2518">
        <v>1</v>
      </c>
      <c r="AM2518">
        <v>0</v>
      </c>
      <c r="AN2518">
        <v>0</v>
      </c>
      <c r="AT2518">
        <v>0</v>
      </c>
      <c r="AU2518">
        <v>13</v>
      </c>
      <c r="AV2518">
        <v>300</v>
      </c>
      <c r="AW2518">
        <v>300</v>
      </c>
      <c r="AX2518">
        <v>562</v>
      </c>
      <c r="BA2518">
        <v>1</v>
      </c>
      <c r="BC2518" t="s">
        <v>5137</v>
      </c>
      <c r="BD2518" s="4">
        <v>43282.908819444441</v>
      </c>
      <c r="BE2518" s="4">
        <v>43282.91814814815</v>
      </c>
      <c r="BF2518" s="4">
        <v>43282.91814814815</v>
      </c>
      <c r="BG2518" t="s">
        <v>373</v>
      </c>
      <c r="BH2518" t="s">
        <v>374</v>
      </c>
      <c r="BI2518" t="s">
        <v>85</v>
      </c>
    </row>
    <row r="2519" spans="1:61" x14ac:dyDescent="0.3">
      <c r="A2519" t="str">
        <f>"200749E0100"</f>
        <v>200749E0100</v>
      </c>
      <c r="B2519" s="2" t="s">
        <v>5138</v>
      </c>
      <c r="C2519">
        <v>20</v>
      </c>
      <c r="D2519" t="s">
        <v>79</v>
      </c>
      <c r="E2519">
        <v>12</v>
      </c>
      <c r="F2519" t="s">
        <v>5082</v>
      </c>
      <c r="G2519">
        <v>749</v>
      </c>
      <c r="H2519">
        <v>1</v>
      </c>
      <c r="I2519" t="s">
        <v>145</v>
      </c>
      <c r="J2519">
        <v>0</v>
      </c>
      <c r="K2519">
        <v>2</v>
      </c>
      <c r="L2519">
        <v>2</v>
      </c>
      <c r="M2519">
        <v>63</v>
      </c>
      <c r="N2519">
        <v>100</v>
      </c>
      <c r="O2519">
        <v>1</v>
      </c>
      <c r="P2519">
        <v>100</v>
      </c>
      <c r="Q2519">
        <v>0</v>
      </c>
      <c r="R2519">
        <v>2</v>
      </c>
      <c r="S2519">
        <v>6</v>
      </c>
      <c r="T2519">
        <v>4</v>
      </c>
      <c r="U2519">
        <v>19</v>
      </c>
      <c r="V2519">
        <v>2</v>
      </c>
      <c r="W2519">
        <v>3</v>
      </c>
      <c r="X2519">
        <v>0</v>
      </c>
      <c r="Y2519">
        <v>58</v>
      </c>
      <c r="Z2519">
        <v>1</v>
      </c>
      <c r="AA2519">
        <v>0</v>
      </c>
      <c r="AB2519">
        <v>1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2</v>
      </c>
      <c r="AL2519">
        <v>1</v>
      </c>
      <c r="AM2519">
        <v>0</v>
      </c>
      <c r="AN2519">
        <v>0</v>
      </c>
      <c r="AT2519">
        <v>0</v>
      </c>
      <c r="AU2519">
        <v>1</v>
      </c>
      <c r="AV2519">
        <v>100</v>
      </c>
      <c r="AW2519">
        <v>100</v>
      </c>
      <c r="AX2519">
        <v>141</v>
      </c>
      <c r="BA2519">
        <v>1</v>
      </c>
      <c r="BC2519" t="s">
        <v>5139</v>
      </c>
      <c r="BD2519" s="4">
        <v>43283.172222222223</v>
      </c>
      <c r="BE2519" s="4">
        <v>43283.187476851854</v>
      </c>
      <c r="BF2519" s="4">
        <v>43283.187476851854</v>
      </c>
      <c r="BG2519" t="s">
        <v>83</v>
      </c>
      <c r="BH2519" t="s">
        <v>84</v>
      </c>
      <c r="BI2519" t="s">
        <v>85</v>
      </c>
    </row>
    <row r="2520" spans="1:61" x14ac:dyDescent="0.3">
      <c r="A2520" t="str">
        <f>"200862B0100"</f>
        <v>200862B0100</v>
      </c>
      <c r="B2520" t="s">
        <v>5140</v>
      </c>
      <c r="C2520">
        <v>20</v>
      </c>
      <c r="D2520" t="s">
        <v>79</v>
      </c>
      <c r="E2520">
        <v>12</v>
      </c>
      <c r="F2520" t="s">
        <v>5082</v>
      </c>
      <c r="G2520">
        <v>862</v>
      </c>
      <c r="H2520">
        <v>1</v>
      </c>
      <c r="I2520" t="s">
        <v>81</v>
      </c>
      <c r="J2520">
        <v>0</v>
      </c>
      <c r="K2520">
        <v>2</v>
      </c>
      <c r="L2520">
        <v>2</v>
      </c>
      <c r="M2520">
        <v>380</v>
      </c>
      <c r="N2520">
        <v>379</v>
      </c>
      <c r="O2520">
        <v>0</v>
      </c>
      <c r="P2520">
        <v>379</v>
      </c>
      <c r="Q2520">
        <v>9</v>
      </c>
      <c r="R2520">
        <v>33</v>
      </c>
      <c r="S2520">
        <v>12</v>
      </c>
      <c r="T2520">
        <v>14</v>
      </c>
      <c r="U2520">
        <v>25</v>
      </c>
      <c r="V2520">
        <v>11</v>
      </c>
      <c r="W2520">
        <v>21</v>
      </c>
      <c r="X2520">
        <v>2</v>
      </c>
      <c r="Y2520">
        <v>201</v>
      </c>
      <c r="Z2520">
        <v>11</v>
      </c>
      <c r="AA2520">
        <v>1</v>
      </c>
      <c r="AB2520">
        <v>5</v>
      </c>
      <c r="AC2520">
        <v>0</v>
      </c>
      <c r="AD2520">
        <v>0</v>
      </c>
      <c r="AE2520">
        <v>0</v>
      </c>
      <c r="AF2520">
        <v>0</v>
      </c>
      <c r="AG2520">
        <v>5</v>
      </c>
      <c r="AH2520">
        <v>1</v>
      </c>
      <c r="AI2520">
        <v>0</v>
      </c>
      <c r="AJ2520">
        <v>0</v>
      </c>
      <c r="AK2520">
        <v>6</v>
      </c>
      <c r="AL2520">
        <v>4</v>
      </c>
      <c r="AM2520">
        <v>0</v>
      </c>
      <c r="AN2520">
        <v>1</v>
      </c>
      <c r="AT2520">
        <v>0</v>
      </c>
      <c r="AU2520">
        <v>17</v>
      </c>
      <c r="AV2520">
        <v>379</v>
      </c>
      <c r="AW2520">
        <v>379</v>
      </c>
      <c r="AX2520">
        <v>737</v>
      </c>
      <c r="BA2520">
        <v>1</v>
      </c>
      <c r="BC2520" t="s">
        <v>5141</v>
      </c>
      <c r="BD2520" s="4">
        <v>43282.965046296296</v>
      </c>
      <c r="BE2520" s="4">
        <v>43282.96770833333</v>
      </c>
      <c r="BF2520" s="4">
        <v>43282.96770833333</v>
      </c>
      <c r="BG2520" t="s">
        <v>373</v>
      </c>
      <c r="BH2520" t="s">
        <v>374</v>
      </c>
      <c r="BI2520" t="s">
        <v>85</v>
      </c>
    </row>
    <row r="2521" spans="1:61" x14ac:dyDescent="0.3">
      <c r="A2521" t="str">
        <f>"200862C0100"</f>
        <v>200862C0100</v>
      </c>
      <c r="B2521" t="s">
        <v>5142</v>
      </c>
      <c r="C2521">
        <v>20</v>
      </c>
      <c r="D2521" t="s">
        <v>79</v>
      </c>
      <c r="E2521">
        <v>12</v>
      </c>
      <c r="F2521" t="s">
        <v>5082</v>
      </c>
      <c r="G2521">
        <v>862</v>
      </c>
      <c r="H2521">
        <v>1</v>
      </c>
      <c r="I2521" t="s">
        <v>89</v>
      </c>
      <c r="J2521">
        <v>0</v>
      </c>
      <c r="K2521">
        <v>2</v>
      </c>
      <c r="L2521">
        <v>2</v>
      </c>
      <c r="M2521">
        <v>367</v>
      </c>
      <c r="N2521">
        <v>392</v>
      </c>
      <c r="O2521">
        <v>6</v>
      </c>
      <c r="P2521">
        <v>392</v>
      </c>
      <c r="Q2521">
        <v>14</v>
      </c>
      <c r="R2521">
        <v>31</v>
      </c>
      <c r="S2521">
        <v>7</v>
      </c>
      <c r="T2521">
        <v>9</v>
      </c>
      <c r="U2521">
        <v>37</v>
      </c>
      <c r="V2521">
        <v>7</v>
      </c>
      <c r="W2521">
        <v>35</v>
      </c>
      <c r="X2521">
        <v>4</v>
      </c>
      <c r="Y2521">
        <v>211</v>
      </c>
      <c r="Z2521">
        <v>9</v>
      </c>
      <c r="AA2521">
        <v>2</v>
      </c>
      <c r="AB2521">
        <v>7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1</v>
      </c>
      <c r="AK2521">
        <v>7</v>
      </c>
      <c r="AL2521">
        <v>4</v>
      </c>
      <c r="AM2521">
        <v>1</v>
      </c>
      <c r="AN2521">
        <v>0</v>
      </c>
      <c r="AT2521">
        <v>0</v>
      </c>
      <c r="AU2521">
        <v>6</v>
      </c>
      <c r="AV2521">
        <v>392</v>
      </c>
      <c r="AW2521">
        <v>392</v>
      </c>
      <c r="AX2521">
        <v>737</v>
      </c>
      <c r="BA2521">
        <v>1</v>
      </c>
      <c r="BC2521" t="s">
        <v>5143</v>
      </c>
      <c r="BD2521" s="4">
        <v>43282.979247685187</v>
      </c>
      <c r="BE2521" s="4">
        <v>43282.982222222221</v>
      </c>
      <c r="BF2521" s="4">
        <v>43282.982222222221</v>
      </c>
      <c r="BG2521" t="s">
        <v>373</v>
      </c>
      <c r="BH2521" t="s">
        <v>374</v>
      </c>
      <c r="BI2521" t="s">
        <v>85</v>
      </c>
    </row>
    <row r="2522" spans="1:61" x14ac:dyDescent="0.3">
      <c r="A2522" t="str">
        <f>"200863B0100"</f>
        <v>200863B0100</v>
      </c>
      <c r="B2522" t="s">
        <v>5144</v>
      </c>
      <c r="C2522">
        <v>20</v>
      </c>
      <c r="D2522" t="s">
        <v>79</v>
      </c>
      <c r="E2522">
        <v>12</v>
      </c>
      <c r="F2522" t="s">
        <v>5082</v>
      </c>
      <c r="G2522">
        <v>863</v>
      </c>
      <c r="H2522">
        <v>1</v>
      </c>
      <c r="I2522" t="s">
        <v>81</v>
      </c>
      <c r="J2522">
        <v>0</v>
      </c>
      <c r="K2522">
        <v>2</v>
      </c>
      <c r="L2522">
        <v>2</v>
      </c>
      <c r="M2522">
        <v>408</v>
      </c>
      <c r="N2522">
        <v>342</v>
      </c>
      <c r="O2522">
        <v>5</v>
      </c>
      <c r="P2522">
        <v>342</v>
      </c>
      <c r="Q2522">
        <v>20</v>
      </c>
      <c r="R2522">
        <v>32</v>
      </c>
      <c r="S2522">
        <v>5</v>
      </c>
      <c r="T2522">
        <v>16</v>
      </c>
      <c r="U2522">
        <v>16</v>
      </c>
      <c r="V2522">
        <v>6</v>
      </c>
      <c r="W2522">
        <v>37</v>
      </c>
      <c r="X2522">
        <v>3</v>
      </c>
      <c r="Y2522">
        <v>176</v>
      </c>
      <c r="Z2522">
        <v>4</v>
      </c>
      <c r="AA2522">
        <v>2</v>
      </c>
      <c r="AB2522">
        <v>3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3</v>
      </c>
      <c r="AI2522">
        <v>0</v>
      </c>
      <c r="AJ2522">
        <v>0</v>
      </c>
      <c r="AK2522">
        <v>2</v>
      </c>
      <c r="AL2522">
        <v>0</v>
      </c>
      <c r="AM2522">
        <v>0</v>
      </c>
      <c r="AN2522">
        <v>0</v>
      </c>
      <c r="AT2522">
        <v>0</v>
      </c>
      <c r="AU2522">
        <v>17</v>
      </c>
      <c r="AV2522">
        <v>342</v>
      </c>
      <c r="AW2522">
        <v>342</v>
      </c>
      <c r="AX2522">
        <v>728</v>
      </c>
      <c r="BA2522">
        <v>1</v>
      </c>
      <c r="BC2522" t="s">
        <v>5145</v>
      </c>
      <c r="BD2522" s="4">
        <v>43282.95789351852</v>
      </c>
      <c r="BE2522" s="4">
        <v>43282.963148148148</v>
      </c>
      <c r="BF2522" s="4">
        <v>43282.963148148148</v>
      </c>
      <c r="BG2522" t="s">
        <v>373</v>
      </c>
      <c r="BH2522" t="s">
        <v>374</v>
      </c>
      <c r="BI2522" t="s">
        <v>85</v>
      </c>
    </row>
    <row r="2523" spans="1:61" x14ac:dyDescent="0.3">
      <c r="A2523" t="str">
        <f>"200863C0100"</f>
        <v>200863C0100</v>
      </c>
      <c r="B2523" t="s">
        <v>5146</v>
      </c>
      <c r="C2523">
        <v>20</v>
      </c>
      <c r="D2523" t="s">
        <v>79</v>
      </c>
      <c r="E2523">
        <v>12</v>
      </c>
      <c r="F2523" t="s">
        <v>5082</v>
      </c>
      <c r="G2523">
        <v>863</v>
      </c>
      <c r="H2523">
        <v>1</v>
      </c>
      <c r="I2523" t="s">
        <v>89</v>
      </c>
      <c r="J2523">
        <v>0</v>
      </c>
      <c r="K2523">
        <v>2</v>
      </c>
      <c r="L2523">
        <v>2</v>
      </c>
      <c r="M2523">
        <v>433</v>
      </c>
      <c r="N2523">
        <v>316</v>
      </c>
      <c r="O2523">
        <v>5</v>
      </c>
      <c r="P2523">
        <v>316</v>
      </c>
      <c r="Q2523">
        <v>18</v>
      </c>
      <c r="R2523">
        <v>46</v>
      </c>
      <c r="S2523">
        <v>9</v>
      </c>
      <c r="T2523">
        <v>13</v>
      </c>
      <c r="U2523">
        <v>15</v>
      </c>
      <c r="V2523">
        <v>6</v>
      </c>
      <c r="W2523">
        <v>33</v>
      </c>
      <c r="X2523">
        <v>6</v>
      </c>
      <c r="Y2523">
        <v>134</v>
      </c>
      <c r="Z2523">
        <v>5</v>
      </c>
      <c r="AA2523">
        <v>2</v>
      </c>
      <c r="AB2523">
        <v>2</v>
      </c>
      <c r="AC2523">
        <v>0</v>
      </c>
      <c r="AD2523">
        <v>0</v>
      </c>
      <c r="AE2523">
        <v>0</v>
      </c>
      <c r="AF2523">
        <v>0</v>
      </c>
      <c r="AG2523">
        <v>3</v>
      </c>
      <c r="AH2523">
        <v>2</v>
      </c>
      <c r="AI2523">
        <v>0</v>
      </c>
      <c r="AJ2523">
        <v>0</v>
      </c>
      <c r="AK2523">
        <v>2</v>
      </c>
      <c r="AL2523">
        <v>1</v>
      </c>
      <c r="AM2523">
        <v>1</v>
      </c>
      <c r="AN2523">
        <v>2</v>
      </c>
      <c r="AT2523">
        <v>0</v>
      </c>
      <c r="AU2523">
        <v>16</v>
      </c>
      <c r="AV2523">
        <v>316</v>
      </c>
      <c r="AW2523">
        <v>316</v>
      </c>
      <c r="AX2523">
        <v>727</v>
      </c>
      <c r="BA2523">
        <v>1</v>
      </c>
      <c r="BC2523" t="s">
        <v>5147</v>
      </c>
      <c r="BD2523" s="4">
        <v>43282.906238425923</v>
      </c>
      <c r="BE2523" s="4">
        <v>43282.911851851852</v>
      </c>
      <c r="BF2523" s="4">
        <v>43282.911851851852</v>
      </c>
      <c r="BG2523" t="s">
        <v>373</v>
      </c>
      <c r="BH2523" t="s">
        <v>374</v>
      </c>
      <c r="BI2523" t="s">
        <v>85</v>
      </c>
    </row>
    <row r="2524" spans="1:61" x14ac:dyDescent="0.3">
      <c r="A2524" t="str">
        <f>"200864B0100"</f>
        <v>200864B0100</v>
      </c>
      <c r="B2524" t="s">
        <v>5148</v>
      </c>
      <c r="C2524">
        <v>20</v>
      </c>
      <c r="D2524" t="s">
        <v>79</v>
      </c>
      <c r="E2524">
        <v>12</v>
      </c>
      <c r="F2524" t="s">
        <v>5082</v>
      </c>
      <c r="G2524">
        <v>864</v>
      </c>
      <c r="H2524">
        <v>1</v>
      </c>
      <c r="I2524" t="s">
        <v>81</v>
      </c>
      <c r="J2524">
        <v>0</v>
      </c>
      <c r="K2524">
        <v>2</v>
      </c>
      <c r="L2524">
        <v>2</v>
      </c>
      <c r="M2524">
        <v>386</v>
      </c>
      <c r="N2524">
        <v>332</v>
      </c>
      <c r="O2524">
        <v>2</v>
      </c>
      <c r="P2524">
        <v>332</v>
      </c>
      <c r="Q2524">
        <v>17</v>
      </c>
      <c r="R2524">
        <v>51</v>
      </c>
      <c r="S2524">
        <v>5</v>
      </c>
      <c r="T2524">
        <v>13</v>
      </c>
      <c r="U2524">
        <v>27</v>
      </c>
      <c r="V2524">
        <v>12</v>
      </c>
      <c r="W2524">
        <v>29</v>
      </c>
      <c r="X2524">
        <v>6</v>
      </c>
      <c r="Y2524">
        <v>141</v>
      </c>
      <c r="Z2524">
        <v>5</v>
      </c>
      <c r="AA2524">
        <v>0</v>
      </c>
      <c r="AB2524">
        <v>4</v>
      </c>
      <c r="AC2524">
        <v>1</v>
      </c>
      <c r="AD2524">
        <v>0</v>
      </c>
      <c r="AE2524">
        <v>0</v>
      </c>
      <c r="AF2524">
        <v>0</v>
      </c>
      <c r="AG2524">
        <v>1</v>
      </c>
      <c r="AH2524">
        <v>3</v>
      </c>
      <c r="AI2524">
        <v>1</v>
      </c>
      <c r="AJ2524">
        <v>0</v>
      </c>
      <c r="AK2524">
        <v>3</v>
      </c>
      <c r="AL2524">
        <v>2</v>
      </c>
      <c r="AM2524">
        <v>0</v>
      </c>
      <c r="AN2524">
        <v>0</v>
      </c>
      <c r="AT2524">
        <v>1</v>
      </c>
      <c r="AU2524">
        <v>10</v>
      </c>
      <c r="AV2524">
        <v>332</v>
      </c>
      <c r="AW2524">
        <v>332</v>
      </c>
      <c r="AX2524">
        <v>696</v>
      </c>
      <c r="BA2524">
        <v>1</v>
      </c>
      <c r="BC2524" t="s">
        <v>5149</v>
      </c>
      <c r="BD2524" s="4">
        <v>43283.118750000001</v>
      </c>
      <c r="BE2524" s="4">
        <v>43283.123969907407</v>
      </c>
      <c r="BF2524" s="4">
        <v>43283.123969907407</v>
      </c>
      <c r="BG2524" t="s">
        <v>83</v>
      </c>
      <c r="BH2524" t="s">
        <v>84</v>
      </c>
      <c r="BI2524" t="s">
        <v>85</v>
      </c>
    </row>
    <row r="2525" spans="1:61" x14ac:dyDescent="0.3">
      <c r="A2525" t="str">
        <f>"200864C0100"</f>
        <v>200864C0100</v>
      </c>
      <c r="B2525" t="s">
        <v>5150</v>
      </c>
      <c r="C2525">
        <v>20</v>
      </c>
      <c r="D2525" t="s">
        <v>79</v>
      </c>
      <c r="E2525">
        <v>12</v>
      </c>
      <c r="F2525" t="s">
        <v>5082</v>
      </c>
      <c r="G2525">
        <v>864</v>
      </c>
      <c r="H2525">
        <v>1</v>
      </c>
      <c r="I2525" t="s">
        <v>89</v>
      </c>
      <c r="J2525">
        <v>0</v>
      </c>
      <c r="K2525">
        <v>2</v>
      </c>
      <c r="L2525">
        <v>2</v>
      </c>
      <c r="M2525">
        <v>396</v>
      </c>
      <c r="N2525">
        <v>322</v>
      </c>
      <c r="O2525">
        <v>3</v>
      </c>
      <c r="P2525">
        <v>322</v>
      </c>
      <c r="Q2525">
        <v>15</v>
      </c>
      <c r="R2525">
        <v>54</v>
      </c>
      <c r="S2525">
        <v>7</v>
      </c>
      <c r="T2525">
        <v>20</v>
      </c>
      <c r="U2525">
        <v>16</v>
      </c>
      <c r="V2525">
        <v>4</v>
      </c>
      <c r="W2525">
        <v>46</v>
      </c>
      <c r="X2525">
        <v>8</v>
      </c>
      <c r="Y2525">
        <v>115</v>
      </c>
      <c r="Z2525">
        <v>6</v>
      </c>
      <c r="AA2525">
        <v>0</v>
      </c>
      <c r="AB2525">
        <v>3</v>
      </c>
      <c r="AC2525">
        <v>0</v>
      </c>
      <c r="AD2525">
        <v>1</v>
      </c>
      <c r="AE2525">
        <v>1</v>
      </c>
      <c r="AF2525">
        <v>0</v>
      </c>
      <c r="AG2525">
        <v>2</v>
      </c>
      <c r="AH2525">
        <v>4</v>
      </c>
      <c r="AI2525">
        <v>0</v>
      </c>
      <c r="AJ2525">
        <v>0</v>
      </c>
      <c r="AK2525">
        <v>6</v>
      </c>
      <c r="AL2525">
        <v>4</v>
      </c>
      <c r="AM2525">
        <v>0</v>
      </c>
      <c r="AN2525">
        <v>1</v>
      </c>
      <c r="AT2525">
        <v>0</v>
      </c>
      <c r="AU2525">
        <v>9</v>
      </c>
      <c r="AV2525">
        <v>322</v>
      </c>
      <c r="AW2525">
        <v>322</v>
      </c>
      <c r="AX2525">
        <v>696</v>
      </c>
      <c r="BA2525">
        <v>1</v>
      </c>
      <c r="BC2525" t="s">
        <v>5151</v>
      </c>
      <c r="BD2525" s="4">
        <v>43283.118055555555</v>
      </c>
      <c r="BE2525" s="4">
        <v>43283.125625000001</v>
      </c>
      <c r="BF2525" s="4">
        <v>43283.125625000001</v>
      </c>
      <c r="BG2525" t="s">
        <v>83</v>
      </c>
      <c r="BH2525" t="s">
        <v>84</v>
      </c>
      <c r="BI2525" t="s">
        <v>85</v>
      </c>
    </row>
    <row r="2526" spans="1:61" x14ac:dyDescent="0.3">
      <c r="A2526" t="str">
        <f>"200865B0100"</f>
        <v>200865B0100</v>
      </c>
      <c r="B2526" t="s">
        <v>5152</v>
      </c>
      <c r="C2526">
        <v>20</v>
      </c>
      <c r="D2526" t="s">
        <v>79</v>
      </c>
      <c r="E2526">
        <v>12</v>
      </c>
      <c r="F2526" t="s">
        <v>5082</v>
      </c>
      <c r="G2526">
        <v>865</v>
      </c>
      <c r="H2526">
        <v>1</v>
      </c>
      <c r="I2526" t="s">
        <v>81</v>
      </c>
      <c r="J2526">
        <v>0</v>
      </c>
      <c r="K2526">
        <v>2</v>
      </c>
      <c r="L2526">
        <v>2</v>
      </c>
      <c r="M2526">
        <v>272</v>
      </c>
      <c r="N2526" t="s">
        <v>100</v>
      </c>
      <c r="O2526" t="s">
        <v>100</v>
      </c>
      <c r="P2526">
        <v>258</v>
      </c>
      <c r="Q2526">
        <v>19</v>
      </c>
      <c r="R2526">
        <v>31</v>
      </c>
      <c r="S2526">
        <v>9</v>
      </c>
      <c r="T2526">
        <v>8</v>
      </c>
      <c r="U2526">
        <v>20</v>
      </c>
      <c r="V2526">
        <v>3</v>
      </c>
      <c r="W2526">
        <v>16</v>
      </c>
      <c r="X2526">
        <v>0</v>
      </c>
      <c r="Y2526">
        <v>110</v>
      </c>
      <c r="Z2526">
        <v>0</v>
      </c>
      <c r="AA2526">
        <v>12</v>
      </c>
      <c r="AB2526">
        <v>12</v>
      </c>
      <c r="AC2526">
        <v>1</v>
      </c>
      <c r="AD2526">
        <v>1</v>
      </c>
      <c r="AE2526">
        <v>0</v>
      </c>
      <c r="AF2526">
        <v>0</v>
      </c>
      <c r="AG2526">
        <v>1</v>
      </c>
      <c r="AH2526">
        <v>1</v>
      </c>
      <c r="AI2526">
        <v>0</v>
      </c>
      <c r="AJ2526" t="s">
        <v>100</v>
      </c>
      <c r="AK2526">
        <v>5</v>
      </c>
      <c r="AL2526">
        <v>2</v>
      </c>
      <c r="AM2526">
        <v>0</v>
      </c>
      <c r="AN2526">
        <v>3</v>
      </c>
      <c r="AT2526" t="s">
        <v>100</v>
      </c>
      <c r="AU2526" t="s">
        <v>100</v>
      </c>
      <c r="AV2526">
        <v>258</v>
      </c>
      <c r="AW2526">
        <v>254</v>
      </c>
      <c r="AX2526">
        <v>508</v>
      </c>
      <c r="AZ2526" t="s">
        <v>101</v>
      </c>
      <c r="BA2526">
        <v>1</v>
      </c>
      <c r="BC2526" t="s">
        <v>5153</v>
      </c>
      <c r="BD2526" s="4">
        <v>43282.909745370373</v>
      </c>
      <c r="BE2526" s="4">
        <v>43282.913807870369</v>
      </c>
      <c r="BF2526" s="4">
        <v>43282.913807870369</v>
      </c>
      <c r="BG2526" t="s">
        <v>373</v>
      </c>
      <c r="BH2526" t="s">
        <v>374</v>
      </c>
      <c r="BI2526" t="s">
        <v>85</v>
      </c>
    </row>
    <row r="2527" spans="1:61" x14ac:dyDescent="0.3">
      <c r="A2527" t="str">
        <f>"200865C0100"</f>
        <v>200865C0100</v>
      </c>
      <c r="B2527" t="s">
        <v>5154</v>
      </c>
      <c r="C2527">
        <v>20</v>
      </c>
      <c r="D2527" t="s">
        <v>79</v>
      </c>
      <c r="E2527">
        <v>12</v>
      </c>
      <c r="F2527" t="s">
        <v>5082</v>
      </c>
      <c r="G2527">
        <v>865</v>
      </c>
      <c r="H2527">
        <v>1</v>
      </c>
      <c r="I2527" t="s">
        <v>89</v>
      </c>
      <c r="J2527">
        <v>0</v>
      </c>
      <c r="K2527">
        <v>2</v>
      </c>
      <c r="L2527">
        <v>2</v>
      </c>
      <c r="M2527">
        <v>305</v>
      </c>
      <c r="N2527">
        <v>223</v>
      </c>
      <c r="O2527">
        <v>1</v>
      </c>
      <c r="P2527">
        <v>224</v>
      </c>
      <c r="Q2527">
        <v>10</v>
      </c>
      <c r="R2527">
        <v>26</v>
      </c>
      <c r="S2527">
        <v>13</v>
      </c>
      <c r="T2527">
        <v>7</v>
      </c>
      <c r="U2527">
        <v>25</v>
      </c>
      <c r="V2527">
        <v>4</v>
      </c>
      <c r="W2527">
        <v>20</v>
      </c>
      <c r="X2527">
        <v>4</v>
      </c>
      <c r="Y2527">
        <v>94</v>
      </c>
      <c r="Z2527">
        <v>3</v>
      </c>
      <c r="AA2527">
        <v>0</v>
      </c>
      <c r="AB2527">
        <v>8</v>
      </c>
      <c r="AC2527">
        <v>1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2</v>
      </c>
      <c r="AM2527">
        <v>1</v>
      </c>
      <c r="AN2527">
        <v>0</v>
      </c>
      <c r="AT2527">
        <v>0</v>
      </c>
      <c r="AU2527">
        <v>6</v>
      </c>
      <c r="AV2527">
        <v>224</v>
      </c>
      <c r="AW2527">
        <v>224</v>
      </c>
      <c r="AX2527">
        <v>507</v>
      </c>
      <c r="BA2527">
        <v>1</v>
      </c>
      <c r="BC2527" t="s">
        <v>5155</v>
      </c>
      <c r="BD2527" s="4">
        <v>43282.925381944442</v>
      </c>
      <c r="BE2527" s="4">
        <v>43282.931076388886</v>
      </c>
      <c r="BF2527" s="4">
        <v>43282.931076388886</v>
      </c>
      <c r="BG2527" t="s">
        <v>373</v>
      </c>
      <c r="BH2527" t="s">
        <v>374</v>
      </c>
      <c r="BI2527" t="s">
        <v>85</v>
      </c>
    </row>
    <row r="2528" spans="1:61" x14ac:dyDescent="0.3">
      <c r="A2528" t="str">
        <f>"201243B0100"</f>
        <v>201243B0100</v>
      </c>
      <c r="B2528" t="s">
        <v>5156</v>
      </c>
      <c r="C2528">
        <v>20</v>
      </c>
      <c r="D2528" t="s">
        <v>79</v>
      </c>
      <c r="E2528">
        <v>12</v>
      </c>
      <c r="F2528" t="s">
        <v>5082</v>
      </c>
      <c r="G2528">
        <v>1243</v>
      </c>
      <c r="H2528">
        <v>1</v>
      </c>
      <c r="I2528" t="s">
        <v>81</v>
      </c>
      <c r="J2528">
        <v>0</v>
      </c>
      <c r="K2528">
        <v>1</v>
      </c>
      <c r="L2528">
        <v>2</v>
      </c>
      <c r="M2528">
        <v>281</v>
      </c>
      <c r="N2528">
        <v>644</v>
      </c>
      <c r="O2528">
        <v>1</v>
      </c>
      <c r="P2528" t="s">
        <v>315</v>
      </c>
      <c r="Q2528">
        <v>32</v>
      </c>
      <c r="R2528">
        <v>33</v>
      </c>
      <c r="S2528">
        <v>8</v>
      </c>
      <c r="T2528">
        <v>13</v>
      </c>
      <c r="U2528">
        <v>18</v>
      </c>
      <c r="V2528">
        <v>13</v>
      </c>
      <c r="W2528">
        <v>11</v>
      </c>
      <c r="X2528">
        <v>6</v>
      </c>
      <c r="Y2528">
        <v>180</v>
      </c>
      <c r="Z2528">
        <v>11</v>
      </c>
      <c r="AA2528">
        <v>3</v>
      </c>
      <c r="AB2528">
        <v>15</v>
      </c>
      <c r="AC2528">
        <v>1</v>
      </c>
      <c r="AD2528">
        <v>1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2</v>
      </c>
      <c r="AL2528">
        <v>5</v>
      </c>
      <c r="AM2528">
        <v>0</v>
      </c>
      <c r="AN2528">
        <v>0</v>
      </c>
      <c r="AT2528">
        <v>1</v>
      </c>
      <c r="AU2528" t="s">
        <v>315</v>
      </c>
      <c r="AV2528" t="s">
        <v>315</v>
      </c>
      <c r="AW2528">
        <v>353</v>
      </c>
      <c r="AX2528">
        <v>622</v>
      </c>
      <c r="AZ2528" t="s">
        <v>101</v>
      </c>
      <c r="BA2528">
        <v>1</v>
      </c>
      <c r="BC2528" t="s">
        <v>5157</v>
      </c>
      <c r="BD2528" s="4">
        <v>43282.938819444447</v>
      </c>
      <c r="BE2528" s="4">
        <v>43282.943807870368</v>
      </c>
      <c r="BF2528" s="4">
        <v>43282.943807870368</v>
      </c>
      <c r="BG2528" t="s">
        <v>373</v>
      </c>
      <c r="BH2528" t="s">
        <v>374</v>
      </c>
      <c r="BI2528" t="s">
        <v>85</v>
      </c>
    </row>
    <row r="2529" spans="1:61" x14ac:dyDescent="0.3">
      <c r="A2529" t="str">
        <f>"201243C0100"</f>
        <v>201243C0100</v>
      </c>
      <c r="B2529" t="s">
        <v>5158</v>
      </c>
      <c r="C2529">
        <v>20</v>
      </c>
      <c r="D2529" t="s">
        <v>79</v>
      </c>
      <c r="E2529">
        <v>12</v>
      </c>
      <c r="F2529" t="s">
        <v>5082</v>
      </c>
      <c r="G2529">
        <v>1243</v>
      </c>
      <c r="H2529">
        <v>1</v>
      </c>
      <c r="I2529" t="s">
        <v>89</v>
      </c>
      <c r="J2529">
        <v>0</v>
      </c>
      <c r="K2529">
        <v>1</v>
      </c>
      <c r="L2529">
        <v>2</v>
      </c>
      <c r="M2529">
        <v>303</v>
      </c>
      <c r="N2529">
        <v>644</v>
      </c>
      <c r="O2529">
        <v>0</v>
      </c>
      <c r="P2529">
        <v>340</v>
      </c>
      <c r="Q2529">
        <v>24</v>
      </c>
      <c r="R2529">
        <v>27</v>
      </c>
      <c r="S2529">
        <v>17</v>
      </c>
      <c r="T2529">
        <v>6</v>
      </c>
      <c r="U2529">
        <v>16</v>
      </c>
      <c r="V2529">
        <v>6</v>
      </c>
      <c r="W2529">
        <v>9</v>
      </c>
      <c r="X2529">
        <v>3</v>
      </c>
      <c r="Y2529">
        <v>190</v>
      </c>
      <c r="Z2529">
        <v>10</v>
      </c>
      <c r="AA2529">
        <v>0</v>
      </c>
      <c r="AB2529">
        <v>6</v>
      </c>
      <c r="AC2529">
        <v>2</v>
      </c>
      <c r="AD2529">
        <v>0</v>
      </c>
      <c r="AE2529">
        <v>0</v>
      </c>
      <c r="AF2529">
        <v>0</v>
      </c>
      <c r="AG2529">
        <v>3</v>
      </c>
      <c r="AH2529">
        <v>0</v>
      </c>
      <c r="AI2529">
        <v>0</v>
      </c>
      <c r="AJ2529">
        <v>0</v>
      </c>
      <c r="AK2529">
        <v>9</v>
      </c>
      <c r="AL2529">
        <v>0</v>
      </c>
      <c r="AM2529">
        <v>0</v>
      </c>
      <c r="AN2529">
        <v>0</v>
      </c>
      <c r="AT2529">
        <v>0</v>
      </c>
      <c r="AU2529">
        <v>12</v>
      </c>
      <c r="AV2529" t="s">
        <v>100</v>
      </c>
      <c r="AW2529">
        <v>340</v>
      </c>
      <c r="AX2529">
        <v>622</v>
      </c>
      <c r="BA2529">
        <v>1</v>
      </c>
      <c r="BC2529" t="s">
        <v>5159</v>
      </c>
      <c r="BD2529" s="4">
        <v>43282.979895833334</v>
      </c>
      <c r="BE2529" s="4">
        <v>43282.983055555553</v>
      </c>
      <c r="BF2529" s="4">
        <v>43282.983055555553</v>
      </c>
      <c r="BG2529" t="s">
        <v>373</v>
      </c>
      <c r="BH2529" t="s">
        <v>374</v>
      </c>
      <c r="BI2529" t="s">
        <v>85</v>
      </c>
    </row>
    <row r="2530" spans="1:61" x14ac:dyDescent="0.3">
      <c r="A2530" t="str">
        <f>"201243C0200"</f>
        <v>201243C0200</v>
      </c>
      <c r="B2530" t="s">
        <v>5160</v>
      </c>
      <c r="C2530">
        <v>20</v>
      </c>
      <c r="D2530" t="s">
        <v>79</v>
      </c>
      <c r="E2530">
        <v>12</v>
      </c>
      <c r="F2530" t="s">
        <v>5082</v>
      </c>
      <c r="G2530">
        <v>1243</v>
      </c>
      <c r="H2530">
        <v>2</v>
      </c>
      <c r="I2530" t="s">
        <v>89</v>
      </c>
      <c r="J2530">
        <v>0</v>
      </c>
      <c r="K2530">
        <v>1</v>
      </c>
      <c r="L2530">
        <v>2</v>
      </c>
      <c r="M2530">
        <v>271</v>
      </c>
      <c r="N2530">
        <v>374</v>
      </c>
      <c r="O2530">
        <v>0</v>
      </c>
      <c r="P2530">
        <v>374</v>
      </c>
      <c r="Q2530">
        <v>34</v>
      </c>
      <c r="R2530">
        <v>33</v>
      </c>
      <c r="S2530">
        <v>9</v>
      </c>
      <c r="T2530">
        <v>8</v>
      </c>
      <c r="U2530">
        <v>20</v>
      </c>
      <c r="V2530">
        <v>16</v>
      </c>
      <c r="W2530">
        <v>9</v>
      </c>
      <c r="X2530">
        <v>2</v>
      </c>
      <c r="Y2530">
        <v>198</v>
      </c>
      <c r="Z2530">
        <v>9</v>
      </c>
      <c r="AA2530">
        <v>2</v>
      </c>
      <c r="AB2530">
        <v>9</v>
      </c>
      <c r="AC2530">
        <v>1</v>
      </c>
      <c r="AD2530">
        <v>0</v>
      </c>
      <c r="AE2530">
        <v>0</v>
      </c>
      <c r="AF2530">
        <v>0</v>
      </c>
      <c r="AG2530">
        <v>7</v>
      </c>
      <c r="AH2530">
        <v>0</v>
      </c>
      <c r="AI2530">
        <v>0</v>
      </c>
      <c r="AJ2530">
        <v>0</v>
      </c>
      <c r="AK2530">
        <v>9</v>
      </c>
      <c r="AL2530">
        <v>0</v>
      </c>
      <c r="AM2530">
        <v>0</v>
      </c>
      <c r="AN2530">
        <v>0</v>
      </c>
      <c r="AT2530">
        <v>0</v>
      </c>
      <c r="AU2530" t="s">
        <v>315</v>
      </c>
      <c r="AV2530">
        <v>374</v>
      </c>
      <c r="AW2530">
        <v>366</v>
      </c>
      <c r="AX2530">
        <v>622</v>
      </c>
      <c r="AZ2530" t="s">
        <v>101</v>
      </c>
      <c r="BA2530">
        <v>1</v>
      </c>
      <c r="BC2530" t="s">
        <v>5161</v>
      </c>
      <c r="BD2530" s="4">
        <v>43282.924189814818</v>
      </c>
      <c r="BE2530" s="4">
        <v>43282.929571759261</v>
      </c>
      <c r="BF2530" s="4">
        <v>43282.929571759261</v>
      </c>
      <c r="BG2530" t="s">
        <v>373</v>
      </c>
      <c r="BH2530" t="s">
        <v>374</v>
      </c>
      <c r="BI2530" t="s">
        <v>85</v>
      </c>
    </row>
    <row r="2531" spans="1:61" x14ac:dyDescent="0.3">
      <c r="A2531" t="str">
        <f>"201243C0300"</f>
        <v>201243C0300</v>
      </c>
      <c r="B2531" t="s">
        <v>5162</v>
      </c>
      <c r="C2531">
        <v>20</v>
      </c>
      <c r="D2531" t="s">
        <v>79</v>
      </c>
      <c r="E2531">
        <v>12</v>
      </c>
      <c r="F2531" t="s">
        <v>5082</v>
      </c>
      <c r="G2531">
        <v>1243</v>
      </c>
      <c r="H2531">
        <v>3</v>
      </c>
      <c r="I2531" t="s">
        <v>89</v>
      </c>
      <c r="J2531">
        <v>0</v>
      </c>
      <c r="K2531">
        <v>1</v>
      </c>
      <c r="L2531">
        <v>2</v>
      </c>
      <c r="M2531">
        <v>276</v>
      </c>
      <c r="N2531">
        <v>368</v>
      </c>
      <c r="O2531">
        <v>0</v>
      </c>
      <c r="P2531">
        <v>368</v>
      </c>
      <c r="Q2531">
        <v>30</v>
      </c>
      <c r="R2531">
        <v>53</v>
      </c>
      <c r="S2531">
        <v>7</v>
      </c>
      <c r="T2531">
        <v>4</v>
      </c>
      <c r="U2531">
        <v>15</v>
      </c>
      <c r="V2531">
        <v>8</v>
      </c>
      <c r="W2531">
        <v>15</v>
      </c>
      <c r="X2531">
        <v>1</v>
      </c>
      <c r="Y2531">
        <v>200</v>
      </c>
      <c r="Z2531">
        <v>5</v>
      </c>
      <c r="AA2531">
        <v>0</v>
      </c>
      <c r="AB2531">
        <v>3</v>
      </c>
      <c r="AC2531">
        <v>4</v>
      </c>
      <c r="AD2531">
        <v>0</v>
      </c>
      <c r="AE2531">
        <v>0</v>
      </c>
      <c r="AF2531">
        <v>0</v>
      </c>
      <c r="AG2531">
        <v>4</v>
      </c>
      <c r="AH2531">
        <v>1</v>
      </c>
      <c r="AI2531">
        <v>0</v>
      </c>
      <c r="AJ2531">
        <v>0</v>
      </c>
      <c r="AK2531">
        <v>3</v>
      </c>
      <c r="AL2531">
        <v>2</v>
      </c>
      <c r="AM2531">
        <v>0</v>
      </c>
      <c r="AN2531">
        <v>2</v>
      </c>
      <c r="AT2531">
        <v>0</v>
      </c>
      <c r="AU2531">
        <v>11</v>
      </c>
      <c r="AV2531">
        <v>368</v>
      </c>
      <c r="AW2531">
        <v>368</v>
      </c>
      <c r="AX2531">
        <v>622</v>
      </c>
      <c r="BA2531">
        <v>1</v>
      </c>
      <c r="BC2531" t="s">
        <v>5163</v>
      </c>
      <c r="BD2531" s="4">
        <v>43282.895243055558</v>
      </c>
      <c r="BE2531" s="4">
        <v>43282.898969907408</v>
      </c>
      <c r="BF2531" s="4">
        <v>43282.898969907408</v>
      </c>
      <c r="BG2531" t="s">
        <v>373</v>
      </c>
      <c r="BH2531" t="s">
        <v>374</v>
      </c>
      <c r="BI2531" t="s">
        <v>85</v>
      </c>
    </row>
    <row r="2532" spans="1:61" x14ac:dyDescent="0.3">
      <c r="A2532" t="str">
        <f>"201243C0400"</f>
        <v>201243C0400</v>
      </c>
      <c r="B2532" t="s">
        <v>5164</v>
      </c>
      <c r="C2532">
        <v>20</v>
      </c>
      <c r="D2532" t="s">
        <v>79</v>
      </c>
      <c r="E2532">
        <v>12</v>
      </c>
      <c r="F2532" t="s">
        <v>5082</v>
      </c>
      <c r="G2532">
        <v>1243</v>
      </c>
      <c r="H2532">
        <v>4</v>
      </c>
      <c r="I2532" t="s">
        <v>89</v>
      </c>
      <c r="J2532">
        <v>0</v>
      </c>
      <c r="K2532">
        <v>1</v>
      </c>
      <c r="L2532">
        <v>2</v>
      </c>
      <c r="M2532">
        <v>291</v>
      </c>
      <c r="N2532">
        <v>352</v>
      </c>
      <c r="O2532">
        <v>0</v>
      </c>
      <c r="P2532">
        <v>352</v>
      </c>
      <c r="Q2532">
        <v>21</v>
      </c>
      <c r="R2532">
        <v>23</v>
      </c>
      <c r="S2532">
        <v>10</v>
      </c>
      <c r="T2532">
        <v>2</v>
      </c>
      <c r="U2532">
        <v>24</v>
      </c>
      <c r="V2532">
        <v>12</v>
      </c>
      <c r="W2532">
        <v>10</v>
      </c>
      <c r="X2532">
        <v>7</v>
      </c>
      <c r="Y2532">
        <v>195</v>
      </c>
      <c r="Z2532">
        <v>6</v>
      </c>
      <c r="AA2532">
        <v>1</v>
      </c>
      <c r="AB2532">
        <v>9</v>
      </c>
      <c r="AC2532">
        <v>1</v>
      </c>
      <c r="AD2532">
        <v>1</v>
      </c>
      <c r="AE2532" t="s">
        <v>315</v>
      </c>
      <c r="AF2532">
        <v>0</v>
      </c>
      <c r="AG2532">
        <v>1</v>
      </c>
      <c r="AH2532">
        <v>0</v>
      </c>
      <c r="AI2532">
        <v>0</v>
      </c>
      <c r="AJ2532">
        <v>0</v>
      </c>
      <c r="AK2532">
        <v>12</v>
      </c>
      <c r="AL2532">
        <v>4</v>
      </c>
      <c r="AM2532">
        <v>0</v>
      </c>
      <c r="AN2532">
        <v>0</v>
      </c>
      <c r="AT2532">
        <v>0</v>
      </c>
      <c r="AU2532">
        <v>13</v>
      </c>
      <c r="AV2532">
        <v>352</v>
      </c>
      <c r="AW2532">
        <v>352</v>
      </c>
      <c r="AX2532">
        <v>621</v>
      </c>
      <c r="AZ2532" t="s">
        <v>101</v>
      </c>
      <c r="BA2532">
        <v>1</v>
      </c>
      <c r="BC2532" t="s">
        <v>5165</v>
      </c>
      <c r="BD2532" s="4">
        <v>43282.89203703704</v>
      </c>
      <c r="BE2532" s="4">
        <v>43282.897893518515</v>
      </c>
      <c r="BF2532" s="4">
        <v>43282.897893518515</v>
      </c>
      <c r="BG2532" t="s">
        <v>373</v>
      </c>
      <c r="BH2532" t="s">
        <v>374</v>
      </c>
      <c r="BI2532" t="s">
        <v>85</v>
      </c>
    </row>
    <row r="2533" spans="1:61" x14ac:dyDescent="0.3">
      <c r="A2533" t="str">
        <f>"201244B0100"</f>
        <v>201244B0100</v>
      </c>
      <c r="B2533" t="s">
        <v>5166</v>
      </c>
      <c r="C2533">
        <v>20</v>
      </c>
      <c r="D2533" t="s">
        <v>79</v>
      </c>
      <c r="E2533">
        <v>12</v>
      </c>
      <c r="F2533" t="s">
        <v>5082</v>
      </c>
      <c r="G2533">
        <v>1244</v>
      </c>
      <c r="H2533">
        <v>1</v>
      </c>
      <c r="I2533" t="s">
        <v>81</v>
      </c>
      <c r="J2533">
        <v>0</v>
      </c>
      <c r="K2533">
        <v>1</v>
      </c>
      <c r="L2533">
        <v>2</v>
      </c>
      <c r="M2533">
        <v>233</v>
      </c>
      <c r="N2533">
        <v>359</v>
      </c>
      <c r="O2533">
        <v>0</v>
      </c>
      <c r="P2533">
        <v>358</v>
      </c>
      <c r="Q2533">
        <v>23</v>
      </c>
      <c r="R2533">
        <v>29</v>
      </c>
      <c r="S2533">
        <v>7</v>
      </c>
      <c r="T2533">
        <v>11</v>
      </c>
      <c r="U2533">
        <v>19</v>
      </c>
      <c r="V2533">
        <v>9</v>
      </c>
      <c r="W2533">
        <v>6</v>
      </c>
      <c r="X2533">
        <v>6</v>
      </c>
      <c r="Y2533">
        <v>194</v>
      </c>
      <c r="Z2533">
        <v>9</v>
      </c>
      <c r="AA2533">
        <v>0</v>
      </c>
      <c r="AB2533">
        <v>17</v>
      </c>
      <c r="AC2533">
        <v>3</v>
      </c>
      <c r="AD2533">
        <v>0</v>
      </c>
      <c r="AE2533">
        <v>1</v>
      </c>
      <c r="AF2533">
        <v>0</v>
      </c>
      <c r="AG2533">
        <v>4</v>
      </c>
      <c r="AH2533">
        <v>0</v>
      </c>
      <c r="AI2533">
        <v>0</v>
      </c>
      <c r="AJ2533">
        <v>0</v>
      </c>
      <c r="AK2533">
        <v>7</v>
      </c>
      <c r="AL2533">
        <v>1</v>
      </c>
      <c r="AM2533">
        <v>0</v>
      </c>
      <c r="AN2533">
        <v>1</v>
      </c>
      <c r="AT2533">
        <v>0</v>
      </c>
      <c r="AU2533">
        <v>11</v>
      </c>
      <c r="AV2533">
        <v>358</v>
      </c>
      <c r="AW2533">
        <v>358</v>
      </c>
      <c r="AX2533">
        <v>569</v>
      </c>
      <c r="BA2533">
        <v>1</v>
      </c>
      <c r="BC2533" t="s">
        <v>5167</v>
      </c>
      <c r="BD2533" s="4">
        <v>43283.021006944444</v>
      </c>
      <c r="BE2533" s="4">
        <v>43283.025173611109</v>
      </c>
      <c r="BF2533" s="4">
        <v>43283.025173611109</v>
      </c>
      <c r="BG2533" t="s">
        <v>373</v>
      </c>
      <c r="BH2533" t="s">
        <v>374</v>
      </c>
      <c r="BI2533" t="s">
        <v>85</v>
      </c>
    </row>
    <row r="2534" spans="1:61" x14ac:dyDescent="0.3">
      <c r="A2534" t="str">
        <f>"201244C0100"</f>
        <v>201244C0100</v>
      </c>
      <c r="B2534" t="s">
        <v>5168</v>
      </c>
      <c r="C2534">
        <v>20</v>
      </c>
      <c r="D2534" t="s">
        <v>79</v>
      </c>
      <c r="E2534">
        <v>12</v>
      </c>
      <c r="F2534" t="s">
        <v>5082</v>
      </c>
      <c r="G2534">
        <v>1244</v>
      </c>
      <c r="H2534">
        <v>1</v>
      </c>
      <c r="I2534" t="s">
        <v>89</v>
      </c>
      <c r="J2534">
        <v>0</v>
      </c>
      <c r="K2534">
        <v>1</v>
      </c>
      <c r="L2534">
        <v>2</v>
      </c>
      <c r="M2534">
        <v>231</v>
      </c>
      <c r="N2534">
        <v>359</v>
      </c>
      <c r="O2534">
        <v>0</v>
      </c>
      <c r="P2534">
        <v>359</v>
      </c>
      <c r="Q2534">
        <v>24</v>
      </c>
      <c r="R2534">
        <v>26</v>
      </c>
      <c r="S2534">
        <v>5</v>
      </c>
      <c r="T2534">
        <v>7</v>
      </c>
      <c r="U2534">
        <v>26</v>
      </c>
      <c r="V2534">
        <v>17</v>
      </c>
      <c r="W2534">
        <v>6</v>
      </c>
      <c r="X2534">
        <v>7</v>
      </c>
      <c r="Y2534">
        <v>207</v>
      </c>
      <c r="Z2534">
        <v>2</v>
      </c>
      <c r="AA2534">
        <v>4</v>
      </c>
      <c r="AB2534">
        <v>8</v>
      </c>
      <c r="AC2534">
        <v>1</v>
      </c>
      <c r="AD2534">
        <v>0</v>
      </c>
      <c r="AE2534">
        <v>0</v>
      </c>
      <c r="AF2534">
        <v>0</v>
      </c>
      <c r="AG2534">
        <v>1</v>
      </c>
      <c r="AH2534">
        <v>0</v>
      </c>
      <c r="AI2534">
        <v>0</v>
      </c>
      <c r="AJ2534">
        <v>0</v>
      </c>
      <c r="AK2534">
        <v>5</v>
      </c>
      <c r="AL2534">
        <v>2</v>
      </c>
      <c r="AM2534">
        <v>0</v>
      </c>
      <c r="AN2534">
        <v>1</v>
      </c>
      <c r="AT2534" t="s">
        <v>100</v>
      </c>
      <c r="AU2534">
        <v>10</v>
      </c>
      <c r="AV2534">
        <v>359</v>
      </c>
      <c r="AW2534">
        <v>359</v>
      </c>
      <c r="AX2534">
        <v>569</v>
      </c>
      <c r="AZ2534" t="s">
        <v>101</v>
      </c>
      <c r="BA2534">
        <v>1</v>
      </c>
      <c r="BC2534" t="s">
        <v>5169</v>
      </c>
      <c r="BD2534" s="4">
        <v>43283.019259259258</v>
      </c>
      <c r="BE2534" s="4">
        <v>43283.026377314818</v>
      </c>
      <c r="BF2534" s="4">
        <v>43283.026377314818</v>
      </c>
      <c r="BG2534" t="s">
        <v>373</v>
      </c>
      <c r="BH2534" t="s">
        <v>374</v>
      </c>
      <c r="BI2534" t="s">
        <v>85</v>
      </c>
    </row>
    <row r="2535" spans="1:61" x14ac:dyDescent="0.3">
      <c r="A2535" t="str">
        <f>"201244C0200"</f>
        <v>201244C0200</v>
      </c>
      <c r="B2535" t="s">
        <v>5170</v>
      </c>
      <c r="C2535">
        <v>20</v>
      </c>
      <c r="D2535" t="s">
        <v>79</v>
      </c>
      <c r="E2535">
        <v>12</v>
      </c>
      <c r="F2535" t="s">
        <v>5082</v>
      </c>
      <c r="G2535">
        <v>1244</v>
      </c>
      <c r="H2535">
        <v>2</v>
      </c>
      <c r="I2535" t="s">
        <v>89</v>
      </c>
      <c r="J2535">
        <v>0</v>
      </c>
      <c r="K2535">
        <v>1</v>
      </c>
      <c r="L2535">
        <v>2</v>
      </c>
      <c r="M2535">
        <v>257</v>
      </c>
      <c r="N2535">
        <v>334</v>
      </c>
      <c r="O2535">
        <v>1</v>
      </c>
      <c r="P2535">
        <v>334</v>
      </c>
      <c r="Q2535">
        <v>25</v>
      </c>
      <c r="R2535">
        <v>39</v>
      </c>
      <c r="S2535">
        <v>5</v>
      </c>
      <c r="T2535">
        <v>5</v>
      </c>
      <c r="U2535">
        <v>25</v>
      </c>
      <c r="V2535">
        <v>6</v>
      </c>
      <c r="W2535">
        <v>5</v>
      </c>
      <c r="X2535">
        <v>3</v>
      </c>
      <c r="Y2535">
        <v>171</v>
      </c>
      <c r="Z2535">
        <v>8</v>
      </c>
      <c r="AA2535">
        <v>3</v>
      </c>
      <c r="AB2535">
        <v>13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4</v>
      </c>
      <c r="AL2535">
        <v>3</v>
      </c>
      <c r="AM2535">
        <v>0</v>
      </c>
      <c r="AN2535">
        <v>5</v>
      </c>
      <c r="AT2535" t="s">
        <v>100</v>
      </c>
      <c r="AU2535">
        <v>14</v>
      </c>
      <c r="AV2535">
        <v>334</v>
      </c>
      <c r="AW2535">
        <v>334</v>
      </c>
      <c r="AX2535">
        <v>569</v>
      </c>
      <c r="AZ2535" t="s">
        <v>101</v>
      </c>
      <c r="BA2535">
        <v>1</v>
      </c>
      <c r="BC2535" t="s">
        <v>5171</v>
      </c>
      <c r="BD2535" s="4">
        <v>43282.987650462965</v>
      </c>
      <c r="BE2535" s="4">
        <v>43282.991840277777</v>
      </c>
      <c r="BF2535" s="4">
        <v>43282.991840277777</v>
      </c>
      <c r="BG2535" t="s">
        <v>373</v>
      </c>
      <c r="BH2535" t="s">
        <v>374</v>
      </c>
      <c r="BI2535" t="s">
        <v>85</v>
      </c>
    </row>
    <row r="2536" spans="1:61" x14ac:dyDescent="0.3">
      <c r="A2536" t="str">
        <f>"201245B0100"</f>
        <v>201245B0100</v>
      </c>
      <c r="B2536" t="s">
        <v>5172</v>
      </c>
      <c r="C2536">
        <v>20</v>
      </c>
      <c r="D2536" t="s">
        <v>79</v>
      </c>
      <c r="E2536">
        <v>12</v>
      </c>
      <c r="F2536" t="s">
        <v>5082</v>
      </c>
      <c r="G2536">
        <v>1245</v>
      </c>
      <c r="H2536">
        <v>1</v>
      </c>
      <c r="I2536" t="s">
        <v>81</v>
      </c>
      <c r="J2536">
        <v>0</v>
      </c>
      <c r="K2536">
        <v>1</v>
      </c>
      <c r="L2536">
        <v>2</v>
      </c>
      <c r="M2536">
        <v>281</v>
      </c>
      <c r="N2536">
        <v>373</v>
      </c>
      <c r="O2536" t="s">
        <v>100</v>
      </c>
      <c r="P2536">
        <v>373</v>
      </c>
      <c r="Q2536">
        <v>35</v>
      </c>
      <c r="R2536">
        <v>41</v>
      </c>
      <c r="S2536">
        <v>10</v>
      </c>
      <c r="T2536">
        <v>5</v>
      </c>
      <c r="U2536">
        <v>23</v>
      </c>
      <c r="V2536">
        <v>8</v>
      </c>
      <c r="W2536">
        <v>12</v>
      </c>
      <c r="X2536">
        <v>5</v>
      </c>
      <c r="Y2536">
        <v>186</v>
      </c>
      <c r="Z2536">
        <v>6</v>
      </c>
      <c r="AA2536">
        <v>1</v>
      </c>
      <c r="AB2536">
        <v>13</v>
      </c>
      <c r="AC2536">
        <v>1</v>
      </c>
      <c r="AD2536">
        <v>0</v>
      </c>
      <c r="AE2536">
        <v>1</v>
      </c>
      <c r="AF2536">
        <v>0</v>
      </c>
      <c r="AG2536">
        <v>4</v>
      </c>
      <c r="AH2536">
        <v>4</v>
      </c>
      <c r="AI2536">
        <v>0</v>
      </c>
      <c r="AJ2536">
        <v>0</v>
      </c>
      <c r="AK2536">
        <v>7</v>
      </c>
      <c r="AL2536">
        <v>2</v>
      </c>
      <c r="AM2536">
        <v>0</v>
      </c>
      <c r="AN2536">
        <v>1</v>
      </c>
      <c r="AT2536" t="s">
        <v>100</v>
      </c>
      <c r="AU2536">
        <v>8</v>
      </c>
      <c r="AV2536">
        <v>373</v>
      </c>
      <c r="AW2536">
        <v>373</v>
      </c>
      <c r="AX2536">
        <v>632</v>
      </c>
      <c r="AZ2536" t="s">
        <v>101</v>
      </c>
      <c r="BA2536">
        <v>1</v>
      </c>
      <c r="BC2536" t="s">
        <v>5173</v>
      </c>
      <c r="BD2536" s="4">
        <v>43283.104166666664</v>
      </c>
      <c r="BE2536" s="4">
        <v>43283.114108796297</v>
      </c>
      <c r="BF2536" s="4">
        <v>43283.114108796297</v>
      </c>
      <c r="BG2536" t="s">
        <v>83</v>
      </c>
      <c r="BH2536" t="s">
        <v>84</v>
      </c>
      <c r="BI2536" t="s">
        <v>85</v>
      </c>
    </row>
    <row r="2537" spans="1:61" x14ac:dyDescent="0.3">
      <c r="A2537" t="str">
        <f>"201245C0100"</f>
        <v>201245C0100</v>
      </c>
      <c r="B2537" t="s">
        <v>5174</v>
      </c>
      <c r="C2537">
        <v>20</v>
      </c>
      <c r="D2537" t="s">
        <v>79</v>
      </c>
      <c r="E2537">
        <v>12</v>
      </c>
      <c r="F2537" t="s">
        <v>5082</v>
      </c>
      <c r="G2537">
        <v>1245</v>
      </c>
      <c r="H2537">
        <v>1</v>
      </c>
      <c r="I2537" t="s">
        <v>89</v>
      </c>
      <c r="J2537">
        <v>0</v>
      </c>
      <c r="K2537">
        <v>1</v>
      </c>
      <c r="L2537">
        <v>2</v>
      </c>
      <c r="M2537">
        <v>298</v>
      </c>
      <c r="N2537">
        <v>653</v>
      </c>
      <c r="O2537" t="s">
        <v>315</v>
      </c>
      <c r="P2537">
        <v>355</v>
      </c>
      <c r="Q2537">
        <v>34</v>
      </c>
      <c r="R2537">
        <v>36</v>
      </c>
      <c r="S2537">
        <v>5</v>
      </c>
      <c r="T2537">
        <v>7</v>
      </c>
      <c r="U2537">
        <v>20</v>
      </c>
      <c r="V2537">
        <v>11</v>
      </c>
      <c r="W2537">
        <v>8</v>
      </c>
      <c r="X2537">
        <v>1</v>
      </c>
      <c r="Y2537">
        <v>201</v>
      </c>
      <c r="Z2537">
        <v>4</v>
      </c>
      <c r="AA2537">
        <v>1</v>
      </c>
      <c r="AB2537">
        <v>7</v>
      </c>
      <c r="AC2537">
        <v>3</v>
      </c>
      <c r="AD2537">
        <v>0</v>
      </c>
      <c r="AE2537">
        <v>1</v>
      </c>
      <c r="AF2537">
        <v>0</v>
      </c>
      <c r="AG2537">
        <v>2</v>
      </c>
      <c r="AH2537">
        <v>0</v>
      </c>
      <c r="AI2537">
        <v>0</v>
      </c>
      <c r="AJ2537">
        <v>0</v>
      </c>
      <c r="AK2537">
        <v>6</v>
      </c>
      <c r="AL2537">
        <v>1</v>
      </c>
      <c r="AM2537">
        <v>0</v>
      </c>
      <c r="AN2537">
        <v>0</v>
      </c>
      <c r="AT2537" t="s">
        <v>100</v>
      </c>
      <c r="AU2537">
        <v>8</v>
      </c>
      <c r="AV2537">
        <v>356</v>
      </c>
      <c r="AW2537">
        <v>356</v>
      </c>
      <c r="AX2537">
        <v>631</v>
      </c>
      <c r="AZ2537" t="s">
        <v>101</v>
      </c>
      <c r="BA2537">
        <v>1</v>
      </c>
      <c r="BC2537" t="s">
        <v>5175</v>
      </c>
      <c r="BD2537" s="4">
        <v>43282.926296296297</v>
      </c>
      <c r="BE2537" s="4">
        <v>43282.933194444442</v>
      </c>
      <c r="BF2537" s="4">
        <v>43282.933194444442</v>
      </c>
      <c r="BG2537" t="s">
        <v>373</v>
      </c>
      <c r="BH2537" t="s">
        <v>374</v>
      </c>
      <c r="BI2537" t="s">
        <v>85</v>
      </c>
    </row>
    <row r="2538" spans="1:61" x14ac:dyDescent="0.3">
      <c r="A2538" t="str">
        <f>"201245C0200"</f>
        <v>201245C0200</v>
      </c>
      <c r="B2538" t="s">
        <v>5176</v>
      </c>
      <c r="C2538">
        <v>20</v>
      </c>
      <c r="D2538" t="s">
        <v>79</v>
      </c>
      <c r="E2538">
        <v>12</v>
      </c>
      <c r="F2538" t="s">
        <v>5082</v>
      </c>
      <c r="G2538">
        <v>1245</v>
      </c>
      <c r="H2538">
        <v>2</v>
      </c>
      <c r="I2538" t="s">
        <v>89</v>
      </c>
      <c r="J2538">
        <v>0</v>
      </c>
      <c r="K2538">
        <v>1</v>
      </c>
      <c r="L2538">
        <v>2</v>
      </c>
      <c r="M2538">
        <v>296</v>
      </c>
      <c r="N2538">
        <v>358</v>
      </c>
      <c r="O2538">
        <v>0</v>
      </c>
      <c r="P2538">
        <v>358</v>
      </c>
      <c r="Q2538">
        <v>21</v>
      </c>
      <c r="R2538">
        <v>38</v>
      </c>
      <c r="S2538">
        <v>6</v>
      </c>
      <c r="T2538">
        <v>3</v>
      </c>
      <c r="U2538">
        <v>26</v>
      </c>
      <c r="V2538">
        <v>5</v>
      </c>
      <c r="W2538">
        <v>9</v>
      </c>
      <c r="X2538">
        <v>7</v>
      </c>
      <c r="Y2538">
        <v>198</v>
      </c>
      <c r="Z2538">
        <v>7</v>
      </c>
      <c r="AA2538">
        <v>7</v>
      </c>
      <c r="AB2538">
        <v>6</v>
      </c>
      <c r="AC2538">
        <v>7</v>
      </c>
      <c r="AD2538">
        <v>0</v>
      </c>
      <c r="AE2538">
        <v>0</v>
      </c>
      <c r="AF2538">
        <v>0</v>
      </c>
      <c r="AG2538">
        <v>2</v>
      </c>
      <c r="AH2538">
        <v>2</v>
      </c>
      <c r="AI2538">
        <v>1</v>
      </c>
      <c r="AJ2538">
        <v>0</v>
      </c>
      <c r="AK2538">
        <v>6</v>
      </c>
      <c r="AL2538">
        <v>2</v>
      </c>
      <c r="AM2538">
        <v>3</v>
      </c>
      <c r="AN2538">
        <v>1</v>
      </c>
      <c r="AT2538">
        <v>0</v>
      </c>
      <c r="AU2538">
        <v>13</v>
      </c>
      <c r="AV2538">
        <v>358</v>
      </c>
      <c r="AW2538">
        <v>370</v>
      </c>
      <c r="AX2538">
        <v>631</v>
      </c>
      <c r="BA2538">
        <v>1</v>
      </c>
      <c r="BC2538" t="s">
        <v>5177</v>
      </c>
      <c r="BD2538" s="4">
        <v>43283.106944444444</v>
      </c>
      <c r="BE2538" s="4">
        <v>43283.117731481485</v>
      </c>
      <c r="BF2538" s="4">
        <v>43283.117731481485</v>
      </c>
      <c r="BG2538" t="s">
        <v>83</v>
      </c>
      <c r="BH2538" t="s">
        <v>84</v>
      </c>
      <c r="BI2538" t="s">
        <v>85</v>
      </c>
    </row>
    <row r="2539" spans="1:61" x14ac:dyDescent="0.3">
      <c r="A2539" t="str">
        <f>"201246B0100"</f>
        <v>201246B0100</v>
      </c>
      <c r="B2539" t="s">
        <v>5178</v>
      </c>
      <c r="C2539">
        <v>20</v>
      </c>
      <c r="D2539" t="s">
        <v>79</v>
      </c>
      <c r="E2539">
        <v>12</v>
      </c>
      <c r="F2539" t="s">
        <v>5082</v>
      </c>
      <c r="G2539">
        <v>1246</v>
      </c>
      <c r="H2539">
        <v>1</v>
      </c>
      <c r="I2539" t="s">
        <v>81</v>
      </c>
      <c r="J2539">
        <v>0</v>
      </c>
      <c r="K2539">
        <v>2</v>
      </c>
      <c r="L2539">
        <v>2</v>
      </c>
      <c r="M2539">
        <v>278</v>
      </c>
      <c r="N2539">
        <v>350</v>
      </c>
      <c r="O2539">
        <v>1</v>
      </c>
      <c r="P2539">
        <v>350</v>
      </c>
      <c r="Q2539">
        <v>26</v>
      </c>
      <c r="R2539">
        <v>51</v>
      </c>
      <c r="S2539">
        <v>7</v>
      </c>
      <c r="T2539">
        <v>6</v>
      </c>
      <c r="U2539">
        <v>18</v>
      </c>
      <c r="V2539">
        <v>16</v>
      </c>
      <c r="W2539">
        <v>5</v>
      </c>
      <c r="X2539">
        <v>3</v>
      </c>
      <c r="Y2539">
        <v>173</v>
      </c>
      <c r="Z2539">
        <v>10</v>
      </c>
      <c r="AA2539">
        <v>1</v>
      </c>
      <c r="AB2539">
        <v>9</v>
      </c>
      <c r="AC2539">
        <v>3</v>
      </c>
      <c r="AD2539">
        <v>0</v>
      </c>
      <c r="AE2539">
        <v>0</v>
      </c>
      <c r="AF2539">
        <v>0</v>
      </c>
      <c r="AG2539">
        <v>2</v>
      </c>
      <c r="AH2539">
        <v>1</v>
      </c>
      <c r="AI2539">
        <v>0</v>
      </c>
      <c r="AJ2539">
        <v>0</v>
      </c>
      <c r="AK2539">
        <v>7</v>
      </c>
      <c r="AL2539">
        <v>1</v>
      </c>
      <c r="AM2539">
        <v>0</v>
      </c>
      <c r="AN2539">
        <v>1</v>
      </c>
      <c r="AT2539">
        <v>0</v>
      </c>
      <c r="AU2539">
        <v>10</v>
      </c>
      <c r="AV2539">
        <v>350</v>
      </c>
      <c r="AW2539">
        <v>350</v>
      </c>
      <c r="AX2539">
        <v>606</v>
      </c>
      <c r="BA2539">
        <v>1</v>
      </c>
      <c r="BC2539" t="s">
        <v>5179</v>
      </c>
      <c r="BD2539" s="4">
        <v>43283.067361111112</v>
      </c>
      <c r="BE2539" s="4">
        <v>43283.075231481482</v>
      </c>
      <c r="BF2539" s="4">
        <v>43283.075231481482</v>
      </c>
      <c r="BG2539" t="s">
        <v>83</v>
      </c>
      <c r="BH2539" t="s">
        <v>84</v>
      </c>
      <c r="BI2539" t="s">
        <v>85</v>
      </c>
    </row>
    <row r="2540" spans="1:61" x14ac:dyDescent="0.3">
      <c r="A2540" t="str">
        <f>"201246C0100"</f>
        <v>201246C0100</v>
      </c>
      <c r="B2540" t="s">
        <v>5180</v>
      </c>
      <c r="C2540">
        <v>20</v>
      </c>
      <c r="D2540" t="s">
        <v>79</v>
      </c>
      <c r="E2540">
        <v>12</v>
      </c>
      <c r="F2540" t="s">
        <v>5082</v>
      </c>
      <c r="G2540">
        <v>1246</v>
      </c>
      <c r="H2540">
        <v>1</v>
      </c>
      <c r="I2540" t="s">
        <v>89</v>
      </c>
      <c r="J2540">
        <v>0</v>
      </c>
      <c r="K2540">
        <v>2</v>
      </c>
      <c r="L2540">
        <v>2</v>
      </c>
      <c r="M2540">
        <v>211</v>
      </c>
      <c r="N2540" t="s">
        <v>100</v>
      </c>
      <c r="O2540" t="s">
        <v>100</v>
      </c>
      <c r="P2540" t="s">
        <v>100</v>
      </c>
      <c r="Q2540">
        <v>30</v>
      </c>
      <c r="R2540">
        <v>59</v>
      </c>
      <c r="S2540">
        <v>11</v>
      </c>
      <c r="T2540">
        <v>6</v>
      </c>
      <c r="U2540">
        <v>26</v>
      </c>
      <c r="V2540">
        <v>13</v>
      </c>
      <c r="W2540">
        <v>7</v>
      </c>
      <c r="X2540">
        <v>4</v>
      </c>
      <c r="Y2540">
        <v>221</v>
      </c>
      <c r="Z2540">
        <v>10</v>
      </c>
      <c r="AA2540">
        <v>0</v>
      </c>
      <c r="AB2540">
        <v>6</v>
      </c>
      <c r="AC2540">
        <v>2</v>
      </c>
      <c r="AD2540">
        <v>1</v>
      </c>
      <c r="AE2540">
        <v>0</v>
      </c>
      <c r="AF2540">
        <v>0</v>
      </c>
      <c r="AG2540">
        <v>0</v>
      </c>
      <c r="AH2540">
        <v>2</v>
      </c>
      <c r="AI2540">
        <v>0</v>
      </c>
      <c r="AJ2540">
        <v>0</v>
      </c>
      <c r="AK2540">
        <v>6</v>
      </c>
      <c r="AL2540">
        <v>2</v>
      </c>
      <c r="AM2540">
        <v>0</v>
      </c>
      <c r="AN2540">
        <v>0</v>
      </c>
      <c r="AT2540">
        <v>0</v>
      </c>
      <c r="AU2540">
        <v>11</v>
      </c>
      <c r="AV2540">
        <v>417</v>
      </c>
      <c r="AW2540">
        <v>417</v>
      </c>
      <c r="AX2540">
        <v>606</v>
      </c>
      <c r="BA2540">
        <v>1</v>
      </c>
      <c r="BC2540" t="s">
        <v>5181</v>
      </c>
      <c r="BD2540" s="4">
        <v>43283.068055555559</v>
      </c>
      <c r="BE2540" s="4">
        <v>43283.07608796296</v>
      </c>
      <c r="BF2540" s="4">
        <v>43283.07608796296</v>
      </c>
      <c r="BG2540" t="s">
        <v>83</v>
      </c>
      <c r="BH2540" t="s">
        <v>84</v>
      </c>
      <c r="BI2540" t="s">
        <v>85</v>
      </c>
    </row>
    <row r="2541" spans="1:61" x14ac:dyDescent="0.3">
      <c r="A2541" t="str">
        <f>"201246C0200"</f>
        <v>201246C0200</v>
      </c>
      <c r="B2541" t="s">
        <v>5182</v>
      </c>
      <c r="C2541">
        <v>20</v>
      </c>
      <c r="D2541" t="s">
        <v>79</v>
      </c>
      <c r="E2541">
        <v>12</v>
      </c>
      <c r="F2541" t="s">
        <v>5082</v>
      </c>
      <c r="G2541">
        <v>1246</v>
      </c>
      <c r="H2541">
        <v>2</v>
      </c>
      <c r="I2541" t="s">
        <v>89</v>
      </c>
      <c r="J2541">
        <v>0</v>
      </c>
      <c r="K2541">
        <v>2</v>
      </c>
      <c r="L2541">
        <v>2</v>
      </c>
      <c r="M2541">
        <v>232</v>
      </c>
      <c r="N2541">
        <v>392</v>
      </c>
      <c r="O2541">
        <v>1</v>
      </c>
      <c r="P2541">
        <v>390</v>
      </c>
      <c r="Q2541">
        <v>20</v>
      </c>
      <c r="R2541">
        <v>49</v>
      </c>
      <c r="S2541">
        <v>8</v>
      </c>
      <c r="T2541">
        <v>13</v>
      </c>
      <c r="U2541">
        <v>16</v>
      </c>
      <c r="V2541">
        <v>16</v>
      </c>
      <c r="W2541">
        <v>2</v>
      </c>
      <c r="X2541">
        <v>3</v>
      </c>
      <c r="Y2541">
        <v>233</v>
      </c>
      <c r="Z2541">
        <v>10</v>
      </c>
      <c r="AA2541">
        <v>1</v>
      </c>
      <c r="AB2541">
        <v>8</v>
      </c>
      <c r="AC2541">
        <v>2</v>
      </c>
      <c r="AD2541">
        <v>0</v>
      </c>
      <c r="AE2541">
        <v>1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2</v>
      </c>
      <c r="AL2541">
        <v>1</v>
      </c>
      <c r="AM2541">
        <v>0</v>
      </c>
      <c r="AN2541">
        <v>0</v>
      </c>
      <c r="AT2541">
        <v>0</v>
      </c>
      <c r="AU2541">
        <v>5</v>
      </c>
      <c r="AV2541">
        <v>390</v>
      </c>
      <c r="AW2541">
        <v>390</v>
      </c>
      <c r="AX2541">
        <v>606</v>
      </c>
      <c r="BA2541">
        <v>1</v>
      </c>
      <c r="BC2541" t="s">
        <v>5183</v>
      </c>
      <c r="BD2541" s="4">
        <v>43283.068749999999</v>
      </c>
      <c r="BE2541" s="4">
        <v>43283.076435185183</v>
      </c>
      <c r="BF2541" s="4">
        <v>43283.076435185183</v>
      </c>
      <c r="BG2541" t="s">
        <v>83</v>
      </c>
      <c r="BH2541" t="s">
        <v>84</v>
      </c>
      <c r="BI2541" t="s">
        <v>85</v>
      </c>
    </row>
    <row r="2542" spans="1:61" x14ac:dyDescent="0.3">
      <c r="A2542" t="str">
        <f>"201246C0300"</f>
        <v>201246C0300</v>
      </c>
      <c r="B2542" t="s">
        <v>5184</v>
      </c>
      <c r="C2542">
        <v>20</v>
      </c>
      <c r="D2542" t="s">
        <v>79</v>
      </c>
      <c r="E2542">
        <v>12</v>
      </c>
      <c r="F2542" t="s">
        <v>5082</v>
      </c>
      <c r="G2542">
        <v>1246</v>
      </c>
      <c r="H2542">
        <v>3</v>
      </c>
      <c r="I2542" t="s">
        <v>89</v>
      </c>
      <c r="J2542">
        <v>0</v>
      </c>
      <c r="K2542">
        <v>2</v>
      </c>
      <c r="L2542">
        <v>2</v>
      </c>
      <c r="M2542">
        <v>265</v>
      </c>
      <c r="N2542">
        <v>628</v>
      </c>
      <c r="O2542">
        <v>1</v>
      </c>
      <c r="P2542">
        <v>363</v>
      </c>
      <c r="Q2542">
        <v>29</v>
      </c>
      <c r="R2542">
        <v>47</v>
      </c>
      <c r="S2542">
        <v>10</v>
      </c>
      <c r="T2542">
        <v>7</v>
      </c>
      <c r="U2542">
        <v>26</v>
      </c>
      <c r="V2542">
        <v>14</v>
      </c>
      <c r="W2542">
        <v>3</v>
      </c>
      <c r="X2542">
        <v>1</v>
      </c>
      <c r="Y2542">
        <v>203</v>
      </c>
      <c r="Z2542">
        <v>4</v>
      </c>
      <c r="AA2542">
        <v>2</v>
      </c>
      <c r="AB2542">
        <v>3</v>
      </c>
      <c r="AC2542">
        <v>0</v>
      </c>
      <c r="AD2542">
        <v>1</v>
      </c>
      <c r="AE2542">
        <v>0</v>
      </c>
      <c r="AF2542">
        <v>0</v>
      </c>
      <c r="AG2542">
        <v>0</v>
      </c>
      <c r="AH2542">
        <v>2</v>
      </c>
      <c r="AI2542">
        <v>0</v>
      </c>
      <c r="AJ2542">
        <v>0</v>
      </c>
      <c r="AK2542">
        <v>1</v>
      </c>
      <c r="AL2542">
        <v>0</v>
      </c>
      <c r="AM2542">
        <v>0</v>
      </c>
      <c r="AN2542">
        <v>1</v>
      </c>
      <c r="AT2542">
        <v>0</v>
      </c>
      <c r="AU2542">
        <v>10</v>
      </c>
      <c r="AV2542">
        <v>363</v>
      </c>
      <c r="AW2542">
        <v>364</v>
      </c>
      <c r="AX2542">
        <v>606</v>
      </c>
      <c r="BA2542">
        <v>1</v>
      </c>
      <c r="BC2542" t="s">
        <v>5185</v>
      </c>
      <c r="BD2542" s="4">
        <v>43283.072916666664</v>
      </c>
      <c r="BE2542" s="4">
        <v>43283.078773148147</v>
      </c>
      <c r="BF2542" s="4">
        <v>43283.078773148147</v>
      </c>
      <c r="BG2542" t="s">
        <v>83</v>
      </c>
      <c r="BH2542" t="s">
        <v>84</v>
      </c>
      <c r="BI2542" t="s">
        <v>85</v>
      </c>
    </row>
    <row r="2543" spans="1:61" x14ac:dyDescent="0.3">
      <c r="A2543" t="str">
        <f>"201246C0400"</f>
        <v>201246C0400</v>
      </c>
      <c r="B2543" t="s">
        <v>5186</v>
      </c>
      <c r="C2543">
        <v>20</v>
      </c>
      <c r="D2543" t="s">
        <v>79</v>
      </c>
      <c r="E2543">
        <v>12</v>
      </c>
      <c r="F2543" t="s">
        <v>5082</v>
      </c>
      <c r="G2543">
        <v>1246</v>
      </c>
      <c r="H2543">
        <v>4</v>
      </c>
      <c r="I2543" t="s">
        <v>89</v>
      </c>
      <c r="J2543">
        <v>0</v>
      </c>
      <c r="K2543">
        <v>2</v>
      </c>
      <c r="L2543">
        <v>2</v>
      </c>
      <c r="M2543">
        <v>229</v>
      </c>
      <c r="N2543">
        <v>398</v>
      </c>
      <c r="O2543">
        <v>4</v>
      </c>
      <c r="P2543" t="s">
        <v>100</v>
      </c>
      <c r="Q2543">
        <v>16</v>
      </c>
      <c r="R2543">
        <v>58</v>
      </c>
      <c r="S2543">
        <v>12</v>
      </c>
      <c r="T2543">
        <v>8</v>
      </c>
      <c r="U2543">
        <v>21</v>
      </c>
      <c r="V2543">
        <v>6</v>
      </c>
      <c r="W2543">
        <v>5</v>
      </c>
      <c r="X2543">
        <v>5</v>
      </c>
      <c r="Y2543">
        <v>225</v>
      </c>
      <c r="Z2543">
        <v>5</v>
      </c>
      <c r="AA2543">
        <v>0</v>
      </c>
      <c r="AB2543">
        <v>4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2</v>
      </c>
      <c r="AI2543">
        <v>4</v>
      </c>
      <c r="AJ2543">
        <v>0</v>
      </c>
      <c r="AK2543">
        <v>5</v>
      </c>
      <c r="AL2543">
        <v>0</v>
      </c>
      <c r="AM2543">
        <v>0</v>
      </c>
      <c r="AN2543">
        <v>0</v>
      </c>
      <c r="AT2543">
        <v>0</v>
      </c>
      <c r="AU2543">
        <v>21</v>
      </c>
      <c r="AV2543">
        <v>397</v>
      </c>
      <c r="AW2543">
        <v>397</v>
      </c>
      <c r="AX2543">
        <v>605</v>
      </c>
      <c r="BA2543">
        <v>1</v>
      </c>
      <c r="BC2543" t="s">
        <v>5187</v>
      </c>
      <c r="BD2543" s="4">
        <v>43283.072222222225</v>
      </c>
      <c r="BE2543" s="4">
        <v>43283.079571759263</v>
      </c>
      <c r="BF2543" s="4">
        <v>43283.079571759263</v>
      </c>
      <c r="BG2543" t="s">
        <v>83</v>
      </c>
      <c r="BH2543" t="s">
        <v>84</v>
      </c>
      <c r="BI2543" t="s">
        <v>85</v>
      </c>
    </row>
    <row r="2544" spans="1:61" x14ac:dyDescent="0.3">
      <c r="A2544" t="str">
        <f>"201247B0100"</f>
        <v>201247B0100</v>
      </c>
      <c r="B2544" t="s">
        <v>5188</v>
      </c>
      <c r="C2544">
        <v>20</v>
      </c>
      <c r="D2544" t="s">
        <v>79</v>
      </c>
      <c r="E2544">
        <v>12</v>
      </c>
      <c r="F2544" t="s">
        <v>5082</v>
      </c>
      <c r="G2544">
        <v>1247</v>
      </c>
      <c r="H2544">
        <v>1</v>
      </c>
      <c r="I2544" t="s">
        <v>81</v>
      </c>
      <c r="J2544">
        <v>0</v>
      </c>
      <c r="K2544">
        <v>2</v>
      </c>
      <c r="L2544">
        <v>2</v>
      </c>
      <c r="M2544">
        <v>239</v>
      </c>
      <c r="N2544">
        <v>316</v>
      </c>
      <c r="O2544">
        <v>1</v>
      </c>
      <c r="P2544">
        <v>316</v>
      </c>
      <c r="Q2544">
        <v>27</v>
      </c>
      <c r="R2544">
        <v>21</v>
      </c>
      <c r="S2544">
        <v>10</v>
      </c>
      <c r="T2544">
        <v>8</v>
      </c>
      <c r="U2544">
        <v>17</v>
      </c>
      <c r="V2544">
        <v>16</v>
      </c>
      <c r="W2544">
        <v>9</v>
      </c>
      <c r="X2544">
        <v>2</v>
      </c>
      <c r="Y2544">
        <v>152</v>
      </c>
      <c r="Z2544">
        <v>10</v>
      </c>
      <c r="AA2544">
        <v>1</v>
      </c>
      <c r="AB2544">
        <v>8</v>
      </c>
      <c r="AC2544">
        <v>1</v>
      </c>
      <c r="AD2544">
        <v>0</v>
      </c>
      <c r="AE2544">
        <v>1</v>
      </c>
      <c r="AF2544">
        <v>0</v>
      </c>
      <c r="AG2544">
        <v>1</v>
      </c>
      <c r="AH2544">
        <v>1</v>
      </c>
      <c r="AI2544">
        <v>0</v>
      </c>
      <c r="AJ2544">
        <v>0</v>
      </c>
      <c r="AK2544">
        <v>10</v>
      </c>
      <c r="AL2544">
        <v>2</v>
      </c>
      <c r="AM2544">
        <v>1</v>
      </c>
      <c r="AN2544">
        <v>0</v>
      </c>
      <c r="AT2544">
        <v>0</v>
      </c>
      <c r="AU2544">
        <v>18</v>
      </c>
      <c r="AV2544">
        <v>316</v>
      </c>
      <c r="AW2544">
        <v>316</v>
      </c>
      <c r="AX2544">
        <v>533</v>
      </c>
      <c r="BA2544">
        <v>1</v>
      </c>
      <c r="BC2544" t="s">
        <v>5189</v>
      </c>
      <c r="BD2544" s="4">
        <v>43283.069444444445</v>
      </c>
      <c r="BE2544" s="4">
        <v>43283.076678240737</v>
      </c>
      <c r="BF2544" s="4">
        <v>43283.076678240737</v>
      </c>
      <c r="BG2544" t="s">
        <v>83</v>
      </c>
      <c r="BH2544" t="s">
        <v>84</v>
      </c>
      <c r="BI2544" t="s">
        <v>85</v>
      </c>
    </row>
    <row r="2545" spans="1:61" x14ac:dyDescent="0.3">
      <c r="A2545" t="str">
        <f>"201247C0100"</f>
        <v>201247C0100</v>
      </c>
      <c r="B2545" t="s">
        <v>5190</v>
      </c>
      <c r="C2545">
        <v>20</v>
      </c>
      <c r="D2545" t="s">
        <v>79</v>
      </c>
      <c r="E2545">
        <v>12</v>
      </c>
      <c r="F2545" t="s">
        <v>5082</v>
      </c>
      <c r="G2545">
        <v>1247</v>
      </c>
      <c r="H2545">
        <v>1</v>
      </c>
      <c r="I2545" t="s">
        <v>89</v>
      </c>
      <c r="J2545">
        <v>0</v>
      </c>
      <c r="K2545">
        <v>2</v>
      </c>
      <c r="L2545">
        <v>2</v>
      </c>
      <c r="M2545">
        <v>263</v>
      </c>
      <c r="N2545">
        <v>291</v>
      </c>
      <c r="O2545">
        <v>2</v>
      </c>
      <c r="P2545">
        <v>291</v>
      </c>
      <c r="Q2545">
        <v>17</v>
      </c>
      <c r="R2545">
        <v>27</v>
      </c>
      <c r="S2545">
        <v>11</v>
      </c>
      <c r="T2545">
        <v>5</v>
      </c>
      <c r="U2545">
        <v>22</v>
      </c>
      <c r="V2545">
        <v>27</v>
      </c>
      <c r="W2545">
        <v>5</v>
      </c>
      <c r="X2545">
        <v>4</v>
      </c>
      <c r="Y2545">
        <v>134</v>
      </c>
      <c r="Z2545">
        <v>4</v>
      </c>
      <c r="AA2545">
        <v>0</v>
      </c>
      <c r="AB2545">
        <v>4</v>
      </c>
      <c r="AC2545">
        <v>2</v>
      </c>
      <c r="AD2545">
        <v>0</v>
      </c>
      <c r="AE2545">
        <v>0</v>
      </c>
      <c r="AF2545">
        <v>0</v>
      </c>
      <c r="AG2545">
        <v>1</v>
      </c>
      <c r="AH2545">
        <v>1</v>
      </c>
      <c r="AI2545">
        <v>0</v>
      </c>
      <c r="AJ2545">
        <v>0</v>
      </c>
      <c r="AK2545">
        <v>7</v>
      </c>
      <c r="AL2545">
        <v>0</v>
      </c>
      <c r="AM2545">
        <v>0</v>
      </c>
      <c r="AN2545">
        <v>2</v>
      </c>
      <c r="AT2545">
        <v>0</v>
      </c>
      <c r="AU2545">
        <v>18</v>
      </c>
      <c r="AV2545">
        <v>291</v>
      </c>
      <c r="AW2545">
        <v>291</v>
      </c>
      <c r="AX2545">
        <v>532</v>
      </c>
      <c r="BA2545">
        <v>1</v>
      </c>
      <c r="BC2545" t="s">
        <v>5191</v>
      </c>
      <c r="BD2545" s="4">
        <v>43283.065972222219</v>
      </c>
      <c r="BE2545" s="4">
        <v>43283.072280092594</v>
      </c>
      <c r="BF2545" s="4">
        <v>43283.072280092594</v>
      </c>
      <c r="BG2545" t="s">
        <v>83</v>
      </c>
      <c r="BH2545" t="s">
        <v>84</v>
      </c>
      <c r="BI2545" t="s">
        <v>85</v>
      </c>
    </row>
    <row r="2546" spans="1:61" x14ac:dyDescent="0.3">
      <c r="A2546" t="str">
        <f>"201423B0100"</f>
        <v>201423B0100</v>
      </c>
      <c r="B2546" t="s">
        <v>5192</v>
      </c>
      <c r="C2546">
        <v>20</v>
      </c>
      <c r="D2546" t="s">
        <v>79</v>
      </c>
      <c r="E2546">
        <v>12</v>
      </c>
      <c r="F2546" t="s">
        <v>5082</v>
      </c>
      <c r="G2546">
        <v>1423</v>
      </c>
      <c r="H2546">
        <v>1</v>
      </c>
      <c r="I2546" t="s">
        <v>81</v>
      </c>
      <c r="J2546">
        <v>0</v>
      </c>
      <c r="K2546">
        <v>1</v>
      </c>
      <c r="L2546">
        <v>2</v>
      </c>
      <c r="M2546">
        <v>303</v>
      </c>
      <c r="N2546">
        <v>442</v>
      </c>
      <c r="O2546">
        <v>3</v>
      </c>
      <c r="P2546">
        <v>439</v>
      </c>
      <c r="Q2546">
        <v>34</v>
      </c>
      <c r="R2546">
        <v>25</v>
      </c>
      <c r="S2546">
        <v>4</v>
      </c>
      <c r="T2546">
        <v>10</v>
      </c>
      <c r="U2546">
        <v>25</v>
      </c>
      <c r="V2546">
        <v>10</v>
      </c>
      <c r="W2546">
        <v>16</v>
      </c>
      <c r="X2546">
        <v>1</v>
      </c>
      <c r="Y2546">
        <v>254</v>
      </c>
      <c r="Z2546">
        <v>9</v>
      </c>
      <c r="AA2546">
        <v>3</v>
      </c>
      <c r="AB2546">
        <v>14</v>
      </c>
      <c r="AC2546">
        <v>0</v>
      </c>
      <c r="AD2546">
        <v>0</v>
      </c>
      <c r="AE2546">
        <v>0</v>
      </c>
      <c r="AF2546">
        <v>0</v>
      </c>
      <c r="AG2546">
        <v>1</v>
      </c>
      <c r="AH2546">
        <v>0</v>
      </c>
      <c r="AI2546">
        <v>0</v>
      </c>
      <c r="AJ2546">
        <v>0</v>
      </c>
      <c r="AK2546">
        <v>11</v>
      </c>
      <c r="AL2546">
        <v>3</v>
      </c>
      <c r="AM2546">
        <v>1</v>
      </c>
      <c r="AN2546">
        <v>0</v>
      </c>
      <c r="AT2546">
        <v>0</v>
      </c>
      <c r="AU2546">
        <v>18</v>
      </c>
      <c r="AV2546">
        <v>439</v>
      </c>
      <c r="AW2546">
        <v>439</v>
      </c>
      <c r="AX2546">
        <v>720</v>
      </c>
      <c r="BA2546">
        <v>1</v>
      </c>
      <c r="BC2546" t="s">
        <v>5193</v>
      </c>
      <c r="BD2546" s="4">
        <v>43283.0625</v>
      </c>
      <c r="BE2546" s="4">
        <v>43283.06894675926</v>
      </c>
      <c r="BF2546" s="4">
        <v>43283.06894675926</v>
      </c>
      <c r="BG2546" t="s">
        <v>83</v>
      </c>
      <c r="BH2546" t="s">
        <v>84</v>
      </c>
      <c r="BI2546" t="s">
        <v>85</v>
      </c>
    </row>
    <row r="2547" spans="1:61" x14ac:dyDescent="0.3">
      <c r="A2547" t="str">
        <f>"201423C0100"</f>
        <v>201423C0100</v>
      </c>
      <c r="B2547" t="s">
        <v>5194</v>
      </c>
      <c r="C2547">
        <v>20</v>
      </c>
      <c r="D2547" t="s">
        <v>79</v>
      </c>
      <c r="E2547">
        <v>12</v>
      </c>
      <c r="F2547" t="s">
        <v>5082</v>
      </c>
      <c r="G2547">
        <v>1423</v>
      </c>
      <c r="H2547">
        <v>1</v>
      </c>
      <c r="I2547" t="s">
        <v>89</v>
      </c>
      <c r="J2547">
        <v>0</v>
      </c>
      <c r="K2547">
        <v>1</v>
      </c>
      <c r="L2547">
        <v>2</v>
      </c>
      <c r="M2547">
        <v>318</v>
      </c>
      <c r="N2547">
        <v>424</v>
      </c>
      <c r="O2547">
        <v>2</v>
      </c>
      <c r="P2547">
        <v>424</v>
      </c>
      <c r="Q2547">
        <v>37</v>
      </c>
      <c r="R2547">
        <v>40</v>
      </c>
      <c r="S2547">
        <v>6</v>
      </c>
      <c r="T2547">
        <v>7</v>
      </c>
      <c r="U2547">
        <v>31</v>
      </c>
      <c r="V2547">
        <v>6</v>
      </c>
      <c r="W2547">
        <v>19</v>
      </c>
      <c r="X2547">
        <v>1</v>
      </c>
      <c r="Y2547">
        <v>229</v>
      </c>
      <c r="Z2547">
        <v>3</v>
      </c>
      <c r="AA2547">
        <v>4</v>
      </c>
      <c r="AB2547">
        <v>15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2</v>
      </c>
      <c r="AI2547">
        <v>0</v>
      </c>
      <c r="AJ2547">
        <v>0</v>
      </c>
      <c r="AK2547">
        <v>4</v>
      </c>
      <c r="AL2547">
        <v>4</v>
      </c>
      <c r="AM2547">
        <v>0</v>
      </c>
      <c r="AN2547">
        <v>1</v>
      </c>
      <c r="AT2547">
        <v>0</v>
      </c>
      <c r="AU2547">
        <v>15</v>
      </c>
      <c r="AV2547">
        <v>424</v>
      </c>
      <c r="AW2547">
        <v>424</v>
      </c>
      <c r="AX2547">
        <v>720</v>
      </c>
      <c r="BA2547">
        <v>1</v>
      </c>
      <c r="BC2547" t="s">
        <v>5195</v>
      </c>
      <c r="BD2547" s="4">
        <v>43283.060416666667</v>
      </c>
      <c r="BE2547" s="4">
        <v>43283.065428240741</v>
      </c>
      <c r="BF2547" s="4">
        <v>43283.065428240741</v>
      </c>
      <c r="BG2547" t="s">
        <v>83</v>
      </c>
      <c r="BH2547" t="s">
        <v>84</v>
      </c>
      <c r="BI2547" t="s">
        <v>85</v>
      </c>
    </row>
    <row r="2548" spans="1:61" x14ac:dyDescent="0.3">
      <c r="A2548" t="str">
        <f>"201423C0200"</f>
        <v>201423C0200</v>
      </c>
      <c r="B2548" t="s">
        <v>5196</v>
      </c>
      <c r="C2548">
        <v>20</v>
      </c>
      <c r="D2548" t="s">
        <v>79</v>
      </c>
      <c r="E2548">
        <v>12</v>
      </c>
      <c r="F2548" t="s">
        <v>5082</v>
      </c>
      <c r="G2548">
        <v>1423</v>
      </c>
      <c r="H2548">
        <v>2</v>
      </c>
      <c r="I2548" t="s">
        <v>89</v>
      </c>
      <c r="J2548">
        <v>0</v>
      </c>
      <c r="K2548">
        <v>1</v>
      </c>
      <c r="L2548">
        <v>2</v>
      </c>
      <c r="M2548">
        <v>293</v>
      </c>
      <c r="N2548">
        <v>448</v>
      </c>
      <c r="O2548">
        <v>4</v>
      </c>
      <c r="P2548">
        <v>448</v>
      </c>
      <c r="Q2548">
        <v>32</v>
      </c>
      <c r="R2548">
        <v>31</v>
      </c>
      <c r="S2548">
        <v>4</v>
      </c>
      <c r="T2548">
        <v>6</v>
      </c>
      <c r="U2548">
        <v>29</v>
      </c>
      <c r="V2548">
        <v>7</v>
      </c>
      <c r="W2548">
        <v>12</v>
      </c>
      <c r="X2548">
        <v>7</v>
      </c>
      <c r="Y2548">
        <v>276</v>
      </c>
      <c r="Z2548">
        <v>8</v>
      </c>
      <c r="AA2548">
        <v>2</v>
      </c>
      <c r="AB2548">
        <v>13</v>
      </c>
      <c r="AC2548">
        <v>0</v>
      </c>
      <c r="AD2548">
        <v>0</v>
      </c>
      <c r="AE2548">
        <v>0</v>
      </c>
      <c r="AF2548">
        <v>0</v>
      </c>
      <c r="AG2548">
        <v>1</v>
      </c>
      <c r="AH2548">
        <v>3</v>
      </c>
      <c r="AI2548">
        <v>0</v>
      </c>
      <c r="AJ2548">
        <v>0</v>
      </c>
      <c r="AK2548">
        <v>3</v>
      </c>
      <c r="AL2548">
        <v>2</v>
      </c>
      <c r="AM2548">
        <v>0</v>
      </c>
      <c r="AN2548">
        <v>0</v>
      </c>
      <c r="AT2548">
        <v>1</v>
      </c>
      <c r="AU2548">
        <v>11</v>
      </c>
      <c r="AV2548">
        <v>448</v>
      </c>
      <c r="AW2548">
        <v>448</v>
      </c>
      <c r="AX2548">
        <v>719</v>
      </c>
      <c r="BA2548">
        <v>1</v>
      </c>
      <c r="BC2548" t="s">
        <v>5197</v>
      </c>
      <c r="BD2548" s="4">
        <v>43283.061805555553</v>
      </c>
      <c r="BE2548" s="4">
        <v>43283.068738425929</v>
      </c>
      <c r="BF2548" s="4">
        <v>43283.068738425929</v>
      </c>
      <c r="BG2548" t="s">
        <v>83</v>
      </c>
      <c r="BH2548" t="s">
        <v>84</v>
      </c>
      <c r="BI2548" t="s">
        <v>85</v>
      </c>
    </row>
    <row r="2549" spans="1:61" x14ac:dyDescent="0.3">
      <c r="A2549" t="str">
        <f>"201424B0100"</f>
        <v>201424B0100</v>
      </c>
      <c r="B2549" t="s">
        <v>5198</v>
      </c>
      <c r="C2549">
        <v>20</v>
      </c>
      <c r="D2549" t="s">
        <v>79</v>
      </c>
      <c r="E2549">
        <v>12</v>
      </c>
      <c r="F2549" t="s">
        <v>5082</v>
      </c>
      <c r="G2549">
        <v>1424</v>
      </c>
      <c r="H2549">
        <v>1</v>
      </c>
      <c r="I2549" t="s">
        <v>81</v>
      </c>
      <c r="J2549">
        <v>0</v>
      </c>
      <c r="K2549">
        <v>1</v>
      </c>
      <c r="L2549">
        <v>2</v>
      </c>
      <c r="M2549">
        <v>303</v>
      </c>
      <c r="N2549">
        <v>409</v>
      </c>
      <c r="O2549">
        <v>8</v>
      </c>
      <c r="P2549">
        <v>407</v>
      </c>
      <c r="Q2549">
        <v>34</v>
      </c>
      <c r="R2549">
        <v>59</v>
      </c>
      <c r="S2549">
        <v>2</v>
      </c>
      <c r="T2549">
        <v>11</v>
      </c>
      <c r="U2549">
        <v>24</v>
      </c>
      <c r="V2549">
        <v>6</v>
      </c>
      <c r="W2549">
        <v>25</v>
      </c>
      <c r="X2549">
        <v>7</v>
      </c>
      <c r="Y2549">
        <v>185</v>
      </c>
      <c r="Z2549">
        <v>8</v>
      </c>
      <c r="AA2549">
        <v>2</v>
      </c>
      <c r="AB2549">
        <v>14</v>
      </c>
      <c r="AC2549">
        <v>0</v>
      </c>
      <c r="AD2549">
        <v>0</v>
      </c>
      <c r="AE2549">
        <v>1</v>
      </c>
      <c r="AF2549">
        <v>0</v>
      </c>
      <c r="AG2549">
        <v>0</v>
      </c>
      <c r="AH2549">
        <v>1</v>
      </c>
      <c r="AI2549">
        <v>0</v>
      </c>
      <c r="AJ2549">
        <v>0</v>
      </c>
      <c r="AK2549">
        <v>6</v>
      </c>
      <c r="AL2549">
        <v>6</v>
      </c>
      <c r="AM2549">
        <v>0</v>
      </c>
      <c r="AN2549">
        <v>2</v>
      </c>
      <c r="AT2549">
        <v>0</v>
      </c>
      <c r="AU2549">
        <v>14</v>
      </c>
      <c r="AV2549">
        <v>407</v>
      </c>
      <c r="AW2549">
        <v>407</v>
      </c>
      <c r="AX2549">
        <v>690</v>
      </c>
      <c r="BA2549">
        <v>1</v>
      </c>
      <c r="BC2549" t="s">
        <v>5199</v>
      </c>
      <c r="BD2549" s="4">
        <v>43283.059027777781</v>
      </c>
      <c r="BE2549" s="4">
        <v>43283.063437500001</v>
      </c>
      <c r="BF2549" s="4">
        <v>43283.063437500001</v>
      </c>
      <c r="BG2549" t="s">
        <v>83</v>
      </c>
      <c r="BH2549" t="s">
        <v>84</v>
      </c>
      <c r="BI2549" t="s">
        <v>85</v>
      </c>
    </row>
    <row r="2550" spans="1:61" x14ac:dyDescent="0.3">
      <c r="A2550" t="str">
        <f>"201424C0100"</f>
        <v>201424C0100</v>
      </c>
      <c r="B2550" t="s">
        <v>5200</v>
      </c>
      <c r="C2550">
        <v>20</v>
      </c>
      <c r="D2550" t="s">
        <v>79</v>
      </c>
      <c r="E2550">
        <v>12</v>
      </c>
      <c r="F2550" t="s">
        <v>5082</v>
      </c>
      <c r="G2550">
        <v>1424</v>
      </c>
      <c r="H2550">
        <v>1</v>
      </c>
      <c r="I2550" t="s">
        <v>89</v>
      </c>
      <c r="J2550">
        <v>0</v>
      </c>
      <c r="K2550">
        <v>1</v>
      </c>
      <c r="L2550">
        <v>2</v>
      </c>
      <c r="M2550">
        <v>288</v>
      </c>
      <c r="N2550">
        <v>423</v>
      </c>
      <c r="O2550">
        <v>8</v>
      </c>
      <c r="P2550">
        <v>423</v>
      </c>
      <c r="Q2550">
        <v>29</v>
      </c>
      <c r="R2550">
        <v>69</v>
      </c>
      <c r="S2550">
        <v>6</v>
      </c>
      <c r="T2550">
        <v>17</v>
      </c>
      <c r="U2550">
        <v>35</v>
      </c>
      <c r="V2550">
        <v>4</v>
      </c>
      <c r="W2550">
        <v>29</v>
      </c>
      <c r="X2550">
        <v>2</v>
      </c>
      <c r="Y2550">
        <v>182</v>
      </c>
      <c r="Z2550">
        <v>9</v>
      </c>
      <c r="AA2550">
        <v>0</v>
      </c>
      <c r="AB2550">
        <v>12</v>
      </c>
      <c r="AC2550">
        <v>1</v>
      </c>
      <c r="AD2550">
        <v>0</v>
      </c>
      <c r="AE2550">
        <v>0</v>
      </c>
      <c r="AF2550">
        <v>0</v>
      </c>
      <c r="AG2550">
        <v>3</v>
      </c>
      <c r="AH2550">
        <v>0</v>
      </c>
      <c r="AI2550">
        <v>0</v>
      </c>
      <c r="AJ2550">
        <v>0</v>
      </c>
      <c r="AK2550">
        <v>4</v>
      </c>
      <c r="AL2550">
        <v>3</v>
      </c>
      <c r="AM2550">
        <v>0</v>
      </c>
      <c r="AN2550">
        <v>2</v>
      </c>
      <c r="AT2550">
        <v>0</v>
      </c>
      <c r="AU2550">
        <v>16</v>
      </c>
      <c r="AV2550">
        <v>423</v>
      </c>
      <c r="AW2550">
        <v>423</v>
      </c>
      <c r="AX2550">
        <v>689</v>
      </c>
      <c r="BA2550">
        <v>1</v>
      </c>
      <c r="BC2550" t="s">
        <v>5201</v>
      </c>
      <c r="BD2550" s="4">
        <v>43283.060416666667</v>
      </c>
      <c r="BE2550" s="4">
        <v>43283.065879629627</v>
      </c>
      <c r="BF2550" s="4">
        <v>43283.065879629627</v>
      </c>
      <c r="BG2550" t="s">
        <v>83</v>
      </c>
      <c r="BH2550" t="s">
        <v>84</v>
      </c>
      <c r="BI2550" t="s">
        <v>85</v>
      </c>
    </row>
    <row r="2551" spans="1:61" x14ac:dyDescent="0.3">
      <c r="A2551" t="str">
        <f>"201424E0100"</f>
        <v>201424E0100</v>
      </c>
      <c r="B2551" s="2" t="s">
        <v>5202</v>
      </c>
      <c r="C2551">
        <v>20</v>
      </c>
      <c r="D2551" t="s">
        <v>79</v>
      </c>
      <c r="E2551">
        <v>12</v>
      </c>
      <c r="F2551" t="s">
        <v>5082</v>
      </c>
      <c r="G2551">
        <v>1424</v>
      </c>
      <c r="H2551">
        <v>1</v>
      </c>
      <c r="I2551" t="s">
        <v>145</v>
      </c>
      <c r="J2551">
        <v>0</v>
      </c>
      <c r="K2551">
        <v>1</v>
      </c>
      <c r="L2551">
        <v>2</v>
      </c>
      <c r="M2551" t="s">
        <v>100</v>
      </c>
      <c r="N2551" t="s">
        <v>100</v>
      </c>
      <c r="O2551" t="s">
        <v>100</v>
      </c>
      <c r="P2551" t="s">
        <v>100</v>
      </c>
      <c r="Q2551">
        <v>45</v>
      </c>
      <c r="R2551">
        <v>35</v>
      </c>
      <c r="S2551">
        <v>3</v>
      </c>
      <c r="T2551">
        <v>11</v>
      </c>
      <c r="U2551">
        <v>29</v>
      </c>
      <c r="V2551">
        <v>6</v>
      </c>
      <c r="W2551">
        <v>14</v>
      </c>
      <c r="X2551">
        <v>3</v>
      </c>
      <c r="Y2551">
        <v>246</v>
      </c>
      <c r="Z2551">
        <v>13</v>
      </c>
      <c r="AA2551">
        <v>4</v>
      </c>
      <c r="AB2551">
        <v>25</v>
      </c>
      <c r="AC2551">
        <v>3</v>
      </c>
      <c r="AD2551">
        <v>0</v>
      </c>
      <c r="AE2551">
        <v>0</v>
      </c>
      <c r="AF2551">
        <v>0</v>
      </c>
      <c r="AG2551">
        <v>1</v>
      </c>
      <c r="AH2551">
        <v>0</v>
      </c>
      <c r="AI2551">
        <v>0</v>
      </c>
      <c r="AJ2551">
        <v>0</v>
      </c>
      <c r="AK2551">
        <v>7</v>
      </c>
      <c r="AL2551">
        <v>0</v>
      </c>
      <c r="AM2551">
        <v>0</v>
      </c>
      <c r="AN2551">
        <v>0</v>
      </c>
      <c r="AT2551">
        <v>0</v>
      </c>
      <c r="AU2551">
        <v>10</v>
      </c>
      <c r="AV2551">
        <v>455</v>
      </c>
      <c r="AW2551">
        <v>455</v>
      </c>
      <c r="AX2551">
        <v>700</v>
      </c>
      <c r="BA2551">
        <v>1</v>
      </c>
      <c r="BC2551" t="s">
        <v>5203</v>
      </c>
      <c r="BD2551" s="4">
        <v>43282.963726851849</v>
      </c>
      <c r="BE2551" s="4">
        <v>43282.968506944446</v>
      </c>
      <c r="BF2551" s="4">
        <v>43282.968506944446</v>
      </c>
      <c r="BG2551" t="s">
        <v>373</v>
      </c>
      <c r="BH2551" t="s">
        <v>374</v>
      </c>
      <c r="BI2551" t="s">
        <v>85</v>
      </c>
    </row>
    <row r="2552" spans="1:61" x14ac:dyDescent="0.3">
      <c r="A2552" t="str">
        <f>"201424E0101"</f>
        <v>201424E0101</v>
      </c>
      <c r="B2552" s="2" t="s">
        <v>5204</v>
      </c>
      <c r="C2552">
        <v>20</v>
      </c>
      <c r="D2552" t="s">
        <v>79</v>
      </c>
      <c r="E2552">
        <v>12</v>
      </c>
      <c r="F2552" t="s">
        <v>5082</v>
      </c>
      <c r="G2552">
        <v>1424</v>
      </c>
      <c r="H2552">
        <v>1</v>
      </c>
      <c r="I2552" t="s">
        <v>145</v>
      </c>
      <c r="J2552">
        <v>1</v>
      </c>
      <c r="K2552">
        <v>1</v>
      </c>
      <c r="L2552">
        <v>2</v>
      </c>
      <c r="M2552">
        <v>288</v>
      </c>
      <c r="N2552">
        <v>433</v>
      </c>
      <c r="O2552">
        <v>6</v>
      </c>
      <c r="P2552">
        <v>429</v>
      </c>
      <c r="Q2552">
        <v>38</v>
      </c>
      <c r="R2552">
        <v>57</v>
      </c>
      <c r="S2552">
        <v>6</v>
      </c>
      <c r="T2552">
        <v>13</v>
      </c>
      <c r="U2552">
        <v>23</v>
      </c>
      <c r="V2552">
        <v>5</v>
      </c>
      <c r="W2552">
        <v>6</v>
      </c>
      <c r="X2552">
        <v>4</v>
      </c>
      <c r="Y2552">
        <v>225</v>
      </c>
      <c r="Z2552">
        <v>10</v>
      </c>
      <c r="AA2552">
        <v>1</v>
      </c>
      <c r="AB2552">
        <v>15</v>
      </c>
      <c r="AC2552">
        <v>2</v>
      </c>
      <c r="AD2552">
        <v>1</v>
      </c>
      <c r="AE2552">
        <v>0</v>
      </c>
      <c r="AF2552">
        <v>0</v>
      </c>
      <c r="AG2552">
        <v>0</v>
      </c>
      <c r="AH2552">
        <v>1</v>
      </c>
      <c r="AI2552">
        <v>0</v>
      </c>
      <c r="AJ2552">
        <v>0</v>
      </c>
      <c r="AK2552">
        <v>5</v>
      </c>
      <c r="AL2552">
        <v>1</v>
      </c>
      <c r="AM2552">
        <v>1</v>
      </c>
      <c r="AN2552">
        <v>0</v>
      </c>
      <c r="AT2552" t="s">
        <v>100</v>
      </c>
      <c r="AU2552">
        <v>15</v>
      </c>
      <c r="AV2552">
        <v>429</v>
      </c>
      <c r="AW2552">
        <v>429</v>
      </c>
      <c r="AX2552">
        <v>699</v>
      </c>
      <c r="AZ2552" t="s">
        <v>101</v>
      </c>
      <c r="BA2552">
        <v>1</v>
      </c>
      <c r="BC2552" t="s">
        <v>5205</v>
      </c>
      <c r="BD2552" s="4">
        <v>43283.021655092591</v>
      </c>
      <c r="BE2552" s="4">
        <v>43283.024988425925</v>
      </c>
      <c r="BF2552" s="4">
        <v>43283.024988425925</v>
      </c>
      <c r="BG2552" t="s">
        <v>373</v>
      </c>
      <c r="BH2552" t="s">
        <v>374</v>
      </c>
      <c r="BI2552" t="s">
        <v>85</v>
      </c>
    </row>
    <row r="2553" spans="1:61" x14ac:dyDescent="0.3">
      <c r="A2553" t="str">
        <f>"201424E0200"</f>
        <v>201424E0200</v>
      </c>
      <c r="B2553" s="2" t="s">
        <v>5206</v>
      </c>
      <c r="C2553">
        <v>20</v>
      </c>
      <c r="D2553" t="s">
        <v>79</v>
      </c>
      <c r="E2553">
        <v>12</v>
      </c>
      <c r="F2553" t="s">
        <v>5082</v>
      </c>
      <c r="G2553">
        <v>1424</v>
      </c>
      <c r="H2553">
        <v>2</v>
      </c>
      <c r="I2553" t="s">
        <v>145</v>
      </c>
      <c r="J2553">
        <v>0</v>
      </c>
      <c r="K2553">
        <v>1</v>
      </c>
      <c r="L2553">
        <v>2</v>
      </c>
      <c r="M2553">
        <v>254</v>
      </c>
      <c r="N2553">
        <v>504</v>
      </c>
      <c r="O2553">
        <v>4</v>
      </c>
      <c r="P2553">
        <v>504</v>
      </c>
      <c r="Q2553">
        <v>35</v>
      </c>
      <c r="R2553">
        <v>66</v>
      </c>
      <c r="S2553">
        <v>5</v>
      </c>
      <c r="T2553">
        <v>6</v>
      </c>
      <c r="U2553">
        <v>25</v>
      </c>
      <c r="V2553">
        <v>6</v>
      </c>
      <c r="W2553">
        <v>9</v>
      </c>
      <c r="X2553">
        <v>7</v>
      </c>
      <c r="Y2553">
        <v>265</v>
      </c>
      <c r="Z2553">
        <v>13</v>
      </c>
      <c r="AA2553">
        <v>6</v>
      </c>
      <c r="AB2553">
        <v>38</v>
      </c>
      <c r="AC2553">
        <v>2</v>
      </c>
      <c r="AD2553">
        <v>0</v>
      </c>
      <c r="AE2553">
        <v>0</v>
      </c>
      <c r="AF2553">
        <v>0</v>
      </c>
      <c r="AG2553">
        <v>2</v>
      </c>
      <c r="AH2553">
        <v>1</v>
      </c>
      <c r="AI2553">
        <v>0</v>
      </c>
      <c r="AJ2553">
        <v>0</v>
      </c>
      <c r="AK2553">
        <v>9</v>
      </c>
      <c r="AL2553">
        <v>0</v>
      </c>
      <c r="AM2553">
        <v>0</v>
      </c>
      <c r="AN2553">
        <v>0</v>
      </c>
      <c r="AT2553">
        <v>1</v>
      </c>
      <c r="AU2553">
        <v>8</v>
      </c>
      <c r="AV2553">
        <v>504</v>
      </c>
      <c r="AW2553">
        <v>504</v>
      </c>
      <c r="AX2553">
        <v>736</v>
      </c>
      <c r="BA2553">
        <v>1</v>
      </c>
      <c r="BC2553" t="s">
        <v>5207</v>
      </c>
      <c r="BD2553" s="4">
        <v>43282.974942129629</v>
      </c>
      <c r="BE2553" s="4">
        <v>43282.979803240742</v>
      </c>
      <c r="BF2553" s="4">
        <v>43282.979803240742</v>
      </c>
      <c r="BG2553" t="s">
        <v>373</v>
      </c>
      <c r="BH2553" t="s">
        <v>374</v>
      </c>
      <c r="BI2553" t="s">
        <v>85</v>
      </c>
    </row>
    <row r="2554" spans="1:61" x14ac:dyDescent="0.3">
      <c r="A2554" t="str">
        <f>"201424E0201"</f>
        <v>201424E0201</v>
      </c>
      <c r="B2554" s="2" t="s">
        <v>5208</v>
      </c>
      <c r="C2554">
        <v>20</v>
      </c>
      <c r="D2554" t="s">
        <v>79</v>
      </c>
      <c r="E2554">
        <v>12</v>
      </c>
      <c r="F2554" t="s">
        <v>5082</v>
      </c>
      <c r="G2554">
        <v>1424</v>
      </c>
      <c r="H2554">
        <v>2</v>
      </c>
      <c r="I2554" t="s">
        <v>145</v>
      </c>
      <c r="J2554">
        <v>1</v>
      </c>
      <c r="K2554">
        <v>1</v>
      </c>
      <c r="L2554">
        <v>2</v>
      </c>
      <c r="M2554">
        <v>256</v>
      </c>
      <c r="N2554">
        <v>502</v>
      </c>
      <c r="O2554">
        <v>9</v>
      </c>
      <c r="P2554">
        <v>502</v>
      </c>
      <c r="Q2554">
        <v>34</v>
      </c>
      <c r="R2554">
        <v>57</v>
      </c>
      <c r="S2554">
        <v>6</v>
      </c>
      <c r="T2554">
        <v>8</v>
      </c>
      <c r="U2554">
        <v>27</v>
      </c>
      <c r="V2554">
        <v>3</v>
      </c>
      <c r="W2554">
        <v>7</v>
      </c>
      <c r="X2554">
        <v>10</v>
      </c>
      <c r="Y2554">
        <v>265</v>
      </c>
      <c r="Z2554">
        <v>11</v>
      </c>
      <c r="AA2554">
        <v>3</v>
      </c>
      <c r="AB2554">
        <v>44</v>
      </c>
      <c r="AC2554">
        <v>1</v>
      </c>
      <c r="AD2554">
        <v>1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4</v>
      </c>
      <c r="AL2554">
        <v>3</v>
      </c>
      <c r="AM2554">
        <v>1</v>
      </c>
      <c r="AN2554">
        <v>1</v>
      </c>
      <c r="AT2554">
        <v>0</v>
      </c>
      <c r="AU2554">
        <v>16</v>
      </c>
      <c r="AV2554">
        <v>502</v>
      </c>
      <c r="AW2554">
        <v>502</v>
      </c>
      <c r="AX2554">
        <v>736</v>
      </c>
      <c r="BA2554">
        <v>1</v>
      </c>
      <c r="BC2554" t="s">
        <v>5209</v>
      </c>
      <c r="BD2554" s="4">
        <v>43282.981134259258</v>
      </c>
      <c r="BE2554" s="4">
        <v>43282.98542824074</v>
      </c>
      <c r="BF2554" s="4">
        <v>43282.98542824074</v>
      </c>
      <c r="BG2554" t="s">
        <v>373</v>
      </c>
      <c r="BH2554" t="s">
        <v>374</v>
      </c>
      <c r="BI2554" t="s">
        <v>85</v>
      </c>
    </row>
    <row r="2555" spans="1:61" x14ac:dyDescent="0.3">
      <c r="A2555" t="str">
        <f>"201424E0202"</f>
        <v>201424E0202</v>
      </c>
      <c r="B2555" s="2" t="s">
        <v>5210</v>
      </c>
      <c r="C2555">
        <v>20</v>
      </c>
      <c r="D2555" t="s">
        <v>79</v>
      </c>
      <c r="E2555">
        <v>12</v>
      </c>
      <c r="F2555" t="s">
        <v>5082</v>
      </c>
      <c r="G2555">
        <v>1424</v>
      </c>
      <c r="H2555">
        <v>2</v>
      </c>
      <c r="I2555" t="s">
        <v>145</v>
      </c>
      <c r="J2555">
        <v>2</v>
      </c>
      <c r="K2555">
        <v>1</v>
      </c>
      <c r="L2555">
        <v>2</v>
      </c>
      <c r="M2555">
        <v>260</v>
      </c>
      <c r="N2555">
        <v>497</v>
      </c>
      <c r="O2555">
        <v>11</v>
      </c>
      <c r="P2555">
        <v>497</v>
      </c>
      <c r="Q2555">
        <v>57</v>
      </c>
      <c r="R2555">
        <v>45</v>
      </c>
      <c r="S2555">
        <v>6</v>
      </c>
      <c r="T2555">
        <v>8</v>
      </c>
      <c r="U2555">
        <v>23</v>
      </c>
      <c r="V2555">
        <v>7</v>
      </c>
      <c r="W2555">
        <v>7</v>
      </c>
      <c r="X2555">
        <v>4</v>
      </c>
      <c r="Y2555">
        <v>269</v>
      </c>
      <c r="Z2555">
        <v>9</v>
      </c>
      <c r="AA2555">
        <v>4</v>
      </c>
      <c r="AB2555">
        <v>39</v>
      </c>
      <c r="AC2555">
        <v>1</v>
      </c>
      <c r="AD2555">
        <v>0</v>
      </c>
      <c r="AE2555">
        <v>0</v>
      </c>
      <c r="AF2555">
        <v>0</v>
      </c>
      <c r="AG2555">
        <v>0</v>
      </c>
      <c r="AH2555">
        <v>1</v>
      </c>
      <c r="AI2555">
        <v>0</v>
      </c>
      <c r="AJ2555">
        <v>0</v>
      </c>
      <c r="AK2555">
        <v>5</v>
      </c>
      <c r="AL2555">
        <v>2</v>
      </c>
      <c r="AM2555">
        <v>0</v>
      </c>
      <c r="AN2555">
        <v>1</v>
      </c>
      <c r="AT2555">
        <v>1</v>
      </c>
      <c r="AU2555">
        <v>8</v>
      </c>
      <c r="AV2555">
        <v>497</v>
      </c>
      <c r="AW2555">
        <v>497</v>
      </c>
      <c r="AX2555">
        <v>735</v>
      </c>
      <c r="BA2555">
        <v>1</v>
      </c>
      <c r="BC2555" t="s">
        <v>5211</v>
      </c>
      <c r="BD2555" s="4">
        <v>43282.991307870368</v>
      </c>
      <c r="BE2555" s="4">
        <v>43282.997881944444</v>
      </c>
      <c r="BF2555" s="4">
        <v>43282.997881944444</v>
      </c>
      <c r="BG2555" t="s">
        <v>373</v>
      </c>
      <c r="BH2555" t="s">
        <v>374</v>
      </c>
      <c r="BI2555" t="s">
        <v>85</v>
      </c>
    </row>
    <row r="2556" spans="1:61" x14ac:dyDescent="0.3">
      <c r="A2556" t="str">
        <f>"201424E0203"</f>
        <v>201424E0203</v>
      </c>
      <c r="B2556" s="2" t="s">
        <v>5212</v>
      </c>
      <c r="C2556">
        <v>20</v>
      </c>
      <c r="D2556" t="s">
        <v>79</v>
      </c>
      <c r="E2556">
        <v>12</v>
      </c>
      <c r="F2556" t="s">
        <v>5082</v>
      </c>
      <c r="G2556">
        <v>1424</v>
      </c>
      <c r="H2556">
        <v>2</v>
      </c>
      <c r="I2556" t="s">
        <v>145</v>
      </c>
      <c r="J2556">
        <v>3</v>
      </c>
      <c r="K2556">
        <v>1</v>
      </c>
      <c r="L2556">
        <v>2</v>
      </c>
      <c r="M2556">
        <v>274</v>
      </c>
      <c r="N2556">
        <v>483</v>
      </c>
      <c r="O2556">
        <v>7</v>
      </c>
      <c r="P2556">
        <v>478</v>
      </c>
      <c r="Q2556">
        <v>35</v>
      </c>
      <c r="R2556">
        <v>51</v>
      </c>
      <c r="S2556">
        <v>5</v>
      </c>
      <c r="T2556">
        <v>9</v>
      </c>
      <c r="U2556">
        <v>24</v>
      </c>
      <c r="V2556">
        <v>6</v>
      </c>
      <c r="W2556">
        <v>7</v>
      </c>
      <c r="X2556">
        <v>5</v>
      </c>
      <c r="Y2556">
        <v>259</v>
      </c>
      <c r="Z2556">
        <v>11</v>
      </c>
      <c r="AA2556">
        <v>4</v>
      </c>
      <c r="AB2556">
        <v>45</v>
      </c>
      <c r="AC2556">
        <v>0</v>
      </c>
      <c r="AD2556">
        <v>0</v>
      </c>
      <c r="AE2556">
        <v>0</v>
      </c>
      <c r="AF2556">
        <v>0</v>
      </c>
      <c r="AG2556">
        <v>1</v>
      </c>
      <c r="AH2556">
        <v>3</v>
      </c>
      <c r="AI2556">
        <v>0</v>
      </c>
      <c r="AJ2556">
        <v>0</v>
      </c>
      <c r="AK2556">
        <v>3</v>
      </c>
      <c r="AL2556">
        <v>0</v>
      </c>
      <c r="AM2556">
        <v>0</v>
      </c>
      <c r="AN2556">
        <v>1</v>
      </c>
      <c r="AT2556">
        <v>0</v>
      </c>
      <c r="AU2556">
        <v>9</v>
      </c>
      <c r="AV2556">
        <v>478</v>
      </c>
      <c r="AW2556">
        <v>478</v>
      </c>
      <c r="AX2556">
        <v>735</v>
      </c>
      <c r="BA2556">
        <v>1</v>
      </c>
      <c r="BC2556" t="s">
        <v>5213</v>
      </c>
      <c r="BD2556" s="4">
        <v>43282.984039351853</v>
      </c>
      <c r="BE2556" s="4">
        <v>43282.990914351853</v>
      </c>
      <c r="BF2556" s="4">
        <v>43282.990914351853</v>
      </c>
      <c r="BG2556" t="s">
        <v>373</v>
      </c>
      <c r="BH2556" t="s">
        <v>374</v>
      </c>
      <c r="BI2556" t="s">
        <v>85</v>
      </c>
    </row>
    <row r="2557" spans="1:61" x14ac:dyDescent="0.3">
      <c r="A2557" t="str">
        <f>"201425B0100"</f>
        <v>201425B0100</v>
      </c>
      <c r="B2557" t="s">
        <v>5214</v>
      </c>
      <c r="C2557">
        <v>20</v>
      </c>
      <c r="D2557" t="s">
        <v>79</v>
      </c>
      <c r="E2557">
        <v>12</v>
      </c>
      <c r="F2557" t="s">
        <v>5082</v>
      </c>
      <c r="G2557">
        <v>1425</v>
      </c>
      <c r="H2557">
        <v>1</v>
      </c>
      <c r="I2557" t="s">
        <v>81</v>
      </c>
      <c r="J2557">
        <v>0</v>
      </c>
      <c r="K2557">
        <v>2</v>
      </c>
      <c r="L2557">
        <v>2</v>
      </c>
      <c r="M2557">
        <v>260</v>
      </c>
      <c r="N2557">
        <v>375</v>
      </c>
      <c r="O2557">
        <v>4</v>
      </c>
      <c r="P2557">
        <v>375</v>
      </c>
      <c r="Q2557">
        <v>28</v>
      </c>
      <c r="R2557">
        <v>29</v>
      </c>
      <c r="S2557">
        <v>7</v>
      </c>
      <c r="T2557">
        <v>11</v>
      </c>
      <c r="U2557">
        <v>31</v>
      </c>
      <c r="V2557">
        <v>8</v>
      </c>
      <c r="W2557">
        <v>2</v>
      </c>
      <c r="X2557">
        <v>2</v>
      </c>
      <c r="Y2557">
        <v>199</v>
      </c>
      <c r="Z2557">
        <v>11</v>
      </c>
      <c r="AA2557">
        <v>3</v>
      </c>
      <c r="AB2557">
        <v>13</v>
      </c>
      <c r="AC2557">
        <v>1</v>
      </c>
      <c r="AD2557">
        <v>0</v>
      </c>
      <c r="AE2557">
        <v>0</v>
      </c>
      <c r="AF2557">
        <v>0</v>
      </c>
      <c r="AG2557">
        <v>1</v>
      </c>
      <c r="AH2557">
        <v>4</v>
      </c>
      <c r="AI2557">
        <v>0</v>
      </c>
      <c r="AJ2557">
        <v>0</v>
      </c>
      <c r="AK2557">
        <v>4</v>
      </c>
      <c r="AL2557">
        <v>4</v>
      </c>
      <c r="AM2557">
        <v>0</v>
      </c>
      <c r="AN2557">
        <v>0</v>
      </c>
      <c r="AT2557">
        <v>0</v>
      </c>
      <c r="AU2557">
        <v>17</v>
      </c>
      <c r="AV2557">
        <v>375</v>
      </c>
      <c r="AW2557">
        <v>375</v>
      </c>
      <c r="AX2557">
        <v>613</v>
      </c>
      <c r="BA2557">
        <v>1</v>
      </c>
      <c r="BC2557" t="s">
        <v>5215</v>
      </c>
      <c r="BD2557" s="4">
        <v>43283.057175925926</v>
      </c>
      <c r="BE2557" s="4">
        <v>43283.060798611114</v>
      </c>
      <c r="BF2557" s="4">
        <v>43283.060798611114</v>
      </c>
      <c r="BG2557" t="s">
        <v>373</v>
      </c>
      <c r="BH2557" t="s">
        <v>374</v>
      </c>
      <c r="BI2557" t="s">
        <v>85</v>
      </c>
    </row>
    <row r="2558" spans="1:61" x14ac:dyDescent="0.3">
      <c r="A2558" t="str">
        <f>"201425C0100"</f>
        <v>201425C0100</v>
      </c>
      <c r="B2558" t="s">
        <v>5216</v>
      </c>
      <c r="C2558">
        <v>20</v>
      </c>
      <c r="D2558" t="s">
        <v>79</v>
      </c>
      <c r="E2558">
        <v>12</v>
      </c>
      <c r="F2558" t="s">
        <v>5082</v>
      </c>
      <c r="G2558">
        <v>1425</v>
      </c>
      <c r="H2558">
        <v>1</v>
      </c>
      <c r="I2558" t="s">
        <v>89</v>
      </c>
      <c r="J2558">
        <v>0</v>
      </c>
      <c r="K2558">
        <v>2</v>
      </c>
      <c r="L2558">
        <v>2</v>
      </c>
      <c r="M2558">
        <v>250</v>
      </c>
      <c r="N2558">
        <v>384</v>
      </c>
      <c r="O2558">
        <v>10</v>
      </c>
      <c r="P2558">
        <v>384</v>
      </c>
      <c r="Q2558">
        <v>24</v>
      </c>
      <c r="R2558">
        <v>37</v>
      </c>
      <c r="S2558">
        <v>7</v>
      </c>
      <c r="T2558">
        <v>8</v>
      </c>
      <c r="U2558">
        <v>17</v>
      </c>
      <c r="V2558">
        <v>6</v>
      </c>
      <c r="W2558">
        <v>5</v>
      </c>
      <c r="X2558">
        <v>3</v>
      </c>
      <c r="Y2558">
        <v>232</v>
      </c>
      <c r="Z2558">
        <v>8</v>
      </c>
      <c r="AA2558">
        <v>5</v>
      </c>
      <c r="AB2558">
        <v>5</v>
      </c>
      <c r="AC2558">
        <v>0</v>
      </c>
      <c r="AD2558">
        <v>0</v>
      </c>
      <c r="AE2558">
        <v>0</v>
      </c>
      <c r="AF2558">
        <v>0</v>
      </c>
      <c r="AG2558">
        <v>1</v>
      </c>
      <c r="AH2558">
        <v>1</v>
      </c>
      <c r="AI2558">
        <v>1</v>
      </c>
      <c r="AJ2558">
        <v>0</v>
      </c>
      <c r="AK2558">
        <v>4</v>
      </c>
      <c r="AL2558">
        <v>2</v>
      </c>
      <c r="AM2558">
        <v>2</v>
      </c>
      <c r="AN2558">
        <v>2</v>
      </c>
      <c r="AT2558">
        <v>1</v>
      </c>
      <c r="AU2558">
        <v>13</v>
      </c>
      <c r="AV2558">
        <v>384</v>
      </c>
      <c r="AW2558">
        <v>384</v>
      </c>
      <c r="AX2558">
        <v>612</v>
      </c>
      <c r="BA2558">
        <v>1</v>
      </c>
      <c r="BC2558" t="s">
        <v>5217</v>
      </c>
      <c r="BD2558" s="4">
        <v>43282.946446759262</v>
      </c>
      <c r="BE2558" s="4">
        <v>43282.950196759259</v>
      </c>
      <c r="BF2558" s="4">
        <v>43282.950196759259</v>
      </c>
      <c r="BG2558" t="s">
        <v>373</v>
      </c>
      <c r="BH2558" t="s">
        <v>374</v>
      </c>
      <c r="BI2558" t="s">
        <v>85</v>
      </c>
    </row>
    <row r="2559" spans="1:61" x14ac:dyDescent="0.3">
      <c r="A2559" t="str">
        <f>"201425C0200"</f>
        <v>201425C0200</v>
      </c>
      <c r="B2559" t="s">
        <v>5218</v>
      </c>
      <c r="C2559">
        <v>20</v>
      </c>
      <c r="D2559" t="s">
        <v>79</v>
      </c>
      <c r="E2559">
        <v>12</v>
      </c>
      <c r="F2559" t="s">
        <v>5082</v>
      </c>
      <c r="G2559">
        <v>1425</v>
      </c>
      <c r="H2559">
        <v>2</v>
      </c>
      <c r="I2559" t="s">
        <v>89</v>
      </c>
      <c r="J2559">
        <v>0</v>
      </c>
      <c r="K2559">
        <v>2</v>
      </c>
      <c r="L2559">
        <v>2</v>
      </c>
      <c r="M2559">
        <v>238</v>
      </c>
      <c r="N2559">
        <v>396</v>
      </c>
      <c r="O2559">
        <v>6</v>
      </c>
      <c r="P2559">
        <v>396</v>
      </c>
      <c r="Q2559">
        <v>34</v>
      </c>
      <c r="R2559">
        <v>37</v>
      </c>
      <c r="S2559">
        <v>6</v>
      </c>
      <c r="T2559">
        <v>10</v>
      </c>
      <c r="U2559">
        <v>29</v>
      </c>
      <c r="V2559">
        <v>15</v>
      </c>
      <c r="W2559">
        <v>5</v>
      </c>
      <c r="X2559">
        <v>7</v>
      </c>
      <c r="Y2559">
        <v>210</v>
      </c>
      <c r="Z2559">
        <v>9</v>
      </c>
      <c r="AA2559">
        <v>3</v>
      </c>
      <c r="AB2559">
        <v>9</v>
      </c>
      <c r="AC2559">
        <v>0</v>
      </c>
      <c r="AD2559">
        <v>0</v>
      </c>
      <c r="AE2559">
        <v>1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6</v>
      </c>
      <c r="AL2559">
        <v>2</v>
      </c>
      <c r="AM2559">
        <v>0</v>
      </c>
      <c r="AN2559">
        <v>2</v>
      </c>
      <c r="AT2559">
        <v>0</v>
      </c>
      <c r="AU2559">
        <v>11</v>
      </c>
      <c r="AV2559">
        <v>396</v>
      </c>
      <c r="AW2559">
        <v>396</v>
      </c>
      <c r="AX2559">
        <v>612</v>
      </c>
      <c r="BA2559">
        <v>1</v>
      </c>
      <c r="BC2559" t="s">
        <v>5219</v>
      </c>
      <c r="BD2559" s="4">
        <v>43282.953877314816</v>
      </c>
      <c r="BE2559" s="4">
        <v>43282.961134259262</v>
      </c>
      <c r="BF2559" s="4">
        <v>43282.961134259262</v>
      </c>
      <c r="BG2559" t="s">
        <v>373</v>
      </c>
      <c r="BH2559" t="s">
        <v>374</v>
      </c>
      <c r="BI2559" t="s">
        <v>85</v>
      </c>
    </row>
    <row r="2560" spans="1:61" x14ac:dyDescent="0.3">
      <c r="A2560" t="str">
        <f>"201425C0300"</f>
        <v>201425C0300</v>
      </c>
      <c r="B2560" t="s">
        <v>5220</v>
      </c>
      <c r="C2560">
        <v>20</v>
      </c>
      <c r="D2560" t="s">
        <v>79</v>
      </c>
      <c r="E2560">
        <v>12</v>
      </c>
      <c r="F2560" t="s">
        <v>5082</v>
      </c>
      <c r="G2560">
        <v>1425</v>
      </c>
      <c r="H2560">
        <v>3</v>
      </c>
      <c r="I2560" t="s">
        <v>89</v>
      </c>
      <c r="J2560">
        <v>0</v>
      </c>
      <c r="K2560">
        <v>2</v>
      </c>
      <c r="L2560">
        <v>2</v>
      </c>
      <c r="M2560">
        <v>253</v>
      </c>
      <c r="N2560">
        <v>381</v>
      </c>
      <c r="O2560">
        <v>5</v>
      </c>
      <c r="P2560">
        <v>381</v>
      </c>
      <c r="Q2560">
        <v>30</v>
      </c>
      <c r="R2560">
        <v>36</v>
      </c>
      <c r="S2560">
        <v>8</v>
      </c>
      <c r="T2560">
        <v>9</v>
      </c>
      <c r="U2560">
        <v>33</v>
      </c>
      <c r="V2560">
        <v>7</v>
      </c>
      <c r="W2560">
        <v>4</v>
      </c>
      <c r="X2560">
        <v>4</v>
      </c>
      <c r="Y2560">
        <v>201</v>
      </c>
      <c r="Z2560">
        <v>6</v>
      </c>
      <c r="AA2560">
        <v>3</v>
      </c>
      <c r="AB2560">
        <v>16</v>
      </c>
      <c r="AC2560">
        <v>1</v>
      </c>
      <c r="AD2560">
        <v>1</v>
      </c>
      <c r="AE2560">
        <v>0</v>
      </c>
      <c r="AF2560">
        <v>0</v>
      </c>
      <c r="AG2560">
        <v>0</v>
      </c>
      <c r="AH2560">
        <v>0</v>
      </c>
      <c r="AI2560">
        <v>1</v>
      </c>
      <c r="AJ2560">
        <v>0</v>
      </c>
      <c r="AK2560">
        <v>3</v>
      </c>
      <c r="AL2560">
        <v>5</v>
      </c>
      <c r="AM2560">
        <v>0</v>
      </c>
      <c r="AN2560">
        <v>0</v>
      </c>
      <c r="AT2560">
        <v>0</v>
      </c>
      <c r="AU2560">
        <v>13</v>
      </c>
      <c r="AV2560">
        <v>381</v>
      </c>
      <c r="AW2560">
        <v>381</v>
      </c>
      <c r="AX2560">
        <v>612</v>
      </c>
      <c r="BA2560">
        <v>1</v>
      </c>
      <c r="BC2560" t="s">
        <v>5221</v>
      </c>
      <c r="BD2560" s="4">
        <v>43282.953865740739</v>
      </c>
      <c r="BE2560" s="4">
        <v>43282.957256944443</v>
      </c>
      <c r="BF2560" s="4">
        <v>43282.957256944443</v>
      </c>
      <c r="BG2560" t="s">
        <v>373</v>
      </c>
      <c r="BH2560" t="s">
        <v>374</v>
      </c>
      <c r="BI2560" t="s">
        <v>85</v>
      </c>
    </row>
    <row r="2561" spans="1:61" x14ac:dyDescent="0.3">
      <c r="A2561" t="str">
        <f>"201482B0100"</f>
        <v>201482B0100</v>
      </c>
      <c r="B2561" t="s">
        <v>5222</v>
      </c>
      <c r="C2561">
        <v>20</v>
      </c>
      <c r="D2561" t="s">
        <v>79</v>
      </c>
      <c r="E2561">
        <v>12</v>
      </c>
      <c r="F2561" t="s">
        <v>5082</v>
      </c>
      <c r="G2561">
        <v>1482</v>
      </c>
      <c r="H2561">
        <v>1</v>
      </c>
      <c r="I2561" t="s">
        <v>81</v>
      </c>
      <c r="J2561">
        <v>0</v>
      </c>
      <c r="K2561">
        <v>2</v>
      </c>
      <c r="L2561">
        <v>2</v>
      </c>
      <c r="M2561">
        <v>351</v>
      </c>
      <c r="N2561">
        <v>418</v>
      </c>
      <c r="O2561">
        <v>2</v>
      </c>
      <c r="P2561" t="s">
        <v>100</v>
      </c>
      <c r="Q2561">
        <v>14</v>
      </c>
      <c r="R2561">
        <v>51</v>
      </c>
      <c r="S2561">
        <v>27</v>
      </c>
      <c r="T2561">
        <v>10</v>
      </c>
      <c r="U2561">
        <v>26</v>
      </c>
      <c r="V2561">
        <v>6</v>
      </c>
      <c r="W2561">
        <v>4</v>
      </c>
      <c r="X2561">
        <v>5</v>
      </c>
      <c r="Y2561">
        <v>215</v>
      </c>
      <c r="Z2561">
        <v>9</v>
      </c>
      <c r="AA2561">
        <v>1</v>
      </c>
      <c r="AB2561">
        <v>8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2</v>
      </c>
      <c r="AI2561">
        <v>1</v>
      </c>
      <c r="AJ2561">
        <v>0</v>
      </c>
      <c r="AK2561">
        <v>11</v>
      </c>
      <c r="AL2561">
        <v>3</v>
      </c>
      <c r="AM2561">
        <v>4</v>
      </c>
      <c r="AN2561">
        <v>0</v>
      </c>
      <c r="AT2561">
        <v>0</v>
      </c>
      <c r="AU2561">
        <v>21</v>
      </c>
      <c r="AV2561">
        <v>418</v>
      </c>
      <c r="AW2561">
        <v>418</v>
      </c>
      <c r="AX2561">
        <v>747</v>
      </c>
      <c r="BA2561">
        <v>1</v>
      </c>
      <c r="BC2561" t="s">
        <v>5223</v>
      </c>
      <c r="BD2561" s="4">
        <v>43282.868773148148</v>
      </c>
      <c r="BE2561" s="4">
        <v>43282.873240740744</v>
      </c>
      <c r="BF2561" s="4">
        <v>43282.873240740744</v>
      </c>
      <c r="BG2561" t="s">
        <v>373</v>
      </c>
      <c r="BH2561" t="s">
        <v>374</v>
      </c>
      <c r="BI2561" t="s">
        <v>85</v>
      </c>
    </row>
    <row r="2562" spans="1:61" x14ac:dyDescent="0.3">
      <c r="A2562" t="str">
        <f>"201482C0100"</f>
        <v>201482C0100</v>
      </c>
      <c r="B2562" t="s">
        <v>5224</v>
      </c>
      <c r="C2562">
        <v>20</v>
      </c>
      <c r="D2562" t="s">
        <v>79</v>
      </c>
      <c r="E2562">
        <v>12</v>
      </c>
      <c r="F2562" t="s">
        <v>5082</v>
      </c>
      <c r="G2562">
        <v>1482</v>
      </c>
      <c r="H2562">
        <v>1</v>
      </c>
      <c r="I2562" t="s">
        <v>89</v>
      </c>
      <c r="J2562">
        <v>0</v>
      </c>
      <c r="K2562">
        <v>2</v>
      </c>
      <c r="L2562">
        <v>2</v>
      </c>
      <c r="M2562">
        <v>388</v>
      </c>
      <c r="N2562">
        <v>378</v>
      </c>
      <c r="O2562">
        <v>1</v>
      </c>
      <c r="P2562">
        <v>378</v>
      </c>
      <c r="Q2562">
        <v>25</v>
      </c>
      <c r="R2562">
        <v>45</v>
      </c>
      <c r="S2562">
        <v>27</v>
      </c>
      <c r="T2562">
        <v>17</v>
      </c>
      <c r="U2562">
        <v>27</v>
      </c>
      <c r="V2562">
        <v>4</v>
      </c>
      <c r="W2562">
        <v>8</v>
      </c>
      <c r="X2562">
        <v>3</v>
      </c>
      <c r="Y2562">
        <v>159</v>
      </c>
      <c r="Z2562">
        <v>7</v>
      </c>
      <c r="AA2562">
        <v>2</v>
      </c>
      <c r="AB2562">
        <v>6</v>
      </c>
      <c r="AC2562">
        <v>3</v>
      </c>
      <c r="AD2562">
        <v>0</v>
      </c>
      <c r="AE2562">
        <v>0</v>
      </c>
      <c r="AF2562">
        <v>0</v>
      </c>
      <c r="AG2562">
        <v>0</v>
      </c>
      <c r="AH2562">
        <v>1</v>
      </c>
      <c r="AI2562">
        <v>0</v>
      </c>
      <c r="AJ2562">
        <v>0</v>
      </c>
      <c r="AK2562">
        <v>8</v>
      </c>
      <c r="AL2562">
        <v>5</v>
      </c>
      <c r="AM2562">
        <v>0</v>
      </c>
      <c r="AN2562">
        <v>3</v>
      </c>
      <c r="AT2562">
        <v>0</v>
      </c>
      <c r="AU2562">
        <v>24</v>
      </c>
      <c r="AV2562">
        <v>378</v>
      </c>
      <c r="AW2562">
        <v>374</v>
      </c>
      <c r="AX2562">
        <v>746</v>
      </c>
      <c r="BA2562">
        <v>1</v>
      </c>
      <c r="BC2562" t="s">
        <v>5225</v>
      </c>
      <c r="BD2562" s="4">
        <v>43283.018043981479</v>
      </c>
      <c r="BE2562" s="4">
        <v>43283.024259259262</v>
      </c>
      <c r="BF2562" s="4">
        <v>43283.024259259262</v>
      </c>
      <c r="BG2562" t="s">
        <v>373</v>
      </c>
      <c r="BH2562" t="s">
        <v>374</v>
      </c>
      <c r="BI2562" t="s">
        <v>85</v>
      </c>
    </row>
    <row r="2563" spans="1:61" x14ac:dyDescent="0.3">
      <c r="A2563" t="str">
        <f>"201482C0200"</f>
        <v>201482C0200</v>
      </c>
      <c r="B2563" t="s">
        <v>5226</v>
      </c>
      <c r="C2563">
        <v>20</v>
      </c>
      <c r="D2563" t="s">
        <v>79</v>
      </c>
      <c r="E2563">
        <v>12</v>
      </c>
      <c r="F2563" t="s">
        <v>5082</v>
      </c>
      <c r="G2563">
        <v>1482</v>
      </c>
      <c r="H2563">
        <v>2</v>
      </c>
      <c r="I2563" t="s">
        <v>89</v>
      </c>
      <c r="J2563">
        <v>0</v>
      </c>
      <c r="K2563">
        <v>2</v>
      </c>
      <c r="L2563">
        <v>2</v>
      </c>
      <c r="M2563">
        <v>384</v>
      </c>
      <c r="N2563">
        <v>384</v>
      </c>
      <c r="O2563">
        <v>0</v>
      </c>
      <c r="P2563">
        <v>377</v>
      </c>
      <c r="Q2563">
        <v>20</v>
      </c>
      <c r="R2563">
        <v>42</v>
      </c>
      <c r="S2563">
        <v>27</v>
      </c>
      <c r="T2563">
        <v>10</v>
      </c>
      <c r="U2563">
        <v>20</v>
      </c>
      <c r="V2563">
        <v>1</v>
      </c>
      <c r="W2563">
        <v>7</v>
      </c>
      <c r="X2563">
        <v>1</v>
      </c>
      <c r="Y2563">
        <v>197</v>
      </c>
      <c r="Z2563">
        <v>7</v>
      </c>
      <c r="AA2563">
        <v>1</v>
      </c>
      <c r="AB2563">
        <v>9</v>
      </c>
      <c r="AC2563">
        <v>1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1</v>
      </c>
      <c r="AJ2563">
        <v>0</v>
      </c>
      <c r="AK2563">
        <v>6</v>
      </c>
      <c r="AL2563">
        <v>3</v>
      </c>
      <c r="AM2563">
        <v>0</v>
      </c>
      <c r="AN2563">
        <v>2</v>
      </c>
      <c r="AT2563">
        <v>0</v>
      </c>
      <c r="AU2563">
        <v>23</v>
      </c>
      <c r="AV2563">
        <v>377</v>
      </c>
      <c r="AW2563">
        <v>378</v>
      </c>
      <c r="AX2563">
        <v>746</v>
      </c>
      <c r="BA2563">
        <v>1</v>
      </c>
      <c r="BC2563" t="s">
        <v>5227</v>
      </c>
      <c r="BD2563" s="4">
        <v>43283.009780092594</v>
      </c>
      <c r="BE2563" s="4">
        <v>43283.013356481482</v>
      </c>
      <c r="BF2563" s="4">
        <v>43283.013356481482</v>
      </c>
      <c r="BG2563" t="s">
        <v>373</v>
      </c>
      <c r="BH2563" t="s">
        <v>374</v>
      </c>
      <c r="BI2563" t="s">
        <v>85</v>
      </c>
    </row>
    <row r="2564" spans="1:61" x14ac:dyDescent="0.3">
      <c r="A2564" t="str">
        <f>"201483B0100"</f>
        <v>201483B0100</v>
      </c>
      <c r="B2564" t="s">
        <v>5228</v>
      </c>
      <c r="C2564">
        <v>20</v>
      </c>
      <c r="D2564" t="s">
        <v>79</v>
      </c>
      <c r="E2564">
        <v>12</v>
      </c>
      <c r="F2564" t="s">
        <v>5082</v>
      </c>
      <c r="G2564">
        <v>1483</v>
      </c>
      <c r="H2564">
        <v>1</v>
      </c>
      <c r="I2564" t="s">
        <v>81</v>
      </c>
      <c r="J2564">
        <v>0</v>
      </c>
      <c r="K2564">
        <v>2</v>
      </c>
      <c r="L2564">
        <v>2</v>
      </c>
      <c r="M2564">
        <v>331</v>
      </c>
      <c r="N2564">
        <v>401</v>
      </c>
      <c r="O2564">
        <v>5</v>
      </c>
      <c r="P2564">
        <v>401</v>
      </c>
      <c r="Q2564">
        <v>12</v>
      </c>
      <c r="R2564">
        <v>39</v>
      </c>
      <c r="S2564">
        <v>22</v>
      </c>
      <c r="T2564">
        <v>12</v>
      </c>
      <c r="U2564" t="s">
        <v>315</v>
      </c>
      <c r="V2564">
        <v>6</v>
      </c>
      <c r="W2564">
        <v>7</v>
      </c>
      <c r="X2564">
        <v>3</v>
      </c>
      <c r="Y2564">
        <v>205</v>
      </c>
      <c r="Z2564">
        <v>13</v>
      </c>
      <c r="AA2564">
        <v>6</v>
      </c>
      <c r="AB2564">
        <v>6</v>
      </c>
      <c r="AC2564">
        <v>1</v>
      </c>
      <c r="AD2564">
        <v>1</v>
      </c>
      <c r="AE2564">
        <v>0</v>
      </c>
      <c r="AF2564">
        <v>0</v>
      </c>
      <c r="AG2564">
        <v>0</v>
      </c>
      <c r="AH2564">
        <v>1</v>
      </c>
      <c r="AI2564">
        <v>0</v>
      </c>
      <c r="AJ2564">
        <v>0</v>
      </c>
      <c r="AK2564">
        <v>10</v>
      </c>
      <c r="AL2564">
        <v>4</v>
      </c>
      <c r="AM2564">
        <v>0</v>
      </c>
      <c r="AN2564">
        <v>2</v>
      </c>
      <c r="AT2564">
        <v>0</v>
      </c>
      <c r="AU2564">
        <v>14</v>
      </c>
      <c r="AV2564">
        <v>401</v>
      </c>
      <c r="AW2564">
        <v>364</v>
      </c>
      <c r="AX2564">
        <v>711</v>
      </c>
      <c r="AZ2564" t="s">
        <v>101</v>
      </c>
      <c r="BA2564">
        <v>1</v>
      </c>
      <c r="BC2564" t="s">
        <v>5229</v>
      </c>
      <c r="BD2564" s="4">
        <v>43282.933541666665</v>
      </c>
      <c r="BE2564" s="4">
        <v>43282.938854166663</v>
      </c>
      <c r="BF2564" s="4">
        <v>43282.938854166663</v>
      </c>
      <c r="BG2564" t="s">
        <v>373</v>
      </c>
      <c r="BH2564" t="s">
        <v>374</v>
      </c>
      <c r="BI2564" t="s">
        <v>85</v>
      </c>
    </row>
    <row r="2565" spans="1:61" x14ac:dyDescent="0.3">
      <c r="A2565" t="str">
        <f>"201483C0100"</f>
        <v>201483C0100</v>
      </c>
      <c r="B2565" t="s">
        <v>5230</v>
      </c>
      <c r="C2565">
        <v>20</v>
      </c>
      <c r="D2565" t="s">
        <v>79</v>
      </c>
      <c r="E2565">
        <v>12</v>
      </c>
      <c r="F2565" t="s">
        <v>5082</v>
      </c>
      <c r="G2565">
        <v>1483</v>
      </c>
      <c r="H2565">
        <v>1</v>
      </c>
      <c r="I2565" t="s">
        <v>89</v>
      </c>
      <c r="J2565">
        <v>0</v>
      </c>
      <c r="K2565">
        <v>2</v>
      </c>
      <c r="L2565">
        <v>2</v>
      </c>
      <c r="M2565">
        <v>356</v>
      </c>
      <c r="N2565">
        <v>376</v>
      </c>
      <c r="O2565">
        <v>9</v>
      </c>
      <c r="P2565">
        <v>376</v>
      </c>
      <c r="Q2565">
        <v>16</v>
      </c>
      <c r="R2565">
        <v>37</v>
      </c>
      <c r="S2565">
        <v>11</v>
      </c>
      <c r="T2565">
        <v>6</v>
      </c>
      <c r="U2565">
        <v>39</v>
      </c>
      <c r="V2565">
        <v>6</v>
      </c>
      <c r="W2565">
        <v>4</v>
      </c>
      <c r="X2565">
        <v>3</v>
      </c>
      <c r="Y2565">
        <v>211</v>
      </c>
      <c r="Z2565">
        <v>6</v>
      </c>
      <c r="AA2565">
        <v>4</v>
      </c>
      <c r="AB2565">
        <v>3</v>
      </c>
      <c r="AC2565">
        <v>0</v>
      </c>
      <c r="AD2565">
        <v>0</v>
      </c>
      <c r="AE2565">
        <v>0</v>
      </c>
      <c r="AF2565">
        <v>1</v>
      </c>
      <c r="AG2565">
        <v>0</v>
      </c>
      <c r="AH2565">
        <v>3</v>
      </c>
      <c r="AI2565">
        <v>0</v>
      </c>
      <c r="AJ2565">
        <v>0</v>
      </c>
      <c r="AK2565">
        <v>7</v>
      </c>
      <c r="AL2565">
        <v>6</v>
      </c>
      <c r="AM2565">
        <v>0</v>
      </c>
      <c r="AN2565">
        <v>2</v>
      </c>
      <c r="AT2565" t="s">
        <v>100</v>
      </c>
      <c r="AU2565">
        <v>11</v>
      </c>
      <c r="AV2565">
        <v>376</v>
      </c>
      <c r="AW2565">
        <v>376</v>
      </c>
      <c r="AX2565">
        <v>710</v>
      </c>
      <c r="AZ2565" t="s">
        <v>101</v>
      </c>
      <c r="BA2565">
        <v>1</v>
      </c>
      <c r="BC2565" t="s">
        <v>5231</v>
      </c>
      <c r="BD2565" s="4">
        <v>43282.965173611112</v>
      </c>
      <c r="BE2565" s="4">
        <v>43282.968530092592</v>
      </c>
      <c r="BF2565" s="4">
        <v>43282.968530092592</v>
      </c>
      <c r="BG2565" t="s">
        <v>373</v>
      </c>
      <c r="BH2565" t="s">
        <v>374</v>
      </c>
      <c r="BI2565" t="s">
        <v>85</v>
      </c>
    </row>
    <row r="2566" spans="1:61" x14ac:dyDescent="0.3">
      <c r="A2566" t="str">
        <f>"201483E0100"</f>
        <v>201483E0100</v>
      </c>
      <c r="B2566" s="2" t="s">
        <v>5232</v>
      </c>
      <c r="C2566">
        <v>20</v>
      </c>
      <c r="D2566" t="s">
        <v>79</v>
      </c>
      <c r="E2566">
        <v>12</v>
      </c>
      <c r="F2566" t="s">
        <v>5082</v>
      </c>
      <c r="G2566">
        <v>1483</v>
      </c>
      <c r="H2566">
        <v>1</v>
      </c>
      <c r="I2566" t="s">
        <v>145</v>
      </c>
      <c r="J2566">
        <v>0</v>
      </c>
      <c r="K2566">
        <v>2</v>
      </c>
      <c r="L2566">
        <v>2</v>
      </c>
      <c r="M2566">
        <v>267</v>
      </c>
      <c r="N2566">
        <v>369</v>
      </c>
      <c r="O2566">
        <v>10</v>
      </c>
      <c r="P2566">
        <v>369</v>
      </c>
      <c r="Q2566">
        <v>19</v>
      </c>
      <c r="R2566">
        <v>25</v>
      </c>
      <c r="S2566">
        <v>20</v>
      </c>
      <c r="T2566">
        <v>8</v>
      </c>
      <c r="U2566">
        <v>22</v>
      </c>
      <c r="V2566">
        <v>7</v>
      </c>
      <c r="W2566">
        <v>11</v>
      </c>
      <c r="X2566">
        <v>3</v>
      </c>
      <c r="Y2566">
        <v>194</v>
      </c>
      <c r="Z2566">
        <v>9</v>
      </c>
      <c r="AA2566">
        <v>6</v>
      </c>
      <c r="AB2566">
        <v>10</v>
      </c>
      <c r="AC2566">
        <v>2</v>
      </c>
      <c r="AD2566">
        <v>1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8</v>
      </c>
      <c r="AL2566">
        <v>1</v>
      </c>
      <c r="AM2566">
        <v>1</v>
      </c>
      <c r="AN2566">
        <v>2</v>
      </c>
      <c r="AT2566">
        <v>0</v>
      </c>
      <c r="AU2566">
        <v>20</v>
      </c>
      <c r="AV2566">
        <v>369</v>
      </c>
      <c r="AW2566">
        <v>369</v>
      </c>
      <c r="AX2566">
        <v>615</v>
      </c>
      <c r="BA2566">
        <v>1</v>
      </c>
      <c r="BC2566" t="s">
        <v>5233</v>
      </c>
      <c r="BD2566" s="4">
        <v>43282.888240740744</v>
      </c>
      <c r="BE2566" s="4">
        <v>43282.892800925925</v>
      </c>
      <c r="BF2566" s="4">
        <v>43282.892800925925</v>
      </c>
      <c r="BG2566" t="s">
        <v>373</v>
      </c>
      <c r="BH2566" t="s">
        <v>374</v>
      </c>
      <c r="BI2566" t="s">
        <v>85</v>
      </c>
    </row>
    <row r="2567" spans="1:61" x14ac:dyDescent="0.3">
      <c r="A2567" t="str">
        <f>"201483E0101"</f>
        <v>201483E0101</v>
      </c>
      <c r="B2567" s="2" t="s">
        <v>5234</v>
      </c>
      <c r="C2567">
        <v>20</v>
      </c>
      <c r="D2567" t="s">
        <v>79</v>
      </c>
      <c r="E2567">
        <v>12</v>
      </c>
      <c r="F2567" t="s">
        <v>5082</v>
      </c>
      <c r="G2567">
        <v>1483</v>
      </c>
      <c r="H2567">
        <v>1</v>
      </c>
      <c r="I2567" t="s">
        <v>145</v>
      </c>
      <c r="J2567">
        <v>1</v>
      </c>
      <c r="K2567">
        <v>2</v>
      </c>
      <c r="L2567">
        <v>2</v>
      </c>
      <c r="M2567">
        <v>300</v>
      </c>
      <c r="N2567">
        <v>336</v>
      </c>
      <c r="O2567">
        <v>9</v>
      </c>
      <c r="P2567">
        <v>336</v>
      </c>
      <c r="Q2567">
        <v>18</v>
      </c>
      <c r="R2567">
        <v>30</v>
      </c>
      <c r="S2567">
        <v>12</v>
      </c>
      <c r="T2567">
        <v>9</v>
      </c>
      <c r="U2567">
        <v>17</v>
      </c>
      <c r="V2567">
        <v>11</v>
      </c>
      <c r="W2567">
        <v>5</v>
      </c>
      <c r="X2567">
        <v>3</v>
      </c>
      <c r="Y2567">
        <v>167</v>
      </c>
      <c r="Z2567">
        <v>13</v>
      </c>
      <c r="AA2567">
        <v>3</v>
      </c>
      <c r="AB2567">
        <v>15</v>
      </c>
      <c r="AC2567">
        <v>4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8</v>
      </c>
      <c r="AL2567">
        <v>5</v>
      </c>
      <c r="AM2567">
        <v>1</v>
      </c>
      <c r="AN2567">
        <v>2</v>
      </c>
      <c r="AT2567">
        <v>0</v>
      </c>
      <c r="AU2567">
        <v>13</v>
      </c>
      <c r="AV2567">
        <v>336</v>
      </c>
      <c r="AW2567">
        <v>336</v>
      </c>
      <c r="AX2567">
        <v>614</v>
      </c>
      <c r="BA2567">
        <v>1</v>
      </c>
      <c r="BC2567" t="s">
        <v>5235</v>
      </c>
      <c r="BD2567" s="4">
        <v>43282.910671296297</v>
      </c>
      <c r="BE2567" s="4">
        <v>43282.914074074077</v>
      </c>
      <c r="BF2567" s="4">
        <v>43282.914074074077</v>
      </c>
      <c r="BG2567" t="s">
        <v>373</v>
      </c>
      <c r="BH2567" t="s">
        <v>374</v>
      </c>
      <c r="BI2567" t="s">
        <v>85</v>
      </c>
    </row>
    <row r="2568" spans="1:61" x14ac:dyDescent="0.3">
      <c r="A2568" t="str">
        <f>"201483E0102"</f>
        <v>201483E0102</v>
      </c>
      <c r="B2568" s="2" t="s">
        <v>5236</v>
      </c>
      <c r="C2568">
        <v>20</v>
      </c>
      <c r="D2568" t="s">
        <v>79</v>
      </c>
      <c r="E2568">
        <v>12</v>
      </c>
      <c r="F2568" t="s">
        <v>5082</v>
      </c>
      <c r="G2568">
        <v>1483</v>
      </c>
      <c r="H2568">
        <v>1</v>
      </c>
      <c r="I2568" t="s">
        <v>145</v>
      </c>
      <c r="J2568">
        <v>2</v>
      </c>
      <c r="K2568">
        <v>2</v>
      </c>
      <c r="L2568">
        <v>2</v>
      </c>
      <c r="M2568" t="s">
        <v>100</v>
      </c>
      <c r="N2568" t="s">
        <v>100</v>
      </c>
      <c r="O2568" t="s">
        <v>100</v>
      </c>
      <c r="P2568" t="s">
        <v>100</v>
      </c>
      <c r="Q2568">
        <v>20</v>
      </c>
      <c r="R2568">
        <v>20</v>
      </c>
      <c r="S2568">
        <v>13</v>
      </c>
      <c r="T2568">
        <v>5</v>
      </c>
      <c r="U2568">
        <v>25</v>
      </c>
      <c r="V2568">
        <v>8</v>
      </c>
      <c r="W2568">
        <v>11</v>
      </c>
      <c r="X2568">
        <v>2</v>
      </c>
      <c r="Y2568">
        <v>181</v>
      </c>
      <c r="Z2568">
        <v>6</v>
      </c>
      <c r="AA2568">
        <v>1</v>
      </c>
      <c r="AB2568">
        <v>11</v>
      </c>
      <c r="AC2568">
        <v>0</v>
      </c>
      <c r="AD2568">
        <v>0</v>
      </c>
      <c r="AE2568">
        <v>1</v>
      </c>
      <c r="AF2568">
        <v>1</v>
      </c>
      <c r="AG2568">
        <v>1</v>
      </c>
      <c r="AH2568">
        <v>0</v>
      </c>
      <c r="AI2568">
        <v>0</v>
      </c>
      <c r="AJ2568">
        <v>0</v>
      </c>
      <c r="AK2568">
        <v>13</v>
      </c>
      <c r="AL2568">
        <v>2</v>
      </c>
      <c r="AM2568">
        <v>0</v>
      </c>
      <c r="AN2568">
        <v>2</v>
      </c>
      <c r="AT2568">
        <v>0</v>
      </c>
      <c r="AU2568">
        <v>15</v>
      </c>
      <c r="AV2568">
        <v>338</v>
      </c>
      <c r="AW2568">
        <v>338</v>
      </c>
      <c r="AX2568">
        <v>614</v>
      </c>
      <c r="BA2568">
        <v>1</v>
      </c>
      <c r="BC2568" t="s">
        <v>5237</v>
      </c>
      <c r="BD2568" s="4">
        <v>43282.923680555556</v>
      </c>
      <c r="BE2568" s="4">
        <v>43282.926620370374</v>
      </c>
      <c r="BF2568" s="4">
        <v>43282.926620370374</v>
      </c>
      <c r="BG2568" t="s">
        <v>373</v>
      </c>
      <c r="BH2568" t="s">
        <v>374</v>
      </c>
      <c r="BI2568" t="s">
        <v>85</v>
      </c>
    </row>
    <row r="2569" spans="1:61" x14ac:dyDescent="0.3">
      <c r="A2569" t="str">
        <f>"201483E0200"</f>
        <v>201483E0200</v>
      </c>
      <c r="B2569" s="2" t="s">
        <v>5238</v>
      </c>
      <c r="C2569">
        <v>20</v>
      </c>
      <c r="D2569" t="s">
        <v>79</v>
      </c>
      <c r="E2569">
        <v>12</v>
      </c>
      <c r="F2569" t="s">
        <v>5082</v>
      </c>
      <c r="G2569">
        <v>1483</v>
      </c>
      <c r="H2569">
        <v>2</v>
      </c>
      <c r="I2569" t="s">
        <v>145</v>
      </c>
      <c r="J2569">
        <v>0</v>
      </c>
      <c r="K2569">
        <v>2</v>
      </c>
      <c r="L2569">
        <v>2</v>
      </c>
      <c r="M2569">
        <v>270</v>
      </c>
      <c r="N2569">
        <v>384</v>
      </c>
      <c r="O2569">
        <v>5</v>
      </c>
      <c r="P2569">
        <v>384</v>
      </c>
      <c r="Q2569">
        <v>19</v>
      </c>
      <c r="R2569">
        <v>26</v>
      </c>
      <c r="S2569">
        <v>21</v>
      </c>
      <c r="T2569">
        <v>23</v>
      </c>
      <c r="U2569">
        <v>21</v>
      </c>
      <c r="V2569">
        <v>7</v>
      </c>
      <c r="W2569">
        <v>4</v>
      </c>
      <c r="X2569">
        <v>5</v>
      </c>
      <c r="Y2569">
        <v>175</v>
      </c>
      <c r="Z2569">
        <v>7</v>
      </c>
      <c r="AA2569">
        <v>4</v>
      </c>
      <c r="AB2569">
        <v>44</v>
      </c>
      <c r="AC2569">
        <v>0</v>
      </c>
      <c r="AD2569">
        <v>1</v>
      </c>
      <c r="AE2569">
        <v>0</v>
      </c>
      <c r="AF2569">
        <v>0</v>
      </c>
      <c r="AG2569">
        <v>0</v>
      </c>
      <c r="AH2569">
        <v>1</v>
      </c>
      <c r="AI2569">
        <v>0</v>
      </c>
      <c r="AJ2569">
        <v>0</v>
      </c>
      <c r="AK2569">
        <v>9</v>
      </c>
      <c r="AL2569">
        <v>0</v>
      </c>
      <c r="AM2569">
        <v>0</v>
      </c>
      <c r="AN2569">
        <v>1</v>
      </c>
      <c r="AT2569">
        <v>0</v>
      </c>
      <c r="AU2569">
        <v>16</v>
      </c>
      <c r="AV2569" t="s">
        <v>315</v>
      </c>
      <c r="AW2569">
        <v>384</v>
      </c>
      <c r="AX2569">
        <v>632</v>
      </c>
      <c r="BA2569">
        <v>1</v>
      </c>
      <c r="BC2569" t="s">
        <v>5239</v>
      </c>
      <c r="BD2569" s="4">
        <v>43282.930393518516</v>
      </c>
      <c r="BE2569" s="4">
        <v>43282.93613425926</v>
      </c>
      <c r="BF2569" s="4">
        <v>43282.93613425926</v>
      </c>
      <c r="BG2569" t="s">
        <v>373</v>
      </c>
      <c r="BH2569" t="s">
        <v>374</v>
      </c>
      <c r="BI2569" t="s">
        <v>85</v>
      </c>
    </row>
    <row r="2570" spans="1:61" x14ac:dyDescent="0.3">
      <c r="A2570" t="str">
        <f>"201483E0201"</f>
        <v>201483E0201</v>
      </c>
      <c r="B2570" s="2" t="s">
        <v>5240</v>
      </c>
      <c r="C2570">
        <v>20</v>
      </c>
      <c r="D2570" t="s">
        <v>79</v>
      </c>
      <c r="E2570">
        <v>12</v>
      </c>
      <c r="F2570" t="s">
        <v>5082</v>
      </c>
      <c r="G2570">
        <v>1483</v>
      </c>
      <c r="H2570">
        <v>2</v>
      </c>
      <c r="I2570" t="s">
        <v>145</v>
      </c>
      <c r="J2570">
        <v>1</v>
      </c>
      <c r="K2570">
        <v>2</v>
      </c>
      <c r="L2570">
        <v>2</v>
      </c>
      <c r="M2570">
        <v>271</v>
      </c>
      <c r="N2570">
        <v>383</v>
      </c>
      <c r="O2570">
        <v>4</v>
      </c>
      <c r="P2570">
        <v>383</v>
      </c>
      <c r="Q2570">
        <v>17</v>
      </c>
      <c r="R2570">
        <v>17</v>
      </c>
      <c r="S2570">
        <v>21</v>
      </c>
      <c r="T2570">
        <v>17</v>
      </c>
      <c r="U2570">
        <v>22</v>
      </c>
      <c r="V2570">
        <v>8</v>
      </c>
      <c r="W2570">
        <v>1</v>
      </c>
      <c r="X2570">
        <v>3</v>
      </c>
      <c r="Y2570">
        <v>212</v>
      </c>
      <c r="Z2570">
        <v>4</v>
      </c>
      <c r="AA2570">
        <v>3</v>
      </c>
      <c r="AB2570">
        <v>33</v>
      </c>
      <c r="AC2570">
        <v>1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6</v>
      </c>
      <c r="AL2570">
        <v>0</v>
      </c>
      <c r="AM2570">
        <v>0</v>
      </c>
      <c r="AN2570">
        <v>0</v>
      </c>
      <c r="AT2570">
        <v>0</v>
      </c>
      <c r="AU2570">
        <v>16</v>
      </c>
      <c r="AV2570">
        <v>383</v>
      </c>
      <c r="AW2570">
        <v>381</v>
      </c>
      <c r="AX2570">
        <v>632</v>
      </c>
      <c r="BA2570">
        <v>1</v>
      </c>
      <c r="BC2570" t="s">
        <v>5241</v>
      </c>
      <c r="BD2570" s="4">
        <v>43282.934930555559</v>
      </c>
      <c r="BE2570" s="4">
        <v>43282.938275462962</v>
      </c>
      <c r="BF2570" s="4">
        <v>43282.938275462962</v>
      </c>
      <c r="BG2570" t="s">
        <v>373</v>
      </c>
      <c r="BH2570" t="s">
        <v>374</v>
      </c>
      <c r="BI2570" t="s">
        <v>85</v>
      </c>
    </row>
    <row r="2571" spans="1:61" x14ac:dyDescent="0.3">
      <c r="A2571" t="str">
        <f>"201627B0100"</f>
        <v>201627B0100</v>
      </c>
      <c r="B2571" t="s">
        <v>5242</v>
      </c>
      <c r="C2571">
        <v>20</v>
      </c>
      <c r="D2571" t="s">
        <v>79</v>
      </c>
      <c r="E2571">
        <v>12</v>
      </c>
      <c r="F2571" t="s">
        <v>5082</v>
      </c>
      <c r="G2571">
        <v>1627</v>
      </c>
      <c r="H2571">
        <v>1</v>
      </c>
      <c r="I2571" t="s">
        <v>81</v>
      </c>
      <c r="J2571">
        <v>0</v>
      </c>
      <c r="K2571">
        <v>2</v>
      </c>
      <c r="L2571">
        <v>2</v>
      </c>
      <c r="M2571">
        <v>231</v>
      </c>
      <c r="N2571">
        <v>430</v>
      </c>
      <c r="O2571">
        <v>1</v>
      </c>
      <c r="P2571">
        <v>430</v>
      </c>
      <c r="Q2571">
        <v>51</v>
      </c>
      <c r="R2571">
        <v>59</v>
      </c>
      <c r="S2571">
        <v>11</v>
      </c>
      <c r="T2571">
        <v>12</v>
      </c>
      <c r="U2571">
        <v>21</v>
      </c>
      <c r="V2571">
        <v>3</v>
      </c>
      <c r="W2571">
        <v>2</v>
      </c>
      <c r="X2571">
        <v>9</v>
      </c>
      <c r="Y2571">
        <v>219</v>
      </c>
      <c r="Z2571">
        <v>5</v>
      </c>
      <c r="AA2571">
        <v>2</v>
      </c>
      <c r="AB2571">
        <v>9</v>
      </c>
      <c r="AC2571">
        <v>1</v>
      </c>
      <c r="AD2571">
        <v>0</v>
      </c>
      <c r="AE2571">
        <v>0</v>
      </c>
      <c r="AF2571">
        <v>0</v>
      </c>
      <c r="AG2571">
        <v>1</v>
      </c>
      <c r="AH2571">
        <v>0</v>
      </c>
      <c r="AI2571">
        <v>0</v>
      </c>
      <c r="AJ2571">
        <v>1</v>
      </c>
      <c r="AK2571">
        <v>6</v>
      </c>
      <c r="AL2571">
        <v>3</v>
      </c>
      <c r="AM2571">
        <v>0</v>
      </c>
      <c r="AN2571">
        <v>0</v>
      </c>
      <c r="AT2571">
        <v>0</v>
      </c>
      <c r="AU2571">
        <v>15</v>
      </c>
      <c r="AV2571">
        <v>430</v>
      </c>
      <c r="AW2571">
        <v>430</v>
      </c>
      <c r="AX2571">
        <v>639</v>
      </c>
      <c r="BA2571">
        <v>1</v>
      </c>
      <c r="BC2571" t="s">
        <v>5243</v>
      </c>
      <c r="BD2571" s="4">
        <v>43282.93346064815</v>
      </c>
      <c r="BE2571" s="4">
        <v>43282.936793981484</v>
      </c>
      <c r="BF2571" s="4">
        <v>43282.936793981484</v>
      </c>
      <c r="BG2571" t="s">
        <v>373</v>
      </c>
      <c r="BH2571" t="s">
        <v>374</v>
      </c>
      <c r="BI2571" t="s">
        <v>85</v>
      </c>
    </row>
    <row r="2572" spans="1:61" x14ac:dyDescent="0.3">
      <c r="A2572" t="str">
        <f>"201627C0100"</f>
        <v>201627C0100</v>
      </c>
      <c r="B2572" t="s">
        <v>5244</v>
      </c>
      <c r="C2572">
        <v>20</v>
      </c>
      <c r="D2572" t="s">
        <v>79</v>
      </c>
      <c r="E2572">
        <v>12</v>
      </c>
      <c r="F2572" t="s">
        <v>5082</v>
      </c>
      <c r="G2572">
        <v>1627</v>
      </c>
      <c r="H2572">
        <v>1</v>
      </c>
      <c r="I2572" t="s">
        <v>89</v>
      </c>
      <c r="J2572">
        <v>0</v>
      </c>
      <c r="K2572">
        <v>2</v>
      </c>
      <c r="L2572">
        <v>2</v>
      </c>
      <c r="M2572">
        <v>249</v>
      </c>
      <c r="N2572">
        <v>411</v>
      </c>
      <c r="O2572">
        <v>4</v>
      </c>
      <c r="P2572">
        <v>411</v>
      </c>
      <c r="Q2572">
        <v>30</v>
      </c>
      <c r="R2572">
        <v>64</v>
      </c>
      <c r="S2572">
        <v>7</v>
      </c>
      <c r="T2572">
        <v>9</v>
      </c>
      <c r="U2572">
        <v>19</v>
      </c>
      <c r="V2572">
        <v>5</v>
      </c>
      <c r="W2572">
        <v>4</v>
      </c>
      <c r="X2572">
        <v>16</v>
      </c>
      <c r="Y2572">
        <v>212</v>
      </c>
      <c r="Z2572">
        <v>9</v>
      </c>
      <c r="AA2572">
        <v>3</v>
      </c>
      <c r="AB2572">
        <v>6</v>
      </c>
      <c r="AC2572">
        <v>0</v>
      </c>
      <c r="AD2572">
        <v>0</v>
      </c>
      <c r="AE2572">
        <v>0</v>
      </c>
      <c r="AF2572">
        <v>0</v>
      </c>
      <c r="AG2572">
        <v>1</v>
      </c>
      <c r="AH2572">
        <v>1</v>
      </c>
      <c r="AI2572">
        <v>0</v>
      </c>
      <c r="AJ2572">
        <v>0</v>
      </c>
      <c r="AK2572">
        <v>5</v>
      </c>
      <c r="AL2572">
        <v>0</v>
      </c>
      <c r="AM2572">
        <v>0</v>
      </c>
      <c r="AN2572">
        <v>0</v>
      </c>
      <c r="AT2572">
        <v>3</v>
      </c>
      <c r="AU2572">
        <v>17</v>
      </c>
      <c r="AV2572">
        <v>411</v>
      </c>
      <c r="AW2572">
        <v>411</v>
      </c>
      <c r="AX2572">
        <v>638</v>
      </c>
      <c r="BA2572">
        <v>1</v>
      </c>
      <c r="BC2572" t="s">
        <v>5245</v>
      </c>
      <c r="BD2572" s="4">
        <v>43282.936168981483</v>
      </c>
      <c r="BE2572" s="4">
        <v>43282.940185185187</v>
      </c>
      <c r="BF2572" s="4">
        <v>43282.940185185187</v>
      </c>
      <c r="BG2572" t="s">
        <v>373</v>
      </c>
      <c r="BH2572" t="s">
        <v>374</v>
      </c>
      <c r="BI2572" t="s">
        <v>85</v>
      </c>
    </row>
    <row r="2573" spans="1:61" x14ac:dyDescent="0.3">
      <c r="A2573" t="str">
        <f>"201627C0200"</f>
        <v>201627C0200</v>
      </c>
      <c r="B2573" t="s">
        <v>5246</v>
      </c>
      <c r="C2573">
        <v>20</v>
      </c>
      <c r="D2573" t="s">
        <v>79</v>
      </c>
      <c r="E2573">
        <v>12</v>
      </c>
      <c r="F2573" t="s">
        <v>5082</v>
      </c>
      <c r="G2573">
        <v>1627</v>
      </c>
      <c r="H2573">
        <v>2</v>
      </c>
      <c r="I2573" t="s">
        <v>89</v>
      </c>
      <c r="J2573">
        <v>0</v>
      </c>
      <c r="K2573">
        <v>2</v>
      </c>
      <c r="L2573">
        <v>2</v>
      </c>
      <c r="M2573">
        <v>235</v>
      </c>
      <c r="N2573">
        <v>425</v>
      </c>
      <c r="O2573">
        <v>1</v>
      </c>
      <c r="P2573">
        <v>425</v>
      </c>
      <c r="Q2573">
        <v>38</v>
      </c>
      <c r="R2573">
        <v>66</v>
      </c>
      <c r="S2573">
        <v>6</v>
      </c>
      <c r="T2573">
        <v>12</v>
      </c>
      <c r="U2573">
        <v>22</v>
      </c>
      <c r="V2573">
        <v>9</v>
      </c>
      <c r="W2573">
        <v>9</v>
      </c>
      <c r="X2573">
        <v>3</v>
      </c>
      <c r="Y2573">
        <v>211</v>
      </c>
      <c r="Z2573">
        <v>5</v>
      </c>
      <c r="AA2573">
        <v>0</v>
      </c>
      <c r="AB2573">
        <v>12</v>
      </c>
      <c r="AC2573">
        <v>0</v>
      </c>
      <c r="AD2573">
        <v>0</v>
      </c>
      <c r="AE2573">
        <v>1</v>
      </c>
      <c r="AF2573">
        <v>0</v>
      </c>
      <c r="AG2573">
        <v>1</v>
      </c>
      <c r="AH2573">
        <v>1</v>
      </c>
      <c r="AI2573">
        <v>0</v>
      </c>
      <c r="AJ2573">
        <v>0</v>
      </c>
      <c r="AK2573">
        <v>10</v>
      </c>
      <c r="AL2573">
        <v>1</v>
      </c>
      <c r="AM2573">
        <v>1</v>
      </c>
      <c r="AN2573">
        <v>1</v>
      </c>
      <c r="AT2573">
        <v>0</v>
      </c>
      <c r="AU2573">
        <v>16</v>
      </c>
      <c r="AV2573">
        <v>425</v>
      </c>
      <c r="AW2573">
        <v>425</v>
      </c>
      <c r="AX2573">
        <v>638</v>
      </c>
      <c r="BA2573">
        <v>1</v>
      </c>
      <c r="BC2573" t="s">
        <v>5247</v>
      </c>
      <c r="BD2573" s="4">
        <v>43282.973530092589</v>
      </c>
      <c r="BE2573" s="4">
        <v>43282.977152777778</v>
      </c>
      <c r="BF2573" s="4">
        <v>43282.977152777778</v>
      </c>
      <c r="BG2573" t="s">
        <v>373</v>
      </c>
      <c r="BH2573" t="s">
        <v>374</v>
      </c>
      <c r="BI2573" t="s">
        <v>85</v>
      </c>
    </row>
    <row r="2574" spans="1:61" x14ac:dyDescent="0.3">
      <c r="A2574" t="str">
        <f>"201627C0300"</f>
        <v>201627C0300</v>
      </c>
      <c r="B2574" t="s">
        <v>5248</v>
      </c>
      <c r="C2574">
        <v>20</v>
      </c>
      <c r="D2574" t="s">
        <v>79</v>
      </c>
      <c r="E2574">
        <v>12</v>
      </c>
      <c r="F2574" t="s">
        <v>5082</v>
      </c>
      <c r="G2574">
        <v>1627</v>
      </c>
      <c r="H2574">
        <v>3</v>
      </c>
      <c r="I2574" t="s">
        <v>89</v>
      </c>
      <c r="J2574">
        <v>0</v>
      </c>
      <c r="K2574">
        <v>2</v>
      </c>
      <c r="L2574">
        <v>2</v>
      </c>
      <c r="M2574">
        <v>243</v>
      </c>
      <c r="N2574">
        <v>660</v>
      </c>
      <c r="O2574">
        <v>0</v>
      </c>
      <c r="P2574">
        <v>417</v>
      </c>
      <c r="Q2574">
        <v>34</v>
      </c>
      <c r="R2574">
        <v>64</v>
      </c>
      <c r="S2574">
        <v>6</v>
      </c>
      <c r="T2574">
        <v>7</v>
      </c>
      <c r="U2574">
        <v>13</v>
      </c>
      <c r="V2574">
        <v>9</v>
      </c>
      <c r="W2574">
        <v>2</v>
      </c>
      <c r="X2574">
        <v>8</v>
      </c>
      <c r="Y2574">
        <v>230</v>
      </c>
      <c r="Z2574">
        <v>7</v>
      </c>
      <c r="AA2574">
        <v>5</v>
      </c>
      <c r="AB2574">
        <v>10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3</v>
      </c>
      <c r="AI2574">
        <v>0</v>
      </c>
      <c r="AJ2574">
        <v>0</v>
      </c>
      <c r="AK2574">
        <v>7</v>
      </c>
      <c r="AL2574">
        <v>1</v>
      </c>
      <c r="AM2574">
        <v>0</v>
      </c>
      <c r="AN2574">
        <v>0</v>
      </c>
      <c r="AT2574">
        <v>0</v>
      </c>
      <c r="AU2574">
        <v>11</v>
      </c>
      <c r="AV2574">
        <v>417</v>
      </c>
      <c r="AW2574">
        <v>417</v>
      </c>
      <c r="AX2574">
        <v>638</v>
      </c>
      <c r="BA2574">
        <v>1</v>
      </c>
      <c r="BC2574" t="s">
        <v>5249</v>
      </c>
      <c r="BD2574" s="4">
        <v>43282.945196759261</v>
      </c>
      <c r="BE2574" s="4">
        <v>43282.948240740741</v>
      </c>
      <c r="BF2574" s="4">
        <v>43282.948240740741</v>
      </c>
      <c r="BG2574" t="s">
        <v>373</v>
      </c>
      <c r="BH2574" t="s">
        <v>374</v>
      </c>
      <c r="BI2574" t="s">
        <v>85</v>
      </c>
    </row>
    <row r="2575" spans="1:61" x14ac:dyDescent="0.3">
      <c r="A2575" t="str">
        <f>"201627C0400"</f>
        <v>201627C0400</v>
      </c>
      <c r="B2575" t="s">
        <v>5250</v>
      </c>
      <c r="C2575">
        <v>20</v>
      </c>
      <c r="D2575" t="s">
        <v>79</v>
      </c>
      <c r="E2575">
        <v>12</v>
      </c>
      <c r="F2575" t="s">
        <v>5082</v>
      </c>
      <c r="G2575">
        <v>1627</v>
      </c>
      <c r="H2575">
        <v>4</v>
      </c>
      <c r="I2575" t="s">
        <v>89</v>
      </c>
      <c r="J2575">
        <v>0</v>
      </c>
      <c r="K2575">
        <v>2</v>
      </c>
      <c r="L2575">
        <v>2</v>
      </c>
      <c r="M2575">
        <v>239</v>
      </c>
      <c r="N2575">
        <v>421</v>
      </c>
      <c r="O2575">
        <v>4</v>
      </c>
      <c r="P2575">
        <v>421</v>
      </c>
      <c r="Q2575">
        <v>42</v>
      </c>
      <c r="R2575">
        <v>49</v>
      </c>
      <c r="S2575">
        <v>9</v>
      </c>
      <c r="T2575">
        <v>7</v>
      </c>
      <c r="U2575">
        <v>18</v>
      </c>
      <c r="V2575">
        <v>7</v>
      </c>
      <c r="W2575">
        <v>3</v>
      </c>
      <c r="X2575">
        <v>7</v>
      </c>
      <c r="Y2575">
        <v>239</v>
      </c>
      <c r="Z2575">
        <v>5</v>
      </c>
      <c r="AA2575">
        <v>3</v>
      </c>
      <c r="AB2575">
        <v>12</v>
      </c>
      <c r="AC2575">
        <v>0</v>
      </c>
      <c r="AD2575">
        <v>0</v>
      </c>
      <c r="AE2575">
        <v>0</v>
      </c>
      <c r="AF2575">
        <v>0</v>
      </c>
      <c r="AG2575">
        <v>2</v>
      </c>
      <c r="AH2575">
        <v>2</v>
      </c>
      <c r="AI2575">
        <v>0</v>
      </c>
      <c r="AJ2575">
        <v>0</v>
      </c>
      <c r="AK2575">
        <v>7</v>
      </c>
      <c r="AL2575">
        <v>2</v>
      </c>
      <c r="AM2575">
        <v>0</v>
      </c>
      <c r="AN2575">
        <v>0</v>
      </c>
      <c r="AT2575">
        <v>0</v>
      </c>
      <c r="AU2575">
        <v>9</v>
      </c>
      <c r="AV2575">
        <v>423</v>
      </c>
      <c r="AW2575">
        <v>423</v>
      </c>
      <c r="AX2575">
        <v>638</v>
      </c>
      <c r="BA2575">
        <v>1</v>
      </c>
      <c r="BC2575" t="s">
        <v>5251</v>
      </c>
      <c r="BD2575" s="4">
        <v>43282.964849537035</v>
      </c>
      <c r="BE2575" s="4">
        <v>43282.969641203701</v>
      </c>
      <c r="BF2575" s="4">
        <v>43282.969641203701</v>
      </c>
      <c r="BG2575" t="s">
        <v>373</v>
      </c>
      <c r="BH2575" t="s">
        <v>374</v>
      </c>
      <c r="BI2575" t="s">
        <v>85</v>
      </c>
    </row>
    <row r="2576" spans="1:61" x14ac:dyDescent="0.3">
      <c r="A2576" t="str">
        <f>"201627C0500"</f>
        <v>201627C0500</v>
      </c>
      <c r="B2576" t="s">
        <v>5252</v>
      </c>
      <c r="C2576">
        <v>20</v>
      </c>
      <c r="D2576" t="s">
        <v>79</v>
      </c>
      <c r="E2576">
        <v>12</v>
      </c>
      <c r="F2576" t="s">
        <v>5082</v>
      </c>
      <c r="G2576">
        <v>1627</v>
      </c>
      <c r="H2576">
        <v>5</v>
      </c>
      <c r="I2576" t="s">
        <v>89</v>
      </c>
      <c r="J2576">
        <v>0</v>
      </c>
      <c r="K2576">
        <v>2</v>
      </c>
      <c r="L2576">
        <v>2</v>
      </c>
      <c r="M2576">
        <v>209</v>
      </c>
      <c r="N2576">
        <v>451</v>
      </c>
      <c r="O2576">
        <v>0</v>
      </c>
      <c r="P2576">
        <v>450</v>
      </c>
      <c r="Q2576">
        <v>48</v>
      </c>
      <c r="R2576">
        <v>84</v>
      </c>
      <c r="S2576">
        <v>2</v>
      </c>
      <c r="T2576">
        <v>8</v>
      </c>
      <c r="U2576">
        <v>23</v>
      </c>
      <c r="V2576">
        <v>7</v>
      </c>
      <c r="W2576">
        <v>8</v>
      </c>
      <c r="X2576">
        <v>5</v>
      </c>
      <c r="Y2576">
        <v>224</v>
      </c>
      <c r="Z2576">
        <v>4</v>
      </c>
      <c r="AA2576">
        <v>4</v>
      </c>
      <c r="AB2576">
        <v>12</v>
      </c>
      <c r="AC2576" t="s">
        <v>100</v>
      </c>
      <c r="AD2576" t="s">
        <v>100</v>
      </c>
      <c r="AE2576" t="s">
        <v>100</v>
      </c>
      <c r="AF2576" t="s">
        <v>100</v>
      </c>
      <c r="AG2576">
        <v>1</v>
      </c>
      <c r="AH2576">
        <v>4</v>
      </c>
      <c r="AI2576" t="s">
        <v>100</v>
      </c>
      <c r="AJ2576" t="s">
        <v>100</v>
      </c>
      <c r="AK2576">
        <v>4</v>
      </c>
      <c r="AL2576" t="s">
        <v>100</v>
      </c>
      <c r="AM2576" t="s">
        <v>100</v>
      </c>
      <c r="AN2576" t="s">
        <v>100</v>
      </c>
      <c r="AT2576" t="s">
        <v>100</v>
      </c>
      <c r="AU2576">
        <v>12</v>
      </c>
      <c r="AV2576">
        <v>450</v>
      </c>
      <c r="AW2576">
        <v>450</v>
      </c>
      <c r="AX2576">
        <v>638</v>
      </c>
      <c r="AZ2576" t="s">
        <v>101</v>
      </c>
      <c r="BA2576">
        <v>1</v>
      </c>
      <c r="BC2576" t="s">
        <v>5253</v>
      </c>
      <c r="BD2576" s="4">
        <v>43282.953599537039</v>
      </c>
      <c r="BE2576" s="4">
        <v>43282.957268518519</v>
      </c>
      <c r="BF2576" s="4">
        <v>43282.957268518519</v>
      </c>
      <c r="BG2576" t="s">
        <v>373</v>
      </c>
      <c r="BH2576" t="s">
        <v>374</v>
      </c>
      <c r="BI2576" t="s">
        <v>85</v>
      </c>
    </row>
    <row r="2577" spans="1:61" x14ac:dyDescent="0.3">
      <c r="A2577" t="str">
        <f>"201628B0100"</f>
        <v>201628B0100</v>
      </c>
      <c r="B2577" t="s">
        <v>5254</v>
      </c>
      <c r="C2577">
        <v>20</v>
      </c>
      <c r="D2577" t="s">
        <v>79</v>
      </c>
      <c r="E2577">
        <v>12</v>
      </c>
      <c r="F2577" t="s">
        <v>5082</v>
      </c>
      <c r="G2577">
        <v>1628</v>
      </c>
      <c r="H2577">
        <v>1</v>
      </c>
      <c r="I2577" t="s">
        <v>81</v>
      </c>
      <c r="J2577">
        <v>0</v>
      </c>
      <c r="K2577">
        <v>2</v>
      </c>
      <c r="L2577">
        <v>2</v>
      </c>
      <c r="M2577">
        <v>213</v>
      </c>
      <c r="N2577">
        <v>551</v>
      </c>
      <c r="O2577">
        <v>4</v>
      </c>
      <c r="P2577">
        <v>550</v>
      </c>
      <c r="Q2577">
        <v>46</v>
      </c>
      <c r="R2577">
        <v>91</v>
      </c>
      <c r="S2577">
        <v>10</v>
      </c>
      <c r="T2577">
        <v>15</v>
      </c>
      <c r="U2577">
        <v>11</v>
      </c>
      <c r="V2577">
        <v>7</v>
      </c>
      <c r="W2577">
        <v>12</v>
      </c>
      <c r="X2577">
        <v>4</v>
      </c>
      <c r="Y2577">
        <v>292</v>
      </c>
      <c r="Z2577">
        <v>10</v>
      </c>
      <c r="AA2577">
        <v>6</v>
      </c>
      <c r="AB2577">
        <v>27</v>
      </c>
      <c r="AC2577">
        <v>0</v>
      </c>
      <c r="AD2577">
        <v>0</v>
      </c>
      <c r="AE2577">
        <v>0</v>
      </c>
      <c r="AF2577">
        <v>0</v>
      </c>
      <c r="AG2577">
        <v>2</v>
      </c>
      <c r="AH2577">
        <v>1</v>
      </c>
      <c r="AI2577">
        <v>0</v>
      </c>
      <c r="AJ2577">
        <v>0</v>
      </c>
      <c r="AK2577">
        <v>2</v>
      </c>
      <c r="AL2577">
        <v>3</v>
      </c>
      <c r="AM2577">
        <v>0</v>
      </c>
      <c r="AN2577">
        <v>0</v>
      </c>
      <c r="AT2577">
        <v>0</v>
      </c>
      <c r="AU2577">
        <v>12</v>
      </c>
      <c r="AV2577">
        <v>551</v>
      </c>
      <c r="AW2577">
        <v>551</v>
      </c>
      <c r="AX2577">
        <v>742</v>
      </c>
      <c r="BA2577">
        <v>1</v>
      </c>
      <c r="BC2577" t="s">
        <v>5255</v>
      </c>
      <c r="BD2577" s="4">
        <v>43282.947812500002</v>
      </c>
      <c r="BE2577" s="4">
        <v>43282.954594907409</v>
      </c>
      <c r="BF2577" s="4">
        <v>43282.954594907409</v>
      </c>
      <c r="BG2577" t="s">
        <v>373</v>
      </c>
      <c r="BH2577" t="s">
        <v>374</v>
      </c>
      <c r="BI2577" t="s">
        <v>85</v>
      </c>
    </row>
    <row r="2578" spans="1:61" x14ac:dyDescent="0.3">
      <c r="A2578" t="str">
        <f>"201628C0100"</f>
        <v>201628C0100</v>
      </c>
      <c r="B2578" t="s">
        <v>5256</v>
      </c>
      <c r="C2578">
        <v>20</v>
      </c>
      <c r="D2578" t="s">
        <v>79</v>
      </c>
      <c r="E2578">
        <v>12</v>
      </c>
      <c r="F2578" t="s">
        <v>5082</v>
      </c>
      <c r="G2578">
        <v>1628</v>
      </c>
      <c r="H2578">
        <v>1</v>
      </c>
      <c r="I2578" t="s">
        <v>89</v>
      </c>
      <c r="J2578">
        <v>0</v>
      </c>
      <c r="K2578">
        <v>2</v>
      </c>
      <c r="L2578">
        <v>2</v>
      </c>
      <c r="M2578">
        <v>224</v>
      </c>
      <c r="N2578">
        <v>540</v>
      </c>
      <c r="O2578">
        <v>4</v>
      </c>
      <c r="P2578">
        <v>533</v>
      </c>
      <c r="Q2578">
        <v>39</v>
      </c>
      <c r="R2578">
        <v>88</v>
      </c>
      <c r="S2578">
        <v>4</v>
      </c>
      <c r="T2578">
        <v>11</v>
      </c>
      <c r="U2578">
        <v>21</v>
      </c>
      <c r="V2578">
        <v>14</v>
      </c>
      <c r="W2578">
        <v>10</v>
      </c>
      <c r="X2578">
        <v>9</v>
      </c>
      <c r="Y2578">
        <v>283</v>
      </c>
      <c r="Z2578">
        <v>11</v>
      </c>
      <c r="AA2578">
        <v>4</v>
      </c>
      <c r="AB2578">
        <v>19</v>
      </c>
      <c r="AC2578">
        <v>3</v>
      </c>
      <c r="AD2578">
        <v>0</v>
      </c>
      <c r="AE2578">
        <v>0</v>
      </c>
      <c r="AF2578">
        <v>0</v>
      </c>
      <c r="AG2578">
        <v>2</v>
      </c>
      <c r="AH2578">
        <v>0</v>
      </c>
      <c r="AI2578">
        <v>0</v>
      </c>
      <c r="AJ2578">
        <v>0</v>
      </c>
      <c r="AK2578">
        <v>8</v>
      </c>
      <c r="AL2578">
        <v>0</v>
      </c>
      <c r="AM2578">
        <v>0</v>
      </c>
      <c r="AN2578">
        <v>1</v>
      </c>
      <c r="AT2578">
        <v>0</v>
      </c>
      <c r="AU2578">
        <v>13</v>
      </c>
      <c r="AV2578">
        <v>540</v>
      </c>
      <c r="AW2578">
        <v>540</v>
      </c>
      <c r="AX2578">
        <v>742</v>
      </c>
      <c r="BA2578">
        <v>1</v>
      </c>
      <c r="BC2578" t="s">
        <v>5257</v>
      </c>
      <c r="BD2578" s="4">
        <v>43282.944618055553</v>
      </c>
      <c r="BE2578" s="4">
        <v>43282.949895833335</v>
      </c>
      <c r="BF2578" s="4">
        <v>43282.949895833335</v>
      </c>
      <c r="BG2578" t="s">
        <v>373</v>
      </c>
      <c r="BH2578" t="s">
        <v>374</v>
      </c>
      <c r="BI2578" t="s">
        <v>85</v>
      </c>
    </row>
    <row r="2579" spans="1:61" x14ac:dyDescent="0.3">
      <c r="A2579" t="str">
        <f>"201629B0100"</f>
        <v>201629B0100</v>
      </c>
      <c r="B2579" t="s">
        <v>5258</v>
      </c>
      <c r="C2579">
        <v>20</v>
      </c>
      <c r="D2579" t="s">
        <v>79</v>
      </c>
      <c r="E2579">
        <v>12</v>
      </c>
      <c r="F2579" t="s">
        <v>5082</v>
      </c>
      <c r="G2579">
        <v>1629</v>
      </c>
      <c r="H2579">
        <v>1</v>
      </c>
      <c r="I2579" t="s">
        <v>81</v>
      </c>
      <c r="J2579">
        <v>0</v>
      </c>
      <c r="K2579">
        <v>1</v>
      </c>
      <c r="L2579">
        <v>2</v>
      </c>
      <c r="M2579">
        <v>132</v>
      </c>
      <c r="N2579">
        <v>285</v>
      </c>
      <c r="O2579">
        <v>0</v>
      </c>
      <c r="P2579">
        <v>285</v>
      </c>
      <c r="Q2579">
        <v>33</v>
      </c>
      <c r="R2579">
        <v>58</v>
      </c>
      <c r="S2579">
        <v>4</v>
      </c>
      <c r="T2579">
        <v>8</v>
      </c>
      <c r="U2579">
        <v>8</v>
      </c>
      <c r="V2579">
        <v>8</v>
      </c>
      <c r="W2579">
        <v>7</v>
      </c>
      <c r="X2579">
        <v>2</v>
      </c>
      <c r="Y2579">
        <v>133</v>
      </c>
      <c r="Z2579">
        <v>2</v>
      </c>
      <c r="AA2579">
        <v>1</v>
      </c>
      <c r="AB2579">
        <v>8</v>
      </c>
      <c r="AC2579">
        <v>0</v>
      </c>
      <c r="AD2579">
        <v>1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3</v>
      </c>
      <c r="AL2579">
        <v>3</v>
      </c>
      <c r="AM2579">
        <v>0</v>
      </c>
      <c r="AN2579">
        <v>1</v>
      </c>
      <c r="AT2579">
        <v>0</v>
      </c>
      <c r="AU2579">
        <v>5</v>
      </c>
      <c r="AV2579">
        <v>285</v>
      </c>
      <c r="AW2579">
        <v>285</v>
      </c>
      <c r="AX2579">
        <v>395</v>
      </c>
      <c r="BA2579">
        <v>1</v>
      </c>
      <c r="BC2579" t="s">
        <v>5259</v>
      </c>
      <c r="BD2579" s="4">
        <v>43282.93309027778</v>
      </c>
      <c r="BE2579" s="4">
        <v>43282.937789351854</v>
      </c>
      <c r="BF2579" s="4">
        <v>43282.937789351854</v>
      </c>
      <c r="BG2579" t="s">
        <v>373</v>
      </c>
      <c r="BH2579" t="s">
        <v>374</v>
      </c>
      <c r="BI2579" t="s">
        <v>85</v>
      </c>
    </row>
    <row r="2580" spans="1:61" x14ac:dyDescent="0.3">
      <c r="A2580" t="str">
        <f>"201629C0100"</f>
        <v>201629C0100</v>
      </c>
      <c r="B2580" t="s">
        <v>5260</v>
      </c>
      <c r="C2580">
        <v>20</v>
      </c>
      <c r="D2580" t="s">
        <v>79</v>
      </c>
      <c r="E2580">
        <v>12</v>
      </c>
      <c r="F2580" t="s">
        <v>5082</v>
      </c>
      <c r="G2580">
        <v>1629</v>
      </c>
      <c r="H2580">
        <v>1</v>
      </c>
      <c r="I2580" t="s">
        <v>89</v>
      </c>
      <c r="J2580">
        <v>0</v>
      </c>
      <c r="K2580">
        <v>1</v>
      </c>
      <c r="L2580">
        <v>2</v>
      </c>
      <c r="M2580">
        <v>104</v>
      </c>
      <c r="N2580">
        <v>313</v>
      </c>
      <c r="O2580">
        <v>2</v>
      </c>
      <c r="P2580">
        <v>311</v>
      </c>
      <c r="Q2580">
        <v>28</v>
      </c>
      <c r="R2580">
        <v>53</v>
      </c>
      <c r="S2580">
        <v>2</v>
      </c>
      <c r="T2580">
        <v>10</v>
      </c>
      <c r="U2580">
        <v>8</v>
      </c>
      <c r="V2580">
        <v>4</v>
      </c>
      <c r="W2580">
        <v>7</v>
      </c>
      <c r="X2580">
        <v>2</v>
      </c>
      <c r="Y2580">
        <v>156</v>
      </c>
      <c r="Z2580">
        <v>5</v>
      </c>
      <c r="AA2580">
        <v>1</v>
      </c>
      <c r="AB2580">
        <v>14</v>
      </c>
      <c r="AC2580">
        <v>1</v>
      </c>
      <c r="AD2580">
        <v>0</v>
      </c>
      <c r="AE2580">
        <v>0</v>
      </c>
      <c r="AF2580">
        <v>0</v>
      </c>
      <c r="AG2580">
        <v>0</v>
      </c>
      <c r="AH2580">
        <v>4</v>
      </c>
      <c r="AI2580">
        <v>0</v>
      </c>
      <c r="AJ2580">
        <v>1</v>
      </c>
      <c r="AK2580">
        <v>5</v>
      </c>
      <c r="AL2580">
        <v>2</v>
      </c>
      <c r="AM2580">
        <v>0</v>
      </c>
      <c r="AN2580">
        <v>0</v>
      </c>
      <c r="AT2580">
        <v>1</v>
      </c>
      <c r="AU2580">
        <v>9</v>
      </c>
      <c r="AV2580">
        <v>313</v>
      </c>
      <c r="AW2580">
        <v>313</v>
      </c>
      <c r="AX2580">
        <v>395</v>
      </c>
      <c r="BA2580">
        <v>1</v>
      </c>
      <c r="BC2580" t="s">
        <v>5261</v>
      </c>
      <c r="BD2580" s="4">
        <v>43283.092361111114</v>
      </c>
      <c r="BE2580" s="4">
        <v>43283.096493055556</v>
      </c>
      <c r="BF2580" s="4">
        <v>43283.096493055556</v>
      </c>
      <c r="BG2580" t="s">
        <v>83</v>
      </c>
      <c r="BH2580" t="s">
        <v>84</v>
      </c>
      <c r="BI2580" t="s">
        <v>85</v>
      </c>
    </row>
    <row r="2581" spans="1:61" x14ac:dyDescent="0.3">
      <c r="A2581" t="str">
        <f>"201630B0100"</f>
        <v>201630B0100</v>
      </c>
      <c r="B2581" t="s">
        <v>5262</v>
      </c>
      <c r="C2581">
        <v>20</v>
      </c>
      <c r="D2581" t="s">
        <v>79</v>
      </c>
      <c r="E2581">
        <v>12</v>
      </c>
      <c r="F2581" t="s">
        <v>5082</v>
      </c>
      <c r="G2581">
        <v>1630</v>
      </c>
      <c r="H2581">
        <v>1</v>
      </c>
      <c r="I2581" t="s">
        <v>81</v>
      </c>
      <c r="J2581">
        <v>0</v>
      </c>
      <c r="K2581">
        <v>1</v>
      </c>
      <c r="L2581">
        <v>2</v>
      </c>
      <c r="M2581">
        <v>181</v>
      </c>
      <c r="N2581">
        <v>427</v>
      </c>
      <c r="O2581">
        <v>0</v>
      </c>
      <c r="P2581">
        <v>427</v>
      </c>
      <c r="Q2581">
        <v>23</v>
      </c>
      <c r="R2581">
        <v>45</v>
      </c>
      <c r="S2581">
        <v>6</v>
      </c>
      <c r="T2581">
        <v>11</v>
      </c>
      <c r="U2581">
        <v>11</v>
      </c>
      <c r="V2581">
        <v>3</v>
      </c>
      <c r="W2581">
        <v>1</v>
      </c>
      <c r="X2581">
        <v>3</v>
      </c>
      <c r="Y2581">
        <v>253</v>
      </c>
      <c r="Z2581">
        <v>8</v>
      </c>
      <c r="AA2581">
        <v>3</v>
      </c>
      <c r="AB2581">
        <v>29</v>
      </c>
      <c r="AC2581">
        <v>21</v>
      </c>
      <c r="AD2581">
        <v>0</v>
      </c>
      <c r="AE2581">
        <v>0</v>
      </c>
      <c r="AF2581">
        <v>0</v>
      </c>
      <c r="AG2581">
        <v>1</v>
      </c>
      <c r="AH2581">
        <v>1</v>
      </c>
      <c r="AI2581">
        <v>0</v>
      </c>
      <c r="AJ2581">
        <v>0</v>
      </c>
      <c r="AK2581">
        <v>7</v>
      </c>
      <c r="AL2581">
        <v>1</v>
      </c>
      <c r="AM2581">
        <v>1</v>
      </c>
      <c r="AN2581">
        <v>2</v>
      </c>
      <c r="AT2581">
        <v>1</v>
      </c>
      <c r="AU2581">
        <v>16</v>
      </c>
      <c r="AV2581">
        <v>427</v>
      </c>
      <c r="AW2581">
        <v>447</v>
      </c>
      <c r="AX2581">
        <v>586</v>
      </c>
      <c r="BA2581">
        <v>1</v>
      </c>
      <c r="BC2581" t="s">
        <v>5263</v>
      </c>
      <c r="BD2581" s="4">
        <v>43283.097916666666</v>
      </c>
      <c r="BE2581" s="4">
        <v>43283.1091087963</v>
      </c>
      <c r="BF2581" s="4">
        <v>43283.1091087963</v>
      </c>
      <c r="BG2581" t="s">
        <v>83</v>
      </c>
      <c r="BH2581" t="s">
        <v>84</v>
      </c>
      <c r="BI2581" t="s">
        <v>85</v>
      </c>
    </row>
    <row r="2582" spans="1:61" x14ac:dyDescent="0.3">
      <c r="A2582" t="str">
        <f>"201630C0100"</f>
        <v>201630C0100</v>
      </c>
      <c r="B2582" t="s">
        <v>5264</v>
      </c>
      <c r="C2582">
        <v>20</v>
      </c>
      <c r="D2582" t="s">
        <v>79</v>
      </c>
      <c r="E2582">
        <v>12</v>
      </c>
      <c r="F2582" t="s">
        <v>5082</v>
      </c>
      <c r="G2582">
        <v>1630</v>
      </c>
      <c r="H2582">
        <v>1</v>
      </c>
      <c r="I2582" t="s">
        <v>89</v>
      </c>
      <c r="J2582">
        <v>0</v>
      </c>
      <c r="K2582">
        <v>1</v>
      </c>
      <c r="L2582">
        <v>2</v>
      </c>
      <c r="M2582">
        <v>173</v>
      </c>
      <c r="N2582">
        <v>435</v>
      </c>
      <c r="O2582">
        <v>3</v>
      </c>
      <c r="P2582">
        <v>435</v>
      </c>
      <c r="Q2582">
        <v>23</v>
      </c>
      <c r="R2582">
        <v>52</v>
      </c>
      <c r="S2582">
        <v>10</v>
      </c>
      <c r="T2582">
        <v>8</v>
      </c>
      <c r="U2582">
        <v>7</v>
      </c>
      <c r="V2582">
        <v>8</v>
      </c>
      <c r="W2582">
        <v>5</v>
      </c>
      <c r="X2582">
        <v>4</v>
      </c>
      <c r="Y2582">
        <v>264</v>
      </c>
      <c r="Z2582">
        <v>4</v>
      </c>
      <c r="AA2582">
        <v>4</v>
      </c>
      <c r="AB2582">
        <v>23</v>
      </c>
      <c r="AC2582">
        <v>1</v>
      </c>
      <c r="AD2582">
        <v>1</v>
      </c>
      <c r="AE2582">
        <v>0</v>
      </c>
      <c r="AF2582">
        <v>0</v>
      </c>
      <c r="AG2582">
        <v>0</v>
      </c>
      <c r="AH2582">
        <v>1</v>
      </c>
      <c r="AI2582">
        <v>0</v>
      </c>
      <c r="AJ2582">
        <v>0</v>
      </c>
      <c r="AK2582">
        <v>7</v>
      </c>
      <c r="AL2582">
        <v>1</v>
      </c>
      <c r="AM2582">
        <v>0</v>
      </c>
      <c r="AN2582">
        <v>0</v>
      </c>
      <c r="AT2582">
        <v>0</v>
      </c>
      <c r="AU2582">
        <v>12</v>
      </c>
      <c r="AV2582">
        <v>435</v>
      </c>
      <c r="AW2582">
        <v>435</v>
      </c>
      <c r="AX2582">
        <v>586</v>
      </c>
      <c r="BA2582">
        <v>1</v>
      </c>
      <c r="BC2582" t="s">
        <v>5265</v>
      </c>
      <c r="BD2582" s="4">
        <v>43283.097222222219</v>
      </c>
      <c r="BE2582" s="4">
        <v>43283.103761574072</v>
      </c>
      <c r="BF2582" s="4">
        <v>43283.103761574072</v>
      </c>
      <c r="BG2582" t="s">
        <v>83</v>
      </c>
      <c r="BH2582" t="s">
        <v>84</v>
      </c>
      <c r="BI2582" t="s">
        <v>85</v>
      </c>
    </row>
    <row r="2583" spans="1:61" x14ac:dyDescent="0.3">
      <c r="A2583" t="str">
        <f>"201631B0100"</f>
        <v>201631B0100</v>
      </c>
      <c r="B2583" t="s">
        <v>5266</v>
      </c>
      <c r="C2583">
        <v>20</v>
      </c>
      <c r="D2583" t="s">
        <v>79</v>
      </c>
      <c r="E2583">
        <v>12</v>
      </c>
      <c r="F2583" t="s">
        <v>5082</v>
      </c>
      <c r="G2583">
        <v>1631</v>
      </c>
      <c r="H2583">
        <v>1</v>
      </c>
      <c r="I2583" t="s">
        <v>81</v>
      </c>
      <c r="J2583">
        <v>0</v>
      </c>
      <c r="K2583">
        <v>1</v>
      </c>
      <c r="L2583">
        <v>2</v>
      </c>
      <c r="M2583">
        <v>166</v>
      </c>
      <c r="N2583">
        <v>404</v>
      </c>
      <c r="O2583">
        <v>2</v>
      </c>
      <c r="P2583">
        <v>404</v>
      </c>
      <c r="Q2583">
        <v>50</v>
      </c>
      <c r="R2583">
        <v>53</v>
      </c>
      <c r="S2583">
        <v>3</v>
      </c>
      <c r="T2583">
        <v>15</v>
      </c>
      <c r="U2583">
        <v>15</v>
      </c>
      <c r="V2583">
        <v>3</v>
      </c>
      <c r="W2583">
        <v>7</v>
      </c>
      <c r="X2583">
        <v>8</v>
      </c>
      <c r="Y2583">
        <v>177</v>
      </c>
      <c r="Z2583">
        <v>11</v>
      </c>
      <c r="AA2583">
        <v>7</v>
      </c>
      <c r="AB2583">
        <v>23</v>
      </c>
      <c r="AC2583">
        <v>2</v>
      </c>
      <c r="AD2583">
        <v>1</v>
      </c>
      <c r="AE2583">
        <v>0</v>
      </c>
      <c r="AF2583">
        <v>0</v>
      </c>
      <c r="AG2583">
        <v>4</v>
      </c>
      <c r="AH2583">
        <v>0</v>
      </c>
      <c r="AI2583">
        <v>0</v>
      </c>
      <c r="AJ2583">
        <v>0</v>
      </c>
      <c r="AK2583">
        <v>4</v>
      </c>
      <c r="AL2583">
        <v>0</v>
      </c>
      <c r="AM2583">
        <v>0</v>
      </c>
      <c r="AN2583">
        <v>4</v>
      </c>
      <c r="AT2583">
        <v>0</v>
      </c>
      <c r="AU2583">
        <v>17</v>
      </c>
      <c r="AV2583">
        <v>404</v>
      </c>
      <c r="AW2583">
        <v>404</v>
      </c>
      <c r="AX2583">
        <v>550</v>
      </c>
      <c r="BA2583">
        <v>1</v>
      </c>
      <c r="BC2583" t="s">
        <v>5267</v>
      </c>
      <c r="BD2583" s="4">
        <v>43282.889467592591</v>
      </c>
      <c r="BE2583" s="4">
        <v>43282.89675925926</v>
      </c>
      <c r="BF2583" s="4">
        <v>43282.89675925926</v>
      </c>
      <c r="BG2583" t="s">
        <v>373</v>
      </c>
      <c r="BH2583" t="s">
        <v>374</v>
      </c>
      <c r="BI2583" t="s">
        <v>85</v>
      </c>
    </row>
    <row r="2584" spans="1:61" x14ac:dyDescent="0.3">
      <c r="A2584" t="str">
        <f>"201631C0100"</f>
        <v>201631C0100</v>
      </c>
      <c r="B2584" t="s">
        <v>5268</v>
      </c>
      <c r="C2584">
        <v>20</v>
      </c>
      <c r="D2584" t="s">
        <v>79</v>
      </c>
      <c r="E2584">
        <v>12</v>
      </c>
      <c r="F2584" t="s">
        <v>5082</v>
      </c>
      <c r="G2584">
        <v>1631</v>
      </c>
      <c r="H2584">
        <v>1</v>
      </c>
      <c r="I2584" t="s">
        <v>89</v>
      </c>
      <c r="J2584">
        <v>0</v>
      </c>
      <c r="K2584">
        <v>1</v>
      </c>
      <c r="L2584">
        <v>2</v>
      </c>
      <c r="M2584">
        <v>202</v>
      </c>
      <c r="N2584">
        <v>370</v>
      </c>
      <c r="O2584">
        <v>5</v>
      </c>
      <c r="P2584">
        <v>370</v>
      </c>
      <c r="Q2584">
        <v>46</v>
      </c>
      <c r="R2584">
        <v>40</v>
      </c>
      <c r="S2584">
        <v>6</v>
      </c>
      <c r="T2584">
        <v>6</v>
      </c>
      <c r="U2584">
        <v>16</v>
      </c>
      <c r="V2584">
        <v>5</v>
      </c>
      <c r="W2584">
        <v>5</v>
      </c>
      <c r="X2584">
        <v>2</v>
      </c>
      <c r="Y2584">
        <v>183</v>
      </c>
      <c r="Z2584">
        <v>6</v>
      </c>
      <c r="AA2584">
        <v>4</v>
      </c>
      <c r="AB2584">
        <v>15</v>
      </c>
      <c r="AC2584">
        <v>0</v>
      </c>
      <c r="AD2584">
        <v>0</v>
      </c>
      <c r="AE2584">
        <v>0</v>
      </c>
      <c r="AF2584">
        <v>0</v>
      </c>
      <c r="AG2584">
        <v>1</v>
      </c>
      <c r="AH2584">
        <v>1</v>
      </c>
      <c r="AI2584">
        <v>0</v>
      </c>
      <c r="AJ2584">
        <v>0</v>
      </c>
      <c r="AK2584">
        <v>9</v>
      </c>
      <c r="AL2584">
        <v>5</v>
      </c>
      <c r="AM2584">
        <v>0</v>
      </c>
      <c r="AN2584">
        <v>1</v>
      </c>
      <c r="AT2584">
        <v>0</v>
      </c>
      <c r="AU2584">
        <v>19</v>
      </c>
      <c r="AV2584">
        <v>370</v>
      </c>
      <c r="AW2584">
        <v>370</v>
      </c>
      <c r="AX2584">
        <v>550</v>
      </c>
      <c r="BA2584">
        <v>1</v>
      </c>
      <c r="BC2584" t="s">
        <v>5269</v>
      </c>
      <c r="BD2584" s="4">
        <v>43282.856215277781</v>
      </c>
      <c r="BE2584" s="4">
        <v>43282.871053240742</v>
      </c>
      <c r="BF2584" s="4">
        <v>43282.871053240742</v>
      </c>
      <c r="BG2584" t="s">
        <v>373</v>
      </c>
      <c r="BH2584" t="s">
        <v>374</v>
      </c>
      <c r="BI2584" t="s">
        <v>85</v>
      </c>
    </row>
    <row r="2585" spans="1:61" x14ac:dyDescent="0.3">
      <c r="A2585" t="str">
        <f>"201632B0100"</f>
        <v>201632B0100</v>
      </c>
      <c r="B2585" t="s">
        <v>5270</v>
      </c>
      <c r="C2585">
        <v>20</v>
      </c>
      <c r="D2585" t="s">
        <v>79</v>
      </c>
      <c r="E2585">
        <v>12</v>
      </c>
      <c r="F2585" t="s">
        <v>5082</v>
      </c>
      <c r="G2585">
        <v>1632</v>
      </c>
      <c r="H2585">
        <v>1</v>
      </c>
      <c r="I2585" t="s">
        <v>81</v>
      </c>
      <c r="J2585">
        <v>0</v>
      </c>
      <c r="K2585">
        <v>1</v>
      </c>
      <c r="L2585">
        <v>2</v>
      </c>
      <c r="M2585">
        <v>221</v>
      </c>
      <c r="N2585">
        <v>412</v>
      </c>
      <c r="O2585">
        <v>2</v>
      </c>
      <c r="P2585">
        <v>412</v>
      </c>
      <c r="Q2585">
        <v>42</v>
      </c>
      <c r="R2585">
        <v>53</v>
      </c>
      <c r="S2585">
        <v>3</v>
      </c>
      <c r="T2585">
        <v>4</v>
      </c>
      <c r="U2585">
        <v>16</v>
      </c>
      <c r="V2585">
        <v>3</v>
      </c>
      <c r="W2585">
        <v>8</v>
      </c>
      <c r="X2585">
        <v>5</v>
      </c>
      <c r="Y2585">
        <v>217</v>
      </c>
      <c r="Z2585">
        <v>7</v>
      </c>
      <c r="AA2585">
        <v>6</v>
      </c>
      <c r="AB2585">
        <v>21</v>
      </c>
      <c r="AC2585">
        <v>0</v>
      </c>
      <c r="AD2585">
        <v>0</v>
      </c>
      <c r="AE2585">
        <v>1</v>
      </c>
      <c r="AF2585">
        <v>0</v>
      </c>
      <c r="AG2585">
        <v>1</v>
      </c>
      <c r="AH2585">
        <v>1</v>
      </c>
      <c r="AI2585">
        <v>0</v>
      </c>
      <c r="AJ2585">
        <v>0</v>
      </c>
      <c r="AK2585">
        <v>4</v>
      </c>
      <c r="AL2585">
        <v>1</v>
      </c>
      <c r="AM2585">
        <v>0</v>
      </c>
      <c r="AN2585">
        <v>0</v>
      </c>
      <c r="AT2585">
        <v>0</v>
      </c>
      <c r="AU2585">
        <v>19</v>
      </c>
      <c r="AV2585">
        <v>412</v>
      </c>
      <c r="AW2585">
        <v>412</v>
      </c>
      <c r="AX2585">
        <v>611</v>
      </c>
      <c r="BA2585">
        <v>1</v>
      </c>
      <c r="BC2585" t="s">
        <v>5271</v>
      </c>
      <c r="BD2585" s="4">
        <v>43282.981574074074</v>
      </c>
      <c r="BE2585" s="4">
        <v>43282.985983796294</v>
      </c>
      <c r="BF2585" s="4">
        <v>43282.985983796294</v>
      </c>
      <c r="BG2585" t="s">
        <v>373</v>
      </c>
      <c r="BH2585" t="s">
        <v>374</v>
      </c>
      <c r="BI2585" t="s">
        <v>85</v>
      </c>
    </row>
    <row r="2586" spans="1:61" x14ac:dyDescent="0.3">
      <c r="A2586" t="str">
        <f>"201632C0100"</f>
        <v>201632C0100</v>
      </c>
      <c r="B2586" t="s">
        <v>5272</v>
      </c>
      <c r="C2586">
        <v>20</v>
      </c>
      <c r="D2586" t="s">
        <v>79</v>
      </c>
      <c r="E2586">
        <v>12</v>
      </c>
      <c r="F2586" t="s">
        <v>5082</v>
      </c>
      <c r="G2586">
        <v>1632</v>
      </c>
      <c r="H2586">
        <v>1</v>
      </c>
      <c r="I2586" t="s">
        <v>89</v>
      </c>
      <c r="J2586">
        <v>0</v>
      </c>
      <c r="K2586">
        <v>1</v>
      </c>
      <c r="L2586">
        <v>2</v>
      </c>
      <c r="M2586">
        <v>225</v>
      </c>
      <c r="N2586">
        <v>408</v>
      </c>
      <c r="O2586">
        <v>4</v>
      </c>
      <c r="P2586">
        <v>0</v>
      </c>
      <c r="Q2586">
        <v>35</v>
      </c>
      <c r="R2586">
        <v>69</v>
      </c>
      <c r="S2586">
        <v>3</v>
      </c>
      <c r="T2586">
        <v>12</v>
      </c>
      <c r="U2586">
        <v>19</v>
      </c>
      <c r="V2586">
        <v>5</v>
      </c>
      <c r="W2586">
        <v>10</v>
      </c>
      <c r="X2586">
        <v>2</v>
      </c>
      <c r="Y2586">
        <v>206</v>
      </c>
      <c r="Z2586">
        <v>8</v>
      </c>
      <c r="AA2586">
        <v>2</v>
      </c>
      <c r="AB2586">
        <v>19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2</v>
      </c>
      <c r="AI2586">
        <v>1</v>
      </c>
      <c r="AJ2586">
        <v>0</v>
      </c>
      <c r="AK2586">
        <v>2</v>
      </c>
      <c r="AL2586">
        <v>0</v>
      </c>
      <c r="AM2586">
        <v>0</v>
      </c>
      <c r="AN2586">
        <v>1</v>
      </c>
      <c r="AT2586">
        <v>2</v>
      </c>
      <c r="AU2586">
        <v>10</v>
      </c>
      <c r="AV2586">
        <v>408</v>
      </c>
      <c r="AW2586">
        <v>408</v>
      </c>
      <c r="AX2586">
        <v>611</v>
      </c>
      <c r="BA2586">
        <v>1</v>
      </c>
      <c r="BC2586" t="s">
        <v>5273</v>
      </c>
      <c r="BD2586" s="4">
        <v>43282.946469907409</v>
      </c>
      <c r="BE2586" s="4">
        <v>43282.954097222224</v>
      </c>
      <c r="BF2586" s="4">
        <v>43282.954097222224</v>
      </c>
      <c r="BG2586" t="s">
        <v>373</v>
      </c>
      <c r="BH2586" t="s">
        <v>374</v>
      </c>
      <c r="BI2586" t="s">
        <v>85</v>
      </c>
    </row>
    <row r="2587" spans="1:61" x14ac:dyDescent="0.3">
      <c r="A2587" t="str">
        <f>"201633B0100"</f>
        <v>201633B0100</v>
      </c>
      <c r="B2587" t="s">
        <v>5274</v>
      </c>
      <c r="C2587">
        <v>20</v>
      </c>
      <c r="D2587" t="s">
        <v>79</v>
      </c>
      <c r="E2587">
        <v>12</v>
      </c>
      <c r="F2587" t="s">
        <v>5082</v>
      </c>
      <c r="G2587">
        <v>1633</v>
      </c>
      <c r="H2587">
        <v>1</v>
      </c>
      <c r="I2587" t="s">
        <v>81</v>
      </c>
      <c r="J2587">
        <v>0</v>
      </c>
      <c r="K2587">
        <v>1</v>
      </c>
      <c r="L2587">
        <v>2</v>
      </c>
      <c r="M2587">
        <v>292</v>
      </c>
      <c r="N2587">
        <v>456</v>
      </c>
      <c r="O2587">
        <v>2</v>
      </c>
      <c r="P2587">
        <v>456</v>
      </c>
      <c r="Q2587">
        <v>48</v>
      </c>
      <c r="R2587">
        <v>54</v>
      </c>
      <c r="S2587">
        <v>8</v>
      </c>
      <c r="T2587">
        <v>19</v>
      </c>
      <c r="U2587">
        <v>17</v>
      </c>
      <c r="V2587">
        <v>4</v>
      </c>
      <c r="W2587">
        <v>6</v>
      </c>
      <c r="X2587">
        <v>7</v>
      </c>
      <c r="Y2587">
        <v>245</v>
      </c>
      <c r="Z2587">
        <v>7</v>
      </c>
      <c r="AA2587">
        <v>5</v>
      </c>
      <c r="AB2587">
        <v>12</v>
      </c>
      <c r="AC2587">
        <v>2</v>
      </c>
      <c r="AD2587">
        <v>0</v>
      </c>
      <c r="AE2587">
        <v>0</v>
      </c>
      <c r="AF2587">
        <v>0</v>
      </c>
      <c r="AG2587">
        <v>2</v>
      </c>
      <c r="AH2587">
        <v>1</v>
      </c>
      <c r="AI2587">
        <v>0</v>
      </c>
      <c r="AJ2587">
        <v>0</v>
      </c>
      <c r="AK2587">
        <v>9</v>
      </c>
      <c r="AL2587">
        <v>0</v>
      </c>
      <c r="AM2587">
        <v>2</v>
      </c>
      <c r="AN2587">
        <v>1</v>
      </c>
      <c r="AT2587">
        <v>0</v>
      </c>
      <c r="AU2587">
        <v>7</v>
      </c>
      <c r="AV2587">
        <v>456</v>
      </c>
      <c r="AW2587">
        <v>456</v>
      </c>
      <c r="AX2587">
        <v>726</v>
      </c>
      <c r="BA2587">
        <v>1</v>
      </c>
      <c r="BC2587" t="s">
        <v>5275</v>
      </c>
      <c r="BD2587" s="4">
        <v>43283.097222222219</v>
      </c>
      <c r="BE2587" s="4">
        <v>43283.107951388891</v>
      </c>
      <c r="BF2587" s="4">
        <v>43283.107951388891</v>
      </c>
      <c r="BG2587" t="s">
        <v>83</v>
      </c>
      <c r="BH2587" t="s">
        <v>84</v>
      </c>
      <c r="BI2587" t="s">
        <v>85</v>
      </c>
    </row>
    <row r="2588" spans="1:61" x14ac:dyDescent="0.3">
      <c r="A2588" t="str">
        <f>"201633C0100"</f>
        <v>201633C0100</v>
      </c>
      <c r="B2588" t="s">
        <v>5276</v>
      </c>
      <c r="C2588">
        <v>20</v>
      </c>
      <c r="D2588" t="s">
        <v>79</v>
      </c>
      <c r="E2588">
        <v>12</v>
      </c>
      <c r="F2588" t="s">
        <v>5082</v>
      </c>
      <c r="G2588">
        <v>1633</v>
      </c>
      <c r="H2588">
        <v>1</v>
      </c>
      <c r="I2588" t="s">
        <v>89</v>
      </c>
      <c r="J2588">
        <v>0</v>
      </c>
      <c r="K2588">
        <v>1</v>
      </c>
      <c r="L2588">
        <v>2</v>
      </c>
      <c r="M2588">
        <v>273</v>
      </c>
      <c r="N2588">
        <v>473</v>
      </c>
      <c r="O2588">
        <v>1</v>
      </c>
      <c r="P2588">
        <v>473</v>
      </c>
      <c r="Q2588">
        <v>47</v>
      </c>
      <c r="R2588">
        <v>52</v>
      </c>
      <c r="S2588">
        <v>11</v>
      </c>
      <c r="T2588">
        <v>19</v>
      </c>
      <c r="U2588">
        <v>18</v>
      </c>
      <c r="V2588">
        <v>7</v>
      </c>
      <c r="W2588">
        <v>3</v>
      </c>
      <c r="X2588">
        <v>6</v>
      </c>
      <c r="Y2588">
        <v>244</v>
      </c>
      <c r="Z2588">
        <v>5</v>
      </c>
      <c r="AA2588">
        <v>6</v>
      </c>
      <c r="AB2588">
        <v>21</v>
      </c>
      <c r="AC2588">
        <v>0</v>
      </c>
      <c r="AD2588">
        <v>2</v>
      </c>
      <c r="AE2588">
        <v>0</v>
      </c>
      <c r="AF2588">
        <v>0</v>
      </c>
      <c r="AG2588">
        <v>2</v>
      </c>
      <c r="AH2588">
        <v>0</v>
      </c>
      <c r="AI2588">
        <v>0</v>
      </c>
      <c r="AJ2588">
        <v>0</v>
      </c>
      <c r="AK2588">
        <v>7</v>
      </c>
      <c r="AL2588">
        <v>1</v>
      </c>
      <c r="AM2588">
        <v>0</v>
      </c>
      <c r="AN2588">
        <v>1</v>
      </c>
      <c r="AT2588">
        <v>0</v>
      </c>
      <c r="AU2588">
        <v>18</v>
      </c>
      <c r="AV2588">
        <v>473</v>
      </c>
      <c r="AW2588">
        <v>470</v>
      </c>
      <c r="AX2588">
        <v>726</v>
      </c>
      <c r="BA2588">
        <v>1</v>
      </c>
      <c r="BC2588" t="s">
        <v>5277</v>
      </c>
      <c r="BD2588" s="4">
        <v>43283.100694444445</v>
      </c>
      <c r="BE2588" s="4">
        <v>43283.111030092594</v>
      </c>
      <c r="BF2588" s="4">
        <v>43283.111030092594</v>
      </c>
      <c r="BG2588" t="s">
        <v>83</v>
      </c>
      <c r="BH2588" t="s">
        <v>84</v>
      </c>
      <c r="BI2588" t="s">
        <v>85</v>
      </c>
    </row>
    <row r="2589" spans="1:61" x14ac:dyDescent="0.3">
      <c r="A2589" t="str">
        <f>"201633C0200"</f>
        <v>201633C0200</v>
      </c>
      <c r="B2589" t="s">
        <v>5278</v>
      </c>
      <c r="C2589">
        <v>20</v>
      </c>
      <c r="D2589" t="s">
        <v>79</v>
      </c>
      <c r="E2589">
        <v>12</v>
      </c>
      <c r="F2589" t="s">
        <v>5082</v>
      </c>
      <c r="G2589">
        <v>1633</v>
      </c>
      <c r="H2589">
        <v>2</v>
      </c>
      <c r="I2589" t="s">
        <v>89</v>
      </c>
      <c r="J2589">
        <v>0</v>
      </c>
      <c r="K2589">
        <v>1</v>
      </c>
      <c r="L2589">
        <v>2</v>
      </c>
      <c r="M2589">
        <v>246</v>
      </c>
      <c r="N2589">
        <v>501</v>
      </c>
      <c r="O2589">
        <v>3</v>
      </c>
      <c r="P2589">
        <v>501</v>
      </c>
      <c r="Q2589">
        <v>54</v>
      </c>
      <c r="R2589">
        <v>80</v>
      </c>
      <c r="S2589">
        <v>5</v>
      </c>
      <c r="T2589">
        <v>16</v>
      </c>
      <c r="U2589">
        <v>17</v>
      </c>
      <c r="V2589">
        <v>6</v>
      </c>
      <c r="W2589">
        <v>5</v>
      </c>
      <c r="X2589">
        <v>4</v>
      </c>
      <c r="Y2589">
        <v>252</v>
      </c>
      <c r="Z2589">
        <v>5</v>
      </c>
      <c r="AA2589">
        <v>2</v>
      </c>
      <c r="AB2589">
        <v>24</v>
      </c>
      <c r="AC2589">
        <v>2</v>
      </c>
      <c r="AD2589">
        <v>0</v>
      </c>
      <c r="AE2589">
        <v>1</v>
      </c>
      <c r="AF2589">
        <v>0</v>
      </c>
      <c r="AG2589">
        <v>0</v>
      </c>
      <c r="AH2589">
        <v>3</v>
      </c>
      <c r="AI2589" t="s">
        <v>100</v>
      </c>
      <c r="AJ2589">
        <v>1</v>
      </c>
      <c r="AK2589">
        <v>6</v>
      </c>
      <c r="AL2589">
        <v>3</v>
      </c>
      <c r="AM2589">
        <v>1</v>
      </c>
      <c r="AN2589" t="s">
        <v>100</v>
      </c>
      <c r="AT2589" t="s">
        <v>100</v>
      </c>
      <c r="AU2589">
        <v>14</v>
      </c>
      <c r="AV2589">
        <v>501</v>
      </c>
      <c r="AW2589">
        <v>501</v>
      </c>
      <c r="AX2589">
        <v>726</v>
      </c>
      <c r="AZ2589" t="s">
        <v>101</v>
      </c>
      <c r="BA2589">
        <v>1</v>
      </c>
      <c r="BC2589" t="s">
        <v>5279</v>
      </c>
      <c r="BD2589" s="4">
        <v>43283.102777777778</v>
      </c>
      <c r="BE2589" s="4">
        <v>43283.117106481484</v>
      </c>
      <c r="BF2589" s="4">
        <v>43283.117106481484</v>
      </c>
      <c r="BG2589" t="s">
        <v>83</v>
      </c>
      <c r="BH2589" t="s">
        <v>84</v>
      </c>
      <c r="BI2589" t="s">
        <v>85</v>
      </c>
    </row>
    <row r="2590" spans="1:61" x14ac:dyDescent="0.3">
      <c r="A2590" t="str">
        <f>"201633C0300"</f>
        <v>201633C0300</v>
      </c>
      <c r="B2590" t="s">
        <v>5280</v>
      </c>
      <c r="C2590">
        <v>20</v>
      </c>
      <c r="D2590" t="s">
        <v>79</v>
      </c>
      <c r="E2590">
        <v>12</v>
      </c>
      <c r="F2590" t="s">
        <v>5082</v>
      </c>
      <c r="G2590">
        <v>1633</v>
      </c>
      <c r="H2590">
        <v>3</v>
      </c>
      <c r="I2590" t="s">
        <v>89</v>
      </c>
      <c r="J2590">
        <v>0</v>
      </c>
      <c r="K2590">
        <v>1</v>
      </c>
      <c r="L2590">
        <v>2</v>
      </c>
      <c r="M2590">
        <v>283</v>
      </c>
      <c r="N2590">
        <v>465</v>
      </c>
      <c r="O2590">
        <v>3</v>
      </c>
      <c r="P2590">
        <v>465</v>
      </c>
      <c r="Q2590">
        <v>45</v>
      </c>
      <c r="R2590">
        <v>67</v>
      </c>
      <c r="S2590">
        <v>4</v>
      </c>
      <c r="T2590">
        <v>4</v>
      </c>
      <c r="U2590">
        <v>12</v>
      </c>
      <c r="V2590">
        <v>6</v>
      </c>
      <c r="W2590">
        <v>11</v>
      </c>
      <c r="X2590">
        <v>6</v>
      </c>
      <c r="Y2590">
        <v>245</v>
      </c>
      <c r="Z2590">
        <v>8</v>
      </c>
      <c r="AA2590">
        <v>7</v>
      </c>
      <c r="AB2590">
        <v>23</v>
      </c>
      <c r="AC2590">
        <v>3</v>
      </c>
      <c r="AD2590">
        <v>2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1</v>
      </c>
      <c r="AK2590">
        <v>1</v>
      </c>
      <c r="AL2590">
        <v>1</v>
      </c>
      <c r="AM2590">
        <v>0</v>
      </c>
      <c r="AN2590">
        <v>0</v>
      </c>
      <c r="AT2590" t="s">
        <v>100</v>
      </c>
      <c r="AU2590">
        <v>13</v>
      </c>
      <c r="AV2590">
        <v>465</v>
      </c>
      <c r="AW2590">
        <v>459</v>
      </c>
      <c r="AX2590">
        <v>726</v>
      </c>
      <c r="AZ2590" t="s">
        <v>101</v>
      </c>
      <c r="BA2590">
        <v>1</v>
      </c>
      <c r="BC2590" t="s">
        <v>5281</v>
      </c>
      <c r="BD2590" s="4">
        <v>43283.007627314815</v>
      </c>
      <c r="BE2590" s="4">
        <v>43283.022476851853</v>
      </c>
      <c r="BF2590" s="4">
        <v>43283.022476851853</v>
      </c>
      <c r="BG2590" t="s">
        <v>373</v>
      </c>
      <c r="BH2590" t="s">
        <v>374</v>
      </c>
      <c r="BI2590" t="s">
        <v>85</v>
      </c>
    </row>
    <row r="2591" spans="1:61" x14ac:dyDescent="0.3">
      <c r="A2591" t="str">
        <f>"201686B0100"</f>
        <v>201686B0100</v>
      </c>
      <c r="B2591" t="s">
        <v>5282</v>
      </c>
      <c r="C2591">
        <v>20</v>
      </c>
      <c r="D2591" t="s">
        <v>79</v>
      </c>
      <c r="E2591">
        <v>12</v>
      </c>
      <c r="F2591" t="s">
        <v>5082</v>
      </c>
      <c r="G2591">
        <v>1686</v>
      </c>
      <c r="H2591">
        <v>1</v>
      </c>
      <c r="I2591" t="s">
        <v>81</v>
      </c>
      <c r="J2591">
        <v>0</v>
      </c>
      <c r="K2591">
        <v>2</v>
      </c>
      <c r="L2591">
        <v>2</v>
      </c>
      <c r="M2591">
        <v>200</v>
      </c>
      <c r="N2591">
        <v>481</v>
      </c>
      <c r="O2591">
        <v>0</v>
      </c>
      <c r="P2591">
        <v>481</v>
      </c>
      <c r="Q2591">
        <v>25</v>
      </c>
      <c r="R2591">
        <v>53</v>
      </c>
      <c r="S2591">
        <v>4</v>
      </c>
      <c r="T2591">
        <v>10</v>
      </c>
      <c r="U2591">
        <v>21</v>
      </c>
      <c r="V2591">
        <v>36</v>
      </c>
      <c r="W2591">
        <v>43</v>
      </c>
      <c r="X2591">
        <v>28</v>
      </c>
      <c r="Y2591">
        <v>215</v>
      </c>
      <c r="Z2591">
        <v>5</v>
      </c>
      <c r="AA2591">
        <v>4</v>
      </c>
      <c r="AB2591">
        <v>9</v>
      </c>
      <c r="AC2591" t="s">
        <v>100</v>
      </c>
      <c r="AD2591" t="s">
        <v>100</v>
      </c>
      <c r="AE2591" t="s">
        <v>100</v>
      </c>
      <c r="AF2591" t="s">
        <v>100</v>
      </c>
      <c r="AG2591" t="s">
        <v>100</v>
      </c>
      <c r="AH2591">
        <v>1</v>
      </c>
      <c r="AI2591" t="s">
        <v>100</v>
      </c>
      <c r="AJ2591">
        <v>1</v>
      </c>
      <c r="AK2591">
        <v>2</v>
      </c>
      <c r="AL2591">
        <v>5</v>
      </c>
      <c r="AM2591" t="s">
        <v>100</v>
      </c>
      <c r="AN2591">
        <v>2</v>
      </c>
      <c r="AT2591" t="s">
        <v>100</v>
      </c>
      <c r="AU2591">
        <v>17</v>
      </c>
      <c r="AV2591">
        <v>481</v>
      </c>
      <c r="AW2591">
        <v>481</v>
      </c>
      <c r="AX2591">
        <v>658</v>
      </c>
      <c r="AZ2591" t="s">
        <v>101</v>
      </c>
      <c r="BA2591">
        <v>1</v>
      </c>
      <c r="BC2591" t="s">
        <v>5283</v>
      </c>
      <c r="BD2591" s="4">
        <v>43283.1</v>
      </c>
      <c r="BE2591" s="4">
        <v>43283.123668981483</v>
      </c>
      <c r="BF2591" s="4">
        <v>43283.123668981483</v>
      </c>
      <c r="BG2591" t="s">
        <v>83</v>
      </c>
      <c r="BH2591" t="s">
        <v>84</v>
      </c>
      <c r="BI2591" t="s">
        <v>85</v>
      </c>
    </row>
    <row r="2592" spans="1:61" x14ac:dyDescent="0.3">
      <c r="A2592" t="str">
        <f>"201686C0100"</f>
        <v>201686C0100</v>
      </c>
      <c r="B2592" t="s">
        <v>5284</v>
      </c>
      <c r="C2592">
        <v>20</v>
      </c>
      <c r="D2592" t="s">
        <v>79</v>
      </c>
      <c r="E2592">
        <v>12</v>
      </c>
      <c r="F2592" t="s">
        <v>5082</v>
      </c>
      <c r="G2592">
        <v>1686</v>
      </c>
      <c r="H2592">
        <v>1</v>
      </c>
      <c r="I2592" t="s">
        <v>89</v>
      </c>
      <c r="J2592">
        <v>0</v>
      </c>
      <c r="K2592">
        <v>2</v>
      </c>
      <c r="L2592">
        <v>2</v>
      </c>
      <c r="M2592">
        <v>236</v>
      </c>
      <c r="N2592">
        <v>445</v>
      </c>
      <c r="O2592">
        <v>1</v>
      </c>
      <c r="P2592">
        <v>445</v>
      </c>
      <c r="Q2592">
        <v>30</v>
      </c>
      <c r="R2592">
        <v>38</v>
      </c>
      <c r="S2592">
        <v>9</v>
      </c>
      <c r="T2592">
        <v>8</v>
      </c>
      <c r="U2592">
        <v>16</v>
      </c>
      <c r="V2592">
        <v>51</v>
      </c>
      <c r="W2592">
        <v>43</v>
      </c>
      <c r="X2592">
        <v>27</v>
      </c>
      <c r="Y2592">
        <v>178</v>
      </c>
      <c r="Z2592">
        <v>12</v>
      </c>
      <c r="AA2592">
        <v>1</v>
      </c>
      <c r="AB2592">
        <v>9</v>
      </c>
      <c r="AC2592">
        <v>1</v>
      </c>
      <c r="AD2592">
        <v>0</v>
      </c>
      <c r="AE2592">
        <v>0</v>
      </c>
      <c r="AF2592">
        <v>0</v>
      </c>
      <c r="AG2592">
        <v>0</v>
      </c>
      <c r="AH2592">
        <v>1</v>
      </c>
      <c r="AI2592">
        <v>0</v>
      </c>
      <c r="AJ2592">
        <v>0</v>
      </c>
      <c r="AK2592">
        <v>3</v>
      </c>
      <c r="AL2592">
        <v>1</v>
      </c>
      <c r="AM2592">
        <v>0</v>
      </c>
      <c r="AN2592">
        <v>0</v>
      </c>
      <c r="AT2592">
        <v>1</v>
      </c>
      <c r="AU2592">
        <v>16</v>
      </c>
      <c r="AV2592">
        <v>445</v>
      </c>
      <c r="AW2592">
        <v>445</v>
      </c>
      <c r="AX2592">
        <v>658</v>
      </c>
      <c r="BA2592">
        <v>1</v>
      </c>
      <c r="BC2592" t="s">
        <v>5285</v>
      </c>
      <c r="BD2592" s="4">
        <v>43283.102083333331</v>
      </c>
      <c r="BE2592" s="4">
        <v>43283.113946759258</v>
      </c>
      <c r="BF2592" s="4">
        <v>43283.113946759258</v>
      </c>
      <c r="BG2592" t="s">
        <v>83</v>
      </c>
      <c r="BH2592" t="s">
        <v>84</v>
      </c>
      <c r="BI2592" t="s">
        <v>85</v>
      </c>
    </row>
    <row r="2593" spans="1:61" x14ac:dyDescent="0.3">
      <c r="A2593" t="str">
        <f>"201686C0200"</f>
        <v>201686C0200</v>
      </c>
      <c r="B2593" t="s">
        <v>5286</v>
      </c>
      <c r="C2593">
        <v>20</v>
      </c>
      <c r="D2593" t="s">
        <v>79</v>
      </c>
      <c r="E2593">
        <v>12</v>
      </c>
      <c r="F2593" t="s">
        <v>5082</v>
      </c>
      <c r="G2593">
        <v>1686</v>
      </c>
      <c r="H2593">
        <v>2</v>
      </c>
      <c r="I2593" t="s">
        <v>89</v>
      </c>
      <c r="J2593">
        <v>0</v>
      </c>
      <c r="K2593">
        <v>2</v>
      </c>
      <c r="L2593">
        <v>2</v>
      </c>
      <c r="M2593">
        <v>226</v>
      </c>
      <c r="N2593">
        <v>455</v>
      </c>
      <c r="O2593">
        <v>0</v>
      </c>
      <c r="P2593">
        <v>455</v>
      </c>
      <c r="Q2593">
        <v>37</v>
      </c>
      <c r="R2593">
        <v>36</v>
      </c>
      <c r="S2593">
        <v>5</v>
      </c>
      <c r="T2593">
        <v>9</v>
      </c>
      <c r="U2593">
        <v>23</v>
      </c>
      <c r="V2593">
        <v>27</v>
      </c>
      <c r="W2593">
        <v>31</v>
      </c>
      <c r="X2593">
        <v>31</v>
      </c>
      <c r="Y2593">
        <v>201</v>
      </c>
      <c r="Z2593">
        <v>7</v>
      </c>
      <c r="AA2593">
        <v>1</v>
      </c>
      <c r="AB2593">
        <v>19</v>
      </c>
      <c r="AC2593">
        <v>2</v>
      </c>
      <c r="AD2593">
        <v>0</v>
      </c>
      <c r="AE2593">
        <v>1</v>
      </c>
      <c r="AF2593">
        <v>0</v>
      </c>
      <c r="AG2593">
        <v>1</v>
      </c>
      <c r="AH2593">
        <v>2</v>
      </c>
      <c r="AI2593">
        <v>0</v>
      </c>
      <c r="AJ2593">
        <v>0</v>
      </c>
      <c r="AK2593">
        <v>5</v>
      </c>
      <c r="AL2593">
        <v>0</v>
      </c>
      <c r="AM2593">
        <v>0</v>
      </c>
      <c r="AN2593">
        <v>0</v>
      </c>
      <c r="AT2593">
        <v>0</v>
      </c>
      <c r="AU2593">
        <v>17</v>
      </c>
      <c r="AV2593">
        <v>455</v>
      </c>
      <c r="AW2593">
        <v>455</v>
      </c>
      <c r="AX2593">
        <v>658</v>
      </c>
      <c r="BA2593">
        <v>1</v>
      </c>
      <c r="BC2593" t="s">
        <v>5287</v>
      </c>
      <c r="BD2593" s="4">
        <v>43283.102083333331</v>
      </c>
      <c r="BE2593" s="4">
        <v>43283.11577546296</v>
      </c>
      <c r="BF2593" s="4">
        <v>43283.11577546296</v>
      </c>
      <c r="BG2593" t="s">
        <v>83</v>
      </c>
      <c r="BH2593" t="s">
        <v>84</v>
      </c>
      <c r="BI2593" t="s">
        <v>85</v>
      </c>
    </row>
    <row r="2594" spans="1:61" x14ac:dyDescent="0.3">
      <c r="A2594" t="str">
        <f>"201686C0300"</f>
        <v>201686C0300</v>
      </c>
      <c r="B2594" t="s">
        <v>5288</v>
      </c>
      <c r="C2594">
        <v>20</v>
      </c>
      <c r="D2594" t="s">
        <v>79</v>
      </c>
      <c r="E2594">
        <v>12</v>
      </c>
      <c r="F2594" t="s">
        <v>5082</v>
      </c>
      <c r="G2594">
        <v>1686</v>
      </c>
      <c r="H2594">
        <v>3</v>
      </c>
      <c r="I2594" t="s">
        <v>89</v>
      </c>
      <c r="J2594">
        <v>0</v>
      </c>
      <c r="K2594">
        <v>2</v>
      </c>
      <c r="L2594">
        <v>2</v>
      </c>
      <c r="M2594">
        <v>240</v>
      </c>
      <c r="N2594">
        <v>440</v>
      </c>
      <c r="O2594">
        <v>0</v>
      </c>
      <c r="P2594">
        <v>439</v>
      </c>
      <c r="Q2594">
        <v>33</v>
      </c>
      <c r="R2594">
        <v>32</v>
      </c>
      <c r="S2594">
        <v>5</v>
      </c>
      <c r="T2594">
        <v>7</v>
      </c>
      <c r="U2594">
        <v>15</v>
      </c>
      <c r="V2594">
        <v>33</v>
      </c>
      <c r="W2594">
        <v>27</v>
      </c>
      <c r="X2594">
        <v>25</v>
      </c>
      <c r="Y2594">
        <v>214</v>
      </c>
      <c r="Z2594">
        <v>5</v>
      </c>
      <c r="AA2594">
        <v>5</v>
      </c>
      <c r="AB2594">
        <v>7</v>
      </c>
      <c r="AC2594">
        <v>2</v>
      </c>
      <c r="AD2594">
        <v>1</v>
      </c>
      <c r="AE2594">
        <v>0</v>
      </c>
      <c r="AF2594">
        <v>1</v>
      </c>
      <c r="AG2594">
        <v>1</v>
      </c>
      <c r="AH2594">
        <v>1</v>
      </c>
      <c r="AI2594">
        <v>0</v>
      </c>
      <c r="AJ2594">
        <v>0</v>
      </c>
      <c r="AK2594">
        <v>8</v>
      </c>
      <c r="AL2594">
        <v>0</v>
      </c>
      <c r="AM2594">
        <v>0</v>
      </c>
      <c r="AN2594">
        <v>1</v>
      </c>
      <c r="AT2594">
        <v>0</v>
      </c>
      <c r="AU2594">
        <v>16</v>
      </c>
      <c r="AV2594">
        <v>439</v>
      </c>
      <c r="AW2594">
        <v>439</v>
      </c>
      <c r="AX2594">
        <v>658</v>
      </c>
      <c r="BA2594">
        <v>1</v>
      </c>
      <c r="BC2594" t="s">
        <v>5289</v>
      </c>
      <c r="BD2594" s="4">
        <v>43283.1</v>
      </c>
      <c r="BE2594" s="4">
        <v>43283.119432870371</v>
      </c>
      <c r="BF2594" s="4">
        <v>43283.119432870371</v>
      </c>
      <c r="BG2594" t="s">
        <v>83</v>
      </c>
      <c r="BH2594" t="s">
        <v>84</v>
      </c>
      <c r="BI2594" t="s">
        <v>85</v>
      </c>
    </row>
    <row r="2595" spans="1:61" x14ac:dyDescent="0.3">
      <c r="A2595" t="str">
        <f>"201686C0400"</f>
        <v>201686C0400</v>
      </c>
      <c r="B2595" t="s">
        <v>5290</v>
      </c>
      <c r="C2595">
        <v>20</v>
      </c>
      <c r="D2595" t="s">
        <v>79</v>
      </c>
      <c r="E2595">
        <v>12</v>
      </c>
      <c r="F2595" t="s">
        <v>5082</v>
      </c>
      <c r="G2595">
        <v>1686</v>
      </c>
      <c r="H2595">
        <v>4</v>
      </c>
      <c r="I2595" t="s">
        <v>89</v>
      </c>
      <c r="J2595">
        <v>0</v>
      </c>
      <c r="K2595">
        <v>2</v>
      </c>
      <c r="L2595">
        <v>2</v>
      </c>
      <c r="M2595">
        <v>202</v>
      </c>
      <c r="N2595" t="s">
        <v>100</v>
      </c>
      <c r="O2595" t="s">
        <v>100</v>
      </c>
      <c r="P2595" t="s">
        <v>100</v>
      </c>
      <c r="Q2595">
        <v>35</v>
      </c>
      <c r="R2595">
        <v>48</v>
      </c>
      <c r="S2595">
        <v>6</v>
      </c>
      <c r="T2595">
        <v>14</v>
      </c>
      <c r="U2595">
        <v>15</v>
      </c>
      <c r="V2595">
        <v>39</v>
      </c>
      <c r="W2595">
        <v>34</v>
      </c>
      <c r="X2595">
        <v>29</v>
      </c>
      <c r="Y2595">
        <v>212</v>
      </c>
      <c r="Z2595">
        <v>12</v>
      </c>
      <c r="AA2595">
        <v>1</v>
      </c>
      <c r="AB2595">
        <v>12</v>
      </c>
      <c r="AC2595">
        <v>2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2</v>
      </c>
      <c r="AL2595">
        <v>1</v>
      </c>
      <c r="AM2595">
        <v>1</v>
      </c>
      <c r="AN2595">
        <v>0</v>
      </c>
      <c r="AT2595">
        <v>0</v>
      </c>
      <c r="AU2595">
        <v>15</v>
      </c>
      <c r="AV2595">
        <v>478</v>
      </c>
      <c r="AW2595">
        <v>478</v>
      </c>
      <c r="AX2595">
        <v>658</v>
      </c>
      <c r="BA2595">
        <v>1</v>
      </c>
      <c r="BC2595" t="s">
        <v>5291</v>
      </c>
      <c r="BD2595" s="4">
        <v>43283.09652777778</v>
      </c>
      <c r="BE2595" s="4">
        <v>43283.114247685182</v>
      </c>
      <c r="BF2595" s="4">
        <v>43283.114247685182</v>
      </c>
      <c r="BG2595" t="s">
        <v>83</v>
      </c>
      <c r="BH2595" t="s">
        <v>84</v>
      </c>
      <c r="BI2595" t="s">
        <v>85</v>
      </c>
    </row>
    <row r="2596" spans="1:61" x14ac:dyDescent="0.3">
      <c r="A2596" t="str">
        <f>"201686C0500"</f>
        <v>201686C0500</v>
      </c>
      <c r="B2596" t="s">
        <v>5292</v>
      </c>
      <c r="C2596">
        <v>20</v>
      </c>
      <c r="D2596" t="s">
        <v>79</v>
      </c>
      <c r="E2596">
        <v>12</v>
      </c>
      <c r="F2596" t="s">
        <v>5082</v>
      </c>
      <c r="G2596">
        <v>1686</v>
      </c>
      <c r="H2596">
        <v>5</v>
      </c>
      <c r="I2596" t="s">
        <v>89</v>
      </c>
      <c r="J2596">
        <v>0</v>
      </c>
      <c r="K2596">
        <v>2</v>
      </c>
      <c r="L2596">
        <v>2</v>
      </c>
      <c r="M2596">
        <v>199</v>
      </c>
      <c r="N2596" t="s">
        <v>315</v>
      </c>
      <c r="O2596">
        <v>5</v>
      </c>
      <c r="P2596" t="s">
        <v>100</v>
      </c>
      <c r="Q2596">
        <v>22</v>
      </c>
      <c r="R2596">
        <v>42</v>
      </c>
      <c r="S2596">
        <v>6</v>
      </c>
      <c r="T2596">
        <v>9</v>
      </c>
      <c r="U2596">
        <v>12</v>
      </c>
      <c r="V2596">
        <v>34</v>
      </c>
      <c r="W2596">
        <v>38</v>
      </c>
      <c r="X2596">
        <v>24</v>
      </c>
      <c r="Y2596">
        <v>236</v>
      </c>
      <c r="Z2596">
        <v>14</v>
      </c>
      <c r="AA2596">
        <v>4</v>
      </c>
      <c r="AB2596">
        <v>14</v>
      </c>
      <c r="AC2596">
        <v>1</v>
      </c>
      <c r="AD2596">
        <v>0</v>
      </c>
      <c r="AE2596">
        <v>0</v>
      </c>
      <c r="AF2596">
        <v>1</v>
      </c>
      <c r="AG2596">
        <v>0</v>
      </c>
      <c r="AH2596">
        <v>0</v>
      </c>
      <c r="AI2596">
        <v>1</v>
      </c>
      <c r="AJ2596">
        <v>0</v>
      </c>
      <c r="AK2596">
        <v>2</v>
      </c>
      <c r="AL2596">
        <v>2</v>
      </c>
      <c r="AM2596">
        <v>1</v>
      </c>
      <c r="AN2596">
        <v>2</v>
      </c>
      <c r="AT2596">
        <v>1</v>
      </c>
      <c r="AU2596">
        <v>15</v>
      </c>
      <c r="AV2596">
        <v>481</v>
      </c>
      <c r="AW2596">
        <v>481</v>
      </c>
      <c r="AX2596">
        <v>657</v>
      </c>
      <c r="BA2596">
        <v>1</v>
      </c>
      <c r="BC2596" t="s">
        <v>5293</v>
      </c>
      <c r="BD2596" s="4">
        <v>43283.099305555559</v>
      </c>
      <c r="BE2596" s="4">
        <v>43283.111377314817</v>
      </c>
      <c r="BF2596" s="4">
        <v>43283.111377314817</v>
      </c>
      <c r="BG2596" t="s">
        <v>83</v>
      </c>
      <c r="BH2596" t="s">
        <v>84</v>
      </c>
      <c r="BI2596" t="s">
        <v>85</v>
      </c>
    </row>
    <row r="2597" spans="1:61" x14ac:dyDescent="0.3">
      <c r="A2597" t="str">
        <f>"201687B0100"</f>
        <v>201687B0100</v>
      </c>
      <c r="B2597" t="s">
        <v>5294</v>
      </c>
      <c r="C2597">
        <v>20</v>
      </c>
      <c r="D2597" t="s">
        <v>79</v>
      </c>
      <c r="E2597">
        <v>12</v>
      </c>
      <c r="F2597" t="s">
        <v>5082</v>
      </c>
      <c r="G2597">
        <v>1687</v>
      </c>
      <c r="H2597">
        <v>1</v>
      </c>
      <c r="I2597" t="s">
        <v>81</v>
      </c>
      <c r="J2597">
        <v>0</v>
      </c>
      <c r="K2597">
        <v>1</v>
      </c>
      <c r="L2597">
        <v>2</v>
      </c>
      <c r="M2597">
        <v>176</v>
      </c>
      <c r="N2597">
        <v>411</v>
      </c>
      <c r="O2597">
        <v>7</v>
      </c>
      <c r="P2597">
        <v>411</v>
      </c>
      <c r="Q2597">
        <v>38</v>
      </c>
      <c r="R2597">
        <v>59</v>
      </c>
      <c r="S2597">
        <v>1</v>
      </c>
      <c r="T2597">
        <v>7</v>
      </c>
      <c r="U2597">
        <v>14</v>
      </c>
      <c r="V2597">
        <v>16</v>
      </c>
      <c r="W2597">
        <v>20</v>
      </c>
      <c r="X2597">
        <v>27</v>
      </c>
      <c r="Y2597">
        <v>188</v>
      </c>
      <c r="Z2597">
        <v>2</v>
      </c>
      <c r="AA2597">
        <v>6</v>
      </c>
      <c r="AB2597">
        <v>17</v>
      </c>
      <c r="AC2597">
        <v>2</v>
      </c>
      <c r="AD2597">
        <v>0</v>
      </c>
      <c r="AE2597">
        <v>0</v>
      </c>
      <c r="AF2597">
        <v>0</v>
      </c>
      <c r="AG2597">
        <v>2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T2597">
        <v>0</v>
      </c>
      <c r="AU2597">
        <v>12</v>
      </c>
      <c r="AV2597">
        <v>411</v>
      </c>
      <c r="AW2597">
        <v>411</v>
      </c>
      <c r="AX2597">
        <v>564</v>
      </c>
      <c r="BA2597">
        <v>1</v>
      </c>
      <c r="BC2597" t="s">
        <v>5295</v>
      </c>
      <c r="BD2597" s="4">
        <v>43283.143055555556</v>
      </c>
      <c r="BE2597" s="4">
        <v>43283.154999999999</v>
      </c>
      <c r="BF2597" s="4">
        <v>43283.154999999999</v>
      </c>
      <c r="BG2597" t="s">
        <v>83</v>
      </c>
      <c r="BH2597" t="s">
        <v>84</v>
      </c>
      <c r="BI2597" t="s">
        <v>85</v>
      </c>
    </row>
    <row r="2598" spans="1:61" x14ac:dyDescent="0.3">
      <c r="A2598" t="str">
        <f>"201687C0100"</f>
        <v>201687C0100</v>
      </c>
      <c r="B2598" t="s">
        <v>5296</v>
      </c>
      <c r="C2598">
        <v>20</v>
      </c>
      <c r="D2598" t="s">
        <v>79</v>
      </c>
      <c r="E2598">
        <v>12</v>
      </c>
      <c r="F2598" t="s">
        <v>5082</v>
      </c>
      <c r="G2598">
        <v>1687</v>
      </c>
      <c r="H2598">
        <v>1</v>
      </c>
      <c r="I2598" t="s">
        <v>89</v>
      </c>
      <c r="J2598">
        <v>0</v>
      </c>
      <c r="K2598">
        <v>1</v>
      </c>
      <c r="L2598">
        <v>2</v>
      </c>
      <c r="M2598">
        <v>163</v>
      </c>
      <c r="N2598">
        <v>423</v>
      </c>
      <c r="O2598">
        <v>3</v>
      </c>
      <c r="P2598">
        <v>423</v>
      </c>
      <c r="Q2598">
        <v>27</v>
      </c>
      <c r="R2598">
        <v>56</v>
      </c>
      <c r="S2598">
        <v>3</v>
      </c>
      <c r="T2598">
        <v>8</v>
      </c>
      <c r="U2598">
        <v>9</v>
      </c>
      <c r="V2598">
        <v>15</v>
      </c>
      <c r="W2598">
        <v>22</v>
      </c>
      <c r="X2598">
        <v>23</v>
      </c>
      <c r="Y2598">
        <v>201</v>
      </c>
      <c r="Z2598">
        <v>12</v>
      </c>
      <c r="AA2598">
        <v>0</v>
      </c>
      <c r="AB2598">
        <v>15</v>
      </c>
      <c r="AC2598">
        <v>1</v>
      </c>
      <c r="AD2598">
        <v>0</v>
      </c>
      <c r="AE2598">
        <v>1</v>
      </c>
      <c r="AF2598">
        <v>0</v>
      </c>
      <c r="AG2598">
        <v>0</v>
      </c>
      <c r="AH2598">
        <v>0</v>
      </c>
      <c r="AI2598">
        <v>1</v>
      </c>
      <c r="AJ2598">
        <v>0</v>
      </c>
      <c r="AK2598">
        <v>2</v>
      </c>
      <c r="AL2598">
        <v>0</v>
      </c>
      <c r="AM2598">
        <v>0</v>
      </c>
      <c r="AN2598">
        <v>3</v>
      </c>
      <c r="AT2598">
        <v>1</v>
      </c>
      <c r="AU2598">
        <v>23</v>
      </c>
      <c r="AV2598">
        <v>423</v>
      </c>
      <c r="AW2598">
        <v>423</v>
      </c>
      <c r="AX2598">
        <v>563</v>
      </c>
      <c r="BA2598">
        <v>1</v>
      </c>
      <c r="BC2598" t="s">
        <v>5297</v>
      </c>
      <c r="BD2598" s="4">
        <v>43283.14166666667</v>
      </c>
      <c r="BE2598" s="4">
        <v>43283.153252314813</v>
      </c>
      <c r="BF2598" s="4">
        <v>43283.153252314813</v>
      </c>
      <c r="BG2598" t="s">
        <v>83</v>
      </c>
      <c r="BH2598" t="s">
        <v>84</v>
      </c>
      <c r="BI2598" t="s">
        <v>85</v>
      </c>
    </row>
    <row r="2599" spans="1:61" x14ac:dyDescent="0.3">
      <c r="A2599" t="str">
        <f>"201688B0100"</f>
        <v>201688B0100</v>
      </c>
      <c r="B2599" t="s">
        <v>5298</v>
      </c>
      <c r="C2599">
        <v>20</v>
      </c>
      <c r="D2599" t="s">
        <v>79</v>
      </c>
      <c r="E2599">
        <v>12</v>
      </c>
      <c r="F2599" t="s">
        <v>5082</v>
      </c>
      <c r="G2599">
        <v>1688</v>
      </c>
      <c r="H2599">
        <v>1</v>
      </c>
      <c r="I2599" t="s">
        <v>81</v>
      </c>
      <c r="J2599">
        <v>0</v>
      </c>
      <c r="K2599">
        <v>1</v>
      </c>
      <c r="L2599">
        <v>2</v>
      </c>
      <c r="M2599">
        <v>197</v>
      </c>
      <c r="N2599">
        <v>476</v>
      </c>
      <c r="O2599">
        <v>0</v>
      </c>
      <c r="P2599">
        <v>471</v>
      </c>
      <c r="Q2599">
        <v>31</v>
      </c>
      <c r="R2599">
        <v>55</v>
      </c>
      <c r="S2599">
        <v>9</v>
      </c>
      <c r="T2599">
        <v>9</v>
      </c>
      <c r="U2599">
        <v>25</v>
      </c>
      <c r="V2599">
        <v>22</v>
      </c>
      <c r="W2599">
        <v>16</v>
      </c>
      <c r="X2599">
        <v>20</v>
      </c>
      <c r="Y2599">
        <v>224</v>
      </c>
      <c r="Z2599">
        <v>8</v>
      </c>
      <c r="AA2599">
        <v>1</v>
      </c>
      <c r="AB2599">
        <v>19</v>
      </c>
      <c r="AC2599">
        <v>0</v>
      </c>
      <c r="AD2599">
        <v>0</v>
      </c>
      <c r="AE2599">
        <v>0</v>
      </c>
      <c r="AF2599">
        <v>0</v>
      </c>
      <c r="AG2599">
        <v>2</v>
      </c>
      <c r="AH2599">
        <v>0</v>
      </c>
      <c r="AI2599">
        <v>0</v>
      </c>
      <c r="AJ2599">
        <v>0</v>
      </c>
      <c r="AK2599">
        <v>6</v>
      </c>
      <c r="AL2599">
        <v>1</v>
      </c>
      <c r="AM2599">
        <v>0</v>
      </c>
      <c r="AN2599">
        <v>0</v>
      </c>
      <c r="AT2599">
        <v>0</v>
      </c>
      <c r="AU2599">
        <v>25</v>
      </c>
      <c r="AV2599">
        <v>479</v>
      </c>
      <c r="AW2599">
        <v>473</v>
      </c>
      <c r="AX2599">
        <v>651</v>
      </c>
      <c r="BA2599">
        <v>1</v>
      </c>
      <c r="BC2599" t="s">
        <v>5299</v>
      </c>
      <c r="BD2599" s="4">
        <v>43283.142361111109</v>
      </c>
      <c r="BE2599" s="4">
        <v>43283.159918981481</v>
      </c>
      <c r="BF2599" s="4">
        <v>43283.159918981481</v>
      </c>
      <c r="BG2599" t="s">
        <v>83</v>
      </c>
      <c r="BH2599" t="s">
        <v>84</v>
      </c>
      <c r="BI2599" t="s">
        <v>85</v>
      </c>
    </row>
    <row r="2600" spans="1:61" x14ac:dyDescent="0.3">
      <c r="A2600" t="str">
        <f>"201688C0100"</f>
        <v>201688C0100</v>
      </c>
      <c r="B2600" t="s">
        <v>5300</v>
      </c>
      <c r="C2600">
        <v>20</v>
      </c>
      <c r="D2600" t="s">
        <v>79</v>
      </c>
      <c r="E2600">
        <v>12</v>
      </c>
      <c r="F2600" t="s">
        <v>5082</v>
      </c>
      <c r="G2600">
        <v>1688</v>
      </c>
      <c r="H2600">
        <v>1</v>
      </c>
      <c r="I2600" t="s">
        <v>89</v>
      </c>
      <c r="J2600">
        <v>0</v>
      </c>
      <c r="K2600">
        <v>1</v>
      </c>
      <c r="L2600">
        <v>2</v>
      </c>
      <c r="M2600">
        <v>197</v>
      </c>
      <c r="N2600">
        <v>477</v>
      </c>
      <c r="O2600">
        <v>8</v>
      </c>
      <c r="P2600">
        <v>474</v>
      </c>
      <c r="Q2600">
        <v>27</v>
      </c>
      <c r="R2600">
        <v>52</v>
      </c>
      <c r="S2600">
        <v>7</v>
      </c>
      <c r="T2600">
        <v>7</v>
      </c>
      <c r="U2600">
        <v>2</v>
      </c>
      <c r="V2600">
        <v>29</v>
      </c>
      <c r="W2600">
        <v>48</v>
      </c>
      <c r="X2600">
        <v>17</v>
      </c>
      <c r="Y2600">
        <v>216</v>
      </c>
      <c r="Z2600">
        <v>11</v>
      </c>
      <c r="AA2600">
        <v>2</v>
      </c>
      <c r="AB2600">
        <v>14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1</v>
      </c>
      <c r="AT2600">
        <v>0</v>
      </c>
      <c r="AU2600">
        <v>20</v>
      </c>
      <c r="AV2600">
        <v>474</v>
      </c>
      <c r="AW2600">
        <v>453</v>
      </c>
      <c r="AX2600">
        <v>651</v>
      </c>
      <c r="BA2600">
        <v>1</v>
      </c>
      <c r="BC2600" t="s">
        <v>5301</v>
      </c>
      <c r="BD2600" s="4">
        <v>43283.144444444442</v>
      </c>
      <c r="BE2600" s="4">
        <v>43283.174004629633</v>
      </c>
      <c r="BF2600" s="4">
        <v>43283.174004629633</v>
      </c>
      <c r="BG2600" t="s">
        <v>83</v>
      </c>
      <c r="BH2600" t="s">
        <v>84</v>
      </c>
      <c r="BI2600" t="s">
        <v>85</v>
      </c>
    </row>
    <row r="2601" spans="1:61" x14ac:dyDescent="0.3">
      <c r="A2601" t="str">
        <f>"201688C0200"</f>
        <v>201688C0200</v>
      </c>
      <c r="B2601" t="s">
        <v>5302</v>
      </c>
      <c r="C2601">
        <v>20</v>
      </c>
      <c r="D2601" t="s">
        <v>79</v>
      </c>
      <c r="E2601">
        <v>12</v>
      </c>
      <c r="F2601" t="s">
        <v>5082</v>
      </c>
      <c r="G2601">
        <v>1688</v>
      </c>
      <c r="H2601">
        <v>2</v>
      </c>
      <c r="I2601" t="s">
        <v>89</v>
      </c>
      <c r="J2601">
        <v>0</v>
      </c>
      <c r="K2601">
        <v>1</v>
      </c>
      <c r="L2601">
        <v>2</v>
      </c>
      <c r="M2601">
        <v>217</v>
      </c>
      <c r="N2601">
        <v>455</v>
      </c>
      <c r="O2601">
        <v>2</v>
      </c>
      <c r="P2601" t="s">
        <v>100</v>
      </c>
      <c r="Q2601">
        <v>24</v>
      </c>
      <c r="R2601">
        <v>35</v>
      </c>
      <c r="S2601">
        <v>13</v>
      </c>
      <c r="T2601">
        <v>12</v>
      </c>
      <c r="U2601">
        <v>14</v>
      </c>
      <c r="V2601">
        <v>17</v>
      </c>
      <c r="W2601">
        <v>27</v>
      </c>
      <c r="X2601">
        <v>37</v>
      </c>
      <c r="Y2601">
        <v>213</v>
      </c>
      <c r="Z2601">
        <v>66</v>
      </c>
      <c r="AA2601">
        <v>9</v>
      </c>
      <c r="AB2601">
        <v>17</v>
      </c>
      <c r="AC2601">
        <v>1</v>
      </c>
      <c r="AD2601">
        <v>0</v>
      </c>
      <c r="AE2601">
        <v>0</v>
      </c>
      <c r="AF2601">
        <v>0</v>
      </c>
      <c r="AG2601">
        <v>1</v>
      </c>
      <c r="AH2601">
        <v>0</v>
      </c>
      <c r="AI2601">
        <v>0</v>
      </c>
      <c r="AJ2601">
        <v>0</v>
      </c>
      <c r="AK2601">
        <v>5</v>
      </c>
      <c r="AL2601">
        <v>2</v>
      </c>
      <c r="AM2601">
        <v>0</v>
      </c>
      <c r="AN2601">
        <v>2</v>
      </c>
      <c r="AT2601" t="s">
        <v>100</v>
      </c>
      <c r="AU2601">
        <v>21</v>
      </c>
      <c r="AV2601">
        <v>456</v>
      </c>
      <c r="AW2601">
        <v>516</v>
      </c>
      <c r="AX2601">
        <v>650</v>
      </c>
      <c r="AZ2601" t="s">
        <v>101</v>
      </c>
      <c r="BA2601">
        <v>1</v>
      </c>
      <c r="BC2601" t="s">
        <v>5303</v>
      </c>
      <c r="BD2601" s="4">
        <v>43283.136805555558</v>
      </c>
      <c r="BE2601" s="4">
        <v>43283.146539351852</v>
      </c>
      <c r="BF2601" s="4">
        <v>43283.146539351852</v>
      </c>
      <c r="BG2601" t="s">
        <v>83</v>
      </c>
      <c r="BH2601" t="s">
        <v>84</v>
      </c>
      <c r="BI2601" t="s">
        <v>85</v>
      </c>
    </row>
    <row r="2602" spans="1:61" x14ac:dyDescent="0.3">
      <c r="A2602" t="str">
        <f>"201688C0300"</f>
        <v>201688C0300</v>
      </c>
      <c r="B2602" t="s">
        <v>5304</v>
      </c>
      <c r="C2602">
        <v>20</v>
      </c>
      <c r="D2602" t="s">
        <v>79</v>
      </c>
      <c r="E2602">
        <v>12</v>
      </c>
      <c r="F2602" t="s">
        <v>5082</v>
      </c>
      <c r="G2602">
        <v>1688</v>
      </c>
      <c r="H2602">
        <v>3</v>
      </c>
      <c r="I2602" t="s">
        <v>89</v>
      </c>
      <c r="J2602">
        <v>0</v>
      </c>
      <c r="K2602">
        <v>1</v>
      </c>
      <c r="L2602">
        <v>2</v>
      </c>
      <c r="M2602">
        <v>192</v>
      </c>
      <c r="N2602">
        <v>479</v>
      </c>
      <c r="O2602">
        <v>8</v>
      </c>
      <c r="P2602">
        <v>482</v>
      </c>
      <c r="Q2602">
        <v>29</v>
      </c>
      <c r="R2602">
        <v>49</v>
      </c>
      <c r="S2602">
        <v>10</v>
      </c>
      <c r="T2602">
        <v>5</v>
      </c>
      <c r="U2602">
        <v>13</v>
      </c>
      <c r="V2602">
        <v>35</v>
      </c>
      <c r="W2602">
        <v>28</v>
      </c>
      <c r="X2602">
        <v>36</v>
      </c>
      <c r="Y2602">
        <v>218</v>
      </c>
      <c r="Z2602">
        <v>11</v>
      </c>
      <c r="AA2602">
        <v>5</v>
      </c>
      <c r="AB2602">
        <v>16</v>
      </c>
      <c r="AC2602">
        <v>1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4</v>
      </c>
      <c r="AL2602">
        <v>2</v>
      </c>
      <c r="AM2602">
        <v>0</v>
      </c>
      <c r="AN2602">
        <v>1</v>
      </c>
      <c r="AT2602">
        <v>0</v>
      </c>
      <c r="AU2602">
        <v>19</v>
      </c>
      <c r="AV2602">
        <v>482</v>
      </c>
      <c r="AW2602">
        <v>482</v>
      </c>
      <c r="AX2602">
        <v>650</v>
      </c>
      <c r="BA2602">
        <v>1</v>
      </c>
      <c r="BC2602" t="s">
        <v>5305</v>
      </c>
      <c r="BD2602" s="4">
        <v>43283.143750000003</v>
      </c>
      <c r="BE2602" s="4">
        <v>43283.156134259261</v>
      </c>
      <c r="BF2602" s="4">
        <v>43283.156134259261</v>
      </c>
      <c r="BG2602" t="s">
        <v>83</v>
      </c>
      <c r="BH2602" t="s">
        <v>84</v>
      </c>
      <c r="BI2602" t="s">
        <v>85</v>
      </c>
    </row>
    <row r="2603" spans="1:61" x14ac:dyDescent="0.3">
      <c r="A2603" t="str">
        <f>"201689B0100"</f>
        <v>201689B0100</v>
      </c>
      <c r="B2603" t="s">
        <v>5306</v>
      </c>
      <c r="C2603">
        <v>20</v>
      </c>
      <c r="D2603" t="s">
        <v>79</v>
      </c>
      <c r="E2603">
        <v>12</v>
      </c>
      <c r="F2603" t="s">
        <v>5082</v>
      </c>
      <c r="G2603">
        <v>1689</v>
      </c>
      <c r="H2603">
        <v>1</v>
      </c>
      <c r="I2603" t="s">
        <v>81</v>
      </c>
      <c r="J2603">
        <v>0</v>
      </c>
      <c r="K2603">
        <v>1</v>
      </c>
      <c r="L2603">
        <v>2</v>
      </c>
      <c r="M2603">
        <v>130</v>
      </c>
      <c r="N2603">
        <v>390</v>
      </c>
      <c r="O2603">
        <v>10</v>
      </c>
      <c r="P2603">
        <v>390</v>
      </c>
      <c r="Q2603">
        <v>33</v>
      </c>
      <c r="R2603">
        <v>60</v>
      </c>
      <c r="S2603">
        <v>4</v>
      </c>
      <c r="T2603">
        <v>11</v>
      </c>
      <c r="U2603">
        <v>9</v>
      </c>
      <c r="V2603">
        <v>24</v>
      </c>
      <c r="W2603">
        <v>11</v>
      </c>
      <c r="X2603">
        <v>19</v>
      </c>
      <c r="Y2603">
        <v>158</v>
      </c>
      <c r="Z2603">
        <v>9</v>
      </c>
      <c r="AA2603">
        <v>2</v>
      </c>
      <c r="AB2603">
        <v>21</v>
      </c>
      <c r="AC2603">
        <v>0</v>
      </c>
      <c r="AD2603">
        <v>0</v>
      </c>
      <c r="AE2603">
        <v>0</v>
      </c>
      <c r="AF2603">
        <v>0</v>
      </c>
      <c r="AG2603">
        <v>1</v>
      </c>
      <c r="AH2603">
        <v>1</v>
      </c>
      <c r="AI2603">
        <v>0</v>
      </c>
      <c r="AJ2603">
        <v>0</v>
      </c>
      <c r="AK2603">
        <v>5</v>
      </c>
      <c r="AL2603">
        <v>0</v>
      </c>
      <c r="AM2603">
        <v>2</v>
      </c>
      <c r="AN2603">
        <v>3</v>
      </c>
      <c r="AT2603">
        <v>0</v>
      </c>
      <c r="AU2603">
        <v>17</v>
      </c>
      <c r="AV2603">
        <v>390</v>
      </c>
      <c r="AW2603">
        <v>390</v>
      </c>
      <c r="AX2603">
        <v>497</v>
      </c>
      <c r="BA2603">
        <v>1</v>
      </c>
      <c r="BC2603" t="s">
        <v>5307</v>
      </c>
      <c r="BD2603" s="4">
        <v>43283.137499999997</v>
      </c>
      <c r="BE2603" s="4">
        <v>43283.146770833337</v>
      </c>
      <c r="BF2603" s="4">
        <v>43283.146770833337</v>
      </c>
      <c r="BG2603" t="s">
        <v>83</v>
      </c>
      <c r="BH2603" t="s">
        <v>84</v>
      </c>
      <c r="BI2603" t="s">
        <v>85</v>
      </c>
    </row>
    <row r="2604" spans="1:61" x14ac:dyDescent="0.3">
      <c r="A2604" t="str">
        <f>"201689C0100"</f>
        <v>201689C0100</v>
      </c>
      <c r="B2604" t="s">
        <v>5308</v>
      </c>
      <c r="C2604">
        <v>20</v>
      </c>
      <c r="D2604" t="s">
        <v>79</v>
      </c>
      <c r="E2604">
        <v>12</v>
      </c>
      <c r="F2604" t="s">
        <v>5082</v>
      </c>
      <c r="G2604">
        <v>1689</v>
      </c>
      <c r="H2604">
        <v>1</v>
      </c>
      <c r="I2604" t="s">
        <v>89</v>
      </c>
      <c r="J2604">
        <v>0</v>
      </c>
      <c r="K2604">
        <v>1</v>
      </c>
      <c r="L2604">
        <v>2</v>
      </c>
      <c r="M2604">
        <v>126</v>
      </c>
      <c r="N2604">
        <v>394</v>
      </c>
      <c r="O2604">
        <v>6</v>
      </c>
      <c r="P2604">
        <v>392</v>
      </c>
      <c r="Q2604">
        <v>25</v>
      </c>
      <c r="R2604">
        <v>69</v>
      </c>
      <c r="S2604">
        <v>6</v>
      </c>
      <c r="T2604">
        <v>12</v>
      </c>
      <c r="U2604">
        <v>4</v>
      </c>
      <c r="V2604">
        <v>17</v>
      </c>
      <c r="W2604">
        <v>15</v>
      </c>
      <c r="X2604">
        <v>15</v>
      </c>
      <c r="Y2604">
        <v>180</v>
      </c>
      <c r="Z2604">
        <v>5</v>
      </c>
      <c r="AA2604">
        <v>2</v>
      </c>
      <c r="AB2604">
        <v>17</v>
      </c>
      <c r="AC2604">
        <v>0</v>
      </c>
      <c r="AD2604">
        <v>0</v>
      </c>
      <c r="AE2604">
        <v>1</v>
      </c>
      <c r="AF2604">
        <v>0</v>
      </c>
      <c r="AG2604">
        <v>0</v>
      </c>
      <c r="AH2604">
        <v>1</v>
      </c>
      <c r="AI2604">
        <v>0</v>
      </c>
      <c r="AJ2604">
        <v>0</v>
      </c>
      <c r="AK2604">
        <v>3</v>
      </c>
      <c r="AL2604">
        <v>0</v>
      </c>
      <c r="AM2604">
        <v>1</v>
      </c>
      <c r="AN2604">
        <v>1</v>
      </c>
      <c r="AT2604">
        <v>1</v>
      </c>
      <c r="AU2604">
        <v>18</v>
      </c>
      <c r="AV2604">
        <v>393</v>
      </c>
      <c r="AW2604">
        <v>393</v>
      </c>
      <c r="AX2604">
        <v>497</v>
      </c>
      <c r="BA2604">
        <v>1</v>
      </c>
      <c r="BC2604" t="s">
        <v>5309</v>
      </c>
      <c r="BD2604" s="4">
        <v>43283.14166666667</v>
      </c>
      <c r="BE2604" s="4">
        <v>43283.152928240743</v>
      </c>
      <c r="BF2604" s="4">
        <v>43283.152928240743</v>
      </c>
      <c r="BG2604" t="s">
        <v>83</v>
      </c>
      <c r="BH2604" t="s">
        <v>84</v>
      </c>
      <c r="BI2604" t="s">
        <v>85</v>
      </c>
    </row>
    <row r="2605" spans="1:61" x14ac:dyDescent="0.3">
      <c r="A2605" t="str">
        <f>"201746B0100"</f>
        <v>201746B0100</v>
      </c>
      <c r="B2605" t="s">
        <v>5310</v>
      </c>
      <c r="C2605">
        <v>20</v>
      </c>
      <c r="D2605" t="s">
        <v>79</v>
      </c>
      <c r="E2605">
        <v>12</v>
      </c>
      <c r="F2605" t="s">
        <v>5082</v>
      </c>
      <c r="G2605">
        <v>1746</v>
      </c>
      <c r="H2605">
        <v>1</v>
      </c>
      <c r="I2605" t="s">
        <v>81</v>
      </c>
      <c r="J2605">
        <v>0</v>
      </c>
      <c r="K2605">
        <v>1</v>
      </c>
      <c r="L2605">
        <v>2</v>
      </c>
      <c r="M2605">
        <v>173</v>
      </c>
      <c r="N2605">
        <v>430</v>
      </c>
      <c r="O2605">
        <v>1</v>
      </c>
      <c r="P2605">
        <v>432</v>
      </c>
      <c r="Q2605">
        <v>32</v>
      </c>
      <c r="R2605">
        <v>39</v>
      </c>
      <c r="S2605">
        <v>11</v>
      </c>
      <c r="T2605">
        <v>8</v>
      </c>
      <c r="U2605">
        <v>18</v>
      </c>
      <c r="V2605">
        <v>9</v>
      </c>
      <c r="W2605">
        <v>4</v>
      </c>
      <c r="X2605">
        <v>7</v>
      </c>
      <c r="Y2605">
        <v>248</v>
      </c>
      <c r="Z2605">
        <v>4</v>
      </c>
      <c r="AA2605">
        <v>15</v>
      </c>
      <c r="AB2605">
        <v>17</v>
      </c>
      <c r="AC2605">
        <v>3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T2605">
        <v>1</v>
      </c>
      <c r="AU2605">
        <v>16</v>
      </c>
      <c r="AV2605">
        <v>432</v>
      </c>
      <c r="AW2605">
        <v>432</v>
      </c>
      <c r="AX2605">
        <v>591</v>
      </c>
      <c r="BA2605">
        <v>1</v>
      </c>
      <c r="BC2605" t="s">
        <v>5311</v>
      </c>
      <c r="BD2605" s="4">
        <v>43283.070833333331</v>
      </c>
      <c r="BE2605" s="4">
        <v>43283.077870370369</v>
      </c>
      <c r="BF2605" s="4">
        <v>43283.077870370369</v>
      </c>
      <c r="BG2605" t="s">
        <v>83</v>
      </c>
      <c r="BH2605" t="s">
        <v>84</v>
      </c>
      <c r="BI2605" t="s">
        <v>85</v>
      </c>
    </row>
    <row r="2606" spans="1:61" x14ac:dyDescent="0.3">
      <c r="A2606" t="str">
        <f>"201746C0100"</f>
        <v>201746C0100</v>
      </c>
      <c r="B2606" t="s">
        <v>5312</v>
      </c>
      <c r="C2606">
        <v>20</v>
      </c>
      <c r="D2606" t="s">
        <v>79</v>
      </c>
      <c r="E2606">
        <v>12</v>
      </c>
      <c r="F2606" t="s">
        <v>5082</v>
      </c>
      <c r="G2606">
        <v>1746</v>
      </c>
      <c r="H2606">
        <v>1</v>
      </c>
      <c r="I2606" t="s">
        <v>89</v>
      </c>
      <c r="J2606">
        <v>0</v>
      </c>
      <c r="K2606">
        <v>1</v>
      </c>
      <c r="L2606">
        <v>2</v>
      </c>
      <c r="M2606">
        <v>202</v>
      </c>
      <c r="N2606">
        <v>411</v>
      </c>
      <c r="O2606">
        <v>7</v>
      </c>
      <c r="P2606">
        <v>410</v>
      </c>
      <c r="Q2606">
        <v>32</v>
      </c>
      <c r="R2606">
        <v>32</v>
      </c>
      <c r="S2606">
        <v>10</v>
      </c>
      <c r="T2606">
        <v>9</v>
      </c>
      <c r="U2606">
        <v>14</v>
      </c>
      <c r="V2606">
        <v>5</v>
      </c>
      <c r="W2606">
        <v>7</v>
      </c>
      <c r="X2606">
        <v>7</v>
      </c>
      <c r="Y2606">
        <v>234</v>
      </c>
      <c r="Z2606">
        <v>7</v>
      </c>
      <c r="AA2606">
        <v>17</v>
      </c>
      <c r="AB2606">
        <v>14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2</v>
      </c>
      <c r="AI2606">
        <v>0</v>
      </c>
      <c r="AJ2606">
        <v>0</v>
      </c>
      <c r="AK2606">
        <v>3</v>
      </c>
      <c r="AL2606">
        <v>2</v>
      </c>
      <c r="AM2606">
        <v>0</v>
      </c>
      <c r="AN2606">
        <v>2</v>
      </c>
      <c r="AT2606">
        <v>0</v>
      </c>
      <c r="AU2606">
        <v>14</v>
      </c>
      <c r="AV2606">
        <v>410</v>
      </c>
      <c r="AW2606">
        <v>411</v>
      </c>
      <c r="AX2606">
        <v>591</v>
      </c>
      <c r="BA2606">
        <v>1</v>
      </c>
      <c r="BC2606" t="s">
        <v>5313</v>
      </c>
      <c r="BD2606" s="4">
        <v>43283.070833333331</v>
      </c>
      <c r="BE2606" s="4">
        <v>43283.078842592593</v>
      </c>
      <c r="BF2606" s="4">
        <v>43283.078842592593</v>
      </c>
      <c r="BG2606" t="s">
        <v>83</v>
      </c>
      <c r="BH2606" t="s">
        <v>84</v>
      </c>
      <c r="BI2606" t="s">
        <v>85</v>
      </c>
    </row>
    <row r="2607" spans="1:61" x14ac:dyDescent="0.3">
      <c r="A2607" t="str">
        <f>"201747B0100"</f>
        <v>201747B0100</v>
      </c>
      <c r="B2607" t="s">
        <v>5314</v>
      </c>
      <c r="C2607">
        <v>20</v>
      </c>
      <c r="D2607" t="s">
        <v>79</v>
      </c>
      <c r="E2607">
        <v>12</v>
      </c>
      <c r="F2607" t="s">
        <v>5082</v>
      </c>
      <c r="G2607">
        <v>1747</v>
      </c>
      <c r="H2607">
        <v>1</v>
      </c>
      <c r="I2607" t="s">
        <v>81</v>
      </c>
      <c r="J2607">
        <v>0</v>
      </c>
      <c r="K2607">
        <v>1</v>
      </c>
      <c r="L2607">
        <v>2</v>
      </c>
      <c r="M2607">
        <v>253</v>
      </c>
      <c r="N2607">
        <v>219</v>
      </c>
      <c r="O2607">
        <v>4</v>
      </c>
      <c r="P2607">
        <v>219</v>
      </c>
      <c r="Q2607">
        <v>50</v>
      </c>
      <c r="R2607">
        <v>36</v>
      </c>
      <c r="S2607">
        <v>10</v>
      </c>
      <c r="T2607">
        <v>5</v>
      </c>
      <c r="U2607">
        <v>6</v>
      </c>
      <c r="V2607">
        <v>3</v>
      </c>
      <c r="W2607">
        <v>3</v>
      </c>
      <c r="X2607">
        <v>4</v>
      </c>
      <c r="Y2607">
        <v>75</v>
      </c>
      <c r="Z2607">
        <v>5</v>
      </c>
      <c r="AA2607">
        <v>2</v>
      </c>
      <c r="AB2607">
        <v>7</v>
      </c>
      <c r="AC2607">
        <v>2</v>
      </c>
      <c r="AD2607">
        <v>0</v>
      </c>
      <c r="AE2607">
        <v>0</v>
      </c>
      <c r="AF2607">
        <v>0</v>
      </c>
      <c r="AG2607">
        <v>0</v>
      </c>
      <c r="AH2607">
        <v>1</v>
      </c>
      <c r="AI2607">
        <v>0</v>
      </c>
      <c r="AJ2607">
        <v>0</v>
      </c>
      <c r="AK2607">
        <v>3</v>
      </c>
      <c r="AL2607">
        <v>0</v>
      </c>
      <c r="AM2607">
        <v>0</v>
      </c>
      <c r="AN2607">
        <v>1</v>
      </c>
      <c r="AT2607">
        <v>0</v>
      </c>
      <c r="AU2607">
        <v>6</v>
      </c>
      <c r="AV2607">
        <v>219</v>
      </c>
      <c r="AW2607">
        <v>219</v>
      </c>
      <c r="AX2607">
        <v>450</v>
      </c>
      <c r="BA2607">
        <v>1</v>
      </c>
      <c r="BC2607" t="s">
        <v>5315</v>
      </c>
      <c r="BD2607" s="4">
        <v>43283.070138888892</v>
      </c>
      <c r="BE2607" s="4">
        <v>43283.076307870368</v>
      </c>
      <c r="BF2607" s="4">
        <v>43283.076307870368</v>
      </c>
      <c r="BG2607" t="s">
        <v>83</v>
      </c>
      <c r="BH2607" t="s">
        <v>84</v>
      </c>
      <c r="BI2607" t="s">
        <v>85</v>
      </c>
    </row>
    <row r="2608" spans="1:61" x14ac:dyDescent="0.3">
      <c r="A2608" t="str">
        <f>"201748B0100"</f>
        <v>201748B0100</v>
      </c>
      <c r="B2608" t="s">
        <v>5316</v>
      </c>
      <c r="C2608">
        <v>20</v>
      </c>
      <c r="D2608" t="s">
        <v>79</v>
      </c>
      <c r="E2608">
        <v>12</v>
      </c>
      <c r="F2608" t="s">
        <v>5082</v>
      </c>
      <c r="G2608">
        <v>1748</v>
      </c>
      <c r="H2608">
        <v>1</v>
      </c>
      <c r="I2608" t="s">
        <v>81</v>
      </c>
      <c r="J2608">
        <v>0</v>
      </c>
      <c r="K2608">
        <v>1</v>
      </c>
      <c r="L2608">
        <v>2</v>
      </c>
      <c r="M2608">
        <v>222</v>
      </c>
      <c r="N2608">
        <v>370</v>
      </c>
      <c r="O2608">
        <v>2</v>
      </c>
      <c r="P2608">
        <v>2</v>
      </c>
      <c r="Q2608">
        <v>30</v>
      </c>
      <c r="R2608">
        <v>61</v>
      </c>
      <c r="S2608">
        <v>6</v>
      </c>
      <c r="T2608">
        <v>4</v>
      </c>
      <c r="U2608">
        <v>20</v>
      </c>
      <c r="V2608">
        <v>4</v>
      </c>
      <c r="W2608">
        <v>4</v>
      </c>
      <c r="X2608">
        <v>7</v>
      </c>
      <c r="Y2608">
        <v>175</v>
      </c>
      <c r="Z2608">
        <v>6</v>
      </c>
      <c r="AA2608">
        <v>16</v>
      </c>
      <c r="AB2608">
        <v>10</v>
      </c>
      <c r="AC2608">
        <v>1</v>
      </c>
      <c r="AD2608">
        <v>1</v>
      </c>
      <c r="AE2608">
        <v>0</v>
      </c>
      <c r="AF2608">
        <v>0</v>
      </c>
      <c r="AG2608">
        <v>1</v>
      </c>
      <c r="AH2608">
        <v>1</v>
      </c>
      <c r="AI2608">
        <v>0</v>
      </c>
      <c r="AJ2608">
        <v>0</v>
      </c>
      <c r="AK2608">
        <v>3</v>
      </c>
      <c r="AL2608">
        <v>2</v>
      </c>
      <c r="AM2608">
        <v>0</v>
      </c>
      <c r="AN2608">
        <v>0</v>
      </c>
      <c r="AT2608">
        <v>0</v>
      </c>
      <c r="AU2608">
        <v>15</v>
      </c>
      <c r="AV2608">
        <v>367</v>
      </c>
      <c r="AW2608">
        <v>367</v>
      </c>
      <c r="AX2608">
        <v>570</v>
      </c>
      <c r="BA2608">
        <v>1</v>
      </c>
      <c r="BC2608" t="s">
        <v>5317</v>
      </c>
      <c r="BD2608" s="4">
        <v>43283.082638888889</v>
      </c>
      <c r="BE2608" s="4">
        <v>43283.092129629629</v>
      </c>
      <c r="BF2608" s="4">
        <v>43283.092129629629</v>
      </c>
      <c r="BG2608" t="s">
        <v>83</v>
      </c>
      <c r="BH2608" t="s">
        <v>84</v>
      </c>
      <c r="BI2608" t="s">
        <v>85</v>
      </c>
    </row>
    <row r="2609" spans="1:61" x14ac:dyDescent="0.3">
      <c r="A2609" t="str">
        <f>"201748C0100"</f>
        <v>201748C0100</v>
      </c>
      <c r="B2609" t="s">
        <v>5318</v>
      </c>
      <c r="C2609">
        <v>20</v>
      </c>
      <c r="D2609" t="s">
        <v>79</v>
      </c>
      <c r="E2609">
        <v>12</v>
      </c>
      <c r="F2609" t="s">
        <v>5082</v>
      </c>
      <c r="G2609">
        <v>1748</v>
      </c>
      <c r="H2609">
        <v>1</v>
      </c>
      <c r="I2609" t="s">
        <v>89</v>
      </c>
      <c r="J2609">
        <v>0</v>
      </c>
      <c r="K2609">
        <v>1</v>
      </c>
      <c r="L2609">
        <v>2</v>
      </c>
      <c r="M2609">
        <v>243</v>
      </c>
      <c r="N2609">
        <v>347</v>
      </c>
      <c r="O2609">
        <v>3</v>
      </c>
      <c r="P2609">
        <v>368</v>
      </c>
      <c r="Q2609">
        <v>22</v>
      </c>
      <c r="R2609">
        <v>69</v>
      </c>
      <c r="S2609">
        <v>5</v>
      </c>
      <c r="T2609">
        <v>6</v>
      </c>
      <c r="U2609">
        <v>17</v>
      </c>
      <c r="V2609">
        <v>5</v>
      </c>
      <c r="W2609">
        <v>8</v>
      </c>
      <c r="X2609">
        <v>0</v>
      </c>
      <c r="Y2609">
        <v>165</v>
      </c>
      <c r="Z2609">
        <v>5</v>
      </c>
      <c r="AA2609">
        <v>25</v>
      </c>
      <c r="AB2609">
        <v>11</v>
      </c>
      <c r="AC2609">
        <v>0</v>
      </c>
      <c r="AD2609">
        <v>1</v>
      </c>
      <c r="AE2609">
        <v>0</v>
      </c>
      <c r="AF2609">
        <v>0</v>
      </c>
      <c r="AG2609">
        <v>1</v>
      </c>
      <c r="AH2609">
        <v>0</v>
      </c>
      <c r="AI2609">
        <v>0</v>
      </c>
      <c r="AJ2609">
        <v>0</v>
      </c>
      <c r="AK2609">
        <v>6</v>
      </c>
      <c r="AL2609">
        <v>0</v>
      </c>
      <c r="AM2609">
        <v>0</v>
      </c>
      <c r="AN2609">
        <v>0</v>
      </c>
      <c r="AT2609">
        <v>0</v>
      </c>
      <c r="AU2609">
        <v>22</v>
      </c>
      <c r="AV2609">
        <v>368</v>
      </c>
      <c r="AW2609">
        <v>368</v>
      </c>
      <c r="AX2609">
        <v>569</v>
      </c>
      <c r="BA2609">
        <v>1</v>
      </c>
      <c r="BC2609" t="s">
        <v>5319</v>
      </c>
      <c r="BD2609" s="4">
        <v>43283.082638888889</v>
      </c>
      <c r="BE2609" s="4">
        <v>43283.088576388887</v>
      </c>
      <c r="BF2609" s="4">
        <v>43283.088576388887</v>
      </c>
      <c r="BG2609" t="s">
        <v>83</v>
      </c>
      <c r="BH2609" t="s">
        <v>84</v>
      </c>
      <c r="BI2609" t="s">
        <v>85</v>
      </c>
    </row>
    <row r="2610" spans="1:61" x14ac:dyDescent="0.3">
      <c r="A2610" t="str">
        <f>"201749B0100"</f>
        <v>201749B0100</v>
      </c>
      <c r="B2610" t="s">
        <v>5320</v>
      </c>
      <c r="C2610">
        <v>20</v>
      </c>
      <c r="D2610" t="s">
        <v>79</v>
      </c>
      <c r="E2610">
        <v>12</v>
      </c>
      <c r="F2610" t="s">
        <v>5082</v>
      </c>
      <c r="G2610">
        <v>1749</v>
      </c>
      <c r="H2610">
        <v>1</v>
      </c>
      <c r="I2610" t="s">
        <v>81</v>
      </c>
      <c r="J2610">
        <v>0</v>
      </c>
      <c r="K2610">
        <v>1</v>
      </c>
      <c r="L2610">
        <v>2</v>
      </c>
      <c r="M2610">
        <v>201</v>
      </c>
      <c r="N2610">
        <v>449</v>
      </c>
      <c r="O2610">
        <v>7</v>
      </c>
      <c r="P2610">
        <v>449</v>
      </c>
      <c r="Q2610">
        <v>41</v>
      </c>
      <c r="R2610">
        <v>63</v>
      </c>
      <c r="S2610">
        <v>17</v>
      </c>
      <c r="T2610">
        <v>6</v>
      </c>
      <c r="U2610">
        <v>21</v>
      </c>
      <c r="V2610">
        <v>6</v>
      </c>
      <c r="W2610">
        <v>7</v>
      </c>
      <c r="X2610">
        <v>4</v>
      </c>
      <c r="Y2610">
        <v>227</v>
      </c>
      <c r="Z2610">
        <v>5</v>
      </c>
      <c r="AA2610">
        <v>18</v>
      </c>
      <c r="AB2610">
        <v>11</v>
      </c>
      <c r="AC2610">
        <v>0</v>
      </c>
      <c r="AD2610">
        <v>0</v>
      </c>
      <c r="AE2610">
        <v>0</v>
      </c>
      <c r="AF2610">
        <v>0</v>
      </c>
      <c r="AG2610">
        <v>2</v>
      </c>
      <c r="AH2610">
        <v>1</v>
      </c>
      <c r="AI2610">
        <v>0</v>
      </c>
      <c r="AJ2610">
        <v>0</v>
      </c>
      <c r="AK2610">
        <v>3</v>
      </c>
      <c r="AL2610">
        <v>2</v>
      </c>
      <c r="AM2610">
        <v>0</v>
      </c>
      <c r="AN2610">
        <v>1</v>
      </c>
      <c r="AT2610">
        <v>0</v>
      </c>
      <c r="AU2610">
        <v>14</v>
      </c>
      <c r="AV2610">
        <v>449</v>
      </c>
      <c r="AW2610">
        <v>449</v>
      </c>
      <c r="AX2610">
        <v>628</v>
      </c>
      <c r="BA2610">
        <v>1</v>
      </c>
      <c r="BC2610" t="s">
        <v>5321</v>
      </c>
      <c r="BD2610" s="4">
        <v>43283.079861111109</v>
      </c>
      <c r="BE2610" s="4">
        <v>43283.084560185183</v>
      </c>
      <c r="BF2610" s="4">
        <v>43283.084560185183</v>
      </c>
      <c r="BG2610" t="s">
        <v>83</v>
      </c>
      <c r="BH2610" t="s">
        <v>84</v>
      </c>
      <c r="BI2610" t="s">
        <v>85</v>
      </c>
    </row>
    <row r="2611" spans="1:61" x14ac:dyDescent="0.3">
      <c r="A2611" t="str">
        <f>"201750B0100"</f>
        <v>201750B0100</v>
      </c>
      <c r="B2611" t="s">
        <v>5322</v>
      </c>
      <c r="C2611">
        <v>20</v>
      </c>
      <c r="D2611" t="s">
        <v>79</v>
      </c>
      <c r="E2611">
        <v>12</v>
      </c>
      <c r="F2611" t="s">
        <v>5082</v>
      </c>
      <c r="G2611">
        <v>1750</v>
      </c>
      <c r="H2611">
        <v>1</v>
      </c>
      <c r="I2611" t="s">
        <v>81</v>
      </c>
      <c r="J2611">
        <v>0</v>
      </c>
      <c r="K2611">
        <v>1</v>
      </c>
      <c r="L2611">
        <v>2</v>
      </c>
      <c r="M2611">
        <v>187</v>
      </c>
      <c r="N2611">
        <v>395</v>
      </c>
      <c r="O2611">
        <v>7</v>
      </c>
      <c r="P2611">
        <v>395</v>
      </c>
      <c r="Q2611">
        <v>50</v>
      </c>
      <c r="R2611">
        <v>58</v>
      </c>
      <c r="S2611">
        <v>13</v>
      </c>
      <c r="T2611">
        <v>9</v>
      </c>
      <c r="U2611">
        <v>21</v>
      </c>
      <c r="V2611">
        <v>9</v>
      </c>
      <c r="W2611">
        <v>10</v>
      </c>
      <c r="X2611">
        <v>5</v>
      </c>
      <c r="Y2611">
        <v>170</v>
      </c>
      <c r="Z2611">
        <v>9</v>
      </c>
      <c r="AA2611">
        <v>5</v>
      </c>
      <c r="AB2611">
        <v>11</v>
      </c>
      <c r="AC2611">
        <v>0</v>
      </c>
      <c r="AD2611">
        <v>0</v>
      </c>
      <c r="AE2611">
        <v>1</v>
      </c>
      <c r="AF2611">
        <v>0</v>
      </c>
      <c r="AG2611">
        <v>2</v>
      </c>
      <c r="AH2611">
        <v>1</v>
      </c>
      <c r="AI2611">
        <v>0</v>
      </c>
      <c r="AJ2611">
        <v>0</v>
      </c>
      <c r="AK2611">
        <v>8</v>
      </c>
      <c r="AL2611">
        <v>0</v>
      </c>
      <c r="AM2611">
        <v>0</v>
      </c>
      <c r="AN2611">
        <v>0</v>
      </c>
      <c r="AT2611">
        <v>0</v>
      </c>
      <c r="AU2611">
        <v>14</v>
      </c>
      <c r="AV2611" t="s">
        <v>100</v>
      </c>
      <c r="AW2611">
        <v>396</v>
      </c>
      <c r="AX2611">
        <v>561</v>
      </c>
      <c r="BA2611">
        <v>1</v>
      </c>
      <c r="BC2611" t="s">
        <v>5323</v>
      </c>
      <c r="BD2611" s="4">
        <v>43283.066666666666</v>
      </c>
      <c r="BE2611" s="4">
        <v>43283.074618055558</v>
      </c>
      <c r="BF2611" s="4">
        <v>43283.074618055558</v>
      </c>
      <c r="BG2611" t="s">
        <v>83</v>
      </c>
      <c r="BH2611" t="s">
        <v>84</v>
      </c>
      <c r="BI2611" t="s">
        <v>85</v>
      </c>
    </row>
    <row r="2612" spans="1:61" x14ac:dyDescent="0.3">
      <c r="A2612" t="str">
        <f>"201750C0100"</f>
        <v>201750C0100</v>
      </c>
      <c r="B2612" t="s">
        <v>5324</v>
      </c>
      <c r="C2612">
        <v>20</v>
      </c>
      <c r="D2612" t="s">
        <v>79</v>
      </c>
      <c r="E2612">
        <v>12</v>
      </c>
      <c r="F2612" t="s">
        <v>5082</v>
      </c>
      <c r="G2612">
        <v>1750</v>
      </c>
      <c r="H2612">
        <v>1</v>
      </c>
      <c r="I2612" t="s">
        <v>89</v>
      </c>
      <c r="J2612">
        <v>0</v>
      </c>
      <c r="K2612">
        <v>1</v>
      </c>
      <c r="L2612">
        <v>2</v>
      </c>
      <c r="M2612">
        <v>172</v>
      </c>
      <c r="N2612">
        <v>411</v>
      </c>
      <c r="O2612">
        <v>9</v>
      </c>
      <c r="P2612">
        <v>411</v>
      </c>
      <c r="Q2612">
        <v>46</v>
      </c>
      <c r="R2612">
        <v>60</v>
      </c>
      <c r="S2612">
        <v>15</v>
      </c>
      <c r="T2612">
        <v>14</v>
      </c>
      <c r="U2612">
        <v>17</v>
      </c>
      <c r="V2612">
        <v>4</v>
      </c>
      <c r="W2612">
        <v>8</v>
      </c>
      <c r="X2612">
        <v>5</v>
      </c>
      <c r="Y2612">
        <v>208</v>
      </c>
      <c r="Z2612">
        <v>4</v>
      </c>
      <c r="AA2612">
        <v>2</v>
      </c>
      <c r="AB2612">
        <v>10</v>
      </c>
      <c r="AC2612">
        <v>0</v>
      </c>
      <c r="AD2612">
        <v>0</v>
      </c>
      <c r="AE2612">
        <v>0</v>
      </c>
      <c r="AF2612">
        <v>0</v>
      </c>
      <c r="AG2612">
        <v>1</v>
      </c>
      <c r="AH2612">
        <v>2</v>
      </c>
      <c r="AI2612">
        <v>0</v>
      </c>
      <c r="AJ2612">
        <v>0</v>
      </c>
      <c r="AK2612">
        <v>2</v>
      </c>
      <c r="AL2612">
        <v>2</v>
      </c>
      <c r="AM2612">
        <v>0</v>
      </c>
      <c r="AN2612">
        <v>0</v>
      </c>
      <c r="AT2612">
        <v>0</v>
      </c>
      <c r="AU2612">
        <v>11</v>
      </c>
      <c r="AV2612">
        <v>411</v>
      </c>
      <c r="AW2612">
        <v>411</v>
      </c>
      <c r="AX2612">
        <v>561</v>
      </c>
      <c r="BA2612">
        <v>1</v>
      </c>
      <c r="BC2612" t="s">
        <v>5325</v>
      </c>
      <c r="BD2612" s="4">
        <v>43283.070138888892</v>
      </c>
      <c r="BE2612" s="4">
        <v>43283.0780787037</v>
      </c>
      <c r="BF2612" s="4">
        <v>43283.0780787037</v>
      </c>
      <c r="BG2612" t="s">
        <v>83</v>
      </c>
      <c r="BH2612" t="s">
        <v>84</v>
      </c>
      <c r="BI2612" t="s">
        <v>85</v>
      </c>
    </row>
    <row r="2613" spans="1:61" x14ac:dyDescent="0.3">
      <c r="A2613" t="str">
        <f>"201750S0100"</f>
        <v>201750S0100</v>
      </c>
      <c r="B2613" t="s">
        <v>5326</v>
      </c>
      <c r="C2613">
        <v>20</v>
      </c>
      <c r="D2613" t="s">
        <v>79</v>
      </c>
      <c r="E2613">
        <v>12</v>
      </c>
      <c r="F2613" t="s">
        <v>5082</v>
      </c>
      <c r="G2613">
        <v>1750</v>
      </c>
      <c r="H2613">
        <v>1</v>
      </c>
      <c r="I2613" t="s">
        <v>104</v>
      </c>
      <c r="J2613">
        <v>0</v>
      </c>
      <c r="K2613">
        <v>1</v>
      </c>
      <c r="L2613">
        <v>3</v>
      </c>
      <c r="M2613">
        <v>252</v>
      </c>
      <c r="N2613">
        <v>18</v>
      </c>
      <c r="O2613">
        <v>0</v>
      </c>
      <c r="P2613">
        <v>18</v>
      </c>
      <c r="Q2613">
        <v>0</v>
      </c>
      <c r="R2613">
        <v>4</v>
      </c>
      <c r="S2613">
        <v>0</v>
      </c>
      <c r="T2613">
        <v>0</v>
      </c>
      <c r="U2613">
        <v>6</v>
      </c>
      <c r="V2613">
        <v>0</v>
      </c>
      <c r="W2613">
        <v>0</v>
      </c>
      <c r="X2613">
        <v>0</v>
      </c>
      <c r="Y2613">
        <v>6</v>
      </c>
      <c r="Z2613">
        <v>1</v>
      </c>
      <c r="AA2613">
        <v>0</v>
      </c>
      <c r="AB2613">
        <v>1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T2613">
        <v>0</v>
      </c>
      <c r="AU2613">
        <v>0</v>
      </c>
      <c r="AV2613">
        <v>18</v>
      </c>
      <c r="AW2613">
        <v>18</v>
      </c>
      <c r="AX2613">
        <v>0</v>
      </c>
      <c r="BA2613">
        <v>1</v>
      </c>
      <c r="BC2613" t="s">
        <v>5327</v>
      </c>
      <c r="BD2613" s="4">
        <v>43283.064583333333</v>
      </c>
      <c r="BE2613" s="4">
        <v>43283.070162037038</v>
      </c>
      <c r="BF2613" s="4">
        <v>43283.070162037038</v>
      </c>
      <c r="BG2613" t="s">
        <v>83</v>
      </c>
      <c r="BH2613" t="s">
        <v>84</v>
      </c>
      <c r="BI2613" t="s">
        <v>85</v>
      </c>
    </row>
    <row r="2614" spans="1:61" x14ac:dyDescent="0.3">
      <c r="A2614" t="str">
        <f>"201751B0100"</f>
        <v>201751B0100</v>
      </c>
      <c r="B2614" t="s">
        <v>5328</v>
      </c>
      <c r="C2614">
        <v>20</v>
      </c>
      <c r="D2614" t="s">
        <v>79</v>
      </c>
      <c r="E2614">
        <v>12</v>
      </c>
      <c r="F2614" t="s">
        <v>5082</v>
      </c>
      <c r="G2614">
        <v>1751</v>
      </c>
      <c r="H2614">
        <v>1</v>
      </c>
      <c r="I2614" t="s">
        <v>81</v>
      </c>
      <c r="J2614">
        <v>0</v>
      </c>
      <c r="K2614">
        <v>1</v>
      </c>
      <c r="L2614">
        <v>2</v>
      </c>
      <c r="M2614">
        <v>248</v>
      </c>
      <c r="N2614">
        <v>497</v>
      </c>
      <c r="O2614">
        <v>3</v>
      </c>
      <c r="P2614">
        <v>497</v>
      </c>
      <c r="Q2614">
        <v>35</v>
      </c>
      <c r="R2614">
        <v>94</v>
      </c>
      <c r="S2614">
        <v>21</v>
      </c>
      <c r="T2614">
        <v>20</v>
      </c>
      <c r="U2614">
        <v>28</v>
      </c>
      <c r="V2614">
        <v>7</v>
      </c>
      <c r="W2614">
        <v>9</v>
      </c>
      <c r="X2614">
        <v>10</v>
      </c>
      <c r="Y2614">
        <v>211</v>
      </c>
      <c r="Z2614">
        <v>8</v>
      </c>
      <c r="AA2614">
        <v>3</v>
      </c>
      <c r="AB2614">
        <v>16</v>
      </c>
      <c r="AC2614">
        <v>0</v>
      </c>
      <c r="AD2614">
        <v>2</v>
      </c>
      <c r="AE2614">
        <v>0</v>
      </c>
      <c r="AF2614">
        <v>0</v>
      </c>
      <c r="AG2614">
        <v>2</v>
      </c>
      <c r="AH2614">
        <v>0</v>
      </c>
      <c r="AI2614">
        <v>1</v>
      </c>
      <c r="AJ2614">
        <v>0</v>
      </c>
      <c r="AK2614">
        <v>5</v>
      </c>
      <c r="AL2614">
        <v>3</v>
      </c>
      <c r="AM2614">
        <v>1</v>
      </c>
      <c r="AN2614">
        <v>0</v>
      </c>
      <c r="AT2614">
        <v>0</v>
      </c>
      <c r="AU2614">
        <v>21</v>
      </c>
      <c r="AV2614">
        <v>497</v>
      </c>
      <c r="AW2614">
        <v>497</v>
      </c>
      <c r="AX2614">
        <v>723</v>
      </c>
      <c r="BA2614">
        <v>1</v>
      </c>
      <c r="BC2614" t="s">
        <v>5329</v>
      </c>
      <c r="BD2614" s="4">
        <v>43283.223611111112</v>
      </c>
      <c r="BE2614" s="4">
        <v>43283.249537037038</v>
      </c>
      <c r="BF2614" s="4">
        <v>43283.249537037038</v>
      </c>
      <c r="BG2614" t="s">
        <v>83</v>
      </c>
      <c r="BH2614" t="s">
        <v>84</v>
      </c>
      <c r="BI2614" t="s">
        <v>85</v>
      </c>
    </row>
    <row r="2615" spans="1:61" x14ac:dyDescent="0.3">
      <c r="A2615" t="str">
        <f>"201751C0100"</f>
        <v>201751C0100</v>
      </c>
      <c r="B2615" t="s">
        <v>5330</v>
      </c>
      <c r="C2615">
        <v>20</v>
      </c>
      <c r="D2615" t="s">
        <v>79</v>
      </c>
      <c r="E2615">
        <v>12</v>
      </c>
      <c r="F2615" t="s">
        <v>5082</v>
      </c>
      <c r="G2615">
        <v>1751</v>
      </c>
      <c r="H2615">
        <v>1</v>
      </c>
      <c r="I2615" t="s">
        <v>89</v>
      </c>
      <c r="J2615">
        <v>0</v>
      </c>
      <c r="K2615">
        <v>1</v>
      </c>
      <c r="L2615">
        <v>2</v>
      </c>
      <c r="M2615">
        <v>273</v>
      </c>
      <c r="N2615">
        <v>471</v>
      </c>
      <c r="O2615">
        <v>0</v>
      </c>
      <c r="P2615">
        <v>471</v>
      </c>
      <c r="Q2615">
        <v>29</v>
      </c>
      <c r="R2615">
        <v>78</v>
      </c>
      <c r="S2615">
        <v>13</v>
      </c>
      <c r="T2615">
        <v>15</v>
      </c>
      <c r="U2615">
        <v>47</v>
      </c>
      <c r="V2615">
        <v>5</v>
      </c>
      <c r="W2615">
        <v>10</v>
      </c>
      <c r="X2615">
        <v>5</v>
      </c>
      <c r="Y2615">
        <v>219</v>
      </c>
      <c r="Z2615">
        <v>8</v>
      </c>
      <c r="AA2615">
        <v>7</v>
      </c>
      <c r="AB2615">
        <v>17</v>
      </c>
      <c r="AC2615">
        <v>0</v>
      </c>
      <c r="AD2615">
        <v>0</v>
      </c>
      <c r="AE2615">
        <v>0</v>
      </c>
      <c r="AF2615">
        <v>0</v>
      </c>
      <c r="AG2615">
        <v>1</v>
      </c>
      <c r="AH2615">
        <v>2</v>
      </c>
      <c r="AI2615">
        <v>0</v>
      </c>
      <c r="AJ2615">
        <v>0</v>
      </c>
      <c r="AK2615">
        <v>3</v>
      </c>
      <c r="AL2615">
        <v>0</v>
      </c>
      <c r="AM2615">
        <v>0</v>
      </c>
      <c r="AN2615">
        <v>3</v>
      </c>
      <c r="AT2615">
        <v>0</v>
      </c>
      <c r="AU2615">
        <v>9</v>
      </c>
      <c r="AV2615">
        <v>471</v>
      </c>
      <c r="AW2615">
        <v>471</v>
      </c>
      <c r="AX2615">
        <v>722</v>
      </c>
      <c r="BA2615">
        <v>1</v>
      </c>
      <c r="BC2615" t="s">
        <v>5331</v>
      </c>
      <c r="BD2615" s="4">
        <v>43283.224305555559</v>
      </c>
      <c r="BE2615" s="4">
        <v>43283.247812499998</v>
      </c>
      <c r="BF2615" s="4">
        <v>43283.247812499998</v>
      </c>
      <c r="BG2615" t="s">
        <v>83</v>
      </c>
      <c r="BH2615" t="s">
        <v>84</v>
      </c>
      <c r="BI2615" t="s">
        <v>85</v>
      </c>
    </row>
    <row r="2616" spans="1:61" x14ac:dyDescent="0.3">
      <c r="A2616" t="str">
        <f>"201751C0200"</f>
        <v>201751C0200</v>
      </c>
      <c r="B2616" t="s">
        <v>5332</v>
      </c>
      <c r="C2616">
        <v>20</v>
      </c>
      <c r="D2616" t="s">
        <v>79</v>
      </c>
      <c r="E2616">
        <v>12</v>
      </c>
      <c r="F2616" t="s">
        <v>5082</v>
      </c>
      <c r="G2616">
        <v>1751</v>
      </c>
      <c r="H2616">
        <v>2</v>
      </c>
      <c r="I2616" t="s">
        <v>89</v>
      </c>
      <c r="J2616">
        <v>0</v>
      </c>
      <c r="K2616">
        <v>1</v>
      </c>
      <c r="L2616">
        <v>2</v>
      </c>
      <c r="M2616">
        <v>269</v>
      </c>
      <c r="N2616">
        <v>474</v>
      </c>
      <c r="O2616">
        <v>4</v>
      </c>
      <c r="P2616">
        <v>474</v>
      </c>
      <c r="Q2616">
        <v>34</v>
      </c>
      <c r="R2616">
        <v>83</v>
      </c>
      <c r="S2616">
        <v>16</v>
      </c>
      <c r="T2616">
        <v>19</v>
      </c>
      <c r="U2616">
        <v>34</v>
      </c>
      <c r="V2616">
        <v>8</v>
      </c>
      <c r="W2616">
        <v>5</v>
      </c>
      <c r="X2616">
        <v>10</v>
      </c>
      <c r="Y2616">
        <v>223</v>
      </c>
      <c r="Z2616">
        <v>3</v>
      </c>
      <c r="AA2616">
        <v>4</v>
      </c>
      <c r="AB2616">
        <v>12</v>
      </c>
      <c r="AC2616" t="s">
        <v>100</v>
      </c>
      <c r="AD2616" t="s">
        <v>100</v>
      </c>
      <c r="AE2616" t="s">
        <v>100</v>
      </c>
      <c r="AF2616" t="s">
        <v>100</v>
      </c>
      <c r="AG2616">
        <v>1</v>
      </c>
      <c r="AH2616">
        <v>2</v>
      </c>
      <c r="AI2616" t="s">
        <v>100</v>
      </c>
      <c r="AJ2616" t="s">
        <v>100</v>
      </c>
      <c r="AK2616">
        <v>4</v>
      </c>
      <c r="AL2616" t="s">
        <v>100</v>
      </c>
      <c r="AM2616" t="s">
        <v>100</v>
      </c>
      <c r="AN2616">
        <v>1</v>
      </c>
      <c r="AT2616">
        <v>1</v>
      </c>
      <c r="AU2616">
        <v>15</v>
      </c>
      <c r="AV2616">
        <v>474</v>
      </c>
      <c r="AW2616">
        <v>475</v>
      </c>
      <c r="AX2616">
        <v>722</v>
      </c>
      <c r="AZ2616" t="s">
        <v>101</v>
      </c>
      <c r="BA2616">
        <v>1</v>
      </c>
      <c r="BC2616" t="s">
        <v>5333</v>
      </c>
      <c r="BD2616" s="4">
        <v>43283.220138888886</v>
      </c>
      <c r="BE2616" s="4">
        <v>43283.244375000002</v>
      </c>
      <c r="BF2616" s="4">
        <v>43283.244375000002</v>
      </c>
      <c r="BG2616" t="s">
        <v>83</v>
      </c>
      <c r="BH2616" t="s">
        <v>84</v>
      </c>
      <c r="BI2616" t="s">
        <v>85</v>
      </c>
    </row>
    <row r="2617" spans="1:61" x14ac:dyDescent="0.3">
      <c r="A2617" t="str">
        <f>"201751C0300"</f>
        <v>201751C0300</v>
      </c>
      <c r="B2617" t="s">
        <v>5334</v>
      </c>
      <c r="C2617">
        <v>20</v>
      </c>
      <c r="D2617" t="s">
        <v>79</v>
      </c>
      <c r="E2617">
        <v>12</v>
      </c>
      <c r="F2617" t="s">
        <v>5082</v>
      </c>
      <c r="G2617">
        <v>1751</v>
      </c>
      <c r="H2617">
        <v>3</v>
      </c>
      <c r="I2617" t="s">
        <v>89</v>
      </c>
      <c r="J2617">
        <v>0</v>
      </c>
      <c r="K2617">
        <v>1</v>
      </c>
      <c r="L2617">
        <v>2</v>
      </c>
      <c r="M2617">
        <v>270</v>
      </c>
      <c r="N2617">
        <v>474</v>
      </c>
      <c r="O2617">
        <v>2</v>
      </c>
      <c r="P2617">
        <v>474</v>
      </c>
      <c r="Q2617">
        <v>25</v>
      </c>
      <c r="R2617">
        <v>82</v>
      </c>
      <c r="S2617">
        <v>19</v>
      </c>
      <c r="T2617">
        <v>8</v>
      </c>
      <c r="U2617">
        <v>47</v>
      </c>
      <c r="V2617">
        <v>4</v>
      </c>
      <c r="W2617">
        <v>7</v>
      </c>
      <c r="X2617">
        <v>12</v>
      </c>
      <c r="Y2617">
        <v>204</v>
      </c>
      <c r="Z2617">
        <v>8</v>
      </c>
      <c r="AA2617">
        <v>4</v>
      </c>
      <c r="AB2617">
        <v>20</v>
      </c>
      <c r="AC2617">
        <v>1</v>
      </c>
      <c r="AD2617">
        <v>0</v>
      </c>
      <c r="AE2617">
        <v>0</v>
      </c>
      <c r="AF2617">
        <v>0</v>
      </c>
      <c r="AG2617">
        <v>0</v>
      </c>
      <c r="AH2617">
        <v>4</v>
      </c>
      <c r="AI2617">
        <v>0</v>
      </c>
      <c r="AJ2617">
        <v>0</v>
      </c>
      <c r="AK2617">
        <v>4</v>
      </c>
      <c r="AL2617">
        <v>3</v>
      </c>
      <c r="AM2617">
        <v>1</v>
      </c>
      <c r="AN2617">
        <v>2</v>
      </c>
      <c r="AT2617">
        <v>0</v>
      </c>
      <c r="AU2617">
        <v>19</v>
      </c>
      <c r="AV2617">
        <v>474</v>
      </c>
      <c r="AW2617">
        <v>474</v>
      </c>
      <c r="AX2617">
        <v>722</v>
      </c>
      <c r="BA2617">
        <v>1</v>
      </c>
      <c r="BC2617" t="s">
        <v>5335</v>
      </c>
      <c r="BD2617" s="4">
        <v>43283.220833333333</v>
      </c>
      <c r="BE2617" s="4">
        <v>43283.244363425925</v>
      </c>
      <c r="BF2617" s="4">
        <v>43283.244363425925</v>
      </c>
      <c r="BG2617" t="s">
        <v>83</v>
      </c>
      <c r="BH2617" t="s">
        <v>84</v>
      </c>
      <c r="BI2617" t="s">
        <v>85</v>
      </c>
    </row>
    <row r="2618" spans="1:61" x14ac:dyDescent="0.3">
      <c r="A2618" t="str">
        <f>"201752B0100"</f>
        <v>201752B0100</v>
      </c>
      <c r="B2618" t="s">
        <v>5336</v>
      </c>
      <c r="C2618">
        <v>20</v>
      </c>
      <c r="D2618" t="s">
        <v>79</v>
      </c>
      <c r="E2618">
        <v>12</v>
      </c>
      <c r="F2618" t="s">
        <v>5082</v>
      </c>
      <c r="G2618">
        <v>1752</v>
      </c>
      <c r="H2618">
        <v>1</v>
      </c>
      <c r="I2618" t="s">
        <v>81</v>
      </c>
      <c r="J2618">
        <v>0</v>
      </c>
      <c r="K2618">
        <v>1</v>
      </c>
      <c r="L2618">
        <v>2</v>
      </c>
      <c r="M2618">
        <v>245</v>
      </c>
      <c r="N2618">
        <v>485</v>
      </c>
      <c r="O2618">
        <v>2</v>
      </c>
      <c r="P2618">
        <v>459</v>
      </c>
      <c r="Q2618">
        <v>25</v>
      </c>
      <c r="R2618">
        <v>86</v>
      </c>
      <c r="S2618">
        <v>19</v>
      </c>
      <c r="T2618">
        <v>17</v>
      </c>
      <c r="U2618">
        <v>27</v>
      </c>
      <c r="V2618">
        <v>9</v>
      </c>
      <c r="W2618">
        <v>5</v>
      </c>
      <c r="X2618">
        <v>9</v>
      </c>
      <c r="Y2618">
        <v>220</v>
      </c>
      <c r="Z2618">
        <v>5</v>
      </c>
      <c r="AA2618">
        <v>14</v>
      </c>
      <c r="AB2618">
        <v>12</v>
      </c>
      <c r="AC2618">
        <v>0</v>
      </c>
      <c r="AD2618">
        <v>0</v>
      </c>
      <c r="AE2618">
        <v>0</v>
      </c>
      <c r="AF2618">
        <v>0</v>
      </c>
      <c r="AG2618">
        <v>1</v>
      </c>
      <c r="AH2618">
        <v>2</v>
      </c>
      <c r="AI2618">
        <v>0</v>
      </c>
      <c r="AJ2618">
        <v>0</v>
      </c>
      <c r="AK2618">
        <v>4</v>
      </c>
      <c r="AL2618">
        <v>2</v>
      </c>
      <c r="AM2618">
        <v>0</v>
      </c>
      <c r="AN2618">
        <v>2</v>
      </c>
      <c r="AT2618">
        <v>0</v>
      </c>
      <c r="AU2618">
        <v>22</v>
      </c>
      <c r="AV2618">
        <v>459</v>
      </c>
      <c r="AW2618">
        <v>481</v>
      </c>
      <c r="AX2618">
        <v>708</v>
      </c>
      <c r="BA2618">
        <v>1</v>
      </c>
      <c r="BC2618" t="s">
        <v>5337</v>
      </c>
      <c r="BD2618" s="4">
        <v>43283.239583333336</v>
      </c>
      <c r="BE2618" s="4">
        <v>43283.262256944443</v>
      </c>
      <c r="BF2618" s="4">
        <v>43283.262256944443</v>
      </c>
      <c r="BG2618" t="s">
        <v>83</v>
      </c>
      <c r="BH2618" t="s">
        <v>84</v>
      </c>
      <c r="BI2618" t="s">
        <v>85</v>
      </c>
    </row>
    <row r="2619" spans="1:61" x14ac:dyDescent="0.3">
      <c r="A2619" t="str">
        <f>"201752C0100"</f>
        <v>201752C0100</v>
      </c>
      <c r="B2619" t="s">
        <v>5338</v>
      </c>
      <c r="C2619">
        <v>20</v>
      </c>
      <c r="D2619" t="s">
        <v>79</v>
      </c>
      <c r="E2619">
        <v>12</v>
      </c>
      <c r="F2619" t="s">
        <v>5082</v>
      </c>
      <c r="G2619">
        <v>1752</v>
      </c>
      <c r="H2619">
        <v>1</v>
      </c>
      <c r="I2619" t="s">
        <v>89</v>
      </c>
      <c r="J2619">
        <v>0</v>
      </c>
      <c r="K2619">
        <v>1</v>
      </c>
      <c r="L2619">
        <v>2</v>
      </c>
      <c r="AX2619">
        <v>707</v>
      </c>
      <c r="AZ2619" t="s">
        <v>156</v>
      </c>
      <c r="BA2619">
        <v>0</v>
      </c>
      <c r="BC2619" t="s">
        <v>5339</v>
      </c>
      <c r="BD2619" s="4">
        <v>43283.355555555558</v>
      </c>
      <c r="BE2619" s="4">
        <v>43283.364699074074</v>
      </c>
      <c r="BF2619" s="4">
        <v>43283.364699074074</v>
      </c>
      <c r="BG2619" t="s">
        <v>83</v>
      </c>
      <c r="BH2619" t="s">
        <v>84</v>
      </c>
      <c r="BI2619" t="s">
        <v>85</v>
      </c>
    </row>
    <row r="2620" spans="1:61" x14ac:dyDescent="0.3">
      <c r="A2620" t="str">
        <f>"201753B0100"</f>
        <v>201753B0100</v>
      </c>
      <c r="B2620" t="s">
        <v>5340</v>
      </c>
      <c r="C2620">
        <v>20</v>
      </c>
      <c r="D2620" t="s">
        <v>79</v>
      </c>
      <c r="E2620">
        <v>12</v>
      </c>
      <c r="F2620" t="s">
        <v>5082</v>
      </c>
      <c r="G2620">
        <v>1753</v>
      </c>
      <c r="H2620">
        <v>1</v>
      </c>
      <c r="I2620" t="s">
        <v>81</v>
      </c>
      <c r="J2620">
        <v>0</v>
      </c>
      <c r="K2620">
        <v>1</v>
      </c>
      <c r="L2620">
        <v>2</v>
      </c>
      <c r="M2620" t="s">
        <v>100</v>
      </c>
      <c r="N2620" t="s">
        <v>100</v>
      </c>
      <c r="O2620" t="s">
        <v>100</v>
      </c>
      <c r="P2620" t="s">
        <v>100</v>
      </c>
      <c r="Q2620">
        <v>31</v>
      </c>
      <c r="R2620">
        <v>87</v>
      </c>
      <c r="S2620">
        <v>7</v>
      </c>
      <c r="T2620">
        <v>15</v>
      </c>
      <c r="U2620">
        <v>25</v>
      </c>
      <c r="V2620">
        <v>4</v>
      </c>
      <c r="W2620">
        <v>12</v>
      </c>
      <c r="X2620">
        <v>4</v>
      </c>
      <c r="Y2620">
        <v>213</v>
      </c>
      <c r="Z2620">
        <v>8</v>
      </c>
      <c r="AA2620">
        <v>5</v>
      </c>
      <c r="AB2620">
        <v>15</v>
      </c>
      <c r="AC2620" t="s">
        <v>100</v>
      </c>
      <c r="AD2620" t="s">
        <v>100</v>
      </c>
      <c r="AE2620" t="s">
        <v>100</v>
      </c>
      <c r="AF2620" t="s">
        <v>100</v>
      </c>
      <c r="AG2620">
        <v>1</v>
      </c>
      <c r="AH2620">
        <v>2</v>
      </c>
      <c r="AI2620" t="s">
        <v>100</v>
      </c>
      <c r="AJ2620" t="s">
        <v>100</v>
      </c>
      <c r="AK2620" t="s">
        <v>100</v>
      </c>
      <c r="AL2620" t="s">
        <v>100</v>
      </c>
      <c r="AM2620" t="s">
        <v>100</v>
      </c>
      <c r="AN2620" t="s">
        <v>100</v>
      </c>
      <c r="AT2620" t="s">
        <v>100</v>
      </c>
      <c r="AU2620">
        <v>14</v>
      </c>
      <c r="AV2620">
        <v>646</v>
      </c>
      <c r="AW2620">
        <v>443</v>
      </c>
      <c r="AX2620">
        <v>620</v>
      </c>
      <c r="AZ2620" t="s">
        <v>101</v>
      </c>
      <c r="BA2620">
        <v>1</v>
      </c>
      <c r="BC2620" t="s">
        <v>5341</v>
      </c>
      <c r="BD2620" s="4">
        <v>43283.214583333334</v>
      </c>
      <c r="BE2620" s="4">
        <v>43283.237546296295</v>
      </c>
      <c r="BF2620" s="4">
        <v>43283.237546296295</v>
      </c>
      <c r="BG2620" t="s">
        <v>83</v>
      </c>
      <c r="BH2620" t="s">
        <v>84</v>
      </c>
      <c r="BI2620" t="s">
        <v>85</v>
      </c>
    </row>
    <row r="2621" spans="1:61" x14ac:dyDescent="0.3">
      <c r="A2621" t="str">
        <f>"201753C0100"</f>
        <v>201753C0100</v>
      </c>
      <c r="B2621" t="s">
        <v>5342</v>
      </c>
      <c r="C2621">
        <v>20</v>
      </c>
      <c r="D2621" t="s">
        <v>79</v>
      </c>
      <c r="E2621">
        <v>12</v>
      </c>
      <c r="F2621" t="s">
        <v>5082</v>
      </c>
      <c r="G2621">
        <v>1753</v>
      </c>
      <c r="H2621">
        <v>1</v>
      </c>
      <c r="I2621" t="s">
        <v>89</v>
      </c>
      <c r="J2621">
        <v>0</v>
      </c>
      <c r="K2621">
        <v>1</v>
      </c>
      <c r="L2621">
        <v>2</v>
      </c>
      <c r="M2621">
        <v>217</v>
      </c>
      <c r="N2621">
        <v>424</v>
      </c>
      <c r="O2621">
        <v>6</v>
      </c>
      <c r="P2621">
        <v>415</v>
      </c>
      <c r="Q2621">
        <v>24</v>
      </c>
      <c r="R2621">
        <v>70</v>
      </c>
      <c r="S2621">
        <v>8</v>
      </c>
      <c r="T2621">
        <v>11</v>
      </c>
      <c r="U2621">
        <v>18</v>
      </c>
      <c r="V2621">
        <v>2</v>
      </c>
      <c r="W2621">
        <v>4</v>
      </c>
      <c r="X2621">
        <v>9</v>
      </c>
      <c r="Y2621">
        <v>215</v>
      </c>
      <c r="Z2621">
        <v>9</v>
      </c>
      <c r="AA2621">
        <v>7</v>
      </c>
      <c r="AB2621">
        <v>13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1</v>
      </c>
      <c r="AI2621">
        <v>0</v>
      </c>
      <c r="AJ2621">
        <v>0</v>
      </c>
      <c r="AK2621">
        <v>6</v>
      </c>
      <c r="AL2621">
        <v>2</v>
      </c>
      <c r="AM2621">
        <v>0</v>
      </c>
      <c r="AN2621">
        <v>1</v>
      </c>
      <c r="AT2621">
        <v>0</v>
      </c>
      <c r="AU2621">
        <v>15</v>
      </c>
      <c r="AV2621">
        <v>415</v>
      </c>
      <c r="AW2621">
        <v>415</v>
      </c>
      <c r="AX2621">
        <v>619</v>
      </c>
      <c r="BA2621">
        <v>1</v>
      </c>
      <c r="BC2621" t="s">
        <v>5343</v>
      </c>
      <c r="BD2621" s="4">
        <v>43283.036805555559</v>
      </c>
      <c r="BE2621" s="4">
        <v>43283.041203703702</v>
      </c>
      <c r="BF2621" s="4">
        <v>43283.041203703702</v>
      </c>
      <c r="BG2621" t="s">
        <v>83</v>
      </c>
      <c r="BH2621" t="s">
        <v>84</v>
      </c>
      <c r="BI2621" t="s">
        <v>85</v>
      </c>
    </row>
    <row r="2622" spans="1:61" x14ac:dyDescent="0.3">
      <c r="A2622" t="str">
        <f>"201754B0100"</f>
        <v>201754B0100</v>
      </c>
      <c r="B2622" t="s">
        <v>5344</v>
      </c>
      <c r="C2622">
        <v>20</v>
      </c>
      <c r="D2622" t="s">
        <v>79</v>
      </c>
      <c r="E2622">
        <v>12</v>
      </c>
      <c r="F2622" t="s">
        <v>5082</v>
      </c>
      <c r="G2622">
        <v>1754</v>
      </c>
      <c r="H2622">
        <v>1</v>
      </c>
      <c r="I2622" t="s">
        <v>81</v>
      </c>
      <c r="J2622">
        <v>0</v>
      </c>
      <c r="K2622">
        <v>1</v>
      </c>
      <c r="L2622">
        <v>2</v>
      </c>
      <c r="M2622">
        <v>224</v>
      </c>
      <c r="N2622">
        <v>498</v>
      </c>
      <c r="O2622">
        <v>8</v>
      </c>
      <c r="P2622" t="s">
        <v>315</v>
      </c>
      <c r="Q2622">
        <v>25</v>
      </c>
      <c r="R2622">
        <v>92</v>
      </c>
      <c r="S2622">
        <v>9</v>
      </c>
      <c r="T2622">
        <v>8</v>
      </c>
      <c r="U2622">
        <v>26</v>
      </c>
      <c r="V2622">
        <v>11</v>
      </c>
      <c r="W2622">
        <v>4</v>
      </c>
      <c r="X2622">
        <v>1</v>
      </c>
      <c r="Y2622">
        <v>241</v>
      </c>
      <c r="Z2622">
        <v>14</v>
      </c>
      <c r="AA2622">
        <v>7</v>
      </c>
      <c r="AB2622">
        <v>16</v>
      </c>
      <c r="AC2622" t="s">
        <v>100</v>
      </c>
      <c r="AD2622">
        <v>1</v>
      </c>
      <c r="AE2622" t="s">
        <v>100</v>
      </c>
      <c r="AF2622" t="s">
        <v>100</v>
      </c>
      <c r="AG2622" t="s">
        <v>100</v>
      </c>
      <c r="AH2622">
        <v>1</v>
      </c>
      <c r="AI2622" t="s">
        <v>100</v>
      </c>
      <c r="AJ2622" t="s">
        <v>100</v>
      </c>
      <c r="AK2622">
        <v>7</v>
      </c>
      <c r="AL2622">
        <v>5</v>
      </c>
      <c r="AM2622">
        <v>1</v>
      </c>
      <c r="AN2622">
        <v>1</v>
      </c>
      <c r="AT2622">
        <v>1</v>
      </c>
      <c r="AU2622">
        <v>28</v>
      </c>
      <c r="AV2622">
        <v>499</v>
      </c>
      <c r="AW2622">
        <v>499</v>
      </c>
      <c r="AX2622">
        <v>700</v>
      </c>
      <c r="AZ2622" t="s">
        <v>101</v>
      </c>
      <c r="BA2622">
        <v>1</v>
      </c>
      <c r="BC2622" t="s">
        <v>5345</v>
      </c>
      <c r="BD2622" s="4">
        <v>43283.116666666669</v>
      </c>
      <c r="BE2622" s="4">
        <v>43283.127476851849</v>
      </c>
      <c r="BF2622" s="4">
        <v>43283.127476851849</v>
      </c>
      <c r="BG2622" t="s">
        <v>83</v>
      </c>
      <c r="BH2622" t="s">
        <v>84</v>
      </c>
      <c r="BI2622" t="s">
        <v>85</v>
      </c>
    </row>
    <row r="2623" spans="1:61" x14ac:dyDescent="0.3">
      <c r="A2623" t="str">
        <f>"201754C0100"</f>
        <v>201754C0100</v>
      </c>
      <c r="B2623" t="s">
        <v>5346</v>
      </c>
      <c r="C2623">
        <v>20</v>
      </c>
      <c r="D2623" t="s">
        <v>79</v>
      </c>
      <c r="E2623">
        <v>12</v>
      </c>
      <c r="F2623" t="s">
        <v>5082</v>
      </c>
      <c r="G2623">
        <v>1754</v>
      </c>
      <c r="H2623">
        <v>1</v>
      </c>
      <c r="I2623" t="s">
        <v>89</v>
      </c>
      <c r="J2623">
        <v>0</v>
      </c>
      <c r="K2623">
        <v>1</v>
      </c>
      <c r="L2623">
        <v>2</v>
      </c>
      <c r="M2623">
        <v>213</v>
      </c>
      <c r="N2623">
        <v>508</v>
      </c>
      <c r="O2623">
        <v>4</v>
      </c>
      <c r="P2623">
        <v>508</v>
      </c>
      <c r="Q2623">
        <v>34</v>
      </c>
      <c r="R2623">
        <v>88</v>
      </c>
      <c r="S2623">
        <v>7</v>
      </c>
      <c r="T2623">
        <v>9</v>
      </c>
      <c r="U2623">
        <v>22</v>
      </c>
      <c r="V2623">
        <v>10</v>
      </c>
      <c r="W2623">
        <v>9</v>
      </c>
      <c r="X2623">
        <v>5</v>
      </c>
      <c r="Y2623">
        <v>250</v>
      </c>
      <c r="Z2623">
        <v>12</v>
      </c>
      <c r="AA2623">
        <v>12</v>
      </c>
      <c r="AB2623">
        <v>15</v>
      </c>
      <c r="AC2623">
        <v>3</v>
      </c>
      <c r="AD2623">
        <v>1</v>
      </c>
      <c r="AE2623">
        <v>0</v>
      </c>
      <c r="AF2623">
        <v>0</v>
      </c>
      <c r="AG2623">
        <v>1</v>
      </c>
      <c r="AH2623">
        <v>3</v>
      </c>
      <c r="AI2623">
        <v>0</v>
      </c>
      <c r="AJ2623">
        <v>0</v>
      </c>
      <c r="AK2623">
        <v>6</v>
      </c>
      <c r="AL2623">
        <v>1</v>
      </c>
      <c r="AM2623">
        <v>0</v>
      </c>
      <c r="AN2623">
        <v>0</v>
      </c>
      <c r="AT2623">
        <v>0</v>
      </c>
      <c r="AU2623">
        <v>20</v>
      </c>
      <c r="AV2623" t="s">
        <v>100</v>
      </c>
      <c r="AW2623">
        <v>508</v>
      </c>
      <c r="AX2623">
        <v>700</v>
      </c>
      <c r="BA2623">
        <v>1</v>
      </c>
      <c r="BC2623" t="s">
        <v>5347</v>
      </c>
      <c r="BD2623" s="4">
        <v>43283.117361111108</v>
      </c>
      <c r="BE2623" s="4">
        <v>43283.125127314815</v>
      </c>
      <c r="BF2623" s="4">
        <v>43283.125127314815</v>
      </c>
      <c r="BG2623" t="s">
        <v>83</v>
      </c>
      <c r="BH2623" t="s">
        <v>84</v>
      </c>
      <c r="BI2623" t="s">
        <v>85</v>
      </c>
    </row>
    <row r="2624" spans="1:61" x14ac:dyDescent="0.3">
      <c r="A2624" t="str">
        <f>"201755B0100"</f>
        <v>201755B0100</v>
      </c>
      <c r="B2624" t="s">
        <v>5348</v>
      </c>
      <c r="C2624">
        <v>20</v>
      </c>
      <c r="D2624" t="s">
        <v>79</v>
      </c>
      <c r="E2624">
        <v>12</v>
      </c>
      <c r="F2624" t="s">
        <v>5082</v>
      </c>
      <c r="G2624">
        <v>1755</v>
      </c>
      <c r="H2624">
        <v>1</v>
      </c>
      <c r="I2624" t="s">
        <v>81</v>
      </c>
      <c r="J2624">
        <v>0</v>
      </c>
      <c r="K2624">
        <v>1</v>
      </c>
      <c r="L2624">
        <v>2</v>
      </c>
      <c r="M2624">
        <v>179</v>
      </c>
      <c r="N2624">
        <v>381</v>
      </c>
      <c r="O2624">
        <v>2</v>
      </c>
      <c r="P2624">
        <v>381</v>
      </c>
      <c r="Q2624">
        <v>25</v>
      </c>
      <c r="R2624">
        <v>92</v>
      </c>
      <c r="S2624">
        <v>10</v>
      </c>
      <c r="T2624">
        <v>17</v>
      </c>
      <c r="U2624">
        <v>14</v>
      </c>
      <c r="V2624">
        <v>5</v>
      </c>
      <c r="W2624">
        <v>8</v>
      </c>
      <c r="X2624">
        <v>7</v>
      </c>
      <c r="Y2624">
        <v>153</v>
      </c>
      <c r="Z2624">
        <v>8</v>
      </c>
      <c r="AA2624">
        <v>6</v>
      </c>
      <c r="AB2624">
        <v>11</v>
      </c>
      <c r="AC2624">
        <v>1</v>
      </c>
      <c r="AD2624">
        <v>0</v>
      </c>
      <c r="AE2624">
        <v>1</v>
      </c>
      <c r="AF2624">
        <v>0</v>
      </c>
      <c r="AG2624">
        <v>1</v>
      </c>
      <c r="AH2624">
        <v>1</v>
      </c>
      <c r="AI2624">
        <v>0</v>
      </c>
      <c r="AJ2624">
        <v>0</v>
      </c>
      <c r="AK2624">
        <v>4</v>
      </c>
      <c r="AL2624">
        <v>1</v>
      </c>
      <c r="AM2624">
        <v>0</v>
      </c>
      <c r="AN2624">
        <v>0</v>
      </c>
      <c r="AT2624">
        <v>0</v>
      </c>
      <c r="AU2624">
        <v>16</v>
      </c>
      <c r="AV2624">
        <v>381</v>
      </c>
      <c r="AW2624">
        <v>381</v>
      </c>
      <c r="AX2624">
        <v>538</v>
      </c>
      <c r="BA2624">
        <v>1</v>
      </c>
      <c r="BC2624" t="s">
        <v>5349</v>
      </c>
      <c r="BD2624" s="4">
        <v>43283.142361111109</v>
      </c>
      <c r="BE2624" s="4">
        <v>43283.157083333332</v>
      </c>
      <c r="BF2624" s="4">
        <v>43283.157083333332</v>
      </c>
      <c r="BG2624" t="s">
        <v>83</v>
      </c>
      <c r="BH2624" t="s">
        <v>84</v>
      </c>
      <c r="BI2624" t="s">
        <v>85</v>
      </c>
    </row>
    <row r="2625" spans="1:61" x14ac:dyDescent="0.3">
      <c r="A2625" t="str">
        <f>"201755C0100"</f>
        <v>201755C0100</v>
      </c>
      <c r="B2625" t="s">
        <v>5350</v>
      </c>
      <c r="C2625">
        <v>20</v>
      </c>
      <c r="D2625" t="s">
        <v>79</v>
      </c>
      <c r="E2625">
        <v>12</v>
      </c>
      <c r="F2625" t="s">
        <v>5082</v>
      </c>
      <c r="G2625">
        <v>1755</v>
      </c>
      <c r="H2625">
        <v>1</v>
      </c>
      <c r="I2625" t="s">
        <v>89</v>
      </c>
      <c r="J2625">
        <v>0</v>
      </c>
      <c r="K2625">
        <v>1</v>
      </c>
      <c r="L2625">
        <v>2</v>
      </c>
      <c r="M2625">
        <v>193</v>
      </c>
      <c r="N2625">
        <v>367</v>
      </c>
      <c r="O2625">
        <v>1</v>
      </c>
      <c r="P2625">
        <v>368</v>
      </c>
      <c r="Q2625">
        <v>29</v>
      </c>
      <c r="R2625">
        <v>89</v>
      </c>
      <c r="S2625">
        <v>9</v>
      </c>
      <c r="T2625">
        <v>4</v>
      </c>
      <c r="U2625">
        <v>12</v>
      </c>
      <c r="V2625">
        <v>6</v>
      </c>
      <c r="W2625">
        <v>4</v>
      </c>
      <c r="X2625">
        <v>7</v>
      </c>
      <c r="Y2625">
        <v>167</v>
      </c>
      <c r="Z2625">
        <v>5</v>
      </c>
      <c r="AA2625">
        <v>4</v>
      </c>
      <c r="AB2625">
        <v>9</v>
      </c>
      <c r="AC2625">
        <v>2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1</v>
      </c>
      <c r="AL2625">
        <v>1</v>
      </c>
      <c r="AM2625">
        <v>1</v>
      </c>
      <c r="AN2625">
        <v>1</v>
      </c>
      <c r="AT2625">
        <v>0</v>
      </c>
      <c r="AU2625">
        <v>18</v>
      </c>
      <c r="AV2625">
        <v>368</v>
      </c>
      <c r="AW2625">
        <v>369</v>
      </c>
      <c r="AX2625">
        <v>538</v>
      </c>
      <c r="BA2625">
        <v>1</v>
      </c>
      <c r="BC2625" t="s">
        <v>5351</v>
      </c>
      <c r="BD2625" s="4">
        <v>43283.140277777777</v>
      </c>
      <c r="BE2625" s="4">
        <v>43283.152800925927</v>
      </c>
      <c r="BF2625" s="4">
        <v>43283.152800925927</v>
      </c>
      <c r="BG2625" t="s">
        <v>83</v>
      </c>
      <c r="BH2625" t="s">
        <v>84</v>
      </c>
      <c r="BI2625" t="s">
        <v>85</v>
      </c>
    </row>
    <row r="2626" spans="1:61" x14ac:dyDescent="0.3">
      <c r="A2626" t="str">
        <f>"201755C0200"</f>
        <v>201755C0200</v>
      </c>
      <c r="B2626" t="s">
        <v>5352</v>
      </c>
      <c r="C2626">
        <v>20</v>
      </c>
      <c r="D2626" t="s">
        <v>79</v>
      </c>
      <c r="E2626">
        <v>12</v>
      </c>
      <c r="F2626" t="s">
        <v>5082</v>
      </c>
      <c r="G2626">
        <v>1755</v>
      </c>
      <c r="H2626">
        <v>2</v>
      </c>
      <c r="I2626" t="s">
        <v>89</v>
      </c>
      <c r="J2626">
        <v>0</v>
      </c>
      <c r="K2626">
        <v>1</v>
      </c>
      <c r="L2626">
        <v>2</v>
      </c>
      <c r="M2626">
        <v>175</v>
      </c>
      <c r="N2626">
        <v>385</v>
      </c>
      <c r="O2626">
        <v>4</v>
      </c>
      <c r="P2626">
        <v>385</v>
      </c>
      <c r="Q2626">
        <v>31</v>
      </c>
      <c r="R2626">
        <v>92</v>
      </c>
      <c r="S2626">
        <v>11</v>
      </c>
      <c r="T2626">
        <v>14</v>
      </c>
      <c r="U2626">
        <v>14</v>
      </c>
      <c r="V2626">
        <v>4</v>
      </c>
      <c r="W2626">
        <v>4</v>
      </c>
      <c r="X2626">
        <v>10</v>
      </c>
      <c r="Y2626">
        <v>152</v>
      </c>
      <c r="Z2626">
        <v>5</v>
      </c>
      <c r="AA2626">
        <v>4</v>
      </c>
      <c r="AB2626">
        <v>17</v>
      </c>
      <c r="AC2626">
        <v>1</v>
      </c>
      <c r="AD2626">
        <v>0</v>
      </c>
      <c r="AE2626">
        <v>0</v>
      </c>
      <c r="AF2626">
        <v>0</v>
      </c>
      <c r="AG2626">
        <v>2</v>
      </c>
      <c r="AH2626">
        <v>1</v>
      </c>
      <c r="AI2626">
        <v>0</v>
      </c>
      <c r="AJ2626">
        <v>0</v>
      </c>
      <c r="AK2626">
        <v>5</v>
      </c>
      <c r="AL2626">
        <v>4</v>
      </c>
      <c r="AM2626">
        <v>0</v>
      </c>
      <c r="AN2626">
        <v>1</v>
      </c>
      <c r="AT2626">
        <v>0</v>
      </c>
      <c r="AU2626">
        <v>13</v>
      </c>
      <c r="AV2626">
        <v>385</v>
      </c>
      <c r="AW2626">
        <v>385</v>
      </c>
      <c r="AX2626">
        <v>538</v>
      </c>
      <c r="BA2626">
        <v>1</v>
      </c>
      <c r="BC2626" t="s">
        <v>5353</v>
      </c>
      <c r="BD2626" s="4">
        <v>43283.140972222223</v>
      </c>
      <c r="BE2626" s="4">
        <v>43283.155821759261</v>
      </c>
      <c r="BF2626" s="4">
        <v>43283.155821759261</v>
      </c>
      <c r="BG2626" t="s">
        <v>83</v>
      </c>
      <c r="BH2626" t="s">
        <v>84</v>
      </c>
      <c r="BI2626" t="s">
        <v>85</v>
      </c>
    </row>
    <row r="2627" spans="1:61" x14ac:dyDescent="0.3">
      <c r="A2627" t="str">
        <f>"201756B0100"</f>
        <v>201756B0100</v>
      </c>
      <c r="B2627" t="s">
        <v>5354</v>
      </c>
      <c r="C2627">
        <v>20</v>
      </c>
      <c r="D2627" t="s">
        <v>79</v>
      </c>
      <c r="E2627">
        <v>12</v>
      </c>
      <c r="F2627" t="s">
        <v>5082</v>
      </c>
      <c r="G2627">
        <v>1756</v>
      </c>
      <c r="H2627">
        <v>1</v>
      </c>
      <c r="I2627" t="s">
        <v>81</v>
      </c>
      <c r="J2627">
        <v>0</v>
      </c>
      <c r="K2627">
        <v>1</v>
      </c>
      <c r="L2627">
        <v>2</v>
      </c>
      <c r="M2627">
        <v>224</v>
      </c>
      <c r="N2627">
        <v>390</v>
      </c>
      <c r="O2627">
        <v>1</v>
      </c>
      <c r="P2627">
        <v>390</v>
      </c>
      <c r="Q2627">
        <v>36</v>
      </c>
      <c r="R2627">
        <v>58</v>
      </c>
      <c r="S2627">
        <v>12</v>
      </c>
      <c r="T2627">
        <v>12</v>
      </c>
      <c r="U2627">
        <v>15</v>
      </c>
      <c r="V2627">
        <v>5</v>
      </c>
      <c r="W2627">
        <v>6</v>
      </c>
      <c r="X2627">
        <v>4</v>
      </c>
      <c r="Y2627">
        <v>197</v>
      </c>
      <c r="Z2627">
        <v>6</v>
      </c>
      <c r="AA2627">
        <v>5</v>
      </c>
      <c r="AB2627">
        <v>10</v>
      </c>
      <c r="AC2627">
        <v>0</v>
      </c>
      <c r="AD2627">
        <v>1</v>
      </c>
      <c r="AE2627">
        <v>0</v>
      </c>
      <c r="AF2627">
        <v>0</v>
      </c>
      <c r="AG2627">
        <v>1</v>
      </c>
      <c r="AH2627">
        <v>1</v>
      </c>
      <c r="AI2627">
        <v>0</v>
      </c>
      <c r="AJ2627">
        <v>0</v>
      </c>
      <c r="AK2627">
        <v>4</v>
      </c>
      <c r="AL2627">
        <v>1</v>
      </c>
      <c r="AM2627">
        <v>0</v>
      </c>
      <c r="AN2627">
        <v>0</v>
      </c>
      <c r="AT2627">
        <v>0</v>
      </c>
      <c r="AU2627">
        <v>16</v>
      </c>
      <c r="AV2627">
        <v>390</v>
      </c>
      <c r="AW2627">
        <v>390</v>
      </c>
      <c r="AX2627">
        <v>592</v>
      </c>
      <c r="BA2627">
        <v>1</v>
      </c>
      <c r="BC2627" t="s">
        <v>5355</v>
      </c>
      <c r="BD2627" s="4">
        <v>43283.140277777777</v>
      </c>
      <c r="BE2627" s="4">
        <v>43283.154467592591</v>
      </c>
      <c r="BF2627" s="4">
        <v>43283.154467592591</v>
      </c>
      <c r="BG2627" t="s">
        <v>83</v>
      </c>
      <c r="BH2627" t="s">
        <v>84</v>
      </c>
      <c r="BI2627" t="s">
        <v>85</v>
      </c>
    </row>
    <row r="2628" spans="1:61" x14ac:dyDescent="0.3">
      <c r="A2628" t="str">
        <f>"201756C0100"</f>
        <v>201756C0100</v>
      </c>
      <c r="B2628" t="s">
        <v>5356</v>
      </c>
      <c r="C2628">
        <v>20</v>
      </c>
      <c r="D2628" t="s">
        <v>79</v>
      </c>
      <c r="E2628">
        <v>12</v>
      </c>
      <c r="F2628" t="s">
        <v>5082</v>
      </c>
      <c r="G2628">
        <v>1756</v>
      </c>
      <c r="H2628">
        <v>1</v>
      </c>
      <c r="I2628" t="s">
        <v>89</v>
      </c>
      <c r="J2628">
        <v>0</v>
      </c>
      <c r="K2628">
        <v>1</v>
      </c>
      <c r="L2628">
        <v>2</v>
      </c>
      <c r="M2628">
        <v>203</v>
      </c>
      <c r="N2628">
        <v>410</v>
      </c>
      <c r="O2628">
        <v>3</v>
      </c>
      <c r="P2628">
        <v>410</v>
      </c>
      <c r="Q2628">
        <v>41</v>
      </c>
      <c r="R2628">
        <v>61</v>
      </c>
      <c r="S2628">
        <v>14</v>
      </c>
      <c r="T2628">
        <v>7</v>
      </c>
      <c r="U2628">
        <v>27</v>
      </c>
      <c r="V2628">
        <v>2</v>
      </c>
      <c r="W2628">
        <v>6</v>
      </c>
      <c r="X2628">
        <v>9</v>
      </c>
      <c r="Y2628">
        <v>199</v>
      </c>
      <c r="Z2628">
        <v>8</v>
      </c>
      <c r="AA2628">
        <v>6</v>
      </c>
      <c r="AB2628">
        <v>10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2</v>
      </c>
      <c r="AI2628">
        <v>0</v>
      </c>
      <c r="AJ2628">
        <v>0</v>
      </c>
      <c r="AK2628">
        <v>3</v>
      </c>
      <c r="AL2628">
        <v>4</v>
      </c>
      <c r="AM2628">
        <v>0</v>
      </c>
      <c r="AN2628">
        <v>0</v>
      </c>
      <c r="AT2628">
        <v>0</v>
      </c>
      <c r="AU2628">
        <v>11</v>
      </c>
      <c r="AV2628">
        <v>410</v>
      </c>
      <c r="AW2628">
        <v>410</v>
      </c>
      <c r="AX2628">
        <v>591</v>
      </c>
      <c r="BA2628">
        <v>1</v>
      </c>
      <c r="BC2628" t="s">
        <v>5357</v>
      </c>
      <c r="BD2628" s="4">
        <v>43283.13958333333</v>
      </c>
      <c r="BE2628" s="4">
        <v>43283.152870370373</v>
      </c>
      <c r="BF2628" s="4">
        <v>43283.152870370373</v>
      </c>
      <c r="BG2628" t="s">
        <v>83</v>
      </c>
      <c r="BH2628" t="s">
        <v>84</v>
      </c>
      <c r="BI2628" t="s">
        <v>85</v>
      </c>
    </row>
    <row r="2629" spans="1:61" x14ac:dyDescent="0.3">
      <c r="A2629" t="str">
        <f>"201757B0100"</f>
        <v>201757B0100</v>
      </c>
      <c r="B2629" t="s">
        <v>5358</v>
      </c>
      <c r="C2629">
        <v>20</v>
      </c>
      <c r="D2629" t="s">
        <v>79</v>
      </c>
      <c r="E2629">
        <v>12</v>
      </c>
      <c r="F2629" t="s">
        <v>5082</v>
      </c>
      <c r="G2629">
        <v>1757</v>
      </c>
      <c r="H2629">
        <v>1</v>
      </c>
      <c r="I2629" t="s">
        <v>81</v>
      </c>
      <c r="J2629">
        <v>0</v>
      </c>
      <c r="K2629">
        <v>1</v>
      </c>
      <c r="L2629">
        <v>2</v>
      </c>
      <c r="M2629">
        <v>164</v>
      </c>
      <c r="N2629">
        <v>367</v>
      </c>
      <c r="O2629">
        <v>3</v>
      </c>
      <c r="P2629">
        <v>367</v>
      </c>
      <c r="Q2629">
        <v>23</v>
      </c>
      <c r="R2629">
        <v>52</v>
      </c>
      <c r="S2629">
        <v>15</v>
      </c>
      <c r="T2629">
        <v>15</v>
      </c>
      <c r="U2629">
        <v>17</v>
      </c>
      <c r="V2629">
        <v>5</v>
      </c>
      <c r="W2629">
        <v>9</v>
      </c>
      <c r="X2629">
        <v>5</v>
      </c>
      <c r="Y2629">
        <v>175</v>
      </c>
      <c r="Z2629">
        <v>11</v>
      </c>
      <c r="AA2629">
        <v>3</v>
      </c>
      <c r="AB2629">
        <v>13</v>
      </c>
      <c r="AC2629">
        <v>0</v>
      </c>
      <c r="AD2629">
        <v>1</v>
      </c>
      <c r="AE2629">
        <v>0</v>
      </c>
      <c r="AF2629">
        <v>0</v>
      </c>
      <c r="AG2629">
        <v>2</v>
      </c>
      <c r="AH2629">
        <v>3</v>
      </c>
      <c r="AI2629">
        <v>1</v>
      </c>
      <c r="AJ2629">
        <v>0</v>
      </c>
      <c r="AK2629">
        <v>2</v>
      </c>
      <c r="AL2629">
        <v>1</v>
      </c>
      <c r="AM2629">
        <v>0</v>
      </c>
      <c r="AN2629">
        <v>0</v>
      </c>
      <c r="AT2629">
        <v>0</v>
      </c>
      <c r="AU2629">
        <v>14</v>
      </c>
      <c r="AV2629">
        <v>367</v>
      </c>
      <c r="AW2629">
        <v>367</v>
      </c>
      <c r="AX2629">
        <v>509</v>
      </c>
      <c r="BA2629">
        <v>1</v>
      </c>
      <c r="BC2629" t="s">
        <v>5359</v>
      </c>
      <c r="BD2629" s="4">
        <v>43283.213194444441</v>
      </c>
      <c r="BE2629" s="4">
        <v>43283.242303240739</v>
      </c>
      <c r="BF2629" s="4">
        <v>43283.242303240739</v>
      </c>
      <c r="BG2629" t="s">
        <v>83</v>
      </c>
      <c r="BH2629" t="s">
        <v>84</v>
      </c>
      <c r="BI2629" t="s">
        <v>85</v>
      </c>
    </row>
    <row r="2630" spans="1:61" x14ac:dyDescent="0.3">
      <c r="A2630" t="str">
        <f>"201757C0100"</f>
        <v>201757C0100</v>
      </c>
      <c r="B2630" t="s">
        <v>5360</v>
      </c>
      <c r="C2630">
        <v>20</v>
      </c>
      <c r="D2630" t="s">
        <v>79</v>
      </c>
      <c r="E2630">
        <v>12</v>
      </c>
      <c r="F2630" t="s">
        <v>5082</v>
      </c>
      <c r="G2630">
        <v>1757</v>
      </c>
      <c r="H2630">
        <v>1</v>
      </c>
      <c r="I2630" t="s">
        <v>89</v>
      </c>
      <c r="J2630">
        <v>0</v>
      </c>
      <c r="K2630">
        <v>1</v>
      </c>
      <c r="L2630">
        <v>2</v>
      </c>
      <c r="M2630">
        <v>154</v>
      </c>
      <c r="N2630">
        <v>376</v>
      </c>
      <c r="O2630">
        <v>8</v>
      </c>
      <c r="P2630">
        <v>376</v>
      </c>
      <c r="Q2630">
        <v>25</v>
      </c>
      <c r="R2630">
        <v>72</v>
      </c>
      <c r="S2630">
        <v>27</v>
      </c>
      <c r="T2630">
        <v>10</v>
      </c>
      <c r="U2630">
        <v>13</v>
      </c>
      <c r="V2630">
        <v>8</v>
      </c>
      <c r="W2630">
        <v>7</v>
      </c>
      <c r="X2630">
        <v>5</v>
      </c>
      <c r="Y2630">
        <v>156</v>
      </c>
      <c r="Z2630">
        <v>6</v>
      </c>
      <c r="AA2630">
        <v>9</v>
      </c>
      <c r="AB2630">
        <v>10</v>
      </c>
      <c r="AC2630">
        <v>1</v>
      </c>
      <c r="AD2630">
        <v>1</v>
      </c>
      <c r="AE2630">
        <v>0</v>
      </c>
      <c r="AF2630">
        <v>0</v>
      </c>
      <c r="AG2630">
        <v>3</v>
      </c>
      <c r="AH2630">
        <v>0</v>
      </c>
      <c r="AI2630">
        <v>0</v>
      </c>
      <c r="AJ2630">
        <v>0</v>
      </c>
      <c r="AK2630">
        <v>7</v>
      </c>
      <c r="AL2630">
        <v>1</v>
      </c>
      <c r="AM2630">
        <v>0</v>
      </c>
      <c r="AN2630">
        <v>1</v>
      </c>
      <c r="AT2630">
        <v>0</v>
      </c>
      <c r="AU2630">
        <v>14</v>
      </c>
      <c r="AV2630">
        <v>376</v>
      </c>
      <c r="AW2630">
        <v>376</v>
      </c>
      <c r="AX2630">
        <v>508</v>
      </c>
      <c r="BA2630">
        <v>1</v>
      </c>
      <c r="BC2630" t="s">
        <v>5361</v>
      </c>
      <c r="BD2630" s="4">
        <v>43283.213888888888</v>
      </c>
      <c r="BE2630" s="4">
        <v>43283.236979166664</v>
      </c>
      <c r="BF2630" s="4">
        <v>43283.236979166664</v>
      </c>
      <c r="BG2630" t="s">
        <v>83</v>
      </c>
      <c r="BH2630" t="s">
        <v>84</v>
      </c>
      <c r="BI2630" t="s">
        <v>85</v>
      </c>
    </row>
    <row r="2631" spans="1:61" x14ac:dyDescent="0.3">
      <c r="A2631" t="str">
        <f>"201757C0200"</f>
        <v>201757C0200</v>
      </c>
      <c r="B2631" t="s">
        <v>5362</v>
      </c>
      <c r="C2631">
        <v>20</v>
      </c>
      <c r="D2631" t="s">
        <v>79</v>
      </c>
      <c r="E2631">
        <v>12</v>
      </c>
      <c r="F2631" t="s">
        <v>5082</v>
      </c>
      <c r="G2631">
        <v>1757</v>
      </c>
      <c r="H2631">
        <v>2</v>
      </c>
      <c r="I2631" t="s">
        <v>89</v>
      </c>
      <c r="J2631">
        <v>0</v>
      </c>
      <c r="K2631">
        <v>1</v>
      </c>
      <c r="L2631">
        <v>2</v>
      </c>
      <c r="M2631">
        <v>155</v>
      </c>
      <c r="N2631">
        <v>375</v>
      </c>
      <c r="O2631">
        <v>7</v>
      </c>
      <c r="P2631">
        <v>530</v>
      </c>
      <c r="Q2631">
        <v>33</v>
      </c>
      <c r="R2631">
        <v>52</v>
      </c>
      <c r="S2631">
        <v>16</v>
      </c>
      <c r="T2631">
        <v>7</v>
      </c>
      <c r="U2631">
        <v>21</v>
      </c>
      <c r="V2631">
        <v>7</v>
      </c>
      <c r="W2631">
        <v>11</v>
      </c>
      <c r="X2631">
        <v>6</v>
      </c>
      <c r="Y2631">
        <v>171</v>
      </c>
      <c r="Z2631">
        <v>9</v>
      </c>
      <c r="AA2631">
        <v>6</v>
      </c>
      <c r="AB2631">
        <v>10</v>
      </c>
      <c r="AC2631">
        <v>1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2</v>
      </c>
      <c r="AJ2631">
        <v>0</v>
      </c>
      <c r="AK2631">
        <v>4</v>
      </c>
      <c r="AL2631">
        <v>0</v>
      </c>
      <c r="AM2631">
        <v>1</v>
      </c>
      <c r="AN2631">
        <v>1</v>
      </c>
      <c r="AT2631">
        <v>0</v>
      </c>
      <c r="AU2631">
        <v>17</v>
      </c>
      <c r="AV2631">
        <v>375</v>
      </c>
      <c r="AW2631">
        <v>375</v>
      </c>
      <c r="AX2631">
        <v>508</v>
      </c>
      <c r="BA2631">
        <v>1</v>
      </c>
      <c r="BC2631" t="s">
        <v>5363</v>
      </c>
      <c r="BD2631" s="4">
        <v>43283.21597222222</v>
      </c>
      <c r="BE2631" s="4">
        <v>43283.24591435185</v>
      </c>
      <c r="BF2631" s="4">
        <v>43283.24591435185</v>
      </c>
      <c r="BG2631" t="s">
        <v>83</v>
      </c>
      <c r="BH2631" t="s">
        <v>84</v>
      </c>
      <c r="BI2631" t="s">
        <v>85</v>
      </c>
    </row>
    <row r="2632" spans="1:61" x14ac:dyDescent="0.3">
      <c r="A2632" t="str">
        <f>"201758B0100"</f>
        <v>201758B0100</v>
      </c>
      <c r="B2632" t="s">
        <v>5364</v>
      </c>
      <c r="C2632">
        <v>20</v>
      </c>
      <c r="D2632" t="s">
        <v>79</v>
      </c>
      <c r="E2632">
        <v>12</v>
      </c>
      <c r="F2632" t="s">
        <v>5082</v>
      </c>
      <c r="G2632">
        <v>1758</v>
      </c>
      <c r="H2632">
        <v>1</v>
      </c>
      <c r="I2632" t="s">
        <v>81</v>
      </c>
      <c r="J2632">
        <v>0</v>
      </c>
      <c r="K2632">
        <v>1</v>
      </c>
      <c r="L2632">
        <v>2</v>
      </c>
      <c r="M2632">
        <v>193</v>
      </c>
      <c r="N2632">
        <v>357</v>
      </c>
      <c r="O2632">
        <v>4</v>
      </c>
      <c r="P2632">
        <v>355</v>
      </c>
      <c r="Q2632">
        <v>21</v>
      </c>
      <c r="R2632">
        <v>69</v>
      </c>
      <c r="S2632">
        <v>13</v>
      </c>
      <c r="T2632">
        <v>11</v>
      </c>
      <c r="U2632">
        <v>18</v>
      </c>
      <c r="V2632">
        <v>6</v>
      </c>
      <c r="W2632">
        <v>12</v>
      </c>
      <c r="X2632">
        <v>4</v>
      </c>
      <c r="Y2632">
        <v>158</v>
      </c>
      <c r="Z2632">
        <v>7</v>
      </c>
      <c r="AA2632">
        <v>5</v>
      </c>
      <c r="AB2632">
        <v>10</v>
      </c>
      <c r="AC2632">
        <v>1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2</v>
      </c>
      <c r="AL2632">
        <v>1</v>
      </c>
      <c r="AM2632">
        <v>1</v>
      </c>
      <c r="AN2632">
        <v>1</v>
      </c>
      <c r="AT2632">
        <v>0</v>
      </c>
      <c r="AU2632">
        <v>15</v>
      </c>
      <c r="AV2632">
        <v>355</v>
      </c>
      <c r="AW2632">
        <v>355</v>
      </c>
      <c r="AX2632">
        <v>528</v>
      </c>
      <c r="BA2632">
        <v>1</v>
      </c>
      <c r="BC2632" t="s">
        <v>5365</v>
      </c>
      <c r="BD2632" s="4">
        <v>43283.22152777778</v>
      </c>
      <c r="BE2632" s="4">
        <v>43283.245798611111</v>
      </c>
      <c r="BF2632" s="4">
        <v>43283.245798611111</v>
      </c>
      <c r="BG2632" t="s">
        <v>83</v>
      </c>
      <c r="BH2632" t="s">
        <v>84</v>
      </c>
      <c r="BI2632" t="s">
        <v>85</v>
      </c>
    </row>
    <row r="2633" spans="1:61" x14ac:dyDescent="0.3">
      <c r="A2633" t="str">
        <f>"201758C0100"</f>
        <v>201758C0100</v>
      </c>
      <c r="B2633" t="s">
        <v>5366</v>
      </c>
      <c r="C2633">
        <v>20</v>
      </c>
      <c r="D2633" t="s">
        <v>79</v>
      </c>
      <c r="E2633">
        <v>12</v>
      </c>
      <c r="F2633" t="s">
        <v>5082</v>
      </c>
      <c r="G2633">
        <v>1758</v>
      </c>
      <c r="H2633">
        <v>1</v>
      </c>
      <c r="I2633" t="s">
        <v>89</v>
      </c>
      <c r="J2633">
        <v>0</v>
      </c>
      <c r="K2633">
        <v>1</v>
      </c>
      <c r="L2633">
        <v>2</v>
      </c>
      <c r="M2633">
        <v>179</v>
      </c>
      <c r="N2633">
        <v>370</v>
      </c>
      <c r="O2633">
        <v>0</v>
      </c>
      <c r="P2633">
        <v>370</v>
      </c>
      <c r="Q2633">
        <v>21</v>
      </c>
      <c r="R2633">
        <v>67</v>
      </c>
      <c r="S2633">
        <v>11</v>
      </c>
      <c r="T2633">
        <v>10</v>
      </c>
      <c r="U2633">
        <v>23</v>
      </c>
      <c r="V2633">
        <v>3</v>
      </c>
      <c r="W2633">
        <v>17</v>
      </c>
      <c r="X2633">
        <v>6</v>
      </c>
      <c r="Y2633">
        <v>176</v>
      </c>
      <c r="Z2633">
        <v>5</v>
      </c>
      <c r="AA2633">
        <v>5</v>
      </c>
      <c r="AB2633">
        <v>8</v>
      </c>
      <c r="AC2633">
        <v>1</v>
      </c>
      <c r="AD2633">
        <v>0</v>
      </c>
      <c r="AE2633">
        <v>0</v>
      </c>
      <c r="AF2633">
        <v>0</v>
      </c>
      <c r="AG2633">
        <v>0</v>
      </c>
      <c r="AH2633">
        <v>1</v>
      </c>
      <c r="AI2633">
        <v>0</v>
      </c>
      <c r="AJ2633">
        <v>0</v>
      </c>
      <c r="AK2633">
        <v>3</v>
      </c>
      <c r="AL2633">
        <v>1</v>
      </c>
      <c r="AM2633">
        <v>0</v>
      </c>
      <c r="AN2633">
        <v>0</v>
      </c>
      <c r="AT2633">
        <v>0</v>
      </c>
      <c r="AU2633">
        <v>12</v>
      </c>
      <c r="AV2633">
        <v>370</v>
      </c>
      <c r="AW2633">
        <v>370</v>
      </c>
      <c r="AX2633">
        <v>527</v>
      </c>
      <c r="BA2633">
        <v>1</v>
      </c>
      <c r="BC2633" t="s">
        <v>5367</v>
      </c>
      <c r="BD2633" s="4">
        <v>43283.222222222219</v>
      </c>
      <c r="BE2633" s="4">
        <v>43283.247939814813</v>
      </c>
      <c r="BF2633" s="4">
        <v>43283.247939814813</v>
      </c>
      <c r="BG2633" t="s">
        <v>83</v>
      </c>
      <c r="BH2633" t="s">
        <v>84</v>
      </c>
      <c r="BI2633" t="s">
        <v>85</v>
      </c>
    </row>
    <row r="2634" spans="1:61" x14ac:dyDescent="0.3">
      <c r="A2634" t="str">
        <f>"201758C0200"</f>
        <v>201758C0200</v>
      </c>
      <c r="B2634" t="s">
        <v>5368</v>
      </c>
      <c r="C2634">
        <v>20</v>
      </c>
      <c r="D2634" t="s">
        <v>79</v>
      </c>
      <c r="E2634">
        <v>12</v>
      </c>
      <c r="F2634" t="s">
        <v>5082</v>
      </c>
      <c r="G2634">
        <v>1758</v>
      </c>
      <c r="H2634">
        <v>2</v>
      </c>
      <c r="I2634" t="s">
        <v>89</v>
      </c>
      <c r="J2634">
        <v>0</v>
      </c>
      <c r="K2634">
        <v>1</v>
      </c>
      <c r="L2634">
        <v>2</v>
      </c>
      <c r="M2634">
        <v>170</v>
      </c>
      <c r="N2634">
        <v>379</v>
      </c>
      <c r="O2634">
        <v>10</v>
      </c>
      <c r="P2634" t="s">
        <v>315</v>
      </c>
      <c r="Q2634">
        <v>19</v>
      </c>
      <c r="R2634">
        <v>58</v>
      </c>
      <c r="S2634">
        <v>8</v>
      </c>
      <c r="T2634">
        <v>9</v>
      </c>
      <c r="U2634">
        <v>16</v>
      </c>
      <c r="V2634">
        <v>8</v>
      </c>
      <c r="W2634">
        <v>7</v>
      </c>
      <c r="X2634">
        <v>8</v>
      </c>
      <c r="Y2634">
        <v>191</v>
      </c>
      <c r="Z2634">
        <v>8</v>
      </c>
      <c r="AA2634">
        <v>7</v>
      </c>
      <c r="AB2634">
        <v>8</v>
      </c>
      <c r="AC2634">
        <v>1</v>
      </c>
      <c r="AD2634">
        <v>0</v>
      </c>
      <c r="AE2634">
        <v>0</v>
      </c>
      <c r="AF2634">
        <v>0</v>
      </c>
      <c r="AG2634">
        <v>0</v>
      </c>
      <c r="AH2634">
        <v>1</v>
      </c>
      <c r="AI2634">
        <v>0</v>
      </c>
      <c r="AJ2634">
        <v>0</v>
      </c>
      <c r="AK2634">
        <v>1</v>
      </c>
      <c r="AL2634">
        <v>4</v>
      </c>
      <c r="AM2634">
        <v>1</v>
      </c>
      <c r="AN2634">
        <v>1</v>
      </c>
      <c r="AT2634">
        <v>1</v>
      </c>
      <c r="AU2634">
        <v>23</v>
      </c>
      <c r="AV2634">
        <v>379</v>
      </c>
      <c r="AW2634">
        <v>380</v>
      </c>
      <c r="AX2634">
        <v>527</v>
      </c>
      <c r="BA2634">
        <v>1</v>
      </c>
      <c r="BC2634" t="s">
        <v>5369</v>
      </c>
      <c r="BD2634" s="4">
        <v>43283.22152777778</v>
      </c>
      <c r="BE2634" s="4">
        <v>43283.244699074072</v>
      </c>
      <c r="BF2634" s="4">
        <v>43283.244699074072</v>
      </c>
      <c r="BG2634" t="s">
        <v>83</v>
      </c>
      <c r="BH2634" t="s">
        <v>84</v>
      </c>
      <c r="BI2634" t="s">
        <v>85</v>
      </c>
    </row>
    <row r="2635" spans="1:61" x14ac:dyDescent="0.3">
      <c r="A2635" t="str">
        <f>"201759B0100"</f>
        <v>201759B0100</v>
      </c>
      <c r="B2635" t="s">
        <v>5370</v>
      </c>
      <c r="C2635">
        <v>20</v>
      </c>
      <c r="D2635" t="s">
        <v>79</v>
      </c>
      <c r="E2635">
        <v>12</v>
      </c>
      <c r="F2635" t="s">
        <v>5082</v>
      </c>
      <c r="G2635">
        <v>1759</v>
      </c>
      <c r="H2635">
        <v>1</v>
      </c>
      <c r="I2635" t="s">
        <v>81</v>
      </c>
      <c r="J2635">
        <v>0</v>
      </c>
      <c r="K2635">
        <v>1</v>
      </c>
      <c r="L2635">
        <v>2</v>
      </c>
      <c r="M2635">
        <v>181</v>
      </c>
      <c r="N2635">
        <v>408</v>
      </c>
      <c r="O2635">
        <v>9</v>
      </c>
      <c r="P2635">
        <v>408</v>
      </c>
      <c r="Q2635">
        <v>22</v>
      </c>
      <c r="R2635">
        <v>61</v>
      </c>
      <c r="S2635">
        <v>24</v>
      </c>
      <c r="T2635">
        <v>9</v>
      </c>
      <c r="U2635">
        <v>16</v>
      </c>
      <c r="V2635">
        <v>4</v>
      </c>
      <c r="W2635">
        <v>13</v>
      </c>
      <c r="X2635">
        <v>9</v>
      </c>
      <c r="Y2635">
        <v>185</v>
      </c>
      <c r="Z2635">
        <v>8</v>
      </c>
      <c r="AA2635">
        <v>10</v>
      </c>
      <c r="AB2635">
        <v>12</v>
      </c>
      <c r="AC2635">
        <v>2</v>
      </c>
      <c r="AD2635">
        <v>0</v>
      </c>
      <c r="AE2635">
        <v>0</v>
      </c>
      <c r="AF2635">
        <v>0</v>
      </c>
      <c r="AG2635">
        <v>0</v>
      </c>
      <c r="AH2635">
        <v>2</v>
      </c>
      <c r="AI2635">
        <v>0</v>
      </c>
      <c r="AJ2635">
        <v>0</v>
      </c>
      <c r="AK2635">
        <v>8</v>
      </c>
      <c r="AL2635">
        <v>0</v>
      </c>
      <c r="AM2635">
        <v>0</v>
      </c>
      <c r="AN2635">
        <v>1</v>
      </c>
      <c r="AT2635">
        <v>0</v>
      </c>
      <c r="AU2635">
        <v>22</v>
      </c>
      <c r="AV2635">
        <v>408</v>
      </c>
      <c r="AW2635">
        <v>408</v>
      </c>
      <c r="AX2635">
        <v>567</v>
      </c>
      <c r="BA2635">
        <v>1</v>
      </c>
      <c r="BC2635" t="s">
        <v>5371</v>
      </c>
      <c r="BD2635" s="4">
        <v>43283.218055555553</v>
      </c>
      <c r="BE2635" s="4">
        <v>43283.241967592592</v>
      </c>
      <c r="BF2635" s="4">
        <v>43283.241967592592</v>
      </c>
      <c r="BG2635" t="s">
        <v>83</v>
      </c>
      <c r="BH2635" t="s">
        <v>84</v>
      </c>
      <c r="BI2635" t="s">
        <v>85</v>
      </c>
    </row>
    <row r="2636" spans="1:61" x14ac:dyDescent="0.3">
      <c r="A2636" t="str">
        <f>"201759C0100"</f>
        <v>201759C0100</v>
      </c>
      <c r="B2636" t="s">
        <v>5372</v>
      </c>
      <c r="C2636">
        <v>20</v>
      </c>
      <c r="D2636" t="s">
        <v>79</v>
      </c>
      <c r="E2636">
        <v>12</v>
      </c>
      <c r="F2636" t="s">
        <v>5082</v>
      </c>
      <c r="G2636">
        <v>1759</v>
      </c>
      <c r="H2636">
        <v>1</v>
      </c>
      <c r="I2636" t="s">
        <v>89</v>
      </c>
      <c r="J2636">
        <v>0</v>
      </c>
      <c r="K2636">
        <v>1</v>
      </c>
      <c r="L2636">
        <v>2</v>
      </c>
      <c r="M2636">
        <v>196</v>
      </c>
      <c r="N2636">
        <v>392</v>
      </c>
      <c r="O2636">
        <v>0</v>
      </c>
      <c r="P2636">
        <v>382</v>
      </c>
      <c r="Q2636">
        <v>25</v>
      </c>
      <c r="R2636">
        <v>59</v>
      </c>
      <c r="S2636">
        <v>18</v>
      </c>
      <c r="T2636">
        <v>12</v>
      </c>
      <c r="U2636">
        <v>20</v>
      </c>
      <c r="V2636">
        <v>7</v>
      </c>
      <c r="W2636">
        <v>19</v>
      </c>
      <c r="X2636">
        <v>5</v>
      </c>
      <c r="Y2636">
        <v>168</v>
      </c>
      <c r="Z2636">
        <v>7</v>
      </c>
      <c r="AA2636">
        <v>11</v>
      </c>
      <c r="AB2636">
        <v>7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1</v>
      </c>
      <c r="AI2636">
        <v>0</v>
      </c>
      <c r="AJ2636">
        <v>0</v>
      </c>
      <c r="AK2636">
        <v>5</v>
      </c>
      <c r="AL2636">
        <v>0</v>
      </c>
      <c r="AM2636">
        <v>0</v>
      </c>
      <c r="AN2636">
        <v>1</v>
      </c>
      <c r="AT2636">
        <v>0</v>
      </c>
      <c r="AU2636">
        <v>17</v>
      </c>
      <c r="AV2636">
        <v>382</v>
      </c>
      <c r="AW2636">
        <v>382</v>
      </c>
      <c r="AX2636">
        <v>567</v>
      </c>
      <c r="BA2636">
        <v>1</v>
      </c>
      <c r="BC2636" t="s">
        <v>5373</v>
      </c>
      <c r="BD2636" s="4">
        <v>43283.218055555553</v>
      </c>
      <c r="BE2636" s="4">
        <v>43283.243217592593</v>
      </c>
      <c r="BF2636" s="4">
        <v>43283.243217592593</v>
      </c>
      <c r="BG2636" t="s">
        <v>83</v>
      </c>
      <c r="BH2636" t="s">
        <v>84</v>
      </c>
      <c r="BI2636" t="s">
        <v>85</v>
      </c>
    </row>
    <row r="2637" spans="1:61" x14ac:dyDescent="0.3">
      <c r="A2637" t="str">
        <f>"201759C0200"</f>
        <v>201759C0200</v>
      </c>
      <c r="B2637" t="s">
        <v>5374</v>
      </c>
      <c r="C2637">
        <v>20</v>
      </c>
      <c r="D2637" t="s">
        <v>79</v>
      </c>
      <c r="E2637">
        <v>12</v>
      </c>
      <c r="F2637" t="s">
        <v>5082</v>
      </c>
      <c r="G2637">
        <v>1759</v>
      </c>
      <c r="H2637">
        <v>2</v>
      </c>
      <c r="I2637" t="s">
        <v>89</v>
      </c>
      <c r="J2637">
        <v>0</v>
      </c>
      <c r="K2637">
        <v>1</v>
      </c>
      <c r="L2637">
        <v>2</v>
      </c>
      <c r="M2637">
        <v>206</v>
      </c>
      <c r="N2637">
        <v>382</v>
      </c>
      <c r="O2637">
        <v>2</v>
      </c>
      <c r="P2637">
        <v>390</v>
      </c>
      <c r="Q2637">
        <v>16</v>
      </c>
      <c r="R2637">
        <v>66</v>
      </c>
      <c r="S2637">
        <v>10</v>
      </c>
      <c r="T2637">
        <v>9</v>
      </c>
      <c r="U2637">
        <v>18</v>
      </c>
      <c r="V2637">
        <v>3</v>
      </c>
      <c r="W2637">
        <v>4</v>
      </c>
      <c r="X2637">
        <v>6</v>
      </c>
      <c r="Y2637">
        <v>208</v>
      </c>
      <c r="Z2637">
        <v>6</v>
      </c>
      <c r="AA2637">
        <v>10</v>
      </c>
      <c r="AB2637">
        <v>8</v>
      </c>
      <c r="AC2637">
        <v>1</v>
      </c>
      <c r="AD2637">
        <v>0</v>
      </c>
      <c r="AE2637">
        <v>0</v>
      </c>
      <c r="AF2637">
        <v>0</v>
      </c>
      <c r="AG2637">
        <v>2</v>
      </c>
      <c r="AH2637">
        <v>2</v>
      </c>
      <c r="AI2637">
        <v>1</v>
      </c>
      <c r="AJ2637">
        <v>0</v>
      </c>
      <c r="AK2637">
        <v>1</v>
      </c>
      <c r="AL2637">
        <v>1</v>
      </c>
      <c r="AM2637">
        <v>0</v>
      </c>
      <c r="AN2637">
        <v>3</v>
      </c>
      <c r="AT2637">
        <v>0</v>
      </c>
      <c r="AU2637">
        <v>15</v>
      </c>
      <c r="AV2637">
        <v>390</v>
      </c>
      <c r="AW2637">
        <v>390</v>
      </c>
      <c r="AX2637">
        <v>566</v>
      </c>
      <c r="BA2637">
        <v>1</v>
      </c>
      <c r="BC2637" t="s">
        <v>5375</v>
      </c>
      <c r="BD2637" s="4">
        <v>43283.218055555553</v>
      </c>
      <c r="BE2637" s="4">
        <v>43283.242129629631</v>
      </c>
      <c r="BF2637" s="4">
        <v>43283.242129629631</v>
      </c>
      <c r="BG2637" t="s">
        <v>83</v>
      </c>
      <c r="BH2637" t="s">
        <v>84</v>
      </c>
      <c r="BI2637" t="s">
        <v>85</v>
      </c>
    </row>
    <row r="2638" spans="1:61" x14ac:dyDescent="0.3">
      <c r="A2638" t="str">
        <f>"201760B0100"</f>
        <v>201760B0100</v>
      </c>
      <c r="B2638" t="s">
        <v>5376</v>
      </c>
      <c r="C2638">
        <v>20</v>
      </c>
      <c r="D2638" t="s">
        <v>79</v>
      </c>
      <c r="E2638">
        <v>12</v>
      </c>
      <c r="F2638" t="s">
        <v>5082</v>
      </c>
      <c r="G2638">
        <v>1760</v>
      </c>
      <c r="H2638">
        <v>1</v>
      </c>
      <c r="I2638" t="s">
        <v>81</v>
      </c>
      <c r="J2638">
        <v>0</v>
      </c>
      <c r="K2638">
        <v>1</v>
      </c>
      <c r="L2638">
        <v>2</v>
      </c>
      <c r="M2638">
        <v>206</v>
      </c>
      <c r="N2638">
        <v>459</v>
      </c>
      <c r="O2638">
        <v>7</v>
      </c>
      <c r="P2638">
        <v>456</v>
      </c>
      <c r="Q2638">
        <v>6</v>
      </c>
      <c r="R2638">
        <v>65</v>
      </c>
      <c r="S2638">
        <v>18</v>
      </c>
      <c r="T2638">
        <v>13</v>
      </c>
      <c r="U2638">
        <v>19</v>
      </c>
      <c r="V2638">
        <v>4</v>
      </c>
      <c r="W2638">
        <v>11</v>
      </c>
      <c r="X2638">
        <v>11</v>
      </c>
      <c r="Y2638">
        <v>253</v>
      </c>
      <c r="Z2638">
        <v>8</v>
      </c>
      <c r="AA2638">
        <v>4</v>
      </c>
      <c r="AB2638">
        <v>7</v>
      </c>
      <c r="AC2638">
        <v>0</v>
      </c>
      <c r="AD2638">
        <v>0</v>
      </c>
      <c r="AE2638">
        <v>0</v>
      </c>
      <c r="AF2638">
        <v>2</v>
      </c>
      <c r="AG2638">
        <v>0</v>
      </c>
      <c r="AH2638">
        <v>1</v>
      </c>
      <c r="AI2638">
        <v>1</v>
      </c>
      <c r="AJ2638">
        <v>0</v>
      </c>
      <c r="AK2638">
        <v>5</v>
      </c>
      <c r="AL2638">
        <v>4</v>
      </c>
      <c r="AM2638">
        <v>0</v>
      </c>
      <c r="AN2638">
        <v>0</v>
      </c>
      <c r="AT2638">
        <v>0</v>
      </c>
      <c r="AU2638">
        <v>23</v>
      </c>
      <c r="AV2638">
        <v>456</v>
      </c>
      <c r="AW2638">
        <v>455</v>
      </c>
      <c r="AX2638">
        <v>643</v>
      </c>
      <c r="BA2638">
        <v>1</v>
      </c>
      <c r="BC2638" t="s">
        <v>5377</v>
      </c>
      <c r="BD2638" s="4">
        <v>43283.088194444441</v>
      </c>
      <c r="BE2638" s="4">
        <v>43283.098287037035</v>
      </c>
      <c r="BF2638" s="4">
        <v>43283.098287037035</v>
      </c>
      <c r="BG2638" t="s">
        <v>83</v>
      </c>
      <c r="BH2638" t="s">
        <v>84</v>
      </c>
      <c r="BI2638" t="s">
        <v>85</v>
      </c>
    </row>
    <row r="2639" spans="1:61" x14ac:dyDescent="0.3">
      <c r="A2639" t="str">
        <f>"201760C0100"</f>
        <v>201760C0100</v>
      </c>
      <c r="B2639" t="s">
        <v>5378</v>
      </c>
      <c r="C2639">
        <v>20</v>
      </c>
      <c r="D2639" t="s">
        <v>79</v>
      </c>
      <c r="E2639">
        <v>12</v>
      </c>
      <c r="F2639" t="s">
        <v>5082</v>
      </c>
      <c r="G2639">
        <v>1760</v>
      </c>
      <c r="H2639">
        <v>1</v>
      </c>
      <c r="I2639" t="s">
        <v>89</v>
      </c>
      <c r="J2639">
        <v>0</v>
      </c>
      <c r="K2639">
        <v>1</v>
      </c>
      <c r="L2639">
        <v>2</v>
      </c>
      <c r="M2639">
        <v>235</v>
      </c>
      <c r="N2639">
        <v>430</v>
      </c>
      <c r="O2639">
        <v>4</v>
      </c>
      <c r="P2639">
        <v>431</v>
      </c>
      <c r="Q2639">
        <v>8</v>
      </c>
      <c r="R2639">
        <v>66</v>
      </c>
      <c r="S2639">
        <v>16</v>
      </c>
      <c r="T2639">
        <v>17</v>
      </c>
      <c r="U2639">
        <v>19</v>
      </c>
      <c r="V2639">
        <v>2</v>
      </c>
      <c r="W2639">
        <v>10</v>
      </c>
      <c r="X2639">
        <v>8</v>
      </c>
      <c r="Y2639">
        <v>246</v>
      </c>
      <c r="Z2639">
        <v>6</v>
      </c>
      <c r="AA2639">
        <v>4</v>
      </c>
      <c r="AB2639">
        <v>9</v>
      </c>
      <c r="AC2639">
        <v>1</v>
      </c>
      <c r="AD2639">
        <v>0</v>
      </c>
      <c r="AE2639">
        <v>0</v>
      </c>
      <c r="AF2639">
        <v>0</v>
      </c>
      <c r="AG2639">
        <v>0</v>
      </c>
      <c r="AH2639">
        <v>1</v>
      </c>
      <c r="AI2639">
        <v>0</v>
      </c>
      <c r="AJ2639">
        <v>0</v>
      </c>
      <c r="AK2639">
        <v>3</v>
      </c>
      <c r="AL2639">
        <v>2</v>
      </c>
      <c r="AM2639">
        <v>0</v>
      </c>
      <c r="AN2639">
        <v>1</v>
      </c>
      <c r="AT2639">
        <v>0</v>
      </c>
      <c r="AU2639">
        <v>13</v>
      </c>
      <c r="AV2639">
        <v>432</v>
      </c>
      <c r="AW2639">
        <v>432</v>
      </c>
      <c r="AX2639">
        <v>643</v>
      </c>
      <c r="BA2639">
        <v>1</v>
      </c>
      <c r="BC2639" t="s">
        <v>5379</v>
      </c>
      <c r="BD2639" s="4">
        <v>43283.089583333334</v>
      </c>
      <c r="BE2639" s="4">
        <v>43283.094363425924</v>
      </c>
      <c r="BF2639" s="4">
        <v>43283.094363425924</v>
      </c>
      <c r="BG2639" t="s">
        <v>83</v>
      </c>
      <c r="BH2639" t="s">
        <v>84</v>
      </c>
      <c r="BI2639" t="s">
        <v>85</v>
      </c>
    </row>
    <row r="2640" spans="1:61" x14ac:dyDescent="0.3">
      <c r="A2640" t="str">
        <f>"201760C0200"</f>
        <v>201760C0200</v>
      </c>
      <c r="B2640" t="s">
        <v>5380</v>
      </c>
      <c r="C2640">
        <v>20</v>
      </c>
      <c r="D2640" t="s">
        <v>79</v>
      </c>
      <c r="E2640">
        <v>12</v>
      </c>
      <c r="F2640" t="s">
        <v>5082</v>
      </c>
      <c r="G2640">
        <v>1760</v>
      </c>
      <c r="H2640">
        <v>2</v>
      </c>
      <c r="I2640" t="s">
        <v>89</v>
      </c>
      <c r="J2640">
        <v>0</v>
      </c>
      <c r="K2640">
        <v>1</v>
      </c>
      <c r="L2640">
        <v>2</v>
      </c>
      <c r="M2640">
        <v>243</v>
      </c>
      <c r="N2640">
        <v>422</v>
      </c>
      <c r="O2640">
        <v>4</v>
      </c>
      <c r="P2640">
        <v>422</v>
      </c>
      <c r="Q2640">
        <v>30</v>
      </c>
      <c r="R2640">
        <v>59</v>
      </c>
      <c r="S2640">
        <v>12</v>
      </c>
      <c r="T2640">
        <v>11</v>
      </c>
      <c r="U2640">
        <v>27</v>
      </c>
      <c r="V2640">
        <v>7</v>
      </c>
      <c r="W2640">
        <v>15</v>
      </c>
      <c r="X2640">
        <v>5</v>
      </c>
      <c r="Y2640">
        <v>200</v>
      </c>
      <c r="Z2640">
        <v>8</v>
      </c>
      <c r="AA2640">
        <v>4</v>
      </c>
      <c r="AB2640">
        <v>11</v>
      </c>
      <c r="AC2640">
        <v>1</v>
      </c>
      <c r="AD2640">
        <v>1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6</v>
      </c>
      <c r="AL2640">
        <v>0</v>
      </c>
      <c r="AM2640">
        <v>0</v>
      </c>
      <c r="AN2640">
        <v>1</v>
      </c>
      <c r="AT2640">
        <v>0</v>
      </c>
      <c r="AU2640">
        <v>18</v>
      </c>
      <c r="AV2640">
        <v>416</v>
      </c>
      <c r="AW2640">
        <v>416</v>
      </c>
      <c r="AX2640">
        <v>643</v>
      </c>
      <c r="BA2640">
        <v>1</v>
      </c>
      <c r="BC2640" t="s">
        <v>5381</v>
      </c>
      <c r="BD2640" s="4">
        <v>43283.085416666669</v>
      </c>
      <c r="BE2640" s="4">
        <v>43283.091620370367</v>
      </c>
      <c r="BF2640" s="4">
        <v>43283.091620370367</v>
      </c>
      <c r="BG2640" t="s">
        <v>83</v>
      </c>
      <c r="BH2640" t="s">
        <v>84</v>
      </c>
      <c r="BI2640" t="s">
        <v>85</v>
      </c>
    </row>
    <row r="2641" spans="1:61" x14ac:dyDescent="0.3">
      <c r="A2641" t="str">
        <f>"201760C0300"</f>
        <v>201760C0300</v>
      </c>
      <c r="B2641" t="s">
        <v>5382</v>
      </c>
      <c r="C2641">
        <v>20</v>
      </c>
      <c r="D2641" t="s">
        <v>79</v>
      </c>
      <c r="E2641">
        <v>12</v>
      </c>
      <c r="F2641" t="s">
        <v>5082</v>
      </c>
      <c r="G2641">
        <v>1760</v>
      </c>
      <c r="H2641">
        <v>3</v>
      </c>
      <c r="I2641" t="s">
        <v>89</v>
      </c>
      <c r="J2641">
        <v>0</v>
      </c>
      <c r="K2641">
        <v>1</v>
      </c>
      <c r="L2641">
        <v>2</v>
      </c>
      <c r="M2641">
        <v>245</v>
      </c>
      <c r="N2641">
        <v>420</v>
      </c>
      <c r="O2641">
        <v>8</v>
      </c>
      <c r="P2641">
        <v>426</v>
      </c>
      <c r="Q2641">
        <v>14</v>
      </c>
      <c r="R2641">
        <v>65</v>
      </c>
      <c r="S2641">
        <v>16</v>
      </c>
      <c r="T2641">
        <v>3</v>
      </c>
      <c r="U2641">
        <v>31</v>
      </c>
      <c r="V2641">
        <v>5</v>
      </c>
      <c r="W2641">
        <v>10</v>
      </c>
      <c r="X2641">
        <v>9</v>
      </c>
      <c r="Y2641">
        <v>220</v>
      </c>
      <c r="Z2641">
        <v>5</v>
      </c>
      <c r="AA2641">
        <v>6</v>
      </c>
      <c r="AB2641">
        <v>10</v>
      </c>
      <c r="AC2641">
        <v>0</v>
      </c>
      <c r="AD2641">
        <v>1</v>
      </c>
      <c r="AE2641">
        <v>0</v>
      </c>
      <c r="AF2641">
        <v>0</v>
      </c>
      <c r="AG2641">
        <v>0</v>
      </c>
      <c r="AH2641">
        <v>1</v>
      </c>
      <c r="AI2641">
        <v>0</v>
      </c>
      <c r="AJ2641">
        <v>0</v>
      </c>
      <c r="AK2641">
        <v>1</v>
      </c>
      <c r="AL2641">
        <v>2</v>
      </c>
      <c r="AM2641">
        <v>0</v>
      </c>
      <c r="AN2641">
        <v>2</v>
      </c>
      <c r="AT2641">
        <v>0</v>
      </c>
      <c r="AU2641">
        <v>25</v>
      </c>
      <c r="AV2641">
        <v>426</v>
      </c>
      <c r="AW2641">
        <v>426</v>
      </c>
      <c r="AX2641">
        <v>643</v>
      </c>
      <c r="BA2641">
        <v>1</v>
      </c>
      <c r="BC2641" t="s">
        <v>5383</v>
      </c>
      <c r="BD2641" s="4">
        <v>43283.086111111108</v>
      </c>
      <c r="BE2641" s="4">
        <v>43283.093263888892</v>
      </c>
      <c r="BF2641" s="4">
        <v>43283.093263888892</v>
      </c>
      <c r="BG2641" t="s">
        <v>83</v>
      </c>
      <c r="BH2641" t="s">
        <v>84</v>
      </c>
      <c r="BI2641" t="s">
        <v>85</v>
      </c>
    </row>
    <row r="2642" spans="1:61" x14ac:dyDescent="0.3">
      <c r="A2642" t="str">
        <f>"201761B0100"</f>
        <v>201761B0100</v>
      </c>
      <c r="B2642" t="s">
        <v>5384</v>
      </c>
      <c r="C2642">
        <v>20</v>
      </c>
      <c r="D2642" t="s">
        <v>79</v>
      </c>
      <c r="E2642">
        <v>12</v>
      </c>
      <c r="F2642" t="s">
        <v>5082</v>
      </c>
      <c r="G2642">
        <v>1761</v>
      </c>
      <c r="H2642">
        <v>1</v>
      </c>
      <c r="I2642" t="s">
        <v>81</v>
      </c>
      <c r="J2642">
        <v>0</v>
      </c>
      <c r="K2642">
        <v>1</v>
      </c>
      <c r="L2642">
        <v>2</v>
      </c>
      <c r="M2642">
        <v>279</v>
      </c>
      <c r="N2642">
        <v>467</v>
      </c>
      <c r="O2642">
        <v>6</v>
      </c>
      <c r="P2642">
        <v>467</v>
      </c>
      <c r="Q2642">
        <v>28</v>
      </c>
      <c r="R2642">
        <v>78</v>
      </c>
      <c r="S2642">
        <v>8</v>
      </c>
      <c r="T2642">
        <v>12</v>
      </c>
      <c r="U2642">
        <v>16</v>
      </c>
      <c r="V2642">
        <v>7</v>
      </c>
      <c r="W2642">
        <v>3</v>
      </c>
      <c r="X2642">
        <v>6</v>
      </c>
      <c r="Y2642">
        <v>249</v>
      </c>
      <c r="Z2642">
        <v>9</v>
      </c>
      <c r="AA2642">
        <v>6</v>
      </c>
      <c r="AB2642">
        <v>15</v>
      </c>
      <c r="AC2642">
        <v>0</v>
      </c>
      <c r="AD2642">
        <v>0</v>
      </c>
      <c r="AE2642">
        <v>0</v>
      </c>
      <c r="AF2642">
        <v>1</v>
      </c>
      <c r="AG2642">
        <v>2</v>
      </c>
      <c r="AH2642">
        <v>0</v>
      </c>
      <c r="AI2642">
        <v>0</v>
      </c>
      <c r="AJ2642">
        <v>0</v>
      </c>
      <c r="AK2642">
        <v>2</v>
      </c>
      <c r="AL2642">
        <v>0</v>
      </c>
      <c r="AM2642">
        <v>0</v>
      </c>
      <c r="AN2642">
        <v>1</v>
      </c>
      <c r="AT2642">
        <v>0</v>
      </c>
      <c r="AU2642">
        <v>22</v>
      </c>
      <c r="AV2642">
        <v>467</v>
      </c>
      <c r="AW2642">
        <v>465</v>
      </c>
      <c r="AX2642">
        <v>724</v>
      </c>
      <c r="BA2642">
        <v>1</v>
      </c>
      <c r="BC2642" t="s">
        <v>5385</v>
      </c>
      <c r="BD2642" s="4">
        <v>43283.10833333333</v>
      </c>
      <c r="BE2642" s="4">
        <v>43283.11824074074</v>
      </c>
      <c r="BF2642" s="4">
        <v>43283.11824074074</v>
      </c>
      <c r="BG2642" t="s">
        <v>83</v>
      </c>
      <c r="BH2642" t="s">
        <v>84</v>
      </c>
      <c r="BI2642" t="s">
        <v>85</v>
      </c>
    </row>
    <row r="2643" spans="1:61" x14ac:dyDescent="0.3">
      <c r="A2643" t="str">
        <f>"201761C0100"</f>
        <v>201761C0100</v>
      </c>
      <c r="B2643" t="s">
        <v>5386</v>
      </c>
      <c r="C2643">
        <v>20</v>
      </c>
      <c r="D2643" t="s">
        <v>79</v>
      </c>
      <c r="E2643">
        <v>12</v>
      </c>
      <c r="F2643" t="s">
        <v>5082</v>
      </c>
      <c r="G2643">
        <v>1761</v>
      </c>
      <c r="H2643">
        <v>1</v>
      </c>
      <c r="I2643" t="s">
        <v>89</v>
      </c>
      <c r="J2643">
        <v>0</v>
      </c>
      <c r="K2643">
        <v>1</v>
      </c>
      <c r="L2643">
        <v>2</v>
      </c>
      <c r="M2643">
        <v>249</v>
      </c>
      <c r="N2643">
        <v>497</v>
      </c>
      <c r="O2643">
        <v>6</v>
      </c>
      <c r="P2643">
        <v>497</v>
      </c>
      <c r="Q2643">
        <v>27</v>
      </c>
      <c r="R2643">
        <v>72</v>
      </c>
      <c r="S2643">
        <v>15</v>
      </c>
      <c r="T2643">
        <v>12</v>
      </c>
      <c r="U2643">
        <v>27</v>
      </c>
      <c r="V2643">
        <v>5</v>
      </c>
      <c r="W2643">
        <v>9</v>
      </c>
      <c r="X2643">
        <v>11</v>
      </c>
      <c r="Y2643">
        <v>239</v>
      </c>
      <c r="Z2643">
        <v>8</v>
      </c>
      <c r="AA2643">
        <v>16</v>
      </c>
      <c r="AB2643">
        <v>20</v>
      </c>
      <c r="AC2643">
        <v>3</v>
      </c>
      <c r="AD2643">
        <v>0</v>
      </c>
      <c r="AE2643">
        <v>0</v>
      </c>
      <c r="AF2643">
        <v>0</v>
      </c>
      <c r="AG2643">
        <v>3</v>
      </c>
      <c r="AH2643">
        <v>2</v>
      </c>
      <c r="AI2643">
        <v>0</v>
      </c>
      <c r="AJ2643">
        <v>0</v>
      </c>
      <c r="AK2643">
        <v>7</v>
      </c>
      <c r="AL2643">
        <v>0</v>
      </c>
      <c r="AM2643">
        <v>1</v>
      </c>
      <c r="AN2643">
        <v>0</v>
      </c>
      <c r="AT2643">
        <v>0</v>
      </c>
      <c r="AU2643">
        <v>18</v>
      </c>
      <c r="AV2643">
        <v>497</v>
      </c>
      <c r="AW2643">
        <v>495</v>
      </c>
      <c r="AX2643">
        <v>724</v>
      </c>
      <c r="BA2643">
        <v>1</v>
      </c>
      <c r="BC2643" t="s">
        <v>5387</v>
      </c>
      <c r="BD2643" s="4">
        <v>43283.113194444442</v>
      </c>
      <c r="BE2643" s="4">
        <v>43283.121342592596</v>
      </c>
      <c r="BF2643" s="4">
        <v>43283.121342592596</v>
      </c>
      <c r="BG2643" t="s">
        <v>83</v>
      </c>
      <c r="BH2643" t="s">
        <v>84</v>
      </c>
      <c r="BI2643" t="s">
        <v>85</v>
      </c>
    </row>
    <row r="2644" spans="1:61" x14ac:dyDescent="0.3">
      <c r="A2644" t="str">
        <f>"201761C0200"</f>
        <v>201761C0200</v>
      </c>
      <c r="B2644" t="s">
        <v>5388</v>
      </c>
      <c r="C2644">
        <v>20</v>
      </c>
      <c r="D2644" t="s">
        <v>79</v>
      </c>
      <c r="E2644">
        <v>12</v>
      </c>
      <c r="F2644" t="s">
        <v>5082</v>
      </c>
      <c r="G2644">
        <v>1761</v>
      </c>
      <c r="H2644">
        <v>2</v>
      </c>
      <c r="I2644" t="s">
        <v>89</v>
      </c>
      <c r="J2644">
        <v>0</v>
      </c>
      <c r="K2644">
        <v>1</v>
      </c>
      <c r="L2644">
        <v>2</v>
      </c>
      <c r="M2644">
        <v>266</v>
      </c>
      <c r="N2644">
        <v>746</v>
      </c>
      <c r="O2644">
        <v>0</v>
      </c>
      <c r="P2644">
        <v>479</v>
      </c>
      <c r="Q2644">
        <v>27</v>
      </c>
      <c r="R2644">
        <v>80</v>
      </c>
      <c r="S2644">
        <v>8</v>
      </c>
      <c r="T2644">
        <v>16</v>
      </c>
      <c r="U2644">
        <v>25</v>
      </c>
      <c r="V2644">
        <v>6</v>
      </c>
      <c r="W2644">
        <v>6</v>
      </c>
      <c r="X2644">
        <v>5</v>
      </c>
      <c r="Y2644">
        <v>258</v>
      </c>
      <c r="Z2644">
        <v>4</v>
      </c>
      <c r="AA2644">
        <v>3</v>
      </c>
      <c r="AB2644">
        <v>14</v>
      </c>
      <c r="AC2644">
        <v>0</v>
      </c>
      <c r="AD2644">
        <v>0</v>
      </c>
      <c r="AE2644">
        <v>0</v>
      </c>
      <c r="AF2644">
        <v>0</v>
      </c>
      <c r="AG2644">
        <v>1</v>
      </c>
      <c r="AH2644">
        <v>0</v>
      </c>
      <c r="AI2644">
        <v>0</v>
      </c>
      <c r="AJ2644">
        <v>0</v>
      </c>
      <c r="AK2644">
        <v>6</v>
      </c>
      <c r="AL2644">
        <v>2</v>
      </c>
      <c r="AM2644">
        <v>0</v>
      </c>
      <c r="AN2644">
        <v>2</v>
      </c>
      <c r="AT2644">
        <v>0</v>
      </c>
      <c r="AU2644">
        <v>13</v>
      </c>
      <c r="AV2644">
        <v>479</v>
      </c>
      <c r="AW2644">
        <v>476</v>
      </c>
      <c r="AX2644">
        <v>724</v>
      </c>
      <c r="BA2644">
        <v>1</v>
      </c>
      <c r="BC2644" t="s">
        <v>5389</v>
      </c>
      <c r="BD2644" s="4">
        <v>43283.115972222222</v>
      </c>
      <c r="BE2644" s="4">
        <v>43283.126400462963</v>
      </c>
      <c r="BF2644" s="4">
        <v>43283.126400462963</v>
      </c>
      <c r="BG2644" t="s">
        <v>83</v>
      </c>
      <c r="BH2644" t="s">
        <v>84</v>
      </c>
      <c r="BI2644" t="s">
        <v>85</v>
      </c>
    </row>
    <row r="2645" spans="1:61" x14ac:dyDescent="0.3">
      <c r="A2645" t="str">
        <f>"201761C0300"</f>
        <v>201761C0300</v>
      </c>
      <c r="B2645" t="s">
        <v>5390</v>
      </c>
      <c r="C2645">
        <v>20</v>
      </c>
      <c r="D2645" t="s">
        <v>79</v>
      </c>
      <c r="E2645">
        <v>12</v>
      </c>
      <c r="F2645" t="s">
        <v>5082</v>
      </c>
      <c r="G2645">
        <v>1761</v>
      </c>
      <c r="H2645">
        <v>3</v>
      </c>
      <c r="I2645" t="s">
        <v>89</v>
      </c>
      <c r="J2645">
        <v>0</v>
      </c>
      <c r="K2645">
        <v>1</v>
      </c>
      <c r="L2645">
        <v>2</v>
      </c>
      <c r="AX2645">
        <v>723</v>
      </c>
      <c r="AZ2645" t="s">
        <v>156</v>
      </c>
      <c r="BA2645">
        <v>0</v>
      </c>
      <c r="BC2645" t="s">
        <v>5391</v>
      </c>
      <c r="BD2645" s="4">
        <v>43283.355555555558</v>
      </c>
      <c r="BE2645" s="4">
        <v>43283.365659722222</v>
      </c>
      <c r="BF2645" s="4">
        <v>43283.365659722222</v>
      </c>
      <c r="BG2645" t="s">
        <v>83</v>
      </c>
      <c r="BH2645" t="s">
        <v>84</v>
      </c>
      <c r="BI2645" t="s">
        <v>85</v>
      </c>
    </row>
    <row r="2646" spans="1:61" x14ac:dyDescent="0.3">
      <c r="A2646" t="str">
        <f>"201762B0100"</f>
        <v>201762B0100</v>
      </c>
      <c r="B2646" t="s">
        <v>5392</v>
      </c>
      <c r="C2646">
        <v>20</v>
      </c>
      <c r="D2646" t="s">
        <v>79</v>
      </c>
      <c r="E2646">
        <v>12</v>
      </c>
      <c r="F2646" t="s">
        <v>5082</v>
      </c>
      <c r="G2646">
        <v>1762</v>
      </c>
      <c r="H2646">
        <v>1</v>
      </c>
      <c r="I2646" t="s">
        <v>81</v>
      </c>
      <c r="J2646">
        <v>0</v>
      </c>
      <c r="K2646">
        <v>1</v>
      </c>
      <c r="L2646">
        <v>2</v>
      </c>
      <c r="M2646">
        <v>262</v>
      </c>
      <c r="N2646">
        <v>374</v>
      </c>
      <c r="O2646">
        <v>5</v>
      </c>
      <c r="P2646">
        <v>374</v>
      </c>
      <c r="Q2646">
        <v>18</v>
      </c>
      <c r="R2646">
        <v>65</v>
      </c>
      <c r="S2646">
        <v>7</v>
      </c>
      <c r="T2646">
        <v>9</v>
      </c>
      <c r="U2646">
        <v>20</v>
      </c>
      <c r="V2646">
        <v>9</v>
      </c>
      <c r="W2646">
        <v>5</v>
      </c>
      <c r="X2646">
        <v>6</v>
      </c>
      <c r="Y2646">
        <v>179</v>
      </c>
      <c r="Z2646">
        <v>5</v>
      </c>
      <c r="AA2646">
        <v>11</v>
      </c>
      <c r="AB2646">
        <v>17</v>
      </c>
      <c r="AC2646">
        <v>0</v>
      </c>
      <c r="AD2646">
        <v>0</v>
      </c>
      <c r="AE2646">
        <v>0</v>
      </c>
      <c r="AF2646">
        <v>0</v>
      </c>
      <c r="AG2646">
        <v>1</v>
      </c>
      <c r="AH2646">
        <v>1</v>
      </c>
      <c r="AI2646">
        <v>1</v>
      </c>
      <c r="AJ2646">
        <v>0</v>
      </c>
      <c r="AK2646">
        <v>2</v>
      </c>
      <c r="AL2646">
        <v>2</v>
      </c>
      <c r="AM2646">
        <v>2</v>
      </c>
      <c r="AN2646">
        <v>0</v>
      </c>
      <c r="AT2646">
        <v>0</v>
      </c>
      <c r="AU2646">
        <v>14</v>
      </c>
      <c r="AV2646">
        <v>374</v>
      </c>
      <c r="AW2646">
        <v>374</v>
      </c>
      <c r="AX2646">
        <v>613</v>
      </c>
      <c r="BA2646">
        <v>1</v>
      </c>
      <c r="BC2646" t="s">
        <v>5393</v>
      </c>
      <c r="BD2646" s="4">
        <v>43283.081250000003</v>
      </c>
      <c r="BE2646" s="4">
        <v>43283.088136574072</v>
      </c>
      <c r="BF2646" s="4">
        <v>43283.088136574072</v>
      </c>
      <c r="BG2646" t="s">
        <v>83</v>
      </c>
      <c r="BH2646" t="s">
        <v>84</v>
      </c>
      <c r="BI2646" t="s">
        <v>85</v>
      </c>
    </row>
    <row r="2647" spans="1:61" x14ac:dyDescent="0.3">
      <c r="A2647" t="str">
        <f>"201762C0100"</f>
        <v>201762C0100</v>
      </c>
      <c r="B2647" t="s">
        <v>5394</v>
      </c>
      <c r="C2647">
        <v>20</v>
      </c>
      <c r="D2647" t="s">
        <v>79</v>
      </c>
      <c r="E2647">
        <v>12</v>
      </c>
      <c r="F2647" t="s">
        <v>5082</v>
      </c>
      <c r="G2647">
        <v>1762</v>
      </c>
      <c r="H2647">
        <v>1</v>
      </c>
      <c r="I2647" t="s">
        <v>89</v>
      </c>
      <c r="J2647">
        <v>0</v>
      </c>
      <c r="K2647">
        <v>1</v>
      </c>
      <c r="L2647">
        <v>2</v>
      </c>
      <c r="M2647">
        <v>260</v>
      </c>
      <c r="N2647" t="s">
        <v>100</v>
      </c>
      <c r="O2647" t="s">
        <v>100</v>
      </c>
      <c r="P2647">
        <v>375</v>
      </c>
      <c r="Q2647">
        <v>14</v>
      </c>
      <c r="R2647">
        <v>61</v>
      </c>
      <c r="S2647">
        <v>13</v>
      </c>
      <c r="T2647">
        <v>6</v>
      </c>
      <c r="U2647">
        <v>18</v>
      </c>
      <c r="V2647">
        <v>4</v>
      </c>
      <c r="W2647">
        <v>10</v>
      </c>
      <c r="X2647">
        <v>2</v>
      </c>
      <c r="Y2647">
        <v>181</v>
      </c>
      <c r="Z2647">
        <v>12</v>
      </c>
      <c r="AA2647">
        <v>13</v>
      </c>
      <c r="AB2647">
        <v>11</v>
      </c>
      <c r="AC2647">
        <v>1</v>
      </c>
      <c r="AD2647" t="s">
        <v>100</v>
      </c>
      <c r="AE2647" t="s">
        <v>100</v>
      </c>
      <c r="AF2647" t="s">
        <v>100</v>
      </c>
      <c r="AG2647" t="s">
        <v>100</v>
      </c>
      <c r="AH2647">
        <v>1</v>
      </c>
      <c r="AI2647" t="s">
        <v>100</v>
      </c>
      <c r="AJ2647">
        <v>9</v>
      </c>
      <c r="AK2647">
        <v>9</v>
      </c>
      <c r="AL2647">
        <v>3</v>
      </c>
      <c r="AM2647" t="s">
        <v>100</v>
      </c>
      <c r="AN2647" t="s">
        <v>100</v>
      </c>
      <c r="AT2647" t="s">
        <v>100</v>
      </c>
      <c r="AU2647">
        <v>16</v>
      </c>
      <c r="AV2647">
        <v>375</v>
      </c>
      <c r="AW2647">
        <v>384</v>
      </c>
      <c r="AX2647">
        <v>613</v>
      </c>
      <c r="AZ2647" t="s">
        <v>101</v>
      </c>
      <c r="BA2647">
        <v>1</v>
      </c>
      <c r="BC2647" t="s">
        <v>5395</v>
      </c>
      <c r="BD2647" s="4">
        <v>43283.071527777778</v>
      </c>
      <c r="BE2647" s="4">
        <v>43283.080289351848</v>
      </c>
      <c r="BF2647" s="4">
        <v>43283.080289351848</v>
      </c>
      <c r="BG2647" t="s">
        <v>83</v>
      </c>
      <c r="BH2647" t="s">
        <v>84</v>
      </c>
      <c r="BI2647" t="s">
        <v>85</v>
      </c>
    </row>
    <row r="2648" spans="1:61" x14ac:dyDescent="0.3">
      <c r="A2648" t="str">
        <f>"201762C0200"</f>
        <v>201762C0200</v>
      </c>
      <c r="B2648" t="s">
        <v>5396</v>
      </c>
      <c r="C2648">
        <v>20</v>
      </c>
      <c r="D2648" t="s">
        <v>79</v>
      </c>
      <c r="E2648">
        <v>12</v>
      </c>
      <c r="F2648" t="s">
        <v>5082</v>
      </c>
      <c r="G2648">
        <v>1762</v>
      </c>
      <c r="H2648">
        <v>2</v>
      </c>
      <c r="I2648" t="s">
        <v>89</v>
      </c>
      <c r="J2648">
        <v>0</v>
      </c>
      <c r="K2648">
        <v>1</v>
      </c>
      <c r="L2648">
        <v>2</v>
      </c>
      <c r="M2648">
        <v>218</v>
      </c>
      <c r="N2648">
        <v>415</v>
      </c>
      <c r="O2648">
        <v>10</v>
      </c>
      <c r="P2648">
        <v>415</v>
      </c>
      <c r="Q2648">
        <v>13</v>
      </c>
      <c r="R2648">
        <v>74</v>
      </c>
      <c r="S2648">
        <v>10</v>
      </c>
      <c r="T2648">
        <v>10</v>
      </c>
      <c r="U2648">
        <v>22</v>
      </c>
      <c r="V2648">
        <v>6</v>
      </c>
      <c r="W2648">
        <v>7</v>
      </c>
      <c r="X2648">
        <v>13</v>
      </c>
      <c r="Y2648">
        <v>199</v>
      </c>
      <c r="Z2648">
        <v>8</v>
      </c>
      <c r="AA2648">
        <v>17</v>
      </c>
      <c r="AB2648">
        <v>14</v>
      </c>
      <c r="AC2648">
        <v>3</v>
      </c>
      <c r="AD2648">
        <v>0</v>
      </c>
      <c r="AE2648">
        <v>0</v>
      </c>
      <c r="AF2648">
        <v>0</v>
      </c>
      <c r="AG2648">
        <v>1</v>
      </c>
      <c r="AH2648">
        <v>2</v>
      </c>
      <c r="AI2648">
        <v>0</v>
      </c>
      <c r="AJ2648">
        <v>0</v>
      </c>
      <c r="AK2648">
        <v>7</v>
      </c>
      <c r="AL2648">
        <v>1</v>
      </c>
      <c r="AM2648">
        <v>0</v>
      </c>
      <c r="AN2648">
        <v>1</v>
      </c>
      <c r="AT2648">
        <v>0</v>
      </c>
      <c r="AU2648">
        <v>8</v>
      </c>
      <c r="AV2648">
        <v>415</v>
      </c>
      <c r="AW2648">
        <v>416</v>
      </c>
      <c r="AX2648">
        <v>613</v>
      </c>
      <c r="BA2648">
        <v>1</v>
      </c>
      <c r="BC2648" t="s">
        <v>5397</v>
      </c>
      <c r="BD2648" s="4">
        <v>43283.081250000003</v>
      </c>
      <c r="BE2648" s="4">
        <v>43283.088831018518</v>
      </c>
      <c r="BF2648" s="4">
        <v>43283.088831018518</v>
      </c>
      <c r="BG2648" t="s">
        <v>83</v>
      </c>
      <c r="BH2648" t="s">
        <v>84</v>
      </c>
      <c r="BI2648" t="s">
        <v>85</v>
      </c>
    </row>
    <row r="2649" spans="1:61" x14ac:dyDescent="0.3">
      <c r="A2649" t="str">
        <f>"201762C0300"</f>
        <v>201762C0300</v>
      </c>
      <c r="B2649" t="s">
        <v>5398</v>
      </c>
      <c r="C2649">
        <v>20</v>
      </c>
      <c r="D2649" t="s">
        <v>79</v>
      </c>
      <c r="E2649">
        <v>12</v>
      </c>
      <c r="F2649" t="s">
        <v>5082</v>
      </c>
      <c r="G2649">
        <v>1762</v>
      </c>
      <c r="H2649">
        <v>3</v>
      </c>
      <c r="I2649" t="s">
        <v>89</v>
      </c>
      <c r="J2649">
        <v>0</v>
      </c>
      <c r="K2649">
        <v>1</v>
      </c>
      <c r="L2649">
        <v>2</v>
      </c>
      <c r="M2649">
        <v>240</v>
      </c>
      <c r="N2649">
        <v>393</v>
      </c>
      <c r="O2649">
        <v>8</v>
      </c>
      <c r="P2649">
        <v>393</v>
      </c>
      <c r="Q2649">
        <v>20</v>
      </c>
      <c r="R2649">
        <v>70</v>
      </c>
      <c r="S2649">
        <v>9</v>
      </c>
      <c r="T2649">
        <v>6</v>
      </c>
      <c r="U2649">
        <v>12</v>
      </c>
      <c r="V2649">
        <v>8</v>
      </c>
      <c r="W2649">
        <v>7</v>
      </c>
      <c r="X2649">
        <v>9</v>
      </c>
      <c r="Y2649">
        <v>196</v>
      </c>
      <c r="Z2649">
        <v>9</v>
      </c>
      <c r="AA2649">
        <v>7</v>
      </c>
      <c r="AB2649">
        <v>15</v>
      </c>
      <c r="AC2649">
        <v>1</v>
      </c>
      <c r="AD2649">
        <v>0</v>
      </c>
      <c r="AE2649">
        <v>0</v>
      </c>
      <c r="AF2649">
        <v>0</v>
      </c>
      <c r="AG2649">
        <v>0</v>
      </c>
      <c r="AH2649">
        <v>1</v>
      </c>
      <c r="AI2649">
        <v>0</v>
      </c>
      <c r="AJ2649">
        <v>0</v>
      </c>
      <c r="AK2649">
        <v>8</v>
      </c>
      <c r="AL2649">
        <v>0</v>
      </c>
      <c r="AM2649">
        <v>0</v>
      </c>
      <c r="AN2649">
        <v>1</v>
      </c>
      <c r="AT2649">
        <v>0</v>
      </c>
      <c r="AU2649">
        <v>16</v>
      </c>
      <c r="AV2649">
        <v>393</v>
      </c>
      <c r="AW2649">
        <v>395</v>
      </c>
      <c r="AX2649">
        <v>612</v>
      </c>
      <c r="BA2649">
        <v>1</v>
      </c>
      <c r="BC2649" t="s">
        <v>5399</v>
      </c>
      <c r="BD2649" s="4">
        <v>43283.082638888889</v>
      </c>
      <c r="BE2649" s="4">
        <v>43283.088414351849</v>
      </c>
      <c r="BF2649" s="4">
        <v>43283.088414351849</v>
      </c>
      <c r="BG2649" t="s">
        <v>83</v>
      </c>
      <c r="BH2649" t="s">
        <v>84</v>
      </c>
      <c r="BI2649" t="s">
        <v>85</v>
      </c>
    </row>
    <row r="2650" spans="1:61" x14ac:dyDescent="0.3">
      <c r="A2650" t="str">
        <f>"201762C0400"</f>
        <v>201762C0400</v>
      </c>
      <c r="B2650" t="s">
        <v>5400</v>
      </c>
      <c r="C2650">
        <v>20</v>
      </c>
      <c r="D2650" t="s">
        <v>79</v>
      </c>
      <c r="E2650">
        <v>12</v>
      </c>
      <c r="F2650" t="s">
        <v>5082</v>
      </c>
      <c r="G2650">
        <v>1762</v>
      </c>
      <c r="H2650">
        <v>4</v>
      </c>
      <c r="I2650" t="s">
        <v>89</v>
      </c>
      <c r="J2650">
        <v>0</v>
      </c>
      <c r="K2650">
        <v>1</v>
      </c>
      <c r="L2650">
        <v>2</v>
      </c>
      <c r="M2650">
        <v>248</v>
      </c>
      <c r="N2650">
        <v>386</v>
      </c>
      <c r="O2650">
        <v>9</v>
      </c>
      <c r="P2650">
        <v>386</v>
      </c>
      <c r="Q2650">
        <v>27</v>
      </c>
      <c r="R2650">
        <v>62</v>
      </c>
      <c r="S2650">
        <v>6</v>
      </c>
      <c r="T2650">
        <v>14</v>
      </c>
      <c r="U2650">
        <v>11</v>
      </c>
      <c r="V2650">
        <v>5</v>
      </c>
      <c r="W2650">
        <v>6</v>
      </c>
      <c r="X2650">
        <v>8</v>
      </c>
      <c r="Y2650">
        <v>182</v>
      </c>
      <c r="Z2650">
        <v>9</v>
      </c>
      <c r="AA2650">
        <v>9</v>
      </c>
      <c r="AB2650">
        <v>20</v>
      </c>
      <c r="AC2650">
        <v>0</v>
      </c>
      <c r="AD2650">
        <v>0</v>
      </c>
      <c r="AE2650">
        <v>0</v>
      </c>
      <c r="AF2650">
        <v>1</v>
      </c>
      <c r="AG2650">
        <v>1</v>
      </c>
      <c r="AH2650">
        <v>0</v>
      </c>
      <c r="AI2650">
        <v>0</v>
      </c>
      <c r="AJ2650">
        <v>0</v>
      </c>
      <c r="AK2650">
        <v>5</v>
      </c>
      <c r="AL2650">
        <v>1</v>
      </c>
      <c r="AM2650">
        <v>0</v>
      </c>
      <c r="AN2650">
        <v>2</v>
      </c>
      <c r="AT2650">
        <v>0</v>
      </c>
      <c r="AU2650">
        <v>17</v>
      </c>
      <c r="AV2650">
        <v>386</v>
      </c>
      <c r="AW2650">
        <v>386</v>
      </c>
      <c r="AX2650">
        <v>612</v>
      </c>
      <c r="BA2650">
        <v>1</v>
      </c>
      <c r="BC2650" t="s">
        <v>5401</v>
      </c>
      <c r="BD2650" s="4">
        <v>43283.076388888891</v>
      </c>
      <c r="BE2650" s="4">
        <v>43283.083055555559</v>
      </c>
      <c r="BF2650" s="4">
        <v>43283.083055555559</v>
      </c>
      <c r="BG2650" t="s">
        <v>83</v>
      </c>
      <c r="BH2650" t="s">
        <v>84</v>
      </c>
      <c r="BI2650" t="s">
        <v>85</v>
      </c>
    </row>
    <row r="2651" spans="1:61" x14ac:dyDescent="0.3">
      <c r="A2651" t="str">
        <f>"201762E0100"</f>
        <v>201762E0100</v>
      </c>
      <c r="B2651" s="2" t="s">
        <v>5402</v>
      </c>
      <c r="C2651">
        <v>20</v>
      </c>
      <c r="D2651" t="s">
        <v>79</v>
      </c>
      <c r="E2651">
        <v>12</v>
      </c>
      <c r="F2651" t="s">
        <v>5082</v>
      </c>
      <c r="G2651">
        <v>1762</v>
      </c>
      <c r="H2651">
        <v>1</v>
      </c>
      <c r="I2651" t="s">
        <v>145</v>
      </c>
      <c r="J2651">
        <v>0</v>
      </c>
      <c r="K2651">
        <v>1</v>
      </c>
      <c r="L2651">
        <v>2</v>
      </c>
      <c r="M2651">
        <v>231</v>
      </c>
      <c r="N2651">
        <v>416</v>
      </c>
      <c r="O2651">
        <v>0</v>
      </c>
      <c r="P2651">
        <v>416</v>
      </c>
      <c r="Q2651">
        <v>25</v>
      </c>
      <c r="R2651">
        <v>53</v>
      </c>
      <c r="S2651">
        <v>8</v>
      </c>
      <c r="T2651">
        <v>18</v>
      </c>
      <c r="U2651">
        <v>22</v>
      </c>
      <c r="V2651">
        <v>4</v>
      </c>
      <c r="W2651">
        <v>8</v>
      </c>
      <c r="X2651">
        <v>13</v>
      </c>
      <c r="Y2651">
        <v>205</v>
      </c>
      <c r="Z2651">
        <v>9</v>
      </c>
      <c r="AA2651">
        <v>3</v>
      </c>
      <c r="AB2651">
        <v>16</v>
      </c>
      <c r="AC2651">
        <v>1</v>
      </c>
      <c r="AD2651">
        <v>0</v>
      </c>
      <c r="AE2651">
        <v>0</v>
      </c>
      <c r="AF2651">
        <v>1</v>
      </c>
      <c r="AG2651">
        <v>1</v>
      </c>
      <c r="AH2651">
        <v>0</v>
      </c>
      <c r="AI2651">
        <v>0</v>
      </c>
      <c r="AJ2651">
        <v>0</v>
      </c>
      <c r="AK2651">
        <v>8</v>
      </c>
      <c r="AL2651">
        <v>0</v>
      </c>
      <c r="AM2651">
        <v>0</v>
      </c>
      <c r="AN2651">
        <v>2</v>
      </c>
      <c r="AT2651">
        <v>0</v>
      </c>
      <c r="AU2651">
        <v>18</v>
      </c>
      <c r="AV2651">
        <v>416</v>
      </c>
      <c r="AW2651">
        <v>415</v>
      </c>
      <c r="AX2651">
        <v>625</v>
      </c>
      <c r="BA2651">
        <v>1</v>
      </c>
      <c r="BC2651" t="s">
        <v>5403</v>
      </c>
      <c r="BD2651" s="4">
        <v>43283.105555555558</v>
      </c>
      <c r="BE2651" s="4">
        <v>43283.116562499999</v>
      </c>
      <c r="BF2651" s="4">
        <v>43283.116562499999</v>
      </c>
      <c r="BG2651" t="s">
        <v>83</v>
      </c>
      <c r="BH2651" t="s">
        <v>84</v>
      </c>
      <c r="BI2651" t="s">
        <v>85</v>
      </c>
    </row>
    <row r="2652" spans="1:61" x14ac:dyDescent="0.3">
      <c r="A2652" t="str">
        <f>"201762E0101"</f>
        <v>201762E0101</v>
      </c>
      <c r="B2652" s="2" t="s">
        <v>5404</v>
      </c>
      <c r="C2652">
        <v>20</v>
      </c>
      <c r="D2652" t="s">
        <v>79</v>
      </c>
      <c r="E2652">
        <v>12</v>
      </c>
      <c r="F2652" t="s">
        <v>5082</v>
      </c>
      <c r="G2652">
        <v>1762</v>
      </c>
      <c r="H2652">
        <v>1</v>
      </c>
      <c r="I2652" t="s">
        <v>145</v>
      </c>
      <c r="J2652">
        <v>1</v>
      </c>
      <c r="K2652">
        <v>1</v>
      </c>
      <c r="L2652">
        <v>2</v>
      </c>
      <c r="M2652">
        <v>262</v>
      </c>
      <c r="N2652">
        <v>381</v>
      </c>
      <c r="O2652">
        <v>13</v>
      </c>
      <c r="P2652">
        <v>381</v>
      </c>
      <c r="Q2652">
        <v>18</v>
      </c>
      <c r="R2652">
        <v>65</v>
      </c>
      <c r="S2652">
        <v>8</v>
      </c>
      <c r="T2652">
        <v>13</v>
      </c>
      <c r="U2652">
        <v>18</v>
      </c>
      <c r="V2652">
        <v>6</v>
      </c>
      <c r="W2652">
        <v>8</v>
      </c>
      <c r="X2652">
        <v>8</v>
      </c>
      <c r="Y2652">
        <v>194</v>
      </c>
      <c r="Z2652">
        <v>7</v>
      </c>
      <c r="AA2652">
        <v>6</v>
      </c>
      <c r="AB2652">
        <v>12</v>
      </c>
      <c r="AC2652">
        <v>0</v>
      </c>
      <c r="AD2652">
        <v>0</v>
      </c>
      <c r="AE2652">
        <v>0</v>
      </c>
      <c r="AF2652">
        <v>0</v>
      </c>
      <c r="AG2652">
        <v>1</v>
      </c>
      <c r="AH2652" t="s">
        <v>315</v>
      </c>
      <c r="AI2652">
        <v>0</v>
      </c>
      <c r="AJ2652">
        <v>0</v>
      </c>
      <c r="AK2652">
        <v>3</v>
      </c>
      <c r="AL2652">
        <v>0</v>
      </c>
      <c r="AM2652" t="s">
        <v>315</v>
      </c>
      <c r="AN2652">
        <v>1</v>
      </c>
      <c r="AT2652">
        <v>0</v>
      </c>
      <c r="AU2652">
        <v>13</v>
      </c>
      <c r="AV2652">
        <v>381</v>
      </c>
      <c r="AW2652">
        <v>381</v>
      </c>
      <c r="AX2652">
        <v>624</v>
      </c>
      <c r="AZ2652" t="s">
        <v>101</v>
      </c>
      <c r="BA2652">
        <v>1</v>
      </c>
      <c r="BC2652" t="s">
        <v>5405</v>
      </c>
      <c r="BD2652" s="4">
        <v>43283.106944444444</v>
      </c>
      <c r="BE2652" s="4">
        <v>43283.131516203706</v>
      </c>
      <c r="BF2652" s="4">
        <v>43283.131516203706</v>
      </c>
      <c r="BG2652" t="s">
        <v>83</v>
      </c>
      <c r="BH2652" t="s">
        <v>84</v>
      </c>
      <c r="BI2652" t="s">
        <v>85</v>
      </c>
    </row>
    <row r="2653" spans="1:61" x14ac:dyDescent="0.3">
      <c r="A2653" t="str">
        <f>"201762E0200"</f>
        <v>201762E0200</v>
      </c>
      <c r="B2653" s="2" t="s">
        <v>5406</v>
      </c>
      <c r="C2653">
        <v>20</v>
      </c>
      <c r="D2653" t="s">
        <v>79</v>
      </c>
      <c r="E2653">
        <v>12</v>
      </c>
      <c r="F2653" t="s">
        <v>5082</v>
      </c>
      <c r="G2653">
        <v>1762</v>
      </c>
      <c r="H2653">
        <v>2</v>
      </c>
      <c r="I2653" t="s">
        <v>145</v>
      </c>
      <c r="J2653">
        <v>0</v>
      </c>
      <c r="K2653">
        <v>1</v>
      </c>
      <c r="L2653">
        <v>2</v>
      </c>
      <c r="M2653">
        <v>251</v>
      </c>
      <c r="N2653">
        <v>438</v>
      </c>
      <c r="O2653">
        <v>0</v>
      </c>
      <c r="P2653">
        <v>438</v>
      </c>
      <c r="Q2653">
        <v>23</v>
      </c>
      <c r="R2653">
        <v>53</v>
      </c>
      <c r="S2653">
        <v>12</v>
      </c>
      <c r="T2653">
        <v>8</v>
      </c>
      <c r="U2653">
        <v>21</v>
      </c>
      <c r="V2653">
        <v>2</v>
      </c>
      <c r="W2653">
        <v>5</v>
      </c>
      <c r="X2653">
        <v>7</v>
      </c>
      <c r="Y2653">
        <v>242</v>
      </c>
      <c r="Z2653">
        <v>7</v>
      </c>
      <c r="AA2653">
        <v>7</v>
      </c>
      <c r="AB2653">
        <v>27</v>
      </c>
      <c r="AC2653">
        <v>0</v>
      </c>
      <c r="AD2653">
        <v>0</v>
      </c>
      <c r="AE2653">
        <v>0</v>
      </c>
      <c r="AF2653">
        <v>1</v>
      </c>
      <c r="AG2653">
        <v>2</v>
      </c>
      <c r="AH2653">
        <v>0</v>
      </c>
      <c r="AI2653">
        <v>0</v>
      </c>
      <c r="AJ2653">
        <v>0</v>
      </c>
      <c r="AK2653">
        <v>4</v>
      </c>
      <c r="AL2653">
        <v>4</v>
      </c>
      <c r="AM2653">
        <v>0</v>
      </c>
      <c r="AN2653">
        <v>0</v>
      </c>
      <c r="AT2653">
        <v>0</v>
      </c>
      <c r="AU2653">
        <v>13</v>
      </c>
      <c r="AV2653">
        <v>438</v>
      </c>
      <c r="AW2653">
        <v>438</v>
      </c>
      <c r="AX2653">
        <v>667</v>
      </c>
      <c r="BA2653">
        <v>1</v>
      </c>
      <c r="BC2653" t="s">
        <v>5407</v>
      </c>
      <c r="BD2653" s="4">
        <v>43283.105555555558</v>
      </c>
      <c r="BE2653" s="4">
        <v>43283.115729166668</v>
      </c>
      <c r="BF2653" s="4">
        <v>43283.115729166668</v>
      </c>
      <c r="BG2653" t="s">
        <v>83</v>
      </c>
      <c r="BH2653" t="s">
        <v>84</v>
      </c>
      <c r="BI2653" t="s">
        <v>85</v>
      </c>
    </row>
    <row r="2654" spans="1:61" x14ac:dyDescent="0.3">
      <c r="A2654" t="str">
        <f>"201762E0201"</f>
        <v>201762E0201</v>
      </c>
      <c r="B2654" s="2" t="s">
        <v>5408</v>
      </c>
      <c r="C2654">
        <v>20</v>
      </c>
      <c r="D2654" t="s">
        <v>79</v>
      </c>
      <c r="E2654">
        <v>12</v>
      </c>
      <c r="F2654" t="s">
        <v>5082</v>
      </c>
      <c r="G2654">
        <v>1762</v>
      </c>
      <c r="H2654">
        <v>2</v>
      </c>
      <c r="I2654" t="s">
        <v>145</v>
      </c>
      <c r="J2654">
        <v>1</v>
      </c>
      <c r="K2654">
        <v>1</v>
      </c>
      <c r="L2654">
        <v>2</v>
      </c>
      <c r="M2654">
        <v>266</v>
      </c>
      <c r="N2654">
        <v>423</v>
      </c>
      <c r="O2654">
        <v>0</v>
      </c>
      <c r="P2654">
        <v>423</v>
      </c>
      <c r="Q2654">
        <v>18</v>
      </c>
      <c r="R2654">
        <v>57</v>
      </c>
      <c r="S2654">
        <v>11</v>
      </c>
      <c r="T2654">
        <v>11</v>
      </c>
      <c r="U2654">
        <v>24</v>
      </c>
      <c r="V2654">
        <v>8</v>
      </c>
      <c r="W2654">
        <v>12</v>
      </c>
      <c r="X2654">
        <v>8</v>
      </c>
      <c r="Y2654">
        <v>218</v>
      </c>
      <c r="Z2654">
        <v>5</v>
      </c>
      <c r="AA2654">
        <v>10</v>
      </c>
      <c r="AB2654">
        <v>12</v>
      </c>
      <c r="AC2654">
        <v>2</v>
      </c>
      <c r="AD2654">
        <v>1</v>
      </c>
      <c r="AE2654">
        <v>0</v>
      </c>
      <c r="AF2654">
        <v>0</v>
      </c>
      <c r="AG2654">
        <v>0</v>
      </c>
      <c r="AH2654">
        <v>3</v>
      </c>
      <c r="AI2654">
        <v>1</v>
      </c>
      <c r="AJ2654">
        <v>0</v>
      </c>
      <c r="AK2654">
        <v>2</v>
      </c>
      <c r="AL2654">
        <v>3</v>
      </c>
      <c r="AM2654">
        <v>0</v>
      </c>
      <c r="AN2654">
        <v>1</v>
      </c>
      <c r="AT2654">
        <v>1</v>
      </c>
      <c r="AU2654">
        <v>15</v>
      </c>
      <c r="AV2654">
        <v>423</v>
      </c>
      <c r="AW2654">
        <v>423</v>
      </c>
      <c r="AX2654">
        <v>667</v>
      </c>
      <c r="BA2654">
        <v>1</v>
      </c>
      <c r="BC2654" t="s">
        <v>5409</v>
      </c>
      <c r="BD2654" s="4">
        <v>43283.105555555558</v>
      </c>
      <c r="BE2654" s="4">
        <v>43283.117314814815</v>
      </c>
      <c r="BF2654" s="4">
        <v>43283.117314814815</v>
      </c>
      <c r="BG2654" t="s">
        <v>83</v>
      </c>
      <c r="BH2654" t="s">
        <v>84</v>
      </c>
      <c r="BI2654" t="s">
        <v>85</v>
      </c>
    </row>
    <row r="2655" spans="1:61" x14ac:dyDescent="0.3">
      <c r="A2655" t="str">
        <f>"201763B0100"</f>
        <v>201763B0100</v>
      </c>
      <c r="B2655" t="s">
        <v>5410</v>
      </c>
      <c r="C2655">
        <v>20</v>
      </c>
      <c r="D2655" t="s">
        <v>79</v>
      </c>
      <c r="E2655">
        <v>12</v>
      </c>
      <c r="F2655" t="s">
        <v>5082</v>
      </c>
      <c r="G2655">
        <v>1763</v>
      </c>
      <c r="H2655">
        <v>1</v>
      </c>
      <c r="I2655" t="s">
        <v>81</v>
      </c>
      <c r="J2655">
        <v>0</v>
      </c>
      <c r="K2655">
        <v>1</v>
      </c>
      <c r="L2655">
        <v>2</v>
      </c>
      <c r="M2655">
        <v>217</v>
      </c>
      <c r="N2655">
        <v>426</v>
      </c>
      <c r="O2655">
        <v>1</v>
      </c>
      <c r="P2655">
        <v>423</v>
      </c>
      <c r="Q2655">
        <v>16</v>
      </c>
      <c r="R2655">
        <v>65</v>
      </c>
      <c r="S2655">
        <v>17</v>
      </c>
      <c r="T2655">
        <v>4</v>
      </c>
      <c r="U2655">
        <v>18</v>
      </c>
      <c r="V2655">
        <v>2</v>
      </c>
      <c r="W2655">
        <v>9</v>
      </c>
      <c r="X2655">
        <v>13</v>
      </c>
      <c r="Y2655">
        <v>221</v>
      </c>
      <c r="Z2655">
        <v>10</v>
      </c>
      <c r="AA2655">
        <v>7</v>
      </c>
      <c r="AB2655">
        <v>11</v>
      </c>
      <c r="AC2655">
        <v>1</v>
      </c>
      <c r="AD2655">
        <v>0</v>
      </c>
      <c r="AE2655">
        <v>0</v>
      </c>
      <c r="AF2655">
        <v>0</v>
      </c>
      <c r="AG2655">
        <v>0</v>
      </c>
      <c r="AH2655">
        <v>1</v>
      </c>
      <c r="AI2655">
        <v>0</v>
      </c>
      <c r="AJ2655">
        <v>0</v>
      </c>
      <c r="AK2655">
        <v>14</v>
      </c>
      <c r="AL2655">
        <v>0</v>
      </c>
      <c r="AM2655">
        <v>0</v>
      </c>
      <c r="AN2655">
        <v>1</v>
      </c>
      <c r="AT2655">
        <v>0</v>
      </c>
      <c r="AU2655">
        <v>13</v>
      </c>
      <c r="AV2655">
        <v>423</v>
      </c>
      <c r="AW2655">
        <v>423</v>
      </c>
      <c r="AX2655">
        <v>624</v>
      </c>
      <c r="BA2655">
        <v>1</v>
      </c>
      <c r="BC2655" t="s">
        <v>5411</v>
      </c>
      <c r="BD2655" s="4">
        <v>43283.211805555555</v>
      </c>
      <c r="BE2655" s="4">
        <v>43283.237025462964</v>
      </c>
      <c r="BF2655" s="4">
        <v>43283.237025462964</v>
      </c>
      <c r="BG2655" t="s">
        <v>83</v>
      </c>
      <c r="BH2655" t="s">
        <v>84</v>
      </c>
      <c r="BI2655" t="s">
        <v>85</v>
      </c>
    </row>
    <row r="2656" spans="1:61" x14ac:dyDescent="0.3">
      <c r="A2656" t="str">
        <f>"201763C0100"</f>
        <v>201763C0100</v>
      </c>
      <c r="B2656" t="s">
        <v>5412</v>
      </c>
      <c r="C2656">
        <v>20</v>
      </c>
      <c r="D2656" t="s">
        <v>79</v>
      </c>
      <c r="E2656">
        <v>12</v>
      </c>
      <c r="F2656" t="s">
        <v>5082</v>
      </c>
      <c r="G2656">
        <v>1763</v>
      </c>
      <c r="H2656">
        <v>1</v>
      </c>
      <c r="I2656" t="s">
        <v>89</v>
      </c>
      <c r="J2656">
        <v>0</v>
      </c>
      <c r="K2656">
        <v>1</v>
      </c>
      <c r="L2656">
        <v>2</v>
      </c>
      <c r="M2656">
        <v>234</v>
      </c>
      <c r="N2656">
        <v>643</v>
      </c>
      <c r="O2656">
        <v>643</v>
      </c>
      <c r="P2656">
        <v>417</v>
      </c>
      <c r="Q2656">
        <v>6</v>
      </c>
      <c r="R2656">
        <v>72</v>
      </c>
      <c r="S2656">
        <v>8</v>
      </c>
      <c r="T2656">
        <v>8</v>
      </c>
      <c r="U2656">
        <v>7</v>
      </c>
      <c r="V2656">
        <v>2</v>
      </c>
      <c r="W2656">
        <v>1</v>
      </c>
      <c r="X2656">
        <v>4</v>
      </c>
      <c r="Y2656">
        <v>8</v>
      </c>
      <c r="Z2656">
        <v>6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7</v>
      </c>
      <c r="AJ2656">
        <v>1</v>
      </c>
      <c r="AK2656">
        <v>0</v>
      </c>
      <c r="AL2656">
        <v>0</v>
      </c>
      <c r="AM2656">
        <v>0</v>
      </c>
      <c r="AN2656">
        <v>1</v>
      </c>
      <c r="AT2656">
        <v>0</v>
      </c>
      <c r="AU2656">
        <v>14</v>
      </c>
      <c r="AV2656">
        <v>417</v>
      </c>
      <c r="AW2656">
        <v>145</v>
      </c>
      <c r="AX2656">
        <v>624</v>
      </c>
      <c r="BA2656">
        <v>1</v>
      </c>
      <c r="BC2656" t="s">
        <v>5413</v>
      </c>
      <c r="BD2656" s="4">
        <v>43283.212500000001</v>
      </c>
      <c r="BE2656" s="4">
        <v>43283.233298611114</v>
      </c>
      <c r="BF2656" s="4">
        <v>43283.233298611114</v>
      </c>
      <c r="BG2656" t="s">
        <v>83</v>
      </c>
      <c r="BH2656" t="s">
        <v>84</v>
      </c>
      <c r="BI2656" t="s">
        <v>85</v>
      </c>
    </row>
    <row r="2657" spans="1:61" x14ac:dyDescent="0.3">
      <c r="A2657" t="str">
        <f>"201764B0100"</f>
        <v>201764B0100</v>
      </c>
      <c r="B2657" t="s">
        <v>5414</v>
      </c>
      <c r="C2657">
        <v>20</v>
      </c>
      <c r="D2657" t="s">
        <v>79</v>
      </c>
      <c r="E2657">
        <v>12</v>
      </c>
      <c r="F2657" t="s">
        <v>5082</v>
      </c>
      <c r="G2657">
        <v>1764</v>
      </c>
      <c r="H2657">
        <v>1</v>
      </c>
      <c r="I2657" t="s">
        <v>81</v>
      </c>
      <c r="J2657">
        <v>0</v>
      </c>
      <c r="K2657">
        <v>1</v>
      </c>
      <c r="L2657">
        <v>2</v>
      </c>
      <c r="M2657">
        <v>185</v>
      </c>
      <c r="N2657">
        <v>377</v>
      </c>
      <c r="O2657">
        <v>2</v>
      </c>
      <c r="P2657">
        <v>377</v>
      </c>
      <c r="Q2657">
        <v>14</v>
      </c>
      <c r="R2657">
        <v>51</v>
      </c>
      <c r="S2657">
        <v>11</v>
      </c>
      <c r="T2657">
        <v>12</v>
      </c>
      <c r="U2657">
        <v>23</v>
      </c>
      <c r="V2657">
        <v>5</v>
      </c>
      <c r="W2657">
        <v>8</v>
      </c>
      <c r="X2657">
        <v>8</v>
      </c>
      <c r="Y2657">
        <v>198</v>
      </c>
      <c r="Z2657">
        <v>3</v>
      </c>
      <c r="AA2657">
        <v>4</v>
      </c>
      <c r="AB2657">
        <v>6</v>
      </c>
      <c r="AC2657">
        <v>1</v>
      </c>
      <c r="AD2657">
        <v>0</v>
      </c>
      <c r="AE2657">
        <v>0</v>
      </c>
      <c r="AF2657">
        <v>0</v>
      </c>
      <c r="AG2657">
        <v>1</v>
      </c>
      <c r="AH2657">
        <v>2</v>
      </c>
      <c r="AI2657">
        <v>0</v>
      </c>
      <c r="AJ2657">
        <v>0</v>
      </c>
      <c r="AK2657">
        <v>6</v>
      </c>
      <c r="AL2657">
        <v>4</v>
      </c>
      <c r="AM2657">
        <v>0</v>
      </c>
      <c r="AN2657">
        <v>2</v>
      </c>
      <c r="AT2657">
        <v>0</v>
      </c>
      <c r="AU2657">
        <v>18</v>
      </c>
      <c r="AV2657" t="s">
        <v>100</v>
      </c>
      <c r="AW2657">
        <v>377</v>
      </c>
      <c r="AX2657">
        <v>540</v>
      </c>
      <c r="BA2657">
        <v>1</v>
      </c>
      <c r="BC2657" t="s">
        <v>5415</v>
      </c>
      <c r="BD2657" s="4">
        <v>43283.179861111108</v>
      </c>
      <c r="BE2657" s="4">
        <v>43283.200138888889</v>
      </c>
      <c r="BF2657" s="4">
        <v>43283.200138888889</v>
      </c>
      <c r="BG2657" t="s">
        <v>83</v>
      </c>
      <c r="BH2657" t="s">
        <v>84</v>
      </c>
      <c r="BI2657" t="s">
        <v>85</v>
      </c>
    </row>
    <row r="2658" spans="1:61" x14ac:dyDescent="0.3">
      <c r="A2658" t="str">
        <f>"201764C0100"</f>
        <v>201764C0100</v>
      </c>
      <c r="B2658" t="s">
        <v>5416</v>
      </c>
      <c r="C2658">
        <v>20</v>
      </c>
      <c r="D2658" t="s">
        <v>79</v>
      </c>
      <c r="E2658">
        <v>12</v>
      </c>
      <c r="F2658" t="s">
        <v>5082</v>
      </c>
      <c r="G2658">
        <v>1764</v>
      </c>
      <c r="H2658">
        <v>1</v>
      </c>
      <c r="I2658" t="s">
        <v>89</v>
      </c>
      <c r="J2658">
        <v>0</v>
      </c>
      <c r="K2658">
        <v>1</v>
      </c>
      <c r="L2658">
        <v>2</v>
      </c>
      <c r="M2658">
        <v>203</v>
      </c>
      <c r="N2658">
        <v>358</v>
      </c>
      <c r="O2658">
        <v>7</v>
      </c>
      <c r="P2658">
        <v>359</v>
      </c>
      <c r="Q2658">
        <v>24</v>
      </c>
      <c r="R2658">
        <v>42</v>
      </c>
      <c r="S2658">
        <v>11</v>
      </c>
      <c r="T2658">
        <v>11</v>
      </c>
      <c r="U2658">
        <v>20</v>
      </c>
      <c r="V2658">
        <v>6</v>
      </c>
      <c r="W2658">
        <v>5</v>
      </c>
      <c r="X2658">
        <v>5</v>
      </c>
      <c r="Y2658">
        <v>183</v>
      </c>
      <c r="Z2658">
        <v>11</v>
      </c>
      <c r="AA2658">
        <v>5</v>
      </c>
      <c r="AB2658">
        <v>6</v>
      </c>
      <c r="AC2658">
        <v>0</v>
      </c>
      <c r="AD2658">
        <v>0</v>
      </c>
      <c r="AE2658">
        <v>0</v>
      </c>
      <c r="AF2658">
        <v>0</v>
      </c>
      <c r="AG2658">
        <v>2</v>
      </c>
      <c r="AH2658">
        <v>0</v>
      </c>
      <c r="AI2658">
        <v>0</v>
      </c>
      <c r="AJ2658">
        <v>0</v>
      </c>
      <c r="AK2658">
        <v>5</v>
      </c>
      <c r="AL2658">
        <v>1</v>
      </c>
      <c r="AM2658">
        <v>0</v>
      </c>
      <c r="AN2658">
        <v>2</v>
      </c>
      <c r="AT2658">
        <v>0</v>
      </c>
      <c r="AU2658">
        <v>20</v>
      </c>
      <c r="AV2658">
        <v>359</v>
      </c>
      <c r="AW2658">
        <v>359</v>
      </c>
      <c r="AX2658">
        <v>539</v>
      </c>
      <c r="BA2658">
        <v>1</v>
      </c>
      <c r="BC2658" t="s">
        <v>5417</v>
      </c>
      <c r="BD2658" s="4">
        <v>43283.180555555555</v>
      </c>
      <c r="BE2658" s="4">
        <v>43283.198321759257</v>
      </c>
      <c r="BF2658" s="4">
        <v>43283.198321759257</v>
      </c>
      <c r="BG2658" t="s">
        <v>83</v>
      </c>
      <c r="BH2658" t="s">
        <v>84</v>
      </c>
      <c r="BI2658" t="s">
        <v>85</v>
      </c>
    </row>
    <row r="2659" spans="1:61" x14ac:dyDescent="0.3">
      <c r="A2659" t="str">
        <f>"201765B0100"</f>
        <v>201765B0100</v>
      </c>
      <c r="B2659" t="s">
        <v>5418</v>
      </c>
      <c r="C2659">
        <v>20</v>
      </c>
      <c r="D2659" t="s">
        <v>79</v>
      </c>
      <c r="E2659">
        <v>12</v>
      </c>
      <c r="F2659" t="s">
        <v>5082</v>
      </c>
      <c r="G2659">
        <v>1765</v>
      </c>
      <c r="H2659">
        <v>1</v>
      </c>
      <c r="I2659" t="s">
        <v>81</v>
      </c>
      <c r="J2659">
        <v>0</v>
      </c>
      <c r="K2659">
        <v>1</v>
      </c>
      <c r="L2659">
        <v>2</v>
      </c>
      <c r="M2659">
        <v>217</v>
      </c>
      <c r="N2659">
        <v>529</v>
      </c>
      <c r="O2659">
        <v>9</v>
      </c>
      <c r="P2659">
        <v>529</v>
      </c>
      <c r="Q2659">
        <v>24</v>
      </c>
      <c r="R2659">
        <v>80</v>
      </c>
      <c r="S2659">
        <v>10</v>
      </c>
      <c r="T2659">
        <v>9</v>
      </c>
      <c r="U2659">
        <v>30</v>
      </c>
      <c r="V2659">
        <v>7</v>
      </c>
      <c r="W2659">
        <v>11</v>
      </c>
      <c r="X2659">
        <v>4</v>
      </c>
      <c r="Y2659">
        <v>301</v>
      </c>
      <c r="Z2659">
        <v>10</v>
      </c>
      <c r="AA2659">
        <v>2</v>
      </c>
      <c r="AB2659">
        <v>13</v>
      </c>
      <c r="AC2659">
        <v>1</v>
      </c>
      <c r="AD2659">
        <v>0</v>
      </c>
      <c r="AE2659">
        <v>0</v>
      </c>
      <c r="AF2659">
        <v>0</v>
      </c>
      <c r="AG2659">
        <v>0</v>
      </c>
      <c r="AH2659">
        <v>1</v>
      </c>
      <c r="AI2659">
        <v>0</v>
      </c>
      <c r="AJ2659">
        <v>0</v>
      </c>
      <c r="AK2659">
        <v>9</v>
      </c>
      <c r="AL2659">
        <v>4</v>
      </c>
      <c r="AM2659">
        <v>0</v>
      </c>
      <c r="AN2659">
        <v>0</v>
      </c>
      <c r="AT2659">
        <v>0</v>
      </c>
      <c r="AU2659">
        <v>13</v>
      </c>
      <c r="AV2659">
        <v>529</v>
      </c>
      <c r="AW2659">
        <v>529</v>
      </c>
      <c r="AX2659">
        <v>723</v>
      </c>
      <c r="BA2659">
        <v>1</v>
      </c>
      <c r="BC2659" t="s">
        <v>5419</v>
      </c>
      <c r="BD2659" s="4">
        <v>43283.15</v>
      </c>
      <c r="BE2659" s="4">
        <v>43283.166504629633</v>
      </c>
      <c r="BF2659" s="4">
        <v>43283.166504629633</v>
      </c>
      <c r="BG2659" t="s">
        <v>83</v>
      </c>
      <c r="BH2659" t="s">
        <v>84</v>
      </c>
      <c r="BI2659" t="s">
        <v>85</v>
      </c>
    </row>
    <row r="2660" spans="1:61" x14ac:dyDescent="0.3">
      <c r="A2660" t="str">
        <f>"201765C0100"</f>
        <v>201765C0100</v>
      </c>
      <c r="B2660" t="s">
        <v>5420</v>
      </c>
      <c r="C2660">
        <v>20</v>
      </c>
      <c r="D2660" t="s">
        <v>79</v>
      </c>
      <c r="E2660">
        <v>12</v>
      </c>
      <c r="F2660" t="s">
        <v>5082</v>
      </c>
      <c r="G2660">
        <v>1765</v>
      </c>
      <c r="H2660">
        <v>1</v>
      </c>
      <c r="I2660" t="s">
        <v>89</v>
      </c>
      <c r="J2660">
        <v>0</v>
      </c>
      <c r="K2660">
        <v>1</v>
      </c>
      <c r="L2660">
        <v>2</v>
      </c>
      <c r="M2660">
        <v>241</v>
      </c>
      <c r="N2660">
        <v>501</v>
      </c>
      <c r="O2660">
        <v>9</v>
      </c>
      <c r="P2660">
        <v>501</v>
      </c>
      <c r="Q2660">
        <v>28</v>
      </c>
      <c r="R2660">
        <v>71</v>
      </c>
      <c r="S2660">
        <v>10</v>
      </c>
      <c r="T2660">
        <v>20</v>
      </c>
      <c r="U2660">
        <v>27</v>
      </c>
      <c r="V2660">
        <v>4</v>
      </c>
      <c r="W2660">
        <v>12</v>
      </c>
      <c r="X2660">
        <v>7</v>
      </c>
      <c r="Y2660">
        <v>247</v>
      </c>
      <c r="Z2660">
        <v>14</v>
      </c>
      <c r="AA2660">
        <v>16</v>
      </c>
      <c r="AB2660">
        <v>13</v>
      </c>
      <c r="AC2660">
        <v>2</v>
      </c>
      <c r="AD2660">
        <v>0</v>
      </c>
      <c r="AE2660">
        <v>1</v>
      </c>
      <c r="AF2660">
        <v>0</v>
      </c>
      <c r="AG2660">
        <v>0</v>
      </c>
      <c r="AH2660">
        <v>1</v>
      </c>
      <c r="AI2660">
        <v>0</v>
      </c>
      <c r="AJ2660">
        <v>0</v>
      </c>
      <c r="AK2660">
        <v>5</v>
      </c>
      <c r="AL2660">
        <v>6</v>
      </c>
      <c r="AM2660">
        <v>0</v>
      </c>
      <c r="AN2660">
        <v>0</v>
      </c>
      <c r="AT2660">
        <v>0</v>
      </c>
      <c r="AU2660">
        <v>17</v>
      </c>
      <c r="AV2660">
        <v>501</v>
      </c>
      <c r="AW2660">
        <v>501</v>
      </c>
      <c r="AX2660">
        <v>722</v>
      </c>
      <c r="BA2660">
        <v>1</v>
      </c>
      <c r="BC2660" t="s">
        <v>5421</v>
      </c>
      <c r="BD2660" s="4">
        <v>43283.150694444441</v>
      </c>
      <c r="BE2660" s="4">
        <v>43283.166585648149</v>
      </c>
      <c r="BF2660" s="4">
        <v>43283.166585648149</v>
      </c>
      <c r="BG2660" t="s">
        <v>83</v>
      </c>
      <c r="BH2660" t="s">
        <v>84</v>
      </c>
      <c r="BI2660" t="s">
        <v>85</v>
      </c>
    </row>
    <row r="2661" spans="1:61" x14ac:dyDescent="0.3">
      <c r="A2661" t="str">
        <f>"201766B0100"</f>
        <v>201766B0100</v>
      </c>
      <c r="B2661" t="s">
        <v>5422</v>
      </c>
      <c r="C2661">
        <v>20</v>
      </c>
      <c r="D2661" t="s">
        <v>79</v>
      </c>
      <c r="E2661">
        <v>12</v>
      </c>
      <c r="F2661" t="s">
        <v>5082</v>
      </c>
      <c r="G2661">
        <v>1766</v>
      </c>
      <c r="H2661">
        <v>1</v>
      </c>
      <c r="I2661" t="s">
        <v>81</v>
      </c>
      <c r="J2661">
        <v>0</v>
      </c>
      <c r="K2661">
        <v>1</v>
      </c>
      <c r="L2661">
        <v>2</v>
      </c>
      <c r="M2661">
        <v>232</v>
      </c>
      <c r="N2661" t="s">
        <v>315</v>
      </c>
      <c r="O2661">
        <v>2</v>
      </c>
      <c r="P2661" t="s">
        <v>315</v>
      </c>
      <c r="Q2661">
        <v>25</v>
      </c>
      <c r="R2661">
        <v>45</v>
      </c>
      <c r="S2661">
        <v>13</v>
      </c>
      <c r="T2661">
        <v>13</v>
      </c>
      <c r="U2661">
        <v>17</v>
      </c>
      <c r="V2661">
        <v>7</v>
      </c>
      <c r="W2661">
        <v>4</v>
      </c>
      <c r="X2661">
        <v>4</v>
      </c>
      <c r="Y2661">
        <v>205</v>
      </c>
      <c r="Z2661">
        <v>7</v>
      </c>
      <c r="AA2661">
        <v>16</v>
      </c>
      <c r="AB2661">
        <v>10</v>
      </c>
      <c r="AC2661">
        <v>0</v>
      </c>
      <c r="AD2661">
        <v>0</v>
      </c>
      <c r="AE2661">
        <v>0</v>
      </c>
      <c r="AF2661">
        <v>2</v>
      </c>
      <c r="AG2661">
        <v>0</v>
      </c>
      <c r="AH2661">
        <v>2</v>
      </c>
      <c r="AI2661">
        <v>0</v>
      </c>
      <c r="AJ2661">
        <v>0</v>
      </c>
      <c r="AK2661">
        <v>7</v>
      </c>
      <c r="AL2661">
        <v>0</v>
      </c>
      <c r="AM2661">
        <v>0</v>
      </c>
      <c r="AN2661">
        <v>0</v>
      </c>
      <c r="AT2661">
        <v>0</v>
      </c>
      <c r="AU2661">
        <v>18</v>
      </c>
      <c r="AV2661">
        <v>394</v>
      </c>
      <c r="AW2661">
        <v>395</v>
      </c>
      <c r="AX2661">
        <v>602</v>
      </c>
      <c r="BA2661">
        <v>1</v>
      </c>
      <c r="BC2661" t="s">
        <v>5423</v>
      </c>
      <c r="BD2661" s="4">
        <v>43283.05</v>
      </c>
      <c r="BE2661" s="4">
        <v>43283.054976851854</v>
      </c>
      <c r="BF2661" s="4">
        <v>43283.054976851854</v>
      </c>
      <c r="BG2661" t="s">
        <v>83</v>
      </c>
      <c r="BH2661" t="s">
        <v>84</v>
      </c>
      <c r="BI2661" t="s">
        <v>85</v>
      </c>
    </row>
    <row r="2662" spans="1:61" x14ac:dyDescent="0.3">
      <c r="A2662" t="str">
        <f>"201766C0100"</f>
        <v>201766C0100</v>
      </c>
      <c r="B2662" t="s">
        <v>5424</v>
      </c>
      <c r="C2662">
        <v>20</v>
      </c>
      <c r="D2662" t="s">
        <v>79</v>
      </c>
      <c r="E2662">
        <v>12</v>
      </c>
      <c r="F2662" t="s">
        <v>5082</v>
      </c>
      <c r="G2662">
        <v>1766</v>
      </c>
      <c r="H2662">
        <v>1</v>
      </c>
      <c r="I2662" t="s">
        <v>89</v>
      </c>
      <c r="J2662">
        <v>0</v>
      </c>
      <c r="K2662">
        <v>1</v>
      </c>
      <c r="L2662">
        <v>2</v>
      </c>
      <c r="M2662">
        <v>223</v>
      </c>
      <c r="N2662">
        <v>400</v>
      </c>
      <c r="O2662">
        <v>7</v>
      </c>
      <c r="P2662">
        <v>399</v>
      </c>
      <c r="Q2662">
        <v>12</v>
      </c>
      <c r="R2662">
        <v>39</v>
      </c>
      <c r="S2662">
        <v>11</v>
      </c>
      <c r="T2662">
        <v>12</v>
      </c>
      <c r="U2662">
        <v>20</v>
      </c>
      <c r="V2662">
        <v>4</v>
      </c>
      <c r="W2662">
        <v>15</v>
      </c>
      <c r="X2662">
        <v>2</v>
      </c>
      <c r="Y2662">
        <v>220</v>
      </c>
      <c r="Z2662">
        <v>18</v>
      </c>
      <c r="AA2662">
        <v>11</v>
      </c>
      <c r="AB2662">
        <v>13</v>
      </c>
      <c r="AC2662">
        <v>0</v>
      </c>
      <c r="AD2662">
        <v>1</v>
      </c>
      <c r="AE2662">
        <v>0</v>
      </c>
      <c r="AF2662">
        <v>0</v>
      </c>
      <c r="AG2662">
        <v>0</v>
      </c>
      <c r="AH2662">
        <v>1</v>
      </c>
      <c r="AI2662">
        <v>0</v>
      </c>
      <c r="AJ2662">
        <v>0</v>
      </c>
      <c r="AK2662">
        <v>3</v>
      </c>
      <c r="AL2662">
        <v>4</v>
      </c>
      <c r="AM2662">
        <v>0</v>
      </c>
      <c r="AN2662">
        <v>0</v>
      </c>
      <c r="AT2662">
        <v>2</v>
      </c>
      <c r="AU2662">
        <v>11</v>
      </c>
      <c r="AV2662" t="s">
        <v>100</v>
      </c>
      <c r="AW2662">
        <v>399</v>
      </c>
      <c r="AX2662">
        <v>601</v>
      </c>
      <c r="BA2662">
        <v>1</v>
      </c>
      <c r="BC2662" t="s">
        <v>5425</v>
      </c>
      <c r="BD2662" s="4">
        <v>43283.049305555556</v>
      </c>
      <c r="BE2662" s="4">
        <v>43283.053784722222</v>
      </c>
      <c r="BF2662" s="4">
        <v>43283.053784722222</v>
      </c>
      <c r="BG2662" t="s">
        <v>83</v>
      </c>
      <c r="BH2662" t="s">
        <v>84</v>
      </c>
      <c r="BI2662" t="s">
        <v>85</v>
      </c>
    </row>
    <row r="2663" spans="1:61" x14ac:dyDescent="0.3">
      <c r="A2663" t="str">
        <f>"201767B0100"</f>
        <v>201767B0100</v>
      </c>
      <c r="B2663" t="s">
        <v>5426</v>
      </c>
      <c r="C2663">
        <v>20</v>
      </c>
      <c r="D2663" t="s">
        <v>79</v>
      </c>
      <c r="E2663">
        <v>12</v>
      </c>
      <c r="F2663" t="s">
        <v>5082</v>
      </c>
      <c r="G2663">
        <v>1767</v>
      </c>
      <c r="H2663">
        <v>1</v>
      </c>
      <c r="I2663" t="s">
        <v>81</v>
      </c>
      <c r="J2663">
        <v>0</v>
      </c>
      <c r="K2663">
        <v>1</v>
      </c>
      <c r="L2663">
        <v>2</v>
      </c>
      <c r="M2663">
        <v>226</v>
      </c>
      <c r="N2663">
        <v>434</v>
      </c>
      <c r="O2663">
        <v>1</v>
      </c>
      <c r="P2663">
        <v>434</v>
      </c>
      <c r="Q2663">
        <v>40</v>
      </c>
      <c r="R2663">
        <v>63</v>
      </c>
      <c r="S2663">
        <v>12</v>
      </c>
      <c r="T2663">
        <v>9</v>
      </c>
      <c r="U2663">
        <v>24</v>
      </c>
      <c r="V2663">
        <v>6</v>
      </c>
      <c r="W2663">
        <v>8</v>
      </c>
      <c r="X2663">
        <v>5</v>
      </c>
      <c r="Y2663">
        <v>205</v>
      </c>
      <c r="Z2663">
        <v>6</v>
      </c>
      <c r="AA2663">
        <v>10</v>
      </c>
      <c r="AB2663">
        <v>13</v>
      </c>
      <c r="AC2663">
        <v>1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10</v>
      </c>
      <c r="AL2663">
        <v>1</v>
      </c>
      <c r="AM2663">
        <v>0</v>
      </c>
      <c r="AN2663">
        <v>0</v>
      </c>
      <c r="AT2663">
        <v>1</v>
      </c>
      <c r="AU2663">
        <v>21</v>
      </c>
      <c r="AV2663">
        <v>435</v>
      </c>
      <c r="AW2663">
        <v>435</v>
      </c>
      <c r="AX2663">
        <v>638</v>
      </c>
      <c r="BA2663">
        <v>1</v>
      </c>
      <c r="BC2663" t="s">
        <v>5427</v>
      </c>
      <c r="BD2663" s="4">
        <v>43283.165277777778</v>
      </c>
      <c r="BE2663" s="4">
        <v>43283.181446759256</v>
      </c>
      <c r="BF2663" s="4">
        <v>43283.181446759256</v>
      </c>
      <c r="BG2663" t="s">
        <v>83</v>
      </c>
      <c r="BH2663" t="s">
        <v>84</v>
      </c>
      <c r="BI2663" t="s">
        <v>85</v>
      </c>
    </row>
    <row r="2664" spans="1:61" x14ac:dyDescent="0.3">
      <c r="A2664" t="str">
        <f>"201767C0100"</f>
        <v>201767C0100</v>
      </c>
      <c r="B2664" t="s">
        <v>5428</v>
      </c>
      <c r="C2664">
        <v>20</v>
      </c>
      <c r="D2664" t="s">
        <v>79</v>
      </c>
      <c r="E2664">
        <v>12</v>
      </c>
      <c r="F2664" t="s">
        <v>5082</v>
      </c>
      <c r="G2664">
        <v>1767</v>
      </c>
      <c r="H2664">
        <v>1</v>
      </c>
      <c r="I2664" t="s">
        <v>89</v>
      </c>
      <c r="J2664">
        <v>0</v>
      </c>
      <c r="K2664">
        <v>1</v>
      </c>
      <c r="L2664">
        <v>2</v>
      </c>
      <c r="M2664">
        <v>207</v>
      </c>
      <c r="N2664">
        <v>453</v>
      </c>
      <c r="O2664">
        <v>2</v>
      </c>
      <c r="P2664">
        <v>453</v>
      </c>
      <c r="Q2664">
        <v>39</v>
      </c>
      <c r="R2664">
        <v>75</v>
      </c>
      <c r="S2664">
        <v>3</v>
      </c>
      <c r="T2664">
        <v>28</v>
      </c>
      <c r="U2664">
        <v>21</v>
      </c>
      <c r="V2664">
        <v>6</v>
      </c>
      <c r="W2664">
        <v>10</v>
      </c>
      <c r="X2664">
        <v>2</v>
      </c>
      <c r="Y2664">
        <v>194</v>
      </c>
      <c r="Z2664">
        <v>9</v>
      </c>
      <c r="AA2664">
        <v>11</v>
      </c>
      <c r="AB2664">
        <v>16</v>
      </c>
      <c r="AC2664">
        <v>0</v>
      </c>
      <c r="AD2664">
        <v>1</v>
      </c>
      <c r="AE2664">
        <v>0</v>
      </c>
      <c r="AF2664">
        <v>1</v>
      </c>
      <c r="AG2664">
        <v>1</v>
      </c>
      <c r="AH2664">
        <v>5</v>
      </c>
      <c r="AI2664">
        <v>0</v>
      </c>
      <c r="AJ2664">
        <v>0</v>
      </c>
      <c r="AK2664">
        <v>7</v>
      </c>
      <c r="AL2664">
        <v>2</v>
      </c>
      <c r="AM2664">
        <v>1</v>
      </c>
      <c r="AN2664">
        <v>1</v>
      </c>
      <c r="AT2664">
        <v>0</v>
      </c>
      <c r="AU2664">
        <v>22</v>
      </c>
      <c r="AV2664">
        <v>455</v>
      </c>
      <c r="AW2664">
        <v>455</v>
      </c>
      <c r="AX2664">
        <v>638</v>
      </c>
      <c r="BA2664">
        <v>1</v>
      </c>
      <c r="BC2664" t="s">
        <v>5429</v>
      </c>
      <c r="BD2664" s="4">
        <v>43283.165277777778</v>
      </c>
      <c r="BE2664" s="4">
        <v>43283.181469907409</v>
      </c>
      <c r="BF2664" s="4">
        <v>43283.181469907409</v>
      </c>
      <c r="BG2664" t="s">
        <v>83</v>
      </c>
      <c r="BH2664" t="s">
        <v>84</v>
      </c>
      <c r="BI2664" t="s">
        <v>85</v>
      </c>
    </row>
    <row r="2665" spans="1:61" x14ac:dyDescent="0.3">
      <c r="A2665" t="str">
        <f>"201767C0200"</f>
        <v>201767C0200</v>
      </c>
      <c r="B2665" t="s">
        <v>5430</v>
      </c>
      <c r="C2665">
        <v>20</v>
      </c>
      <c r="D2665" t="s">
        <v>79</v>
      </c>
      <c r="E2665">
        <v>12</v>
      </c>
      <c r="F2665" t="s">
        <v>5082</v>
      </c>
      <c r="G2665">
        <v>1767</v>
      </c>
      <c r="H2665">
        <v>2</v>
      </c>
      <c r="I2665" t="s">
        <v>89</v>
      </c>
      <c r="J2665">
        <v>0</v>
      </c>
      <c r="K2665">
        <v>1</v>
      </c>
      <c r="L2665">
        <v>2</v>
      </c>
      <c r="M2665">
        <v>201</v>
      </c>
      <c r="N2665">
        <v>458</v>
      </c>
      <c r="O2665">
        <v>3</v>
      </c>
      <c r="P2665">
        <v>458</v>
      </c>
      <c r="Q2665">
        <v>43</v>
      </c>
      <c r="R2665">
        <v>81</v>
      </c>
      <c r="S2665">
        <v>13</v>
      </c>
      <c r="T2665">
        <v>14</v>
      </c>
      <c r="U2665">
        <v>14</v>
      </c>
      <c r="V2665">
        <v>8</v>
      </c>
      <c r="W2665">
        <v>7</v>
      </c>
      <c r="X2665">
        <v>2</v>
      </c>
      <c r="Y2665">
        <v>218</v>
      </c>
      <c r="Z2665">
        <v>9</v>
      </c>
      <c r="AA2665">
        <v>10</v>
      </c>
      <c r="AB2665">
        <v>14</v>
      </c>
      <c r="AC2665">
        <v>4</v>
      </c>
      <c r="AD2665">
        <v>0</v>
      </c>
      <c r="AE2665">
        <v>0</v>
      </c>
      <c r="AF2665">
        <v>0</v>
      </c>
      <c r="AG2665">
        <v>2</v>
      </c>
      <c r="AH2665">
        <v>2</v>
      </c>
      <c r="AI2665">
        <v>0</v>
      </c>
      <c r="AJ2665">
        <v>0</v>
      </c>
      <c r="AK2665">
        <v>4</v>
      </c>
      <c r="AL2665">
        <v>0</v>
      </c>
      <c r="AM2665">
        <v>0</v>
      </c>
      <c r="AN2665">
        <v>0</v>
      </c>
      <c r="AT2665">
        <v>0</v>
      </c>
      <c r="AU2665">
        <v>13</v>
      </c>
      <c r="AV2665">
        <v>458</v>
      </c>
      <c r="AW2665">
        <v>458</v>
      </c>
      <c r="AX2665">
        <v>637</v>
      </c>
      <c r="BA2665">
        <v>1</v>
      </c>
      <c r="BC2665" t="s">
        <v>5431</v>
      </c>
      <c r="BD2665" s="4">
        <v>43283.167361111111</v>
      </c>
      <c r="BE2665" s="4">
        <v>43283.18041666667</v>
      </c>
      <c r="BF2665" s="4">
        <v>43283.18041666667</v>
      </c>
      <c r="BG2665" t="s">
        <v>83</v>
      </c>
      <c r="BH2665" t="s">
        <v>84</v>
      </c>
      <c r="BI2665" t="s">
        <v>85</v>
      </c>
    </row>
    <row r="2666" spans="1:61" x14ac:dyDescent="0.3">
      <c r="A2666" t="str">
        <f>"201767C0300"</f>
        <v>201767C0300</v>
      </c>
      <c r="B2666" t="s">
        <v>5432</v>
      </c>
      <c r="C2666">
        <v>20</v>
      </c>
      <c r="D2666" t="s">
        <v>79</v>
      </c>
      <c r="E2666">
        <v>12</v>
      </c>
      <c r="F2666" t="s">
        <v>5082</v>
      </c>
      <c r="G2666">
        <v>1767</v>
      </c>
      <c r="H2666">
        <v>3</v>
      </c>
      <c r="I2666" t="s">
        <v>89</v>
      </c>
      <c r="J2666">
        <v>0</v>
      </c>
      <c r="K2666">
        <v>1</v>
      </c>
      <c r="L2666">
        <v>2</v>
      </c>
      <c r="M2666">
        <v>185</v>
      </c>
      <c r="N2666">
        <v>474</v>
      </c>
      <c r="O2666">
        <v>3</v>
      </c>
      <c r="P2666">
        <v>474</v>
      </c>
      <c r="Q2666">
        <v>44</v>
      </c>
      <c r="R2666">
        <v>90</v>
      </c>
      <c r="S2666">
        <v>19</v>
      </c>
      <c r="T2666">
        <v>28</v>
      </c>
      <c r="U2666">
        <v>20</v>
      </c>
      <c r="V2666">
        <v>3</v>
      </c>
      <c r="W2666">
        <v>5</v>
      </c>
      <c r="X2666">
        <v>6</v>
      </c>
      <c r="Y2666">
        <v>204</v>
      </c>
      <c r="Z2666">
        <v>8</v>
      </c>
      <c r="AA2666">
        <v>11</v>
      </c>
      <c r="AB2666">
        <v>11</v>
      </c>
      <c r="AC2666">
        <v>3</v>
      </c>
      <c r="AD2666">
        <v>0</v>
      </c>
      <c r="AE2666">
        <v>0</v>
      </c>
      <c r="AF2666">
        <v>0</v>
      </c>
      <c r="AG2666">
        <v>2</v>
      </c>
      <c r="AH2666">
        <v>2</v>
      </c>
      <c r="AI2666">
        <v>0</v>
      </c>
      <c r="AJ2666">
        <v>0</v>
      </c>
      <c r="AK2666">
        <v>3</v>
      </c>
      <c r="AL2666">
        <v>2</v>
      </c>
      <c r="AM2666">
        <v>0</v>
      </c>
      <c r="AN2666">
        <v>1</v>
      </c>
      <c r="AT2666">
        <v>1</v>
      </c>
      <c r="AU2666">
        <v>11</v>
      </c>
      <c r="AV2666">
        <v>474</v>
      </c>
      <c r="AW2666">
        <v>474</v>
      </c>
      <c r="AX2666">
        <v>637</v>
      </c>
      <c r="BA2666">
        <v>1</v>
      </c>
      <c r="BC2666" t="s">
        <v>5433</v>
      </c>
      <c r="BD2666" s="4">
        <v>43283.165972222225</v>
      </c>
      <c r="BE2666" s="4">
        <v>43283.182615740741</v>
      </c>
      <c r="BF2666" s="4">
        <v>43283.182615740741</v>
      </c>
      <c r="BG2666" t="s">
        <v>83</v>
      </c>
      <c r="BH2666" t="s">
        <v>84</v>
      </c>
      <c r="BI2666" t="s">
        <v>85</v>
      </c>
    </row>
    <row r="2667" spans="1:61" x14ac:dyDescent="0.3">
      <c r="A2667" t="str">
        <f>"201768B0100"</f>
        <v>201768B0100</v>
      </c>
      <c r="B2667" t="s">
        <v>5434</v>
      </c>
      <c r="C2667">
        <v>20</v>
      </c>
      <c r="D2667" t="s">
        <v>79</v>
      </c>
      <c r="E2667">
        <v>12</v>
      </c>
      <c r="F2667" t="s">
        <v>5082</v>
      </c>
      <c r="G2667">
        <v>1768</v>
      </c>
      <c r="H2667">
        <v>1</v>
      </c>
      <c r="I2667" t="s">
        <v>81</v>
      </c>
      <c r="J2667">
        <v>0</v>
      </c>
      <c r="K2667">
        <v>1</v>
      </c>
      <c r="L2667">
        <v>2</v>
      </c>
      <c r="M2667">
        <v>209</v>
      </c>
      <c r="N2667">
        <v>351</v>
      </c>
      <c r="O2667">
        <v>5</v>
      </c>
      <c r="P2667">
        <v>342</v>
      </c>
      <c r="Q2667">
        <v>28</v>
      </c>
      <c r="R2667">
        <v>54</v>
      </c>
      <c r="S2667">
        <v>16</v>
      </c>
      <c r="T2667">
        <v>8</v>
      </c>
      <c r="U2667">
        <v>21</v>
      </c>
      <c r="V2667">
        <v>5</v>
      </c>
      <c r="W2667">
        <v>9</v>
      </c>
      <c r="X2667" t="s">
        <v>100</v>
      </c>
      <c r="Y2667">
        <v>147</v>
      </c>
      <c r="Z2667">
        <v>14</v>
      </c>
      <c r="AA2667">
        <v>3</v>
      </c>
      <c r="AB2667">
        <v>10</v>
      </c>
      <c r="AC2667" t="s">
        <v>100</v>
      </c>
      <c r="AD2667">
        <v>1</v>
      </c>
      <c r="AE2667" t="s">
        <v>100</v>
      </c>
      <c r="AF2667">
        <v>1</v>
      </c>
      <c r="AG2667">
        <v>1</v>
      </c>
      <c r="AH2667">
        <v>2</v>
      </c>
      <c r="AI2667" t="s">
        <v>100</v>
      </c>
      <c r="AJ2667" t="s">
        <v>100</v>
      </c>
      <c r="AK2667">
        <v>5</v>
      </c>
      <c r="AL2667" t="s">
        <v>100</v>
      </c>
      <c r="AM2667" t="s">
        <v>100</v>
      </c>
      <c r="AN2667">
        <v>6</v>
      </c>
      <c r="AT2667">
        <v>1</v>
      </c>
      <c r="AU2667">
        <v>10</v>
      </c>
      <c r="AV2667">
        <v>342</v>
      </c>
      <c r="AW2667">
        <v>342</v>
      </c>
      <c r="AX2667">
        <v>536</v>
      </c>
      <c r="AZ2667" t="s">
        <v>101</v>
      </c>
      <c r="BA2667">
        <v>1</v>
      </c>
      <c r="BC2667" t="s">
        <v>5435</v>
      </c>
      <c r="BD2667" s="4">
        <v>43283.066666666666</v>
      </c>
      <c r="BE2667" s="4">
        <v>43283.07534722222</v>
      </c>
      <c r="BF2667" s="4">
        <v>43283.07534722222</v>
      </c>
      <c r="BG2667" t="s">
        <v>83</v>
      </c>
      <c r="BH2667" t="s">
        <v>84</v>
      </c>
      <c r="BI2667" t="s">
        <v>85</v>
      </c>
    </row>
    <row r="2668" spans="1:61" x14ac:dyDescent="0.3">
      <c r="A2668" t="str">
        <f>"201768C0100"</f>
        <v>201768C0100</v>
      </c>
      <c r="B2668" t="s">
        <v>5436</v>
      </c>
      <c r="C2668">
        <v>20</v>
      </c>
      <c r="D2668" t="s">
        <v>79</v>
      </c>
      <c r="E2668">
        <v>12</v>
      </c>
      <c r="F2668" t="s">
        <v>5082</v>
      </c>
      <c r="G2668">
        <v>1768</v>
      </c>
      <c r="H2668">
        <v>1</v>
      </c>
      <c r="I2668" t="s">
        <v>89</v>
      </c>
      <c r="J2668">
        <v>0</v>
      </c>
      <c r="K2668">
        <v>1</v>
      </c>
      <c r="L2668">
        <v>2</v>
      </c>
      <c r="M2668">
        <v>200</v>
      </c>
      <c r="N2668">
        <v>329</v>
      </c>
      <c r="O2668">
        <v>329</v>
      </c>
      <c r="P2668">
        <v>329</v>
      </c>
      <c r="Q2668">
        <v>38</v>
      </c>
      <c r="R2668">
        <v>51</v>
      </c>
      <c r="S2668">
        <v>15</v>
      </c>
      <c r="T2668">
        <v>5</v>
      </c>
      <c r="U2668">
        <v>20</v>
      </c>
      <c r="V2668">
        <v>5</v>
      </c>
      <c r="W2668">
        <v>2</v>
      </c>
      <c r="X2668">
        <v>6</v>
      </c>
      <c r="Y2668">
        <v>139</v>
      </c>
      <c r="Z2668">
        <v>13</v>
      </c>
      <c r="AA2668">
        <v>2</v>
      </c>
      <c r="AB2668">
        <v>10</v>
      </c>
      <c r="AC2668">
        <v>1</v>
      </c>
      <c r="AD2668">
        <v>1</v>
      </c>
      <c r="AE2668">
        <v>1</v>
      </c>
      <c r="AF2668">
        <v>1</v>
      </c>
      <c r="AG2668">
        <v>1</v>
      </c>
      <c r="AH2668">
        <v>0</v>
      </c>
      <c r="AI2668">
        <v>0</v>
      </c>
      <c r="AJ2668">
        <v>0</v>
      </c>
      <c r="AK2668">
        <v>4</v>
      </c>
      <c r="AL2668">
        <v>3</v>
      </c>
      <c r="AM2668">
        <v>0</v>
      </c>
      <c r="AN2668">
        <v>0</v>
      </c>
      <c r="AT2668" t="s">
        <v>100</v>
      </c>
      <c r="AU2668">
        <v>10</v>
      </c>
      <c r="AV2668">
        <v>329</v>
      </c>
      <c r="AW2668">
        <v>328</v>
      </c>
      <c r="AX2668">
        <v>536</v>
      </c>
      <c r="AZ2668" t="s">
        <v>101</v>
      </c>
      <c r="BA2668">
        <v>1</v>
      </c>
      <c r="BC2668" t="s">
        <v>5437</v>
      </c>
      <c r="BD2668" s="4">
        <v>43283.06527777778</v>
      </c>
      <c r="BE2668" s="4">
        <v>43283.072627314818</v>
      </c>
      <c r="BF2668" s="4">
        <v>43283.072627314818</v>
      </c>
      <c r="BG2668" t="s">
        <v>83</v>
      </c>
      <c r="BH2668" t="s">
        <v>84</v>
      </c>
      <c r="BI2668" t="s">
        <v>85</v>
      </c>
    </row>
    <row r="2669" spans="1:61" x14ac:dyDescent="0.3">
      <c r="A2669" t="str">
        <f>"202301B0100"</f>
        <v>202301B0100</v>
      </c>
      <c r="B2669" t="s">
        <v>5438</v>
      </c>
      <c r="C2669">
        <v>20</v>
      </c>
      <c r="D2669" t="s">
        <v>79</v>
      </c>
      <c r="E2669">
        <v>12</v>
      </c>
      <c r="F2669" t="s">
        <v>5082</v>
      </c>
      <c r="G2669">
        <v>2301</v>
      </c>
      <c r="H2669">
        <v>1</v>
      </c>
      <c r="I2669" t="s">
        <v>81</v>
      </c>
      <c r="J2669">
        <v>0</v>
      </c>
      <c r="K2669">
        <v>2</v>
      </c>
      <c r="L2669">
        <v>2</v>
      </c>
      <c r="M2669">
        <v>222</v>
      </c>
      <c r="N2669">
        <v>454</v>
      </c>
      <c r="O2669">
        <v>0</v>
      </c>
      <c r="P2669">
        <v>0</v>
      </c>
      <c r="Q2669">
        <v>10</v>
      </c>
      <c r="R2669">
        <v>70</v>
      </c>
      <c r="S2669">
        <v>25</v>
      </c>
      <c r="T2669">
        <v>15</v>
      </c>
      <c r="U2669">
        <v>38</v>
      </c>
      <c r="V2669">
        <v>16</v>
      </c>
      <c r="W2669">
        <v>6</v>
      </c>
      <c r="X2669">
        <v>40</v>
      </c>
      <c r="Y2669">
        <v>167</v>
      </c>
      <c r="Z2669">
        <v>7</v>
      </c>
      <c r="AA2669">
        <v>3</v>
      </c>
      <c r="AB2669">
        <v>6</v>
      </c>
      <c r="AC2669">
        <v>2</v>
      </c>
      <c r="AD2669">
        <v>0</v>
      </c>
      <c r="AE2669">
        <v>0</v>
      </c>
      <c r="AF2669">
        <v>1</v>
      </c>
      <c r="AG2669">
        <v>2</v>
      </c>
      <c r="AH2669">
        <v>2</v>
      </c>
      <c r="AI2669">
        <v>1</v>
      </c>
      <c r="AJ2669">
        <v>0</v>
      </c>
      <c r="AK2669">
        <v>6</v>
      </c>
      <c r="AL2669">
        <v>5</v>
      </c>
      <c r="AM2669">
        <v>0</v>
      </c>
      <c r="AN2669">
        <v>2</v>
      </c>
      <c r="AT2669">
        <v>7</v>
      </c>
      <c r="AU2669">
        <v>23</v>
      </c>
      <c r="AV2669">
        <v>454</v>
      </c>
      <c r="AW2669">
        <v>454</v>
      </c>
      <c r="AX2669">
        <v>654</v>
      </c>
      <c r="BA2669">
        <v>1</v>
      </c>
      <c r="BC2669" t="s">
        <v>5439</v>
      </c>
      <c r="BD2669" s="4">
        <v>43283.21597222222</v>
      </c>
      <c r="BE2669" s="4">
        <v>43283.237847222219</v>
      </c>
      <c r="BF2669" s="4">
        <v>43283.237847222219</v>
      </c>
      <c r="BG2669" t="s">
        <v>83</v>
      </c>
      <c r="BH2669" t="s">
        <v>84</v>
      </c>
      <c r="BI2669" t="s">
        <v>85</v>
      </c>
    </row>
    <row r="2670" spans="1:61" x14ac:dyDescent="0.3">
      <c r="A2670" t="str">
        <f>"202301C0100"</f>
        <v>202301C0100</v>
      </c>
      <c r="B2670" t="s">
        <v>5440</v>
      </c>
      <c r="C2670">
        <v>20</v>
      </c>
      <c r="D2670" t="s">
        <v>79</v>
      </c>
      <c r="E2670">
        <v>12</v>
      </c>
      <c r="F2670" t="s">
        <v>5082</v>
      </c>
      <c r="G2670">
        <v>2301</v>
      </c>
      <c r="H2670">
        <v>1</v>
      </c>
      <c r="I2670" t="s">
        <v>89</v>
      </c>
      <c r="J2670">
        <v>0</v>
      </c>
      <c r="K2670">
        <v>2</v>
      </c>
      <c r="L2670">
        <v>2</v>
      </c>
      <c r="M2670">
        <v>204</v>
      </c>
      <c r="N2670">
        <v>470</v>
      </c>
      <c r="O2670">
        <v>0</v>
      </c>
      <c r="P2670">
        <v>473</v>
      </c>
      <c r="Q2670">
        <v>8</v>
      </c>
      <c r="R2670">
        <v>77</v>
      </c>
      <c r="S2670">
        <v>39</v>
      </c>
      <c r="T2670">
        <v>16</v>
      </c>
      <c r="U2670">
        <v>36</v>
      </c>
      <c r="V2670">
        <v>8</v>
      </c>
      <c r="W2670">
        <v>4</v>
      </c>
      <c r="X2670">
        <v>53</v>
      </c>
      <c r="Y2670">
        <v>178</v>
      </c>
      <c r="Z2670">
        <v>11</v>
      </c>
      <c r="AA2670">
        <v>4</v>
      </c>
      <c r="AB2670">
        <v>4</v>
      </c>
      <c r="AC2670">
        <v>0</v>
      </c>
      <c r="AD2670">
        <v>0</v>
      </c>
      <c r="AE2670">
        <v>0</v>
      </c>
      <c r="AF2670">
        <v>0</v>
      </c>
      <c r="AG2670">
        <v>2</v>
      </c>
      <c r="AH2670">
        <v>2</v>
      </c>
      <c r="AI2670">
        <v>1</v>
      </c>
      <c r="AJ2670">
        <v>0</v>
      </c>
      <c r="AK2670">
        <v>4</v>
      </c>
      <c r="AL2670">
        <v>2</v>
      </c>
      <c r="AM2670">
        <v>0</v>
      </c>
      <c r="AN2670">
        <v>3</v>
      </c>
      <c r="AT2670">
        <v>0</v>
      </c>
      <c r="AU2670">
        <v>21</v>
      </c>
      <c r="AV2670">
        <v>473</v>
      </c>
      <c r="AW2670">
        <v>473</v>
      </c>
      <c r="AX2670">
        <v>654</v>
      </c>
      <c r="BA2670">
        <v>1</v>
      </c>
      <c r="BC2670" t="s">
        <v>5441</v>
      </c>
      <c r="BD2670" s="4">
        <v>43283.216666666667</v>
      </c>
      <c r="BE2670" s="4">
        <v>43283.241666666669</v>
      </c>
      <c r="BF2670" s="4">
        <v>43283.241666666669</v>
      </c>
      <c r="BG2670" t="s">
        <v>83</v>
      </c>
      <c r="BH2670" t="s">
        <v>84</v>
      </c>
      <c r="BI2670" t="s">
        <v>85</v>
      </c>
    </row>
    <row r="2671" spans="1:61" x14ac:dyDescent="0.3">
      <c r="A2671" t="str">
        <f>"202301C0200"</f>
        <v>202301C0200</v>
      </c>
      <c r="B2671" t="s">
        <v>5442</v>
      </c>
      <c r="C2671">
        <v>20</v>
      </c>
      <c r="D2671" t="s">
        <v>79</v>
      </c>
      <c r="E2671">
        <v>12</v>
      </c>
      <c r="F2671" t="s">
        <v>5082</v>
      </c>
      <c r="G2671">
        <v>2301</v>
      </c>
      <c r="H2671">
        <v>2</v>
      </c>
      <c r="I2671" t="s">
        <v>89</v>
      </c>
      <c r="J2671">
        <v>0</v>
      </c>
      <c r="K2671">
        <v>2</v>
      </c>
      <c r="L2671">
        <v>2</v>
      </c>
      <c r="M2671">
        <v>196</v>
      </c>
      <c r="N2671">
        <v>479</v>
      </c>
      <c r="O2671">
        <v>0</v>
      </c>
      <c r="P2671">
        <v>479</v>
      </c>
      <c r="Q2671">
        <v>8</v>
      </c>
      <c r="R2671">
        <v>81</v>
      </c>
      <c r="S2671">
        <v>53</v>
      </c>
      <c r="T2671">
        <v>13</v>
      </c>
      <c r="U2671">
        <v>34</v>
      </c>
      <c r="V2671">
        <v>9</v>
      </c>
      <c r="W2671">
        <v>8</v>
      </c>
      <c r="X2671">
        <v>39</v>
      </c>
      <c r="Y2671">
        <v>182</v>
      </c>
      <c r="Z2671">
        <v>11</v>
      </c>
      <c r="AA2671">
        <v>4</v>
      </c>
      <c r="AB2671">
        <v>7</v>
      </c>
      <c r="AC2671">
        <v>3</v>
      </c>
      <c r="AD2671">
        <v>0</v>
      </c>
      <c r="AE2671">
        <v>0</v>
      </c>
      <c r="AF2671">
        <v>0</v>
      </c>
      <c r="AG2671">
        <v>0</v>
      </c>
      <c r="AH2671">
        <v>3</v>
      </c>
      <c r="AI2671">
        <v>3</v>
      </c>
      <c r="AJ2671">
        <v>0</v>
      </c>
      <c r="AK2671">
        <v>2</v>
      </c>
      <c r="AL2671">
        <v>4</v>
      </c>
      <c r="AM2671">
        <v>0</v>
      </c>
      <c r="AN2671">
        <v>2</v>
      </c>
      <c r="AT2671">
        <v>0</v>
      </c>
      <c r="AU2671">
        <v>13</v>
      </c>
      <c r="AV2671">
        <v>479</v>
      </c>
      <c r="AW2671">
        <v>479</v>
      </c>
      <c r="AX2671">
        <v>653</v>
      </c>
      <c r="BA2671">
        <v>1</v>
      </c>
      <c r="BC2671" t="s">
        <v>5443</v>
      </c>
      <c r="BD2671" s="4">
        <v>43283.217361111114</v>
      </c>
      <c r="BE2671" s="4">
        <v>43283.242893518516</v>
      </c>
      <c r="BF2671" s="4">
        <v>43283.242893518516</v>
      </c>
      <c r="BG2671" t="s">
        <v>83</v>
      </c>
      <c r="BH2671" t="s">
        <v>84</v>
      </c>
      <c r="BI2671" t="s">
        <v>85</v>
      </c>
    </row>
    <row r="2672" spans="1:61" x14ac:dyDescent="0.3">
      <c r="A2672" t="str">
        <f>"202302B0100"</f>
        <v>202302B0100</v>
      </c>
      <c r="B2672" t="s">
        <v>5444</v>
      </c>
      <c r="C2672">
        <v>20</v>
      </c>
      <c r="D2672" t="s">
        <v>79</v>
      </c>
      <c r="E2672">
        <v>12</v>
      </c>
      <c r="F2672" t="s">
        <v>5082</v>
      </c>
      <c r="G2672">
        <v>2302</v>
      </c>
      <c r="H2672">
        <v>1</v>
      </c>
      <c r="I2672" t="s">
        <v>81</v>
      </c>
      <c r="J2672">
        <v>0</v>
      </c>
      <c r="K2672">
        <v>2</v>
      </c>
      <c r="L2672">
        <v>2</v>
      </c>
      <c r="M2672">
        <v>116</v>
      </c>
      <c r="N2672">
        <v>320</v>
      </c>
      <c r="O2672">
        <v>5</v>
      </c>
      <c r="P2672">
        <v>320</v>
      </c>
      <c r="Q2672">
        <v>10</v>
      </c>
      <c r="R2672">
        <v>37</v>
      </c>
      <c r="S2672">
        <v>15</v>
      </c>
      <c r="T2672">
        <v>8</v>
      </c>
      <c r="U2672">
        <v>31</v>
      </c>
      <c r="V2672">
        <v>5</v>
      </c>
      <c r="W2672">
        <v>2</v>
      </c>
      <c r="X2672">
        <v>15</v>
      </c>
      <c r="Y2672">
        <v>160</v>
      </c>
      <c r="Z2672">
        <v>16</v>
      </c>
      <c r="AA2672">
        <v>1</v>
      </c>
      <c r="AB2672">
        <v>4</v>
      </c>
      <c r="AC2672">
        <v>1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7</v>
      </c>
      <c r="AL2672">
        <v>2</v>
      </c>
      <c r="AM2672">
        <v>1</v>
      </c>
      <c r="AN2672">
        <v>1</v>
      </c>
      <c r="AT2672">
        <v>0</v>
      </c>
      <c r="AU2672">
        <v>4</v>
      </c>
      <c r="AV2672">
        <v>320</v>
      </c>
      <c r="AW2672">
        <v>320</v>
      </c>
      <c r="AX2672">
        <v>414</v>
      </c>
      <c r="BA2672">
        <v>1</v>
      </c>
      <c r="BC2672" t="s">
        <v>5445</v>
      </c>
      <c r="BD2672" s="4">
        <v>43283.226388888892</v>
      </c>
      <c r="BE2672" s="4">
        <v>43283.251354166663</v>
      </c>
      <c r="BF2672" s="4">
        <v>43283.251354166663</v>
      </c>
      <c r="BG2672" t="s">
        <v>83</v>
      </c>
      <c r="BH2672" t="s">
        <v>84</v>
      </c>
      <c r="BI2672" t="s">
        <v>85</v>
      </c>
    </row>
    <row r="2673" spans="1:61" x14ac:dyDescent="0.3">
      <c r="A2673" t="str">
        <f>"202302C0100"</f>
        <v>202302C0100</v>
      </c>
      <c r="B2673" t="s">
        <v>5446</v>
      </c>
      <c r="C2673">
        <v>20</v>
      </c>
      <c r="D2673" t="s">
        <v>79</v>
      </c>
      <c r="E2673">
        <v>12</v>
      </c>
      <c r="F2673" t="s">
        <v>5082</v>
      </c>
      <c r="G2673">
        <v>2302</v>
      </c>
      <c r="H2673">
        <v>1</v>
      </c>
      <c r="I2673" t="s">
        <v>89</v>
      </c>
      <c r="J2673">
        <v>0</v>
      </c>
      <c r="K2673">
        <v>2</v>
      </c>
      <c r="L2673">
        <v>2</v>
      </c>
      <c r="M2673">
        <v>105</v>
      </c>
      <c r="N2673">
        <v>331</v>
      </c>
      <c r="O2673">
        <v>5</v>
      </c>
      <c r="P2673">
        <v>331</v>
      </c>
      <c r="Q2673">
        <v>7</v>
      </c>
      <c r="R2673">
        <v>36</v>
      </c>
      <c r="S2673">
        <v>5</v>
      </c>
      <c r="T2673">
        <v>5</v>
      </c>
      <c r="U2673">
        <v>33</v>
      </c>
      <c r="V2673">
        <v>5</v>
      </c>
      <c r="W2673">
        <v>7</v>
      </c>
      <c r="X2673">
        <v>7</v>
      </c>
      <c r="Y2673">
        <v>184</v>
      </c>
      <c r="Z2673">
        <v>10</v>
      </c>
      <c r="AA2673">
        <v>2</v>
      </c>
      <c r="AB2673">
        <v>3</v>
      </c>
      <c r="AC2673">
        <v>1</v>
      </c>
      <c r="AD2673">
        <v>0</v>
      </c>
      <c r="AE2673">
        <v>0</v>
      </c>
      <c r="AF2673">
        <v>0</v>
      </c>
      <c r="AG2673">
        <v>0</v>
      </c>
      <c r="AH2673">
        <v>1</v>
      </c>
      <c r="AI2673">
        <v>2</v>
      </c>
      <c r="AJ2673">
        <v>0</v>
      </c>
      <c r="AK2673">
        <v>5</v>
      </c>
      <c r="AL2673">
        <v>4</v>
      </c>
      <c r="AM2673">
        <v>0</v>
      </c>
      <c r="AN2673">
        <v>1</v>
      </c>
      <c r="AT2673">
        <v>0</v>
      </c>
      <c r="AU2673">
        <v>13</v>
      </c>
      <c r="AV2673">
        <v>331</v>
      </c>
      <c r="AW2673">
        <v>331</v>
      </c>
      <c r="AX2673">
        <v>414</v>
      </c>
      <c r="BA2673">
        <v>1</v>
      </c>
      <c r="BC2673" t="s">
        <v>5447</v>
      </c>
      <c r="BD2673" s="4">
        <v>43283.225694444445</v>
      </c>
      <c r="BE2673" s="4">
        <v>43283.248622685183</v>
      </c>
      <c r="BF2673" s="4">
        <v>43283.248622685183</v>
      </c>
      <c r="BG2673" t="s">
        <v>83</v>
      </c>
      <c r="BH2673" t="s">
        <v>84</v>
      </c>
      <c r="BI2673" t="s">
        <v>85</v>
      </c>
    </row>
    <row r="2674" spans="1:61" x14ac:dyDescent="0.3">
      <c r="A2674" t="str">
        <f>"202303B0100"</f>
        <v>202303B0100</v>
      </c>
      <c r="B2674" t="s">
        <v>5448</v>
      </c>
      <c r="C2674">
        <v>20</v>
      </c>
      <c r="D2674" t="s">
        <v>79</v>
      </c>
      <c r="E2674">
        <v>12</v>
      </c>
      <c r="F2674" t="s">
        <v>5082</v>
      </c>
      <c r="G2674">
        <v>2303</v>
      </c>
      <c r="H2674">
        <v>1</v>
      </c>
      <c r="I2674" t="s">
        <v>81</v>
      </c>
      <c r="J2674">
        <v>0</v>
      </c>
      <c r="K2674">
        <v>2</v>
      </c>
      <c r="L2674">
        <v>2</v>
      </c>
      <c r="M2674">
        <v>213</v>
      </c>
      <c r="N2674">
        <v>547</v>
      </c>
      <c r="O2674">
        <v>0</v>
      </c>
      <c r="P2674">
        <v>546</v>
      </c>
      <c r="Q2674">
        <v>29</v>
      </c>
      <c r="R2674">
        <v>69</v>
      </c>
      <c r="S2674">
        <v>39</v>
      </c>
      <c r="T2674">
        <v>15</v>
      </c>
      <c r="U2674">
        <v>39</v>
      </c>
      <c r="V2674">
        <v>11</v>
      </c>
      <c r="W2674">
        <v>7</v>
      </c>
      <c r="X2674">
        <v>47</v>
      </c>
      <c r="Y2674">
        <v>220</v>
      </c>
      <c r="Z2674">
        <v>13</v>
      </c>
      <c r="AA2674">
        <v>5</v>
      </c>
      <c r="AB2674">
        <v>8</v>
      </c>
      <c r="AC2674">
        <v>2</v>
      </c>
      <c r="AD2674">
        <v>4</v>
      </c>
      <c r="AE2674">
        <v>0</v>
      </c>
      <c r="AF2674">
        <v>0</v>
      </c>
      <c r="AG2674">
        <v>0</v>
      </c>
      <c r="AH2674">
        <v>1</v>
      </c>
      <c r="AI2674">
        <v>1</v>
      </c>
      <c r="AJ2674">
        <v>1</v>
      </c>
      <c r="AK2674">
        <v>1</v>
      </c>
      <c r="AL2674">
        <v>14</v>
      </c>
      <c r="AM2674">
        <v>3</v>
      </c>
      <c r="AN2674">
        <v>0</v>
      </c>
      <c r="AT2674">
        <v>0</v>
      </c>
      <c r="AU2674">
        <v>22</v>
      </c>
      <c r="AV2674">
        <v>546</v>
      </c>
      <c r="AW2674">
        <v>551</v>
      </c>
      <c r="AX2674">
        <v>739</v>
      </c>
      <c r="BA2674">
        <v>1</v>
      </c>
      <c r="BC2674" t="s">
        <v>5449</v>
      </c>
      <c r="BD2674" s="4">
        <v>43283.223611111112</v>
      </c>
      <c r="BE2674" s="4">
        <v>43283.248090277775</v>
      </c>
      <c r="BF2674" s="4">
        <v>43283.248090277775</v>
      </c>
      <c r="BG2674" t="s">
        <v>83</v>
      </c>
      <c r="BH2674" t="s">
        <v>84</v>
      </c>
      <c r="BI2674" t="s">
        <v>85</v>
      </c>
    </row>
    <row r="2675" spans="1:61" x14ac:dyDescent="0.3">
      <c r="A2675" t="str">
        <f>"202303C0100"</f>
        <v>202303C0100</v>
      </c>
      <c r="B2675" t="s">
        <v>5450</v>
      </c>
      <c r="C2675">
        <v>20</v>
      </c>
      <c r="D2675" t="s">
        <v>79</v>
      </c>
      <c r="E2675">
        <v>12</v>
      </c>
      <c r="F2675" t="s">
        <v>5082</v>
      </c>
      <c r="G2675">
        <v>2303</v>
      </c>
      <c r="H2675">
        <v>1</v>
      </c>
      <c r="I2675" t="s">
        <v>89</v>
      </c>
      <c r="J2675">
        <v>0</v>
      </c>
      <c r="K2675">
        <v>2</v>
      </c>
      <c r="L2675">
        <v>2</v>
      </c>
      <c r="M2675">
        <v>222</v>
      </c>
      <c r="N2675">
        <v>539</v>
      </c>
      <c r="O2675">
        <v>1</v>
      </c>
      <c r="P2675">
        <v>539</v>
      </c>
      <c r="Q2675">
        <v>22</v>
      </c>
      <c r="R2675">
        <v>70</v>
      </c>
      <c r="S2675">
        <v>37</v>
      </c>
      <c r="T2675">
        <v>9</v>
      </c>
      <c r="U2675">
        <v>46</v>
      </c>
      <c r="V2675">
        <v>10</v>
      </c>
      <c r="W2675">
        <v>4</v>
      </c>
      <c r="X2675">
        <v>33</v>
      </c>
      <c r="Y2675">
        <v>26</v>
      </c>
      <c r="Z2675">
        <v>16</v>
      </c>
      <c r="AA2675">
        <v>5</v>
      </c>
      <c r="AB2675">
        <v>5</v>
      </c>
      <c r="AC2675">
        <v>5</v>
      </c>
      <c r="AD2675">
        <v>5</v>
      </c>
      <c r="AE2675">
        <v>0</v>
      </c>
      <c r="AF2675">
        <v>0</v>
      </c>
      <c r="AG2675">
        <v>1</v>
      </c>
      <c r="AH2675">
        <v>4</v>
      </c>
      <c r="AI2675">
        <v>0</v>
      </c>
      <c r="AJ2675">
        <v>1</v>
      </c>
      <c r="AK2675">
        <v>7</v>
      </c>
      <c r="AL2675">
        <v>0</v>
      </c>
      <c r="AM2675">
        <v>1</v>
      </c>
      <c r="AN2675">
        <v>0</v>
      </c>
      <c r="AT2675">
        <v>0</v>
      </c>
      <c r="AU2675">
        <v>30</v>
      </c>
      <c r="AV2675">
        <v>321</v>
      </c>
      <c r="AW2675">
        <v>337</v>
      </c>
      <c r="AX2675">
        <v>739</v>
      </c>
      <c r="BA2675">
        <v>1</v>
      </c>
      <c r="BC2675" t="s">
        <v>5451</v>
      </c>
      <c r="BD2675" s="4">
        <v>43283.222916666666</v>
      </c>
      <c r="BE2675" s="4">
        <v>43283.245810185188</v>
      </c>
      <c r="BF2675" s="4">
        <v>43283.245810185188</v>
      </c>
      <c r="BG2675" t="s">
        <v>83</v>
      </c>
      <c r="BH2675" t="s">
        <v>84</v>
      </c>
      <c r="BI2675" t="s">
        <v>85</v>
      </c>
    </row>
    <row r="2676" spans="1:61" x14ac:dyDescent="0.3">
      <c r="A2676" t="str">
        <f>"202454B0100"</f>
        <v>202454B0100</v>
      </c>
      <c r="B2676" t="s">
        <v>5452</v>
      </c>
      <c r="C2676">
        <v>20</v>
      </c>
      <c r="D2676" t="s">
        <v>79</v>
      </c>
      <c r="E2676">
        <v>12</v>
      </c>
      <c r="F2676" t="s">
        <v>5082</v>
      </c>
      <c r="G2676">
        <v>2454</v>
      </c>
      <c r="H2676">
        <v>1</v>
      </c>
      <c r="I2676" t="s">
        <v>81</v>
      </c>
      <c r="J2676">
        <v>0</v>
      </c>
      <c r="K2676">
        <v>1</v>
      </c>
      <c r="L2676">
        <v>2</v>
      </c>
      <c r="M2676">
        <v>72</v>
      </c>
      <c r="N2676">
        <v>159</v>
      </c>
      <c r="O2676">
        <v>9</v>
      </c>
      <c r="P2676">
        <v>159</v>
      </c>
      <c r="Q2676">
        <v>10</v>
      </c>
      <c r="R2676">
        <v>25</v>
      </c>
      <c r="S2676">
        <v>2</v>
      </c>
      <c r="T2676">
        <v>2</v>
      </c>
      <c r="U2676">
        <v>4</v>
      </c>
      <c r="V2676">
        <v>2</v>
      </c>
      <c r="W2676">
        <v>6</v>
      </c>
      <c r="X2676">
        <v>4</v>
      </c>
      <c r="Y2676">
        <v>78</v>
      </c>
      <c r="Z2676">
        <v>1</v>
      </c>
      <c r="AA2676">
        <v>6</v>
      </c>
      <c r="AB2676">
        <v>8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3</v>
      </c>
      <c r="AL2676">
        <v>3</v>
      </c>
      <c r="AM2676">
        <v>0</v>
      </c>
      <c r="AN2676">
        <v>0</v>
      </c>
      <c r="AT2676">
        <v>0</v>
      </c>
      <c r="AU2676">
        <v>5</v>
      </c>
      <c r="AV2676">
        <v>159</v>
      </c>
      <c r="AW2676">
        <v>159</v>
      </c>
      <c r="AX2676">
        <v>209</v>
      </c>
      <c r="BA2676">
        <v>1</v>
      </c>
      <c r="BC2676" t="s">
        <v>5453</v>
      </c>
      <c r="BD2676" s="4">
        <v>43283.074305555558</v>
      </c>
      <c r="BE2676" s="4">
        <v>43283.081504629627</v>
      </c>
      <c r="BF2676" s="4">
        <v>43283.081504629627</v>
      </c>
      <c r="BG2676" t="s">
        <v>83</v>
      </c>
      <c r="BH2676" t="s">
        <v>84</v>
      </c>
      <c r="BI2676" t="s">
        <v>85</v>
      </c>
    </row>
    <row r="2677" spans="1:61" x14ac:dyDescent="0.3">
      <c r="A2677" t="str">
        <f>"200484B0100"</f>
        <v>200484B0100</v>
      </c>
      <c r="B2677" t="s">
        <v>5454</v>
      </c>
      <c r="C2677">
        <v>20</v>
      </c>
      <c r="D2677" t="s">
        <v>79</v>
      </c>
      <c r="E2677">
        <v>13</v>
      </c>
      <c r="F2677" t="s">
        <v>5455</v>
      </c>
      <c r="G2677">
        <v>484</v>
      </c>
      <c r="H2677">
        <v>1</v>
      </c>
      <c r="I2677" t="s">
        <v>81</v>
      </c>
      <c r="J2677">
        <v>0</v>
      </c>
      <c r="K2677">
        <v>1</v>
      </c>
      <c r="L2677">
        <v>2</v>
      </c>
      <c r="M2677">
        <v>198</v>
      </c>
      <c r="N2677">
        <v>531</v>
      </c>
      <c r="O2677">
        <v>6</v>
      </c>
      <c r="P2677">
        <v>536</v>
      </c>
      <c r="Q2677">
        <v>71</v>
      </c>
      <c r="R2677">
        <v>61</v>
      </c>
      <c r="S2677">
        <v>7</v>
      </c>
      <c r="T2677">
        <v>15</v>
      </c>
      <c r="U2677">
        <v>23</v>
      </c>
      <c r="V2677">
        <v>5</v>
      </c>
      <c r="W2677">
        <v>9</v>
      </c>
      <c r="X2677">
        <v>4</v>
      </c>
      <c r="Y2677">
        <v>287</v>
      </c>
      <c r="Z2677">
        <v>10</v>
      </c>
      <c r="AA2677">
        <v>3</v>
      </c>
      <c r="AB2677">
        <v>14</v>
      </c>
      <c r="AC2677">
        <v>1</v>
      </c>
      <c r="AD2677">
        <v>0</v>
      </c>
      <c r="AE2677">
        <v>0</v>
      </c>
      <c r="AF2677">
        <v>1</v>
      </c>
      <c r="AK2677">
        <v>3</v>
      </c>
      <c r="AL2677">
        <v>5</v>
      </c>
      <c r="AM2677">
        <v>0</v>
      </c>
      <c r="AN2677">
        <v>0</v>
      </c>
      <c r="AT2677">
        <v>0</v>
      </c>
      <c r="AU2677">
        <v>17</v>
      </c>
      <c r="AV2677">
        <v>536</v>
      </c>
      <c r="AW2677">
        <v>536</v>
      </c>
      <c r="AX2677">
        <v>702</v>
      </c>
      <c r="BA2677">
        <v>1</v>
      </c>
      <c r="BC2677" t="s">
        <v>5456</v>
      </c>
      <c r="BD2677" s="4">
        <v>43283.163194444445</v>
      </c>
      <c r="BE2677" s="4">
        <v>43283.175266203703</v>
      </c>
      <c r="BF2677" s="4">
        <v>43283.175266203703</v>
      </c>
      <c r="BG2677" t="s">
        <v>83</v>
      </c>
      <c r="BH2677" t="s">
        <v>84</v>
      </c>
      <c r="BI2677" t="s">
        <v>85</v>
      </c>
    </row>
    <row r="2678" spans="1:61" x14ac:dyDescent="0.3">
      <c r="A2678" t="str">
        <f>"200484C0100"</f>
        <v>200484C0100</v>
      </c>
      <c r="B2678" t="s">
        <v>5457</v>
      </c>
      <c r="C2678">
        <v>20</v>
      </c>
      <c r="D2678" t="s">
        <v>79</v>
      </c>
      <c r="E2678">
        <v>13</v>
      </c>
      <c r="F2678" t="s">
        <v>5455</v>
      </c>
      <c r="G2678">
        <v>484</v>
      </c>
      <c r="H2678">
        <v>1</v>
      </c>
      <c r="I2678" t="s">
        <v>89</v>
      </c>
      <c r="J2678">
        <v>0</v>
      </c>
      <c r="K2678">
        <v>1</v>
      </c>
      <c r="L2678">
        <v>2</v>
      </c>
      <c r="M2678">
        <v>214</v>
      </c>
      <c r="N2678">
        <v>508</v>
      </c>
      <c r="O2678">
        <v>10</v>
      </c>
      <c r="P2678">
        <v>498</v>
      </c>
      <c r="Q2678">
        <v>52</v>
      </c>
      <c r="R2678">
        <v>81</v>
      </c>
      <c r="S2678">
        <v>6</v>
      </c>
      <c r="T2678">
        <v>21</v>
      </c>
      <c r="U2678">
        <v>16</v>
      </c>
      <c r="V2678">
        <v>12</v>
      </c>
      <c r="W2678">
        <v>11</v>
      </c>
      <c r="X2678">
        <v>5</v>
      </c>
      <c r="Y2678">
        <v>238</v>
      </c>
      <c r="Z2678">
        <v>11</v>
      </c>
      <c r="AA2678">
        <v>4</v>
      </c>
      <c r="AB2678">
        <v>20</v>
      </c>
      <c r="AC2678">
        <v>1</v>
      </c>
      <c r="AD2678">
        <v>0</v>
      </c>
      <c r="AE2678">
        <v>0</v>
      </c>
      <c r="AF2678">
        <v>0</v>
      </c>
      <c r="AK2678">
        <v>4</v>
      </c>
      <c r="AL2678">
        <v>2</v>
      </c>
      <c r="AM2678">
        <v>0</v>
      </c>
      <c r="AN2678">
        <v>1</v>
      </c>
      <c r="AT2678">
        <v>0</v>
      </c>
      <c r="AU2678">
        <v>13</v>
      </c>
      <c r="AV2678">
        <v>498</v>
      </c>
      <c r="AW2678">
        <v>498</v>
      </c>
      <c r="AX2678">
        <v>701</v>
      </c>
      <c r="BA2678">
        <v>1</v>
      </c>
      <c r="BC2678" t="s">
        <v>5458</v>
      </c>
      <c r="BD2678" s="4">
        <v>43283.163888888892</v>
      </c>
      <c r="BE2678" s="4">
        <v>43283.177141203705</v>
      </c>
      <c r="BF2678" s="4">
        <v>43283.177141203705</v>
      </c>
      <c r="BG2678" t="s">
        <v>83</v>
      </c>
      <c r="BH2678" t="s">
        <v>84</v>
      </c>
      <c r="BI2678" t="s">
        <v>85</v>
      </c>
    </row>
    <row r="2679" spans="1:61" x14ac:dyDescent="0.3">
      <c r="A2679" t="str">
        <f>"200504B0100"</f>
        <v>200504B0100</v>
      </c>
      <c r="B2679" t="s">
        <v>5459</v>
      </c>
      <c r="C2679">
        <v>20</v>
      </c>
      <c r="D2679" t="s">
        <v>79</v>
      </c>
      <c r="E2679">
        <v>13</v>
      </c>
      <c r="F2679" t="s">
        <v>5455</v>
      </c>
      <c r="G2679">
        <v>504</v>
      </c>
      <c r="H2679">
        <v>1</v>
      </c>
      <c r="I2679" t="s">
        <v>81</v>
      </c>
      <c r="J2679">
        <v>0</v>
      </c>
      <c r="K2679">
        <v>1</v>
      </c>
      <c r="L2679">
        <v>2</v>
      </c>
      <c r="M2679">
        <v>154</v>
      </c>
      <c r="N2679">
        <v>421</v>
      </c>
      <c r="O2679">
        <v>4</v>
      </c>
      <c r="P2679">
        <v>421</v>
      </c>
      <c r="Q2679">
        <v>51</v>
      </c>
      <c r="R2679">
        <v>68</v>
      </c>
      <c r="S2679">
        <v>7</v>
      </c>
      <c r="T2679">
        <v>13</v>
      </c>
      <c r="U2679">
        <v>14</v>
      </c>
      <c r="V2679">
        <v>8</v>
      </c>
      <c r="W2679">
        <v>7</v>
      </c>
      <c r="X2679">
        <v>6</v>
      </c>
      <c r="Y2679">
        <v>199</v>
      </c>
      <c r="Z2679">
        <v>9</v>
      </c>
      <c r="AA2679">
        <v>3</v>
      </c>
      <c r="AB2679">
        <v>11</v>
      </c>
      <c r="AC2679">
        <v>1</v>
      </c>
      <c r="AD2679">
        <v>0</v>
      </c>
      <c r="AE2679">
        <v>0</v>
      </c>
      <c r="AF2679">
        <v>0</v>
      </c>
      <c r="AK2679">
        <v>3</v>
      </c>
      <c r="AL2679">
        <v>0</v>
      </c>
      <c r="AM2679">
        <v>0</v>
      </c>
      <c r="AN2679">
        <v>1</v>
      </c>
      <c r="AT2679">
        <v>0</v>
      </c>
      <c r="AU2679">
        <v>20</v>
      </c>
      <c r="AV2679">
        <v>421</v>
      </c>
      <c r="AW2679">
        <v>421</v>
      </c>
      <c r="AX2679">
        <v>554</v>
      </c>
      <c r="BA2679">
        <v>1</v>
      </c>
      <c r="BC2679" t="s">
        <v>5460</v>
      </c>
      <c r="BD2679" s="4">
        <v>43283.164583333331</v>
      </c>
      <c r="BE2679" s="4">
        <v>43283.175474537034</v>
      </c>
      <c r="BF2679" s="4">
        <v>43283.175474537034</v>
      </c>
      <c r="BG2679" t="s">
        <v>83</v>
      </c>
      <c r="BH2679" t="s">
        <v>84</v>
      </c>
      <c r="BI2679" t="s">
        <v>85</v>
      </c>
    </row>
    <row r="2680" spans="1:61" x14ac:dyDescent="0.3">
      <c r="A2680" t="str">
        <f>"200504C0100"</f>
        <v>200504C0100</v>
      </c>
      <c r="B2680" t="s">
        <v>5461</v>
      </c>
      <c r="C2680">
        <v>20</v>
      </c>
      <c r="D2680" t="s">
        <v>79</v>
      </c>
      <c r="E2680">
        <v>13</v>
      </c>
      <c r="F2680" t="s">
        <v>5455</v>
      </c>
      <c r="G2680">
        <v>504</v>
      </c>
      <c r="H2680">
        <v>1</v>
      </c>
      <c r="I2680" t="s">
        <v>89</v>
      </c>
      <c r="J2680">
        <v>0</v>
      </c>
      <c r="K2680">
        <v>1</v>
      </c>
      <c r="L2680">
        <v>2</v>
      </c>
      <c r="M2680">
        <v>192</v>
      </c>
      <c r="N2680">
        <v>384</v>
      </c>
      <c r="O2680">
        <v>6</v>
      </c>
      <c r="P2680">
        <v>384</v>
      </c>
      <c r="Q2680">
        <v>46</v>
      </c>
      <c r="R2680">
        <v>65</v>
      </c>
      <c r="S2680">
        <v>11</v>
      </c>
      <c r="T2680">
        <v>8</v>
      </c>
      <c r="U2680">
        <v>13</v>
      </c>
      <c r="V2680">
        <v>3</v>
      </c>
      <c r="W2680">
        <v>8</v>
      </c>
      <c r="X2680">
        <v>3</v>
      </c>
      <c r="Y2680">
        <v>183</v>
      </c>
      <c r="Z2680">
        <v>5</v>
      </c>
      <c r="AA2680">
        <v>1</v>
      </c>
      <c r="AB2680">
        <v>13</v>
      </c>
      <c r="AC2680">
        <v>3</v>
      </c>
      <c r="AD2680">
        <v>0</v>
      </c>
      <c r="AE2680">
        <v>0</v>
      </c>
      <c r="AF2680">
        <v>0</v>
      </c>
      <c r="AK2680">
        <v>3</v>
      </c>
      <c r="AL2680">
        <v>1</v>
      </c>
      <c r="AM2680">
        <v>0</v>
      </c>
      <c r="AN2680">
        <v>2</v>
      </c>
      <c r="AT2680">
        <v>1</v>
      </c>
      <c r="AU2680">
        <v>16</v>
      </c>
      <c r="AV2680">
        <v>384</v>
      </c>
      <c r="AW2680">
        <v>385</v>
      </c>
      <c r="AX2680">
        <v>554</v>
      </c>
      <c r="BA2680">
        <v>1</v>
      </c>
      <c r="BC2680" t="s">
        <v>5462</v>
      </c>
      <c r="BD2680" s="4">
        <v>43283.158333333333</v>
      </c>
      <c r="BE2680" s="4">
        <v>43283.1719212963</v>
      </c>
      <c r="BF2680" s="4">
        <v>43283.1719212963</v>
      </c>
      <c r="BG2680" t="s">
        <v>83</v>
      </c>
      <c r="BH2680" t="s">
        <v>84</v>
      </c>
      <c r="BI2680" t="s">
        <v>85</v>
      </c>
    </row>
    <row r="2681" spans="1:61" x14ac:dyDescent="0.3">
      <c r="A2681" t="str">
        <f>"200504C0200"</f>
        <v>200504C0200</v>
      </c>
      <c r="B2681" t="s">
        <v>5463</v>
      </c>
      <c r="C2681">
        <v>20</v>
      </c>
      <c r="D2681" t="s">
        <v>79</v>
      </c>
      <c r="E2681">
        <v>13</v>
      </c>
      <c r="F2681" t="s">
        <v>5455</v>
      </c>
      <c r="G2681">
        <v>504</v>
      </c>
      <c r="H2681">
        <v>2</v>
      </c>
      <c r="I2681" t="s">
        <v>89</v>
      </c>
      <c r="J2681">
        <v>0</v>
      </c>
      <c r="K2681">
        <v>1</v>
      </c>
      <c r="L2681">
        <v>2</v>
      </c>
      <c r="M2681">
        <v>195</v>
      </c>
      <c r="N2681">
        <v>380</v>
      </c>
      <c r="O2681">
        <v>5</v>
      </c>
      <c r="P2681">
        <v>377</v>
      </c>
      <c r="Q2681">
        <v>47</v>
      </c>
      <c r="R2681">
        <v>65</v>
      </c>
      <c r="S2681">
        <v>6</v>
      </c>
      <c r="T2681">
        <v>7</v>
      </c>
      <c r="U2681">
        <v>12</v>
      </c>
      <c r="V2681">
        <v>14</v>
      </c>
      <c r="W2681">
        <v>4</v>
      </c>
      <c r="X2681">
        <v>7</v>
      </c>
      <c r="Y2681">
        <v>167</v>
      </c>
      <c r="Z2681">
        <v>7</v>
      </c>
      <c r="AA2681">
        <v>4</v>
      </c>
      <c r="AB2681">
        <v>13</v>
      </c>
      <c r="AC2681">
        <v>1</v>
      </c>
      <c r="AD2681">
        <v>1</v>
      </c>
      <c r="AE2681">
        <v>0</v>
      </c>
      <c r="AF2681">
        <v>0</v>
      </c>
      <c r="AK2681">
        <v>2</v>
      </c>
      <c r="AL2681">
        <v>2</v>
      </c>
      <c r="AM2681">
        <v>0</v>
      </c>
      <c r="AN2681">
        <v>1</v>
      </c>
      <c r="AT2681" t="s">
        <v>100</v>
      </c>
      <c r="AU2681">
        <v>17</v>
      </c>
      <c r="AV2681">
        <v>377</v>
      </c>
      <c r="AW2681">
        <v>377</v>
      </c>
      <c r="AX2681">
        <v>553</v>
      </c>
      <c r="AZ2681" t="s">
        <v>101</v>
      </c>
      <c r="BA2681">
        <v>1</v>
      </c>
      <c r="BC2681" t="s">
        <v>5464</v>
      </c>
      <c r="BD2681" s="4">
        <v>43283.165277777778</v>
      </c>
      <c r="BE2681" s="4">
        <v>43283.176736111112</v>
      </c>
      <c r="BF2681" s="4">
        <v>43283.176736111112</v>
      </c>
      <c r="BG2681" t="s">
        <v>83</v>
      </c>
      <c r="BH2681" t="s">
        <v>84</v>
      </c>
      <c r="BI2681" t="s">
        <v>85</v>
      </c>
    </row>
    <row r="2682" spans="1:61" x14ac:dyDescent="0.3">
      <c r="A2682" t="str">
        <f>"200505B0100"</f>
        <v>200505B0100</v>
      </c>
      <c r="B2682" t="s">
        <v>5465</v>
      </c>
      <c r="C2682">
        <v>20</v>
      </c>
      <c r="D2682" t="s">
        <v>79</v>
      </c>
      <c r="E2682">
        <v>13</v>
      </c>
      <c r="F2682" t="s">
        <v>5455</v>
      </c>
      <c r="G2682">
        <v>505</v>
      </c>
      <c r="H2682">
        <v>1</v>
      </c>
      <c r="I2682" t="s">
        <v>81</v>
      </c>
      <c r="J2682">
        <v>0</v>
      </c>
      <c r="K2682">
        <v>1</v>
      </c>
      <c r="L2682">
        <v>2</v>
      </c>
      <c r="M2682">
        <v>213</v>
      </c>
      <c r="N2682">
        <v>471</v>
      </c>
      <c r="O2682">
        <v>15</v>
      </c>
      <c r="P2682">
        <v>463</v>
      </c>
      <c r="Q2682">
        <v>47</v>
      </c>
      <c r="R2682">
        <v>61</v>
      </c>
      <c r="S2682">
        <v>11</v>
      </c>
      <c r="T2682">
        <v>16</v>
      </c>
      <c r="U2682">
        <v>10</v>
      </c>
      <c r="V2682">
        <v>6</v>
      </c>
      <c r="W2682">
        <v>8</v>
      </c>
      <c r="X2682">
        <v>3</v>
      </c>
      <c r="Y2682">
        <v>246</v>
      </c>
      <c r="Z2682">
        <v>5</v>
      </c>
      <c r="AA2682">
        <v>8</v>
      </c>
      <c r="AB2682">
        <v>17</v>
      </c>
      <c r="AC2682">
        <v>1</v>
      </c>
      <c r="AD2682">
        <v>0</v>
      </c>
      <c r="AE2682">
        <v>0</v>
      </c>
      <c r="AF2682">
        <v>0</v>
      </c>
      <c r="AK2682">
        <v>7</v>
      </c>
      <c r="AL2682">
        <v>3</v>
      </c>
      <c r="AM2682">
        <v>0</v>
      </c>
      <c r="AN2682">
        <v>1</v>
      </c>
      <c r="AT2682">
        <v>1</v>
      </c>
      <c r="AU2682">
        <v>12</v>
      </c>
      <c r="AV2682">
        <v>463</v>
      </c>
      <c r="AW2682">
        <v>463</v>
      </c>
      <c r="AX2682">
        <v>662</v>
      </c>
      <c r="BA2682">
        <v>1</v>
      </c>
      <c r="BC2682" t="s">
        <v>5466</v>
      </c>
      <c r="BD2682" s="4">
        <v>43283.163888888892</v>
      </c>
      <c r="BE2682" s="4">
        <v>43283.175532407404</v>
      </c>
      <c r="BF2682" s="4">
        <v>43283.175532407404</v>
      </c>
      <c r="BG2682" t="s">
        <v>83</v>
      </c>
      <c r="BH2682" t="s">
        <v>84</v>
      </c>
      <c r="BI2682" t="s">
        <v>85</v>
      </c>
    </row>
    <row r="2683" spans="1:61" x14ac:dyDescent="0.3">
      <c r="A2683" t="str">
        <f>"200505C0100"</f>
        <v>200505C0100</v>
      </c>
      <c r="B2683" t="s">
        <v>5467</v>
      </c>
      <c r="C2683">
        <v>20</v>
      </c>
      <c r="D2683" t="s">
        <v>79</v>
      </c>
      <c r="E2683">
        <v>13</v>
      </c>
      <c r="F2683" t="s">
        <v>5455</v>
      </c>
      <c r="G2683">
        <v>505</v>
      </c>
      <c r="H2683">
        <v>1</v>
      </c>
      <c r="I2683" t="s">
        <v>89</v>
      </c>
      <c r="J2683">
        <v>0</v>
      </c>
      <c r="K2683">
        <v>1</v>
      </c>
      <c r="L2683">
        <v>2</v>
      </c>
      <c r="M2683">
        <v>219</v>
      </c>
      <c r="N2683">
        <v>471</v>
      </c>
      <c r="O2683">
        <v>11</v>
      </c>
      <c r="P2683">
        <v>471</v>
      </c>
      <c r="Q2683">
        <v>55</v>
      </c>
      <c r="R2683">
        <v>64</v>
      </c>
      <c r="S2683">
        <v>11</v>
      </c>
      <c r="T2683">
        <v>7</v>
      </c>
      <c r="U2683">
        <v>14</v>
      </c>
      <c r="V2683">
        <v>10</v>
      </c>
      <c r="W2683">
        <v>7</v>
      </c>
      <c r="X2683">
        <v>6</v>
      </c>
      <c r="Y2683">
        <v>239</v>
      </c>
      <c r="Z2683">
        <v>9</v>
      </c>
      <c r="AA2683">
        <v>2</v>
      </c>
      <c r="AB2683">
        <v>18</v>
      </c>
      <c r="AC2683">
        <v>1</v>
      </c>
      <c r="AD2683">
        <v>1</v>
      </c>
      <c r="AE2683">
        <v>0</v>
      </c>
      <c r="AF2683">
        <v>0</v>
      </c>
      <c r="AK2683">
        <v>10</v>
      </c>
      <c r="AL2683">
        <v>1</v>
      </c>
      <c r="AM2683">
        <v>0</v>
      </c>
      <c r="AN2683">
        <v>1</v>
      </c>
      <c r="AT2683">
        <v>0</v>
      </c>
      <c r="AU2683">
        <v>11</v>
      </c>
      <c r="AV2683">
        <v>471</v>
      </c>
      <c r="AW2683">
        <v>467</v>
      </c>
      <c r="AX2683">
        <v>661</v>
      </c>
      <c r="BA2683">
        <v>1</v>
      </c>
      <c r="BC2683" t="s">
        <v>5468</v>
      </c>
      <c r="BD2683" s="4">
        <v>43283.157638888886</v>
      </c>
      <c r="BE2683" s="4">
        <v>43283.169664351852</v>
      </c>
      <c r="BF2683" s="4">
        <v>43283.169664351852</v>
      </c>
      <c r="BG2683" t="s">
        <v>83</v>
      </c>
      <c r="BH2683" t="s">
        <v>84</v>
      </c>
      <c r="BI2683" t="s">
        <v>85</v>
      </c>
    </row>
    <row r="2684" spans="1:61" x14ac:dyDescent="0.3">
      <c r="A2684" t="str">
        <f>"200524B0100"</f>
        <v>200524B0100</v>
      </c>
      <c r="B2684" t="s">
        <v>5469</v>
      </c>
      <c r="C2684">
        <v>20</v>
      </c>
      <c r="D2684" t="s">
        <v>79</v>
      </c>
      <c r="E2684">
        <v>13</v>
      </c>
      <c r="F2684" t="s">
        <v>5455</v>
      </c>
      <c r="G2684">
        <v>524</v>
      </c>
      <c r="H2684">
        <v>1</v>
      </c>
      <c r="I2684" t="s">
        <v>81</v>
      </c>
      <c r="J2684">
        <v>0</v>
      </c>
      <c r="K2684">
        <v>1</v>
      </c>
      <c r="L2684">
        <v>2</v>
      </c>
      <c r="M2684">
        <v>238</v>
      </c>
      <c r="N2684">
        <v>440</v>
      </c>
      <c r="O2684">
        <v>7</v>
      </c>
      <c r="P2684">
        <v>438</v>
      </c>
      <c r="Q2684">
        <v>31</v>
      </c>
      <c r="R2684">
        <v>53</v>
      </c>
      <c r="S2684">
        <v>8</v>
      </c>
      <c r="T2684">
        <v>9</v>
      </c>
      <c r="U2684">
        <v>11</v>
      </c>
      <c r="V2684">
        <v>4</v>
      </c>
      <c r="W2684">
        <v>6</v>
      </c>
      <c r="X2684">
        <v>5</v>
      </c>
      <c r="Y2684">
        <v>242</v>
      </c>
      <c r="Z2684">
        <v>10</v>
      </c>
      <c r="AA2684">
        <v>3</v>
      </c>
      <c r="AB2684">
        <v>25</v>
      </c>
      <c r="AC2684">
        <v>2</v>
      </c>
      <c r="AD2684">
        <v>1</v>
      </c>
      <c r="AE2684">
        <v>0</v>
      </c>
      <c r="AF2684">
        <v>0</v>
      </c>
      <c r="AK2684">
        <v>5</v>
      </c>
      <c r="AL2684">
        <v>2</v>
      </c>
      <c r="AM2684">
        <v>0</v>
      </c>
      <c r="AN2684">
        <v>0</v>
      </c>
      <c r="AT2684">
        <v>0</v>
      </c>
      <c r="AU2684">
        <v>21</v>
      </c>
      <c r="AV2684">
        <v>438</v>
      </c>
      <c r="AW2684">
        <v>438</v>
      </c>
      <c r="AX2684">
        <v>654</v>
      </c>
      <c r="BA2684">
        <v>1</v>
      </c>
      <c r="BC2684" t="s">
        <v>5470</v>
      </c>
      <c r="BD2684" s="4">
        <v>43283.136111111111</v>
      </c>
      <c r="BE2684" s="4">
        <v>43283.141238425924</v>
      </c>
      <c r="BF2684" s="4">
        <v>43283.141238425924</v>
      </c>
      <c r="BG2684" t="s">
        <v>83</v>
      </c>
      <c r="BH2684" t="s">
        <v>84</v>
      </c>
      <c r="BI2684" t="s">
        <v>85</v>
      </c>
    </row>
    <row r="2685" spans="1:61" x14ac:dyDescent="0.3">
      <c r="A2685" t="str">
        <f>"200524C0100"</f>
        <v>200524C0100</v>
      </c>
      <c r="B2685" t="s">
        <v>5471</v>
      </c>
      <c r="C2685">
        <v>20</v>
      </c>
      <c r="D2685" t="s">
        <v>79</v>
      </c>
      <c r="E2685">
        <v>13</v>
      </c>
      <c r="F2685" t="s">
        <v>5455</v>
      </c>
      <c r="G2685">
        <v>524</v>
      </c>
      <c r="H2685">
        <v>1</v>
      </c>
      <c r="I2685" t="s">
        <v>89</v>
      </c>
      <c r="J2685">
        <v>0</v>
      </c>
      <c r="K2685">
        <v>1</v>
      </c>
      <c r="L2685">
        <v>2</v>
      </c>
      <c r="M2685">
        <v>222</v>
      </c>
      <c r="N2685">
        <v>453</v>
      </c>
      <c r="O2685">
        <v>7</v>
      </c>
      <c r="P2685">
        <v>453</v>
      </c>
      <c r="Q2685">
        <v>43</v>
      </c>
      <c r="R2685">
        <v>47</v>
      </c>
      <c r="S2685">
        <v>9</v>
      </c>
      <c r="T2685">
        <v>6</v>
      </c>
      <c r="U2685">
        <v>15</v>
      </c>
      <c r="V2685">
        <v>6</v>
      </c>
      <c r="W2685">
        <v>12</v>
      </c>
      <c r="X2685">
        <v>5</v>
      </c>
      <c r="Y2685">
        <v>259</v>
      </c>
      <c r="Z2685">
        <v>8</v>
      </c>
      <c r="AA2685">
        <v>2</v>
      </c>
      <c r="AB2685">
        <v>21</v>
      </c>
      <c r="AC2685">
        <v>1</v>
      </c>
      <c r="AD2685">
        <v>0</v>
      </c>
      <c r="AE2685">
        <v>0</v>
      </c>
      <c r="AF2685">
        <v>0</v>
      </c>
      <c r="AK2685">
        <v>1</v>
      </c>
      <c r="AL2685">
        <v>1</v>
      </c>
      <c r="AM2685">
        <v>0</v>
      </c>
      <c r="AN2685">
        <v>3</v>
      </c>
      <c r="AT2685">
        <v>1</v>
      </c>
      <c r="AU2685">
        <v>13</v>
      </c>
      <c r="AV2685">
        <v>453</v>
      </c>
      <c r="AW2685">
        <v>453</v>
      </c>
      <c r="AX2685">
        <v>653</v>
      </c>
      <c r="BA2685">
        <v>1</v>
      </c>
      <c r="BC2685" t="s">
        <v>5472</v>
      </c>
      <c r="BD2685" s="4">
        <v>43283.140972222223</v>
      </c>
      <c r="BE2685" s="4">
        <v>43283.145138888889</v>
      </c>
      <c r="BF2685" s="4">
        <v>43283.145138888889</v>
      </c>
      <c r="BG2685" t="s">
        <v>83</v>
      </c>
      <c r="BH2685" t="s">
        <v>84</v>
      </c>
      <c r="BI2685" t="s">
        <v>85</v>
      </c>
    </row>
    <row r="2686" spans="1:61" x14ac:dyDescent="0.3">
      <c r="A2686" t="str">
        <f>"200524C0200"</f>
        <v>200524C0200</v>
      </c>
      <c r="B2686" t="s">
        <v>5473</v>
      </c>
      <c r="C2686">
        <v>20</v>
      </c>
      <c r="D2686" t="s">
        <v>79</v>
      </c>
      <c r="E2686">
        <v>13</v>
      </c>
      <c r="F2686" t="s">
        <v>5455</v>
      </c>
      <c r="G2686">
        <v>524</v>
      </c>
      <c r="H2686">
        <v>2</v>
      </c>
      <c r="I2686" t="s">
        <v>89</v>
      </c>
      <c r="J2686">
        <v>0</v>
      </c>
      <c r="K2686">
        <v>1</v>
      </c>
      <c r="L2686">
        <v>2</v>
      </c>
      <c r="M2686">
        <v>260</v>
      </c>
      <c r="N2686">
        <v>414</v>
      </c>
      <c r="O2686">
        <v>3</v>
      </c>
      <c r="P2686">
        <v>413</v>
      </c>
      <c r="Q2686">
        <v>38</v>
      </c>
      <c r="R2686">
        <v>46</v>
      </c>
      <c r="S2686">
        <v>7</v>
      </c>
      <c r="T2686">
        <v>10</v>
      </c>
      <c r="U2686">
        <v>19</v>
      </c>
      <c r="V2686">
        <v>4</v>
      </c>
      <c r="W2686">
        <v>10</v>
      </c>
      <c r="X2686">
        <v>3</v>
      </c>
      <c r="Y2686">
        <v>218</v>
      </c>
      <c r="Z2686">
        <v>10</v>
      </c>
      <c r="AA2686">
        <v>3</v>
      </c>
      <c r="AB2686">
        <v>17</v>
      </c>
      <c r="AC2686">
        <v>2</v>
      </c>
      <c r="AD2686">
        <v>0</v>
      </c>
      <c r="AE2686">
        <v>0</v>
      </c>
      <c r="AF2686">
        <v>1</v>
      </c>
      <c r="AK2686">
        <v>6</v>
      </c>
      <c r="AL2686">
        <v>1</v>
      </c>
      <c r="AM2686">
        <v>0</v>
      </c>
      <c r="AN2686">
        <v>3</v>
      </c>
      <c r="AT2686">
        <v>0</v>
      </c>
      <c r="AU2686">
        <v>16</v>
      </c>
      <c r="AV2686">
        <v>414</v>
      </c>
      <c r="AW2686">
        <v>414</v>
      </c>
      <c r="AX2686">
        <v>653</v>
      </c>
      <c r="BA2686">
        <v>1</v>
      </c>
      <c r="BC2686" t="s">
        <v>5474</v>
      </c>
      <c r="BD2686" s="4">
        <v>43283.134722222225</v>
      </c>
      <c r="BE2686" s="4">
        <v>43283.139884259261</v>
      </c>
      <c r="BF2686" s="4">
        <v>43283.139884259261</v>
      </c>
      <c r="BG2686" t="s">
        <v>83</v>
      </c>
      <c r="BH2686" t="s">
        <v>84</v>
      </c>
      <c r="BI2686" t="s">
        <v>85</v>
      </c>
    </row>
    <row r="2687" spans="1:61" x14ac:dyDescent="0.3">
      <c r="A2687" t="str">
        <f>"200524C0300"</f>
        <v>200524C0300</v>
      </c>
      <c r="B2687" t="s">
        <v>5475</v>
      </c>
      <c r="C2687">
        <v>20</v>
      </c>
      <c r="D2687" t="s">
        <v>79</v>
      </c>
      <c r="E2687">
        <v>13</v>
      </c>
      <c r="F2687" t="s">
        <v>5455</v>
      </c>
      <c r="G2687">
        <v>524</v>
      </c>
      <c r="H2687">
        <v>3</v>
      </c>
      <c r="I2687" t="s">
        <v>89</v>
      </c>
      <c r="J2687">
        <v>0</v>
      </c>
      <c r="K2687">
        <v>1</v>
      </c>
      <c r="L2687">
        <v>2</v>
      </c>
      <c r="M2687">
        <v>265</v>
      </c>
      <c r="N2687">
        <v>408</v>
      </c>
      <c r="O2687">
        <v>2</v>
      </c>
      <c r="P2687">
        <v>408</v>
      </c>
      <c r="Q2687">
        <v>41</v>
      </c>
      <c r="R2687">
        <v>47</v>
      </c>
      <c r="S2687">
        <v>5</v>
      </c>
      <c r="T2687">
        <v>8</v>
      </c>
      <c r="U2687">
        <v>17</v>
      </c>
      <c r="V2687">
        <v>3</v>
      </c>
      <c r="W2687">
        <v>11</v>
      </c>
      <c r="X2687">
        <v>6</v>
      </c>
      <c r="Y2687">
        <v>228</v>
      </c>
      <c r="Z2687">
        <v>8</v>
      </c>
      <c r="AA2687">
        <v>4</v>
      </c>
      <c r="AB2687">
        <v>11</v>
      </c>
      <c r="AC2687">
        <v>1</v>
      </c>
      <c r="AD2687">
        <v>1</v>
      </c>
      <c r="AE2687">
        <v>0</v>
      </c>
      <c r="AF2687">
        <v>0</v>
      </c>
      <c r="AK2687">
        <v>4</v>
      </c>
      <c r="AL2687">
        <v>2</v>
      </c>
      <c r="AM2687">
        <v>0</v>
      </c>
      <c r="AN2687">
        <v>2</v>
      </c>
      <c r="AT2687">
        <v>0</v>
      </c>
      <c r="AU2687">
        <v>8</v>
      </c>
      <c r="AV2687">
        <v>408</v>
      </c>
      <c r="AW2687">
        <v>407</v>
      </c>
      <c r="AX2687">
        <v>653</v>
      </c>
      <c r="BA2687">
        <v>1</v>
      </c>
      <c r="BC2687" t="s">
        <v>5476</v>
      </c>
      <c r="BD2687" s="4">
        <v>43283.137499999997</v>
      </c>
      <c r="BE2687" s="4">
        <v>43283.143206018518</v>
      </c>
      <c r="BF2687" s="4">
        <v>43283.143206018518</v>
      </c>
      <c r="BG2687" t="s">
        <v>83</v>
      </c>
      <c r="BH2687" t="s">
        <v>84</v>
      </c>
      <c r="BI2687" t="s">
        <v>85</v>
      </c>
    </row>
    <row r="2688" spans="1:61" x14ac:dyDescent="0.3">
      <c r="A2688" t="str">
        <f>"200524C0400"</f>
        <v>200524C0400</v>
      </c>
      <c r="B2688" t="s">
        <v>5477</v>
      </c>
      <c r="C2688">
        <v>20</v>
      </c>
      <c r="D2688" t="s">
        <v>79</v>
      </c>
      <c r="E2688">
        <v>13</v>
      </c>
      <c r="F2688" t="s">
        <v>5455</v>
      </c>
      <c r="G2688">
        <v>524</v>
      </c>
      <c r="H2688">
        <v>4</v>
      </c>
      <c r="I2688" t="s">
        <v>89</v>
      </c>
      <c r="J2688">
        <v>0</v>
      </c>
      <c r="K2688">
        <v>1</v>
      </c>
      <c r="L2688">
        <v>2</v>
      </c>
      <c r="M2688">
        <v>264</v>
      </c>
      <c r="N2688">
        <v>411</v>
      </c>
      <c r="O2688">
        <v>8</v>
      </c>
      <c r="P2688">
        <v>411</v>
      </c>
      <c r="Q2688">
        <v>25</v>
      </c>
      <c r="R2688">
        <v>50</v>
      </c>
      <c r="S2688">
        <v>6</v>
      </c>
      <c r="T2688">
        <v>7</v>
      </c>
      <c r="U2688">
        <v>21</v>
      </c>
      <c r="V2688">
        <v>13</v>
      </c>
      <c r="W2688">
        <v>8</v>
      </c>
      <c r="X2688">
        <v>4</v>
      </c>
      <c r="Y2688">
        <v>229</v>
      </c>
      <c r="Z2688">
        <v>7</v>
      </c>
      <c r="AA2688">
        <v>1</v>
      </c>
      <c r="AB2688">
        <v>18</v>
      </c>
      <c r="AC2688">
        <v>0</v>
      </c>
      <c r="AD2688">
        <v>1</v>
      </c>
      <c r="AE2688">
        <v>0</v>
      </c>
      <c r="AF2688">
        <v>1</v>
      </c>
      <c r="AK2688">
        <v>8</v>
      </c>
      <c r="AL2688">
        <v>2</v>
      </c>
      <c r="AM2688">
        <v>0</v>
      </c>
      <c r="AN2688">
        <v>3</v>
      </c>
      <c r="AT2688">
        <v>0</v>
      </c>
      <c r="AU2688">
        <v>7</v>
      </c>
      <c r="AV2688">
        <v>411</v>
      </c>
      <c r="AW2688">
        <v>411</v>
      </c>
      <c r="AX2688">
        <v>653</v>
      </c>
      <c r="BA2688">
        <v>1</v>
      </c>
      <c r="BC2688" t="s">
        <v>5478</v>
      </c>
      <c r="BD2688" s="4">
        <v>43283.138194444444</v>
      </c>
      <c r="BE2688" s="4">
        <v>43283.143113425926</v>
      </c>
      <c r="BF2688" s="4">
        <v>43283.143113425926</v>
      </c>
      <c r="BG2688" t="s">
        <v>83</v>
      </c>
      <c r="BH2688" t="s">
        <v>84</v>
      </c>
      <c r="BI2688" t="s">
        <v>85</v>
      </c>
    </row>
    <row r="2689" spans="1:61" x14ac:dyDescent="0.3">
      <c r="A2689" t="str">
        <f>"200525B0100"</f>
        <v>200525B0100</v>
      </c>
      <c r="B2689" t="s">
        <v>5479</v>
      </c>
      <c r="C2689">
        <v>20</v>
      </c>
      <c r="D2689" t="s">
        <v>79</v>
      </c>
      <c r="E2689">
        <v>13</v>
      </c>
      <c r="F2689" t="s">
        <v>5455</v>
      </c>
      <c r="G2689">
        <v>525</v>
      </c>
      <c r="H2689">
        <v>1</v>
      </c>
      <c r="I2689" t="s">
        <v>81</v>
      </c>
      <c r="J2689">
        <v>0</v>
      </c>
      <c r="K2689">
        <v>1</v>
      </c>
      <c r="L2689">
        <v>2</v>
      </c>
      <c r="M2689">
        <v>145</v>
      </c>
      <c r="N2689">
        <v>344</v>
      </c>
      <c r="O2689">
        <v>6</v>
      </c>
      <c r="P2689">
        <v>343</v>
      </c>
      <c r="Q2689">
        <v>55</v>
      </c>
      <c r="R2689">
        <v>53</v>
      </c>
      <c r="S2689">
        <v>6</v>
      </c>
      <c r="T2689">
        <v>6</v>
      </c>
      <c r="U2689">
        <v>10</v>
      </c>
      <c r="V2689">
        <v>1</v>
      </c>
      <c r="W2689">
        <v>5</v>
      </c>
      <c r="X2689">
        <v>3</v>
      </c>
      <c r="Y2689">
        <v>160</v>
      </c>
      <c r="Z2689">
        <v>5</v>
      </c>
      <c r="AA2689">
        <v>3</v>
      </c>
      <c r="AB2689">
        <v>18</v>
      </c>
      <c r="AC2689">
        <v>0</v>
      </c>
      <c r="AD2689">
        <v>0</v>
      </c>
      <c r="AE2689">
        <v>0</v>
      </c>
      <c r="AF2689">
        <v>0</v>
      </c>
      <c r="AK2689">
        <v>4</v>
      </c>
      <c r="AL2689">
        <v>0</v>
      </c>
      <c r="AM2689">
        <v>0</v>
      </c>
      <c r="AN2689">
        <v>1</v>
      </c>
      <c r="AT2689">
        <v>0</v>
      </c>
      <c r="AU2689">
        <v>14</v>
      </c>
      <c r="AV2689">
        <v>343</v>
      </c>
      <c r="AW2689">
        <v>344</v>
      </c>
      <c r="AX2689">
        <v>467</v>
      </c>
      <c r="BA2689">
        <v>1</v>
      </c>
      <c r="BC2689" t="s">
        <v>5480</v>
      </c>
      <c r="BD2689" s="4">
        <v>43283.07916666667</v>
      </c>
      <c r="BE2689" s="4">
        <v>43283.092743055553</v>
      </c>
      <c r="BF2689" s="4">
        <v>43283.092743055553</v>
      </c>
      <c r="BG2689" t="s">
        <v>83</v>
      </c>
      <c r="BH2689" t="s">
        <v>84</v>
      </c>
      <c r="BI2689" t="s">
        <v>85</v>
      </c>
    </row>
    <row r="2690" spans="1:61" x14ac:dyDescent="0.3">
      <c r="A2690" t="str">
        <f>"200525C0100"</f>
        <v>200525C0100</v>
      </c>
      <c r="B2690" t="s">
        <v>5481</v>
      </c>
      <c r="C2690">
        <v>20</v>
      </c>
      <c r="D2690" t="s">
        <v>79</v>
      </c>
      <c r="E2690">
        <v>13</v>
      </c>
      <c r="F2690" t="s">
        <v>5455</v>
      </c>
      <c r="G2690">
        <v>525</v>
      </c>
      <c r="H2690">
        <v>1</v>
      </c>
      <c r="I2690" t="s">
        <v>89</v>
      </c>
      <c r="J2690">
        <v>0</v>
      </c>
      <c r="K2690">
        <v>1</v>
      </c>
      <c r="L2690">
        <v>2</v>
      </c>
      <c r="M2690">
        <v>154</v>
      </c>
      <c r="N2690">
        <v>336</v>
      </c>
      <c r="O2690">
        <v>7</v>
      </c>
      <c r="P2690">
        <v>334</v>
      </c>
      <c r="Q2690">
        <v>34</v>
      </c>
      <c r="R2690">
        <v>62</v>
      </c>
      <c r="S2690">
        <v>7</v>
      </c>
      <c r="T2690">
        <v>12</v>
      </c>
      <c r="U2690">
        <v>8</v>
      </c>
      <c r="V2690">
        <v>4</v>
      </c>
      <c r="W2690">
        <v>6</v>
      </c>
      <c r="X2690">
        <v>8</v>
      </c>
      <c r="Y2690">
        <v>153</v>
      </c>
      <c r="Z2690">
        <v>4</v>
      </c>
      <c r="AA2690">
        <v>4</v>
      </c>
      <c r="AB2690">
        <v>10</v>
      </c>
      <c r="AC2690">
        <v>1</v>
      </c>
      <c r="AD2690">
        <v>0</v>
      </c>
      <c r="AE2690">
        <v>0</v>
      </c>
      <c r="AF2690">
        <v>0</v>
      </c>
      <c r="AK2690">
        <v>3</v>
      </c>
      <c r="AL2690">
        <v>0</v>
      </c>
      <c r="AM2690">
        <v>0</v>
      </c>
      <c r="AN2690">
        <v>1</v>
      </c>
      <c r="AT2690">
        <v>0</v>
      </c>
      <c r="AU2690">
        <v>18</v>
      </c>
      <c r="AV2690">
        <v>335</v>
      </c>
      <c r="AW2690">
        <v>335</v>
      </c>
      <c r="AX2690">
        <v>466</v>
      </c>
      <c r="BA2690">
        <v>1</v>
      </c>
      <c r="BC2690" t="s">
        <v>5482</v>
      </c>
      <c r="BD2690" s="4">
        <v>43283.075694444444</v>
      </c>
      <c r="BE2690" s="4">
        <v>43283.084756944445</v>
      </c>
      <c r="BF2690" s="4">
        <v>43283.084756944445</v>
      </c>
      <c r="BG2690" t="s">
        <v>83</v>
      </c>
      <c r="BH2690" t="s">
        <v>84</v>
      </c>
      <c r="BI2690" t="s">
        <v>85</v>
      </c>
    </row>
    <row r="2691" spans="1:61" x14ac:dyDescent="0.3">
      <c r="A2691" t="str">
        <f>"200539B0100"</f>
        <v>200539B0100</v>
      </c>
      <c r="B2691" t="s">
        <v>5483</v>
      </c>
      <c r="C2691">
        <v>20</v>
      </c>
      <c r="D2691" t="s">
        <v>79</v>
      </c>
      <c r="E2691">
        <v>13</v>
      </c>
      <c r="F2691" t="s">
        <v>5455</v>
      </c>
      <c r="G2691">
        <v>539</v>
      </c>
      <c r="H2691">
        <v>1</v>
      </c>
      <c r="I2691" t="s">
        <v>81</v>
      </c>
      <c r="J2691">
        <v>0</v>
      </c>
      <c r="K2691">
        <v>1</v>
      </c>
      <c r="L2691">
        <v>2</v>
      </c>
      <c r="M2691">
        <v>156</v>
      </c>
      <c r="N2691">
        <v>282</v>
      </c>
      <c r="O2691">
        <v>4</v>
      </c>
      <c r="P2691">
        <v>279</v>
      </c>
      <c r="Q2691">
        <v>44</v>
      </c>
      <c r="R2691">
        <v>54</v>
      </c>
      <c r="S2691">
        <v>2</v>
      </c>
      <c r="T2691">
        <v>7</v>
      </c>
      <c r="U2691">
        <v>6</v>
      </c>
      <c r="V2691">
        <v>3</v>
      </c>
      <c r="W2691">
        <v>4</v>
      </c>
      <c r="X2691">
        <v>8</v>
      </c>
      <c r="Y2691">
        <v>109</v>
      </c>
      <c r="Z2691">
        <v>4</v>
      </c>
      <c r="AA2691">
        <v>4</v>
      </c>
      <c r="AB2691">
        <v>16</v>
      </c>
      <c r="AC2691">
        <v>1</v>
      </c>
      <c r="AD2691">
        <v>2</v>
      </c>
      <c r="AE2691">
        <v>0</v>
      </c>
      <c r="AF2691">
        <v>0</v>
      </c>
      <c r="AK2691">
        <v>0</v>
      </c>
      <c r="AL2691">
        <v>1</v>
      </c>
      <c r="AM2691">
        <v>0</v>
      </c>
      <c r="AN2691">
        <v>0</v>
      </c>
      <c r="AT2691">
        <v>0</v>
      </c>
      <c r="AU2691">
        <v>9</v>
      </c>
      <c r="AV2691" t="s">
        <v>100</v>
      </c>
      <c r="AW2691">
        <v>274</v>
      </c>
      <c r="AX2691">
        <v>418</v>
      </c>
      <c r="BA2691">
        <v>1</v>
      </c>
      <c r="BC2691" t="s">
        <v>5484</v>
      </c>
      <c r="BD2691" s="4">
        <v>43283.07916666667</v>
      </c>
      <c r="BE2691" s="4">
        <v>43283.084189814814</v>
      </c>
      <c r="BF2691" s="4">
        <v>43283.084189814814</v>
      </c>
      <c r="BG2691" t="s">
        <v>83</v>
      </c>
      <c r="BH2691" t="s">
        <v>84</v>
      </c>
      <c r="BI2691" t="s">
        <v>85</v>
      </c>
    </row>
    <row r="2692" spans="1:61" x14ac:dyDescent="0.3">
      <c r="A2692" t="str">
        <f>"200539C0100"</f>
        <v>200539C0100</v>
      </c>
      <c r="B2692" t="s">
        <v>5485</v>
      </c>
      <c r="C2692">
        <v>20</v>
      </c>
      <c r="D2692" t="s">
        <v>79</v>
      </c>
      <c r="E2692">
        <v>13</v>
      </c>
      <c r="F2692" t="s">
        <v>5455</v>
      </c>
      <c r="G2692">
        <v>539</v>
      </c>
      <c r="H2692">
        <v>1</v>
      </c>
      <c r="I2692" t="s">
        <v>89</v>
      </c>
      <c r="J2692">
        <v>0</v>
      </c>
      <c r="K2692">
        <v>1</v>
      </c>
      <c r="L2692">
        <v>2</v>
      </c>
      <c r="M2692">
        <v>135</v>
      </c>
      <c r="N2692">
        <v>303</v>
      </c>
      <c r="O2692">
        <v>4</v>
      </c>
      <c r="P2692">
        <v>303</v>
      </c>
      <c r="Q2692">
        <v>55</v>
      </c>
      <c r="R2692">
        <v>30</v>
      </c>
      <c r="S2692">
        <v>4</v>
      </c>
      <c r="T2692">
        <v>11</v>
      </c>
      <c r="U2692">
        <v>13</v>
      </c>
      <c r="V2692">
        <v>9</v>
      </c>
      <c r="W2692">
        <v>3</v>
      </c>
      <c r="X2692">
        <v>10</v>
      </c>
      <c r="Y2692">
        <v>133</v>
      </c>
      <c r="Z2692">
        <v>2</v>
      </c>
      <c r="AA2692">
        <v>3</v>
      </c>
      <c r="AB2692">
        <v>8</v>
      </c>
      <c r="AC2692">
        <v>0</v>
      </c>
      <c r="AD2692">
        <v>0</v>
      </c>
      <c r="AE2692">
        <v>0</v>
      </c>
      <c r="AF2692">
        <v>0</v>
      </c>
      <c r="AK2692">
        <v>3</v>
      </c>
      <c r="AL2692">
        <v>0</v>
      </c>
      <c r="AM2692">
        <v>0</v>
      </c>
      <c r="AN2692">
        <v>0</v>
      </c>
      <c r="AT2692">
        <v>0</v>
      </c>
      <c r="AU2692">
        <v>18</v>
      </c>
      <c r="AV2692">
        <v>302</v>
      </c>
      <c r="AW2692">
        <v>302</v>
      </c>
      <c r="AX2692">
        <v>417</v>
      </c>
      <c r="BA2692">
        <v>1</v>
      </c>
      <c r="BC2692" t="s">
        <v>5486</v>
      </c>
      <c r="BD2692" s="4">
        <v>43283.081250000003</v>
      </c>
      <c r="BE2692" s="4">
        <v>43283.086180555554</v>
      </c>
      <c r="BF2692" s="4">
        <v>43283.086180555554</v>
      </c>
      <c r="BG2692" t="s">
        <v>83</v>
      </c>
      <c r="BH2692" t="s">
        <v>84</v>
      </c>
      <c r="BI2692" t="s">
        <v>85</v>
      </c>
    </row>
    <row r="2693" spans="1:61" x14ac:dyDescent="0.3">
      <c r="A2693" t="str">
        <f>"200540B0100"</f>
        <v>200540B0100</v>
      </c>
      <c r="B2693" t="s">
        <v>5487</v>
      </c>
      <c r="C2693">
        <v>20</v>
      </c>
      <c r="D2693" t="s">
        <v>79</v>
      </c>
      <c r="E2693">
        <v>13</v>
      </c>
      <c r="F2693" t="s">
        <v>5455</v>
      </c>
      <c r="G2693">
        <v>540</v>
      </c>
      <c r="H2693">
        <v>1</v>
      </c>
      <c r="I2693" t="s">
        <v>81</v>
      </c>
      <c r="J2693">
        <v>0</v>
      </c>
      <c r="K2693">
        <v>1</v>
      </c>
      <c r="L2693">
        <v>2</v>
      </c>
      <c r="M2693">
        <v>317</v>
      </c>
      <c r="N2693">
        <v>368</v>
      </c>
      <c r="O2693">
        <v>3</v>
      </c>
      <c r="P2693">
        <v>365</v>
      </c>
      <c r="Q2693">
        <v>25</v>
      </c>
      <c r="R2693">
        <v>69</v>
      </c>
      <c r="S2693">
        <v>3</v>
      </c>
      <c r="T2693">
        <v>5</v>
      </c>
      <c r="U2693">
        <v>21</v>
      </c>
      <c r="V2693">
        <v>2</v>
      </c>
      <c r="W2693">
        <v>2</v>
      </c>
      <c r="X2693">
        <v>2</v>
      </c>
      <c r="Y2693">
        <v>194</v>
      </c>
      <c r="Z2693">
        <v>6</v>
      </c>
      <c r="AA2693">
        <v>1</v>
      </c>
      <c r="AB2693">
        <v>10</v>
      </c>
      <c r="AC2693">
        <v>0</v>
      </c>
      <c r="AD2693">
        <v>0</v>
      </c>
      <c r="AE2693">
        <v>0</v>
      </c>
      <c r="AF2693">
        <v>0</v>
      </c>
      <c r="AK2693">
        <v>3</v>
      </c>
      <c r="AL2693">
        <v>3</v>
      </c>
      <c r="AM2693">
        <v>0</v>
      </c>
      <c r="AN2693">
        <v>1</v>
      </c>
      <c r="AT2693">
        <v>0</v>
      </c>
      <c r="AU2693">
        <v>18</v>
      </c>
      <c r="AV2693">
        <v>365</v>
      </c>
      <c r="AW2693">
        <v>365</v>
      </c>
      <c r="AX2693">
        <v>663</v>
      </c>
      <c r="BA2693">
        <v>1</v>
      </c>
      <c r="BC2693" t="s">
        <v>5488</v>
      </c>
      <c r="BD2693" s="4">
        <v>43283.046712962961</v>
      </c>
      <c r="BE2693" s="4">
        <v>43283.050358796296</v>
      </c>
      <c r="BF2693" s="4">
        <v>43283.050358796296</v>
      </c>
      <c r="BG2693" t="s">
        <v>373</v>
      </c>
      <c r="BH2693" t="s">
        <v>374</v>
      </c>
      <c r="BI2693" t="s">
        <v>85</v>
      </c>
    </row>
    <row r="2694" spans="1:61" x14ac:dyDescent="0.3">
      <c r="A2694" t="str">
        <f>"200540C0100"</f>
        <v>200540C0100</v>
      </c>
      <c r="B2694" t="s">
        <v>5489</v>
      </c>
      <c r="C2694">
        <v>20</v>
      </c>
      <c r="D2694" t="s">
        <v>79</v>
      </c>
      <c r="E2694">
        <v>13</v>
      </c>
      <c r="F2694" t="s">
        <v>5455</v>
      </c>
      <c r="G2694">
        <v>540</v>
      </c>
      <c r="H2694">
        <v>1</v>
      </c>
      <c r="I2694" t="s">
        <v>89</v>
      </c>
      <c r="J2694">
        <v>0</v>
      </c>
      <c r="K2694">
        <v>1</v>
      </c>
      <c r="L2694">
        <v>2</v>
      </c>
      <c r="M2694">
        <v>338</v>
      </c>
      <c r="N2694">
        <v>346</v>
      </c>
      <c r="O2694">
        <v>2</v>
      </c>
      <c r="P2694">
        <v>348</v>
      </c>
      <c r="Q2694">
        <v>25</v>
      </c>
      <c r="R2694">
        <v>49</v>
      </c>
      <c r="S2694">
        <v>4</v>
      </c>
      <c r="T2694">
        <v>4</v>
      </c>
      <c r="U2694">
        <v>29</v>
      </c>
      <c r="V2694">
        <v>7</v>
      </c>
      <c r="W2694">
        <v>13</v>
      </c>
      <c r="X2694">
        <v>7</v>
      </c>
      <c r="Y2694">
        <v>167</v>
      </c>
      <c r="Z2694">
        <v>4</v>
      </c>
      <c r="AA2694">
        <v>3</v>
      </c>
      <c r="AB2694">
        <v>10</v>
      </c>
      <c r="AC2694">
        <v>1</v>
      </c>
      <c r="AD2694">
        <v>1</v>
      </c>
      <c r="AE2694">
        <v>0</v>
      </c>
      <c r="AF2694">
        <v>0</v>
      </c>
      <c r="AK2694">
        <v>11</v>
      </c>
      <c r="AL2694">
        <v>0</v>
      </c>
      <c r="AM2694">
        <v>0</v>
      </c>
      <c r="AN2694">
        <v>0</v>
      </c>
      <c r="AT2694">
        <v>1</v>
      </c>
      <c r="AU2694">
        <v>12</v>
      </c>
      <c r="AV2694">
        <v>348</v>
      </c>
      <c r="AW2694">
        <v>348</v>
      </c>
      <c r="AX2694">
        <v>662</v>
      </c>
      <c r="BA2694">
        <v>1</v>
      </c>
      <c r="BC2694" t="s">
        <v>5490</v>
      </c>
      <c r="BD2694" s="4">
        <v>43283.15625</v>
      </c>
      <c r="BE2694" s="4">
        <v>43283.168622685182</v>
      </c>
      <c r="BF2694" s="4">
        <v>43283.168622685182</v>
      </c>
      <c r="BG2694" t="s">
        <v>83</v>
      </c>
      <c r="BH2694" t="s">
        <v>84</v>
      </c>
      <c r="BI2694" t="s">
        <v>85</v>
      </c>
    </row>
    <row r="2695" spans="1:61" x14ac:dyDescent="0.3">
      <c r="A2695" t="str">
        <f>"200540C0200"</f>
        <v>200540C0200</v>
      </c>
      <c r="B2695" t="s">
        <v>5491</v>
      </c>
      <c r="C2695">
        <v>20</v>
      </c>
      <c r="D2695" t="s">
        <v>79</v>
      </c>
      <c r="E2695">
        <v>13</v>
      </c>
      <c r="F2695" t="s">
        <v>5455</v>
      </c>
      <c r="G2695">
        <v>540</v>
      </c>
      <c r="H2695">
        <v>2</v>
      </c>
      <c r="I2695" t="s">
        <v>89</v>
      </c>
      <c r="J2695">
        <v>0</v>
      </c>
      <c r="K2695">
        <v>1</v>
      </c>
      <c r="L2695">
        <v>2</v>
      </c>
      <c r="M2695">
        <v>329</v>
      </c>
      <c r="N2695">
        <v>355</v>
      </c>
      <c r="O2695">
        <v>3</v>
      </c>
      <c r="P2695">
        <v>356</v>
      </c>
      <c r="Q2695">
        <v>16</v>
      </c>
      <c r="R2695">
        <v>49</v>
      </c>
      <c r="S2695">
        <v>3</v>
      </c>
      <c r="T2695">
        <v>5</v>
      </c>
      <c r="U2695">
        <v>17</v>
      </c>
      <c r="V2695">
        <v>3</v>
      </c>
      <c r="W2695">
        <v>10</v>
      </c>
      <c r="X2695">
        <v>3</v>
      </c>
      <c r="Y2695">
        <v>202</v>
      </c>
      <c r="Z2695">
        <v>6</v>
      </c>
      <c r="AA2695">
        <v>2</v>
      </c>
      <c r="AB2695">
        <v>9</v>
      </c>
      <c r="AC2695">
        <v>1</v>
      </c>
      <c r="AD2695">
        <v>0</v>
      </c>
      <c r="AE2695">
        <v>0</v>
      </c>
      <c r="AF2695">
        <v>0</v>
      </c>
      <c r="AK2695">
        <v>11</v>
      </c>
      <c r="AL2695">
        <v>3</v>
      </c>
      <c r="AM2695">
        <v>0</v>
      </c>
      <c r="AN2695">
        <v>1</v>
      </c>
      <c r="AT2695">
        <v>0</v>
      </c>
      <c r="AU2695">
        <v>15</v>
      </c>
      <c r="AV2695">
        <v>356</v>
      </c>
      <c r="AW2695">
        <v>356</v>
      </c>
      <c r="AX2695">
        <v>662</v>
      </c>
      <c r="BA2695">
        <v>1</v>
      </c>
      <c r="BC2695" s="2" t="s">
        <v>5492</v>
      </c>
      <c r="BD2695" s="4">
        <v>43283.053101851852</v>
      </c>
      <c r="BE2695" s="4">
        <v>43283.057962962965</v>
      </c>
      <c r="BF2695" s="4">
        <v>43283.057962962965</v>
      </c>
      <c r="BG2695" t="s">
        <v>373</v>
      </c>
      <c r="BH2695" t="s">
        <v>374</v>
      </c>
      <c r="BI2695" t="s">
        <v>85</v>
      </c>
    </row>
    <row r="2696" spans="1:61" x14ac:dyDescent="0.3">
      <c r="A2696" t="str">
        <f>"200541B0100"</f>
        <v>200541B0100</v>
      </c>
      <c r="B2696" t="s">
        <v>5493</v>
      </c>
      <c r="C2696">
        <v>20</v>
      </c>
      <c r="D2696" t="s">
        <v>79</v>
      </c>
      <c r="E2696">
        <v>13</v>
      </c>
      <c r="F2696" t="s">
        <v>5455</v>
      </c>
      <c r="G2696">
        <v>541</v>
      </c>
      <c r="H2696">
        <v>1</v>
      </c>
      <c r="I2696" t="s">
        <v>81</v>
      </c>
      <c r="J2696">
        <v>0</v>
      </c>
      <c r="K2696">
        <v>1</v>
      </c>
      <c r="L2696">
        <v>2</v>
      </c>
      <c r="M2696">
        <v>245</v>
      </c>
      <c r="N2696">
        <v>364</v>
      </c>
      <c r="O2696">
        <v>2</v>
      </c>
      <c r="P2696">
        <v>365</v>
      </c>
      <c r="Q2696">
        <v>31</v>
      </c>
      <c r="R2696">
        <v>35</v>
      </c>
      <c r="S2696">
        <v>5</v>
      </c>
      <c r="T2696">
        <v>6</v>
      </c>
      <c r="U2696">
        <v>24</v>
      </c>
      <c r="V2696">
        <v>6</v>
      </c>
      <c r="W2696">
        <v>8</v>
      </c>
      <c r="X2696">
        <v>3</v>
      </c>
      <c r="Y2696">
        <v>205</v>
      </c>
      <c r="Z2696">
        <v>10</v>
      </c>
      <c r="AA2696">
        <v>3</v>
      </c>
      <c r="AB2696">
        <v>10</v>
      </c>
      <c r="AC2696">
        <v>0</v>
      </c>
      <c r="AD2696">
        <v>1</v>
      </c>
      <c r="AE2696">
        <v>1</v>
      </c>
      <c r="AF2696">
        <v>0</v>
      </c>
      <c r="AK2696">
        <v>5</v>
      </c>
      <c r="AL2696">
        <v>1</v>
      </c>
      <c r="AM2696">
        <v>0</v>
      </c>
      <c r="AN2696">
        <v>1</v>
      </c>
      <c r="AT2696">
        <v>0</v>
      </c>
      <c r="AU2696">
        <v>10</v>
      </c>
      <c r="AV2696">
        <v>365</v>
      </c>
      <c r="AW2696">
        <v>365</v>
      </c>
      <c r="AX2696">
        <v>587</v>
      </c>
      <c r="BA2696">
        <v>1</v>
      </c>
      <c r="BC2696" t="s">
        <v>5494</v>
      </c>
      <c r="BD2696" s="4">
        <v>43283.09652777778</v>
      </c>
      <c r="BE2696" s="4">
        <v>43283.104259259257</v>
      </c>
      <c r="BF2696" s="4">
        <v>43283.104259259257</v>
      </c>
      <c r="BG2696" t="s">
        <v>83</v>
      </c>
      <c r="BH2696" t="s">
        <v>84</v>
      </c>
      <c r="BI2696" t="s">
        <v>85</v>
      </c>
    </row>
    <row r="2697" spans="1:61" x14ac:dyDescent="0.3">
      <c r="A2697" t="str">
        <f>"200541C0100"</f>
        <v>200541C0100</v>
      </c>
      <c r="B2697" t="s">
        <v>5495</v>
      </c>
      <c r="C2697">
        <v>20</v>
      </c>
      <c r="D2697" t="s">
        <v>79</v>
      </c>
      <c r="E2697">
        <v>13</v>
      </c>
      <c r="F2697" t="s">
        <v>5455</v>
      </c>
      <c r="G2697">
        <v>541</v>
      </c>
      <c r="H2697">
        <v>1</v>
      </c>
      <c r="I2697" t="s">
        <v>89</v>
      </c>
      <c r="J2697">
        <v>0</v>
      </c>
      <c r="K2697">
        <v>1</v>
      </c>
      <c r="L2697">
        <v>2</v>
      </c>
      <c r="M2697">
        <v>234</v>
      </c>
      <c r="N2697">
        <v>376</v>
      </c>
      <c r="O2697">
        <v>0</v>
      </c>
      <c r="P2697">
        <v>376</v>
      </c>
      <c r="Q2697">
        <v>31</v>
      </c>
      <c r="R2697">
        <v>24</v>
      </c>
      <c r="S2697">
        <v>12</v>
      </c>
      <c r="T2697">
        <v>6</v>
      </c>
      <c r="U2697">
        <v>27</v>
      </c>
      <c r="V2697">
        <v>9</v>
      </c>
      <c r="W2697">
        <v>0</v>
      </c>
      <c r="X2697">
        <v>9</v>
      </c>
      <c r="Y2697">
        <v>214</v>
      </c>
      <c r="Z2697">
        <v>10</v>
      </c>
      <c r="AA2697">
        <v>6</v>
      </c>
      <c r="AB2697">
        <v>11</v>
      </c>
      <c r="AC2697">
        <v>0</v>
      </c>
      <c r="AD2697">
        <v>0</v>
      </c>
      <c r="AE2697">
        <v>1</v>
      </c>
      <c r="AF2697">
        <v>0</v>
      </c>
      <c r="AK2697">
        <v>5</v>
      </c>
      <c r="AL2697">
        <v>1</v>
      </c>
      <c r="AM2697">
        <v>0</v>
      </c>
      <c r="AN2697">
        <v>4</v>
      </c>
      <c r="AT2697">
        <v>0</v>
      </c>
      <c r="AU2697">
        <v>6</v>
      </c>
      <c r="AV2697">
        <v>376</v>
      </c>
      <c r="AW2697">
        <v>376</v>
      </c>
      <c r="AX2697">
        <v>587</v>
      </c>
      <c r="BA2697">
        <v>1</v>
      </c>
      <c r="BC2697" t="s">
        <v>5496</v>
      </c>
      <c r="BD2697" s="4">
        <v>43283.1</v>
      </c>
      <c r="BE2697" s="4">
        <v>43283.10355324074</v>
      </c>
      <c r="BF2697" s="4">
        <v>43283.10355324074</v>
      </c>
      <c r="BG2697" t="s">
        <v>83</v>
      </c>
      <c r="BH2697" t="s">
        <v>84</v>
      </c>
      <c r="BI2697" t="s">
        <v>85</v>
      </c>
    </row>
    <row r="2698" spans="1:61" x14ac:dyDescent="0.3">
      <c r="A2698" t="str">
        <f>"200541C0200"</f>
        <v>200541C0200</v>
      </c>
      <c r="B2698" t="s">
        <v>5497</v>
      </c>
      <c r="C2698">
        <v>20</v>
      </c>
      <c r="D2698" t="s">
        <v>79</v>
      </c>
      <c r="E2698">
        <v>13</v>
      </c>
      <c r="F2698" t="s">
        <v>5455</v>
      </c>
      <c r="G2698">
        <v>541</v>
      </c>
      <c r="H2698">
        <v>2</v>
      </c>
      <c r="I2698" t="s">
        <v>89</v>
      </c>
      <c r="J2698">
        <v>0</v>
      </c>
      <c r="K2698">
        <v>1</v>
      </c>
      <c r="L2698">
        <v>2</v>
      </c>
      <c r="M2698">
        <v>269</v>
      </c>
      <c r="N2698">
        <v>340</v>
      </c>
      <c r="O2698">
        <v>1</v>
      </c>
      <c r="P2698">
        <v>339</v>
      </c>
      <c r="Q2698">
        <v>21</v>
      </c>
      <c r="R2698">
        <v>33</v>
      </c>
      <c r="S2698">
        <v>6</v>
      </c>
      <c r="T2698">
        <v>7</v>
      </c>
      <c r="U2698">
        <v>21</v>
      </c>
      <c r="V2698">
        <v>2</v>
      </c>
      <c r="W2698">
        <v>4</v>
      </c>
      <c r="X2698">
        <v>6</v>
      </c>
      <c r="Y2698">
        <v>210</v>
      </c>
      <c r="Z2698">
        <v>3</v>
      </c>
      <c r="AA2698">
        <v>4</v>
      </c>
      <c r="AB2698">
        <v>11</v>
      </c>
      <c r="AC2698">
        <v>0</v>
      </c>
      <c r="AD2698">
        <v>0</v>
      </c>
      <c r="AE2698">
        <v>0</v>
      </c>
      <c r="AF2698">
        <v>0</v>
      </c>
      <c r="AK2698">
        <v>4</v>
      </c>
      <c r="AL2698">
        <v>0</v>
      </c>
      <c r="AM2698">
        <v>0</v>
      </c>
      <c r="AN2698">
        <v>0</v>
      </c>
      <c r="AT2698">
        <v>0</v>
      </c>
      <c r="AU2698">
        <v>7</v>
      </c>
      <c r="AV2698">
        <v>339</v>
      </c>
      <c r="AW2698">
        <v>339</v>
      </c>
      <c r="AX2698">
        <v>587</v>
      </c>
      <c r="BA2698">
        <v>1</v>
      </c>
      <c r="BC2698" t="s">
        <v>5498</v>
      </c>
      <c r="BD2698" s="4">
        <v>43283.099305555559</v>
      </c>
      <c r="BE2698" s="4">
        <v>43283.10324074074</v>
      </c>
      <c r="BF2698" s="4">
        <v>43283.10324074074</v>
      </c>
      <c r="BG2698" t="s">
        <v>83</v>
      </c>
      <c r="BH2698" t="s">
        <v>84</v>
      </c>
      <c r="BI2698" t="s">
        <v>85</v>
      </c>
    </row>
    <row r="2699" spans="1:61" x14ac:dyDescent="0.3">
      <c r="A2699" t="str">
        <f>"200541C0300"</f>
        <v>200541C0300</v>
      </c>
      <c r="B2699" t="s">
        <v>5499</v>
      </c>
      <c r="C2699">
        <v>20</v>
      </c>
      <c r="D2699" t="s">
        <v>79</v>
      </c>
      <c r="E2699">
        <v>13</v>
      </c>
      <c r="F2699" t="s">
        <v>5455</v>
      </c>
      <c r="G2699">
        <v>541</v>
      </c>
      <c r="H2699">
        <v>3</v>
      </c>
      <c r="I2699" t="s">
        <v>89</v>
      </c>
      <c r="J2699">
        <v>0</v>
      </c>
      <c r="K2699">
        <v>1</v>
      </c>
      <c r="L2699">
        <v>2</v>
      </c>
      <c r="M2699">
        <v>250</v>
      </c>
      <c r="N2699">
        <v>365</v>
      </c>
      <c r="O2699">
        <v>3</v>
      </c>
      <c r="P2699">
        <v>365</v>
      </c>
      <c r="Q2699">
        <v>39</v>
      </c>
      <c r="R2699">
        <v>42</v>
      </c>
      <c r="S2699">
        <v>9</v>
      </c>
      <c r="T2699">
        <v>6</v>
      </c>
      <c r="U2699">
        <v>17</v>
      </c>
      <c r="V2699">
        <v>2</v>
      </c>
      <c r="W2699">
        <v>4</v>
      </c>
      <c r="X2699">
        <v>5</v>
      </c>
      <c r="Y2699">
        <v>205</v>
      </c>
      <c r="Z2699">
        <v>7</v>
      </c>
      <c r="AA2699">
        <v>3</v>
      </c>
      <c r="AB2699">
        <v>9</v>
      </c>
      <c r="AC2699">
        <v>2</v>
      </c>
      <c r="AD2699">
        <v>0</v>
      </c>
      <c r="AE2699">
        <v>0</v>
      </c>
      <c r="AF2699">
        <v>0</v>
      </c>
      <c r="AK2699">
        <v>4</v>
      </c>
      <c r="AL2699">
        <v>1</v>
      </c>
      <c r="AM2699">
        <v>0</v>
      </c>
      <c r="AN2699">
        <v>1</v>
      </c>
      <c r="AT2699">
        <v>0</v>
      </c>
      <c r="AU2699">
        <v>9</v>
      </c>
      <c r="AV2699">
        <v>365</v>
      </c>
      <c r="AW2699">
        <v>365</v>
      </c>
      <c r="AX2699">
        <v>587</v>
      </c>
      <c r="BA2699">
        <v>1</v>
      </c>
      <c r="BC2699" t="s">
        <v>5500</v>
      </c>
      <c r="BD2699" s="4">
        <v>43283.099305555559</v>
      </c>
      <c r="BE2699" s="4">
        <v>43283.102789351855</v>
      </c>
      <c r="BF2699" s="4">
        <v>43283.102789351855</v>
      </c>
      <c r="BG2699" t="s">
        <v>83</v>
      </c>
      <c r="BH2699" t="s">
        <v>84</v>
      </c>
      <c r="BI2699" t="s">
        <v>85</v>
      </c>
    </row>
    <row r="2700" spans="1:61" x14ac:dyDescent="0.3">
      <c r="A2700" t="str">
        <f>"200542B0100"</f>
        <v>200542B0100</v>
      </c>
      <c r="B2700" t="s">
        <v>5501</v>
      </c>
      <c r="C2700">
        <v>20</v>
      </c>
      <c r="D2700" t="s">
        <v>79</v>
      </c>
      <c r="E2700">
        <v>13</v>
      </c>
      <c r="F2700" t="s">
        <v>5455</v>
      </c>
      <c r="G2700">
        <v>542</v>
      </c>
      <c r="H2700">
        <v>1</v>
      </c>
      <c r="I2700" t="s">
        <v>81</v>
      </c>
      <c r="J2700">
        <v>0</v>
      </c>
      <c r="K2700">
        <v>1</v>
      </c>
      <c r="L2700">
        <v>2</v>
      </c>
      <c r="M2700">
        <v>251</v>
      </c>
      <c r="N2700">
        <v>256</v>
      </c>
      <c r="O2700">
        <v>5</v>
      </c>
      <c r="P2700">
        <v>372</v>
      </c>
      <c r="Q2700">
        <v>40</v>
      </c>
      <c r="R2700">
        <v>48</v>
      </c>
      <c r="S2700">
        <v>12</v>
      </c>
      <c r="T2700">
        <v>5</v>
      </c>
      <c r="U2700">
        <v>17</v>
      </c>
      <c r="V2700">
        <v>9</v>
      </c>
      <c r="W2700">
        <v>8</v>
      </c>
      <c r="X2700">
        <v>7</v>
      </c>
      <c r="Y2700">
        <v>182</v>
      </c>
      <c r="Z2700">
        <v>12</v>
      </c>
      <c r="AA2700">
        <v>4</v>
      </c>
      <c r="AB2700">
        <v>0</v>
      </c>
      <c r="AC2700">
        <v>2</v>
      </c>
      <c r="AD2700">
        <v>0</v>
      </c>
      <c r="AE2700">
        <v>0</v>
      </c>
      <c r="AF2700">
        <v>0</v>
      </c>
      <c r="AK2700">
        <v>0</v>
      </c>
      <c r="AL2700">
        <v>3</v>
      </c>
      <c r="AM2700">
        <v>0</v>
      </c>
      <c r="AN2700">
        <v>1</v>
      </c>
      <c r="AT2700">
        <v>0</v>
      </c>
      <c r="AU2700">
        <v>14</v>
      </c>
      <c r="AV2700">
        <v>386</v>
      </c>
      <c r="AW2700">
        <v>364</v>
      </c>
      <c r="AX2700">
        <v>617</v>
      </c>
      <c r="BA2700">
        <v>1</v>
      </c>
      <c r="BC2700" t="s">
        <v>5502</v>
      </c>
      <c r="BD2700" s="4">
        <v>43283.099305555559</v>
      </c>
      <c r="BE2700" s="4">
        <v>43283.104027777779</v>
      </c>
      <c r="BF2700" s="4">
        <v>43283.104027777779</v>
      </c>
      <c r="BG2700" t="s">
        <v>83</v>
      </c>
      <c r="BH2700" t="s">
        <v>84</v>
      </c>
      <c r="BI2700" t="s">
        <v>85</v>
      </c>
    </row>
    <row r="2701" spans="1:61" x14ac:dyDescent="0.3">
      <c r="A2701" t="str">
        <f>"200542C0100"</f>
        <v>200542C0100</v>
      </c>
      <c r="B2701" t="s">
        <v>5503</v>
      </c>
      <c r="C2701">
        <v>20</v>
      </c>
      <c r="D2701" t="s">
        <v>79</v>
      </c>
      <c r="E2701">
        <v>13</v>
      </c>
      <c r="F2701" t="s">
        <v>5455</v>
      </c>
      <c r="G2701">
        <v>542</v>
      </c>
      <c r="H2701">
        <v>1</v>
      </c>
      <c r="I2701" t="s">
        <v>89</v>
      </c>
      <c r="J2701">
        <v>0</v>
      </c>
      <c r="K2701">
        <v>1</v>
      </c>
      <c r="L2701">
        <v>2</v>
      </c>
      <c r="M2701">
        <v>241</v>
      </c>
      <c r="N2701">
        <v>398</v>
      </c>
      <c r="O2701">
        <v>2</v>
      </c>
      <c r="P2701">
        <v>398</v>
      </c>
      <c r="Q2701">
        <v>22</v>
      </c>
      <c r="R2701">
        <v>41</v>
      </c>
      <c r="S2701">
        <v>11</v>
      </c>
      <c r="T2701">
        <v>5</v>
      </c>
      <c r="U2701">
        <v>21</v>
      </c>
      <c r="V2701">
        <v>3</v>
      </c>
      <c r="W2701">
        <v>7</v>
      </c>
      <c r="X2701">
        <v>6</v>
      </c>
      <c r="Y2701">
        <v>222</v>
      </c>
      <c r="Z2701">
        <v>11</v>
      </c>
      <c r="AA2701">
        <v>4</v>
      </c>
      <c r="AB2701">
        <v>17</v>
      </c>
      <c r="AC2701">
        <v>1</v>
      </c>
      <c r="AD2701">
        <v>0</v>
      </c>
      <c r="AE2701">
        <v>0</v>
      </c>
      <c r="AF2701">
        <v>0</v>
      </c>
      <c r="AK2701">
        <v>3</v>
      </c>
      <c r="AL2701">
        <v>3</v>
      </c>
      <c r="AM2701">
        <v>0</v>
      </c>
      <c r="AN2701">
        <v>2</v>
      </c>
      <c r="AT2701">
        <v>2</v>
      </c>
      <c r="AU2701">
        <v>17</v>
      </c>
      <c r="AV2701">
        <v>398</v>
      </c>
      <c r="AW2701">
        <v>398</v>
      </c>
      <c r="AX2701">
        <v>617</v>
      </c>
      <c r="BA2701">
        <v>1</v>
      </c>
      <c r="BC2701" t="s">
        <v>5504</v>
      </c>
      <c r="BD2701" s="4">
        <v>43283.099305555559</v>
      </c>
      <c r="BE2701" s="4">
        <v>43283.103576388887</v>
      </c>
      <c r="BF2701" s="4">
        <v>43283.103576388887</v>
      </c>
      <c r="BG2701" t="s">
        <v>83</v>
      </c>
      <c r="BH2701" t="s">
        <v>84</v>
      </c>
      <c r="BI2701" t="s">
        <v>85</v>
      </c>
    </row>
    <row r="2702" spans="1:61" x14ac:dyDescent="0.3">
      <c r="A2702" t="str">
        <f>"200543B0100"</f>
        <v>200543B0100</v>
      </c>
      <c r="B2702" t="s">
        <v>5505</v>
      </c>
      <c r="C2702">
        <v>20</v>
      </c>
      <c r="D2702" t="s">
        <v>79</v>
      </c>
      <c r="E2702">
        <v>13</v>
      </c>
      <c r="F2702" t="s">
        <v>5455</v>
      </c>
      <c r="G2702">
        <v>543</v>
      </c>
      <c r="H2702">
        <v>1</v>
      </c>
      <c r="I2702" t="s">
        <v>81</v>
      </c>
      <c r="J2702">
        <v>0</v>
      </c>
      <c r="K2702">
        <v>1</v>
      </c>
      <c r="L2702">
        <v>2</v>
      </c>
      <c r="M2702">
        <v>195</v>
      </c>
      <c r="N2702">
        <v>393</v>
      </c>
      <c r="O2702">
        <v>5</v>
      </c>
      <c r="P2702">
        <v>391</v>
      </c>
      <c r="Q2702">
        <v>47</v>
      </c>
      <c r="R2702">
        <v>62</v>
      </c>
      <c r="S2702">
        <v>8</v>
      </c>
      <c r="T2702">
        <v>15</v>
      </c>
      <c r="U2702">
        <v>14</v>
      </c>
      <c r="V2702">
        <v>7</v>
      </c>
      <c r="W2702">
        <v>4</v>
      </c>
      <c r="X2702">
        <v>1</v>
      </c>
      <c r="Y2702">
        <v>193</v>
      </c>
      <c r="Z2702">
        <v>7</v>
      </c>
      <c r="AA2702">
        <v>2</v>
      </c>
      <c r="AB2702">
        <v>12</v>
      </c>
      <c r="AC2702">
        <v>0</v>
      </c>
      <c r="AD2702">
        <v>0</v>
      </c>
      <c r="AE2702">
        <v>0</v>
      </c>
      <c r="AF2702">
        <v>0</v>
      </c>
      <c r="AK2702">
        <v>6</v>
      </c>
      <c r="AL2702">
        <v>1</v>
      </c>
      <c r="AM2702">
        <v>0</v>
      </c>
      <c r="AN2702">
        <v>1</v>
      </c>
      <c r="AT2702">
        <v>0</v>
      </c>
      <c r="AU2702">
        <v>13</v>
      </c>
      <c r="AV2702">
        <v>393</v>
      </c>
      <c r="AW2702">
        <v>393</v>
      </c>
      <c r="AX2702">
        <v>567</v>
      </c>
      <c r="BA2702">
        <v>1</v>
      </c>
      <c r="BC2702" t="s">
        <v>5506</v>
      </c>
      <c r="BD2702" s="4">
        <v>43283.21875</v>
      </c>
      <c r="BE2702" s="4">
        <v>43283.242349537039</v>
      </c>
      <c r="BF2702" s="4">
        <v>43283.242349537039</v>
      </c>
      <c r="BG2702" t="s">
        <v>83</v>
      </c>
      <c r="BH2702" t="s">
        <v>84</v>
      </c>
      <c r="BI2702" t="s">
        <v>85</v>
      </c>
    </row>
    <row r="2703" spans="1:61" x14ac:dyDescent="0.3">
      <c r="A2703" t="str">
        <f>"200543C0100"</f>
        <v>200543C0100</v>
      </c>
      <c r="B2703" t="s">
        <v>5507</v>
      </c>
      <c r="C2703">
        <v>20</v>
      </c>
      <c r="D2703" t="s">
        <v>79</v>
      </c>
      <c r="E2703">
        <v>13</v>
      </c>
      <c r="F2703" t="s">
        <v>5455</v>
      </c>
      <c r="G2703">
        <v>543</v>
      </c>
      <c r="H2703">
        <v>1</v>
      </c>
      <c r="I2703" t="s">
        <v>89</v>
      </c>
      <c r="J2703">
        <v>0</v>
      </c>
      <c r="K2703">
        <v>1</v>
      </c>
      <c r="L2703">
        <v>2</v>
      </c>
      <c r="M2703">
        <v>198</v>
      </c>
      <c r="N2703">
        <v>391</v>
      </c>
      <c r="O2703">
        <v>8</v>
      </c>
      <c r="P2703">
        <v>395</v>
      </c>
      <c r="Q2703">
        <v>41</v>
      </c>
      <c r="R2703">
        <v>59</v>
      </c>
      <c r="S2703">
        <v>5</v>
      </c>
      <c r="T2703">
        <v>9</v>
      </c>
      <c r="U2703">
        <v>19</v>
      </c>
      <c r="V2703">
        <v>9</v>
      </c>
      <c r="W2703">
        <v>10</v>
      </c>
      <c r="X2703">
        <v>6</v>
      </c>
      <c r="Y2703">
        <v>191</v>
      </c>
      <c r="Z2703">
        <v>4</v>
      </c>
      <c r="AA2703">
        <v>5</v>
      </c>
      <c r="AB2703">
        <v>11</v>
      </c>
      <c r="AC2703">
        <v>1</v>
      </c>
      <c r="AD2703">
        <v>0</v>
      </c>
      <c r="AE2703">
        <v>1</v>
      </c>
      <c r="AF2703">
        <v>0</v>
      </c>
      <c r="AK2703">
        <v>4</v>
      </c>
      <c r="AL2703">
        <v>0</v>
      </c>
      <c r="AM2703">
        <v>1</v>
      </c>
      <c r="AN2703">
        <v>2</v>
      </c>
      <c r="AT2703">
        <v>1</v>
      </c>
      <c r="AU2703">
        <v>16</v>
      </c>
      <c r="AV2703">
        <v>395</v>
      </c>
      <c r="AW2703">
        <v>395</v>
      </c>
      <c r="AX2703">
        <v>567</v>
      </c>
      <c r="BA2703">
        <v>1</v>
      </c>
      <c r="BC2703" t="s">
        <v>5508</v>
      </c>
      <c r="BD2703" s="4">
        <v>43283.390972222223</v>
      </c>
      <c r="BE2703" s="4">
        <v>43283.394768518519</v>
      </c>
      <c r="BF2703" s="4">
        <v>43283.394768518519</v>
      </c>
      <c r="BG2703" t="s">
        <v>83</v>
      </c>
      <c r="BH2703" t="s">
        <v>84</v>
      </c>
      <c r="BI2703" t="s">
        <v>548</v>
      </c>
    </row>
    <row r="2704" spans="1:61" x14ac:dyDescent="0.3">
      <c r="A2704" t="str">
        <f>"200543C0200"</f>
        <v>200543C0200</v>
      </c>
      <c r="B2704" t="s">
        <v>5509</v>
      </c>
      <c r="C2704">
        <v>20</v>
      </c>
      <c r="D2704" t="s">
        <v>79</v>
      </c>
      <c r="E2704">
        <v>13</v>
      </c>
      <c r="F2704" t="s">
        <v>5455</v>
      </c>
      <c r="G2704">
        <v>543</v>
      </c>
      <c r="H2704">
        <v>2</v>
      </c>
      <c r="I2704" t="s">
        <v>89</v>
      </c>
      <c r="J2704">
        <v>0</v>
      </c>
      <c r="K2704">
        <v>1</v>
      </c>
      <c r="L2704">
        <v>2</v>
      </c>
      <c r="M2704">
        <v>211</v>
      </c>
      <c r="N2704">
        <v>378</v>
      </c>
      <c r="O2704">
        <v>7</v>
      </c>
      <c r="P2704">
        <v>374</v>
      </c>
      <c r="Q2704">
        <v>41</v>
      </c>
      <c r="R2704">
        <v>52</v>
      </c>
      <c r="S2704">
        <v>3</v>
      </c>
      <c r="T2704">
        <v>11</v>
      </c>
      <c r="U2704">
        <v>16</v>
      </c>
      <c r="V2704">
        <v>7</v>
      </c>
      <c r="W2704">
        <v>6</v>
      </c>
      <c r="X2704">
        <v>6</v>
      </c>
      <c r="Y2704">
        <v>182</v>
      </c>
      <c r="Z2704">
        <v>6</v>
      </c>
      <c r="AA2704">
        <v>9</v>
      </c>
      <c r="AB2704">
        <v>18</v>
      </c>
      <c r="AC2704">
        <v>1</v>
      </c>
      <c r="AD2704">
        <v>0</v>
      </c>
      <c r="AE2704">
        <v>0</v>
      </c>
      <c r="AF2704">
        <v>0</v>
      </c>
      <c r="AK2704">
        <v>1</v>
      </c>
      <c r="AL2704">
        <v>2</v>
      </c>
      <c r="AM2704">
        <v>0</v>
      </c>
      <c r="AN2704">
        <v>1</v>
      </c>
      <c r="AT2704">
        <v>1</v>
      </c>
      <c r="AU2704">
        <v>12</v>
      </c>
      <c r="AV2704">
        <v>374</v>
      </c>
      <c r="AW2704">
        <v>375</v>
      </c>
      <c r="AX2704">
        <v>566</v>
      </c>
      <c r="BA2704">
        <v>1</v>
      </c>
      <c r="BC2704" t="s">
        <v>5510</v>
      </c>
      <c r="BD2704" s="4">
        <v>43283.392361111109</v>
      </c>
      <c r="BE2704" s="4">
        <v>43283.397928240738</v>
      </c>
      <c r="BF2704" s="4">
        <v>43283.397928240738</v>
      </c>
      <c r="BG2704" t="s">
        <v>83</v>
      </c>
      <c r="BH2704" t="s">
        <v>84</v>
      </c>
      <c r="BI2704" t="s">
        <v>548</v>
      </c>
    </row>
    <row r="2705" spans="1:61" x14ac:dyDescent="0.3">
      <c r="A2705" t="str">
        <f>"200543C0300"</f>
        <v>200543C0300</v>
      </c>
      <c r="B2705" t="s">
        <v>5511</v>
      </c>
      <c r="C2705">
        <v>20</v>
      </c>
      <c r="D2705" t="s">
        <v>79</v>
      </c>
      <c r="E2705">
        <v>13</v>
      </c>
      <c r="F2705" t="s">
        <v>5455</v>
      </c>
      <c r="G2705">
        <v>543</v>
      </c>
      <c r="H2705">
        <v>3</v>
      </c>
      <c r="I2705" t="s">
        <v>89</v>
      </c>
      <c r="J2705">
        <v>0</v>
      </c>
      <c r="K2705">
        <v>1</v>
      </c>
      <c r="L2705">
        <v>2</v>
      </c>
      <c r="M2705">
        <v>190</v>
      </c>
      <c r="N2705">
        <v>398</v>
      </c>
      <c r="O2705">
        <v>7</v>
      </c>
      <c r="P2705">
        <v>397</v>
      </c>
      <c r="Q2705">
        <v>36</v>
      </c>
      <c r="R2705">
        <v>49</v>
      </c>
      <c r="S2705">
        <v>8</v>
      </c>
      <c r="T2705">
        <v>11</v>
      </c>
      <c r="U2705">
        <v>18</v>
      </c>
      <c r="V2705">
        <v>7</v>
      </c>
      <c r="W2705">
        <v>8</v>
      </c>
      <c r="X2705">
        <v>4</v>
      </c>
      <c r="Y2705">
        <v>206</v>
      </c>
      <c r="Z2705">
        <v>9</v>
      </c>
      <c r="AA2705">
        <v>6</v>
      </c>
      <c r="AB2705">
        <v>20</v>
      </c>
      <c r="AC2705">
        <v>0</v>
      </c>
      <c r="AD2705">
        <v>0</v>
      </c>
      <c r="AE2705">
        <v>0</v>
      </c>
      <c r="AF2705">
        <v>0</v>
      </c>
      <c r="AK2705">
        <v>2</v>
      </c>
      <c r="AL2705">
        <v>0</v>
      </c>
      <c r="AM2705">
        <v>0</v>
      </c>
      <c r="AN2705">
        <v>0</v>
      </c>
      <c r="AT2705">
        <v>2</v>
      </c>
      <c r="AU2705">
        <v>11</v>
      </c>
      <c r="AV2705">
        <v>397</v>
      </c>
      <c r="AW2705">
        <v>397</v>
      </c>
      <c r="AX2705">
        <v>566</v>
      </c>
      <c r="BA2705">
        <v>1</v>
      </c>
      <c r="BC2705" t="s">
        <v>5512</v>
      </c>
      <c r="BD2705" s="4">
        <v>43283.215277777781</v>
      </c>
      <c r="BE2705" s="4">
        <v>43283.236516203702</v>
      </c>
      <c r="BF2705" s="4">
        <v>43283.236516203702</v>
      </c>
      <c r="BG2705" t="s">
        <v>83</v>
      </c>
      <c r="BH2705" t="s">
        <v>84</v>
      </c>
      <c r="BI2705" t="s">
        <v>85</v>
      </c>
    </row>
    <row r="2706" spans="1:61" x14ac:dyDescent="0.3">
      <c r="A2706" t="str">
        <f>"200543E0100"</f>
        <v>200543E0100</v>
      </c>
      <c r="B2706" s="2" t="s">
        <v>5513</v>
      </c>
      <c r="C2706">
        <v>20</v>
      </c>
      <c r="D2706" t="s">
        <v>79</v>
      </c>
      <c r="E2706">
        <v>13</v>
      </c>
      <c r="F2706" t="s">
        <v>5455</v>
      </c>
      <c r="G2706">
        <v>543</v>
      </c>
      <c r="H2706">
        <v>1</v>
      </c>
      <c r="I2706" t="s">
        <v>145</v>
      </c>
      <c r="J2706">
        <v>0</v>
      </c>
      <c r="K2706">
        <v>1</v>
      </c>
      <c r="L2706">
        <v>2</v>
      </c>
      <c r="M2706">
        <v>228</v>
      </c>
      <c r="N2706">
        <v>370</v>
      </c>
      <c r="O2706">
        <v>7</v>
      </c>
      <c r="P2706">
        <v>369</v>
      </c>
      <c r="Q2706">
        <v>30</v>
      </c>
      <c r="R2706">
        <v>48</v>
      </c>
      <c r="S2706">
        <v>5</v>
      </c>
      <c r="T2706">
        <v>7</v>
      </c>
      <c r="U2706">
        <v>23</v>
      </c>
      <c r="V2706">
        <v>4</v>
      </c>
      <c r="W2706">
        <v>3</v>
      </c>
      <c r="X2706">
        <v>1</v>
      </c>
      <c r="Y2706">
        <v>204</v>
      </c>
      <c r="Z2706">
        <v>7</v>
      </c>
      <c r="AA2706">
        <v>2</v>
      </c>
      <c r="AB2706">
        <v>12</v>
      </c>
      <c r="AC2706">
        <v>0</v>
      </c>
      <c r="AD2706">
        <v>0</v>
      </c>
      <c r="AE2706">
        <v>0</v>
      </c>
      <c r="AF2706">
        <v>0</v>
      </c>
      <c r="AK2706">
        <v>6</v>
      </c>
      <c r="AL2706">
        <v>1</v>
      </c>
      <c r="AM2706">
        <v>0</v>
      </c>
      <c r="AN2706">
        <v>1</v>
      </c>
      <c r="AT2706">
        <v>0</v>
      </c>
      <c r="AU2706">
        <v>15</v>
      </c>
      <c r="AV2706">
        <v>369</v>
      </c>
      <c r="AW2706">
        <v>369</v>
      </c>
      <c r="AX2706">
        <v>576</v>
      </c>
      <c r="BA2706">
        <v>1</v>
      </c>
      <c r="BC2706" t="s">
        <v>5514</v>
      </c>
      <c r="BD2706" s="4">
        <v>43283.071527777778</v>
      </c>
      <c r="BE2706" s="4">
        <v>43283.075243055559</v>
      </c>
      <c r="BF2706" s="4">
        <v>43283.075243055559</v>
      </c>
      <c r="BG2706" t="s">
        <v>83</v>
      </c>
      <c r="BH2706" t="s">
        <v>84</v>
      </c>
      <c r="BI2706" t="s">
        <v>85</v>
      </c>
    </row>
    <row r="2707" spans="1:61" x14ac:dyDescent="0.3">
      <c r="A2707" t="str">
        <f>"200543E0101"</f>
        <v>200543E0101</v>
      </c>
      <c r="B2707" s="2" t="s">
        <v>5515</v>
      </c>
      <c r="C2707">
        <v>20</v>
      </c>
      <c r="D2707" t="s">
        <v>79</v>
      </c>
      <c r="E2707">
        <v>13</v>
      </c>
      <c r="F2707" t="s">
        <v>5455</v>
      </c>
      <c r="G2707">
        <v>543</v>
      </c>
      <c r="H2707">
        <v>1</v>
      </c>
      <c r="I2707" t="s">
        <v>145</v>
      </c>
      <c r="J2707">
        <v>1</v>
      </c>
      <c r="K2707">
        <v>1</v>
      </c>
      <c r="L2707">
        <v>2</v>
      </c>
      <c r="M2707">
        <v>249</v>
      </c>
      <c r="N2707">
        <v>349</v>
      </c>
      <c r="O2707">
        <v>4</v>
      </c>
      <c r="P2707">
        <v>349</v>
      </c>
      <c r="Q2707">
        <v>35</v>
      </c>
      <c r="R2707">
        <v>30</v>
      </c>
      <c r="S2707">
        <v>2</v>
      </c>
      <c r="T2707">
        <v>13</v>
      </c>
      <c r="U2707">
        <v>15</v>
      </c>
      <c r="V2707">
        <v>9</v>
      </c>
      <c r="W2707">
        <v>6</v>
      </c>
      <c r="X2707">
        <v>10</v>
      </c>
      <c r="Y2707">
        <v>192</v>
      </c>
      <c r="Z2707">
        <v>4</v>
      </c>
      <c r="AA2707">
        <v>3</v>
      </c>
      <c r="AB2707">
        <v>9</v>
      </c>
      <c r="AC2707">
        <v>0</v>
      </c>
      <c r="AD2707">
        <v>0</v>
      </c>
      <c r="AE2707">
        <v>0</v>
      </c>
      <c r="AF2707">
        <v>0</v>
      </c>
      <c r="AK2707">
        <v>5</v>
      </c>
      <c r="AL2707">
        <v>0</v>
      </c>
      <c r="AM2707">
        <v>0</v>
      </c>
      <c r="AN2707">
        <v>0</v>
      </c>
      <c r="AT2707">
        <v>0</v>
      </c>
      <c r="AU2707">
        <v>16</v>
      </c>
      <c r="AV2707">
        <v>349</v>
      </c>
      <c r="AW2707">
        <v>349</v>
      </c>
      <c r="AX2707">
        <v>576</v>
      </c>
      <c r="BA2707">
        <v>1</v>
      </c>
      <c r="BC2707" t="s">
        <v>5516</v>
      </c>
      <c r="BD2707" s="4">
        <v>43283.072916666664</v>
      </c>
      <c r="BE2707" s="4">
        <v>43283.077013888891</v>
      </c>
      <c r="BF2707" s="4">
        <v>43283.077013888891</v>
      </c>
      <c r="BG2707" t="s">
        <v>83</v>
      </c>
      <c r="BH2707" t="s">
        <v>84</v>
      </c>
      <c r="BI2707" t="s">
        <v>85</v>
      </c>
    </row>
    <row r="2708" spans="1:61" x14ac:dyDescent="0.3">
      <c r="A2708" t="str">
        <f>"200543E0102"</f>
        <v>200543E0102</v>
      </c>
      <c r="B2708" s="2" t="s">
        <v>5517</v>
      </c>
      <c r="C2708">
        <v>20</v>
      </c>
      <c r="D2708" t="s">
        <v>79</v>
      </c>
      <c r="E2708">
        <v>13</v>
      </c>
      <c r="F2708" t="s">
        <v>5455</v>
      </c>
      <c r="G2708">
        <v>543</v>
      </c>
      <c r="H2708">
        <v>1</v>
      </c>
      <c r="I2708" t="s">
        <v>145</v>
      </c>
      <c r="J2708">
        <v>2</v>
      </c>
      <c r="K2708">
        <v>1</v>
      </c>
      <c r="L2708">
        <v>2</v>
      </c>
      <c r="M2708">
        <v>251</v>
      </c>
      <c r="N2708">
        <v>346</v>
      </c>
      <c r="O2708">
        <v>3</v>
      </c>
      <c r="P2708">
        <v>346</v>
      </c>
      <c r="Q2708">
        <v>32</v>
      </c>
      <c r="R2708">
        <v>30</v>
      </c>
      <c r="S2708">
        <v>6</v>
      </c>
      <c r="T2708">
        <v>9</v>
      </c>
      <c r="U2708">
        <v>25</v>
      </c>
      <c r="V2708">
        <v>1</v>
      </c>
      <c r="W2708">
        <v>10</v>
      </c>
      <c r="X2708">
        <v>6</v>
      </c>
      <c r="Y2708">
        <v>193</v>
      </c>
      <c r="Z2708">
        <v>9</v>
      </c>
      <c r="AA2708">
        <v>4</v>
      </c>
      <c r="AB2708">
        <v>3</v>
      </c>
      <c r="AC2708">
        <v>0</v>
      </c>
      <c r="AD2708">
        <v>0</v>
      </c>
      <c r="AE2708">
        <v>1</v>
      </c>
      <c r="AF2708">
        <v>0</v>
      </c>
      <c r="AK2708">
        <v>4</v>
      </c>
      <c r="AL2708">
        <v>3</v>
      </c>
      <c r="AM2708">
        <v>1</v>
      </c>
      <c r="AN2708">
        <v>1</v>
      </c>
      <c r="AT2708">
        <v>0</v>
      </c>
      <c r="AU2708">
        <v>8</v>
      </c>
      <c r="AV2708">
        <v>346</v>
      </c>
      <c r="AW2708">
        <v>346</v>
      </c>
      <c r="AX2708">
        <v>575</v>
      </c>
      <c r="BA2708">
        <v>1</v>
      </c>
      <c r="BC2708" t="s">
        <v>5518</v>
      </c>
      <c r="BD2708" s="4">
        <v>43283.072222222225</v>
      </c>
      <c r="BE2708" s="4">
        <v>43283.075590277775</v>
      </c>
      <c r="BF2708" s="4">
        <v>43283.075590277775</v>
      </c>
      <c r="BG2708" t="s">
        <v>83</v>
      </c>
      <c r="BH2708" t="s">
        <v>84</v>
      </c>
      <c r="BI2708" t="s">
        <v>85</v>
      </c>
    </row>
    <row r="2709" spans="1:61" x14ac:dyDescent="0.3">
      <c r="A2709" t="str">
        <f>"200543E0103"</f>
        <v>200543E0103</v>
      </c>
      <c r="B2709" s="2" t="s">
        <v>5519</v>
      </c>
      <c r="C2709">
        <v>20</v>
      </c>
      <c r="D2709" t="s">
        <v>79</v>
      </c>
      <c r="E2709">
        <v>13</v>
      </c>
      <c r="F2709" t="s">
        <v>5455</v>
      </c>
      <c r="G2709">
        <v>543</v>
      </c>
      <c r="H2709">
        <v>1</v>
      </c>
      <c r="I2709" t="s">
        <v>145</v>
      </c>
      <c r="J2709">
        <v>3</v>
      </c>
      <c r="K2709">
        <v>1</v>
      </c>
      <c r="L2709">
        <v>2</v>
      </c>
      <c r="M2709">
        <v>253</v>
      </c>
      <c r="N2709">
        <v>342</v>
      </c>
      <c r="O2709">
        <v>6</v>
      </c>
      <c r="P2709">
        <v>339</v>
      </c>
      <c r="Q2709">
        <v>31</v>
      </c>
      <c r="R2709">
        <v>49</v>
      </c>
      <c r="S2709">
        <v>5</v>
      </c>
      <c r="T2709">
        <v>13</v>
      </c>
      <c r="U2709">
        <v>28</v>
      </c>
      <c r="V2709">
        <v>3</v>
      </c>
      <c r="W2709">
        <v>7</v>
      </c>
      <c r="X2709">
        <v>4</v>
      </c>
      <c r="Y2709">
        <v>163</v>
      </c>
      <c r="Z2709">
        <v>5</v>
      </c>
      <c r="AA2709">
        <v>4</v>
      </c>
      <c r="AB2709">
        <v>7</v>
      </c>
      <c r="AC2709">
        <v>1</v>
      </c>
      <c r="AD2709">
        <v>1</v>
      </c>
      <c r="AE2709">
        <v>0</v>
      </c>
      <c r="AF2709">
        <v>0</v>
      </c>
      <c r="AK2709">
        <v>4</v>
      </c>
      <c r="AL2709">
        <v>4</v>
      </c>
      <c r="AM2709">
        <v>0</v>
      </c>
      <c r="AN2709">
        <v>0</v>
      </c>
      <c r="AT2709">
        <v>0</v>
      </c>
      <c r="AU2709">
        <v>10</v>
      </c>
      <c r="AV2709">
        <v>339</v>
      </c>
      <c r="AW2709">
        <v>339</v>
      </c>
      <c r="AX2709">
        <v>575</v>
      </c>
      <c r="BA2709">
        <v>1</v>
      </c>
      <c r="BC2709" t="s">
        <v>5520</v>
      </c>
      <c r="BD2709" s="4">
        <v>43283.072916666664</v>
      </c>
      <c r="BE2709" s="4">
        <v>43283.076527777775</v>
      </c>
      <c r="BF2709" s="4">
        <v>43283.076527777775</v>
      </c>
      <c r="BG2709" t="s">
        <v>83</v>
      </c>
      <c r="BH2709" t="s">
        <v>84</v>
      </c>
      <c r="BI2709" t="s">
        <v>85</v>
      </c>
    </row>
    <row r="2710" spans="1:61" x14ac:dyDescent="0.3">
      <c r="A2710" t="str">
        <f>"200544B0100"</f>
        <v>200544B0100</v>
      </c>
      <c r="B2710" t="s">
        <v>5521</v>
      </c>
      <c r="C2710">
        <v>20</v>
      </c>
      <c r="D2710" t="s">
        <v>79</v>
      </c>
      <c r="E2710">
        <v>13</v>
      </c>
      <c r="F2710" t="s">
        <v>5455</v>
      </c>
      <c r="G2710">
        <v>544</v>
      </c>
      <c r="H2710">
        <v>1</v>
      </c>
      <c r="I2710" t="s">
        <v>81</v>
      </c>
      <c r="J2710">
        <v>0</v>
      </c>
      <c r="K2710">
        <v>1</v>
      </c>
      <c r="L2710">
        <v>2</v>
      </c>
      <c r="M2710">
        <v>197</v>
      </c>
      <c r="N2710">
        <v>397</v>
      </c>
      <c r="O2710">
        <v>4</v>
      </c>
      <c r="P2710">
        <v>393</v>
      </c>
      <c r="Q2710">
        <v>34</v>
      </c>
      <c r="R2710">
        <v>43</v>
      </c>
      <c r="S2710">
        <v>7</v>
      </c>
      <c r="T2710">
        <v>9</v>
      </c>
      <c r="U2710">
        <v>23</v>
      </c>
      <c r="V2710">
        <v>8</v>
      </c>
      <c r="W2710">
        <v>15</v>
      </c>
      <c r="X2710">
        <v>11</v>
      </c>
      <c r="Y2710">
        <v>189</v>
      </c>
      <c r="Z2710">
        <v>16</v>
      </c>
      <c r="AA2710">
        <v>1</v>
      </c>
      <c r="AB2710">
        <v>16</v>
      </c>
      <c r="AC2710">
        <v>2</v>
      </c>
      <c r="AD2710">
        <v>0</v>
      </c>
      <c r="AE2710">
        <v>0</v>
      </c>
      <c r="AF2710">
        <v>1</v>
      </c>
      <c r="AK2710">
        <v>5</v>
      </c>
      <c r="AL2710">
        <v>0</v>
      </c>
      <c r="AM2710">
        <v>0</v>
      </c>
      <c r="AN2710">
        <v>2</v>
      </c>
      <c r="AT2710">
        <v>0</v>
      </c>
      <c r="AU2710">
        <v>11</v>
      </c>
      <c r="AV2710">
        <v>393</v>
      </c>
      <c r="AW2710">
        <v>393</v>
      </c>
      <c r="AX2710">
        <v>572</v>
      </c>
      <c r="BA2710">
        <v>1</v>
      </c>
      <c r="BC2710" t="s">
        <v>5522</v>
      </c>
      <c r="BD2710" s="4">
        <v>43283.079861111109</v>
      </c>
      <c r="BE2710" s="4">
        <v>43283.083506944444</v>
      </c>
      <c r="BF2710" s="4">
        <v>43283.083506944444</v>
      </c>
      <c r="BG2710" t="s">
        <v>83</v>
      </c>
      <c r="BH2710" t="s">
        <v>84</v>
      </c>
      <c r="BI2710" t="s">
        <v>85</v>
      </c>
    </row>
    <row r="2711" spans="1:61" x14ac:dyDescent="0.3">
      <c r="A2711" t="str">
        <f>"200544C0100"</f>
        <v>200544C0100</v>
      </c>
      <c r="B2711" t="s">
        <v>5523</v>
      </c>
      <c r="C2711">
        <v>20</v>
      </c>
      <c r="D2711" t="s">
        <v>79</v>
      </c>
      <c r="E2711">
        <v>13</v>
      </c>
      <c r="F2711" t="s">
        <v>5455</v>
      </c>
      <c r="G2711">
        <v>544</v>
      </c>
      <c r="H2711">
        <v>1</v>
      </c>
      <c r="I2711" t="s">
        <v>89</v>
      </c>
      <c r="J2711">
        <v>0</v>
      </c>
      <c r="K2711">
        <v>1</v>
      </c>
      <c r="L2711">
        <v>2</v>
      </c>
      <c r="M2711">
        <v>212</v>
      </c>
      <c r="N2711">
        <v>381</v>
      </c>
      <c r="O2711">
        <v>3</v>
      </c>
      <c r="P2711">
        <v>388</v>
      </c>
      <c r="Q2711">
        <v>33</v>
      </c>
      <c r="R2711">
        <v>60</v>
      </c>
      <c r="S2711">
        <v>4</v>
      </c>
      <c r="T2711">
        <v>6</v>
      </c>
      <c r="U2711">
        <v>8</v>
      </c>
      <c r="V2711">
        <v>9</v>
      </c>
      <c r="W2711">
        <v>8</v>
      </c>
      <c r="X2711">
        <v>3</v>
      </c>
      <c r="Y2711">
        <v>200</v>
      </c>
      <c r="Z2711">
        <v>12</v>
      </c>
      <c r="AA2711">
        <v>8</v>
      </c>
      <c r="AB2711">
        <v>11</v>
      </c>
      <c r="AC2711">
        <v>2</v>
      </c>
      <c r="AD2711">
        <v>0</v>
      </c>
      <c r="AE2711">
        <v>0</v>
      </c>
      <c r="AF2711">
        <v>0</v>
      </c>
      <c r="AK2711">
        <v>4</v>
      </c>
      <c r="AL2711">
        <v>5</v>
      </c>
      <c r="AM2711">
        <v>0</v>
      </c>
      <c r="AN2711">
        <v>2</v>
      </c>
      <c r="AT2711">
        <v>1</v>
      </c>
      <c r="AU2711">
        <v>16</v>
      </c>
      <c r="AV2711">
        <v>392</v>
      </c>
      <c r="AW2711">
        <v>392</v>
      </c>
      <c r="AX2711">
        <v>571</v>
      </c>
      <c r="BA2711">
        <v>1</v>
      </c>
      <c r="BC2711" t="s">
        <v>5524</v>
      </c>
      <c r="BD2711" s="4">
        <v>43283.073611111111</v>
      </c>
      <c r="BE2711" s="4">
        <v>43283.078020833331</v>
      </c>
      <c r="BF2711" s="4">
        <v>43283.078020833331</v>
      </c>
      <c r="BG2711" t="s">
        <v>83</v>
      </c>
      <c r="BH2711" t="s">
        <v>84</v>
      </c>
      <c r="BI2711" t="s">
        <v>85</v>
      </c>
    </row>
    <row r="2712" spans="1:61" x14ac:dyDescent="0.3">
      <c r="A2712" t="str">
        <f>"200545B0100"</f>
        <v>200545B0100</v>
      </c>
      <c r="B2712" t="s">
        <v>5525</v>
      </c>
      <c r="C2712">
        <v>20</v>
      </c>
      <c r="D2712" t="s">
        <v>79</v>
      </c>
      <c r="E2712">
        <v>13</v>
      </c>
      <c r="F2712" t="s">
        <v>5455</v>
      </c>
      <c r="G2712">
        <v>545</v>
      </c>
      <c r="H2712">
        <v>1</v>
      </c>
      <c r="I2712" t="s">
        <v>81</v>
      </c>
      <c r="J2712">
        <v>0</v>
      </c>
      <c r="K2712">
        <v>1</v>
      </c>
      <c r="L2712">
        <v>2</v>
      </c>
      <c r="M2712">
        <v>133</v>
      </c>
      <c r="N2712">
        <v>274</v>
      </c>
      <c r="O2712">
        <v>9</v>
      </c>
      <c r="P2712">
        <v>275</v>
      </c>
      <c r="Q2712">
        <v>52</v>
      </c>
      <c r="R2712">
        <v>47</v>
      </c>
      <c r="S2712">
        <v>2</v>
      </c>
      <c r="T2712">
        <v>6</v>
      </c>
      <c r="U2712">
        <v>8</v>
      </c>
      <c r="V2712">
        <v>5</v>
      </c>
      <c r="W2712">
        <v>2</v>
      </c>
      <c r="X2712">
        <v>4</v>
      </c>
      <c r="Y2712">
        <v>125</v>
      </c>
      <c r="Z2712">
        <v>3</v>
      </c>
      <c r="AA2712">
        <v>0</v>
      </c>
      <c r="AB2712">
        <v>12</v>
      </c>
      <c r="AC2712">
        <v>1</v>
      </c>
      <c r="AD2712">
        <v>0</v>
      </c>
      <c r="AE2712">
        <v>0</v>
      </c>
      <c r="AF2712">
        <v>0</v>
      </c>
      <c r="AK2712">
        <v>0</v>
      </c>
      <c r="AL2712">
        <v>1</v>
      </c>
      <c r="AM2712">
        <v>0</v>
      </c>
      <c r="AN2712">
        <v>0</v>
      </c>
      <c r="AT2712">
        <v>0</v>
      </c>
      <c r="AU2712">
        <v>7</v>
      </c>
      <c r="AV2712">
        <v>275</v>
      </c>
      <c r="AW2712">
        <v>275</v>
      </c>
      <c r="AX2712">
        <v>386</v>
      </c>
      <c r="BA2712">
        <v>1</v>
      </c>
      <c r="BC2712" t="s">
        <v>5526</v>
      </c>
      <c r="BD2712" s="4">
        <v>43283.184027777781</v>
      </c>
      <c r="BE2712" s="4">
        <v>43283.203634259262</v>
      </c>
      <c r="BF2712" s="4">
        <v>43283.203634259262</v>
      </c>
      <c r="BG2712" t="s">
        <v>83</v>
      </c>
      <c r="BH2712" t="s">
        <v>84</v>
      </c>
      <c r="BI2712" t="s">
        <v>85</v>
      </c>
    </row>
    <row r="2713" spans="1:61" x14ac:dyDescent="0.3">
      <c r="A2713" t="str">
        <f>"200545C0100"</f>
        <v>200545C0100</v>
      </c>
      <c r="B2713" t="s">
        <v>5527</v>
      </c>
      <c r="C2713">
        <v>20</v>
      </c>
      <c r="D2713" t="s">
        <v>79</v>
      </c>
      <c r="E2713">
        <v>13</v>
      </c>
      <c r="F2713" t="s">
        <v>5455</v>
      </c>
      <c r="G2713">
        <v>545</v>
      </c>
      <c r="H2713">
        <v>1</v>
      </c>
      <c r="I2713" t="s">
        <v>89</v>
      </c>
      <c r="J2713">
        <v>0</v>
      </c>
      <c r="K2713">
        <v>1</v>
      </c>
      <c r="L2713">
        <v>2</v>
      </c>
      <c r="M2713">
        <v>118</v>
      </c>
      <c r="N2713">
        <v>289</v>
      </c>
      <c r="O2713">
        <v>6</v>
      </c>
      <c r="P2713">
        <v>289</v>
      </c>
      <c r="Q2713">
        <v>37</v>
      </c>
      <c r="R2713">
        <v>36</v>
      </c>
      <c r="S2713">
        <v>3</v>
      </c>
      <c r="T2713">
        <v>13</v>
      </c>
      <c r="U2713">
        <v>8</v>
      </c>
      <c r="V2713">
        <v>8</v>
      </c>
      <c r="W2713">
        <v>3</v>
      </c>
      <c r="X2713">
        <v>4</v>
      </c>
      <c r="Y2713">
        <v>138</v>
      </c>
      <c r="Z2713">
        <v>7</v>
      </c>
      <c r="AA2713">
        <v>2</v>
      </c>
      <c r="AB2713">
        <v>18</v>
      </c>
      <c r="AC2713">
        <v>1</v>
      </c>
      <c r="AD2713" t="s">
        <v>100</v>
      </c>
      <c r="AE2713" t="s">
        <v>100</v>
      </c>
      <c r="AF2713" t="s">
        <v>100</v>
      </c>
      <c r="AK2713">
        <v>1</v>
      </c>
      <c r="AL2713" t="s">
        <v>100</v>
      </c>
      <c r="AM2713" t="s">
        <v>100</v>
      </c>
      <c r="AN2713" t="s">
        <v>100</v>
      </c>
      <c r="AT2713" t="s">
        <v>100</v>
      </c>
      <c r="AU2713">
        <v>10</v>
      </c>
      <c r="AV2713">
        <v>289</v>
      </c>
      <c r="AW2713">
        <v>289</v>
      </c>
      <c r="AX2713">
        <v>385</v>
      </c>
      <c r="AZ2713" t="s">
        <v>101</v>
      </c>
      <c r="BA2713">
        <v>1</v>
      </c>
      <c r="BC2713" t="s">
        <v>5528</v>
      </c>
      <c r="BD2713" s="4">
        <v>43283.184027777781</v>
      </c>
      <c r="BE2713" s="4">
        <v>43283.204375000001</v>
      </c>
      <c r="BF2713" s="4">
        <v>43283.204375000001</v>
      </c>
      <c r="BG2713" t="s">
        <v>83</v>
      </c>
      <c r="BH2713" t="s">
        <v>84</v>
      </c>
      <c r="BI2713" t="s">
        <v>85</v>
      </c>
    </row>
    <row r="2714" spans="1:61" x14ac:dyDescent="0.3">
      <c r="A2714" t="str">
        <f>"200545S0100"</f>
        <v>200545S0100</v>
      </c>
      <c r="B2714" t="s">
        <v>5529</v>
      </c>
      <c r="C2714">
        <v>20</v>
      </c>
      <c r="D2714" t="s">
        <v>79</v>
      </c>
      <c r="E2714">
        <v>13</v>
      </c>
      <c r="F2714" t="s">
        <v>5455</v>
      </c>
      <c r="G2714">
        <v>545</v>
      </c>
      <c r="H2714">
        <v>1</v>
      </c>
      <c r="I2714" t="s">
        <v>104</v>
      </c>
      <c r="J2714">
        <v>0</v>
      </c>
      <c r="K2714">
        <v>1</v>
      </c>
      <c r="L2714">
        <v>3</v>
      </c>
      <c r="AX2714">
        <v>0</v>
      </c>
      <c r="AZ2714" t="s">
        <v>156</v>
      </c>
      <c r="BA2714">
        <v>0</v>
      </c>
      <c r="BC2714" t="s">
        <v>5530</v>
      </c>
      <c r="BD2714" s="4">
        <v>43283.501388888886</v>
      </c>
      <c r="BE2714" s="4">
        <v>43283.503321759257</v>
      </c>
      <c r="BF2714" s="4">
        <v>43283.503321759257</v>
      </c>
      <c r="BG2714" t="s">
        <v>83</v>
      </c>
      <c r="BH2714" t="s">
        <v>84</v>
      </c>
      <c r="BI2714" t="s">
        <v>85</v>
      </c>
    </row>
    <row r="2715" spans="1:61" x14ac:dyDescent="0.3">
      <c r="A2715" t="str">
        <f>"200558B0100"</f>
        <v>200558B0100</v>
      </c>
      <c r="B2715" t="s">
        <v>5531</v>
      </c>
      <c r="C2715">
        <v>20</v>
      </c>
      <c r="D2715" t="s">
        <v>79</v>
      </c>
      <c r="E2715">
        <v>13</v>
      </c>
      <c r="F2715" t="s">
        <v>5455</v>
      </c>
      <c r="G2715">
        <v>558</v>
      </c>
      <c r="H2715">
        <v>1</v>
      </c>
      <c r="I2715" t="s">
        <v>81</v>
      </c>
      <c r="J2715">
        <v>0</v>
      </c>
      <c r="K2715">
        <v>1</v>
      </c>
      <c r="L2715">
        <v>2</v>
      </c>
      <c r="M2715">
        <v>213</v>
      </c>
      <c r="N2715">
        <v>282</v>
      </c>
      <c r="O2715">
        <v>0</v>
      </c>
      <c r="P2715">
        <v>282</v>
      </c>
      <c r="Q2715">
        <v>22</v>
      </c>
      <c r="R2715">
        <v>57</v>
      </c>
      <c r="S2715">
        <v>13</v>
      </c>
      <c r="T2715">
        <v>8</v>
      </c>
      <c r="U2715">
        <v>15</v>
      </c>
      <c r="V2715">
        <v>4</v>
      </c>
      <c r="W2715">
        <v>2</v>
      </c>
      <c r="X2715">
        <v>5</v>
      </c>
      <c r="Y2715">
        <v>126</v>
      </c>
      <c r="Z2715">
        <v>4</v>
      </c>
      <c r="AA2715">
        <v>8</v>
      </c>
      <c r="AB2715">
        <v>6</v>
      </c>
      <c r="AC2715">
        <v>0</v>
      </c>
      <c r="AD2715">
        <v>0</v>
      </c>
      <c r="AE2715">
        <v>0</v>
      </c>
      <c r="AF2715">
        <v>0</v>
      </c>
      <c r="AK2715">
        <v>2</v>
      </c>
      <c r="AL2715">
        <v>0</v>
      </c>
      <c r="AM2715">
        <v>0</v>
      </c>
      <c r="AN2715">
        <v>0</v>
      </c>
      <c r="AT2715">
        <v>0</v>
      </c>
      <c r="AU2715">
        <v>10</v>
      </c>
      <c r="AV2715">
        <v>282</v>
      </c>
      <c r="AW2715">
        <v>282</v>
      </c>
      <c r="AX2715">
        <v>477</v>
      </c>
      <c r="BA2715">
        <v>1</v>
      </c>
      <c r="BC2715" t="s">
        <v>5532</v>
      </c>
      <c r="BD2715" s="4">
        <v>43283.18472222222</v>
      </c>
      <c r="BE2715" s="4">
        <v>43283.203599537039</v>
      </c>
      <c r="BF2715" s="4">
        <v>43283.203599537039</v>
      </c>
      <c r="BG2715" t="s">
        <v>83</v>
      </c>
      <c r="BH2715" t="s">
        <v>84</v>
      </c>
      <c r="BI2715" t="s">
        <v>85</v>
      </c>
    </row>
    <row r="2716" spans="1:61" x14ac:dyDescent="0.3">
      <c r="A2716" t="str">
        <f>"200558C0100"</f>
        <v>200558C0100</v>
      </c>
      <c r="B2716" t="s">
        <v>5533</v>
      </c>
      <c r="C2716">
        <v>20</v>
      </c>
      <c r="D2716" t="s">
        <v>79</v>
      </c>
      <c r="E2716">
        <v>13</v>
      </c>
      <c r="F2716" t="s">
        <v>5455</v>
      </c>
      <c r="G2716">
        <v>558</v>
      </c>
      <c r="H2716">
        <v>1</v>
      </c>
      <c r="I2716" t="s">
        <v>89</v>
      </c>
      <c r="J2716">
        <v>0</v>
      </c>
      <c r="K2716">
        <v>1</v>
      </c>
      <c r="L2716">
        <v>2</v>
      </c>
      <c r="M2716">
        <v>181</v>
      </c>
      <c r="N2716">
        <v>314</v>
      </c>
      <c r="O2716">
        <v>4</v>
      </c>
      <c r="P2716">
        <v>321</v>
      </c>
      <c r="Q2716">
        <v>23</v>
      </c>
      <c r="R2716">
        <v>62</v>
      </c>
      <c r="S2716">
        <v>4</v>
      </c>
      <c r="T2716">
        <v>10</v>
      </c>
      <c r="U2716">
        <v>14</v>
      </c>
      <c r="V2716">
        <v>7</v>
      </c>
      <c r="W2716">
        <v>7</v>
      </c>
      <c r="X2716">
        <v>12</v>
      </c>
      <c r="Y2716">
        <v>137</v>
      </c>
      <c r="Z2716">
        <v>6</v>
      </c>
      <c r="AA2716">
        <v>6</v>
      </c>
      <c r="AB2716">
        <v>7</v>
      </c>
      <c r="AC2716" t="s">
        <v>100</v>
      </c>
      <c r="AD2716" t="s">
        <v>100</v>
      </c>
      <c r="AE2716" t="s">
        <v>100</v>
      </c>
      <c r="AF2716" t="s">
        <v>100</v>
      </c>
      <c r="AK2716">
        <v>4</v>
      </c>
      <c r="AL2716">
        <v>3</v>
      </c>
      <c r="AM2716" t="s">
        <v>100</v>
      </c>
      <c r="AN2716">
        <v>1</v>
      </c>
      <c r="AT2716" t="s">
        <v>100</v>
      </c>
      <c r="AU2716" t="s">
        <v>100</v>
      </c>
      <c r="AV2716" t="s">
        <v>100</v>
      </c>
      <c r="AW2716">
        <v>303</v>
      </c>
      <c r="AX2716">
        <v>476</v>
      </c>
      <c r="AZ2716" t="s">
        <v>101</v>
      </c>
      <c r="BA2716">
        <v>1</v>
      </c>
      <c r="BC2716" t="s">
        <v>5534</v>
      </c>
      <c r="BD2716" s="4">
        <v>43283.18472222222</v>
      </c>
      <c r="BE2716" s="4">
        <v>43283.20417824074</v>
      </c>
      <c r="BF2716" s="4">
        <v>43283.20417824074</v>
      </c>
      <c r="BG2716" t="s">
        <v>83</v>
      </c>
      <c r="BH2716" t="s">
        <v>84</v>
      </c>
      <c r="BI2716" t="s">
        <v>85</v>
      </c>
    </row>
    <row r="2717" spans="1:61" x14ac:dyDescent="0.3">
      <c r="A2717" t="str">
        <f>"200559B0100"</f>
        <v>200559B0100</v>
      </c>
      <c r="B2717" t="s">
        <v>5535</v>
      </c>
      <c r="C2717">
        <v>20</v>
      </c>
      <c r="D2717" t="s">
        <v>79</v>
      </c>
      <c r="E2717">
        <v>13</v>
      </c>
      <c r="F2717" t="s">
        <v>5455</v>
      </c>
      <c r="G2717">
        <v>559</v>
      </c>
      <c r="H2717">
        <v>1</v>
      </c>
      <c r="I2717" t="s">
        <v>81</v>
      </c>
      <c r="J2717">
        <v>0</v>
      </c>
      <c r="K2717">
        <v>1</v>
      </c>
      <c r="L2717">
        <v>2</v>
      </c>
      <c r="M2717">
        <v>220</v>
      </c>
      <c r="N2717">
        <v>382</v>
      </c>
      <c r="O2717">
        <v>5</v>
      </c>
      <c r="P2717">
        <v>382</v>
      </c>
      <c r="Q2717">
        <v>36</v>
      </c>
      <c r="R2717">
        <v>36</v>
      </c>
      <c r="S2717">
        <v>7</v>
      </c>
      <c r="T2717">
        <v>8</v>
      </c>
      <c r="U2717">
        <v>6</v>
      </c>
      <c r="V2717">
        <v>3</v>
      </c>
      <c r="W2717">
        <v>7</v>
      </c>
      <c r="X2717">
        <v>3</v>
      </c>
      <c r="Y2717">
        <v>224</v>
      </c>
      <c r="Z2717">
        <v>11</v>
      </c>
      <c r="AA2717">
        <v>3</v>
      </c>
      <c r="AB2717">
        <v>8</v>
      </c>
      <c r="AC2717">
        <v>0</v>
      </c>
      <c r="AD2717">
        <v>0</v>
      </c>
      <c r="AE2717">
        <v>0</v>
      </c>
      <c r="AF2717">
        <v>0</v>
      </c>
      <c r="AK2717">
        <v>3</v>
      </c>
      <c r="AL2717">
        <v>3</v>
      </c>
      <c r="AM2717">
        <v>0</v>
      </c>
      <c r="AN2717">
        <v>2</v>
      </c>
      <c r="AT2717">
        <v>0</v>
      </c>
      <c r="AU2717">
        <v>4</v>
      </c>
      <c r="AV2717">
        <v>382</v>
      </c>
      <c r="AW2717">
        <v>364</v>
      </c>
      <c r="AX2717">
        <v>581</v>
      </c>
      <c r="BA2717">
        <v>1</v>
      </c>
      <c r="BC2717" t="s">
        <v>5536</v>
      </c>
      <c r="BD2717" s="4">
        <v>43282.96533564815</v>
      </c>
      <c r="BE2717" s="4">
        <v>43282.971979166665</v>
      </c>
      <c r="BF2717" s="4">
        <v>43282.971979166665</v>
      </c>
      <c r="BG2717" t="s">
        <v>373</v>
      </c>
      <c r="BH2717" t="s">
        <v>374</v>
      </c>
      <c r="BI2717" t="s">
        <v>85</v>
      </c>
    </row>
    <row r="2718" spans="1:61" x14ac:dyDescent="0.3">
      <c r="A2718" t="str">
        <f>"200559C0100"</f>
        <v>200559C0100</v>
      </c>
      <c r="B2718" t="s">
        <v>5537</v>
      </c>
      <c r="C2718">
        <v>20</v>
      </c>
      <c r="D2718" t="s">
        <v>79</v>
      </c>
      <c r="E2718">
        <v>13</v>
      </c>
      <c r="F2718" t="s">
        <v>5455</v>
      </c>
      <c r="G2718">
        <v>559</v>
      </c>
      <c r="H2718">
        <v>1</v>
      </c>
      <c r="I2718" t="s">
        <v>89</v>
      </c>
      <c r="J2718">
        <v>0</v>
      </c>
      <c r="K2718">
        <v>1</v>
      </c>
      <c r="L2718">
        <v>2</v>
      </c>
      <c r="M2718">
        <v>194</v>
      </c>
      <c r="N2718">
        <v>410</v>
      </c>
      <c r="O2718">
        <v>4</v>
      </c>
      <c r="P2718">
        <v>401</v>
      </c>
      <c r="Q2718">
        <v>38</v>
      </c>
      <c r="R2718">
        <v>51</v>
      </c>
      <c r="S2718">
        <v>12</v>
      </c>
      <c r="T2718">
        <v>7</v>
      </c>
      <c r="U2718">
        <v>20</v>
      </c>
      <c r="V2718">
        <v>6</v>
      </c>
      <c r="W2718">
        <v>2</v>
      </c>
      <c r="X2718">
        <v>3</v>
      </c>
      <c r="Y2718">
        <v>220</v>
      </c>
      <c r="Z2718">
        <v>12</v>
      </c>
      <c r="AA2718">
        <v>3</v>
      </c>
      <c r="AB2718">
        <v>12</v>
      </c>
      <c r="AC2718">
        <v>1</v>
      </c>
      <c r="AD2718">
        <v>0</v>
      </c>
      <c r="AE2718">
        <v>0</v>
      </c>
      <c r="AF2718">
        <v>0</v>
      </c>
      <c r="AK2718">
        <v>2</v>
      </c>
      <c r="AL2718">
        <v>0</v>
      </c>
      <c r="AM2718">
        <v>0</v>
      </c>
      <c r="AN2718">
        <v>1</v>
      </c>
      <c r="AT2718">
        <v>0</v>
      </c>
      <c r="AU2718">
        <v>11</v>
      </c>
      <c r="AV2718">
        <v>401</v>
      </c>
      <c r="AW2718">
        <v>401</v>
      </c>
      <c r="AX2718">
        <v>581</v>
      </c>
      <c r="BA2718">
        <v>1</v>
      </c>
      <c r="BC2718" t="s">
        <v>5538</v>
      </c>
      <c r="BD2718" s="4">
        <v>43282.974456018521</v>
      </c>
      <c r="BE2718" s="4">
        <v>43282.977962962963</v>
      </c>
      <c r="BF2718" s="4">
        <v>43282.977962962963</v>
      </c>
      <c r="BG2718" t="s">
        <v>373</v>
      </c>
      <c r="BH2718" t="s">
        <v>374</v>
      </c>
      <c r="BI2718" t="s">
        <v>85</v>
      </c>
    </row>
    <row r="2719" spans="1:61" x14ac:dyDescent="0.3">
      <c r="A2719" t="str">
        <f>"200559C0200"</f>
        <v>200559C0200</v>
      </c>
      <c r="B2719" t="s">
        <v>5539</v>
      </c>
      <c r="C2719">
        <v>20</v>
      </c>
      <c r="D2719" t="s">
        <v>79</v>
      </c>
      <c r="E2719">
        <v>13</v>
      </c>
      <c r="F2719" t="s">
        <v>5455</v>
      </c>
      <c r="G2719">
        <v>559</v>
      </c>
      <c r="H2719">
        <v>2</v>
      </c>
      <c r="I2719" t="s">
        <v>89</v>
      </c>
      <c r="J2719">
        <v>0</v>
      </c>
      <c r="K2719">
        <v>1</v>
      </c>
      <c r="L2719">
        <v>2</v>
      </c>
      <c r="M2719">
        <v>225</v>
      </c>
      <c r="N2719">
        <v>377</v>
      </c>
      <c r="O2719">
        <v>7</v>
      </c>
      <c r="P2719">
        <v>5</v>
      </c>
      <c r="Q2719">
        <v>34</v>
      </c>
      <c r="R2719">
        <v>36</v>
      </c>
      <c r="S2719">
        <v>15</v>
      </c>
      <c r="T2719">
        <v>7</v>
      </c>
      <c r="U2719">
        <v>18</v>
      </c>
      <c r="V2719">
        <v>2</v>
      </c>
      <c r="W2719">
        <v>6</v>
      </c>
      <c r="X2719">
        <v>4</v>
      </c>
      <c r="Y2719">
        <v>228</v>
      </c>
      <c r="Z2719">
        <v>4</v>
      </c>
      <c r="AA2719">
        <v>6</v>
      </c>
      <c r="AB2719">
        <v>10</v>
      </c>
      <c r="AC2719">
        <v>1</v>
      </c>
      <c r="AD2719">
        <v>0</v>
      </c>
      <c r="AE2719">
        <v>0</v>
      </c>
      <c r="AF2719">
        <v>0</v>
      </c>
      <c r="AK2719">
        <v>3</v>
      </c>
      <c r="AL2719">
        <v>2</v>
      </c>
      <c r="AM2719">
        <v>0</v>
      </c>
      <c r="AN2719">
        <v>1</v>
      </c>
      <c r="AT2719">
        <v>0</v>
      </c>
      <c r="AU2719">
        <v>7</v>
      </c>
      <c r="AV2719">
        <v>384</v>
      </c>
      <c r="AW2719">
        <v>384</v>
      </c>
      <c r="AX2719">
        <v>580</v>
      </c>
      <c r="BA2719">
        <v>1</v>
      </c>
      <c r="BC2719" t="s">
        <v>5540</v>
      </c>
      <c r="BD2719" s="4">
        <v>43282.960196759261</v>
      </c>
      <c r="BE2719" s="4">
        <v>43282.973611111112</v>
      </c>
      <c r="BF2719" s="4">
        <v>43282.973611111112</v>
      </c>
      <c r="BG2719" t="s">
        <v>373</v>
      </c>
      <c r="BH2719" t="s">
        <v>374</v>
      </c>
      <c r="BI2719" t="s">
        <v>85</v>
      </c>
    </row>
    <row r="2720" spans="1:61" x14ac:dyDescent="0.3">
      <c r="A2720" t="str">
        <f>"200560B0100"</f>
        <v>200560B0100</v>
      </c>
      <c r="B2720" t="s">
        <v>5541</v>
      </c>
      <c r="C2720">
        <v>20</v>
      </c>
      <c r="D2720" t="s">
        <v>79</v>
      </c>
      <c r="E2720">
        <v>13</v>
      </c>
      <c r="F2720" t="s">
        <v>5455</v>
      </c>
      <c r="G2720">
        <v>560</v>
      </c>
      <c r="H2720">
        <v>1</v>
      </c>
      <c r="I2720" t="s">
        <v>81</v>
      </c>
      <c r="J2720">
        <v>0</v>
      </c>
      <c r="K2720">
        <v>1</v>
      </c>
      <c r="L2720">
        <v>2</v>
      </c>
      <c r="M2720" t="s">
        <v>100</v>
      </c>
      <c r="N2720">
        <v>395</v>
      </c>
      <c r="O2720">
        <v>0</v>
      </c>
      <c r="P2720">
        <v>396</v>
      </c>
      <c r="Q2720">
        <v>34</v>
      </c>
      <c r="R2720">
        <v>50</v>
      </c>
      <c r="S2720">
        <v>6</v>
      </c>
      <c r="T2720">
        <v>8</v>
      </c>
      <c r="U2720">
        <v>20</v>
      </c>
      <c r="V2720">
        <v>5</v>
      </c>
      <c r="W2720">
        <v>8</v>
      </c>
      <c r="X2720">
        <v>5</v>
      </c>
      <c r="Y2720">
        <v>218</v>
      </c>
      <c r="Z2720">
        <v>8</v>
      </c>
      <c r="AA2720">
        <v>1</v>
      </c>
      <c r="AB2720">
        <v>3</v>
      </c>
      <c r="AC2720">
        <v>0</v>
      </c>
      <c r="AD2720">
        <v>0</v>
      </c>
      <c r="AE2720">
        <v>0</v>
      </c>
      <c r="AF2720">
        <v>0</v>
      </c>
      <c r="AK2720">
        <v>11</v>
      </c>
      <c r="AL2720">
        <v>3</v>
      </c>
      <c r="AM2720">
        <v>0</v>
      </c>
      <c r="AN2720">
        <v>1</v>
      </c>
      <c r="AT2720">
        <v>0</v>
      </c>
      <c r="AU2720">
        <v>15</v>
      </c>
      <c r="AV2720">
        <v>396</v>
      </c>
      <c r="AW2720">
        <v>396</v>
      </c>
      <c r="AX2720">
        <v>644</v>
      </c>
      <c r="BA2720">
        <v>1</v>
      </c>
      <c r="BC2720" t="s">
        <v>5542</v>
      </c>
      <c r="BD2720" s="4">
        <v>43283.393055555556</v>
      </c>
      <c r="BE2720" s="4">
        <v>43283.39570601852</v>
      </c>
      <c r="BF2720" s="4">
        <v>43283.39570601852</v>
      </c>
      <c r="BG2720" t="s">
        <v>83</v>
      </c>
      <c r="BH2720" t="s">
        <v>84</v>
      </c>
      <c r="BI2720" t="s">
        <v>548</v>
      </c>
    </row>
    <row r="2721" spans="1:61" x14ac:dyDescent="0.3">
      <c r="A2721" t="str">
        <f>"200560C0100"</f>
        <v>200560C0100</v>
      </c>
      <c r="B2721" t="s">
        <v>5543</v>
      </c>
      <c r="C2721">
        <v>20</v>
      </c>
      <c r="D2721" t="s">
        <v>79</v>
      </c>
      <c r="E2721">
        <v>13</v>
      </c>
      <c r="F2721" t="s">
        <v>5455</v>
      </c>
      <c r="G2721">
        <v>560</v>
      </c>
      <c r="H2721">
        <v>1</v>
      </c>
      <c r="I2721" t="s">
        <v>89</v>
      </c>
      <c r="J2721">
        <v>0</v>
      </c>
      <c r="K2721">
        <v>1</v>
      </c>
      <c r="L2721">
        <v>2</v>
      </c>
      <c r="M2721">
        <v>266</v>
      </c>
      <c r="N2721">
        <v>399</v>
      </c>
      <c r="O2721">
        <v>2</v>
      </c>
      <c r="P2721">
        <v>398</v>
      </c>
      <c r="Q2721">
        <v>35</v>
      </c>
      <c r="R2721">
        <v>53</v>
      </c>
      <c r="S2721">
        <v>10</v>
      </c>
      <c r="T2721">
        <v>9</v>
      </c>
      <c r="U2721">
        <v>33</v>
      </c>
      <c r="V2721">
        <v>3</v>
      </c>
      <c r="W2721">
        <v>6</v>
      </c>
      <c r="X2721">
        <v>12</v>
      </c>
      <c r="Y2721">
        <v>200</v>
      </c>
      <c r="Z2721">
        <v>4</v>
      </c>
      <c r="AA2721">
        <v>4</v>
      </c>
      <c r="AB2721">
        <v>6</v>
      </c>
      <c r="AC2721">
        <v>0</v>
      </c>
      <c r="AD2721">
        <v>1</v>
      </c>
      <c r="AE2721">
        <v>0</v>
      </c>
      <c r="AF2721">
        <v>0</v>
      </c>
      <c r="AK2721">
        <v>8</v>
      </c>
      <c r="AL2721">
        <v>2</v>
      </c>
      <c r="AM2721">
        <v>0</v>
      </c>
      <c r="AN2721">
        <v>0</v>
      </c>
      <c r="AT2721">
        <v>0</v>
      </c>
      <c r="AU2721">
        <v>12</v>
      </c>
      <c r="AV2721">
        <v>398</v>
      </c>
      <c r="AW2721">
        <v>398</v>
      </c>
      <c r="AX2721">
        <v>643</v>
      </c>
      <c r="BA2721">
        <v>1</v>
      </c>
      <c r="BC2721" t="s">
        <v>5544</v>
      </c>
      <c r="BD2721" s="4">
        <v>43283.145138888889</v>
      </c>
      <c r="BE2721" s="4">
        <v>43283.153229166666</v>
      </c>
      <c r="BF2721" s="4">
        <v>43283.153229166666</v>
      </c>
      <c r="BG2721" t="s">
        <v>83</v>
      </c>
      <c r="BH2721" t="s">
        <v>84</v>
      </c>
      <c r="BI2721" t="s">
        <v>85</v>
      </c>
    </row>
    <row r="2722" spans="1:61" x14ac:dyDescent="0.3">
      <c r="A2722" t="str">
        <f>"200560C0200"</f>
        <v>200560C0200</v>
      </c>
      <c r="B2722" t="s">
        <v>5545</v>
      </c>
      <c r="C2722">
        <v>20</v>
      </c>
      <c r="D2722" t="s">
        <v>79</v>
      </c>
      <c r="E2722">
        <v>13</v>
      </c>
      <c r="F2722" t="s">
        <v>5455</v>
      </c>
      <c r="G2722">
        <v>560</v>
      </c>
      <c r="H2722">
        <v>2</v>
      </c>
      <c r="I2722" t="s">
        <v>89</v>
      </c>
      <c r="J2722">
        <v>0</v>
      </c>
      <c r="K2722">
        <v>1</v>
      </c>
      <c r="L2722">
        <v>2</v>
      </c>
      <c r="M2722">
        <v>258</v>
      </c>
      <c r="N2722">
        <v>407</v>
      </c>
      <c r="O2722">
        <v>3</v>
      </c>
      <c r="P2722">
        <v>8</v>
      </c>
      <c r="Q2722">
        <v>32</v>
      </c>
      <c r="R2722">
        <v>57</v>
      </c>
      <c r="S2722">
        <v>5</v>
      </c>
      <c r="T2722">
        <v>13</v>
      </c>
      <c r="U2722">
        <v>21</v>
      </c>
      <c r="V2722">
        <v>9</v>
      </c>
      <c r="W2722">
        <v>11</v>
      </c>
      <c r="X2722">
        <v>11</v>
      </c>
      <c r="Y2722">
        <v>179</v>
      </c>
      <c r="Z2722">
        <v>9</v>
      </c>
      <c r="AA2722">
        <v>3</v>
      </c>
      <c r="AB2722">
        <v>15</v>
      </c>
      <c r="AC2722">
        <v>2</v>
      </c>
      <c r="AD2722">
        <v>0</v>
      </c>
      <c r="AE2722">
        <v>0</v>
      </c>
      <c r="AF2722">
        <v>0</v>
      </c>
      <c r="AK2722">
        <v>10</v>
      </c>
      <c r="AL2722">
        <v>8</v>
      </c>
      <c r="AM2722">
        <v>2</v>
      </c>
      <c r="AN2722">
        <v>2</v>
      </c>
      <c r="AT2722">
        <v>0</v>
      </c>
      <c r="AU2722">
        <v>16</v>
      </c>
      <c r="AV2722">
        <v>405</v>
      </c>
      <c r="AW2722">
        <v>405</v>
      </c>
      <c r="AX2722">
        <v>643</v>
      </c>
      <c r="BA2722">
        <v>1</v>
      </c>
      <c r="BC2722" t="s">
        <v>5546</v>
      </c>
      <c r="BD2722" s="4">
        <v>43283.144444444442</v>
      </c>
      <c r="BE2722" s="4">
        <v>43283.151388888888</v>
      </c>
      <c r="BF2722" s="4">
        <v>43283.151388888888</v>
      </c>
      <c r="BG2722" t="s">
        <v>83</v>
      </c>
      <c r="BH2722" t="s">
        <v>84</v>
      </c>
      <c r="BI2722" t="s">
        <v>85</v>
      </c>
    </row>
    <row r="2723" spans="1:61" x14ac:dyDescent="0.3">
      <c r="A2723" t="str">
        <f>"200560C0300"</f>
        <v>200560C0300</v>
      </c>
      <c r="B2723" t="s">
        <v>5547</v>
      </c>
      <c r="C2723">
        <v>20</v>
      </c>
      <c r="D2723" t="s">
        <v>79</v>
      </c>
      <c r="E2723">
        <v>13</v>
      </c>
      <c r="F2723" t="s">
        <v>5455</v>
      </c>
      <c r="G2723">
        <v>560</v>
      </c>
      <c r="H2723">
        <v>3</v>
      </c>
      <c r="I2723" t="s">
        <v>89</v>
      </c>
      <c r="J2723">
        <v>0</v>
      </c>
      <c r="K2723">
        <v>1</v>
      </c>
      <c r="L2723">
        <v>2</v>
      </c>
      <c r="M2723">
        <v>285</v>
      </c>
      <c r="N2723">
        <v>381</v>
      </c>
      <c r="O2723">
        <v>0</v>
      </c>
      <c r="P2723">
        <v>382</v>
      </c>
      <c r="Q2723">
        <v>39</v>
      </c>
      <c r="R2723">
        <v>59</v>
      </c>
      <c r="S2723">
        <v>6</v>
      </c>
      <c r="T2723">
        <v>15</v>
      </c>
      <c r="U2723">
        <v>24</v>
      </c>
      <c r="V2723">
        <v>4</v>
      </c>
      <c r="W2723">
        <v>7</v>
      </c>
      <c r="X2723">
        <v>7</v>
      </c>
      <c r="Y2723">
        <v>176</v>
      </c>
      <c r="Z2723">
        <v>4</v>
      </c>
      <c r="AA2723">
        <v>0</v>
      </c>
      <c r="AB2723">
        <v>12</v>
      </c>
      <c r="AC2723">
        <v>1</v>
      </c>
      <c r="AD2723">
        <v>0</v>
      </c>
      <c r="AE2723">
        <v>0</v>
      </c>
      <c r="AF2723">
        <v>1</v>
      </c>
      <c r="AK2723">
        <v>7</v>
      </c>
      <c r="AL2723">
        <v>4</v>
      </c>
      <c r="AM2723">
        <v>1</v>
      </c>
      <c r="AN2723">
        <v>0</v>
      </c>
      <c r="AT2723">
        <v>1</v>
      </c>
      <c r="AU2723">
        <v>21</v>
      </c>
      <c r="AV2723">
        <v>382</v>
      </c>
      <c r="AW2723">
        <v>389</v>
      </c>
      <c r="AX2723">
        <v>643</v>
      </c>
      <c r="BA2723">
        <v>1</v>
      </c>
      <c r="BC2723" t="s">
        <v>5548</v>
      </c>
      <c r="BD2723" s="4">
        <v>43283.144444444442</v>
      </c>
      <c r="BE2723" s="4">
        <v>43283.150868055556</v>
      </c>
      <c r="BF2723" s="4">
        <v>43283.150868055556</v>
      </c>
      <c r="BG2723" t="s">
        <v>83</v>
      </c>
      <c r="BH2723" t="s">
        <v>84</v>
      </c>
      <c r="BI2723" t="s">
        <v>85</v>
      </c>
    </row>
    <row r="2724" spans="1:61" x14ac:dyDescent="0.3">
      <c r="A2724" t="str">
        <f>"200561B0100"</f>
        <v>200561B0100</v>
      </c>
      <c r="B2724" t="s">
        <v>5549</v>
      </c>
      <c r="C2724">
        <v>20</v>
      </c>
      <c r="D2724" t="s">
        <v>79</v>
      </c>
      <c r="E2724">
        <v>13</v>
      </c>
      <c r="F2724" t="s">
        <v>5455</v>
      </c>
      <c r="G2724">
        <v>561</v>
      </c>
      <c r="H2724">
        <v>1</v>
      </c>
      <c r="I2724" t="s">
        <v>81</v>
      </c>
      <c r="J2724">
        <v>0</v>
      </c>
      <c r="K2724">
        <v>1</v>
      </c>
      <c r="L2724">
        <v>2</v>
      </c>
      <c r="M2724">
        <v>230</v>
      </c>
      <c r="N2724">
        <v>354</v>
      </c>
      <c r="O2724">
        <v>4</v>
      </c>
      <c r="P2724">
        <v>354</v>
      </c>
      <c r="Q2724">
        <v>31</v>
      </c>
      <c r="R2724">
        <v>44</v>
      </c>
      <c r="S2724">
        <v>8</v>
      </c>
      <c r="T2724">
        <v>6</v>
      </c>
      <c r="U2724">
        <v>26</v>
      </c>
      <c r="V2724">
        <v>7</v>
      </c>
      <c r="W2724">
        <v>4</v>
      </c>
      <c r="X2724">
        <v>7</v>
      </c>
      <c r="Y2724">
        <v>176</v>
      </c>
      <c r="Z2724">
        <v>8</v>
      </c>
      <c r="AA2724">
        <v>0</v>
      </c>
      <c r="AB2724">
        <v>7</v>
      </c>
      <c r="AC2724">
        <v>1</v>
      </c>
      <c r="AD2724">
        <v>0</v>
      </c>
      <c r="AE2724">
        <v>0</v>
      </c>
      <c r="AF2724">
        <v>0</v>
      </c>
      <c r="AK2724">
        <v>4</v>
      </c>
      <c r="AL2724">
        <v>4</v>
      </c>
      <c r="AM2724">
        <v>1</v>
      </c>
      <c r="AN2724">
        <v>3</v>
      </c>
      <c r="AT2724" t="s">
        <v>100</v>
      </c>
      <c r="AU2724">
        <v>16</v>
      </c>
      <c r="AV2724">
        <v>354</v>
      </c>
      <c r="AW2724">
        <v>353</v>
      </c>
      <c r="AX2724">
        <v>562</v>
      </c>
      <c r="AZ2724" t="s">
        <v>101</v>
      </c>
      <c r="BA2724">
        <v>1</v>
      </c>
      <c r="BC2724" t="s">
        <v>5550</v>
      </c>
      <c r="BD2724" s="4">
        <v>43283.12222222222</v>
      </c>
      <c r="BE2724" s="4">
        <v>43283.125798611109</v>
      </c>
      <c r="BF2724" s="4">
        <v>43283.125798611109</v>
      </c>
      <c r="BG2724" t="s">
        <v>83</v>
      </c>
      <c r="BH2724" t="s">
        <v>84</v>
      </c>
      <c r="BI2724" t="s">
        <v>85</v>
      </c>
    </row>
    <row r="2725" spans="1:61" x14ac:dyDescent="0.3">
      <c r="A2725" t="str">
        <f>"200561C0100"</f>
        <v>200561C0100</v>
      </c>
      <c r="B2725" t="s">
        <v>5551</v>
      </c>
      <c r="C2725">
        <v>20</v>
      </c>
      <c r="D2725" t="s">
        <v>79</v>
      </c>
      <c r="E2725">
        <v>13</v>
      </c>
      <c r="F2725" t="s">
        <v>5455</v>
      </c>
      <c r="G2725">
        <v>561</v>
      </c>
      <c r="H2725">
        <v>1</v>
      </c>
      <c r="I2725" t="s">
        <v>89</v>
      </c>
      <c r="J2725">
        <v>0</v>
      </c>
      <c r="K2725">
        <v>1</v>
      </c>
      <c r="L2725">
        <v>2</v>
      </c>
      <c r="M2725">
        <v>216</v>
      </c>
      <c r="N2725">
        <v>367</v>
      </c>
      <c r="O2725">
        <v>8</v>
      </c>
      <c r="P2725" t="s">
        <v>315</v>
      </c>
      <c r="Q2725">
        <v>28</v>
      </c>
      <c r="R2725">
        <v>44</v>
      </c>
      <c r="S2725">
        <v>9</v>
      </c>
      <c r="T2725">
        <v>7</v>
      </c>
      <c r="U2725">
        <v>21</v>
      </c>
      <c r="V2725">
        <v>6</v>
      </c>
      <c r="W2725">
        <v>5</v>
      </c>
      <c r="X2725">
        <v>3</v>
      </c>
      <c r="Y2725">
        <v>196</v>
      </c>
      <c r="Z2725">
        <v>7</v>
      </c>
      <c r="AA2725">
        <v>6</v>
      </c>
      <c r="AB2725">
        <v>10</v>
      </c>
      <c r="AC2725">
        <v>1</v>
      </c>
      <c r="AD2725">
        <v>0</v>
      </c>
      <c r="AE2725">
        <v>0</v>
      </c>
      <c r="AF2725">
        <v>0</v>
      </c>
      <c r="AK2725">
        <v>4</v>
      </c>
      <c r="AL2725">
        <v>2</v>
      </c>
      <c r="AM2725">
        <v>1</v>
      </c>
      <c r="AN2725">
        <v>2</v>
      </c>
      <c r="AT2725">
        <v>0</v>
      </c>
      <c r="AU2725">
        <v>14</v>
      </c>
      <c r="AV2725">
        <v>367</v>
      </c>
      <c r="AW2725">
        <v>366</v>
      </c>
      <c r="AX2725">
        <v>561</v>
      </c>
      <c r="BA2725">
        <v>1</v>
      </c>
      <c r="BC2725" t="s">
        <v>5552</v>
      </c>
      <c r="BD2725" s="4">
        <v>43283.121527777781</v>
      </c>
      <c r="BE2725" s="4">
        <v>43283.35564814815</v>
      </c>
      <c r="BF2725" s="4">
        <v>43283.35564814815</v>
      </c>
      <c r="BG2725" t="s">
        <v>83</v>
      </c>
      <c r="BH2725" t="s">
        <v>84</v>
      </c>
      <c r="BI2725" t="s">
        <v>85</v>
      </c>
    </row>
    <row r="2726" spans="1:61" x14ac:dyDescent="0.3">
      <c r="A2726" t="str">
        <f>"200562B0100"</f>
        <v>200562B0100</v>
      </c>
      <c r="B2726" t="s">
        <v>5553</v>
      </c>
      <c r="C2726">
        <v>20</v>
      </c>
      <c r="D2726" t="s">
        <v>79</v>
      </c>
      <c r="E2726">
        <v>13</v>
      </c>
      <c r="F2726" t="s">
        <v>5455</v>
      </c>
      <c r="G2726">
        <v>562</v>
      </c>
      <c r="H2726">
        <v>1</v>
      </c>
      <c r="I2726" t="s">
        <v>81</v>
      </c>
      <c r="J2726">
        <v>0</v>
      </c>
      <c r="K2726">
        <v>1</v>
      </c>
      <c r="L2726">
        <v>2</v>
      </c>
      <c r="M2726">
        <v>204</v>
      </c>
      <c r="N2726">
        <v>359</v>
      </c>
      <c r="O2726">
        <v>3</v>
      </c>
      <c r="P2726">
        <v>359</v>
      </c>
      <c r="Q2726">
        <v>30</v>
      </c>
      <c r="R2726">
        <v>53</v>
      </c>
      <c r="S2726">
        <v>6</v>
      </c>
      <c r="T2726">
        <v>5</v>
      </c>
      <c r="U2726">
        <v>14</v>
      </c>
      <c r="V2726">
        <v>2</v>
      </c>
      <c r="W2726">
        <v>6</v>
      </c>
      <c r="X2726">
        <v>5</v>
      </c>
      <c r="Y2726">
        <v>199</v>
      </c>
      <c r="Z2726">
        <v>6</v>
      </c>
      <c r="AA2726">
        <v>1</v>
      </c>
      <c r="AB2726">
        <v>10</v>
      </c>
      <c r="AC2726">
        <v>1</v>
      </c>
      <c r="AD2726">
        <v>0</v>
      </c>
      <c r="AE2726">
        <v>0</v>
      </c>
      <c r="AF2726">
        <v>0</v>
      </c>
      <c r="AK2726">
        <v>6</v>
      </c>
      <c r="AL2726">
        <v>1</v>
      </c>
      <c r="AM2726">
        <v>0</v>
      </c>
      <c r="AN2726">
        <v>2</v>
      </c>
      <c r="AT2726">
        <v>1</v>
      </c>
      <c r="AU2726">
        <v>11</v>
      </c>
      <c r="AV2726">
        <v>359</v>
      </c>
      <c r="AW2726">
        <v>359</v>
      </c>
      <c r="AX2726">
        <v>541</v>
      </c>
      <c r="BA2726">
        <v>1</v>
      </c>
      <c r="BC2726" t="s">
        <v>5554</v>
      </c>
      <c r="BD2726" s="4">
        <v>43283.121527777781</v>
      </c>
      <c r="BE2726" s="4">
        <v>43283.127743055556</v>
      </c>
      <c r="BF2726" s="4">
        <v>43283.127743055556</v>
      </c>
      <c r="BG2726" t="s">
        <v>83</v>
      </c>
      <c r="BH2726" t="s">
        <v>84</v>
      </c>
      <c r="BI2726" t="s">
        <v>85</v>
      </c>
    </row>
    <row r="2727" spans="1:61" x14ac:dyDescent="0.3">
      <c r="A2727" t="str">
        <f>"200562C0100"</f>
        <v>200562C0100</v>
      </c>
      <c r="B2727" t="s">
        <v>5555</v>
      </c>
      <c r="C2727">
        <v>20</v>
      </c>
      <c r="D2727" t="s">
        <v>79</v>
      </c>
      <c r="E2727">
        <v>13</v>
      </c>
      <c r="F2727" t="s">
        <v>5455</v>
      </c>
      <c r="G2727">
        <v>562</v>
      </c>
      <c r="H2727">
        <v>1</v>
      </c>
      <c r="I2727" t="s">
        <v>89</v>
      </c>
      <c r="J2727">
        <v>0</v>
      </c>
      <c r="K2727">
        <v>1</v>
      </c>
      <c r="L2727">
        <v>2</v>
      </c>
      <c r="M2727">
        <v>222</v>
      </c>
      <c r="N2727">
        <v>340</v>
      </c>
      <c r="O2727">
        <v>1</v>
      </c>
      <c r="P2727">
        <v>340</v>
      </c>
      <c r="Q2727">
        <v>27</v>
      </c>
      <c r="R2727">
        <v>38</v>
      </c>
      <c r="S2727">
        <v>7</v>
      </c>
      <c r="T2727">
        <v>9</v>
      </c>
      <c r="U2727">
        <v>29</v>
      </c>
      <c r="V2727">
        <v>3</v>
      </c>
      <c r="W2727">
        <v>9</v>
      </c>
      <c r="X2727">
        <v>8</v>
      </c>
      <c r="Y2727">
        <v>169</v>
      </c>
      <c r="Z2727">
        <v>3</v>
      </c>
      <c r="AA2727">
        <v>1</v>
      </c>
      <c r="AB2727">
        <v>12</v>
      </c>
      <c r="AC2727">
        <v>1</v>
      </c>
      <c r="AD2727">
        <v>0</v>
      </c>
      <c r="AE2727">
        <v>0</v>
      </c>
      <c r="AF2727">
        <v>0</v>
      </c>
      <c r="AK2727">
        <v>2</v>
      </c>
      <c r="AL2727">
        <v>7</v>
      </c>
      <c r="AM2727">
        <v>0</v>
      </c>
      <c r="AN2727">
        <v>1</v>
      </c>
      <c r="AT2727">
        <v>0</v>
      </c>
      <c r="AU2727">
        <v>14</v>
      </c>
      <c r="AV2727">
        <v>340</v>
      </c>
      <c r="AW2727">
        <v>340</v>
      </c>
      <c r="AX2727">
        <v>540</v>
      </c>
      <c r="BA2727">
        <v>1</v>
      </c>
      <c r="BC2727" t="s">
        <v>5556</v>
      </c>
      <c r="BD2727" s="4">
        <v>43283.115972222222</v>
      </c>
      <c r="BE2727" s="4">
        <v>43283.122557870367</v>
      </c>
      <c r="BF2727" s="4">
        <v>43283.122557870367</v>
      </c>
      <c r="BG2727" t="s">
        <v>83</v>
      </c>
      <c r="BH2727" t="s">
        <v>84</v>
      </c>
      <c r="BI2727" t="s">
        <v>85</v>
      </c>
    </row>
    <row r="2728" spans="1:61" x14ac:dyDescent="0.3">
      <c r="A2728" t="str">
        <f>"200563B0100"</f>
        <v>200563B0100</v>
      </c>
      <c r="B2728" t="s">
        <v>5557</v>
      </c>
      <c r="C2728">
        <v>20</v>
      </c>
      <c r="D2728" t="s">
        <v>79</v>
      </c>
      <c r="E2728">
        <v>13</v>
      </c>
      <c r="F2728" t="s">
        <v>5455</v>
      </c>
      <c r="G2728">
        <v>563</v>
      </c>
      <c r="H2728">
        <v>1</v>
      </c>
      <c r="I2728" t="s">
        <v>81</v>
      </c>
      <c r="J2728">
        <v>0</v>
      </c>
      <c r="K2728">
        <v>1</v>
      </c>
      <c r="L2728">
        <v>2</v>
      </c>
      <c r="M2728" t="s">
        <v>100</v>
      </c>
      <c r="N2728">
        <v>309</v>
      </c>
      <c r="O2728">
        <v>0</v>
      </c>
      <c r="P2728">
        <v>0</v>
      </c>
      <c r="Q2728">
        <v>25</v>
      </c>
      <c r="R2728">
        <v>38</v>
      </c>
      <c r="S2728">
        <v>4</v>
      </c>
      <c r="T2728">
        <v>4</v>
      </c>
      <c r="U2728">
        <v>10</v>
      </c>
      <c r="V2728">
        <v>4</v>
      </c>
      <c r="W2728">
        <v>9</v>
      </c>
      <c r="X2728">
        <v>18</v>
      </c>
      <c r="Y2728">
        <v>169</v>
      </c>
      <c r="Z2728">
        <v>7</v>
      </c>
      <c r="AA2728">
        <v>0</v>
      </c>
      <c r="AB2728">
        <v>6</v>
      </c>
      <c r="AC2728">
        <v>0</v>
      </c>
      <c r="AD2728">
        <v>1</v>
      </c>
      <c r="AE2728">
        <v>0</v>
      </c>
      <c r="AF2728">
        <v>0</v>
      </c>
      <c r="AK2728">
        <v>0</v>
      </c>
      <c r="AL2728">
        <v>0</v>
      </c>
      <c r="AM2728">
        <v>0</v>
      </c>
      <c r="AN2728">
        <v>1</v>
      </c>
      <c r="AT2728">
        <v>0</v>
      </c>
      <c r="AU2728">
        <v>8</v>
      </c>
      <c r="AV2728">
        <v>309</v>
      </c>
      <c r="AW2728">
        <v>304</v>
      </c>
      <c r="AX2728">
        <v>490</v>
      </c>
      <c r="BA2728">
        <v>1</v>
      </c>
      <c r="BC2728" t="s">
        <v>5558</v>
      </c>
      <c r="BD2728" s="4">
        <v>43283.118055555555</v>
      </c>
      <c r="BE2728" s="4">
        <v>43283.123344907406</v>
      </c>
      <c r="BF2728" s="4">
        <v>43283.123344907406</v>
      </c>
      <c r="BG2728" t="s">
        <v>83</v>
      </c>
      <c r="BH2728" t="s">
        <v>84</v>
      </c>
      <c r="BI2728" t="s">
        <v>85</v>
      </c>
    </row>
    <row r="2729" spans="1:61" x14ac:dyDescent="0.3">
      <c r="A2729" t="str">
        <f>"200563C0100"</f>
        <v>200563C0100</v>
      </c>
      <c r="B2729" t="s">
        <v>5559</v>
      </c>
      <c r="C2729">
        <v>20</v>
      </c>
      <c r="D2729" t="s">
        <v>79</v>
      </c>
      <c r="E2729">
        <v>13</v>
      </c>
      <c r="F2729" t="s">
        <v>5455</v>
      </c>
      <c r="G2729">
        <v>563</v>
      </c>
      <c r="H2729">
        <v>1</v>
      </c>
      <c r="I2729" t="s">
        <v>89</v>
      </c>
      <c r="J2729">
        <v>0</v>
      </c>
      <c r="K2729">
        <v>1</v>
      </c>
      <c r="L2729">
        <v>2</v>
      </c>
      <c r="M2729">
        <v>182</v>
      </c>
      <c r="N2729">
        <v>329</v>
      </c>
      <c r="O2729">
        <v>3</v>
      </c>
      <c r="P2729">
        <v>329</v>
      </c>
      <c r="Q2729">
        <v>35</v>
      </c>
      <c r="R2729">
        <v>23</v>
      </c>
      <c r="S2729">
        <v>3</v>
      </c>
      <c r="T2729">
        <v>7</v>
      </c>
      <c r="U2729">
        <v>9</v>
      </c>
      <c r="V2729">
        <v>7</v>
      </c>
      <c r="W2729">
        <v>15</v>
      </c>
      <c r="X2729">
        <v>5</v>
      </c>
      <c r="Y2729">
        <v>183</v>
      </c>
      <c r="Z2729">
        <v>7</v>
      </c>
      <c r="AA2729">
        <v>1</v>
      </c>
      <c r="AB2729">
        <v>15</v>
      </c>
      <c r="AC2729">
        <v>1</v>
      </c>
      <c r="AD2729">
        <v>0</v>
      </c>
      <c r="AE2729">
        <v>0</v>
      </c>
      <c r="AF2729">
        <v>0</v>
      </c>
      <c r="AK2729">
        <v>2</v>
      </c>
      <c r="AL2729">
        <v>0</v>
      </c>
      <c r="AM2729">
        <v>0</v>
      </c>
      <c r="AN2729">
        <v>1</v>
      </c>
      <c r="AT2729">
        <v>0</v>
      </c>
      <c r="AU2729">
        <v>15</v>
      </c>
      <c r="AV2729">
        <v>329</v>
      </c>
      <c r="AW2729">
        <v>329</v>
      </c>
      <c r="AX2729">
        <v>489</v>
      </c>
      <c r="BA2729">
        <v>1</v>
      </c>
      <c r="BC2729" t="s">
        <v>5560</v>
      </c>
      <c r="BD2729" s="4">
        <v>43283.12222222222</v>
      </c>
      <c r="BE2729" s="4">
        <v>43283.126284722224</v>
      </c>
      <c r="BF2729" s="4">
        <v>43283.126284722224</v>
      </c>
      <c r="BG2729" t="s">
        <v>83</v>
      </c>
      <c r="BH2729" t="s">
        <v>84</v>
      </c>
      <c r="BI2729" t="s">
        <v>85</v>
      </c>
    </row>
    <row r="2730" spans="1:61" x14ac:dyDescent="0.3">
      <c r="A2730" t="str">
        <f>"200564B0100"</f>
        <v>200564B0100</v>
      </c>
      <c r="B2730" t="s">
        <v>5561</v>
      </c>
      <c r="C2730">
        <v>20</v>
      </c>
      <c r="D2730" t="s">
        <v>79</v>
      </c>
      <c r="E2730">
        <v>13</v>
      </c>
      <c r="F2730" t="s">
        <v>5455</v>
      </c>
      <c r="G2730">
        <v>564</v>
      </c>
      <c r="H2730">
        <v>1</v>
      </c>
      <c r="I2730" t="s">
        <v>81</v>
      </c>
      <c r="J2730">
        <v>0</v>
      </c>
      <c r="K2730">
        <v>1</v>
      </c>
      <c r="L2730">
        <v>2</v>
      </c>
      <c r="M2730">
        <v>251</v>
      </c>
      <c r="N2730">
        <v>418</v>
      </c>
      <c r="O2730">
        <v>7</v>
      </c>
      <c r="P2730">
        <v>413</v>
      </c>
      <c r="Q2730">
        <v>37</v>
      </c>
      <c r="R2730">
        <v>58</v>
      </c>
      <c r="S2730">
        <v>6</v>
      </c>
      <c r="T2730">
        <v>12</v>
      </c>
      <c r="U2730">
        <v>17</v>
      </c>
      <c r="V2730">
        <v>3</v>
      </c>
      <c r="W2730">
        <v>8</v>
      </c>
      <c r="X2730">
        <v>8</v>
      </c>
      <c r="Y2730">
        <v>209</v>
      </c>
      <c r="Z2730">
        <v>6</v>
      </c>
      <c r="AA2730">
        <v>3</v>
      </c>
      <c r="AB2730">
        <v>16</v>
      </c>
      <c r="AC2730">
        <v>2</v>
      </c>
      <c r="AD2730">
        <v>0</v>
      </c>
      <c r="AE2730">
        <v>0</v>
      </c>
      <c r="AF2730">
        <v>0</v>
      </c>
      <c r="AK2730">
        <v>11</v>
      </c>
      <c r="AL2730">
        <v>2</v>
      </c>
      <c r="AM2730">
        <v>0</v>
      </c>
      <c r="AN2730">
        <v>1</v>
      </c>
      <c r="AT2730">
        <v>1</v>
      </c>
      <c r="AU2730">
        <v>16</v>
      </c>
      <c r="AV2730">
        <v>416</v>
      </c>
      <c r="AW2730">
        <v>416</v>
      </c>
      <c r="AX2730">
        <v>647</v>
      </c>
      <c r="BA2730">
        <v>1</v>
      </c>
      <c r="BC2730" t="s">
        <v>5562</v>
      </c>
      <c r="BD2730" s="4">
        <v>43283.145138888889</v>
      </c>
      <c r="BE2730" s="4">
        <v>43283.156666666669</v>
      </c>
      <c r="BF2730" s="4">
        <v>43283.156666666669</v>
      </c>
      <c r="BG2730" t="s">
        <v>83</v>
      </c>
      <c r="BH2730" t="s">
        <v>84</v>
      </c>
      <c r="BI2730" t="s">
        <v>85</v>
      </c>
    </row>
    <row r="2731" spans="1:61" x14ac:dyDescent="0.3">
      <c r="A2731" t="str">
        <f>"200564C0100"</f>
        <v>200564C0100</v>
      </c>
      <c r="B2731" t="s">
        <v>5563</v>
      </c>
      <c r="C2731">
        <v>20</v>
      </c>
      <c r="D2731" t="s">
        <v>79</v>
      </c>
      <c r="E2731">
        <v>13</v>
      </c>
      <c r="F2731" t="s">
        <v>5455</v>
      </c>
      <c r="G2731">
        <v>564</v>
      </c>
      <c r="H2731">
        <v>1</v>
      </c>
      <c r="I2731" t="s">
        <v>89</v>
      </c>
      <c r="J2731">
        <v>0</v>
      </c>
      <c r="K2731">
        <v>1</v>
      </c>
      <c r="L2731">
        <v>2</v>
      </c>
      <c r="M2731">
        <v>249</v>
      </c>
      <c r="N2731">
        <v>420</v>
      </c>
      <c r="O2731">
        <v>5</v>
      </c>
      <c r="P2731">
        <v>420</v>
      </c>
      <c r="Q2731">
        <v>38</v>
      </c>
      <c r="R2731">
        <v>66</v>
      </c>
      <c r="S2731">
        <v>3</v>
      </c>
      <c r="T2731">
        <v>5</v>
      </c>
      <c r="U2731">
        <v>22</v>
      </c>
      <c r="V2731">
        <v>9</v>
      </c>
      <c r="W2731">
        <v>9</v>
      </c>
      <c r="X2731">
        <v>5</v>
      </c>
      <c r="Y2731">
        <v>201</v>
      </c>
      <c r="Z2731">
        <v>7</v>
      </c>
      <c r="AA2731">
        <v>7</v>
      </c>
      <c r="AB2731">
        <v>13</v>
      </c>
      <c r="AC2731">
        <v>1</v>
      </c>
      <c r="AD2731">
        <v>1</v>
      </c>
      <c r="AE2731">
        <v>0</v>
      </c>
      <c r="AF2731">
        <v>0</v>
      </c>
      <c r="AK2731">
        <v>3</v>
      </c>
      <c r="AL2731">
        <v>2</v>
      </c>
      <c r="AM2731">
        <v>1</v>
      </c>
      <c r="AN2731">
        <v>0</v>
      </c>
      <c r="AT2731">
        <v>0</v>
      </c>
      <c r="AU2731">
        <v>26</v>
      </c>
      <c r="AV2731">
        <v>420</v>
      </c>
      <c r="AW2731">
        <v>419</v>
      </c>
      <c r="AX2731">
        <v>647</v>
      </c>
      <c r="BA2731">
        <v>1</v>
      </c>
      <c r="BC2731" t="s">
        <v>5564</v>
      </c>
      <c r="BD2731" s="4">
        <v>43283.145138888889</v>
      </c>
      <c r="BE2731" s="4">
        <v>43283.152754629627</v>
      </c>
      <c r="BF2731" s="4">
        <v>43283.152754629627</v>
      </c>
      <c r="BG2731" t="s">
        <v>83</v>
      </c>
      <c r="BH2731" t="s">
        <v>84</v>
      </c>
      <c r="BI2731" t="s">
        <v>85</v>
      </c>
    </row>
    <row r="2732" spans="1:61" x14ac:dyDescent="0.3">
      <c r="A2732" t="str">
        <f>"200565B0100"</f>
        <v>200565B0100</v>
      </c>
      <c r="B2732" t="s">
        <v>5565</v>
      </c>
      <c r="C2732">
        <v>20</v>
      </c>
      <c r="D2732" t="s">
        <v>79</v>
      </c>
      <c r="E2732">
        <v>13</v>
      </c>
      <c r="F2732" t="s">
        <v>5455</v>
      </c>
      <c r="G2732">
        <v>565</v>
      </c>
      <c r="H2732">
        <v>1</v>
      </c>
      <c r="I2732" t="s">
        <v>81</v>
      </c>
      <c r="J2732">
        <v>0</v>
      </c>
      <c r="K2732">
        <v>1</v>
      </c>
      <c r="L2732">
        <v>2</v>
      </c>
      <c r="M2732">
        <v>173</v>
      </c>
      <c r="N2732">
        <v>301</v>
      </c>
      <c r="O2732">
        <v>7</v>
      </c>
      <c r="P2732">
        <v>301</v>
      </c>
      <c r="Q2732">
        <v>19</v>
      </c>
      <c r="R2732">
        <v>36</v>
      </c>
      <c r="S2732">
        <v>7</v>
      </c>
      <c r="T2732">
        <v>12</v>
      </c>
      <c r="U2732">
        <v>4</v>
      </c>
      <c r="V2732">
        <v>8</v>
      </c>
      <c r="W2732">
        <v>6</v>
      </c>
      <c r="X2732">
        <v>2</v>
      </c>
      <c r="Y2732">
        <v>165</v>
      </c>
      <c r="Z2732">
        <v>4</v>
      </c>
      <c r="AA2732">
        <v>2</v>
      </c>
      <c r="AB2732">
        <v>9</v>
      </c>
      <c r="AC2732">
        <v>1</v>
      </c>
      <c r="AD2732">
        <v>0</v>
      </c>
      <c r="AE2732">
        <v>0</v>
      </c>
      <c r="AF2732">
        <v>0</v>
      </c>
      <c r="AK2732">
        <v>6</v>
      </c>
      <c r="AL2732">
        <v>1</v>
      </c>
      <c r="AM2732">
        <v>0</v>
      </c>
      <c r="AN2732">
        <v>1</v>
      </c>
      <c r="AT2732">
        <v>0</v>
      </c>
      <c r="AU2732">
        <v>8</v>
      </c>
      <c r="AV2732">
        <v>291</v>
      </c>
      <c r="AW2732">
        <v>291</v>
      </c>
      <c r="AX2732">
        <v>452</v>
      </c>
      <c r="BA2732">
        <v>1</v>
      </c>
      <c r="BC2732" t="s">
        <v>5566</v>
      </c>
      <c r="BD2732" s="4">
        <v>43283.185416666667</v>
      </c>
      <c r="BE2732" s="4">
        <v>43283.207025462965</v>
      </c>
      <c r="BF2732" s="4">
        <v>43283.207025462965</v>
      </c>
      <c r="BG2732" t="s">
        <v>83</v>
      </c>
      <c r="BH2732" t="s">
        <v>84</v>
      </c>
      <c r="BI2732" t="s">
        <v>85</v>
      </c>
    </row>
    <row r="2733" spans="1:61" x14ac:dyDescent="0.3">
      <c r="A2733" t="str">
        <f>"200565C0100"</f>
        <v>200565C0100</v>
      </c>
      <c r="B2733" t="s">
        <v>5567</v>
      </c>
      <c r="C2733">
        <v>20</v>
      </c>
      <c r="D2733" t="s">
        <v>79</v>
      </c>
      <c r="E2733">
        <v>13</v>
      </c>
      <c r="F2733" t="s">
        <v>5455</v>
      </c>
      <c r="G2733">
        <v>565</v>
      </c>
      <c r="H2733">
        <v>1</v>
      </c>
      <c r="I2733" t="s">
        <v>89</v>
      </c>
      <c r="J2733">
        <v>0</v>
      </c>
      <c r="K2733">
        <v>1</v>
      </c>
      <c r="L2733">
        <v>2</v>
      </c>
      <c r="M2733">
        <v>197</v>
      </c>
      <c r="N2733">
        <v>286</v>
      </c>
      <c r="O2733">
        <v>6</v>
      </c>
      <c r="P2733">
        <v>280</v>
      </c>
      <c r="Q2733">
        <v>18</v>
      </c>
      <c r="R2733">
        <v>38</v>
      </c>
      <c r="S2733">
        <v>3</v>
      </c>
      <c r="T2733">
        <v>14</v>
      </c>
      <c r="U2733">
        <v>10</v>
      </c>
      <c r="V2733">
        <v>10</v>
      </c>
      <c r="W2733">
        <v>2</v>
      </c>
      <c r="X2733">
        <v>5</v>
      </c>
      <c r="Y2733">
        <v>144</v>
      </c>
      <c r="Z2733">
        <v>4</v>
      </c>
      <c r="AA2733">
        <v>1</v>
      </c>
      <c r="AB2733">
        <v>11</v>
      </c>
      <c r="AC2733">
        <v>1</v>
      </c>
      <c r="AD2733" t="s">
        <v>100</v>
      </c>
      <c r="AE2733" t="s">
        <v>100</v>
      </c>
      <c r="AF2733" t="s">
        <v>100</v>
      </c>
      <c r="AK2733">
        <v>2</v>
      </c>
      <c r="AL2733">
        <v>2</v>
      </c>
      <c r="AM2733" t="s">
        <v>100</v>
      </c>
      <c r="AN2733">
        <v>1</v>
      </c>
      <c r="AT2733" t="s">
        <v>100</v>
      </c>
      <c r="AU2733">
        <v>14</v>
      </c>
      <c r="AV2733">
        <v>280</v>
      </c>
      <c r="AW2733">
        <v>280</v>
      </c>
      <c r="AX2733">
        <v>451</v>
      </c>
      <c r="AZ2733" t="s">
        <v>101</v>
      </c>
      <c r="BA2733">
        <v>1</v>
      </c>
      <c r="BC2733" t="s">
        <v>5568</v>
      </c>
      <c r="BD2733" s="4">
        <v>43283.18472222222</v>
      </c>
      <c r="BE2733" s="4">
        <v>43283.203425925924</v>
      </c>
      <c r="BF2733" s="4">
        <v>43283.203425925924</v>
      </c>
      <c r="BG2733" t="s">
        <v>83</v>
      </c>
      <c r="BH2733" t="s">
        <v>84</v>
      </c>
      <c r="BI2733" t="s">
        <v>85</v>
      </c>
    </row>
    <row r="2734" spans="1:61" x14ac:dyDescent="0.3">
      <c r="A2734" t="str">
        <f>"200566B0100"</f>
        <v>200566B0100</v>
      </c>
      <c r="B2734" t="s">
        <v>5569</v>
      </c>
      <c r="C2734">
        <v>20</v>
      </c>
      <c r="D2734" t="s">
        <v>79</v>
      </c>
      <c r="E2734">
        <v>13</v>
      </c>
      <c r="F2734" t="s">
        <v>5455</v>
      </c>
      <c r="G2734">
        <v>566</v>
      </c>
      <c r="H2734">
        <v>1</v>
      </c>
      <c r="I2734" t="s">
        <v>81</v>
      </c>
      <c r="J2734">
        <v>0</v>
      </c>
      <c r="K2734">
        <v>1</v>
      </c>
      <c r="L2734">
        <v>2</v>
      </c>
      <c r="M2734">
        <v>232</v>
      </c>
      <c r="N2734">
        <v>389</v>
      </c>
      <c r="O2734">
        <v>1</v>
      </c>
      <c r="P2734">
        <v>398</v>
      </c>
      <c r="Q2734">
        <v>64</v>
      </c>
      <c r="R2734">
        <v>62</v>
      </c>
      <c r="S2734">
        <v>6</v>
      </c>
      <c r="T2734">
        <v>10</v>
      </c>
      <c r="U2734">
        <v>12</v>
      </c>
      <c r="V2734">
        <v>4</v>
      </c>
      <c r="W2734">
        <v>4</v>
      </c>
      <c r="X2734">
        <v>4</v>
      </c>
      <c r="Y2734">
        <v>185</v>
      </c>
      <c r="Z2734">
        <v>6</v>
      </c>
      <c r="AA2734">
        <v>3</v>
      </c>
      <c r="AB2734">
        <v>18</v>
      </c>
      <c r="AC2734">
        <v>0</v>
      </c>
      <c r="AD2734">
        <v>1</v>
      </c>
      <c r="AE2734">
        <v>2</v>
      </c>
      <c r="AF2734">
        <v>0</v>
      </c>
      <c r="AK2734">
        <v>3</v>
      </c>
      <c r="AL2734">
        <v>2</v>
      </c>
      <c r="AM2734">
        <v>0</v>
      </c>
      <c r="AN2734">
        <v>1</v>
      </c>
      <c r="AT2734">
        <v>1</v>
      </c>
      <c r="AU2734">
        <v>10</v>
      </c>
      <c r="AV2734">
        <v>398</v>
      </c>
      <c r="AW2734">
        <v>398</v>
      </c>
      <c r="AX2734">
        <v>609</v>
      </c>
      <c r="BA2734">
        <v>1</v>
      </c>
      <c r="BC2734" t="s">
        <v>5570</v>
      </c>
      <c r="BD2734" s="4">
        <v>43283.063888888886</v>
      </c>
      <c r="BE2734" s="4">
        <v>43283.068958333337</v>
      </c>
      <c r="BF2734" s="4">
        <v>43283.068958333337</v>
      </c>
      <c r="BG2734" t="s">
        <v>83</v>
      </c>
      <c r="BH2734" t="s">
        <v>84</v>
      </c>
      <c r="BI2734" t="s">
        <v>85</v>
      </c>
    </row>
    <row r="2735" spans="1:61" x14ac:dyDescent="0.3">
      <c r="A2735" t="str">
        <f>"200566C0100"</f>
        <v>200566C0100</v>
      </c>
      <c r="B2735" t="s">
        <v>5571</v>
      </c>
      <c r="C2735">
        <v>20</v>
      </c>
      <c r="D2735" t="s">
        <v>79</v>
      </c>
      <c r="E2735">
        <v>13</v>
      </c>
      <c r="F2735" t="s">
        <v>5455</v>
      </c>
      <c r="G2735">
        <v>566</v>
      </c>
      <c r="H2735">
        <v>1</v>
      </c>
      <c r="I2735" t="s">
        <v>89</v>
      </c>
      <c r="J2735">
        <v>0</v>
      </c>
      <c r="K2735">
        <v>1</v>
      </c>
      <c r="L2735">
        <v>2</v>
      </c>
      <c r="M2735">
        <v>223</v>
      </c>
      <c r="N2735">
        <v>407</v>
      </c>
      <c r="O2735">
        <v>4</v>
      </c>
      <c r="P2735">
        <v>409</v>
      </c>
      <c r="Q2735">
        <v>52</v>
      </c>
      <c r="R2735">
        <v>67</v>
      </c>
      <c r="S2735">
        <v>5</v>
      </c>
      <c r="T2735">
        <v>13</v>
      </c>
      <c r="U2735">
        <v>11</v>
      </c>
      <c r="V2735">
        <v>10</v>
      </c>
      <c r="W2735">
        <v>4</v>
      </c>
      <c r="X2735">
        <v>7</v>
      </c>
      <c r="Y2735">
        <v>189</v>
      </c>
      <c r="Z2735">
        <v>9</v>
      </c>
      <c r="AA2735">
        <v>2</v>
      </c>
      <c r="AB2735">
        <v>15</v>
      </c>
      <c r="AC2735">
        <v>2</v>
      </c>
      <c r="AD2735">
        <v>0</v>
      </c>
      <c r="AE2735">
        <v>0</v>
      </c>
      <c r="AF2735">
        <v>0</v>
      </c>
      <c r="AK2735">
        <v>7</v>
      </c>
      <c r="AL2735">
        <v>0</v>
      </c>
      <c r="AM2735">
        <v>0</v>
      </c>
      <c r="AN2735">
        <v>1</v>
      </c>
      <c r="AT2735">
        <v>0</v>
      </c>
      <c r="AU2735">
        <v>15</v>
      </c>
      <c r="AV2735">
        <v>409</v>
      </c>
      <c r="AW2735">
        <v>409</v>
      </c>
      <c r="AX2735">
        <v>608</v>
      </c>
      <c r="BA2735">
        <v>1</v>
      </c>
      <c r="BC2735" t="s">
        <v>5572</v>
      </c>
      <c r="BD2735" s="4">
        <v>43283.064583333333</v>
      </c>
      <c r="BE2735" s="4">
        <v>43283.068888888891</v>
      </c>
      <c r="BF2735" s="4">
        <v>43283.068888888891</v>
      </c>
      <c r="BG2735" t="s">
        <v>83</v>
      </c>
      <c r="BH2735" t="s">
        <v>84</v>
      </c>
      <c r="BI2735" t="s">
        <v>85</v>
      </c>
    </row>
    <row r="2736" spans="1:61" x14ac:dyDescent="0.3">
      <c r="A2736" t="str">
        <f>"200567B0100"</f>
        <v>200567B0100</v>
      </c>
      <c r="B2736" t="s">
        <v>5573</v>
      </c>
      <c r="C2736">
        <v>20</v>
      </c>
      <c r="D2736" t="s">
        <v>79</v>
      </c>
      <c r="E2736">
        <v>13</v>
      </c>
      <c r="F2736" t="s">
        <v>5455</v>
      </c>
      <c r="G2736">
        <v>567</v>
      </c>
      <c r="H2736">
        <v>1</v>
      </c>
      <c r="I2736" t="s">
        <v>81</v>
      </c>
      <c r="J2736">
        <v>0</v>
      </c>
      <c r="K2736">
        <v>1</v>
      </c>
      <c r="L2736">
        <v>2</v>
      </c>
      <c r="M2736">
        <v>243</v>
      </c>
      <c r="N2736">
        <v>507</v>
      </c>
      <c r="O2736">
        <v>9</v>
      </c>
      <c r="P2736">
        <v>499</v>
      </c>
      <c r="Q2736">
        <v>74</v>
      </c>
      <c r="R2736">
        <v>64</v>
      </c>
      <c r="S2736">
        <v>8</v>
      </c>
      <c r="T2736">
        <v>14</v>
      </c>
      <c r="U2736">
        <v>22</v>
      </c>
      <c r="V2736">
        <v>6</v>
      </c>
      <c r="W2736">
        <v>26</v>
      </c>
      <c r="X2736">
        <v>4</v>
      </c>
      <c r="Y2736">
        <v>215</v>
      </c>
      <c r="Z2736">
        <v>10</v>
      </c>
      <c r="AA2736">
        <v>2</v>
      </c>
      <c r="AB2736">
        <v>24</v>
      </c>
      <c r="AC2736">
        <v>3</v>
      </c>
      <c r="AD2736">
        <v>0</v>
      </c>
      <c r="AE2736">
        <v>0</v>
      </c>
      <c r="AF2736">
        <v>0</v>
      </c>
      <c r="AK2736">
        <v>4</v>
      </c>
      <c r="AL2736">
        <v>1</v>
      </c>
      <c r="AM2736">
        <v>0</v>
      </c>
      <c r="AN2736">
        <v>1</v>
      </c>
      <c r="AT2736">
        <v>0</v>
      </c>
      <c r="AU2736">
        <v>24</v>
      </c>
      <c r="AV2736">
        <v>502</v>
      </c>
      <c r="AW2736">
        <v>502</v>
      </c>
      <c r="AX2736">
        <v>725</v>
      </c>
      <c r="BA2736">
        <v>1</v>
      </c>
      <c r="BC2736" t="s">
        <v>5574</v>
      </c>
      <c r="BD2736" s="4">
        <v>43283.167361111111</v>
      </c>
      <c r="BE2736" s="4">
        <v>43283.182002314818</v>
      </c>
      <c r="BF2736" s="4">
        <v>43283.182002314818</v>
      </c>
      <c r="BG2736" t="s">
        <v>83</v>
      </c>
      <c r="BH2736" t="s">
        <v>84</v>
      </c>
      <c r="BI2736" t="s">
        <v>85</v>
      </c>
    </row>
    <row r="2737" spans="1:61" x14ac:dyDescent="0.3">
      <c r="A2737" t="str">
        <f>"200568B0100"</f>
        <v>200568B0100</v>
      </c>
      <c r="B2737" t="s">
        <v>5575</v>
      </c>
      <c r="C2737">
        <v>20</v>
      </c>
      <c r="D2737" t="s">
        <v>79</v>
      </c>
      <c r="E2737">
        <v>13</v>
      </c>
      <c r="F2737" t="s">
        <v>5455</v>
      </c>
      <c r="G2737">
        <v>568</v>
      </c>
      <c r="H2737">
        <v>1</v>
      </c>
      <c r="I2737" t="s">
        <v>81</v>
      </c>
      <c r="J2737">
        <v>0</v>
      </c>
      <c r="K2737">
        <v>1</v>
      </c>
      <c r="L2737">
        <v>2</v>
      </c>
      <c r="M2737">
        <v>174</v>
      </c>
      <c r="N2737">
        <v>453</v>
      </c>
      <c r="O2737">
        <v>10</v>
      </c>
      <c r="P2737" t="s">
        <v>315</v>
      </c>
      <c r="Q2737">
        <v>79</v>
      </c>
      <c r="R2737">
        <v>66</v>
      </c>
      <c r="S2737">
        <v>3</v>
      </c>
      <c r="T2737">
        <v>10</v>
      </c>
      <c r="U2737">
        <v>14</v>
      </c>
      <c r="V2737">
        <v>6</v>
      </c>
      <c r="W2737">
        <v>9</v>
      </c>
      <c r="X2737">
        <v>7</v>
      </c>
      <c r="Y2737">
        <v>192</v>
      </c>
      <c r="Z2737">
        <v>7</v>
      </c>
      <c r="AA2737">
        <v>4</v>
      </c>
      <c r="AB2737">
        <v>19</v>
      </c>
      <c r="AC2737">
        <v>1</v>
      </c>
      <c r="AD2737">
        <v>0</v>
      </c>
      <c r="AE2737">
        <v>0</v>
      </c>
      <c r="AF2737">
        <v>1</v>
      </c>
      <c r="AK2737">
        <v>7</v>
      </c>
      <c r="AL2737">
        <v>1</v>
      </c>
      <c r="AM2737">
        <v>0</v>
      </c>
      <c r="AN2737">
        <v>0</v>
      </c>
      <c r="AT2737">
        <v>2</v>
      </c>
      <c r="AU2737">
        <v>22</v>
      </c>
      <c r="AV2737">
        <v>450</v>
      </c>
      <c r="AW2737">
        <v>450</v>
      </c>
      <c r="AX2737">
        <v>605</v>
      </c>
      <c r="BA2737">
        <v>1</v>
      </c>
      <c r="BC2737" t="s">
        <v>5576</v>
      </c>
      <c r="BD2737" s="4">
        <v>43283.166666666664</v>
      </c>
      <c r="BE2737" s="4">
        <v>43283.178842592592</v>
      </c>
      <c r="BF2737" s="4">
        <v>43283.178842592592</v>
      </c>
      <c r="BG2737" t="s">
        <v>83</v>
      </c>
      <c r="BH2737" t="s">
        <v>84</v>
      </c>
      <c r="BI2737" t="s">
        <v>85</v>
      </c>
    </row>
    <row r="2738" spans="1:61" x14ac:dyDescent="0.3">
      <c r="A2738" t="str">
        <f>"200568C0100"</f>
        <v>200568C0100</v>
      </c>
      <c r="B2738" t="s">
        <v>5577</v>
      </c>
      <c r="C2738">
        <v>20</v>
      </c>
      <c r="D2738" t="s">
        <v>79</v>
      </c>
      <c r="E2738">
        <v>13</v>
      </c>
      <c r="F2738" t="s">
        <v>5455</v>
      </c>
      <c r="G2738">
        <v>568</v>
      </c>
      <c r="H2738">
        <v>1</v>
      </c>
      <c r="I2738" t="s">
        <v>89</v>
      </c>
      <c r="J2738">
        <v>0</v>
      </c>
      <c r="K2738">
        <v>1</v>
      </c>
      <c r="L2738">
        <v>2</v>
      </c>
      <c r="M2738">
        <v>195</v>
      </c>
      <c r="N2738">
        <v>430</v>
      </c>
      <c r="O2738">
        <v>6</v>
      </c>
      <c r="P2738">
        <v>434</v>
      </c>
      <c r="Q2738">
        <v>73</v>
      </c>
      <c r="R2738">
        <v>83</v>
      </c>
      <c r="S2738">
        <v>7</v>
      </c>
      <c r="T2738">
        <v>9</v>
      </c>
      <c r="U2738">
        <v>15</v>
      </c>
      <c r="V2738">
        <v>4</v>
      </c>
      <c r="W2738">
        <v>12</v>
      </c>
      <c r="X2738">
        <v>3</v>
      </c>
      <c r="Y2738">
        <v>157</v>
      </c>
      <c r="Z2738">
        <v>6</v>
      </c>
      <c r="AA2738">
        <v>7</v>
      </c>
      <c r="AB2738">
        <v>25</v>
      </c>
      <c r="AC2738">
        <v>2</v>
      </c>
      <c r="AD2738">
        <v>0</v>
      </c>
      <c r="AE2738">
        <v>0</v>
      </c>
      <c r="AF2738">
        <v>0</v>
      </c>
      <c r="AK2738">
        <v>8</v>
      </c>
      <c r="AL2738">
        <v>0</v>
      </c>
      <c r="AM2738">
        <v>0</v>
      </c>
      <c r="AN2738">
        <v>1</v>
      </c>
      <c r="AT2738">
        <v>0</v>
      </c>
      <c r="AU2738">
        <v>22</v>
      </c>
      <c r="AV2738">
        <v>434</v>
      </c>
      <c r="AW2738">
        <v>434</v>
      </c>
      <c r="AX2738">
        <v>604</v>
      </c>
      <c r="BA2738">
        <v>1</v>
      </c>
      <c r="BC2738" t="s">
        <v>5578</v>
      </c>
      <c r="BD2738" s="4">
        <v>43283.166666666664</v>
      </c>
      <c r="BE2738" s="4">
        <v>43283.182662037034</v>
      </c>
      <c r="BF2738" s="4">
        <v>43283.182662037034</v>
      </c>
      <c r="BG2738" t="s">
        <v>83</v>
      </c>
      <c r="BH2738" t="s">
        <v>84</v>
      </c>
      <c r="BI2738" t="s">
        <v>85</v>
      </c>
    </row>
    <row r="2739" spans="1:61" x14ac:dyDescent="0.3">
      <c r="A2739" t="str">
        <f>"200570B0100"</f>
        <v>200570B0100</v>
      </c>
      <c r="B2739" t="s">
        <v>5579</v>
      </c>
      <c r="C2739">
        <v>20</v>
      </c>
      <c r="D2739" t="s">
        <v>79</v>
      </c>
      <c r="E2739">
        <v>13</v>
      </c>
      <c r="F2739" t="s">
        <v>5455</v>
      </c>
      <c r="G2739">
        <v>570</v>
      </c>
      <c r="H2739">
        <v>1</v>
      </c>
      <c r="I2739" t="s">
        <v>81</v>
      </c>
      <c r="J2739">
        <v>0</v>
      </c>
      <c r="K2739">
        <v>1</v>
      </c>
      <c r="L2739">
        <v>2</v>
      </c>
      <c r="M2739">
        <v>164</v>
      </c>
      <c r="N2739">
        <v>320</v>
      </c>
      <c r="O2739">
        <v>6</v>
      </c>
      <c r="P2739">
        <v>320</v>
      </c>
      <c r="Q2739">
        <v>40</v>
      </c>
      <c r="R2739">
        <v>38</v>
      </c>
      <c r="S2739">
        <v>1</v>
      </c>
      <c r="T2739">
        <v>13</v>
      </c>
      <c r="U2739">
        <v>11</v>
      </c>
      <c r="V2739">
        <v>8</v>
      </c>
      <c r="W2739">
        <v>9</v>
      </c>
      <c r="X2739">
        <v>1</v>
      </c>
      <c r="Y2739">
        <v>151</v>
      </c>
      <c r="Z2739">
        <v>5</v>
      </c>
      <c r="AA2739">
        <v>5</v>
      </c>
      <c r="AB2739">
        <v>9</v>
      </c>
      <c r="AC2739">
        <v>0</v>
      </c>
      <c r="AD2739">
        <v>0</v>
      </c>
      <c r="AE2739">
        <v>0</v>
      </c>
      <c r="AF2739">
        <v>0</v>
      </c>
      <c r="AK2739">
        <v>3</v>
      </c>
      <c r="AL2739">
        <v>3</v>
      </c>
      <c r="AM2739">
        <v>0</v>
      </c>
      <c r="AN2739">
        <v>1</v>
      </c>
      <c r="AT2739">
        <v>0</v>
      </c>
      <c r="AU2739">
        <v>22</v>
      </c>
      <c r="AV2739">
        <v>320</v>
      </c>
      <c r="AW2739">
        <v>320</v>
      </c>
      <c r="AX2739">
        <v>463</v>
      </c>
      <c r="BA2739">
        <v>1</v>
      </c>
      <c r="BC2739" t="s">
        <v>5580</v>
      </c>
      <c r="BD2739" s="4">
        <v>43283.039583333331</v>
      </c>
      <c r="BE2739" s="4">
        <v>43283.043634259258</v>
      </c>
      <c r="BF2739" s="4">
        <v>43283.043634259258</v>
      </c>
      <c r="BG2739" t="s">
        <v>83</v>
      </c>
      <c r="BH2739" t="s">
        <v>84</v>
      </c>
      <c r="BI2739" t="s">
        <v>85</v>
      </c>
    </row>
    <row r="2740" spans="1:61" x14ac:dyDescent="0.3">
      <c r="A2740" t="str">
        <f>"200570C0100"</f>
        <v>200570C0100</v>
      </c>
      <c r="B2740" t="s">
        <v>5581</v>
      </c>
      <c r="C2740">
        <v>20</v>
      </c>
      <c r="D2740" t="s">
        <v>79</v>
      </c>
      <c r="E2740">
        <v>13</v>
      </c>
      <c r="F2740" t="s">
        <v>5455</v>
      </c>
      <c r="G2740">
        <v>570</v>
      </c>
      <c r="H2740">
        <v>1</v>
      </c>
      <c r="I2740" t="s">
        <v>89</v>
      </c>
      <c r="J2740">
        <v>0</v>
      </c>
      <c r="K2740">
        <v>1</v>
      </c>
      <c r="L2740">
        <v>2</v>
      </c>
      <c r="M2740">
        <v>162</v>
      </c>
      <c r="N2740">
        <v>324</v>
      </c>
      <c r="O2740">
        <v>7</v>
      </c>
      <c r="P2740">
        <v>324</v>
      </c>
      <c r="Q2740">
        <v>35</v>
      </c>
      <c r="R2740">
        <v>62</v>
      </c>
      <c r="S2740">
        <v>3</v>
      </c>
      <c r="T2740">
        <v>14</v>
      </c>
      <c r="U2740">
        <v>16</v>
      </c>
      <c r="V2740">
        <v>0</v>
      </c>
      <c r="W2740">
        <v>5</v>
      </c>
      <c r="X2740">
        <v>1</v>
      </c>
      <c r="Y2740">
        <v>130</v>
      </c>
      <c r="Z2740">
        <v>4</v>
      </c>
      <c r="AA2740">
        <v>3</v>
      </c>
      <c r="AB2740">
        <v>20</v>
      </c>
      <c r="AC2740">
        <v>2</v>
      </c>
      <c r="AD2740">
        <v>0</v>
      </c>
      <c r="AE2740">
        <v>0</v>
      </c>
      <c r="AF2740">
        <v>0</v>
      </c>
      <c r="AK2740">
        <v>4</v>
      </c>
      <c r="AL2740">
        <v>2</v>
      </c>
      <c r="AM2740">
        <v>0</v>
      </c>
      <c r="AN2740">
        <v>1</v>
      </c>
      <c r="AT2740">
        <v>1</v>
      </c>
      <c r="AU2740">
        <v>24</v>
      </c>
      <c r="AV2740">
        <v>327</v>
      </c>
      <c r="AW2740">
        <v>327</v>
      </c>
      <c r="AX2740">
        <v>463</v>
      </c>
      <c r="BA2740">
        <v>1</v>
      </c>
      <c r="BC2740" t="s">
        <v>5582</v>
      </c>
      <c r="BD2740" s="4">
        <v>43283.038194444445</v>
      </c>
      <c r="BE2740" s="4">
        <v>43283.04241898148</v>
      </c>
      <c r="BF2740" s="4">
        <v>43283.04241898148</v>
      </c>
      <c r="BG2740" t="s">
        <v>83</v>
      </c>
      <c r="BH2740" t="s">
        <v>84</v>
      </c>
      <c r="BI2740" t="s">
        <v>85</v>
      </c>
    </row>
    <row r="2741" spans="1:61" x14ac:dyDescent="0.3">
      <c r="A2741" t="str">
        <f>"200571B0100"</f>
        <v>200571B0100</v>
      </c>
      <c r="B2741" t="s">
        <v>5583</v>
      </c>
      <c r="C2741">
        <v>20</v>
      </c>
      <c r="D2741" t="s">
        <v>79</v>
      </c>
      <c r="E2741">
        <v>13</v>
      </c>
      <c r="F2741" t="s">
        <v>5455</v>
      </c>
      <c r="G2741">
        <v>571</v>
      </c>
      <c r="H2741">
        <v>1</v>
      </c>
      <c r="I2741" t="s">
        <v>81</v>
      </c>
      <c r="J2741">
        <v>0</v>
      </c>
      <c r="K2741">
        <v>1</v>
      </c>
      <c r="L2741">
        <v>2</v>
      </c>
      <c r="M2741">
        <v>197</v>
      </c>
      <c r="N2741">
        <v>438</v>
      </c>
      <c r="O2741">
        <v>11</v>
      </c>
      <c r="P2741">
        <v>439</v>
      </c>
      <c r="Q2741">
        <v>91</v>
      </c>
      <c r="R2741">
        <v>92</v>
      </c>
      <c r="S2741">
        <v>5</v>
      </c>
      <c r="T2741">
        <v>12</v>
      </c>
      <c r="U2741">
        <v>7</v>
      </c>
      <c r="V2741">
        <v>5</v>
      </c>
      <c r="W2741">
        <v>5</v>
      </c>
      <c r="X2741">
        <v>6</v>
      </c>
      <c r="Y2741">
        <v>150</v>
      </c>
      <c r="Z2741">
        <v>9</v>
      </c>
      <c r="AA2741">
        <v>4</v>
      </c>
      <c r="AB2741">
        <v>22</v>
      </c>
      <c r="AC2741">
        <v>0</v>
      </c>
      <c r="AD2741">
        <v>0</v>
      </c>
      <c r="AE2741">
        <v>0</v>
      </c>
      <c r="AF2741">
        <v>0</v>
      </c>
      <c r="AK2741">
        <v>3</v>
      </c>
      <c r="AL2741">
        <v>0</v>
      </c>
      <c r="AM2741">
        <v>0</v>
      </c>
      <c r="AN2741">
        <v>1</v>
      </c>
      <c r="AT2741">
        <v>2</v>
      </c>
      <c r="AU2741">
        <v>25</v>
      </c>
      <c r="AV2741">
        <v>439</v>
      </c>
      <c r="AW2741">
        <v>439</v>
      </c>
      <c r="AX2741">
        <v>614</v>
      </c>
      <c r="BA2741">
        <v>1</v>
      </c>
      <c r="BC2741" t="s">
        <v>5584</v>
      </c>
      <c r="BD2741" s="4">
        <v>43283.197222222225</v>
      </c>
      <c r="BE2741" s="4">
        <v>43283.213912037034</v>
      </c>
      <c r="BF2741" s="4">
        <v>43283.213912037034</v>
      </c>
      <c r="BG2741" t="s">
        <v>83</v>
      </c>
      <c r="BH2741" t="s">
        <v>84</v>
      </c>
      <c r="BI2741" t="s">
        <v>85</v>
      </c>
    </row>
    <row r="2742" spans="1:61" x14ac:dyDescent="0.3">
      <c r="A2742" t="str">
        <f>"200572B0100"</f>
        <v>200572B0100</v>
      </c>
      <c r="B2742" t="s">
        <v>5585</v>
      </c>
      <c r="C2742">
        <v>20</v>
      </c>
      <c r="D2742" t="s">
        <v>79</v>
      </c>
      <c r="E2742">
        <v>13</v>
      </c>
      <c r="F2742" t="s">
        <v>5455</v>
      </c>
      <c r="G2742">
        <v>572</v>
      </c>
      <c r="H2742">
        <v>1</v>
      </c>
      <c r="I2742" t="s">
        <v>81</v>
      </c>
      <c r="J2742">
        <v>0</v>
      </c>
      <c r="K2742">
        <v>1</v>
      </c>
      <c r="L2742">
        <v>2</v>
      </c>
      <c r="M2742">
        <v>147</v>
      </c>
      <c r="N2742">
        <v>281</v>
      </c>
      <c r="O2742">
        <v>9</v>
      </c>
      <c r="P2742">
        <v>281</v>
      </c>
      <c r="Q2742">
        <v>61</v>
      </c>
      <c r="R2742">
        <v>50</v>
      </c>
      <c r="S2742">
        <v>5</v>
      </c>
      <c r="T2742">
        <v>6</v>
      </c>
      <c r="U2742">
        <v>6</v>
      </c>
      <c r="V2742">
        <v>11</v>
      </c>
      <c r="W2742">
        <v>3</v>
      </c>
      <c r="X2742">
        <v>4</v>
      </c>
      <c r="Y2742">
        <v>18</v>
      </c>
      <c r="Z2742">
        <v>5</v>
      </c>
      <c r="AA2742">
        <v>4</v>
      </c>
      <c r="AB2742">
        <v>18</v>
      </c>
      <c r="AC2742">
        <v>0</v>
      </c>
      <c r="AD2742">
        <v>0</v>
      </c>
      <c r="AE2742">
        <v>0</v>
      </c>
      <c r="AF2742">
        <v>0</v>
      </c>
      <c r="AK2742">
        <v>3</v>
      </c>
      <c r="AL2742">
        <v>0</v>
      </c>
      <c r="AM2742">
        <v>0</v>
      </c>
      <c r="AN2742">
        <v>1</v>
      </c>
      <c r="AT2742">
        <v>0</v>
      </c>
      <c r="AU2742">
        <v>15</v>
      </c>
      <c r="AV2742">
        <v>281</v>
      </c>
      <c r="AW2742">
        <v>210</v>
      </c>
      <c r="AX2742">
        <v>406</v>
      </c>
      <c r="BA2742">
        <v>1</v>
      </c>
      <c r="BC2742" t="s">
        <v>5586</v>
      </c>
      <c r="BD2742" s="4">
        <v>43283.063888888886</v>
      </c>
      <c r="BE2742" s="4">
        <v>43283.0703587963</v>
      </c>
      <c r="BF2742" s="4">
        <v>43283.0703587963</v>
      </c>
      <c r="BG2742" t="s">
        <v>83</v>
      </c>
      <c r="BH2742" t="s">
        <v>84</v>
      </c>
      <c r="BI2742" t="s">
        <v>85</v>
      </c>
    </row>
    <row r="2743" spans="1:61" x14ac:dyDescent="0.3">
      <c r="A2743" t="str">
        <f>"200572C0100"</f>
        <v>200572C0100</v>
      </c>
      <c r="B2743" t="s">
        <v>5587</v>
      </c>
      <c r="C2743">
        <v>20</v>
      </c>
      <c r="D2743" t="s">
        <v>79</v>
      </c>
      <c r="E2743">
        <v>13</v>
      </c>
      <c r="F2743" t="s">
        <v>5455</v>
      </c>
      <c r="G2743">
        <v>572</v>
      </c>
      <c r="H2743">
        <v>1</v>
      </c>
      <c r="I2743" t="s">
        <v>89</v>
      </c>
      <c r="J2743">
        <v>0</v>
      </c>
      <c r="K2743">
        <v>1</v>
      </c>
      <c r="L2743">
        <v>2</v>
      </c>
      <c r="M2743">
        <v>126</v>
      </c>
      <c r="N2743">
        <v>302</v>
      </c>
      <c r="O2743">
        <v>6</v>
      </c>
      <c r="P2743">
        <v>302</v>
      </c>
      <c r="Q2743">
        <v>62</v>
      </c>
      <c r="R2743">
        <v>50</v>
      </c>
      <c r="S2743">
        <v>3</v>
      </c>
      <c r="T2743">
        <v>11</v>
      </c>
      <c r="U2743">
        <v>2</v>
      </c>
      <c r="V2743">
        <v>4</v>
      </c>
      <c r="W2743">
        <v>2</v>
      </c>
      <c r="X2743">
        <v>3</v>
      </c>
      <c r="Y2743">
        <v>127</v>
      </c>
      <c r="Z2743">
        <v>3</v>
      </c>
      <c r="AA2743">
        <v>1</v>
      </c>
      <c r="AB2743">
        <v>18</v>
      </c>
      <c r="AC2743">
        <v>2</v>
      </c>
      <c r="AD2743">
        <v>1</v>
      </c>
      <c r="AE2743">
        <v>0</v>
      </c>
      <c r="AF2743">
        <v>0</v>
      </c>
      <c r="AK2743">
        <v>2</v>
      </c>
      <c r="AL2743">
        <v>1</v>
      </c>
      <c r="AM2743">
        <v>0</v>
      </c>
      <c r="AN2743">
        <v>0</v>
      </c>
      <c r="AT2743">
        <v>0</v>
      </c>
      <c r="AU2743">
        <v>10</v>
      </c>
      <c r="AV2743">
        <v>302</v>
      </c>
      <c r="AW2743">
        <v>302</v>
      </c>
      <c r="AX2743">
        <v>406</v>
      </c>
      <c r="BA2743">
        <v>1</v>
      </c>
      <c r="BC2743" t="s">
        <v>5588</v>
      </c>
      <c r="BD2743" s="4">
        <v>43283.064583333333</v>
      </c>
      <c r="BE2743" s="4">
        <v>43283.06795138889</v>
      </c>
      <c r="BF2743" s="4">
        <v>43283.06795138889</v>
      </c>
      <c r="BG2743" t="s">
        <v>83</v>
      </c>
      <c r="BH2743" t="s">
        <v>84</v>
      </c>
      <c r="BI2743" t="s">
        <v>85</v>
      </c>
    </row>
    <row r="2744" spans="1:61" x14ac:dyDescent="0.3">
      <c r="A2744" t="str">
        <f>"200573B0100"</f>
        <v>200573B0100</v>
      </c>
      <c r="B2744" t="s">
        <v>5589</v>
      </c>
      <c r="C2744">
        <v>20</v>
      </c>
      <c r="D2744" t="s">
        <v>79</v>
      </c>
      <c r="E2744">
        <v>13</v>
      </c>
      <c r="F2744" t="s">
        <v>5455</v>
      </c>
      <c r="G2744">
        <v>573</v>
      </c>
      <c r="H2744">
        <v>1</v>
      </c>
      <c r="I2744" t="s">
        <v>81</v>
      </c>
      <c r="J2744">
        <v>0</v>
      </c>
      <c r="K2744">
        <v>1</v>
      </c>
      <c r="L2744">
        <v>2</v>
      </c>
      <c r="M2744">
        <v>146</v>
      </c>
      <c r="N2744">
        <v>419</v>
      </c>
      <c r="O2744">
        <v>7</v>
      </c>
      <c r="P2744">
        <v>273</v>
      </c>
      <c r="Q2744">
        <v>75</v>
      </c>
      <c r="R2744">
        <v>39</v>
      </c>
      <c r="S2744">
        <v>3</v>
      </c>
      <c r="T2744">
        <v>6</v>
      </c>
      <c r="U2744">
        <v>3</v>
      </c>
      <c r="V2744">
        <v>3</v>
      </c>
      <c r="W2744">
        <v>6</v>
      </c>
      <c r="X2744">
        <v>5</v>
      </c>
      <c r="Y2744">
        <v>89</v>
      </c>
      <c r="Z2744">
        <v>9</v>
      </c>
      <c r="AA2744">
        <v>0</v>
      </c>
      <c r="AB2744">
        <v>14</v>
      </c>
      <c r="AC2744">
        <v>1</v>
      </c>
      <c r="AD2744">
        <v>0</v>
      </c>
      <c r="AE2744">
        <v>0</v>
      </c>
      <c r="AF2744">
        <v>0</v>
      </c>
      <c r="AK2744">
        <v>2</v>
      </c>
      <c r="AL2744">
        <v>0</v>
      </c>
      <c r="AM2744">
        <v>0</v>
      </c>
      <c r="AN2744">
        <v>2</v>
      </c>
      <c r="AT2744">
        <v>1</v>
      </c>
      <c r="AU2744">
        <v>15</v>
      </c>
      <c r="AV2744">
        <v>273</v>
      </c>
      <c r="AW2744">
        <v>273</v>
      </c>
      <c r="AX2744">
        <v>397</v>
      </c>
      <c r="BA2744">
        <v>1</v>
      </c>
      <c r="BC2744" s="2" t="s">
        <v>5590</v>
      </c>
      <c r="BD2744" s="4">
        <v>43283.120833333334</v>
      </c>
      <c r="BE2744" s="4">
        <v>43283.126840277779</v>
      </c>
      <c r="BF2744" s="4">
        <v>43283.126840277779</v>
      </c>
      <c r="BG2744" t="s">
        <v>83</v>
      </c>
      <c r="BH2744" t="s">
        <v>84</v>
      </c>
      <c r="BI2744" t="s">
        <v>85</v>
      </c>
    </row>
    <row r="2745" spans="1:61" x14ac:dyDescent="0.3">
      <c r="A2745" t="str">
        <f>"200573C0100"</f>
        <v>200573C0100</v>
      </c>
      <c r="B2745" t="s">
        <v>5591</v>
      </c>
      <c r="C2745">
        <v>20</v>
      </c>
      <c r="D2745" t="s">
        <v>79</v>
      </c>
      <c r="E2745">
        <v>13</v>
      </c>
      <c r="F2745" t="s">
        <v>5455</v>
      </c>
      <c r="G2745">
        <v>573</v>
      </c>
      <c r="H2745">
        <v>1</v>
      </c>
      <c r="I2745" t="s">
        <v>89</v>
      </c>
      <c r="J2745">
        <v>0</v>
      </c>
      <c r="K2745">
        <v>1</v>
      </c>
      <c r="L2745">
        <v>2</v>
      </c>
      <c r="M2745">
        <v>142</v>
      </c>
      <c r="N2745">
        <v>277</v>
      </c>
      <c r="O2745">
        <v>7</v>
      </c>
      <c r="P2745">
        <v>277</v>
      </c>
      <c r="Q2745">
        <v>68</v>
      </c>
      <c r="R2745">
        <v>43</v>
      </c>
      <c r="S2745">
        <v>1</v>
      </c>
      <c r="T2745">
        <v>2</v>
      </c>
      <c r="U2745">
        <v>12</v>
      </c>
      <c r="V2745">
        <v>3</v>
      </c>
      <c r="W2745">
        <v>6</v>
      </c>
      <c r="X2745">
        <v>3</v>
      </c>
      <c r="Y2745">
        <v>103</v>
      </c>
      <c r="Z2745">
        <v>4</v>
      </c>
      <c r="AA2745">
        <v>2</v>
      </c>
      <c r="AB2745">
        <v>11</v>
      </c>
      <c r="AC2745">
        <v>1</v>
      </c>
      <c r="AD2745">
        <v>0</v>
      </c>
      <c r="AE2745">
        <v>2</v>
      </c>
      <c r="AF2745">
        <v>0</v>
      </c>
      <c r="AK2745">
        <v>1</v>
      </c>
      <c r="AL2745">
        <v>0</v>
      </c>
      <c r="AM2745">
        <v>0</v>
      </c>
      <c r="AN2745">
        <v>1</v>
      </c>
      <c r="AT2745">
        <v>1</v>
      </c>
      <c r="AU2745">
        <v>13</v>
      </c>
      <c r="AV2745">
        <v>277</v>
      </c>
      <c r="AW2745">
        <v>277</v>
      </c>
      <c r="AX2745">
        <v>397</v>
      </c>
      <c r="BA2745">
        <v>1</v>
      </c>
      <c r="BC2745" t="s">
        <v>5592</v>
      </c>
      <c r="BD2745" s="4">
        <v>43283.105555555558</v>
      </c>
      <c r="BE2745" s="4">
        <v>43283.109548611108</v>
      </c>
      <c r="BF2745" s="4">
        <v>43283.109548611108</v>
      </c>
      <c r="BG2745" t="s">
        <v>83</v>
      </c>
      <c r="BH2745" t="s">
        <v>84</v>
      </c>
      <c r="BI2745" t="s">
        <v>85</v>
      </c>
    </row>
    <row r="2746" spans="1:61" x14ac:dyDescent="0.3">
      <c r="A2746" t="str">
        <f>"200574B0100"</f>
        <v>200574B0100</v>
      </c>
      <c r="B2746" t="s">
        <v>5593</v>
      </c>
      <c r="C2746">
        <v>20</v>
      </c>
      <c r="D2746" t="s">
        <v>79</v>
      </c>
      <c r="E2746">
        <v>13</v>
      </c>
      <c r="F2746" t="s">
        <v>5455</v>
      </c>
      <c r="G2746">
        <v>574</v>
      </c>
      <c r="H2746">
        <v>1</v>
      </c>
      <c r="I2746" t="s">
        <v>81</v>
      </c>
      <c r="J2746">
        <v>0</v>
      </c>
      <c r="K2746">
        <v>1</v>
      </c>
      <c r="L2746">
        <v>2</v>
      </c>
      <c r="M2746">
        <v>222</v>
      </c>
      <c r="N2746">
        <v>454</v>
      </c>
      <c r="O2746">
        <v>9</v>
      </c>
      <c r="P2746">
        <v>454</v>
      </c>
      <c r="Q2746">
        <v>68</v>
      </c>
      <c r="R2746">
        <v>66</v>
      </c>
      <c r="S2746">
        <v>6</v>
      </c>
      <c r="T2746">
        <v>9</v>
      </c>
      <c r="U2746">
        <v>12</v>
      </c>
      <c r="V2746">
        <v>8</v>
      </c>
      <c r="W2746">
        <v>9</v>
      </c>
      <c r="X2746">
        <v>4</v>
      </c>
      <c r="Y2746">
        <v>225</v>
      </c>
      <c r="Z2746">
        <v>7</v>
      </c>
      <c r="AA2746">
        <v>1</v>
      </c>
      <c r="AB2746">
        <v>15</v>
      </c>
      <c r="AC2746">
        <v>3</v>
      </c>
      <c r="AD2746">
        <v>0</v>
      </c>
      <c r="AE2746">
        <v>0</v>
      </c>
      <c r="AF2746">
        <v>0</v>
      </c>
      <c r="AK2746">
        <v>4</v>
      </c>
      <c r="AL2746">
        <v>4</v>
      </c>
      <c r="AM2746">
        <v>0</v>
      </c>
      <c r="AN2746">
        <v>1</v>
      </c>
      <c r="AT2746" t="s">
        <v>100</v>
      </c>
      <c r="AU2746">
        <v>27</v>
      </c>
      <c r="AV2746">
        <v>469</v>
      </c>
      <c r="AW2746">
        <v>469</v>
      </c>
      <c r="AX2746">
        <v>657</v>
      </c>
      <c r="AZ2746" t="s">
        <v>101</v>
      </c>
      <c r="BA2746">
        <v>1</v>
      </c>
      <c r="BC2746" t="s">
        <v>5594</v>
      </c>
      <c r="BD2746" s="4">
        <v>43283.167361111111</v>
      </c>
      <c r="BE2746" s="4">
        <v>43283.179537037038</v>
      </c>
      <c r="BF2746" s="4">
        <v>43283.179537037038</v>
      </c>
      <c r="BG2746" t="s">
        <v>83</v>
      </c>
      <c r="BH2746" t="s">
        <v>84</v>
      </c>
      <c r="BI2746" t="s">
        <v>85</v>
      </c>
    </row>
    <row r="2747" spans="1:61" x14ac:dyDescent="0.3">
      <c r="A2747" t="str">
        <f>"200574C0100"</f>
        <v>200574C0100</v>
      </c>
      <c r="B2747" t="s">
        <v>5595</v>
      </c>
      <c r="C2747">
        <v>20</v>
      </c>
      <c r="D2747" t="s">
        <v>79</v>
      </c>
      <c r="E2747">
        <v>13</v>
      </c>
      <c r="F2747" t="s">
        <v>5455</v>
      </c>
      <c r="G2747">
        <v>574</v>
      </c>
      <c r="H2747">
        <v>1</v>
      </c>
      <c r="I2747" t="s">
        <v>89</v>
      </c>
      <c r="J2747">
        <v>0</v>
      </c>
      <c r="K2747">
        <v>1</v>
      </c>
      <c r="L2747">
        <v>2</v>
      </c>
      <c r="M2747">
        <v>268</v>
      </c>
      <c r="N2747">
        <v>405</v>
      </c>
      <c r="O2747">
        <v>0</v>
      </c>
      <c r="P2747">
        <v>405</v>
      </c>
      <c r="Q2747">
        <v>42</v>
      </c>
      <c r="R2747">
        <v>41</v>
      </c>
      <c r="S2747">
        <v>8</v>
      </c>
      <c r="T2747">
        <v>7</v>
      </c>
      <c r="U2747">
        <v>16</v>
      </c>
      <c r="V2747">
        <v>6</v>
      </c>
      <c r="W2747">
        <v>9</v>
      </c>
      <c r="X2747">
        <v>5</v>
      </c>
      <c r="Y2747">
        <v>208</v>
      </c>
      <c r="Z2747">
        <v>6</v>
      </c>
      <c r="AA2747">
        <v>2</v>
      </c>
      <c r="AB2747">
        <v>22</v>
      </c>
      <c r="AC2747">
        <v>1</v>
      </c>
      <c r="AD2747">
        <v>0</v>
      </c>
      <c r="AE2747">
        <v>0</v>
      </c>
      <c r="AF2747">
        <v>0</v>
      </c>
      <c r="AK2747">
        <v>5</v>
      </c>
      <c r="AL2747">
        <v>2</v>
      </c>
      <c r="AM2747">
        <v>0</v>
      </c>
      <c r="AN2747">
        <v>1</v>
      </c>
      <c r="AT2747">
        <v>0</v>
      </c>
      <c r="AU2747">
        <v>13</v>
      </c>
      <c r="AV2747">
        <v>194</v>
      </c>
      <c r="AW2747">
        <v>394</v>
      </c>
      <c r="AX2747">
        <v>657</v>
      </c>
      <c r="BA2747">
        <v>1</v>
      </c>
      <c r="BC2747" t="s">
        <v>5596</v>
      </c>
      <c r="BD2747" s="4">
        <v>43283.168055555558</v>
      </c>
      <c r="BE2747" s="4">
        <v>43283.181134259263</v>
      </c>
      <c r="BF2747" s="4">
        <v>43283.181134259263</v>
      </c>
      <c r="BG2747" t="s">
        <v>83</v>
      </c>
      <c r="BH2747" t="s">
        <v>84</v>
      </c>
      <c r="BI2747" t="s">
        <v>85</v>
      </c>
    </row>
    <row r="2748" spans="1:61" x14ac:dyDescent="0.3">
      <c r="A2748" t="str">
        <f>"200575B0100"</f>
        <v>200575B0100</v>
      </c>
      <c r="B2748" t="s">
        <v>5597</v>
      </c>
      <c r="C2748">
        <v>20</v>
      </c>
      <c r="D2748" t="s">
        <v>79</v>
      </c>
      <c r="E2748">
        <v>13</v>
      </c>
      <c r="F2748" t="s">
        <v>5455</v>
      </c>
      <c r="G2748">
        <v>575</v>
      </c>
      <c r="H2748">
        <v>1</v>
      </c>
      <c r="I2748" t="s">
        <v>81</v>
      </c>
      <c r="J2748">
        <v>0</v>
      </c>
      <c r="K2748">
        <v>1</v>
      </c>
      <c r="L2748">
        <v>2</v>
      </c>
      <c r="M2748">
        <v>291</v>
      </c>
      <c r="N2748">
        <v>394</v>
      </c>
      <c r="O2748">
        <v>8</v>
      </c>
      <c r="P2748">
        <v>392</v>
      </c>
      <c r="Q2748">
        <v>54</v>
      </c>
      <c r="R2748">
        <v>58</v>
      </c>
      <c r="S2748">
        <v>4</v>
      </c>
      <c r="T2748">
        <v>9</v>
      </c>
      <c r="U2748">
        <v>14</v>
      </c>
      <c r="V2748">
        <v>9</v>
      </c>
      <c r="W2748">
        <v>3</v>
      </c>
      <c r="X2748">
        <v>4</v>
      </c>
      <c r="Y2748">
        <v>196</v>
      </c>
      <c r="Z2748">
        <v>7</v>
      </c>
      <c r="AA2748">
        <v>1</v>
      </c>
      <c r="AB2748">
        <v>8</v>
      </c>
      <c r="AC2748">
        <v>2</v>
      </c>
      <c r="AD2748">
        <v>0</v>
      </c>
      <c r="AE2748">
        <v>0</v>
      </c>
      <c r="AF2748">
        <v>0</v>
      </c>
      <c r="AK2748">
        <v>10</v>
      </c>
      <c r="AL2748">
        <v>0</v>
      </c>
      <c r="AM2748">
        <v>0</v>
      </c>
      <c r="AN2748">
        <v>0</v>
      </c>
      <c r="AT2748">
        <v>0</v>
      </c>
      <c r="AU2748">
        <v>13</v>
      </c>
      <c r="AV2748">
        <v>392</v>
      </c>
      <c r="AW2748">
        <v>392</v>
      </c>
      <c r="AX2748">
        <v>661</v>
      </c>
      <c r="BA2748">
        <v>1</v>
      </c>
      <c r="BC2748" t="s">
        <v>5598</v>
      </c>
      <c r="BD2748" s="4">
        <v>43283.269444444442</v>
      </c>
      <c r="BE2748" s="4">
        <v>43283.295775462961</v>
      </c>
      <c r="BF2748" s="4">
        <v>43283.295775462961</v>
      </c>
      <c r="BG2748" t="s">
        <v>83</v>
      </c>
      <c r="BH2748" t="s">
        <v>84</v>
      </c>
      <c r="BI2748" t="s">
        <v>85</v>
      </c>
    </row>
    <row r="2749" spans="1:61" x14ac:dyDescent="0.3">
      <c r="A2749" t="str">
        <f>"200575C0100"</f>
        <v>200575C0100</v>
      </c>
      <c r="B2749" t="s">
        <v>5599</v>
      </c>
      <c r="C2749">
        <v>20</v>
      </c>
      <c r="D2749" t="s">
        <v>79</v>
      </c>
      <c r="E2749">
        <v>13</v>
      </c>
      <c r="F2749" t="s">
        <v>5455</v>
      </c>
      <c r="G2749">
        <v>575</v>
      </c>
      <c r="H2749">
        <v>1</v>
      </c>
      <c r="I2749" t="s">
        <v>89</v>
      </c>
      <c r="J2749">
        <v>0</v>
      </c>
      <c r="K2749">
        <v>1</v>
      </c>
      <c r="L2749">
        <v>2</v>
      </c>
      <c r="M2749">
        <v>272</v>
      </c>
      <c r="N2749">
        <v>414</v>
      </c>
      <c r="O2749">
        <v>8</v>
      </c>
      <c r="P2749">
        <v>411</v>
      </c>
      <c r="Q2749">
        <v>33</v>
      </c>
      <c r="R2749">
        <v>57</v>
      </c>
      <c r="S2749">
        <v>9</v>
      </c>
      <c r="T2749">
        <v>7</v>
      </c>
      <c r="U2749">
        <v>17</v>
      </c>
      <c r="V2749">
        <v>7</v>
      </c>
      <c r="W2749">
        <v>4</v>
      </c>
      <c r="X2749">
        <v>6</v>
      </c>
      <c r="Y2749">
        <v>229</v>
      </c>
      <c r="Z2749">
        <v>5</v>
      </c>
      <c r="AA2749">
        <v>3</v>
      </c>
      <c r="AB2749">
        <v>6</v>
      </c>
      <c r="AC2749">
        <v>1</v>
      </c>
      <c r="AD2749">
        <v>1</v>
      </c>
      <c r="AE2749">
        <v>0</v>
      </c>
      <c r="AF2749">
        <v>0</v>
      </c>
      <c r="AK2749">
        <v>7</v>
      </c>
      <c r="AL2749">
        <v>3</v>
      </c>
      <c r="AM2749">
        <v>0</v>
      </c>
      <c r="AN2749">
        <v>2</v>
      </c>
      <c r="AT2749">
        <v>0</v>
      </c>
      <c r="AU2749">
        <v>14</v>
      </c>
      <c r="AV2749">
        <v>411</v>
      </c>
      <c r="AW2749">
        <v>411</v>
      </c>
      <c r="AX2749">
        <v>661</v>
      </c>
      <c r="BA2749">
        <v>1</v>
      </c>
      <c r="BC2749" t="s">
        <v>5600</v>
      </c>
      <c r="BD2749" s="4">
        <v>43283.269444444442</v>
      </c>
      <c r="BE2749" s="4">
        <v>43283.295173611114</v>
      </c>
      <c r="BF2749" s="4">
        <v>43283.295173611114</v>
      </c>
      <c r="BG2749" t="s">
        <v>83</v>
      </c>
      <c r="BH2749" t="s">
        <v>84</v>
      </c>
      <c r="BI2749" t="s">
        <v>85</v>
      </c>
    </row>
    <row r="2750" spans="1:61" x14ac:dyDescent="0.3">
      <c r="A2750" t="str">
        <f>"200576B0100"</f>
        <v>200576B0100</v>
      </c>
      <c r="B2750" t="s">
        <v>5601</v>
      </c>
      <c r="C2750">
        <v>20</v>
      </c>
      <c r="D2750" t="s">
        <v>79</v>
      </c>
      <c r="E2750">
        <v>13</v>
      </c>
      <c r="F2750" t="s">
        <v>5455</v>
      </c>
      <c r="G2750">
        <v>576</v>
      </c>
      <c r="H2750">
        <v>1</v>
      </c>
      <c r="I2750" t="s">
        <v>81</v>
      </c>
      <c r="J2750">
        <v>0</v>
      </c>
      <c r="K2750">
        <v>1</v>
      </c>
      <c r="L2750">
        <v>2</v>
      </c>
      <c r="M2750">
        <v>226</v>
      </c>
      <c r="N2750">
        <v>376</v>
      </c>
      <c r="O2750">
        <v>2</v>
      </c>
      <c r="P2750">
        <v>376</v>
      </c>
      <c r="Q2750">
        <v>41</v>
      </c>
      <c r="R2750">
        <v>53</v>
      </c>
      <c r="S2750">
        <v>4</v>
      </c>
      <c r="T2750">
        <v>4</v>
      </c>
      <c r="U2750">
        <v>11</v>
      </c>
      <c r="V2750">
        <v>3</v>
      </c>
      <c r="W2750">
        <v>5</v>
      </c>
      <c r="X2750">
        <v>3</v>
      </c>
      <c r="Y2750">
        <v>215</v>
      </c>
      <c r="Z2750">
        <v>10</v>
      </c>
      <c r="AA2750">
        <v>2</v>
      </c>
      <c r="AB2750">
        <v>7</v>
      </c>
      <c r="AC2750">
        <v>2</v>
      </c>
      <c r="AD2750">
        <v>0</v>
      </c>
      <c r="AE2750">
        <v>0</v>
      </c>
      <c r="AF2750">
        <v>0</v>
      </c>
      <c r="AK2750">
        <v>4</v>
      </c>
      <c r="AL2750">
        <v>1</v>
      </c>
      <c r="AM2750">
        <v>0</v>
      </c>
      <c r="AN2750">
        <v>1</v>
      </c>
      <c r="AT2750">
        <v>0</v>
      </c>
      <c r="AU2750">
        <v>10</v>
      </c>
      <c r="AV2750" t="s">
        <v>100</v>
      </c>
      <c r="AW2750">
        <v>376</v>
      </c>
      <c r="AX2750">
        <v>580</v>
      </c>
      <c r="BA2750">
        <v>1</v>
      </c>
      <c r="BC2750" t="s">
        <v>5602</v>
      </c>
      <c r="BD2750" s="4">
        <v>43283.149305555555</v>
      </c>
      <c r="BE2750" s="4">
        <v>43283.158437500002</v>
      </c>
      <c r="BF2750" s="4">
        <v>43283.158437500002</v>
      </c>
      <c r="BG2750" t="s">
        <v>83</v>
      </c>
      <c r="BH2750" t="s">
        <v>84</v>
      </c>
      <c r="BI2750" t="s">
        <v>85</v>
      </c>
    </row>
    <row r="2751" spans="1:61" x14ac:dyDescent="0.3">
      <c r="A2751" t="str">
        <f>"200576C0100"</f>
        <v>200576C0100</v>
      </c>
      <c r="B2751" t="s">
        <v>5603</v>
      </c>
      <c r="C2751">
        <v>20</v>
      </c>
      <c r="D2751" t="s">
        <v>79</v>
      </c>
      <c r="E2751">
        <v>13</v>
      </c>
      <c r="F2751" t="s">
        <v>5455</v>
      </c>
      <c r="G2751">
        <v>576</v>
      </c>
      <c r="H2751">
        <v>1</v>
      </c>
      <c r="I2751" t="s">
        <v>89</v>
      </c>
      <c r="J2751">
        <v>0</v>
      </c>
      <c r="K2751">
        <v>1</v>
      </c>
      <c r="L2751">
        <v>2</v>
      </c>
      <c r="M2751">
        <v>213</v>
      </c>
      <c r="N2751">
        <v>389</v>
      </c>
      <c r="O2751">
        <v>6</v>
      </c>
      <c r="P2751">
        <v>389</v>
      </c>
      <c r="Q2751">
        <v>36</v>
      </c>
      <c r="R2751">
        <v>55</v>
      </c>
      <c r="S2751">
        <v>6</v>
      </c>
      <c r="T2751">
        <v>14</v>
      </c>
      <c r="U2751">
        <v>22</v>
      </c>
      <c r="V2751">
        <v>6</v>
      </c>
      <c r="W2751">
        <v>2</v>
      </c>
      <c r="X2751">
        <v>2</v>
      </c>
      <c r="Y2751">
        <v>203</v>
      </c>
      <c r="Z2751">
        <v>8</v>
      </c>
      <c r="AA2751">
        <v>4</v>
      </c>
      <c r="AB2751">
        <v>13</v>
      </c>
      <c r="AC2751">
        <v>0</v>
      </c>
      <c r="AD2751">
        <v>2</v>
      </c>
      <c r="AE2751">
        <v>0</v>
      </c>
      <c r="AF2751">
        <v>0</v>
      </c>
      <c r="AK2751">
        <v>5</v>
      </c>
      <c r="AL2751">
        <v>1</v>
      </c>
      <c r="AM2751">
        <v>1</v>
      </c>
      <c r="AN2751">
        <v>0</v>
      </c>
      <c r="AT2751">
        <v>0</v>
      </c>
      <c r="AU2751">
        <v>9</v>
      </c>
      <c r="AV2751">
        <v>389</v>
      </c>
      <c r="AW2751">
        <v>389</v>
      </c>
      <c r="AX2751">
        <v>580</v>
      </c>
      <c r="BA2751">
        <v>1</v>
      </c>
      <c r="BC2751" t="s">
        <v>5604</v>
      </c>
      <c r="BD2751" s="4">
        <v>43283.149305555555</v>
      </c>
      <c r="BE2751" s="4">
        <v>43283.15697916667</v>
      </c>
      <c r="BF2751" s="4">
        <v>43283.15697916667</v>
      </c>
      <c r="BG2751" t="s">
        <v>83</v>
      </c>
      <c r="BH2751" t="s">
        <v>84</v>
      </c>
      <c r="BI2751" t="s">
        <v>85</v>
      </c>
    </row>
    <row r="2752" spans="1:61" x14ac:dyDescent="0.3">
      <c r="A2752" t="str">
        <f>"200576C0200"</f>
        <v>200576C0200</v>
      </c>
      <c r="B2752" t="s">
        <v>5605</v>
      </c>
      <c r="C2752">
        <v>20</v>
      </c>
      <c r="D2752" t="s">
        <v>79</v>
      </c>
      <c r="E2752">
        <v>13</v>
      </c>
      <c r="F2752" t="s">
        <v>5455</v>
      </c>
      <c r="G2752">
        <v>576</v>
      </c>
      <c r="H2752">
        <v>2</v>
      </c>
      <c r="I2752" t="s">
        <v>89</v>
      </c>
      <c r="J2752">
        <v>0</v>
      </c>
      <c r="K2752">
        <v>1</v>
      </c>
      <c r="L2752">
        <v>2</v>
      </c>
      <c r="M2752">
        <v>211</v>
      </c>
      <c r="N2752">
        <v>391</v>
      </c>
      <c r="O2752">
        <v>6</v>
      </c>
      <c r="P2752">
        <v>391</v>
      </c>
      <c r="Q2752">
        <v>28</v>
      </c>
      <c r="R2752">
        <v>49</v>
      </c>
      <c r="S2752">
        <v>6</v>
      </c>
      <c r="T2752">
        <v>9</v>
      </c>
      <c r="U2752">
        <v>19</v>
      </c>
      <c r="V2752">
        <v>7</v>
      </c>
      <c r="W2752">
        <v>4</v>
      </c>
      <c r="X2752">
        <v>3</v>
      </c>
      <c r="Y2752">
        <v>215</v>
      </c>
      <c r="Z2752">
        <v>15</v>
      </c>
      <c r="AA2752">
        <v>0</v>
      </c>
      <c r="AB2752">
        <v>16</v>
      </c>
      <c r="AC2752">
        <v>1</v>
      </c>
      <c r="AD2752">
        <v>1</v>
      </c>
      <c r="AE2752">
        <v>0</v>
      </c>
      <c r="AF2752">
        <v>0</v>
      </c>
      <c r="AK2752">
        <v>2</v>
      </c>
      <c r="AL2752">
        <v>3</v>
      </c>
      <c r="AM2752">
        <v>0</v>
      </c>
      <c r="AN2752">
        <v>2</v>
      </c>
      <c r="AT2752">
        <v>0</v>
      </c>
      <c r="AU2752">
        <v>11</v>
      </c>
      <c r="AV2752">
        <v>391</v>
      </c>
      <c r="AW2752">
        <v>391</v>
      </c>
      <c r="AX2752">
        <v>580</v>
      </c>
      <c r="BA2752">
        <v>1</v>
      </c>
      <c r="BC2752" t="s">
        <v>5606</v>
      </c>
      <c r="BD2752" s="4">
        <v>43283.155555555553</v>
      </c>
      <c r="BE2752" s="4">
        <v>43283.166828703703</v>
      </c>
      <c r="BF2752" s="4">
        <v>43283.166828703703</v>
      </c>
      <c r="BG2752" t="s">
        <v>83</v>
      </c>
      <c r="BH2752" t="s">
        <v>84</v>
      </c>
      <c r="BI2752" t="s">
        <v>85</v>
      </c>
    </row>
    <row r="2753" spans="1:61" x14ac:dyDescent="0.3">
      <c r="A2753" t="str">
        <f>"200577B0100"</f>
        <v>200577B0100</v>
      </c>
      <c r="B2753" t="s">
        <v>5607</v>
      </c>
      <c r="C2753">
        <v>20</v>
      </c>
      <c r="D2753" t="s">
        <v>79</v>
      </c>
      <c r="E2753">
        <v>13</v>
      </c>
      <c r="F2753" t="s">
        <v>5455</v>
      </c>
      <c r="G2753">
        <v>577</v>
      </c>
      <c r="H2753">
        <v>1</v>
      </c>
      <c r="I2753" t="s">
        <v>81</v>
      </c>
      <c r="J2753">
        <v>0</v>
      </c>
      <c r="K2753">
        <v>1</v>
      </c>
      <c r="L2753">
        <v>2</v>
      </c>
      <c r="M2753">
        <v>279</v>
      </c>
      <c r="N2753">
        <v>486</v>
      </c>
      <c r="O2753">
        <v>2</v>
      </c>
      <c r="P2753">
        <v>486</v>
      </c>
      <c r="Q2753">
        <v>36</v>
      </c>
      <c r="R2753">
        <v>61</v>
      </c>
      <c r="S2753">
        <v>11</v>
      </c>
      <c r="T2753">
        <v>7</v>
      </c>
      <c r="U2753">
        <v>24</v>
      </c>
      <c r="V2753">
        <v>9</v>
      </c>
      <c r="W2753">
        <v>12</v>
      </c>
      <c r="X2753">
        <v>6</v>
      </c>
      <c r="Y2753">
        <v>255</v>
      </c>
      <c r="Z2753">
        <v>10</v>
      </c>
      <c r="AA2753">
        <v>5</v>
      </c>
      <c r="AB2753">
        <v>14</v>
      </c>
      <c r="AC2753">
        <v>1</v>
      </c>
      <c r="AD2753">
        <v>0</v>
      </c>
      <c r="AE2753">
        <v>0</v>
      </c>
      <c r="AF2753">
        <v>0</v>
      </c>
      <c r="AK2753">
        <v>10</v>
      </c>
      <c r="AL2753">
        <v>2</v>
      </c>
      <c r="AM2753">
        <v>0</v>
      </c>
      <c r="AN2753">
        <v>0</v>
      </c>
      <c r="AT2753">
        <v>0</v>
      </c>
      <c r="AU2753">
        <v>23</v>
      </c>
      <c r="AV2753">
        <v>486</v>
      </c>
      <c r="AW2753">
        <v>486</v>
      </c>
      <c r="AX2753">
        <v>744</v>
      </c>
      <c r="BA2753">
        <v>1</v>
      </c>
      <c r="BC2753" t="s">
        <v>5608</v>
      </c>
      <c r="BD2753" s="4">
        <v>43283.15347222222</v>
      </c>
      <c r="BE2753" s="4">
        <v>43283.163148148145</v>
      </c>
      <c r="BF2753" s="4">
        <v>43283.163148148145</v>
      </c>
      <c r="BG2753" t="s">
        <v>83</v>
      </c>
      <c r="BH2753" t="s">
        <v>84</v>
      </c>
      <c r="BI2753" t="s">
        <v>85</v>
      </c>
    </row>
    <row r="2754" spans="1:61" x14ac:dyDescent="0.3">
      <c r="A2754" t="str">
        <f>"200577C0100"</f>
        <v>200577C0100</v>
      </c>
      <c r="B2754" t="s">
        <v>5609</v>
      </c>
      <c r="C2754">
        <v>20</v>
      </c>
      <c r="D2754" t="s">
        <v>79</v>
      </c>
      <c r="E2754">
        <v>13</v>
      </c>
      <c r="F2754" t="s">
        <v>5455</v>
      </c>
      <c r="G2754">
        <v>577</v>
      </c>
      <c r="H2754">
        <v>1</v>
      </c>
      <c r="I2754" t="s">
        <v>89</v>
      </c>
      <c r="J2754">
        <v>0</v>
      </c>
      <c r="K2754">
        <v>1</v>
      </c>
      <c r="L2754">
        <v>2</v>
      </c>
      <c r="M2754">
        <v>289</v>
      </c>
      <c r="N2754">
        <v>477</v>
      </c>
      <c r="O2754">
        <v>4</v>
      </c>
      <c r="P2754">
        <v>477</v>
      </c>
      <c r="Q2754">
        <v>42</v>
      </c>
      <c r="R2754">
        <v>49</v>
      </c>
      <c r="S2754">
        <v>6</v>
      </c>
      <c r="T2754">
        <v>13</v>
      </c>
      <c r="U2754">
        <v>28</v>
      </c>
      <c r="V2754">
        <v>4</v>
      </c>
      <c r="W2754">
        <v>12</v>
      </c>
      <c r="X2754">
        <v>3</v>
      </c>
      <c r="Y2754">
        <v>253</v>
      </c>
      <c r="Z2754">
        <v>16</v>
      </c>
      <c r="AA2754">
        <v>6</v>
      </c>
      <c r="AB2754">
        <v>15</v>
      </c>
      <c r="AC2754">
        <v>2</v>
      </c>
      <c r="AD2754">
        <v>0</v>
      </c>
      <c r="AE2754">
        <v>0</v>
      </c>
      <c r="AF2754">
        <v>1</v>
      </c>
      <c r="AK2754">
        <v>5</v>
      </c>
      <c r="AL2754">
        <v>1</v>
      </c>
      <c r="AM2754">
        <v>0</v>
      </c>
      <c r="AN2754">
        <v>0</v>
      </c>
      <c r="AT2754">
        <v>0</v>
      </c>
      <c r="AU2754">
        <v>21</v>
      </c>
      <c r="AV2754">
        <v>447</v>
      </c>
      <c r="AW2754">
        <v>477</v>
      </c>
      <c r="AX2754">
        <v>744</v>
      </c>
      <c r="BA2754">
        <v>1</v>
      </c>
      <c r="BC2754" t="s">
        <v>5610</v>
      </c>
      <c r="BD2754" s="4">
        <v>43283.15347222222</v>
      </c>
      <c r="BE2754" s="4">
        <v>43283.413113425922</v>
      </c>
      <c r="BF2754" s="4">
        <v>43283.413113425922</v>
      </c>
      <c r="BG2754" t="s">
        <v>83</v>
      </c>
      <c r="BH2754" t="s">
        <v>84</v>
      </c>
      <c r="BI2754" t="s">
        <v>85</v>
      </c>
    </row>
    <row r="2755" spans="1:61" x14ac:dyDescent="0.3">
      <c r="A2755" t="str">
        <f>"200578B0100"</f>
        <v>200578B0100</v>
      </c>
      <c r="B2755" t="s">
        <v>5611</v>
      </c>
      <c r="C2755">
        <v>20</v>
      </c>
      <c r="D2755" t="s">
        <v>79</v>
      </c>
      <c r="E2755">
        <v>13</v>
      </c>
      <c r="F2755" t="s">
        <v>5455</v>
      </c>
      <c r="G2755">
        <v>578</v>
      </c>
      <c r="H2755">
        <v>1</v>
      </c>
      <c r="I2755" t="s">
        <v>81</v>
      </c>
      <c r="J2755">
        <v>0</v>
      </c>
      <c r="K2755">
        <v>1</v>
      </c>
      <c r="L2755">
        <v>2</v>
      </c>
      <c r="M2755">
        <v>305</v>
      </c>
      <c r="N2755">
        <v>404</v>
      </c>
      <c r="O2755">
        <v>3</v>
      </c>
      <c r="P2755">
        <v>402</v>
      </c>
      <c r="Q2755">
        <v>37</v>
      </c>
      <c r="R2755">
        <v>70</v>
      </c>
      <c r="S2755">
        <v>14</v>
      </c>
      <c r="T2755">
        <v>13</v>
      </c>
      <c r="U2755">
        <v>29</v>
      </c>
      <c r="V2755">
        <v>11</v>
      </c>
      <c r="W2755">
        <v>5</v>
      </c>
      <c r="X2755">
        <v>4</v>
      </c>
      <c r="Y2755">
        <v>166</v>
      </c>
      <c r="Z2755">
        <v>10</v>
      </c>
      <c r="AA2755">
        <v>2</v>
      </c>
      <c r="AB2755">
        <v>11</v>
      </c>
      <c r="AC2755">
        <v>1</v>
      </c>
      <c r="AD2755">
        <v>1</v>
      </c>
      <c r="AE2755">
        <v>1</v>
      </c>
      <c r="AF2755">
        <v>0</v>
      </c>
      <c r="AK2755">
        <v>6</v>
      </c>
      <c r="AL2755">
        <v>2</v>
      </c>
      <c r="AM2755">
        <v>2</v>
      </c>
      <c r="AN2755">
        <v>3</v>
      </c>
      <c r="AT2755">
        <v>0</v>
      </c>
      <c r="AU2755">
        <v>14</v>
      </c>
      <c r="AV2755">
        <v>402</v>
      </c>
      <c r="AW2755">
        <v>402</v>
      </c>
      <c r="AX2755">
        <v>687</v>
      </c>
      <c r="BA2755">
        <v>1</v>
      </c>
      <c r="BC2755" t="s">
        <v>5612</v>
      </c>
      <c r="BD2755" s="4">
        <v>43283.152777777781</v>
      </c>
      <c r="BE2755" s="4">
        <v>43283.161412037036</v>
      </c>
      <c r="BF2755" s="4">
        <v>43283.161412037036</v>
      </c>
      <c r="BG2755" t="s">
        <v>83</v>
      </c>
      <c r="BH2755" t="s">
        <v>84</v>
      </c>
      <c r="BI2755" t="s">
        <v>85</v>
      </c>
    </row>
    <row r="2756" spans="1:61" x14ac:dyDescent="0.3">
      <c r="A2756" t="str">
        <f>"200578C0100"</f>
        <v>200578C0100</v>
      </c>
      <c r="B2756" t="s">
        <v>5613</v>
      </c>
      <c r="C2756">
        <v>20</v>
      </c>
      <c r="D2756" t="s">
        <v>79</v>
      </c>
      <c r="E2756">
        <v>13</v>
      </c>
      <c r="F2756" t="s">
        <v>5455</v>
      </c>
      <c r="G2756">
        <v>578</v>
      </c>
      <c r="H2756">
        <v>1</v>
      </c>
      <c r="I2756" t="s">
        <v>89</v>
      </c>
      <c r="J2756">
        <v>0</v>
      </c>
      <c r="K2756">
        <v>1</v>
      </c>
      <c r="L2756">
        <v>2</v>
      </c>
      <c r="M2756">
        <v>316</v>
      </c>
      <c r="N2756">
        <v>390</v>
      </c>
      <c r="O2756">
        <v>6</v>
      </c>
      <c r="P2756">
        <v>9</v>
      </c>
      <c r="Q2756">
        <v>54</v>
      </c>
      <c r="R2756">
        <v>66</v>
      </c>
      <c r="S2756">
        <v>9</v>
      </c>
      <c r="T2756">
        <v>9</v>
      </c>
      <c r="U2756">
        <v>22</v>
      </c>
      <c r="V2756">
        <v>8</v>
      </c>
      <c r="W2756">
        <v>12</v>
      </c>
      <c r="X2756">
        <v>8</v>
      </c>
      <c r="Y2756">
        <v>155</v>
      </c>
      <c r="Z2756">
        <v>6</v>
      </c>
      <c r="AA2756">
        <v>1</v>
      </c>
      <c r="AB2756">
        <v>1</v>
      </c>
      <c r="AC2756">
        <v>0</v>
      </c>
      <c r="AD2756">
        <v>1</v>
      </c>
      <c r="AE2756">
        <v>0</v>
      </c>
      <c r="AF2756">
        <v>0</v>
      </c>
      <c r="AK2756">
        <v>1</v>
      </c>
      <c r="AL2756">
        <v>1</v>
      </c>
      <c r="AM2756">
        <v>1</v>
      </c>
      <c r="AN2756">
        <v>4</v>
      </c>
      <c r="AT2756">
        <v>3</v>
      </c>
      <c r="AU2756">
        <v>20</v>
      </c>
      <c r="AV2756">
        <v>378</v>
      </c>
      <c r="AW2756">
        <v>382</v>
      </c>
      <c r="AX2756">
        <v>686</v>
      </c>
      <c r="BA2756">
        <v>1</v>
      </c>
      <c r="BC2756" t="s">
        <v>5614</v>
      </c>
      <c r="BD2756" s="4">
        <v>43283.15347222222</v>
      </c>
      <c r="BE2756" s="4">
        <v>43283.172673611109</v>
      </c>
      <c r="BF2756" s="4">
        <v>43283.172673611109</v>
      </c>
      <c r="BG2756" t="s">
        <v>83</v>
      </c>
      <c r="BH2756" t="s">
        <v>84</v>
      </c>
      <c r="BI2756" t="s">
        <v>85</v>
      </c>
    </row>
    <row r="2757" spans="1:61" x14ac:dyDescent="0.3">
      <c r="A2757" t="str">
        <f>"200578C0200"</f>
        <v>200578C0200</v>
      </c>
      <c r="B2757" t="s">
        <v>5615</v>
      </c>
      <c r="C2757">
        <v>20</v>
      </c>
      <c r="D2757" t="s">
        <v>79</v>
      </c>
      <c r="E2757">
        <v>13</v>
      </c>
      <c r="F2757" t="s">
        <v>5455</v>
      </c>
      <c r="G2757">
        <v>578</v>
      </c>
      <c r="H2757">
        <v>2</v>
      </c>
      <c r="I2757" t="s">
        <v>89</v>
      </c>
      <c r="J2757">
        <v>0</v>
      </c>
      <c r="K2757">
        <v>1</v>
      </c>
      <c r="L2757">
        <v>2</v>
      </c>
      <c r="M2757">
        <v>304</v>
      </c>
      <c r="N2757">
        <v>404</v>
      </c>
      <c r="O2757">
        <v>2</v>
      </c>
      <c r="P2757">
        <v>405</v>
      </c>
      <c r="Q2757">
        <v>42</v>
      </c>
      <c r="R2757">
        <v>69</v>
      </c>
      <c r="S2757">
        <v>6</v>
      </c>
      <c r="T2757">
        <v>6</v>
      </c>
      <c r="U2757">
        <v>28</v>
      </c>
      <c r="V2757">
        <v>5</v>
      </c>
      <c r="W2757">
        <v>5</v>
      </c>
      <c r="X2757">
        <v>5</v>
      </c>
      <c r="Y2757">
        <v>6</v>
      </c>
      <c r="Z2757">
        <v>9</v>
      </c>
      <c r="AA2757">
        <v>3</v>
      </c>
      <c r="AB2757">
        <v>8</v>
      </c>
      <c r="AC2757">
        <v>1</v>
      </c>
      <c r="AD2757">
        <v>1</v>
      </c>
      <c r="AE2757">
        <v>0</v>
      </c>
      <c r="AF2757">
        <v>1</v>
      </c>
      <c r="AK2757">
        <v>2</v>
      </c>
      <c r="AL2757">
        <v>4</v>
      </c>
      <c r="AM2757">
        <v>0</v>
      </c>
      <c r="AN2757">
        <v>0</v>
      </c>
      <c r="AT2757">
        <v>0</v>
      </c>
      <c r="AU2757">
        <v>24</v>
      </c>
      <c r="AV2757">
        <v>405</v>
      </c>
      <c r="AW2757">
        <v>225</v>
      </c>
      <c r="AX2757">
        <v>686</v>
      </c>
      <c r="BA2757">
        <v>1</v>
      </c>
      <c r="BC2757" t="s">
        <v>5616</v>
      </c>
      <c r="BD2757" s="4">
        <v>43283.15347222222</v>
      </c>
      <c r="BE2757" s="4">
        <v>43283.1640162037</v>
      </c>
      <c r="BF2757" s="4">
        <v>43283.1640162037</v>
      </c>
      <c r="BG2757" t="s">
        <v>83</v>
      </c>
      <c r="BH2757" t="s">
        <v>84</v>
      </c>
      <c r="BI2757" t="s">
        <v>85</v>
      </c>
    </row>
    <row r="2758" spans="1:61" x14ac:dyDescent="0.3">
      <c r="A2758" t="str">
        <f>"200579B0100"</f>
        <v>200579B0100</v>
      </c>
      <c r="B2758" t="s">
        <v>5617</v>
      </c>
      <c r="C2758">
        <v>20</v>
      </c>
      <c r="D2758" t="s">
        <v>79</v>
      </c>
      <c r="E2758">
        <v>13</v>
      </c>
      <c r="F2758" t="s">
        <v>5455</v>
      </c>
      <c r="G2758">
        <v>579</v>
      </c>
      <c r="H2758">
        <v>1</v>
      </c>
      <c r="I2758" t="s">
        <v>81</v>
      </c>
      <c r="J2758">
        <v>0</v>
      </c>
      <c r="K2758">
        <v>1</v>
      </c>
      <c r="L2758">
        <v>2</v>
      </c>
      <c r="M2758">
        <v>195</v>
      </c>
      <c r="N2758">
        <v>350</v>
      </c>
      <c r="O2758">
        <v>0</v>
      </c>
      <c r="P2758">
        <v>350</v>
      </c>
      <c r="Q2758">
        <v>28</v>
      </c>
      <c r="R2758">
        <v>52</v>
      </c>
      <c r="S2758">
        <v>14</v>
      </c>
      <c r="T2758">
        <v>0</v>
      </c>
      <c r="U2758">
        <v>30</v>
      </c>
      <c r="V2758">
        <v>3</v>
      </c>
      <c r="W2758">
        <v>7</v>
      </c>
      <c r="X2758">
        <v>8</v>
      </c>
      <c r="Y2758">
        <v>158</v>
      </c>
      <c r="Z2758">
        <v>9</v>
      </c>
      <c r="AA2758">
        <v>3</v>
      </c>
      <c r="AB2758">
        <v>5</v>
      </c>
      <c r="AC2758">
        <v>1</v>
      </c>
      <c r="AD2758">
        <v>0</v>
      </c>
      <c r="AE2758">
        <v>0</v>
      </c>
      <c r="AF2758">
        <v>1</v>
      </c>
      <c r="AK2758">
        <v>7</v>
      </c>
      <c r="AL2758">
        <v>4</v>
      </c>
      <c r="AM2758">
        <v>0</v>
      </c>
      <c r="AN2758">
        <v>0</v>
      </c>
      <c r="AT2758">
        <v>0</v>
      </c>
      <c r="AU2758">
        <v>15</v>
      </c>
      <c r="AV2758">
        <v>350</v>
      </c>
      <c r="AW2758">
        <v>345</v>
      </c>
      <c r="AX2758">
        <v>523</v>
      </c>
      <c r="BA2758">
        <v>1</v>
      </c>
      <c r="BC2758" t="s">
        <v>5618</v>
      </c>
      <c r="BD2758" s="4">
        <v>43282.990925925929</v>
      </c>
      <c r="BE2758" s="4">
        <v>43282.994097222225</v>
      </c>
      <c r="BF2758" s="4">
        <v>43282.994097222225</v>
      </c>
      <c r="BG2758" t="s">
        <v>373</v>
      </c>
      <c r="BH2758" t="s">
        <v>374</v>
      </c>
      <c r="BI2758" t="s">
        <v>85</v>
      </c>
    </row>
    <row r="2759" spans="1:61" x14ac:dyDescent="0.3">
      <c r="A2759" t="str">
        <f>"200579C0100"</f>
        <v>200579C0100</v>
      </c>
      <c r="B2759" t="s">
        <v>5619</v>
      </c>
      <c r="C2759">
        <v>20</v>
      </c>
      <c r="D2759" t="s">
        <v>79</v>
      </c>
      <c r="E2759">
        <v>13</v>
      </c>
      <c r="F2759" t="s">
        <v>5455</v>
      </c>
      <c r="G2759">
        <v>579</v>
      </c>
      <c r="H2759">
        <v>1</v>
      </c>
      <c r="I2759" t="s">
        <v>89</v>
      </c>
      <c r="J2759">
        <v>0</v>
      </c>
      <c r="K2759">
        <v>1</v>
      </c>
      <c r="L2759">
        <v>2</v>
      </c>
      <c r="M2759">
        <v>212</v>
      </c>
      <c r="N2759">
        <v>333</v>
      </c>
      <c r="O2759">
        <v>3</v>
      </c>
      <c r="P2759">
        <v>333</v>
      </c>
      <c r="Q2759">
        <v>26</v>
      </c>
      <c r="R2759">
        <v>44</v>
      </c>
      <c r="S2759">
        <v>9</v>
      </c>
      <c r="T2759">
        <v>12</v>
      </c>
      <c r="U2759">
        <v>22</v>
      </c>
      <c r="V2759">
        <v>7</v>
      </c>
      <c r="W2759">
        <v>8</v>
      </c>
      <c r="X2759">
        <v>4</v>
      </c>
      <c r="Y2759">
        <v>156</v>
      </c>
      <c r="Z2759">
        <v>6</v>
      </c>
      <c r="AA2759">
        <v>4</v>
      </c>
      <c r="AB2759">
        <v>6</v>
      </c>
      <c r="AC2759">
        <v>1</v>
      </c>
      <c r="AD2759">
        <v>0</v>
      </c>
      <c r="AE2759">
        <v>0</v>
      </c>
      <c r="AF2759">
        <v>0</v>
      </c>
      <c r="AK2759">
        <v>9</v>
      </c>
      <c r="AL2759">
        <v>2</v>
      </c>
      <c r="AM2759">
        <v>0</v>
      </c>
      <c r="AN2759">
        <v>3</v>
      </c>
      <c r="AT2759" t="s">
        <v>100</v>
      </c>
      <c r="AU2759">
        <v>14</v>
      </c>
      <c r="AV2759">
        <v>333</v>
      </c>
      <c r="AW2759">
        <v>333</v>
      </c>
      <c r="AX2759">
        <v>523</v>
      </c>
      <c r="AZ2759" t="s">
        <v>101</v>
      </c>
      <c r="BA2759">
        <v>1</v>
      </c>
      <c r="BC2759" t="s">
        <v>5620</v>
      </c>
      <c r="BD2759" s="4">
        <v>43283.106249999997</v>
      </c>
      <c r="BE2759" s="4">
        <v>43283.109837962962</v>
      </c>
      <c r="BF2759" s="4">
        <v>43283.109837962962</v>
      </c>
      <c r="BG2759" t="s">
        <v>83</v>
      </c>
      <c r="BH2759" t="s">
        <v>84</v>
      </c>
      <c r="BI2759" t="s">
        <v>85</v>
      </c>
    </row>
    <row r="2760" spans="1:61" x14ac:dyDescent="0.3">
      <c r="A2760" t="str">
        <f>"200579C0200"</f>
        <v>200579C0200</v>
      </c>
      <c r="B2760" t="s">
        <v>5621</v>
      </c>
      <c r="C2760">
        <v>20</v>
      </c>
      <c r="D2760" t="s">
        <v>79</v>
      </c>
      <c r="E2760">
        <v>13</v>
      </c>
      <c r="F2760" t="s">
        <v>5455</v>
      </c>
      <c r="G2760">
        <v>579</v>
      </c>
      <c r="H2760">
        <v>2</v>
      </c>
      <c r="I2760" t="s">
        <v>89</v>
      </c>
      <c r="J2760">
        <v>0</v>
      </c>
      <c r="K2760">
        <v>1</v>
      </c>
      <c r="L2760">
        <v>2</v>
      </c>
      <c r="M2760">
        <v>206</v>
      </c>
      <c r="N2760">
        <v>339</v>
      </c>
      <c r="O2760">
        <v>5</v>
      </c>
      <c r="P2760">
        <v>339</v>
      </c>
      <c r="Q2760">
        <v>33</v>
      </c>
      <c r="R2760">
        <v>49</v>
      </c>
      <c r="S2760">
        <v>3</v>
      </c>
      <c r="T2760">
        <v>10</v>
      </c>
      <c r="U2760">
        <v>19</v>
      </c>
      <c r="V2760">
        <v>8</v>
      </c>
      <c r="W2760">
        <v>4</v>
      </c>
      <c r="X2760">
        <v>8</v>
      </c>
      <c r="Y2760">
        <v>167</v>
      </c>
      <c r="Z2760">
        <v>7</v>
      </c>
      <c r="AA2760">
        <v>2</v>
      </c>
      <c r="AB2760">
        <v>9</v>
      </c>
      <c r="AC2760">
        <v>0</v>
      </c>
      <c r="AD2760">
        <v>0</v>
      </c>
      <c r="AE2760">
        <v>0</v>
      </c>
      <c r="AF2760">
        <v>0</v>
      </c>
      <c r="AK2760">
        <v>9</v>
      </c>
      <c r="AL2760">
        <v>1</v>
      </c>
      <c r="AM2760">
        <v>1</v>
      </c>
      <c r="AN2760">
        <v>1</v>
      </c>
      <c r="AT2760">
        <v>0</v>
      </c>
      <c r="AU2760">
        <v>8</v>
      </c>
      <c r="AV2760">
        <v>339</v>
      </c>
      <c r="AW2760">
        <v>339</v>
      </c>
      <c r="AX2760">
        <v>523</v>
      </c>
      <c r="BA2760">
        <v>1</v>
      </c>
      <c r="BC2760" t="s">
        <v>5622</v>
      </c>
      <c r="BD2760" s="4">
        <v>43282.98809027778</v>
      </c>
      <c r="BE2760" s="4">
        <v>43282.993541666663</v>
      </c>
      <c r="BF2760" s="4">
        <v>43282.993541666663</v>
      </c>
      <c r="BG2760" t="s">
        <v>373</v>
      </c>
      <c r="BH2760" t="s">
        <v>374</v>
      </c>
      <c r="BI2760" t="s">
        <v>85</v>
      </c>
    </row>
    <row r="2761" spans="1:61" x14ac:dyDescent="0.3">
      <c r="A2761" t="str">
        <f>"200580B0100"</f>
        <v>200580B0100</v>
      </c>
      <c r="B2761" t="s">
        <v>5623</v>
      </c>
      <c r="C2761">
        <v>20</v>
      </c>
      <c r="D2761" t="s">
        <v>79</v>
      </c>
      <c r="E2761">
        <v>13</v>
      </c>
      <c r="F2761" t="s">
        <v>5455</v>
      </c>
      <c r="G2761">
        <v>580</v>
      </c>
      <c r="H2761">
        <v>1</v>
      </c>
      <c r="I2761" t="s">
        <v>81</v>
      </c>
      <c r="J2761">
        <v>0</v>
      </c>
      <c r="K2761">
        <v>1</v>
      </c>
      <c r="L2761">
        <v>2</v>
      </c>
      <c r="M2761">
        <v>177</v>
      </c>
      <c r="N2761">
        <v>435</v>
      </c>
      <c r="O2761">
        <v>10</v>
      </c>
      <c r="P2761">
        <v>436</v>
      </c>
      <c r="Q2761">
        <v>35</v>
      </c>
      <c r="R2761">
        <v>73</v>
      </c>
      <c r="S2761">
        <v>7</v>
      </c>
      <c r="T2761">
        <v>8</v>
      </c>
      <c r="U2761">
        <v>13</v>
      </c>
      <c r="V2761">
        <v>4</v>
      </c>
      <c r="W2761">
        <v>6</v>
      </c>
      <c r="X2761">
        <v>3</v>
      </c>
      <c r="Y2761">
        <v>210</v>
      </c>
      <c r="Z2761">
        <v>7</v>
      </c>
      <c r="AA2761">
        <v>2</v>
      </c>
      <c r="AB2761">
        <v>26</v>
      </c>
      <c r="AC2761">
        <v>1</v>
      </c>
      <c r="AD2761">
        <v>1</v>
      </c>
      <c r="AE2761">
        <v>0</v>
      </c>
      <c r="AF2761">
        <v>0</v>
      </c>
      <c r="AK2761">
        <v>8</v>
      </c>
      <c r="AL2761">
        <v>0</v>
      </c>
      <c r="AM2761">
        <v>0</v>
      </c>
      <c r="AN2761">
        <v>2</v>
      </c>
      <c r="AT2761">
        <v>2</v>
      </c>
      <c r="AU2761">
        <v>28</v>
      </c>
      <c r="AV2761">
        <v>436</v>
      </c>
      <c r="AW2761">
        <v>436</v>
      </c>
      <c r="AX2761">
        <v>591</v>
      </c>
      <c r="BA2761">
        <v>1</v>
      </c>
      <c r="BC2761" t="s">
        <v>5624</v>
      </c>
      <c r="BD2761" s="4">
        <v>43282.934120370373</v>
      </c>
      <c r="BE2761" s="4">
        <v>43282.937361111108</v>
      </c>
      <c r="BF2761" s="4">
        <v>43282.937361111108</v>
      </c>
      <c r="BG2761" t="s">
        <v>373</v>
      </c>
      <c r="BH2761" t="s">
        <v>374</v>
      </c>
      <c r="BI2761" t="s">
        <v>85</v>
      </c>
    </row>
    <row r="2762" spans="1:61" x14ac:dyDescent="0.3">
      <c r="A2762" t="str">
        <f>"200580C0100"</f>
        <v>200580C0100</v>
      </c>
      <c r="B2762" t="s">
        <v>5625</v>
      </c>
      <c r="C2762">
        <v>20</v>
      </c>
      <c r="D2762" t="s">
        <v>79</v>
      </c>
      <c r="E2762">
        <v>13</v>
      </c>
      <c r="F2762" t="s">
        <v>5455</v>
      </c>
      <c r="G2762">
        <v>580</v>
      </c>
      <c r="H2762">
        <v>1</v>
      </c>
      <c r="I2762" t="s">
        <v>89</v>
      </c>
      <c r="J2762">
        <v>0</v>
      </c>
      <c r="K2762">
        <v>1</v>
      </c>
      <c r="L2762">
        <v>2</v>
      </c>
      <c r="M2762">
        <v>166</v>
      </c>
      <c r="N2762">
        <v>444</v>
      </c>
      <c r="O2762">
        <v>10</v>
      </c>
      <c r="P2762">
        <v>451</v>
      </c>
      <c r="Q2762">
        <v>45</v>
      </c>
      <c r="R2762">
        <v>79</v>
      </c>
      <c r="S2762">
        <v>9</v>
      </c>
      <c r="T2762">
        <v>11</v>
      </c>
      <c r="U2762">
        <v>19</v>
      </c>
      <c r="V2762">
        <v>11</v>
      </c>
      <c r="W2762">
        <v>8</v>
      </c>
      <c r="X2762">
        <v>2</v>
      </c>
      <c r="Y2762">
        <v>218</v>
      </c>
      <c r="Z2762">
        <v>4</v>
      </c>
      <c r="AA2762">
        <v>3</v>
      </c>
      <c r="AB2762">
        <v>16</v>
      </c>
      <c r="AC2762">
        <v>1</v>
      </c>
      <c r="AD2762">
        <v>1</v>
      </c>
      <c r="AE2762">
        <v>0</v>
      </c>
      <c r="AF2762">
        <v>0</v>
      </c>
      <c r="AK2762">
        <v>4</v>
      </c>
      <c r="AL2762">
        <v>2</v>
      </c>
      <c r="AM2762" t="s">
        <v>100</v>
      </c>
      <c r="AN2762">
        <v>2</v>
      </c>
      <c r="AT2762">
        <v>2</v>
      </c>
      <c r="AU2762">
        <v>14</v>
      </c>
      <c r="AV2762">
        <v>451</v>
      </c>
      <c r="AW2762">
        <v>451</v>
      </c>
      <c r="AX2762">
        <v>591</v>
      </c>
      <c r="AZ2762" t="s">
        <v>101</v>
      </c>
      <c r="BA2762">
        <v>1</v>
      </c>
      <c r="BC2762" t="s">
        <v>5626</v>
      </c>
      <c r="BD2762" s="4">
        <v>43283.111111111109</v>
      </c>
      <c r="BE2762" s="4">
        <v>43283.115347222221</v>
      </c>
      <c r="BF2762" s="4">
        <v>43283.115347222221</v>
      </c>
      <c r="BG2762" t="s">
        <v>83</v>
      </c>
      <c r="BH2762" t="s">
        <v>84</v>
      </c>
      <c r="BI2762" t="s">
        <v>85</v>
      </c>
    </row>
    <row r="2763" spans="1:61" x14ac:dyDescent="0.3">
      <c r="A2763" t="str">
        <f>"200581B0100"</f>
        <v>200581B0100</v>
      </c>
      <c r="B2763" t="s">
        <v>5627</v>
      </c>
      <c r="C2763">
        <v>20</v>
      </c>
      <c r="D2763" t="s">
        <v>79</v>
      </c>
      <c r="E2763">
        <v>13</v>
      </c>
      <c r="F2763" t="s">
        <v>5455</v>
      </c>
      <c r="G2763">
        <v>581</v>
      </c>
      <c r="H2763">
        <v>1</v>
      </c>
      <c r="I2763" t="s">
        <v>81</v>
      </c>
      <c r="J2763">
        <v>0</v>
      </c>
      <c r="K2763">
        <v>1</v>
      </c>
      <c r="L2763">
        <v>2</v>
      </c>
      <c r="M2763">
        <v>270</v>
      </c>
      <c r="N2763">
        <v>375</v>
      </c>
      <c r="O2763">
        <v>7</v>
      </c>
      <c r="P2763">
        <v>371</v>
      </c>
      <c r="Q2763">
        <v>50</v>
      </c>
      <c r="R2763">
        <v>31</v>
      </c>
      <c r="S2763">
        <v>5</v>
      </c>
      <c r="T2763">
        <v>10</v>
      </c>
      <c r="U2763">
        <v>17</v>
      </c>
      <c r="V2763">
        <v>7</v>
      </c>
      <c r="W2763">
        <v>8</v>
      </c>
      <c r="X2763">
        <v>2</v>
      </c>
      <c r="Y2763">
        <v>189</v>
      </c>
      <c r="Z2763">
        <v>12</v>
      </c>
      <c r="AA2763">
        <v>6</v>
      </c>
      <c r="AB2763">
        <v>13</v>
      </c>
      <c r="AC2763">
        <v>0</v>
      </c>
      <c r="AD2763">
        <v>0</v>
      </c>
      <c r="AE2763">
        <v>0</v>
      </c>
      <c r="AF2763">
        <v>0</v>
      </c>
      <c r="AK2763">
        <v>5</v>
      </c>
      <c r="AL2763">
        <v>1</v>
      </c>
      <c r="AM2763">
        <v>0</v>
      </c>
      <c r="AN2763">
        <v>0</v>
      </c>
      <c r="AT2763">
        <v>0</v>
      </c>
      <c r="AU2763">
        <v>15</v>
      </c>
      <c r="AV2763">
        <v>371</v>
      </c>
      <c r="AW2763">
        <v>371</v>
      </c>
      <c r="AX2763">
        <v>623</v>
      </c>
      <c r="BA2763">
        <v>1</v>
      </c>
      <c r="BC2763" t="s">
        <v>5628</v>
      </c>
      <c r="BD2763" s="4">
        <v>43283.101388888892</v>
      </c>
      <c r="BE2763" s="4">
        <v>43283.105856481481</v>
      </c>
      <c r="BF2763" s="4">
        <v>43283.105856481481</v>
      </c>
      <c r="BG2763" t="s">
        <v>83</v>
      </c>
      <c r="BH2763" t="s">
        <v>84</v>
      </c>
      <c r="BI2763" t="s">
        <v>85</v>
      </c>
    </row>
    <row r="2764" spans="1:61" x14ac:dyDescent="0.3">
      <c r="A2764" t="str">
        <f>"200581C0100"</f>
        <v>200581C0100</v>
      </c>
      <c r="B2764" t="s">
        <v>5629</v>
      </c>
      <c r="C2764">
        <v>20</v>
      </c>
      <c r="D2764" t="s">
        <v>79</v>
      </c>
      <c r="E2764">
        <v>13</v>
      </c>
      <c r="F2764" t="s">
        <v>5455</v>
      </c>
      <c r="G2764">
        <v>581</v>
      </c>
      <c r="H2764">
        <v>1</v>
      </c>
      <c r="I2764" t="s">
        <v>89</v>
      </c>
      <c r="J2764">
        <v>0</v>
      </c>
      <c r="K2764">
        <v>1</v>
      </c>
      <c r="L2764">
        <v>2</v>
      </c>
      <c r="M2764">
        <v>286</v>
      </c>
      <c r="N2764">
        <v>361</v>
      </c>
      <c r="O2764">
        <v>10</v>
      </c>
      <c r="P2764">
        <v>362</v>
      </c>
      <c r="Q2764">
        <v>65</v>
      </c>
      <c r="R2764">
        <v>33</v>
      </c>
      <c r="S2764">
        <v>5</v>
      </c>
      <c r="T2764">
        <v>10</v>
      </c>
      <c r="U2764">
        <v>15</v>
      </c>
      <c r="V2764">
        <v>3</v>
      </c>
      <c r="W2764">
        <v>7</v>
      </c>
      <c r="X2764">
        <v>4</v>
      </c>
      <c r="Y2764">
        <v>180</v>
      </c>
      <c r="Z2764">
        <v>11</v>
      </c>
      <c r="AA2764">
        <v>1</v>
      </c>
      <c r="AB2764">
        <v>17</v>
      </c>
      <c r="AC2764">
        <v>1</v>
      </c>
      <c r="AD2764">
        <v>0</v>
      </c>
      <c r="AE2764">
        <v>0</v>
      </c>
      <c r="AF2764">
        <v>0</v>
      </c>
      <c r="AK2764">
        <v>3</v>
      </c>
      <c r="AL2764">
        <v>1</v>
      </c>
      <c r="AM2764">
        <v>0</v>
      </c>
      <c r="AN2764">
        <v>2</v>
      </c>
      <c r="AT2764">
        <v>0</v>
      </c>
      <c r="AU2764">
        <v>6</v>
      </c>
      <c r="AV2764">
        <v>364</v>
      </c>
      <c r="AW2764">
        <v>364</v>
      </c>
      <c r="AX2764">
        <v>623</v>
      </c>
      <c r="BA2764">
        <v>1</v>
      </c>
      <c r="BC2764" t="s">
        <v>5630</v>
      </c>
      <c r="BD2764" s="4">
        <v>43283.103472222225</v>
      </c>
      <c r="BE2764" s="4">
        <v>43283.109074074076</v>
      </c>
      <c r="BF2764" s="4">
        <v>43283.109074074076</v>
      </c>
      <c r="BG2764" t="s">
        <v>83</v>
      </c>
      <c r="BH2764" t="s">
        <v>84</v>
      </c>
      <c r="BI2764" t="s">
        <v>85</v>
      </c>
    </row>
    <row r="2765" spans="1:61" x14ac:dyDescent="0.3">
      <c r="A2765" t="str">
        <f>"200581S0100"</f>
        <v>200581S0100</v>
      </c>
      <c r="B2765" t="s">
        <v>5631</v>
      </c>
      <c r="C2765">
        <v>20</v>
      </c>
      <c r="D2765" t="s">
        <v>79</v>
      </c>
      <c r="E2765">
        <v>13</v>
      </c>
      <c r="F2765" t="s">
        <v>5455</v>
      </c>
      <c r="G2765">
        <v>581</v>
      </c>
      <c r="H2765">
        <v>1</v>
      </c>
      <c r="I2765" t="s">
        <v>104</v>
      </c>
      <c r="J2765">
        <v>0</v>
      </c>
      <c r="K2765">
        <v>1</v>
      </c>
      <c r="L2765">
        <v>3</v>
      </c>
      <c r="M2765" t="s">
        <v>100</v>
      </c>
      <c r="N2765">
        <v>636</v>
      </c>
      <c r="O2765">
        <v>0</v>
      </c>
      <c r="P2765">
        <v>636</v>
      </c>
      <c r="Q2765">
        <v>17</v>
      </c>
      <c r="R2765">
        <v>23</v>
      </c>
      <c r="S2765">
        <v>9</v>
      </c>
      <c r="T2765">
        <v>4</v>
      </c>
      <c r="U2765">
        <v>44</v>
      </c>
      <c r="V2765">
        <v>1</v>
      </c>
      <c r="W2765">
        <v>5</v>
      </c>
      <c r="X2765">
        <v>8</v>
      </c>
      <c r="Y2765">
        <v>453</v>
      </c>
      <c r="Z2765">
        <v>12</v>
      </c>
      <c r="AA2765">
        <v>4</v>
      </c>
      <c r="AB2765">
        <v>6</v>
      </c>
      <c r="AC2765">
        <v>1</v>
      </c>
      <c r="AD2765">
        <v>0</v>
      </c>
      <c r="AE2765">
        <v>0</v>
      </c>
      <c r="AF2765">
        <v>0</v>
      </c>
      <c r="AK2765">
        <v>8</v>
      </c>
      <c r="AL2765">
        <v>6</v>
      </c>
      <c r="AM2765">
        <v>7</v>
      </c>
      <c r="AN2765">
        <v>0</v>
      </c>
      <c r="AT2765">
        <v>0</v>
      </c>
      <c r="AU2765">
        <v>28</v>
      </c>
      <c r="AV2765">
        <v>636</v>
      </c>
      <c r="AW2765">
        <v>636</v>
      </c>
      <c r="AX2765">
        <v>0</v>
      </c>
      <c r="BA2765">
        <v>1</v>
      </c>
      <c r="BC2765" t="s">
        <v>5632</v>
      </c>
      <c r="BD2765" s="4">
        <v>43283.101388888892</v>
      </c>
      <c r="BE2765" s="4">
        <v>43283.105196759258</v>
      </c>
      <c r="BF2765" s="4">
        <v>43283.105196759258</v>
      </c>
      <c r="BG2765" t="s">
        <v>83</v>
      </c>
      <c r="BH2765" t="s">
        <v>84</v>
      </c>
      <c r="BI2765" t="s">
        <v>85</v>
      </c>
    </row>
    <row r="2766" spans="1:61" x14ac:dyDescent="0.3">
      <c r="A2766" t="str">
        <f>"200582B0100"</f>
        <v>200582B0100</v>
      </c>
      <c r="B2766" t="s">
        <v>5633</v>
      </c>
      <c r="C2766">
        <v>20</v>
      </c>
      <c r="D2766" t="s">
        <v>79</v>
      </c>
      <c r="E2766">
        <v>13</v>
      </c>
      <c r="F2766" t="s">
        <v>5455</v>
      </c>
      <c r="G2766">
        <v>582</v>
      </c>
      <c r="H2766">
        <v>1</v>
      </c>
      <c r="I2766" t="s">
        <v>81</v>
      </c>
      <c r="J2766">
        <v>0</v>
      </c>
      <c r="K2766">
        <v>1</v>
      </c>
      <c r="L2766">
        <v>2</v>
      </c>
      <c r="M2766">
        <v>222</v>
      </c>
      <c r="N2766">
        <v>433</v>
      </c>
      <c r="O2766">
        <v>7</v>
      </c>
      <c r="P2766" t="s">
        <v>100</v>
      </c>
      <c r="Q2766">
        <v>64</v>
      </c>
      <c r="R2766">
        <v>66</v>
      </c>
      <c r="S2766">
        <v>6</v>
      </c>
      <c r="T2766">
        <v>6</v>
      </c>
      <c r="U2766">
        <v>13</v>
      </c>
      <c r="V2766">
        <v>8</v>
      </c>
      <c r="W2766">
        <v>7</v>
      </c>
      <c r="X2766">
        <v>6</v>
      </c>
      <c r="Y2766">
        <v>215</v>
      </c>
      <c r="Z2766">
        <v>4</v>
      </c>
      <c r="AA2766">
        <v>4</v>
      </c>
      <c r="AB2766">
        <v>8</v>
      </c>
      <c r="AC2766">
        <v>0</v>
      </c>
      <c r="AD2766">
        <v>1</v>
      </c>
      <c r="AE2766">
        <v>0</v>
      </c>
      <c r="AF2766">
        <v>0</v>
      </c>
      <c r="AK2766">
        <v>3</v>
      </c>
      <c r="AL2766">
        <v>2</v>
      </c>
      <c r="AM2766">
        <v>0</v>
      </c>
      <c r="AN2766">
        <v>2</v>
      </c>
      <c r="AT2766">
        <v>1</v>
      </c>
      <c r="AU2766">
        <v>10</v>
      </c>
      <c r="AV2766">
        <v>426</v>
      </c>
      <c r="AW2766">
        <v>426</v>
      </c>
      <c r="AX2766">
        <v>632</v>
      </c>
      <c r="BA2766">
        <v>1</v>
      </c>
      <c r="BC2766" t="s">
        <v>5634</v>
      </c>
      <c r="BD2766" s="4">
        <v>43283.102083333331</v>
      </c>
      <c r="BE2766" s="4">
        <v>43283.10670138889</v>
      </c>
      <c r="BF2766" s="4">
        <v>43283.10670138889</v>
      </c>
      <c r="BG2766" t="s">
        <v>83</v>
      </c>
      <c r="BH2766" t="s">
        <v>84</v>
      </c>
      <c r="BI2766" t="s">
        <v>85</v>
      </c>
    </row>
    <row r="2767" spans="1:61" x14ac:dyDescent="0.3">
      <c r="A2767" t="str">
        <f>"200582C0100"</f>
        <v>200582C0100</v>
      </c>
      <c r="B2767" t="s">
        <v>5635</v>
      </c>
      <c r="C2767">
        <v>20</v>
      </c>
      <c r="D2767" t="s">
        <v>79</v>
      </c>
      <c r="E2767">
        <v>13</v>
      </c>
      <c r="F2767" t="s">
        <v>5455</v>
      </c>
      <c r="G2767">
        <v>582</v>
      </c>
      <c r="H2767">
        <v>1</v>
      </c>
      <c r="I2767" t="s">
        <v>89</v>
      </c>
      <c r="J2767">
        <v>0</v>
      </c>
      <c r="K2767">
        <v>1</v>
      </c>
      <c r="L2767">
        <v>2</v>
      </c>
      <c r="M2767" t="s">
        <v>315</v>
      </c>
      <c r="N2767" t="s">
        <v>315</v>
      </c>
      <c r="O2767" t="s">
        <v>315</v>
      </c>
      <c r="P2767" t="s">
        <v>315</v>
      </c>
      <c r="Q2767">
        <v>46</v>
      </c>
      <c r="R2767">
        <v>56</v>
      </c>
      <c r="S2767">
        <v>6</v>
      </c>
      <c r="T2767">
        <v>6</v>
      </c>
      <c r="U2767">
        <v>14</v>
      </c>
      <c r="V2767">
        <v>3</v>
      </c>
      <c r="W2767">
        <v>5</v>
      </c>
      <c r="X2767">
        <v>7</v>
      </c>
      <c r="Y2767">
        <v>156</v>
      </c>
      <c r="Z2767">
        <v>8</v>
      </c>
      <c r="AA2767">
        <v>2</v>
      </c>
      <c r="AB2767">
        <v>14</v>
      </c>
      <c r="AC2767">
        <v>3</v>
      </c>
      <c r="AD2767">
        <v>0</v>
      </c>
      <c r="AE2767">
        <v>0</v>
      </c>
      <c r="AF2767">
        <v>0</v>
      </c>
      <c r="AK2767">
        <v>10</v>
      </c>
      <c r="AL2767">
        <v>2</v>
      </c>
      <c r="AM2767">
        <v>0</v>
      </c>
      <c r="AN2767">
        <v>1</v>
      </c>
      <c r="AT2767">
        <v>0</v>
      </c>
      <c r="AU2767">
        <v>14</v>
      </c>
      <c r="AV2767">
        <v>393</v>
      </c>
      <c r="AW2767">
        <v>353</v>
      </c>
      <c r="AX2767">
        <v>631</v>
      </c>
      <c r="BA2767">
        <v>1</v>
      </c>
      <c r="BC2767" t="s">
        <v>5636</v>
      </c>
      <c r="BD2767" s="4">
        <v>43283.102083333331</v>
      </c>
      <c r="BE2767" s="4">
        <v>43283.110856481479</v>
      </c>
      <c r="BF2767" s="4">
        <v>43283.110856481479</v>
      </c>
      <c r="BG2767" t="s">
        <v>83</v>
      </c>
      <c r="BH2767" t="s">
        <v>84</v>
      </c>
      <c r="BI2767" t="s">
        <v>85</v>
      </c>
    </row>
    <row r="2768" spans="1:61" x14ac:dyDescent="0.3">
      <c r="A2768" t="str">
        <f>"200583B0100"</f>
        <v>200583B0100</v>
      </c>
      <c r="B2768" t="s">
        <v>5637</v>
      </c>
      <c r="C2768">
        <v>20</v>
      </c>
      <c r="D2768" t="s">
        <v>79</v>
      </c>
      <c r="E2768">
        <v>13</v>
      </c>
      <c r="F2768" t="s">
        <v>5455</v>
      </c>
      <c r="G2768">
        <v>583</v>
      </c>
      <c r="H2768">
        <v>1</v>
      </c>
      <c r="I2768" t="s">
        <v>81</v>
      </c>
      <c r="J2768">
        <v>0</v>
      </c>
      <c r="K2768">
        <v>1</v>
      </c>
      <c r="L2768">
        <v>2</v>
      </c>
      <c r="M2768">
        <v>168</v>
      </c>
      <c r="N2768">
        <v>419</v>
      </c>
      <c r="O2768">
        <v>11</v>
      </c>
      <c r="P2768">
        <v>397</v>
      </c>
      <c r="Q2768">
        <v>87</v>
      </c>
      <c r="R2768">
        <v>83</v>
      </c>
      <c r="S2768">
        <v>9</v>
      </c>
      <c r="T2768">
        <v>14</v>
      </c>
      <c r="U2768">
        <v>13</v>
      </c>
      <c r="V2768">
        <v>8</v>
      </c>
      <c r="W2768">
        <v>8</v>
      </c>
      <c r="X2768">
        <v>2</v>
      </c>
      <c r="Y2768">
        <v>147</v>
      </c>
      <c r="Z2768">
        <v>4</v>
      </c>
      <c r="AA2768">
        <v>5</v>
      </c>
      <c r="AB2768">
        <v>21</v>
      </c>
      <c r="AC2768">
        <v>2</v>
      </c>
      <c r="AD2768">
        <v>1</v>
      </c>
      <c r="AE2768">
        <v>0</v>
      </c>
      <c r="AF2768">
        <v>0</v>
      </c>
      <c r="AK2768">
        <v>4</v>
      </c>
      <c r="AL2768">
        <v>2</v>
      </c>
      <c r="AM2768">
        <v>0</v>
      </c>
      <c r="AN2768">
        <v>0</v>
      </c>
      <c r="AT2768">
        <v>1</v>
      </c>
      <c r="AU2768">
        <v>15</v>
      </c>
      <c r="AV2768">
        <v>401</v>
      </c>
      <c r="AW2768">
        <v>426</v>
      </c>
      <c r="AX2768">
        <v>567</v>
      </c>
      <c r="BA2768">
        <v>1</v>
      </c>
      <c r="BC2768" t="s">
        <v>5638</v>
      </c>
      <c r="BD2768" s="4">
        <v>43283.12222222222</v>
      </c>
      <c r="BE2768" s="4">
        <v>43283.144166666665</v>
      </c>
      <c r="BF2768" s="4">
        <v>43283.144166666665</v>
      </c>
      <c r="BG2768" t="s">
        <v>83</v>
      </c>
      <c r="BH2768" t="s">
        <v>84</v>
      </c>
      <c r="BI2768" t="s">
        <v>85</v>
      </c>
    </row>
    <row r="2769" spans="1:61" x14ac:dyDescent="0.3">
      <c r="A2769" t="str">
        <f>"200583C0100"</f>
        <v>200583C0100</v>
      </c>
      <c r="B2769" t="s">
        <v>5639</v>
      </c>
      <c r="C2769">
        <v>20</v>
      </c>
      <c r="D2769" t="s">
        <v>79</v>
      </c>
      <c r="E2769">
        <v>13</v>
      </c>
      <c r="F2769" t="s">
        <v>5455</v>
      </c>
      <c r="G2769">
        <v>583</v>
      </c>
      <c r="H2769">
        <v>1</v>
      </c>
      <c r="I2769" t="s">
        <v>89</v>
      </c>
      <c r="J2769">
        <v>0</v>
      </c>
      <c r="K2769">
        <v>1</v>
      </c>
      <c r="L2769">
        <v>2</v>
      </c>
      <c r="M2769">
        <v>199</v>
      </c>
      <c r="N2769">
        <v>389</v>
      </c>
      <c r="O2769">
        <v>6</v>
      </c>
      <c r="P2769">
        <v>384</v>
      </c>
      <c r="Q2769">
        <v>79</v>
      </c>
      <c r="R2769">
        <v>73</v>
      </c>
      <c r="S2769">
        <v>6</v>
      </c>
      <c r="T2769">
        <v>10</v>
      </c>
      <c r="U2769">
        <v>12</v>
      </c>
      <c r="V2769">
        <v>7</v>
      </c>
      <c r="W2769">
        <v>6</v>
      </c>
      <c r="X2769">
        <v>5</v>
      </c>
      <c r="Y2769">
        <v>148</v>
      </c>
      <c r="Z2769">
        <v>4</v>
      </c>
      <c r="AA2769">
        <v>4</v>
      </c>
      <c r="AB2769">
        <v>17</v>
      </c>
      <c r="AC2769">
        <v>1</v>
      </c>
      <c r="AD2769">
        <v>0</v>
      </c>
      <c r="AE2769">
        <v>0</v>
      </c>
      <c r="AF2769">
        <v>0</v>
      </c>
      <c r="AK2769">
        <v>1</v>
      </c>
      <c r="AL2769">
        <v>1</v>
      </c>
      <c r="AM2769">
        <v>0</v>
      </c>
      <c r="AN2769">
        <v>1</v>
      </c>
      <c r="AT2769">
        <v>0</v>
      </c>
      <c r="AU2769">
        <v>9</v>
      </c>
      <c r="AV2769">
        <v>384</v>
      </c>
      <c r="AW2769">
        <v>384</v>
      </c>
      <c r="AX2769">
        <v>566</v>
      </c>
      <c r="BA2769">
        <v>1</v>
      </c>
      <c r="BC2769" t="s">
        <v>5640</v>
      </c>
      <c r="BD2769" s="4">
        <v>43283.123611111114</v>
      </c>
      <c r="BE2769" s="4">
        <v>43283.127245370371</v>
      </c>
      <c r="BF2769" s="4">
        <v>43283.127245370371</v>
      </c>
      <c r="BG2769" t="s">
        <v>83</v>
      </c>
      <c r="BH2769" t="s">
        <v>84</v>
      </c>
      <c r="BI2769" t="s">
        <v>85</v>
      </c>
    </row>
    <row r="2770" spans="1:61" x14ac:dyDescent="0.3">
      <c r="A2770" t="str">
        <f>"200584B0100"</f>
        <v>200584B0100</v>
      </c>
      <c r="B2770" t="s">
        <v>5641</v>
      </c>
      <c r="C2770">
        <v>20</v>
      </c>
      <c r="D2770" t="s">
        <v>79</v>
      </c>
      <c r="E2770">
        <v>13</v>
      </c>
      <c r="F2770" t="s">
        <v>5455</v>
      </c>
      <c r="G2770">
        <v>584</v>
      </c>
      <c r="H2770">
        <v>1</v>
      </c>
      <c r="I2770" t="s">
        <v>81</v>
      </c>
      <c r="J2770">
        <v>0</v>
      </c>
      <c r="K2770">
        <v>1</v>
      </c>
      <c r="L2770">
        <v>2</v>
      </c>
      <c r="M2770">
        <v>139</v>
      </c>
      <c r="N2770">
        <v>311</v>
      </c>
      <c r="O2770">
        <v>6</v>
      </c>
      <c r="P2770">
        <v>311</v>
      </c>
      <c r="Q2770">
        <v>55</v>
      </c>
      <c r="R2770">
        <v>58</v>
      </c>
      <c r="S2770">
        <v>12</v>
      </c>
      <c r="T2770">
        <v>6</v>
      </c>
      <c r="U2770">
        <v>8</v>
      </c>
      <c r="V2770">
        <v>2</v>
      </c>
      <c r="W2770">
        <v>2</v>
      </c>
      <c r="X2770">
        <v>3</v>
      </c>
      <c r="Y2770">
        <v>128</v>
      </c>
      <c r="Z2770">
        <v>6</v>
      </c>
      <c r="AA2770">
        <v>1</v>
      </c>
      <c r="AB2770">
        <v>12</v>
      </c>
      <c r="AC2770">
        <v>0</v>
      </c>
      <c r="AD2770">
        <v>0</v>
      </c>
      <c r="AE2770">
        <v>0</v>
      </c>
      <c r="AF2770">
        <v>0</v>
      </c>
      <c r="AK2770">
        <v>7</v>
      </c>
      <c r="AL2770">
        <v>1</v>
      </c>
      <c r="AM2770">
        <v>0</v>
      </c>
      <c r="AN2770">
        <v>0</v>
      </c>
      <c r="AT2770">
        <v>0</v>
      </c>
      <c r="AU2770">
        <v>10</v>
      </c>
      <c r="AV2770">
        <v>311</v>
      </c>
      <c r="AW2770">
        <v>311</v>
      </c>
      <c r="AX2770">
        <v>428</v>
      </c>
      <c r="BA2770">
        <v>1</v>
      </c>
      <c r="BC2770" t="s">
        <v>5642</v>
      </c>
      <c r="BD2770" s="4">
        <v>43283.021527777775</v>
      </c>
      <c r="BE2770" s="4">
        <v>43283.025648148148</v>
      </c>
      <c r="BF2770" s="4">
        <v>43283.025648148148</v>
      </c>
      <c r="BG2770" t="s">
        <v>83</v>
      </c>
      <c r="BH2770" t="s">
        <v>84</v>
      </c>
      <c r="BI2770" t="s">
        <v>85</v>
      </c>
    </row>
    <row r="2771" spans="1:61" x14ac:dyDescent="0.3">
      <c r="A2771" t="str">
        <f>"200584C0100"</f>
        <v>200584C0100</v>
      </c>
      <c r="B2771" t="s">
        <v>5643</v>
      </c>
      <c r="C2771">
        <v>20</v>
      </c>
      <c r="D2771" t="s">
        <v>79</v>
      </c>
      <c r="E2771">
        <v>13</v>
      </c>
      <c r="F2771" t="s">
        <v>5455</v>
      </c>
      <c r="G2771">
        <v>584</v>
      </c>
      <c r="H2771">
        <v>1</v>
      </c>
      <c r="I2771" t="s">
        <v>89</v>
      </c>
      <c r="J2771">
        <v>0</v>
      </c>
      <c r="K2771">
        <v>1</v>
      </c>
      <c r="L2771">
        <v>2</v>
      </c>
      <c r="M2771">
        <v>120</v>
      </c>
      <c r="N2771">
        <v>331</v>
      </c>
      <c r="O2771">
        <v>9</v>
      </c>
      <c r="P2771">
        <v>329</v>
      </c>
      <c r="Q2771">
        <v>47</v>
      </c>
      <c r="R2771">
        <v>61</v>
      </c>
      <c r="S2771">
        <v>4</v>
      </c>
      <c r="T2771">
        <v>11</v>
      </c>
      <c r="U2771">
        <v>15</v>
      </c>
      <c r="V2771">
        <v>5</v>
      </c>
      <c r="W2771">
        <v>4</v>
      </c>
      <c r="X2771">
        <v>6</v>
      </c>
      <c r="Y2771">
        <v>129</v>
      </c>
      <c r="Z2771">
        <v>11</v>
      </c>
      <c r="AA2771">
        <v>5</v>
      </c>
      <c r="AB2771">
        <v>14</v>
      </c>
      <c r="AC2771">
        <v>2</v>
      </c>
      <c r="AD2771">
        <v>0</v>
      </c>
      <c r="AE2771">
        <v>0</v>
      </c>
      <c r="AF2771">
        <v>0</v>
      </c>
      <c r="AK2771">
        <v>1</v>
      </c>
      <c r="AL2771">
        <v>1</v>
      </c>
      <c r="AM2771">
        <v>0</v>
      </c>
      <c r="AN2771">
        <v>0</v>
      </c>
      <c r="AT2771" t="s">
        <v>100</v>
      </c>
      <c r="AU2771">
        <v>13</v>
      </c>
      <c r="AV2771">
        <v>329</v>
      </c>
      <c r="AW2771">
        <v>329</v>
      </c>
      <c r="AX2771">
        <v>427</v>
      </c>
      <c r="AZ2771" t="s">
        <v>101</v>
      </c>
      <c r="BA2771">
        <v>1</v>
      </c>
      <c r="BC2771" t="s">
        <v>5644</v>
      </c>
      <c r="BD2771" s="4">
        <v>43283.063194444447</v>
      </c>
      <c r="BE2771" s="4">
        <v>43283.066817129627</v>
      </c>
      <c r="BF2771" s="4">
        <v>43283.066817129627</v>
      </c>
      <c r="BG2771" t="s">
        <v>83</v>
      </c>
      <c r="BH2771" t="s">
        <v>84</v>
      </c>
      <c r="BI2771" t="s">
        <v>85</v>
      </c>
    </row>
    <row r="2772" spans="1:61" x14ac:dyDescent="0.3">
      <c r="A2772" t="str">
        <f>"200585B0100"</f>
        <v>200585B0100</v>
      </c>
      <c r="B2772" t="s">
        <v>5645</v>
      </c>
      <c r="C2772">
        <v>20</v>
      </c>
      <c r="D2772" t="s">
        <v>79</v>
      </c>
      <c r="E2772">
        <v>13</v>
      </c>
      <c r="F2772" t="s">
        <v>5455</v>
      </c>
      <c r="G2772">
        <v>585</v>
      </c>
      <c r="H2772">
        <v>1</v>
      </c>
      <c r="I2772" t="s">
        <v>81</v>
      </c>
      <c r="J2772">
        <v>0</v>
      </c>
      <c r="K2772">
        <v>1</v>
      </c>
      <c r="L2772">
        <v>2</v>
      </c>
      <c r="M2772">
        <v>136</v>
      </c>
      <c r="N2772">
        <v>326</v>
      </c>
      <c r="O2772">
        <v>9</v>
      </c>
      <c r="P2772">
        <v>326</v>
      </c>
      <c r="Q2772">
        <v>56</v>
      </c>
      <c r="R2772">
        <v>72</v>
      </c>
      <c r="S2772">
        <v>6</v>
      </c>
      <c r="T2772">
        <v>13</v>
      </c>
      <c r="U2772">
        <v>9</v>
      </c>
      <c r="V2772">
        <v>5</v>
      </c>
      <c r="W2772">
        <v>3</v>
      </c>
      <c r="X2772">
        <v>3</v>
      </c>
      <c r="Y2772">
        <v>133</v>
      </c>
      <c r="Z2772">
        <v>3</v>
      </c>
      <c r="AA2772">
        <v>1</v>
      </c>
      <c r="AB2772">
        <v>6</v>
      </c>
      <c r="AC2772">
        <v>0</v>
      </c>
      <c r="AD2772">
        <v>1</v>
      </c>
      <c r="AE2772">
        <v>0</v>
      </c>
      <c r="AF2772">
        <v>0</v>
      </c>
      <c r="AK2772">
        <v>2</v>
      </c>
      <c r="AL2772">
        <v>0</v>
      </c>
      <c r="AM2772">
        <v>0</v>
      </c>
      <c r="AN2772">
        <v>0</v>
      </c>
      <c r="AT2772">
        <v>0</v>
      </c>
      <c r="AU2772">
        <v>13</v>
      </c>
      <c r="AV2772">
        <v>326</v>
      </c>
      <c r="AW2772">
        <v>326</v>
      </c>
      <c r="AX2772">
        <v>440</v>
      </c>
      <c r="BA2772">
        <v>1</v>
      </c>
      <c r="BC2772" t="s">
        <v>5646</v>
      </c>
      <c r="BD2772" s="4">
        <v>43283.126388888886</v>
      </c>
      <c r="BE2772" s="4">
        <v>43283.131041666667</v>
      </c>
      <c r="BF2772" s="4">
        <v>43283.131041666667</v>
      </c>
      <c r="BG2772" t="s">
        <v>83</v>
      </c>
      <c r="BH2772" t="s">
        <v>84</v>
      </c>
      <c r="BI2772" t="s">
        <v>85</v>
      </c>
    </row>
    <row r="2773" spans="1:61" x14ac:dyDescent="0.3">
      <c r="A2773" t="str">
        <f>"200585C0100"</f>
        <v>200585C0100</v>
      </c>
      <c r="B2773" t="s">
        <v>5647</v>
      </c>
      <c r="C2773">
        <v>20</v>
      </c>
      <c r="D2773" t="s">
        <v>79</v>
      </c>
      <c r="E2773">
        <v>13</v>
      </c>
      <c r="F2773" t="s">
        <v>5455</v>
      </c>
      <c r="G2773">
        <v>585</v>
      </c>
      <c r="H2773">
        <v>1</v>
      </c>
      <c r="I2773" t="s">
        <v>89</v>
      </c>
      <c r="J2773">
        <v>0</v>
      </c>
      <c r="K2773">
        <v>1</v>
      </c>
      <c r="L2773">
        <v>2</v>
      </c>
      <c r="M2773">
        <v>139</v>
      </c>
      <c r="N2773">
        <v>324</v>
      </c>
      <c r="O2773">
        <v>9</v>
      </c>
      <c r="P2773">
        <v>323</v>
      </c>
      <c r="Q2773">
        <v>56</v>
      </c>
      <c r="R2773">
        <v>63</v>
      </c>
      <c r="S2773">
        <v>6</v>
      </c>
      <c r="T2773">
        <v>10</v>
      </c>
      <c r="U2773">
        <v>9</v>
      </c>
      <c r="V2773">
        <v>4</v>
      </c>
      <c r="W2773">
        <v>6</v>
      </c>
      <c r="X2773">
        <v>4</v>
      </c>
      <c r="Y2773">
        <v>117</v>
      </c>
      <c r="Z2773">
        <v>6</v>
      </c>
      <c r="AA2773">
        <v>3</v>
      </c>
      <c r="AB2773">
        <v>15</v>
      </c>
      <c r="AC2773">
        <v>0</v>
      </c>
      <c r="AD2773">
        <v>0</v>
      </c>
      <c r="AE2773">
        <v>1</v>
      </c>
      <c r="AF2773">
        <v>0</v>
      </c>
      <c r="AK2773">
        <v>0</v>
      </c>
      <c r="AL2773">
        <v>2</v>
      </c>
      <c r="AM2773">
        <v>0</v>
      </c>
      <c r="AN2773">
        <v>3</v>
      </c>
      <c r="AT2773">
        <v>1</v>
      </c>
      <c r="AU2773">
        <v>17</v>
      </c>
      <c r="AV2773">
        <v>323</v>
      </c>
      <c r="AW2773">
        <v>323</v>
      </c>
      <c r="AX2773">
        <v>440</v>
      </c>
      <c r="BA2773">
        <v>1</v>
      </c>
      <c r="BC2773" t="s">
        <v>5648</v>
      </c>
      <c r="BD2773" s="4">
        <v>43283.126388888886</v>
      </c>
      <c r="BE2773" s="4">
        <v>43283.13082175926</v>
      </c>
      <c r="BF2773" s="4">
        <v>43283.13082175926</v>
      </c>
      <c r="BG2773" t="s">
        <v>83</v>
      </c>
      <c r="BH2773" t="s">
        <v>84</v>
      </c>
      <c r="BI2773" t="s">
        <v>85</v>
      </c>
    </row>
    <row r="2774" spans="1:61" x14ac:dyDescent="0.3">
      <c r="A2774" t="str">
        <f>"200586B0100"</f>
        <v>200586B0100</v>
      </c>
      <c r="B2774" t="s">
        <v>5649</v>
      </c>
      <c r="C2774">
        <v>20</v>
      </c>
      <c r="D2774" t="s">
        <v>79</v>
      </c>
      <c r="E2774">
        <v>13</v>
      </c>
      <c r="F2774" t="s">
        <v>5455</v>
      </c>
      <c r="G2774">
        <v>586</v>
      </c>
      <c r="H2774">
        <v>1</v>
      </c>
      <c r="I2774" t="s">
        <v>81</v>
      </c>
      <c r="J2774">
        <v>0</v>
      </c>
      <c r="K2774">
        <v>1</v>
      </c>
      <c r="L2774">
        <v>2</v>
      </c>
      <c r="M2774">
        <v>184</v>
      </c>
      <c r="N2774">
        <v>413</v>
      </c>
      <c r="O2774">
        <v>2</v>
      </c>
      <c r="P2774">
        <v>413</v>
      </c>
      <c r="Q2774">
        <v>31</v>
      </c>
      <c r="R2774">
        <v>61</v>
      </c>
      <c r="S2774">
        <v>5</v>
      </c>
      <c r="T2774">
        <v>6</v>
      </c>
      <c r="U2774">
        <v>19</v>
      </c>
      <c r="V2774">
        <v>10</v>
      </c>
      <c r="W2774">
        <v>5</v>
      </c>
      <c r="X2774">
        <v>8</v>
      </c>
      <c r="Y2774">
        <v>212</v>
      </c>
      <c r="Z2774">
        <v>7</v>
      </c>
      <c r="AA2774">
        <v>3</v>
      </c>
      <c r="AB2774">
        <v>12</v>
      </c>
      <c r="AC2774">
        <v>2</v>
      </c>
      <c r="AD2774">
        <v>2</v>
      </c>
      <c r="AE2774">
        <v>0</v>
      </c>
      <c r="AF2774">
        <v>0</v>
      </c>
      <c r="AK2774">
        <v>5</v>
      </c>
      <c r="AL2774">
        <v>2</v>
      </c>
      <c r="AM2774">
        <v>1</v>
      </c>
      <c r="AN2774">
        <v>1</v>
      </c>
      <c r="AT2774">
        <v>0</v>
      </c>
      <c r="AU2774">
        <v>20</v>
      </c>
      <c r="AV2774">
        <v>412</v>
      </c>
      <c r="AW2774">
        <v>412</v>
      </c>
      <c r="AX2774">
        <v>574</v>
      </c>
      <c r="BA2774">
        <v>1</v>
      </c>
      <c r="BC2774" t="s">
        <v>5650</v>
      </c>
      <c r="BD2774" s="4">
        <v>43283.393750000003</v>
      </c>
      <c r="BE2774" s="4">
        <v>43283.397453703707</v>
      </c>
      <c r="BF2774" s="4">
        <v>43283.397453703707</v>
      </c>
      <c r="BG2774" t="s">
        <v>83</v>
      </c>
      <c r="BH2774" t="s">
        <v>84</v>
      </c>
      <c r="BI2774" t="s">
        <v>548</v>
      </c>
    </row>
    <row r="2775" spans="1:61" x14ac:dyDescent="0.3">
      <c r="A2775" t="str">
        <f>"200586C0100"</f>
        <v>200586C0100</v>
      </c>
      <c r="B2775" t="s">
        <v>5651</v>
      </c>
      <c r="C2775">
        <v>20</v>
      </c>
      <c r="D2775" t="s">
        <v>79</v>
      </c>
      <c r="E2775">
        <v>13</v>
      </c>
      <c r="F2775" t="s">
        <v>5455</v>
      </c>
      <c r="G2775">
        <v>586</v>
      </c>
      <c r="H2775">
        <v>1</v>
      </c>
      <c r="I2775" t="s">
        <v>89</v>
      </c>
      <c r="J2775">
        <v>0</v>
      </c>
      <c r="K2775">
        <v>1</v>
      </c>
      <c r="L2775">
        <v>2</v>
      </c>
      <c r="M2775">
        <v>177</v>
      </c>
      <c r="N2775">
        <v>419</v>
      </c>
      <c r="O2775">
        <v>5</v>
      </c>
      <c r="P2775">
        <v>419</v>
      </c>
      <c r="Q2775">
        <v>52</v>
      </c>
      <c r="R2775">
        <v>54</v>
      </c>
      <c r="S2775">
        <v>7</v>
      </c>
      <c r="T2775">
        <v>8</v>
      </c>
      <c r="U2775">
        <v>15</v>
      </c>
      <c r="V2775">
        <v>6</v>
      </c>
      <c r="W2775">
        <v>9</v>
      </c>
      <c r="X2775">
        <v>3</v>
      </c>
      <c r="Y2775">
        <v>210</v>
      </c>
      <c r="Z2775">
        <v>14</v>
      </c>
      <c r="AA2775">
        <v>3</v>
      </c>
      <c r="AB2775">
        <v>12</v>
      </c>
      <c r="AC2775">
        <v>2</v>
      </c>
      <c r="AD2775">
        <v>0</v>
      </c>
      <c r="AE2775">
        <v>0</v>
      </c>
      <c r="AF2775">
        <v>0</v>
      </c>
      <c r="AK2775">
        <v>5</v>
      </c>
      <c r="AL2775">
        <v>1</v>
      </c>
      <c r="AM2775">
        <v>0</v>
      </c>
      <c r="AN2775">
        <v>0</v>
      </c>
      <c r="AT2775">
        <v>0</v>
      </c>
      <c r="AU2775">
        <v>18</v>
      </c>
      <c r="AV2775">
        <v>419</v>
      </c>
      <c r="AW2775">
        <v>419</v>
      </c>
      <c r="AX2775">
        <v>574</v>
      </c>
      <c r="BA2775">
        <v>1</v>
      </c>
      <c r="BC2775" t="s">
        <v>5652</v>
      </c>
      <c r="BD2775" s="4">
        <v>43283.12777777778</v>
      </c>
      <c r="BE2775" s="4">
        <v>43283.132245370369</v>
      </c>
      <c r="BF2775" s="4">
        <v>43283.132245370369</v>
      </c>
      <c r="BG2775" t="s">
        <v>83</v>
      </c>
      <c r="BH2775" t="s">
        <v>84</v>
      </c>
      <c r="BI2775" t="s">
        <v>85</v>
      </c>
    </row>
    <row r="2776" spans="1:61" x14ac:dyDescent="0.3">
      <c r="A2776" t="str">
        <f>"200587B0100"</f>
        <v>200587B0100</v>
      </c>
      <c r="B2776" t="s">
        <v>5653</v>
      </c>
      <c r="C2776">
        <v>20</v>
      </c>
      <c r="D2776" t="s">
        <v>79</v>
      </c>
      <c r="E2776">
        <v>13</v>
      </c>
      <c r="F2776" t="s">
        <v>5455</v>
      </c>
      <c r="G2776">
        <v>587</v>
      </c>
      <c r="H2776">
        <v>1</v>
      </c>
      <c r="I2776" t="s">
        <v>81</v>
      </c>
      <c r="J2776">
        <v>0</v>
      </c>
      <c r="K2776">
        <v>1</v>
      </c>
      <c r="L2776">
        <v>2</v>
      </c>
      <c r="M2776">
        <v>231</v>
      </c>
      <c r="N2776">
        <v>460</v>
      </c>
      <c r="O2776">
        <v>6</v>
      </c>
      <c r="P2776">
        <v>459</v>
      </c>
      <c r="Q2776">
        <v>47</v>
      </c>
      <c r="R2776">
        <v>66</v>
      </c>
      <c r="S2776">
        <v>7</v>
      </c>
      <c r="T2776">
        <v>10</v>
      </c>
      <c r="U2776">
        <v>11</v>
      </c>
      <c r="V2776">
        <v>7</v>
      </c>
      <c r="W2776">
        <v>9</v>
      </c>
      <c r="X2776">
        <v>5</v>
      </c>
      <c r="Y2776">
        <v>220</v>
      </c>
      <c r="Z2776">
        <v>16</v>
      </c>
      <c r="AA2776">
        <v>4</v>
      </c>
      <c r="AB2776">
        <v>18</v>
      </c>
      <c r="AC2776">
        <v>1</v>
      </c>
      <c r="AD2776">
        <v>1</v>
      </c>
      <c r="AE2776">
        <v>0</v>
      </c>
      <c r="AF2776">
        <v>0</v>
      </c>
      <c r="AK2776">
        <v>8</v>
      </c>
      <c r="AL2776">
        <v>2</v>
      </c>
      <c r="AM2776">
        <v>0</v>
      </c>
      <c r="AN2776">
        <v>2</v>
      </c>
      <c r="AT2776">
        <v>0</v>
      </c>
      <c r="AU2776">
        <v>25</v>
      </c>
      <c r="AV2776" t="s">
        <v>315</v>
      </c>
      <c r="AW2776">
        <v>459</v>
      </c>
      <c r="AX2776">
        <v>669</v>
      </c>
      <c r="BA2776">
        <v>1</v>
      </c>
      <c r="BC2776" t="s">
        <v>5654</v>
      </c>
      <c r="BD2776" s="4">
        <v>43283.127083333333</v>
      </c>
      <c r="BE2776" s="4">
        <v>43283.132685185185</v>
      </c>
      <c r="BF2776" s="4">
        <v>43283.132685185185</v>
      </c>
      <c r="BG2776" t="s">
        <v>83</v>
      </c>
      <c r="BH2776" t="s">
        <v>84</v>
      </c>
      <c r="BI2776" t="s">
        <v>85</v>
      </c>
    </row>
    <row r="2777" spans="1:61" x14ac:dyDescent="0.3">
      <c r="A2777" t="str">
        <f>"200587C0100"</f>
        <v>200587C0100</v>
      </c>
      <c r="B2777" t="s">
        <v>5655</v>
      </c>
      <c r="C2777">
        <v>20</v>
      </c>
      <c r="D2777" t="s">
        <v>79</v>
      </c>
      <c r="E2777">
        <v>13</v>
      </c>
      <c r="F2777" t="s">
        <v>5455</v>
      </c>
      <c r="G2777">
        <v>587</v>
      </c>
      <c r="H2777">
        <v>1</v>
      </c>
      <c r="I2777" t="s">
        <v>89</v>
      </c>
      <c r="J2777">
        <v>0</v>
      </c>
      <c r="K2777">
        <v>1</v>
      </c>
      <c r="L2777">
        <v>2</v>
      </c>
      <c r="M2777">
        <v>220</v>
      </c>
      <c r="N2777">
        <v>470</v>
      </c>
      <c r="O2777">
        <v>8</v>
      </c>
      <c r="P2777">
        <v>470</v>
      </c>
      <c r="Q2777">
        <v>46</v>
      </c>
      <c r="R2777">
        <v>56</v>
      </c>
      <c r="S2777">
        <v>10</v>
      </c>
      <c r="T2777">
        <v>17</v>
      </c>
      <c r="U2777">
        <v>25</v>
      </c>
      <c r="V2777">
        <v>1</v>
      </c>
      <c r="W2777">
        <v>10</v>
      </c>
      <c r="X2777">
        <v>9</v>
      </c>
      <c r="Y2777">
        <v>254</v>
      </c>
      <c r="Z2777">
        <v>6</v>
      </c>
      <c r="AA2777">
        <v>6</v>
      </c>
      <c r="AB2777">
        <v>16</v>
      </c>
      <c r="AC2777">
        <v>2</v>
      </c>
      <c r="AD2777">
        <v>0</v>
      </c>
      <c r="AE2777">
        <v>0</v>
      </c>
      <c r="AF2777">
        <v>0</v>
      </c>
      <c r="AK2777">
        <v>2</v>
      </c>
      <c r="AL2777">
        <v>0</v>
      </c>
      <c r="AM2777">
        <v>0</v>
      </c>
      <c r="AN2777">
        <v>1</v>
      </c>
      <c r="AT2777">
        <v>0</v>
      </c>
      <c r="AU2777">
        <v>9</v>
      </c>
      <c r="AV2777">
        <v>470</v>
      </c>
      <c r="AW2777">
        <v>470</v>
      </c>
      <c r="AX2777">
        <v>668</v>
      </c>
      <c r="BA2777">
        <v>1</v>
      </c>
      <c r="BC2777" t="s">
        <v>5656</v>
      </c>
      <c r="BD2777" s="4">
        <v>43283.12777777778</v>
      </c>
      <c r="BE2777" s="4">
        <v>43283.131689814814</v>
      </c>
      <c r="BF2777" s="4">
        <v>43283.131689814814</v>
      </c>
      <c r="BG2777" t="s">
        <v>83</v>
      </c>
      <c r="BH2777" t="s">
        <v>84</v>
      </c>
      <c r="BI2777" t="s">
        <v>85</v>
      </c>
    </row>
    <row r="2778" spans="1:61" x14ac:dyDescent="0.3">
      <c r="A2778" t="str">
        <f>"200588B0100"</f>
        <v>200588B0100</v>
      </c>
      <c r="B2778" t="s">
        <v>5657</v>
      </c>
      <c r="C2778">
        <v>20</v>
      </c>
      <c r="D2778" t="s">
        <v>79</v>
      </c>
      <c r="E2778">
        <v>13</v>
      </c>
      <c r="F2778" t="s">
        <v>5455</v>
      </c>
      <c r="G2778">
        <v>588</v>
      </c>
      <c r="H2778">
        <v>1</v>
      </c>
      <c r="I2778" t="s">
        <v>81</v>
      </c>
      <c r="J2778">
        <v>0</v>
      </c>
      <c r="K2778">
        <v>1</v>
      </c>
      <c r="L2778">
        <v>2</v>
      </c>
      <c r="M2778">
        <v>188</v>
      </c>
      <c r="N2778">
        <v>373</v>
      </c>
      <c r="O2778">
        <v>5</v>
      </c>
      <c r="P2778">
        <v>373</v>
      </c>
      <c r="Q2778">
        <v>39</v>
      </c>
      <c r="R2778">
        <v>57</v>
      </c>
      <c r="S2778">
        <v>5</v>
      </c>
      <c r="T2778">
        <v>11</v>
      </c>
      <c r="U2778">
        <v>16</v>
      </c>
      <c r="V2778">
        <v>9</v>
      </c>
      <c r="W2778">
        <v>11</v>
      </c>
      <c r="X2778">
        <v>7</v>
      </c>
      <c r="Y2778">
        <v>174</v>
      </c>
      <c r="Z2778">
        <v>5</v>
      </c>
      <c r="AA2778">
        <v>3</v>
      </c>
      <c r="AB2778">
        <v>12</v>
      </c>
      <c r="AC2778">
        <v>1</v>
      </c>
      <c r="AD2778">
        <v>0</v>
      </c>
      <c r="AE2778">
        <v>0</v>
      </c>
      <c r="AF2778">
        <v>0</v>
      </c>
      <c r="AK2778">
        <v>4</v>
      </c>
      <c r="AL2778">
        <v>2</v>
      </c>
      <c r="AM2778">
        <v>0</v>
      </c>
      <c r="AN2778">
        <v>4</v>
      </c>
      <c r="AT2778">
        <v>0</v>
      </c>
      <c r="AU2778">
        <v>13</v>
      </c>
      <c r="AV2778">
        <v>373</v>
      </c>
      <c r="AW2778">
        <v>373</v>
      </c>
      <c r="AX2778">
        <v>539</v>
      </c>
      <c r="BA2778">
        <v>1</v>
      </c>
      <c r="BC2778" t="s">
        <v>5658</v>
      </c>
      <c r="BD2778" s="4">
        <v>43283.036805555559</v>
      </c>
      <c r="BE2778" s="4">
        <v>43283.043726851851</v>
      </c>
      <c r="BF2778" s="4">
        <v>43283.043726851851</v>
      </c>
      <c r="BG2778" t="s">
        <v>83</v>
      </c>
      <c r="BH2778" t="s">
        <v>84</v>
      </c>
      <c r="BI2778" t="s">
        <v>85</v>
      </c>
    </row>
    <row r="2779" spans="1:61" x14ac:dyDescent="0.3">
      <c r="A2779" t="str">
        <f>"200588C0100"</f>
        <v>200588C0100</v>
      </c>
      <c r="B2779" t="s">
        <v>5659</v>
      </c>
      <c r="C2779">
        <v>20</v>
      </c>
      <c r="D2779" t="s">
        <v>79</v>
      </c>
      <c r="E2779">
        <v>13</v>
      </c>
      <c r="F2779" t="s">
        <v>5455</v>
      </c>
      <c r="G2779">
        <v>588</v>
      </c>
      <c r="H2779">
        <v>1</v>
      </c>
      <c r="I2779" t="s">
        <v>89</v>
      </c>
      <c r="J2779">
        <v>0</v>
      </c>
      <c r="K2779">
        <v>1</v>
      </c>
      <c r="L2779">
        <v>2</v>
      </c>
      <c r="M2779">
        <v>208</v>
      </c>
      <c r="N2779">
        <v>353</v>
      </c>
      <c r="O2779">
        <v>5</v>
      </c>
      <c r="P2779">
        <v>350</v>
      </c>
      <c r="Q2779">
        <v>31</v>
      </c>
      <c r="R2779">
        <v>63</v>
      </c>
      <c r="S2779">
        <v>8</v>
      </c>
      <c r="T2779">
        <v>10</v>
      </c>
      <c r="U2779">
        <v>18</v>
      </c>
      <c r="V2779">
        <v>2</v>
      </c>
      <c r="W2779">
        <v>15</v>
      </c>
      <c r="X2779">
        <v>8</v>
      </c>
      <c r="Y2779">
        <v>165</v>
      </c>
      <c r="Z2779">
        <v>6</v>
      </c>
      <c r="AA2779">
        <v>1</v>
      </c>
      <c r="AB2779">
        <v>10</v>
      </c>
      <c r="AC2779">
        <v>0</v>
      </c>
      <c r="AD2779">
        <v>0</v>
      </c>
      <c r="AE2779">
        <v>0</v>
      </c>
      <c r="AF2779">
        <v>0</v>
      </c>
      <c r="AK2779">
        <v>3</v>
      </c>
      <c r="AL2779">
        <v>1</v>
      </c>
      <c r="AM2779">
        <v>0</v>
      </c>
      <c r="AN2779">
        <v>0</v>
      </c>
      <c r="AT2779">
        <v>0</v>
      </c>
      <c r="AU2779">
        <v>9</v>
      </c>
      <c r="AV2779">
        <v>353</v>
      </c>
      <c r="AW2779">
        <v>350</v>
      </c>
      <c r="AX2779">
        <v>539</v>
      </c>
      <c r="BA2779">
        <v>1</v>
      </c>
      <c r="BC2779" t="s">
        <v>5660</v>
      </c>
      <c r="BD2779" s="4">
        <v>43283.038888888892</v>
      </c>
      <c r="BE2779" s="4">
        <v>43283.042986111112</v>
      </c>
      <c r="BF2779" s="4">
        <v>43283.042986111112</v>
      </c>
      <c r="BG2779" t="s">
        <v>83</v>
      </c>
      <c r="BH2779" t="s">
        <v>84</v>
      </c>
      <c r="BI2779" t="s">
        <v>85</v>
      </c>
    </row>
    <row r="2780" spans="1:61" x14ac:dyDescent="0.3">
      <c r="A2780" t="str">
        <f>"200589B0100"</f>
        <v>200589B0100</v>
      </c>
      <c r="B2780" t="s">
        <v>5661</v>
      </c>
      <c r="C2780">
        <v>20</v>
      </c>
      <c r="D2780" t="s">
        <v>79</v>
      </c>
      <c r="E2780">
        <v>13</v>
      </c>
      <c r="F2780" t="s">
        <v>5455</v>
      </c>
      <c r="G2780">
        <v>589</v>
      </c>
      <c r="H2780">
        <v>1</v>
      </c>
      <c r="I2780" t="s">
        <v>81</v>
      </c>
      <c r="J2780">
        <v>0</v>
      </c>
      <c r="K2780">
        <v>1</v>
      </c>
      <c r="L2780">
        <v>2</v>
      </c>
      <c r="M2780">
        <v>203</v>
      </c>
      <c r="N2780">
        <v>465</v>
      </c>
      <c r="O2780">
        <v>8</v>
      </c>
      <c r="P2780">
        <v>465</v>
      </c>
      <c r="Q2780">
        <v>89</v>
      </c>
      <c r="R2780">
        <v>57</v>
      </c>
      <c r="S2780">
        <v>13</v>
      </c>
      <c r="T2780">
        <v>14</v>
      </c>
      <c r="U2780">
        <v>18</v>
      </c>
      <c r="V2780">
        <v>6</v>
      </c>
      <c r="W2780">
        <v>6</v>
      </c>
      <c r="X2780">
        <v>9</v>
      </c>
      <c r="Y2780">
        <v>195</v>
      </c>
      <c r="Z2780">
        <v>6</v>
      </c>
      <c r="AA2780">
        <v>5</v>
      </c>
      <c r="AB2780">
        <v>20</v>
      </c>
      <c r="AC2780">
        <v>1</v>
      </c>
      <c r="AD2780">
        <v>3</v>
      </c>
      <c r="AE2780">
        <v>0</v>
      </c>
      <c r="AF2780">
        <v>0</v>
      </c>
      <c r="AK2780">
        <v>4</v>
      </c>
      <c r="AL2780">
        <v>3</v>
      </c>
      <c r="AM2780">
        <v>0</v>
      </c>
      <c r="AN2780">
        <v>2</v>
      </c>
      <c r="AT2780">
        <v>0</v>
      </c>
      <c r="AU2780">
        <v>14</v>
      </c>
      <c r="AV2780">
        <v>465</v>
      </c>
      <c r="AW2780">
        <v>465</v>
      </c>
      <c r="AX2780">
        <v>646</v>
      </c>
      <c r="BA2780">
        <v>1</v>
      </c>
      <c r="BC2780" t="s">
        <v>5662</v>
      </c>
      <c r="BD2780" s="4">
        <v>43283.0625</v>
      </c>
      <c r="BE2780" s="4">
        <v>43283.066851851851</v>
      </c>
      <c r="BF2780" s="4">
        <v>43283.066851851851</v>
      </c>
      <c r="BG2780" t="s">
        <v>83</v>
      </c>
      <c r="BH2780" t="s">
        <v>84</v>
      </c>
      <c r="BI2780" t="s">
        <v>85</v>
      </c>
    </row>
    <row r="2781" spans="1:61" x14ac:dyDescent="0.3">
      <c r="A2781" t="str">
        <f>"200589C0100"</f>
        <v>200589C0100</v>
      </c>
      <c r="B2781" t="s">
        <v>5663</v>
      </c>
      <c r="C2781">
        <v>20</v>
      </c>
      <c r="D2781" t="s">
        <v>79</v>
      </c>
      <c r="E2781">
        <v>13</v>
      </c>
      <c r="F2781" t="s">
        <v>5455</v>
      </c>
      <c r="G2781">
        <v>589</v>
      </c>
      <c r="H2781">
        <v>1</v>
      </c>
      <c r="I2781" t="s">
        <v>89</v>
      </c>
      <c r="J2781">
        <v>0</v>
      </c>
      <c r="K2781">
        <v>1</v>
      </c>
      <c r="L2781">
        <v>2</v>
      </c>
      <c r="M2781">
        <v>212</v>
      </c>
      <c r="N2781" t="s">
        <v>100</v>
      </c>
      <c r="O2781" t="s">
        <v>100</v>
      </c>
      <c r="P2781">
        <v>455</v>
      </c>
      <c r="Q2781">
        <v>74</v>
      </c>
      <c r="R2781">
        <v>70</v>
      </c>
      <c r="S2781">
        <v>10</v>
      </c>
      <c r="T2781">
        <v>10</v>
      </c>
      <c r="U2781">
        <v>12</v>
      </c>
      <c r="V2781">
        <v>2</v>
      </c>
      <c r="W2781">
        <v>7</v>
      </c>
      <c r="X2781">
        <v>8</v>
      </c>
      <c r="Y2781">
        <v>197</v>
      </c>
      <c r="Z2781">
        <v>8</v>
      </c>
      <c r="AA2781">
        <v>5</v>
      </c>
      <c r="AB2781">
        <v>15</v>
      </c>
      <c r="AC2781">
        <v>0</v>
      </c>
      <c r="AD2781">
        <v>2</v>
      </c>
      <c r="AE2781">
        <v>0</v>
      </c>
      <c r="AF2781">
        <v>0</v>
      </c>
      <c r="AK2781">
        <v>9</v>
      </c>
      <c r="AL2781">
        <v>1</v>
      </c>
      <c r="AM2781">
        <v>0</v>
      </c>
      <c r="AN2781">
        <v>0</v>
      </c>
      <c r="AT2781" t="s">
        <v>100</v>
      </c>
      <c r="AU2781" t="s">
        <v>100</v>
      </c>
      <c r="AV2781" t="s">
        <v>100</v>
      </c>
      <c r="AW2781">
        <v>430</v>
      </c>
      <c r="AX2781">
        <v>645</v>
      </c>
      <c r="AZ2781" t="s">
        <v>101</v>
      </c>
      <c r="BA2781">
        <v>1</v>
      </c>
      <c r="BC2781" t="s">
        <v>5664</v>
      </c>
      <c r="BD2781" s="4">
        <v>43283.123611111114</v>
      </c>
      <c r="BE2781" s="4">
        <v>43283.128287037034</v>
      </c>
      <c r="BF2781" s="4">
        <v>43283.128287037034</v>
      </c>
      <c r="BG2781" t="s">
        <v>83</v>
      </c>
      <c r="BH2781" t="s">
        <v>84</v>
      </c>
      <c r="BI2781" t="s">
        <v>85</v>
      </c>
    </row>
    <row r="2782" spans="1:61" x14ac:dyDescent="0.3">
      <c r="A2782" t="str">
        <f>"200590B0100"</f>
        <v>200590B0100</v>
      </c>
      <c r="B2782" t="s">
        <v>5665</v>
      </c>
      <c r="C2782">
        <v>20</v>
      </c>
      <c r="D2782" t="s">
        <v>79</v>
      </c>
      <c r="E2782">
        <v>13</v>
      </c>
      <c r="F2782" t="s">
        <v>5455</v>
      </c>
      <c r="G2782">
        <v>590</v>
      </c>
      <c r="H2782">
        <v>1</v>
      </c>
      <c r="I2782" t="s">
        <v>81</v>
      </c>
      <c r="J2782">
        <v>0</v>
      </c>
      <c r="K2782">
        <v>1</v>
      </c>
      <c r="L2782">
        <v>2</v>
      </c>
      <c r="M2782">
        <v>313</v>
      </c>
      <c r="N2782">
        <v>365</v>
      </c>
      <c r="O2782">
        <v>5</v>
      </c>
      <c r="P2782">
        <v>362</v>
      </c>
      <c r="Q2782">
        <v>55</v>
      </c>
      <c r="R2782">
        <v>28</v>
      </c>
      <c r="S2782">
        <v>7</v>
      </c>
      <c r="T2782">
        <v>9</v>
      </c>
      <c r="U2782">
        <v>15</v>
      </c>
      <c r="V2782">
        <v>4</v>
      </c>
      <c r="W2782">
        <v>2</v>
      </c>
      <c r="X2782">
        <v>7</v>
      </c>
      <c r="Y2782">
        <v>195</v>
      </c>
      <c r="Z2782">
        <v>11</v>
      </c>
      <c r="AA2782">
        <v>0</v>
      </c>
      <c r="AB2782">
        <v>7</v>
      </c>
      <c r="AC2782">
        <v>0</v>
      </c>
      <c r="AD2782">
        <v>1</v>
      </c>
      <c r="AE2782">
        <v>0</v>
      </c>
      <c r="AF2782">
        <v>0</v>
      </c>
      <c r="AK2782">
        <v>5</v>
      </c>
      <c r="AL2782">
        <v>1</v>
      </c>
      <c r="AM2782">
        <v>0</v>
      </c>
      <c r="AN2782">
        <v>2</v>
      </c>
      <c r="AT2782">
        <v>0</v>
      </c>
      <c r="AU2782">
        <v>16</v>
      </c>
      <c r="AV2782">
        <v>365</v>
      </c>
      <c r="AW2782">
        <v>365</v>
      </c>
      <c r="AX2782">
        <v>653</v>
      </c>
      <c r="BA2782">
        <v>1</v>
      </c>
      <c r="BC2782" t="s">
        <v>5666</v>
      </c>
      <c r="BD2782" s="4">
        <v>43282.980613425927</v>
      </c>
      <c r="BE2782" s="4">
        <v>43282.986006944448</v>
      </c>
      <c r="BF2782" s="4">
        <v>43282.986006944448</v>
      </c>
      <c r="BG2782" t="s">
        <v>373</v>
      </c>
      <c r="BH2782" t="s">
        <v>374</v>
      </c>
      <c r="BI2782" t="s">
        <v>85</v>
      </c>
    </row>
    <row r="2783" spans="1:61" x14ac:dyDescent="0.3">
      <c r="A2783" t="str">
        <f>"200590C0100"</f>
        <v>200590C0100</v>
      </c>
      <c r="B2783" t="s">
        <v>5667</v>
      </c>
      <c r="C2783">
        <v>20</v>
      </c>
      <c r="D2783" t="s">
        <v>79</v>
      </c>
      <c r="E2783">
        <v>13</v>
      </c>
      <c r="F2783" t="s">
        <v>5455</v>
      </c>
      <c r="G2783">
        <v>590</v>
      </c>
      <c r="H2783">
        <v>1</v>
      </c>
      <c r="I2783" t="s">
        <v>89</v>
      </c>
      <c r="J2783">
        <v>0</v>
      </c>
      <c r="K2783">
        <v>1</v>
      </c>
      <c r="L2783">
        <v>2</v>
      </c>
      <c r="M2783">
        <v>286</v>
      </c>
      <c r="N2783">
        <v>386</v>
      </c>
      <c r="O2783">
        <v>4</v>
      </c>
      <c r="P2783">
        <v>379</v>
      </c>
      <c r="Q2783">
        <v>43</v>
      </c>
      <c r="R2783">
        <v>36</v>
      </c>
      <c r="S2783">
        <v>11</v>
      </c>
      <c r="T2783">
        <v>6</v>
      </c>
      <c r="U2783">
        <v>14</v>
      </c>
      <c r="V2783">
        <v>7</v>
      </c>
      <c r="W2783">
        <v>2</v>
      </c>
      <c r="X2783">
        <v>5</v>
      </c>
      <c r="Y2783">
        <v>214</v>
      </c>
      <c r="Z2783">
        <v>7</v>
      </c>
      <c r="AA2783">
        <v>1</v>
      </c>
      <c r="AB2783">
        <v>10</v>
      </c>
      <c r="AC2783">
        <v>0</v>
      </c>
      <c r="AD2783">
        <v>2</v>
      </c>
      <c r="AE2783">
        <v>0</v>
      </c>
      <c r="AF2783">
        <v>1</v>
      </c>
      <c r="AK2783">
        <v>4</v>
      </c>
      <c r="AL2783">
        <v>3</v>
      </c>
      <c r="AM2783">
        <v>0</v>
      </c>
      <c r="AN2783">
        <v>0</v>
      </c>
      <c r="AT2783">
        <v>1</v>
      </c>
      <c r="AU2783">
        <v>17</v>
      </c>
      <c r="AV2783">
        <v>384</v>
      </c>
      <c r="AW2783">
        <v>384</v>
      </c>
      <c r="AX2783">
        <v>652</v>
      </c>
      <c r="BA2783">
        <v>1</v>
      </c>
      <c r="BC2783" t="s">
        <v>5668</v>
      </c>
      <c r="BD2783" s="4">
        <v>43283.035694444443</v>
      </c>
      <c r="BE2783" s="4">
        <v>43283.040150462963</v>
      </c>
      <c r="BF2783" s="4">
        <v>43283.040150462963</v>
      </c>
      <c r="BG2783" t="s">
        <v>373</v>
      </c>
      <c r="BH2783" t="s">
        <v>374</v>
      </c>
      <c r="BI2783" t="s">
        <v>85</v>
      </c>
    </row>
    <row r="2784" spans="1:61" x14ac:dyDescent="0.3">
      <c r="A2784" t="str">
        <f>"200591B0100"</f>
        <v>200591B0100</v>
      </c>
      <c r="B2784" t="s">
        <v>5669</v>
      </c>
      <c r="C2784">
        <v>20</v>
      </c>
      <c r="D2784" t="s">
        <v>79</v>
      </c>
      <c r="E2784">
        <v>13</v>
      </c>
      <c r="F2784" t="s">
        <v>5455</v>
      </c>
      <c r="G2784">
        <v>591</v>
      </c>
      <c r="H2784">
        <v>1</v>
      </c>
      <c r="I2784" t="s">
        <v>81</v>
      </c>
      <c r="J2784">
        <v>0</v>
      </c>
      <c r="K2784">
        <v>1</v>
      </c>
      <c r="L2784">
        <v>2</v>
      </c>
      <c r="M2784">
        <v>220</v>
      </c>
      <c r="N2784">
        <v>402</v>
      </c>
      <c r="O2784">
        <v>5</v>
      </c>
      <c r="P2784">
        <v>391</v>
      </c>
      <c r="Q2784">
        <v>46</v>
      </c>
      <c r="R2784">
        <v>50</v>
      </c>
      <c r="S2784">
        <v>9</v>
      </c>
      <c r="T2784">
        <v>9</v>
      </c>
      <c r="U2784">
        <v>11</v>
      </c>
      <c r="V2784">
        <v>9</v>
      </c>
      <c r="W2784">
        <v>5</v>
      </c>
      <c r="X2784">
        <v>2</v>
      </c>
      <c r="Y2784">
        <v>191</v>
      </c>
      <c r="Z2784">
        <v>7</v>
      </c>
      <c r="AA2784">
        <v>2</v>
      </c>
      <c r="AB2784">
        <v>29</v>
      </c>
      <c r="AC2784">
        <v>1</v>
      </c>
      <c r="AD2784">
        <v>0</v>
      </c>
      <c r="AE2784">
        <v>0</v>
      </c>
      <c r="AF2784">
        <v>0</v>
      </c>
      <c r="AK2784">
        <v>8</v>
      </c>
      <c r="AL2784">
        <v>0</v>
      </c>
      <c r="AM2784">
        <v>0</v>
      </c>
      <c r="AN2784">
        <v>0</v>
      </c>
      <c r="AT2784">
        <v>0</v>
      </c>
      <c r="AU2784">
        <v>12</v>
      </c>
      <c r="AV2784">
        <v>391</v>
      </c>
      <c r="AW2784">
        <v>391</v>
      </c>
      <c r="AX2784">
        <v>606</v>
      </c>
      <c r="BA2784">
        <v>1</v>
      </c>
      <c r="BC2784" t="s">
        <v>5670</v>
      </c>
      <c r="BD2784" s="4">
        <v>43283.011747685188</v>
      </c>
      <c r="BE2784" s="4">
        <v>43283.017164351855</v>
      </c>
      <c r="BF2784" s="4">
        <v>43283.017164351855</v>
      </c>
      <c r="BG2784" t="s">
        <v>373</v>
      </c>
      <c r="BH2784" t="s">
        <v>374</v>
      </c>
      <c r="BI2784" t="s">
        <v>85</v>
      </c>
    </row>
    <row r="2785" spans="1:61" x14ac:dyDescent="0.3">
      <c r="A2785" t="str">
        <f>"200591C0100"</f>
        <v>200591C0100</v>
      </c>
      <c r="B2785" t="s">
        <v>5671</v>
      </c>
      <c r="C2785">
        <v>20</v>
      </c>
      <c r="D2785" t="s">
        <v>79</v>
      </c>
      <c r="E2785">
        <v>13</v>
      </c>
      <c r="F2785" t="s">
        <v>5455</v>
      </c>
      <c r="G2785">
        <v>591</v>
      </c>
      <c r="H2785">
        <v>1</v>
      </c>
      <c r="I2785" t="s">
        <v>89</v>
      </c>
      <c r="J2785">
        <v>0</v>
      </c>
      <c r="K2785">
        <v>1</v>
      </c>
      <c r="L2785">
        <v>2</v>
      </c>
      <c r="M2785">
        <v>260</v>
      </c>
      <c r="N2785">
        <v>366</v>
      </c>
      <c r="O2785">
        <v>5</v>
      </c>
      <c r="P2785" t="s">
        <v>100</v>
      </c>
      <c r="Q2785">
        <v>39</v>
      </c>
      <c r="R2785">
        <v>66</v>
      </c>
      <c r="S2785">
        <v>10</v>
      </c>
      <c r="T2785">
        <v>9</v>
      </c>
      <c r="U2785">
        <v>21</v>
      </c>
      <c r="V2785">
        <v>3</v>
      </c>
      <c r="W2785">
        <v>7</v>
      </c>
      <c r="X2785">
        <v>3</v>
      </c>
      <c r="Y2785">
        <v>184</v>
      </c>
      <c r="Z2785">
        <v>2</v>
      </c>
      <c r="AA2785">
        <v>0</v>
      </c>
      <c r="AB2785">
        <v>15</v>
      </c>
      <c r="AC2785" t="s">
        <v>100</v>
      </c>
      <c r="AD2785" t="s">
        <v>100</v>
      </c>
      <c r="AE2785" t="s">
        <v>100</v>
      </c>
      <c r="AF2785" t="s">
        <v>100</v>
      </c>
      <c r="AK2785" t="s">
        <v>100</v>
      </c>
      <c r="AL2785" t="s">
        <v>100</v>
      </c>
      <c r="AM2785" t="s">
        <v>100</v>
      </c>
      <c r="AN2785" t="s">
        <v>100</v>
      </c>
      <c r="AT2785" t="s">
        <v>100</v>
      </c>
      <c r="AU2785">
        <v>16</v>
      </c>
      <c r="AV2785">
        <v>375</v>
      </c>
      <c r="AW2785">
        <v>375</v>
      </c>
      <c r="AX2785">
        <v>605</v>
      </c>
      <c r="AZ2785" t="s">
        <v>101</v>
      </c>
      <c r="BA2785">
        <v>1</v>
      </c>
      <c r="BC2785" t="s">
        <v>5672</v>
      </c>
      <c r="BD2785" s="4">
        <v>43282.994143518517</v>
      </c>
      <c r="BE2785" s="4">
        <v>43282.996932870374</v>
      </c>
      <c r="BF2785" s="4">
        <v>43282.996932870374</v>
      </c>
      <c r="BG2785" t="s">
        <v>373</v>
      </c>
      <c r="BH2785" t="s">
        <v>374</v>
      </c>
      <c r="BI2785" t="s">
        <v>85</v>
      </c>
    </row>
    <row r="2786" spans="1:61" x14ac:dyDescent="0.3">
      <c r="A2786" t="str">
        <f>"200592B0100"</f>
        <v>200592B0100</v>
      </c>
      <c r="B2786" t="s">
        <v>5673</v>
      </c>
      <c r="C2786">
        <v>20</v>
      </c>
      <c r="D2786" t="s">
        <v>79</v>
      </c>
      <c r="E2786">
        <v>13</v>
      </c>
      <c r="F2786" t="s">
        <v>5455</v>
      </c>
      <c r="G2786">
        <v>592</v>
      </c>
      <c r="H2786">
        <v>1</v>
      </c>
      <c r="I2786" t="s">
        <v>81</v>
      </c>
      <c r="J2786">
        <v>0</v>
      </c>
      <c r="K2786">
        <v>1</v>
      </c>
      <c r="L2786">
        <v>2</v>
      </c>
      <c r="M2786">
        <v>235</v>
      </c>
      <c r="N2786">
        <v>425</v>
      </c>
      <c r="O2786">
        <v>0</v>
      </c>
      <c r="P2786">
        <v>425</v>
      </c>
      <c r="Q2786">
        <v>37</v>
      </c>
      <c r="R2786">
        <v>50</v>
      </c>
      <c r="S2786">
        <v>5</v>
      </c>
      <c r="T2786">
        <v>10</v>
      </c>
      <c r="U2786">
        <v>21</v>
      </c>
      <c r="V2786">
        <v>7</v>
      </c>
      <c r="W2786">
        <v>33</v>
      </c>
      <c r="X2786">
        <v>3</v>
      </c>
      <c r="Y2786">
        <v>208</v>
      </c>
      <c r="Z2786">
        <v>13</v>
      </c>
      <c r="AA2786">
        <v>5</v>
      </c>
      <c r="AB2786">
        <v>14</v>
      </c>
      <c r="AC2786">
        <v>2</v>
      </c>
      <c r="AD2786">
        <v>1</v>
      </c>
      <c r="AE2786">
        <v>0</v>
      </c>
      <c r="AF2786">
        <v>0</v>
      </c>
      <c r="AK2786">
        <v>3</v>
      </c>
      <c r="AL2786">
        <v>1</v>
      </c>
      <c r="AM2786">
        <v>0</v>
      </c>
      <c r="AN2786">
        <v>0</v>
      </c>
      <c r="AT2786">
        <v>0</v>
      </c>
      <c r="AU2786">
        <v>12</v>
      </c>
      <c r="AV2786">
        <v>425</v>
      </c>
      <c r="AW2786">
        <v>425</v>
      </c>
      <c r="AX2786">
        <v>639</v>
      </c>
      <c r="BA2786">
        <v>1</v>
      </c>
      <c r="BC2786" t="s">
        <v>5674</v>
      </c>
      <c r="BD2786" s="4">
        <v>43283.120138888888</v>
      </c>
      <c r="BE2786" s="4">
        <v>43283.125879629632</v>
      </c>
      <c r="BF2786" s="4">
        <v>43283.125879629632</v>
      </c>
      <c r="BG2786" t="s">
        <v>83</v>
      </c>
      <c r="BH2786" t="s">
        <v>84</v>
      </c>
      <c r="BI2786" t="s">
        <v>85</v>
      </c>
    </row>
    <row r="2787" spans="1:61" x14ac:dyDescent="0.3">
      <c r="A2787" t="str">
        <f>"200592C0100"</f>
        <v>200592C0100</v>
      </c>
      <c r="B2787" t="s">
        <v>5675</v>
      </c>
      <c r="C2787">
        <v>20</v>
      </c>
      <c r="D2787" t="s">
        <v>79</v>
      </c>
      <c r="E2787">
        <v>13</v>
      </c>
      <c r="F2787" t="s">
        <v>5455</v>
      </c>
      <c r="G2787">
        <v>592</v>
      </c>
      <c r="H2787">
        <v>1</v>
      </c>
      <c r="I2787" t="s">
        <v>89</v>
      </c>
      <c r="J2787">
        <v>0</v>
      </c>
      <c r="K2787">
        <v>1</v>
      </c>
      <c r="L2787">
        <v>2</v>
      </c>
      <c r="M2787">
        <v>216</v>
      </c>
      <c r="N2787">
        <v>445</v>
      </c>
      <c r="O2787">
        <v>4</v>
      </c>
      <c r="P2787">
        <v>445</v>
      </c>
      <c r="Q2787">
        <v>42</v>
      </c>
      <c r="R2787">
        <v>58</v>
      </c>
      <c r="S2787">
        <v>7</v>
      </c>
      <c r="T2787">
        <v>9</v>
      </c>
      <c r="U2787">
        <v>18</v>
      </c>
      <c r="V2787">
        <v>4</v>
      </c>
      <c r="W2787">
        <v>21</v>
      </c>
      <c r="X2787">
        <v>6</v>
      </c>
      <c r="Y2787">
        <v>221</v>
      </c>
      <c r="Z2787">
        <v>10</v>
      </c>
      <c r="AA2787">
        <v>6</v>
      </c>
      <c r="AB2787">
        <v>21</v>
      </c>
      <c r="AC2787">
        <v>1</v>
      </c>
      <c r="AD2787" t="s">
        <v>100</v>
      </c>
      <c r="AE2787" t="s">
        <v>100</v>
      </c>
      <c r="AF2787" t="s">
        <v>100</v>
      </c>
      <c r="AK2787">
        <v>6</v>
      </c>
      <c r="AL2787">
        <v>2</v>
      </c>
      <c r="AM2787" t="s">
        <v>100</v>
      </c>
      <c r="AN2787" t="s">
        <v>100</v>
      </c>
      <c r="AT2787" t="s">
        <v>100</v>
      </c>
      <c r="AU2787">
        <v>13</v>
      </c>
      <c r="AV2787">
        <v>445</v>
      </c>
      <c r="AW2787">
        <v>445</v>
      </c>
      <c r="AX2787">
        <v>639</v>
      </c>
      <c r="AZ2787" t="s">
        <v>101</v>
      </c>
      <c r="BA2787">
        <v>1</v>
      </c>
      <c r="BC2787" t="s">
        <v>5676</v>
      </c>
      <c r="BD2787" s="4">
        <v>43282.955335648148</v>
      </c>
      <c r="BE2787" s="4">
        <v>43282.95988425926</v>
      </c>
      <c r="BF2787" s="4">
        <v>43282.95988425926</v>
      </c>
      <c r="BG2787" t="s">
        <v>373</v>
      </c>
      <c r="BH2787" t="s">
        <v>374</v>
      </c>
      <c r="BI2787" t="s">
        <v>85</v>
      </c>
    </row>
    <row r="2788" spans="1:61" x14ac:dyDescent="0.3">
      <c r="A2788" t="str">
        <f>"200593B0100"</f>
        <v>200593B0100</v>
      </c>
      <c r="B2788" t="s">
        <v>5677</v>
      </c>
      <c r="C2788">
        <v>20</v>
      </c>
      <c r="D2788" t="s">
        <v>79</v>
      </c>
      <c r="E2788">
        <v>13</v>
      </c>
      <c r="F2788" t="s">
        <v>5455</v>
      </c>
      <c r="G2788">
        <v>593</v>
      </c>
      <c r="H2788">
        <v>1</v>
      </c>
      <c r="I2788" t="s">
        <v>81</v>
      </c>
      <c r="J2788">
        <v>0</v>
      </c>
      <c r="K2788">
        <v>1</v>
      </c>
      <c r="L2788">
        <v>2</v>
      </c>
      <c r="M2788">
        <v>255</v>
      </c>
      <c r="N2788">
        <v>430</v>
      </c>
      <c r="O2788">
        <v>4</v>
      </c>
      <c r="P2788">
        <v>430</v>
      </c>
      <c r="Q2788">
        <v>30</v>
      </c>
      <c r="R2788">
        <v>77</v>
      </c>
      <c r="S2788">
        <v>5</v>
      </c>
      <c r="T2788">
        <v>9</v>
      </c>
      <c r="U2788">
        <v>17</v>
      </c>
      <c r="V2788">
        <v>6</v>
      </c>
      <c r="W2788">
        <v>7</v>
      </c>
      <c r="X2788">
        <v>4</v>
      </c>
      <c r="Y2788">
        <v>196</v>
      </c>
      <c r="Z2788">
        <v>12</v>
      </c>
      <c r="AA2788">
        <v>0</v>
      </c>
      <c r="AB2788">
        <v>14</v>
      </c>
      <c r="AC2788">
        <v>0</v>
      </c>
      <c r="AD2788">
        <v>1</v>
      </c>
      <c r="AE2788">
        <v>1</v>
      </c>
      <c r="AF2788">
        <v>0</v>
      </c>
      <c r="AK2788">
        <v>13</v>
      </c>
      <c r="AL2788">
        <v>1</v>
      </c>
      <c r="AM2788">
        <v>0</v>
      </c>
      <c r="AN2788">
        <v>0</v>
      </c>
      <c r="AT2788">
        <v>0</v>
      </c>
      <c r="AU2788">
        <v>17</v>
      </c>
      <c r="AV2788" t="s">
        <v>100</v>
      </c>
      <c r="AW2788">
        <v>410</v>
      </c>
      <c r="AX2788">
        <v>645</v>
      </c>
      <c r="BA2788">
        <v>1</v>
      </c>
      <c r="BC2788" t="s">
        <v>5678</v>
      </c>
      <c r="BD2788" s="4">
        <v>43283.128472222219</v>
      </c>
      <c r="BE2788" s="4">
        <v>43283.132986111108</v>
      </c>
      <c r="BF2788" s="4">
        <v>43283.132986111108</v>
      </c>
      <c r="BG2788" t="s">
        <v>83</v>
      </c>
      <c r="BH2788" t="s">
        <v>84</v>
      </c>
      <c r="BI2788" t="s">
        <v>85</v>
      </c>
    </row>
    <row r="2789" spans="1:61" x14ac:dyDescent="0.3">
      <c r="A2789" t="str">
        <f>"200593C0100"</f>
        <v>200593C0100</v>
      </c>
      <c r="B2789" t="s">
        <v>5679</v>
      </c>
      <c r="C2789">
        <v>20</v>
      </c>
      <c r="D2789" t="s">
        <v>79</v>
      </c>
      <c r="E2789">
        <v>13</v>
      </c>
      <c r="F2789" t="s">
        <v>5455</v>
      </c>
      <c r="G2789">
        <v>593</v>
      </c>
      <c r="H2789">
        <v>1</v>
      </c>
      <c r="I2789" t="s">
        <v>89</v>
      </c>
      <c r="J2789">
        <v>0</v>
      </c>
      <c r="K2789">
        <v>1</v>
      </c>
      <c r="L2789">
        <v>2</v>
      </c>
      <c r="M2789">
        <v>268</v>
      </c>
      <c r="N2789">
        <v>398</v>
      </c>
      <c r="O2789">
        <v>3</v>
      </c>
      <c r="P2789">
        <v>396</v>
      </c>
      <c r="Q2789">
        <v>22</v>
      </c>
      <c r="R2789">
        <v>70</v>
      </c>
      <c r="S2789">
        <v>7</v>
      </c>
      <c r="T2789">
        <v>13</v>
      </c>
      <c r="U2789">
        <v>23</v>
      </c>
      <c r="V2789">
        <v>5</v>
      </c>
      <c r="W2789">
        <v>14</v>
      </c>
      <c r="X2789">
        <v>5</v>
      </c>
      <c r="Y2789">
        <v>183</v>
      </c>
      <c r="Z2789">
        <v>9</v>
      </c>
      <c r="AA2789">
        <v>3</v>
      </c>
      <c r="AB2789">
        <v>11</v>
      </c>
      <c r="AC2789">
        <v>1</v>
      </c>
      <c r="AD2789" t="s">
        <v>100</v>
      </c>
      <c r="AE2789" t="s">
        <v>100</v>
      </c>
      <c r="AF2789">
        <v>1</v>
      </c>
      <c r="AK2789">
        <v>5</v>
      </c>
      <c r="AL2789">
        <v>5</v>
      </c>
      <c r="AM2789">
        <v>1</v>
      </c>
      <c r="AN2789">
        <v>2</v>
      </c>
      <c r="AT2789" t="s">
        <v>100</v>
      </c>
      <c r="AU2789">
        <v>18</v>
      </c>
      <c r="AV2789">
        <v>398</v>
      </c>
      <c r="AW2789">
        <v>398</v>
      </c>
      <c r="AX2789">
        <v>645</v>
      </c>
      <c r="AZ2789" t="s">
        <v>101</v>
      </c>
      <c r="BA2789">
        <v>1</v>
      </c>
      <c r="BC2789" t="s">
        <v>5680</v>
      </c>
      <c r="BD2789" s="4">
        <v>43283.129861111112</v>
      </c>
      <c r="BE2789" s="4">
        <v>43283.13422453704</v>
      </c>
      <c r="BF2789" s="4">
        <v>43283.13422453704</v>
      </c>
      <c r="BG2789" t="s">
        <v>83</v>
      </c>
      <c r="BH2789" t="s">
        <v>84</v>
      </c>
      <c r="BI2789" t="s">
        <v>85</v>
      </c>
    </row>
    <row r="2790" spans="1:61" x14ac:dyDescent="0.3">
      <c r="A2790" t="str">
        <f>"200593C0200"</f>
        <v>200593C0200</v>
      </c>
      <c r="B2790" t="s">
        <v>5681</v>
      </c>
      <c r="C2790">
        <v>20</v>
      </c>
      <c r="D2790" t="s">
        <v>79</v>
      </c>
      <c r="E2790">
        <v>13</v>
      </c>
      <c r="F2790" t="s">
        <v>5455</v>
      </c>
      <c r="G2790">
        <v>593</v>
      </c>
      <c r="H2790">
        <v>2</v>
      </c>
      <c r="I2790" t="s">
        <v>89</v>
      </c>
      <c r="J2790">
        <v>0</v>
      </c>
      <c r="K2790">
        <v>1</v>
      </c>
      <c r="L2790">
        <v>2</v>
      </c>
      <c r="M2790" t="s">
        <v>100</v>
      </c>
      <c r="N2790" t="s">
        <v>100</v>
      </c>
      <c r="O2790" t="s">
        <v>100</v>
      </c>
      <c r="P2790" t="s">
        <v>100</v>
      </c>
      <c r="Q2790">
        <v>26</v>
      </c>
      <c r="R2790">
        <v>62</v>
      </c>
      <c r="S2790">
        <v>7</v>
      </c>
      <c r="T2790">
        <v>6</v>
      </c>
      <c r="U2790">
        <v>22</v>
      </c>
      <c r="V2790">
        <v>5</v>
      </c>
      <c r="W2790">
        <v>13</v>
      </c>
      <c r="X2790">
        <v>0</v>
      </c>
      <c r="Y2790">
        <v>164</v>
      </c>
      <c r="Z2790">
        <v>11</v>
      </c>
      <c r="AA2790">
        <v>4</v>
      </c>
      <c r="AB2790">
        <v>15</v>
      </c>
      <c r="AC2790">
        <v>2</v>
      </c>
      <c r="AD2790">
        <v>1</v>
      </c>
      <c r="AE2790">
        <v>0</v>
      </c>
      <c r="AF2790">
        <v>0</v>
      </c>
      <c r="AK2790">
        <v>5</v>
      </c>
      <c r="AL2790">
        <v>6</v>
      </c>
      <c r="AM2790">
        <v>0</v>
      </c>
      <c r="AN2790">
        <v>0</v>
      </c>
      <c r="AT2790">
        <v>0</v>
      </c>
      <c r="AU2790">
        <v>14</v>
      </c>
      <c r="AV2790">
        <v>363</v>
      </c>
      <c r="AW2790">
        <v>363</v>
      </c>
      <c r="AX2790">
        <v>645</v>
      </c>
      <c r="BA2790">
        <v>1</v>
      </c>
      <c r="BC2790" t="s">
        <v>5682</v>
      </c>
      <c r="BD2790" s="4">
        <v>43283.129166666666</v>
      </c>
      <c r="BE2790" s="4">
        <v>43283.132986111108</v>
      </c>
      <c r="BF2790" s="4">
        <v>43283.132986111108</v>
      </c>
      <c r="BG2790" t="s">
        <v>83</v>
      </c>
      <c r="BH2790" t="s">
        <v>84</v>
      </c>
      <c r="BI2790" t="s">
        <v>85</v>
      </c>
    </row>
    <row r="2791" spans="1:61" x14ac:dyDescent="0.3">
      <c r="A2791" t="str">
        <f>"200593C0300"</f>
        <v>200593C0300</v>
      </c>
      <c r="B2791" t="s">
        <v>5683</v>
      </c>
      <c r="C2791">
        <v>20</v>
      </c>
      <c r="D2791" t="s">
        <v>79</v>
      </c>
      <c r="E2791">
        <v>13</v>
      </c>
      <c r="F2791" t="s">
        <v>5455</v>
      </c>
      <c r="G2791">
        <v>593</v>
      </c>
      <c r="H2791">
        <v>3</v>
      </c>
      <c r="I2791" t="s">
        <v>89</v>
      </c>
      <c r="J2791">
        <v>0</v>
      </c>
      <c r="K2791">
        <v>1</v>
      </c>
      <c r="L2791">
        <v>2</v>
      </c>
      <c r="M2791">
        <v>261</v>
      </c>
      <c r="N2791">
        <v>403</v>
      </c>
      <c r="O2791">
        <v>1</v>
      </c>
      <c r="P2791">
        <v>399</v>
      </c>
      <c r="Q2791">
        <v>36</v>
      </c>
      <c r="R2791">
        <v>75</v>
      </c>
      <c r="S2791">
        <v>9</v>
      </c>
      <c r="T2791">
        <v>8</v>
      </c>
      <c r="U2791">
        <v>14</v>
      </c>
      <c r="V2791">
        <v>7</v>
      </c>
      <c r="W2791">
        <v>10</v>
      </c>
      <c r="X2791">
        <v>5</v>
      </c>
      <c r="Y2791">
        <v>182</v>
      </c>
      <c r="Z2791">
        <v>11</v>
      </c>
      <c r="AA2791">
        <v>5</v>
      </c>
      <c r="AB2791">
        <v>6</v>
      </c>
      <c r="AC2791">
        <v>1</v>
      </c>
      <c r="AD2791">
        <v>0</v>
      </c>
      <c r="AE2791">
        <v>0</v>
      </c>
      <c r="AF2791">
        <v>0</v>
      </c>
      <c r="AK2791">
        <v>7</v>
      </c>
      <c r="AL2791">
        <v>6</v>
      </c>
      <c r="AM2791">
        <v>0</v>
      </c>
      <c r="AN2791">
        <v>0</v>
      </c>
      <c r="AT2791">
        <v>1</v>
      </c>
      <c r="AU2791">
        <v>16</v>
      </c>
      <c r="AV2791" t="s">
        <v>100</v>
      </c>
      <c r="AW2791">
        <v>399</v>
      </c>
      <c r="AX2791">
        <v>644</v>
      </c>
      <c r="BA2791">
        <v>1</v>
      </c>
      <c r="BC2791" t="s">
        <v>5684</v>
      </c>
      <c r="BD2791" s="4">
        <v>43283.129861111112</v>
      </c>
      <c r="BE2791" s="4">
        <v>43283.135868055557</v>
      </c>
      <c r="BF2791" s="4">
        <v>43283.135868055557</v>
      </c>
      <c r="BG2791" t="s">
        <v>83</v>
      </c>
      <c r="BH2791" t="s">
        <v>84</v>
      </c>
      <c r="BI2791" t="s">
        <v>85</v>
      </c>
    </row>
    <row r="2792" spans="1:61" x14ac:dyDescent="0.3">
      <c r="A2792" t="str">
        <f>"200593C0400"</f>
        <v>200593C0400</v>
      </c>
      <c r="B2792" t="s">
        <v>5685</v>
      </c>
      <c r="C2792">
        <v>20</v>
      </c>
      <c r="D2792" t="s">
        <v>79</v>
      </c>
      <c r="E2792">
        <v>13</v>
      </c>
      <c r="F2792" t="s">
        <v>5455</v>
      </c>
      <c r="G2792">
        <v>593</v>
      </c>
      <c r="H2792">
        <v>4</v>
      </c>
      <c r="I2792" t="s">
        <v>89</v>
      </c>
      <c r="J2792">
        <v>0</v>
      </c>
      <c r="K2792">
        <v>1</v>
      </c>
      <c r="L2792">
        <v>2</v>
      </c>
      <c r="AX2792">
        <v>644</v>
      </c>
      <c r="AZ2792" t="s">
        <v>156</v>
      </c>
      <c r="BA2792">
        <v>0</v>
      </c>
      <c r="BC2792" t="s">
        <v>5686</v>
      </c>
      <c r="BD2792" s="4">
        <v>43283.427777777775</v>
      </c>
      <c r="BE2792" s="4">
        <v>43283.430497685185</v>
      </c>
      <c r="BF2792" s="4">
        <v>43283.430497685185</v>
      </c>
      <c r="BG2792" t="s">
        <v>83</v>
      </c>
      <c r="BH2792" t="s">
        <v>84</v>
      </c>
      <c r="BI2792" t="s">
        <v>85</v>
      </c>
    </row>
    <row r="2793" spans="1:61" x14ac:dyDescent="0.3">
      <c r="A2793" t="str">
        <f>"200594B0100"</f>
        <v>200594B0100</v>
      </c>
      <c r="B2793" t="s">
        <v>5687</v>
      </c>
      <c r="C2793">
        <v>20</v>
      </c>
      <c r="D2793" t="s">
        <v>79</v>
      </c>
      <c r="E2793">
        <v>13</v>
      </c>
      <c r="F2793" t="s">
        <v>5455</v>
      </c>
      <c r="G2793">
        <v>594</v>
      </c>
      <c r="H2793">
        <v>1</v>
      </c>
      <c r="I2793" t="s">
        <v>81</v>
      </c>
      <c r="J2793">
        <v>0</v>
      </c>
      <c r="K2793">
        <v>1</v>
      </c>
      <c r="L2793">
        <v>2</v>
      </c>
      <c r="M2793">
        <v>256</v>
      </c>
      <c r="N2793" t="s">
        <v>315</v>
      </c>
      <c r="O2793">
        <v>5</v>
      </c>
      <c r="P2793">
        <v>325</v>
      </c>
      <c r="Q2793">
        <v>30</v>
      </c>
      <c r="R2793">
        <v>46</v>
      </c>
      <c r="S2793">
        <v>6</v>
      </c>
      <c r="T2793">
        <v>12</v>
      </c>
      <c r="U2793">
        <v>26</v>
      </c>
      <c r="V2793">
        <v>4</v>
      </c>
      <c r="W2793">
        <v>7</v>
      </c>
      <c r="X2793">
        <v>3</v>
      </c>
      <c r="Y2793">
        <v>173</v>
      </c>
      <c r="Z2793">
        <v>14</v>
      </c>
      <c r="AA2793">
        <v>1</v>
      </c>
      <c r="AB2793">
        <v>6</v>
      </c>
      <c r="AC2793" t="s">
        <v>100</v>
      </c>
      <c r="AD2793">
        <v>1</v>
      </c>
      <c r="AE2793" t="s">
        <v>100</v>
      </c>
      <c r="AF2793">
        <v>10</v>
      </c>
      <c r="AK2793">
        <v>10</v>
      </c>
      <c r="AL2793" t="s">
        <v>100</v>
      </c>
      <c r="AM2793" t="s">
        <v>100</v>
      </c>
      <c r="AN2793" t="s">
        <v>100</v>
      </c>
      <c r="AT2793">
        <v>1</v>
      </c>
      <c r="AU2793">
        <v>14</v>
      </c>
      <c r="AV2793">
        <v>354</v>
      </c>
      <c r="AW2793">
        <v>364</v>
      </c>
      <c r="AX2793">
        <v>592</v>
      </c>
      <c r="AZ2793" t="s">
        <v>101</v>
      </c>
      <c r="BA2793">
        <v>1</v>
      </c>
      <c r="BC2793" t="s">
        <v>5688</v>
      </c>
      <c r="BD2793" s="4">
        <v>43283.109722222223</v>
      </c>
      <c r="BE2793" s="4">
        <v>43283.136238425926</v>
      </c>
      <c r="BF2793" s="4">
        <v>43283.136238425926</v>
      </c>
      <c r="BG2793" t="s">
        <v>83</v>
      </c>
      <c r="BH2793" t="s">
        <v>84</v>
      </c>
      <c r="BI2793" t="s">
        <v>85</v>
      </c>
    </row>
    <row r="2794" spans="1:61" x14ac:dyDescent="0.3">
      <c r="A2794" t="str">
        <f>"200594C0100"</f>
        <v>200594C0100</v>
      </c>
      <c r="B2794" t="s">
        <v>5689</v>
      </c>
      <c r="C2794">
        <v>20</v>
      </c>
      <c r="D2794" t="s">
        <v>79</v>
      </c>
      <c r="E2794">
        <v>13</v>
      </c>
      <c r="F2794" t="s">
        <v>5455</v>
      </c>
      <c r="G2794">
        <v>594</v>
      </c>
      <c r="H2794">
        <v>1</v>
      </c>
      <c r="I2794" t="s">
        <v>89</v>
      </c>
      <c r="J2794">
        <v>0</v>
      </c>
      <c r="K2794">
        <v>1</v>
      </c>
      <c r="L2794">
        <v>2</v>
      </c>
      <c r="M2794">
        <v>236</v>
      </c>
      <c r="N2794">
        <v>375</v>
      </c>
      <c r="O2794">
        <v>0</v>
      </c>
      <c r="P2794">
        <v>387</v>
      </c>
      <c r="Q2794">
        <v>26</v>
      </c>
      <c r="R2794">
        <v>69</v>
      </c>
      <c r="S2794">
        <v>11</v>
      </c>
      <c r="T2794">
        <v>7</v>
      </c>
      <c r="U2794">
        <v>34</v>
      </c>
      <c r="V2794">
        <v>1</v>
      </c>
      <c r="W2794">
        <v>6</v>
      </c>
      <c r="X2794">
        <v>5</v>
      </c>
      <c r="Y2794">
        <v>172</v>
      </c>
      <c r="Z2794">
        <v>10</v>
      </c>
      <c r="AA2794">
        <v>0</v>
      </c>
      <c r="AB2794">
        <v>13</v>
      </c>
      <c r="AC2794">
        <v>0</v>
      </c>
      <c r="AD2794">
        <v>1</v>
      </c>
      <c r="AE2794">
        <v>0</v>
      </c>
      <c r="AF2794">
        <v>0</v>
      </c>
      <c r="AK2794">
        <v>11</v>
      </c>
      <c r="AL2794">
        <v>3</v>
      </c>
      <c r="AM2794">
        <v>1</v>
      </c>
      <c r="AN2794">
        <v>1</v>
      </c>
      <c r="AT2794">
        <v>0</v>
      </c>
      <c r="AU2794">
        <v>16</v>
      </c>
      <c r="AV2794">
        <v>387</v>
      </c>
      <c r="AW2794">
        <v>387</v>
      </c>
      <c r="AX2794">
        <v>592</v>
      </c>
      <c r="BA2794">
        <v>1</v>
      </c>
      <c r="BC2794" t="s">
        <v>5690</v>
      </c>
      <c r="BD2794" s="4">
        <v>43283.109027777777</v>
      </c>
      <c r="BE2794" s="4">
        <v>43283.113923611112</v>
      </c>
      <c r="BF2794" s="4">
        <v>43283.113923611112</v>
      </c>
      <c r="BG2794" t="s">
        <v>83</v>
      </c>
      <c r="BH2794" t="s">
        <v>84</v>
      </c>
      <c r="BI2794" t="s">
        <v>85</v>
      </c>
    </row>
    <row r="2795" spans="1:61" x14ac:dyDescent="0.3">
      <c r="A2795" t="str">
        <f>"200594C0200"</f>
        <v>200594C0200</v>
      </c>
      <c r="B2795" t="s">
        <v>5691</v>
      </c>
      <c r="C2795">
        <v>20</v>
      </c>
      <c r="D2795" t="s">
        <v>79</v>
      </c>
      <c r="E2795">
        <v>13</v>
      </c>
      <c r="F2795" t="s">
        <v>5455</v>
      </c>
      <c r="G2795">
        <v>594</v>
      </c>
      <c r="H2795">
        <v>2</v>
      </c>
      <c r="I2795" t="s">
        <v>89</v>
      </c>
      <c r="J2795">
        <v>0</v>
      </c>
      <c r="K2795">
        <v>1</v>
      </c>
      <c r="L2795">
        <v>2</v>
      </c>
      <c r="M2795">
        <v>261</v>
      </c>
      <c r="N2795">
        <v>356</v>
      </c>
      <c r="O2795">
        <v>6</v>
      </c>
      <c r="P2795">
        <v>356</v>
      </c>
      <c r="Q2795">
        <v>26</v>
      </c>
      <c r="R2795">
        <v>55</v>
      </c>
      <c r="S2795">
        <v>12</v>
      </c>
      <c r="T2795">
        <v>10</v>
      </c>
      <c r="U2795">
        <v>24</v>
      </c>
      <c r="V2795">
        <v>5</v>
      </c>
      <c r="W2795">
        <v>4</v>
      </c>
      <c r="X2795">
        <v>4</v>
      </c>
      <c r="Y2795">
        <v>178</v>
      </c>
      <c r="Z2795">
        <v>8</v>
      </c>
      <c r="AA2795">
        <v>3</v>
      </c>
      <c r="AB2795">
        <v>7</v>
      </c>
      <c r="AC2795">
        <v>1</v>
      </c>
      <c r="AD2795">
        <v>1</v>
      </c>
      <c r="AE2795">
        <v>0</v>
      </c>
      <c r="AF2795">
        <v>0</v>
      </c>
      <c r="AK2795">
        <v>6</v>
      </c>
      <c r="AL2795">
        <v>0</v>
      </c>
      <c r="AM2795">
        <v>0</v>
      </c>
      <c r="AN2795">
        <v>0</v>
      </c>
      <c r="AT2795">
        <v>0</v>
      </c>
      <c r="AU2795">
        <v>11</v>
      </c>
      <c r="AV2795" t="s">
        <v>100</v>
      </c>
      <c r="AW2795">
        <v>355</v>
      </c>
      <c r="AX2795">
        <v>592</v>
      </c>
      <c r="BA2795">
        <v>1</v>
      </c>
      <c r="BC2795" t="s">
        <v>5692</v>
      </c>
      <c r="BD2795" s="4">
        <v>43283.111111111109</v>
      </c>
      <c r="BE2795" s="4">
        <v>43283.116562499999</v>
      </c>
      <c r="BF2795" s="4">
        <v>43283.116562499999</v>
      </c>
      <c r="BG2795" t="s">
        <v>83</v>
      </c>
      <c r="BH2795" t="s">
        <v>84</v>
      </c>
      <c r="BI2795" t="s">
        <v>85</v>
      </c>
    </row>
    <row r="2796" spans="1:61" x14ac:dyDescent="0.3">
      <c r="A2796" t="str">
        <f>"200595B0100"</f>
        <v>200595B0100</v>
      </c>
      <c r="B2796" t="s">
        <v>5693</v>
      </c>
      <c r="C2796">
        <v>20</v>
      </c>
      <c r="D2796" t="s">
        <v>79</v>
      </c>
      <c r="E2796">
        <v>13</v>
      </c>
      <c r="F2796" t="s">
        <v>5455</v>
      </c>
      <c r="G2796">
        <v>595</v>
      </c>
      <c r="H2796">
        <v>1</v>
      </c>
      <c r="I2796" t="s">
        <v>81</v>
      </c>
      <c r="J2796">
        <v>0</v>
      </c>
      <c r="K2796">
        <v>1</v>
      </c>
      <c r="L2796">
        <v>2</v>
      </c>
      <c r="M2796">
        <v>262</v>
      </c>
      <c r="N2796">
        <v>375</v>
      </c>
      <c r="O2796">
        <v>12</v>
      </c>
      <c r="P2796">
        <v>0</v>
      </c>
      <c r="Q2796">
        <v>50</v>
      </c>
      <c r="R2796">
        <v>64</v>
      </c>
      <c r="S2796">
        <v>10</v>
      </c>
      <c r="T2796">
        <v>10</v>
      </c>
      <c r="U2796">
        <v>21</v>
      </c>
      <c r="V2796">
        <v>6</v>
      </c>
      <c r="W2796">
        <v>14</v>
      </c>
      <c r="X2796">
        <v>5</v>
      </c>
      <c r="Y2796">
        <v>155</v>
      </c>
      <c r="Z2796">
        <v>7</v>
      </c>
      <c r="AA2796">
        <v>2</v>
      </c>
      <c r="AB2796">
        <v>9</v>
      </c>
      <c r="AC2796">
        <v>2</v>
      </c>
      <c r="AD2796">
        <v>0</v>
      </c>
      <c r="AE2796">
        <v>1</v>
      </c>
      <c r="AF2796">
        <v>0</v>
      </c>
      <c r="AK2796">
        <v>0</v>
      </c>
      <c r="AL2796">
        <v>1</v>
      </c>
      <c r="AM2796">
        <v>1</v>
      </c>
      <c r="AN2796">
        <v>0</v>
      </c>
      <c r="AT2796">
        <v>0</v>
      </c>
      <c r="AU2796">
        <v>16</v>
      </c>
      <c r="AV2796">
        <v>374</v>
      </c>
      <c r="AW2796">
        <v>374</v>
      </c>
      <c r="AX2796">
        <v>621</v>
      </c>
      <c r="BA2796">
        <v>1</v>
      </c>
      <c r="BC2796" t="s">
        <v>5694</v>
      </c>
      <c r="BD2796" s="4">
        <v>43283.026863425926</v>
      </c>
      <c r="BE2796" s="4">
        <v>43283.032094907408</v>
      </c>
      <c r="BF2796" s="4">
        <v>43283.032094907408</v>
      </c>
      <c r="BG2796" t="s">
        <v>373</v>
      </c>
      <c r="BH2796" t="s">
        <v>374</v>
      </c>
      <c r="BI2796" t="s">
        <v>85</v>
      </c>
    </row>
    <row r="2797" spans="1:61" x14ac:dyDescent="0.3">
      <c r="A2797" t="str">
        <f>"200595C0100"</f>
        <v>200595C0100</v>
      </c>
      <c r="B2797" t="s">
        <v>5695</v>
      </c>
      <c r="C2797">
        <v>20</v>
      </c>
      <c r="D2797" t="s">
        <v>79</v>
      </c>
      <c r="E2797">
        <v>13</v>
      </c>
      <c r="F2797" t="s">
        <v>5455</v>
      </c>
      <c r="G2797">
        <v>595</v>
      </c>
      <c r="H2797">
        <v>1</v>
      </c>
      <c r="I2797" t="s">
        <v>89</v>
      </c>
      <c r="J2797">
        <v>0</v>
      </c>
      <c r="K2797">
        <v>1</v>
      </c>
      <c r="L2797">
        <v>2</v>
      </c>
      <c r="M2797">
        <v>274</v>
      </c>
      <c r="N2797">
        <v>365</v>
      </c>
      <c r="O2797">
        <v>5</v>
      </c>
      <c r="P2797">
        <v>365</v>
      </c>
      <c r="Q2797">
        <v>17</v>
      </c>
      <c r="R2797">
        <v>52</v>
      </c>
      <c r="S2797">
        <v>6</v>
      </c>
      <c r="T2797">
        <v>12</v>
      </c>
      <c r="U2797">
        <v>18</v>
      </c>
      <c r="V2797">
        <v>4</v>
      </c>
      <c r="W2797">
        <v>12</v>
      </c>
      <c r="X2797">
        <v>3</v>
      </c>
      <c r="Y2797">
        <v>196</v>
      </c>
      <c r="Z2797">
        <v>10</v>
      </c>
      <c r="AA2797">
        <v>4</v>
      </c>
      <c r="AB2797">
        <v>6</v>
      </c>
      <c r="AC2797">
        <v>0</v>
      </c>
      <c r="AD2797">
        <v>0</v>
      </c>
      <c r="AE2797">
        <v>0</v>
      </c>
      <c r="AF2797">
        <v>0</v>
      </c>
      <c r="AK2797">
        <v>3</v>
      </c>
      <c r="AL2797">
        <v>1</v>
      </c>
      <c r="AM2797">
        <v>0</v>
      </c>
      <c r="AN2797">
        <v>1</v>
      </c>
      <c r="AT2797">
        <v>17</v>
      </c>
      <c r="AU2797" t="s">
        <v>315</v>
      </c>
      <c r="AV2797">
        <v>365</v>
      </c>
      <c r="AW2797">
        <v>362</v>
      </c>
      <c r="AX2797">
        <v>620</v>
      </c>
      <c r="AZ2797" t="s">
        <v>101</v>
      </c>
      <c r="BA2797">
        <v>1</v>
      </c>
      <c r="BC2797" t="s">
        <v>5696</v>
      </c>
      <c r="BD2797" s="4">
        <v>43283.012337962966</v>
      </c>
      <c r="BE2797" s="4">
        <v>43283.01835648148</v>
      </c>
      <c r="BF2797" s="4">
        <v>43283.01835648148</v>
      </c>
      <c r="BG2797" t="s">
        <v>373</v>
      </c>
      <c r="BH2797" t="s">
        <v>374</v>
      </c>
      <c r="BI2797" t="s">
        <v>85</v>
      </c>
    </row>
    <row r="2798" spans="1:61" x14ac:dyDescent="0.3">
      <c r="A2798" t="str">
        <f>"200596B0100"</f>
        <v>200596B0100</v>
      </c>
      <c r="B2798" t="s">
        <v>5697</v>
      </c>
      <c r="C2798">
        <v>20</v>
      </c>
      <c r="D2798" t="s">
        <v>79</v>
      </c>
      <c r="E2798">
        <v>13</v>
      </c>
      <c r="F2798" t="s">
        <v>5455</v>
      </c>
      <c r="G2798">
        <v>596</v>
      </c>
      <c r="H2798">
        <v>1</v>
      </c>
      <c r="I2798" t="s">
        <v>81</v>
      </c>
      <c r="J2798">
        <v>0</v>
      </c>
      <c r="K2798">
        <v>1</v>
      </c>
      <c r="L2798">
        <v>2</v>
      </c>
      <c r="M2798">
        <v>262</v>
      </c>
      <c r="N2798">
        <v>370</v>
      </c>
      <c r="O2798">
        <v>3</v>
      </c>
      <c r="P2798">
        <v>370</v>
      </c>
      <c r="Q2798">
        <v>30</v>
      </c>
      <c r="R2798">
        <v>47</v>
      </c>
      <c r="S2798">
        <v>12</v>
      </c>
      <c r="T2798">
        <v>18</v>
      </c>
      <c r="U2798">
        <v>22</v>
      </c>
      <c r="V2798">
        <v>6</v>
      </c>
      <c r="W2798">
        <v>11</v>
      </c>
      <c r="X2798">
        <v>4</v>
      </c>
      <c r="Y2798">
        <v>173</v>
      </c>
      <c r="Z2798">
        <v>16</v>
      </c>
      <c r="AA2798">
        <v>0</v>
      </c>
      <c r="AB2798">
        <v>14</v>
      </c>
      <c r="AC2798">
        <v>0</v>
      </c>
      <c r="AD2798">
        <v>0</v>
      </c>
      <c r="AE2798">
        <v>1</v>
      </c>
      <c r="AF2798">
        <v>0</v>
      </c>
      <c r="AK2798">
        <v>8</v>
      </c>
      <c r="AL2798">
        <v>0</v>
      </c>
      <c r="AM2798">
        <v>0</v>
      </c>
      <c r="AN2798">
        <v>0</v>
      </c>
      <c r="AT2798">
        <v>0</v>
      </c>
      <c r="AU2798">
        <v>7</v>
      </c>
      <c r="AV2798">
        <v>370</v>
      </c>
      <c r="AW2798">
        <v>369</v>
      </c>
      <c r="AX2798">
        <v>610</v>
      </c>
      <c r="BA2798">
        <v>1</v>
      </c>
      <c r="BC2798" t="s">
        <v>5698</v>
      </c>
      <c r="BD2798" s="4">
        <v>43283.058078703703</v>
      </c>
      <c r="BE2798" s="4">
        <v>43283.067511574074</v>
      </c>
      <c r="BF2798" s="4">
        <v>43283.067511574074</v>
      </c>
      <c r="BG2798" t="s">
        <v>373</v>
      </c>
      <c r="BH2798" t="s">
        <v>374</v>
      </c>
      <c r="BI2798" t="s">
        <v>85</v>
      </c>
    </row>
    <row r="2799" spans="1:61" x14ac:dyDescent="0.3">
      <c r="A2799" t="str">
        <f>"200596C0100"</f>
        <v>200596C0100</v>
      </c>
      <c r="B2799" t="s">
        <v>5699</v>
      </c>
      <c r="C2799">
        <v>20</v>
      </c>
      <c r="D2799" t="s">
        <v>79</v>
      </c>
      <c r="E2799">
        <v>13</v>
      </c>
      <c r="F2799" t="s">
        <v>5455</v>
      </c>
      <c r="G2799">
        <v>596</v>
      </c>
      <c r="H2799">
        <v>1</v>
      </c>
      <c r="I2799" t="s">
        <v>89</v>
      </c>
      <c r="J2799">
        <v>0</v>
      </c>
      <c r="K2799">
        <v>1</v>
      </c>
      <c r="L2799">
        <v>2</v>
      </c>
      <c r="M2799">
        <v>268</v>
      </c>
      <c r="N2799">
        <v>364</v>
      </c>
      <c r="O2799">
        <v>7</v>
      </c>
      <c r="P2799">
        <v>357</v>
      </c>
      <c r="Q2799">
        <v>20</v>
      </c>
      <c r="R2799">
        <v>47</v>
      </c>
      <c r="S2799">
        <v>10</v>
      </c>
      <c r="T2799">
        <v>9</v>
      </c>
      <c r="U2799">
        <v>15</v>
      </c>
      <c r="V2799">
        <v>10</v>
      </c>
      <c r="W2799">
        <v>7</v>
      </c>
      <c r="X2799">
        <v>4</v>
      </c>
      <c r="Y2799">
        <v>185</v>
      </c>
      <c r="Z2799">
        <v>12</v>
      </c>
      <c r="AA2799">
        <v>4</v>
      </c>
      <c r="AB2799">
        <v>9</v>
      </c>
      <c r="AC2799">
        <v>1</v>
      </c>
      <c r="AD2799">
        <v>0</v>
      </c>
      <c r="AE2799">
        <v>1</v>
      </c>
      <c r="AF2799">
        <v>0</v>
      </c>
      <c r="AK2799">
        <v>3</v>
      </c>
      <c r="AL2799">
        <v>2</v>
      </c>
      <c r="AM2799">
        <v>1</v>
      </c>
      <c r="AN2799">
        <v>3</v>
      </c>
      <c r="AT2799">
        <v>0</v>
      </c>
      <c r="AU2799">
        <v>20</v>
      </c>
      <c r="AV2799">
        <v>363</v>
      </c>
      <c r="AW2799">
        <v>363</v>
      </c>
      <c r="AX2799">
        <v>610</v>
      </c>
      <c r="BA2799">
        <v>1</v>
      </c>
      <c r="BC2799" t="s">
        <v>5700</v>
      </c>
      <c r="BD2799" s="4">
        <v>43283.393750000003</v>
      </c>
      <c r="BE2799" s="4">
        <v>43283.39738425926</v>
      </c>
      <c r="BF2799" s="4">
        <v>43283.39738425926</v>
      </c>
      <c r="BG2799" t="s">
        <v>83</v>
      </c>
      <c r="BH2799" t="s">
        <v>84</v>
      </c>
      <c r="BI2799" t="s">
        <v>85</v>
      </c>
    </row>
    <row r="2800" spans="1:61" x14ac:dyDescent="0.3">
      <c r="A2800" t="str">
        <f>"200596C0200"</f>
        <v>200596C0200</v>
      </c>
      <c r="B2800" t="s">
        <v>5701</v>
      </c>
      <c r="C2800">
        <v>20</v>
      </c>
      <c r="D2800" t="s">
        <v>79</v>
      </c>
      <c r="E2800">
        <v>13</v>
      </c>
      <c r="F2800" t="s">
        <v>5455</v>
      </c>
      <c r="G2800">
        <v>596</v>
      </c>
      <c r="H2800">
        <v>2</v>
      </c>
      <c r="I2800" t="s">
        <v>89</v>
      </c>
      <c r="J2800">
        <v>0</v>
      </c>
      <c r="K2800">
        <v>1</v>
      </c>
      <c r="L2800">
        <v>2</v>
      </c>
      <c r="M2800">
        <v>286</v>
      </c>
      <c r="N2800">
        <v>346</v>
      </c>
      <c r="O2800">
        <v>4</v>
      </c>
      <c r="P2800">
        <v>346</v>
      </c>
      <c r="Q2800">
        <v>25</v>
      </c>
      <c r="R2800">
        <v>47</v>
      </c>
      <c r="S2800">
        <v>5</v>
      </c>
      <c r="T2800">
        <v>12</v>
      </c>
      <c r="U2800">
        <v>21</v>
      </c>
      <c r="V2800">
        <v>4</v>
      </c>
      <c r="W2800">
        <v>14</v>
      </c>
      <c r="X2800">
        <v>7</v>
      </c>
      <c r="Y2800">
        <v>162</v>
      </c>
      <c r="Z2800">
        <v>16</v>
      </c>
      <c r="AA2800">
        <v>1</v>
      </c>
      <c r="AB2800">
        <v>11</v>
      </c>
      <c r="AC2800">
        <v>0</v>
      </c>
      <c r="AD2800">
        <v>1</v>
      </c>
      <c r="AE2800">
        <v>0</v>
      </c>
      <c r="AF2800">
        <v>0</v>
      </c>
      <c r="AK2800">
        <v>7</v>
      </c>
      <c r="AL2800">
        <v>1</v>
      </c>
      <c r="AM2800" t="s">
        <v>100</v>
      </c>
      <c r="AN2800" t="s">
        <v>100</v>
      </c>
      <c r="AT2800">
        <v>3</v>
      </c>
      <c r="AU2800">
        <v>9</v>
      </c>
      <c r="AV2800">
        <v>346</v>
      </c>
      <c r="AW2800">
        <v>346</v>
      </c>
      <c r="AX2800">
        <v>610</v>
      </c>
      <c r="AZ2800" t="s">
        <v>101</v>
      </c>
      <c r="BA2800">
        <v>1</v>
      </c>
      <c r="BC2800" t="s">
        <v>5702</v>
      </c>
      <c r="BD2800" s="4">
        <v>43283.140972222223</v>
      </c>
      <c r="BE2800" s="4">
        <v>43283.177905092591</v>
      </c>
      <c r="BF2800" s="4">
        <v>43283.177905092591</v>
      </c>
      <c r="BG2800" t="s">
        <v>83</v>
      </c>
      <c r="BH2800" t="s">
        <v>84</v>
      </c>
      <c r="BI2800" t="s">
        <v>85</v>
      </c>
    </row>
    <row r="2801" spans="1:61" x14ac:dyDescent="0.3">
      <c r="A2801" t="str">
        <f>"200597B0100"</f>
        <v>200597B0100</v>
      </c>
      <c r="B2801" t="s">
        <v>5703</v>
      </c>
      <c r="C2801">
        <v>20</v>
      </c>
      <c r="D2801" t="s">
        <v>79</v>
      </c>
      <c r="E2801">
        <v>13</v>
      </c>
      <c r="F2801" t="s">
        <v>5455</v>
      </c>
      <c r="G2801">
        <v>597</v>
      </c>
      <c r="H2801">
        <v>1</v>
      </c>
      <c r="I2801" t="s">
        <v>81</v>
      </c>
      <c r="J2801">
        <v>0</v>
      </c>
      <c r="K2801">
        <v>1</v>
      </c>
      <c r="L2801">
        <v>2</v>
      </c>
      <c r="M2801">
        <v>295</v>
      </c>
      <c r="N2801">
        <v>459</v>
      </c>
      <c r="O2801">
        <v>8</v>
      </c>
      <c r="P2801">
        <v>459</v>
      </c>
      <c r="Q2801">
        <v>44</v>
      </c>
      <c r="R2801">
        <v>45</v>
      </c>
      <c r="S2801">
        <v>10</v>
      </c>
      <c r="T2801">
        <v>7</v>
      </c>
      <c r="U2801">
        <v>29</v>
      </c>
      <c r="V2801">
        <v>6</v>
      </c>
      <c r="W2801">
        <v>15</v>
      </c>
      <c r="X2801">
        <v>6</v>
      </c>
      <c r="Y2801">
        <v>238</v>
      </c>
      <c r="Z2801">
        <v>9</v>
      </c>
      <c r="AA2801">
        <v>6</v>
      </c>
      <c r="AB2801">
        <v>13</v>
      </c>
      <c r="AC2801">
        <v>1</v>
      </c>
      <c r="AD2801">
        <v>0</v>
      </c>
      <c r="AE2801">
        <v>0</v>
      </c>
      <c r="AF2801">
        <v>0</v>
      </c>
      <c r="AK2801">
        <v>7</v>
      </c>
      <c r="AL2801">
        <v>2</v>
      </c>
      <c r="AM2801">
        <v>1</v>
      </c>
      <c r="AN2801">
        <v>1</v>
      </c>
      <c r="AT2801">
        <v>0</v>
      </c>
      <c r="AU2801">
        <v>19</v>
      </c>
      <c r="AV2801">
        <v>459</v>
      </c>
      <c r="AW2801">
        <v>459</v>
      </c>
      <c r="AX2801">
        <v>732</v>
      </c>
      <c r="BA2801">
        <v>1</v>
      </c>
      <c r="BC2801" t="s">
        <v>5704</v>
      </c>
      <c r="BD2801" s="4">
        <v>43283.172222222223</v>
      </c>
      <c r="BE2801" s="4">
        <v>43283.186631944445</v>
      </c>
      <c r="BF2801" s="4">
        <v>43283.186631944445</v>
      </c>
      <c r="BG2801" t="s">
        <v>83</v>
      </c>
      <c r="BH2801" t="s">
        <v>84</v>
      </c>
      <c r="BI2801" t="s">
        <v>85</v>
      </c>
    </row>
    <row r="2802" spans="1:61" x14ac:dyDescent="0.3">
      <c r="A2802" t="str">
        <f>"200597C0100"</f>
        <v>200597C0100</v>
      </c>
      <c r="B2802" t="s">
        <v>5705</v>
      </c>
      <c r="C2802">
        <v>20</v>
      </c>
      <c r="D2802" t="s">
        <v>79</v>
      </c>
      <c r="E2802">
        <v>13</v>
      </c>
      <c r="F2802" t="s">
        <v>5455</v>
      </c>
      <c r="G2802">
        <v>597</v>
      </c>
      <c r="H2802">
        <v>1</v>
      </c>
      <c r="I2802" t="s">
        <v>89</v>
      </c>
      <c r="J2802">
        <v>0</v>
      </c>
      <c r="K2802">
        <v>1</v>
      </c>
      <c r="L2802">
        <v>2</v>
      </c>
      <c r="M2802">
        <v>292</v>
      </c>
      <c r="N2802">
        <v>461</v>
      </c>
      <c r="O2802">
        <v>3</v>
      </c>
      <c r="P2802">
        <v>461</v>
      </c>
      <c r="Q2802">
        <v>48</v>
      </c>
      <c r="R2802">
        <v>56</v>
      </c>
      <c r="S2802">
        <v>8</v>
      </c>
      <c r="T2802">
        <v>17</v>
      </c>
      <c r="U2802">
        <v>21</v>
      </c>
      <c r="V2802">
        <v>5</v>
      </c>
      <c r="W2802">
        <v>17</v>
      </c>
      <c r="X2802">
        <v>9</v>
      </c>
      <c r="Y2802">
        <v>209</v>
      </c>
      <c r="Z2802">
        <v>4</v>
      </c>
      <c r="AA2802">
        <v>4</v>
      </c>
      <c r="AB2802">
        <v>27</v>
      </c>
      <c r="AC2802">
        <v>2</v>
      </c>
      <c r="AD2802">
        <v>1</v>
      </c>
      <c r="AE2802">
        <v>0</v>
      </c>
      <c r="AF2802">
        <v>0</v>
      </c>
      <c r="AK2802">
        <v>10</v>
      </c>
      <c r="AL2802">
        <v>1</v>
      </c>
      <c r="AM2802">
        <v>0</v>
      </c>
      <c r="AN2802">
        <v>1</v>
      </c>
      <c r="AT2802">
        <v>0</v>
      </c>
      <c r="AU2802">
        <v>21</v>
      </c>
      <c r="AV2802">
        <v>461</v>
      </c>
      <c r="AW2802">
        <v>461</v>
      </c>
      <c r="AX2802">
        <v>731</v>
      </c>
      <c r="BA2802">
        <v>1</v>
      </c>
      <c r="BC2802" t="s">
        <v>5706</v>
      </c>
      <c r="BD2802" s="4">
        <v>43283.172222222223</v>
      </c>
      <c r="BE2802" s="4">
        <v>43283.193530092591</v>
      </c>
      <c r="BF2802" s="4">
        <v>43283.193530092591</v>
      </c>
      <c r="BG2802" t="s">
        <v>83</v>
      </c>
      <c r="BH2802" t="s">
        <v>84</v>
      </c>
      <c r="BI2802" t="s">
        <v>85</v>
      </c>
    </row>
    <row r="2803" spans="1:61" x14ac:dyDescent="0.3">
      <c r="A2803" t="str">
        <f>"200598B0100"</f>
        <v>200598B0100</v>
      </c>
      <c r="B2803" t="s">
        <v>5707</v>
      </c>
      <c r="C2803">
        <v>20</v>
      </c>
      <c r="D2803" t="s">
        <v>79</v>
      </c>
      <c r="E2803">
        <v>13</v>
      </c>
      <c r="F2803" t="s">
        <v>5455</v>
      </c>
      <c r="G2803">
        <v>598</v>
      </c>
      <c r="H2803">
        <v>1</v>
      </c>
      <c r="I2803" t="s">
        <v>81</v>
      </c>
      <c r="J2803">
        <v>0</v>
      </c>
      <c r="K2803">
        <v>1</v>
      </c>
      <c r="L2803">
        <v>2</v>
      </c>
      <c r="M2803">
        <v>223</v>
      </c>
      <c r="N2803">
        <v>521</v>
      </c>
      <c r="O2803">
        <v>5</v>
      </c>
      <c r="P2803">
        <v>517</v>
      </c>
      <c r="Q2803">
        <v>66</v>
      </c>
      <c r="R2803">
        <v>85</v>
      </c>
      <c r="S2803">
        <v>14</v>
      </c>
      <c r="T2803">
        <v>15</v>
      </c>
      <c r="U2803">
        <v>19</v>
      </c>
      <c r="V2803">
        <v>4</v>
      </c>
      <c r="W2803">
        <v>4</v>
      </c>
      <c r="X2803">
        <v>5</v>
      </c>
      <c r="Y2803">
        <v>230</v>
      </c>
      <c r="Z2803">
        <v>9</v>
      </c>
      <c r="AA2803">
        <v>11</v>
      </c>
      <c r="AB2803">
        <v>20</v>
      </c>
      <c r="AC2803">
        <v>3</v>
      </c>
      <c r="AD2803">
        <v>2</v>
      </c>
      <c r="AE2803">
        <v>0</v>
      </c>
      <c r="AF2803">
        <v>0</v>
      </c>
      <c r="AK2803">
        <v>9</v>
      </c>
      <c r="AL2803">
        <v>1</v>
      </c>
      <c r="AM2803">
        <v>1</v>
      </c>
      <c r="AN2803">
        <v>2</v>
      </c>
      <c r="AT2803">
        <v>0</v>
      </c>
      <c r="AU2803">
        <v>21</v>
      </c>
      <c r="AV2803">
        <v>521</v>
      </c>
      <c r="AW2803">
        <v>521</v>
      </c>
      <c r="AX2803">
        <v>722</v>
      </c>
      <c r="BA2803">
        <v>1</v>
      </c>
      <c r="BC2803" t="s">
        <v>5708</v>
      </c>
      <c r="BD2803" s="4">
        <v>43283.011712962965</v>
      </c>
      <c r="BE2803" s="4">
        <v>43283.015856481485</v>
      </c>
      <c r="BF2803" s="4">
        <v>43283.015856481485</v>
      </c>
      <c r="BG2803" t="s">
        <v>373</v>
      </c>
      <c r="BH2803" t="s">
        <v>374</v>
      </c>
      <c r="BI2803" t="s">
        <v>85</v>
      </c>
    </row>
    <row r="2804" spans="1:61" x14ac:dyDescent="0.3">
      <c r="A2804" t="str">
        <f>"200599B0100"</f>
        <v>200599B0100</v>
      </c>
      <c r="B2804" t="s">
        <v>5709</v>
      </c>
      <c r="C2804">
        <v>20</v>
      </c>
      <c r="D2804" t="s">
        <v>79</v>
      </c>
      <c r="E2804">
        <v>13</v>
      </c>
      <c r="F2804" t="s">
        <v>5455</v>
      </c>
      <c r="G2804">
        <v>599</v>
      </c>
      <c r="H2804">
        <v>1</v>
      </c>
      <c r="I2804" t="s">
        <v>81</v>
      </c>
      <c r="J2804">
        <v>0</v>
      </c>
      <c r="K2804">
        <v>1</v>
      </c>
      <c r="L2804">
        <v>2</v>
      </c>
      <c r="M2804">
        <v>119</v>
      </c>
      <c r="N2804">
        <v>284</v>
      </c>
      <c r="O2804">
        <v>5</v>
      </c>
      <c r="P2804">
        <v>283</v>
      </c>
      <c r="Q2804">
        <v>32</v>
      </c>
      <c r="R2804">
        <v>61</v>
      </c>
      <c r="S2804">
        <v>3</v>
      </c>
      <c r="T2804">
        <v>7</v>
      </c>
      <c r="U2804">
        <v>13</v>
      </c>
      <c r="V2804">
        <v>7</v>
      </c>
      <c r="W2804">
        <v>10</v>
      </c>
      <c r="X2804">
        <v>3</v>
      </c>
      <c r="Y2804">
        <v>106</v>
      </c>
      <c r="Z2804">
        <v>6</v>
      </c>
      <c r="AA2804">
        <v>2</v>
      </c>
      <c r="AB2804">
        <v>16</v>
      </c>
      <c r="AC2804">
        <v>0</v>
      </c>
      <c r="AD2804">
        <v>0</v>
      </c>
      <c r="AE2804">
        <v>0</v>
      </c>
      <c r="AF2804">
        <v>0</v>
      </c>
      <c r="AK2804">
        <v>1</v>
      </c>
      <c r="AL2804">
        <v>3</v>
      </c>
      <c r="AM2804">
        <v>1</v>
      </c>
      <c r="AN2804">
        <v>0</v>
      </c>
      <c r="AT2804">
        <v>0</v>
      </c>
      <c r="AU2804">
        <v>12</v>
      </c>
      <c r="AV2804" t="s">
        <v>100</v>
      </c>
      <c r="AW2804">
        <v>283</v>
      </c>
      <c r="AX2804">
        <v>381</v>
      </c>
      <c r="BA2804">
        <v>1</v>
      </c>
      <c r="BC2804" t="s">
        <v>5710</v>
      </c>
      <c r="BD2804" s="4">
        <v>43282.935694444444</v>
      </c>
      <c r="BE2804" s="4">
        <v>43282.938275462962</v>
      </c>
      <c r="BF2804" s="4">
        <v>43282.938275462962</v>
      </c>
      <c r="BG2804" t="s">
        <v>373</v>
      </c>
      <c r="BH2804" t="s">
        <v>374</v>
      </c>
      <c r="BI2804" t="s">
        <v>85</v>
      </c>
    </row>
    <row r="2805" spans="1:61" x14ac:dyDescent="0.3">
      <c r="A2805" t="str">
        <f>"200599C0100"</f>
        <v>200599C0100</v>
      </c>
      <c r="B2805" t="s">
        <v>5711</v>
      </c>
      <c r="C2805">
        <v>20</v>
      </c>
      <c r="D2805" t="s">
        <v>79</v>
      </c>
      <c r="E2805">
        <v>13</v>
      </c>
      <c r="F2805" t="s">
        <v>5455</v>
      </c>
      <c r="G2805">
        <v>599</v>
      </c>
      <c r="H2805">
        <v>1</v>
      </c>
      <c r="I2805" t="s">
        <v>89</v>
      </c>
      <c r="J2805">
        <v>0</v>
      </c>
      <c r="K2805">
        <v>1</v>
      </c>
      <c r="L2805">
        <v>2</v>
      </c>
      <c r="M2805">
        <v>120</v>
      </c>
      <c r="N2805">
        <v>283</v>
      </c>
      <c r="O2805">
        <v>8</v>
      </c>
      <c r="P2805">
        <v>1</v>
      </c>
      <c r="Q2805">
        <v>32</v>
      </c>
      <c r="R2805">
        <v>44</v>
      </c>
      <c r="S2805">
        <v>4</v>
      </c>
      <c r="T2805">
        <v>12</v>
      </c>
      <c r="U2805">
        <v>19</v>
      </c>
      <c r="V2805">
        <v>4</v>
      </c>
      <c r="W2805">
        <v>5</v>
      </c>
      <c r="X2805">
        <v>2</v>
      </c>
      <c r="Y2805">
        <v>136</v>
      </c>
      <c r="Z2805">
        <v>4</v>
      </c>
      <c r="AA2805">
        <v>1</v>
      </c>
      <c r="AB2805">
        <v>11</v>
      </c>
      <c r="AC2805">
        <v>1</v>
      </c>
      <c r="AD2805">
        <v>0</v>
      </c>
      <c r="AE2805">
        <v>0</v>
      </c>
      <c r="AF2805">
        <v>0</v>
      </c>
      <c r="AK2805">
        <v>2</v>
      </c>
      <c r="AL2805">
        <v>0</v>
      </c>
      <c r="AM2805">
        <v>0</v>
      </c>
      <c r="AN2805">
        <v>1</v>
      </c>
      <c r="AT2805">
        <v>0</v>
      </c>
      <c r="AU2805">
        <v>6</v>
      </c>
      <c r="AV2805">
        <v>283</v>
      </c>
      <c r="AW2805">
        <v>284</v>
      </c>
      <c r="AX2805">
        <v>381</v>
      </c>
      <c r="BA2805">
        <v>1</v>
      </c>
      <c r="BC2805" t="s">
        <v>5712</v>
      </c>
      <c r="BD2805" s="4">
        <v>43282.940011574072</v>
      </c>
      <c r="BE2805" s="4">
        <v>43282.94599537037</v>
      </c>
      <c r="BF2805" s="4">
        <v>43282.94599537037</v>
      </c>
      <c r="BG2805" t="s">
        <v>373</v>
      </c>
      <c r="BH2805" t="s">
        <v>374</v>
      </c>
      <c r="BI2805" t="s">
        <v>85</v>
      </c>
    </row>
    <row r="2806" spans="1:61" x14ac:dyDescent="0.3">
      <c r="A2806" t="str">
        <f>"200600B0100"</f>
        <v>200600B0100</v>
      </c>
      <c r="B2806" t="s">
        <v>5713</v>
      </c>
      <c r="C2806">
        <v>20</v>
      </c>
      <c r="D2806" t="s">
        <v>79</v>
      </c>
      <c r="E2806">
        <v>13</v>
      </c>
      <c r="F2806" t="s">
        <v>5455</v>
      </c>
      <c r="G2806">
        <v>600</v>
      </c>
      <c r="H2806">
        <v>1</v>
      </c>
      <c r="I2806" t="s">
        <v>81</v>
      </c>
      <c r="J2806">
        <v>0</v>
      </c>
      <c r="K2806">
        <v>1</v>
      </c>
      <c r="L2806">
        <v>2</v>
      </c>
      <c r="M2806">
        <v>175</v>
      </c>
      <c r="N2806">
        <v>353</v>
      </c>
      <c r="O2806">
        <v>8</v>
      </c>
      <c r="P2806">
        <v>353</v>
      </c>
      <c r="Q2806">
        <v>55</v>
      </c>
      <c r="R2806">
        <v>42</v>
      </c>
      <c r="S2806">
        <v>5</v>
      </c>
      <c r="T2806">
        <v>2</v>
      </c>
      <c r="U2806">
        <v>10</v>
      </c>
      <c r="V2806">
        <v>9</v>
      </c>
      <c r="W2806">
        <v>4</v>
      </c>
      <c r="X2806">
        <v>4</v>
      </c>
      <c r="Y2806">
        <v>161</v>
      </c>
      <c r="Z2806">
        <v>4</v>
      </c>
      <c r="AA2806">
        <v>11</v>
      </c>
      <c r="AB2806">
        <v>16</v>
      </c>
      <c r="AC2806">
        <v>1</v>
      </c>
      <c r="AD2806">
        <v>0</v>
      </c>
      <c r="AE2806">
        <v>0</v>
      </c>
      <c r="AF2806">
        <v>0</v>
      </c>
      <c r="AK2806">
        <v>3</v>
      </c>
      <c r="AL2806">
        <v>0</v>
      </c>
      <c r="AM2806">
        <v>0</v>
      </c>
      <c r="AN2806">
        <v>1</v>
      </c>
      <c r="AT2806">
        <v>0</v>
      </c>
      <c r="AU2806">
        <v>25</v>
      </c>
      <c r="AV2806">
        <v>353</v>
      </c>
      <c r="AW2806">
        <v>353</v>
      </c>
      <c r="AX2806">
        <v>506</v>
      </c>
      <c r="BA2806">
        <v>1</v>
      </c>
      <c r="BC2806" t="s">
        <v>5714</v>
      </c>
      <c r="BD2806" s="4">
        <v>43283.120833333334</v>
      </c>
      <c r="BE2806" s="4">
        <v>43283.126666666663</v>
      </c>
      <c r="BF2806" s="4">
        <v>43283.126666666663</v>
      </c>
      <c r="BG2806" t="s">
        <v>83</v>
      </c>
      <c r="BH2806" t="s">
        <v>84</v>
      </c>
      <c r="BI2806" t="s">
        <v>85</v>
      </c>
    </row>
    <row r="2807" spans="1:61" x14ac:dyDescent="0.3">
      <c r="A2807" t="str">
        <f>"200600C0100"</f>
        <v>200600C0100</v>
      </c>
      <c r="B2807" t="s">
        <v>5715</v>
      </c>
      <c r="C2807">
        <v>20</v>
      </c>
      <c r="D2807" t="s">
        <v>79</v>
      </c>
      <c r="E2807">
        <v>13</v>
      </c>
      <c r="F2807" t="s">
        <v>5455</v>
      </c>
      <c r="G2807">
        <v>600</v>
      </c>
      <c r="H2807">
        <v>1</v>
      </c>
      <c r="I2807" t="s">
        <v>89</v>
      </c>
      <c r="J2807">
        <v>0</v>
      </c>
      <c r="K2807">
        <v>1</v>
      </c>
      <c r="L2807">
        <v>2</v>
      </c>
      <c r="M2807">
        <v>168</v>
      </c>
      <c r="N2807">
        <v>360</v>
      </c>
      <c r="O2807">
        <v>5</v>
      </c>
      <c r="P2807">
        <v>359</v>
      </c>
      <c r="Q2807">
        <v>41</v>
      </c>
      <c r="R2807">
        <v>55</v>
      </c>
      <c r="S2807">
        <v>7</v>
      </c>
      <c r="T2807">
        <v>10</v>
      </c>
      <c r="U2807">
        <v>17</v>
      </c>
      <c r="V2807">
        <v>10</v>
      </c>
      <c r="W2807">
        <v>1</v>
      </c>
      <c r="X2807">
        <v>5</v>
      </c>
      <c r="Y2807">
        <v>168</v>
      </c>
      <c r="Z2807">
        <v>2</v>
      </c>
      <c r="AA2807">
        <v>4</v>
      </c>
      <c r="AB2807">
        <v>17</v>
      </c>
      <c r="AC2807">
        <v>1</v>
      </c>
      <c r="AD2807">
        <v>0</v>
      </c>
      <c r="AE2807">
        <v>0</v>
      </c>
      <c r="AF2807">
        <v>0</v>
      </c>
      <c r="AK2807">
        <v>5</v>
      </c>
      <c r="AL2807">
        <v>2</v>
      </c>
      <c r="AM2807">
        <v>0</v>
      </c>
      <c r="AN2807">
        <v>0</v>
      </c>
      <c r="AT2807">
        <v>0</v>
      </c>
      <c r="AU2807">
        <v>14</v>
      </c>
      <c r="AV2807">
        <v>359</v>
      </c>
      <c r="AW2807">
        <v>359</v>
      </c>
      <c r="AX2807">
        <v>506</v>
      </c>
      <c r="BA2807">
        <v>1</v>
      </c>
      <c r="BC2807" s="2" t="s">
        <v>5716</v>
      </c>
      <c r="BD2807" s="4">
        <v>43283.394444444442</v>
      </c>
      <c r="BE2807" s="4">
        <v>43283.397488425922</v>
      </c>
      <c r="BF2807" s="4">
        <v>43283.397488425922</v>
      </c>
      <c r="BG2807" t="s">
        <v>83</v>
      </c>
      <c r="BH2807" t="s">
        <v>84</v>
      </c>
      <c r="BI2807" t="s">
        <v>548</v>
      </c>
    </row>
    <row r="2808" spans="1:61" x14ac:dyDescent="0.3">
      <c r="A2808" t="str">
        <f>"200600C0200"</f>
        <v>200600C0200</v>
      </c>
      <c r="B2808" t="s">
        <v>5717</v>
      </c>
      <c r="C2808">
        <v>20</v>
      </c>
      <c r="D2808" t="s">
        <v>79</v>
      </c>
      <c r="E2808">
        <v>13</v>
      </c>
      <c r="F2808" t="s">
        <v>5455</v>
      </c>
      <c r="G2808">
        <v>600</v>
      </c>
      <c r="H2808">
        <v>2</v>
      </c>
      <c r="I2808" t="s">
        <v>89</v>
      </c>
      <c r="J2808">
        <v>0</v>
      </c>
      <c r="K2808">
        <v>1</v>
      </c>
      <c r="L2808">
        <v>2</v>
      </c>
      <c r="M2808">
        <v>197</v>
      </c>
      <c r="N2808">
        <v>330</v>
      </c>
      <c r="O2808">
        <v>4</v>
      </c>
      <c r="P2808">
        <v>332</v>
      </c>
      <c r="Q2808">
        <v>58</v>
      </c>
      <c r="R2808">
        <v>37</v>
      </c>
      <c r="S2808">
        <v>3</v>
      </c>
      <c r="T2808">
        <v>2</v>
      </c>
      <c r="U2808">
        <v>13</v>
      </c>
      <c r="V2808">
        <v>5</v>
      </c>
      <c r="W2808">
        <v>5</v>
      </c>
      <c r="X2808">
        <v>1</v>
      </c>
      <c r="Y2808">
        <v>157</v>
      </c>
      <c r="Z2808">
        <v>8</v>
      </c>
      <c r="AA2808">
        <v>1</v>
      </c>
      <c r="AB2808">
        <v>12</v>
      </c>
      <c r="AC2808">
        <v>0</v>
      </c>
      <c r="AD2808">
        <v>1</v>
      </c>
      <c r="AE2808">
        <v>0</v>
      </c>
      <c r="AF2808">
        <v>0</v>
      </c>
      <c r="AK2808">
        <v>11</v>
      </c>
      <c r="AL2808">
        <v>2</v>
      </c>
      <c r="AM2808">
        <v>0</v>
      </c>
      <c r="AN2808">
        <v>2</v>
      </c>
      <c r="AT2808">
        <v>0</v>
      </c>
      <c r="AU2808">
        <v>14</v>
      </c>
      <c r="AV2808">
        <v>332</v>
      </c>
      <c r="AW2808">
        <v>332</v>
      </c>
      <c r="AX2808">
        <v>506</v>
      </c>
      <c r="BA2808">
        <v>1</v>
      </c>
      <c r="BC2808" t="s">
        <v>5718</v>
      </c>
      <c r="BD2808" s="4">
        <v>43283.121527777781</v>
      </c>
      <c r="BE2808" s="4">
        <v>43283.125775462962</v>
      </c>
      <c r="BF2808" s="4">
        <v>43283.125775462962</v>
      </c>
      <c r="BG2808" t="s">
        <v>83</v>
      </c>
      <c r="BH2808" t="s">
        <v>84</v>
      </c>
      <c r="BI2808" t="s">
        <v>85</v>
      </c>
    </row>
    <row r="2809" spans="1:61" x14ac:dyDescent="0.3">
      <c r="A2809" t="str">
        <f>"200601B0100"</f>
        <v>200601B0100</v>
      </c>
      <c r="B2809" t="s">
        <v>5719</v>
      </c>
      <c r="C2809">
        <v>20</v>
      </c>
      <c r="D2809" t="s">
        <v>79</v>
      </c>
      <c r="E2809">
        <v>13</v>
      </c>
      <c r="F2809" t="s">
        <v>5455</v>
      </c>
      <c r="G2809">
        <v>601</v>
      </c>
      <c r="H2809">
        <v>1</v>
      </c>
      <c r="I2809" t="s">
        <v>81</v>
      </c>
      <c r="J2809">
        <v>0</v>
      </c>
      <c r="K2809">
        <v>1</v>
      </c>
      <c r="L2809">
        <v>2</v>
      </c>
      <c r="M2809">
        <v>223</v>
      </c>
      <c r="N2809">
        <v>353</v>
      </c>
      <c r="O2809">
        <v>5</v>
      </c>
      <c r="P2809">
        <v>357</v>
      </c>
      <c r="Q2809">
        <v>33</v>
      </c>
      <c r="R2809">
        <v>55</v>
      </c>
      <c r="S2809">
        <v>7</v>
      </c>
      <c r="T2809">
        <v>6</v>
      </c>
      <c r="U2809">
        <v>12</v>
      </c>
      <c r="V2809">
        <v>8</v>
      </c>
      <c r="W2809">
        <v>5</v>
      </c>
      <c r="X2809">
        <v>1</v>
      </c>
      <c r="Y2809">
        <v>189</v>
      </c>
      <c r="Z2809">
        <v>5</v>
      </c>
      <c r="AA2809">
        <v>4</v>
      </c>
      <c r="AB2809">
        <v>11</v>
      </c>
      <c r="AC2809">
        <v>0</v>
      </c>
      <c r="AD2809">
        <v>0</v>
      </c>
      <c r="AE2809">
        <v>0</v>
      </c>
      <c r="AF2809">
        <v>0</v>
      </c>
      <c r="AK2809">
        <v>4</v>
      </c>
      <c r="AL2809">
        <v>1</v>
      </c>
      <c r="AM2809">
        <v>1</v>
      </c>
      <c r="AN2809">
        <v>0</v>
      </c>
      <c r="AT2809">
        <v>1</v>
      </c>
      <c r="AU2809">
        <v>14</v>
      </c>
      <c r="AV2809">
        <v>357</v>
      </c>
      <c r="AW2809">
        <v>357</v>
      </c>
      <c r="AX2809">
        <v>558</v>
      </c>
      <c r="BA2809">
        <v>1</v>
      </c>
      <c r="BC2809" t="s">
        <v>5720</v>
      </c>
      <c r="BD2809" s="4">
        <v>43283.00953703704</v>
      </c>
      <c r="BE2809" s="4">
        <v>43283.011921296296</v>
      </c>
      <c r="BF2809" s="4">
        <v>43283.011921296296</v>
      </c>
      <c r="BG2809" t="s">
        <v>373</v>
      </c>
      <c r="BH2809" t="s">
        <v>374</v>
      </c>
      <c r="BI2809" t="s">
        <v>85</v>
      </c>
    </row>
    <row r="2810" spans="1:61" x14ac:dyDescent="0.3">
      <c r="A2810" t="str">
        <f>"200601C0100"</f>
        <v>200601C0100</v>
      </c>
      <c r="B2810" t="s">
        <v>5721</v>
      </c>
      <c r="C2810">
        <v>20</v>
      </c>
      <c r="D2810" t="s">
        <v>79</v>
      </c>
      <c r="E2810">
        <v>13</v>
      </c>
      <c r="F2810" t="s">
        <v>5455</v>
      </c>
      <c r="G2810">
        <v>601</v>
      </c>
      <c r="H2810">
        <v>1</v>
      </c>
      <c r="I2810" t="s">
        <v>89</v>
      </c>
      <c r="J2810">
        <v>0</v>
      </c>
      <c r="K2810">
        <v>1</v>
      </c>
      <c r="L2810">
        <v>2</v>
      </c>
      <c r="M2810">
        <v>168</v>
      </c>
      <c r="N2810">
        <v>413</v>
      </c>
      <c r="O2810">
        <v>5</v>
      </c>
      <c r="P2810">
        <v>412</v>
      </c>
      <c r="Q2810">
        <v>43</v>
      </c>
      <c r="R2810">
        <v>67</v>
      </c>
      <c r="S2810">
        <v>7</v>
      </c>
      <c r="T2810">
        <v>8</v>
      </c>
      <c r="U2810">
        <v>16</v>
      </c>
      <c r="V2810">
        <v>8</v>
      </c>
      <c r="W2810">
        <v>11</v>
      </c>
      <c r="X2810">
        <v>4</v>
      </c>
      <c r="Y2810">
        <v>201</v>
      </c>
      <c r="Z2810">
        <v>6</v>
      </c>
      <c r="AA2810">
        <v>3</v>
      </c>
      <c r="AB2810">
        <v>15</v>
      </c>
      <c r="AC2810">
        <v>0</v>
      </c>
      <c r="AD2810">
        <v>1</v>
      </c>
      <c r="AE2810">
        <v>0</v>
      </c>
      <c r="AF2810">
        <v>0</v>
      </c>
      <c r="AK2810">
        <v>4</v>
      </c>
      <c r="AL2810">
        <v>2</v>
      </c>
      <c r="AM2810">
        <v>0</v>
      </c>
      <c r="AN2810">
        <v>2</v>
      </c>
      <c r="AT2810">
        <v>0</v>
      </c>
      <c r="AU2810">
        <v>14</v>
      </c>
      <c r="AV2810">
        <v>412</v>
      </c>
      <c r="AW2810">
        <v>412</v>
      </c>
      <c r="AX2810">
        <v>558</v>
      </c>
      <c r="BA2810">
        <v>1</v>
      </c>
      <c r="BC2810" t="s">
        <v>5722</v>
      </c>
      <c r="BD2810" s="4">
        <v>43282.975752314815</v>
      </c>
      <c r="BE2810" s="4">
        <v>43282.979560185187</v>
      </c>
      <c r="BF2810" s="4">
        <v>43282.979560185187</v>
      </c>
      <c r="BG2810" t="s">
        <v>373</v>
      </c>
      <c r="BH2810" t="s">
        <v>374</v>
      </c>
      <c r="BI2810" t="s">
        <v>85</v>
      </c>
    </row>
    <row r="2811" spans="1:61" x14ac:dyDescent="0.3">
      <c r="A2811" t="str">
        <f>"200602B0100"</f>
        <v>200602B0100</v>
      </c>
      <c r="B2811" t="s">
        <v>5723</v>
      </c>
      <c r="C2811">
        <v>20</v>
      </c>
      <c r="D2811" t="s">
        <v>79</v>
      </c>
      <c r="E2811">
        <v>13</v>
      </c>
      <c r="F2811" t="s">
        <v>5455</v>
      </c>
      <c r="G2811">
        <v>602</v>
      </c>
      <c r="H2811">
        <v>1</v>
      </c>
      <c r="I2811" t="s">
        <v>81</v>
      </c>
      <c r="J2811">
        <v>0</v>
      </c>
      <c r="K2811">
        <v>1</v>
      </c>
      <c r="L2811">
        <v>2</v>
      </c>
      <c r="M2811">
        <v>278</v>
      </c>
      <c r="N2811">
        <v>445</v>
      </c>
      <c r="O2811">
        <v>6</v>
      </c>
      <c r="P2811">
        <v>447</v>
      </c>
      <c r="Q2811">
        <v>35</v>
      </c>
      <c r="R2811">
        <v>59</v>
      </c>
      <c r="S2811">
        <v>8</v>
      </c>
      <c r="T2811">
        <v>9</v>
      </c>
      <c r="U2811">
        <v>13</v>
      </c>
      <c r="V2811">
        <v>3</v>
      </c>
      <c r="W2811">
        <v>4</v>
      </c>
      <c r="X2811">
        <v>4</v>
      </c>
      <c r="Y2811">
        <v>255</v>
      </c>
      <c r="Z2811">
        <v>2</v>
      </c>
      <c r="AA2811">
        <v>8</v>
      </c>
      <c r="AB2811">
        <v>22</v>
      </c>
      <c r="AC2811">
        <v>1</v>
      </c>
      <c r="AD2811">
        <v>0</v>
      </c>
      <c r="AE2811">
        <v>0</v>
      </c>
      <c r="AF2811">
        <v>0</v>
      </c>
      <c r="AK2811">
        <v>5</v>
      </c>
      <c r="AL2811">
        <v>3</v>
      </c>
      <c r="AM2811">
        <v>0</v>
      </c>
      <c r="AN2811">
        <v>0</v>
      </c>
      <c r="AT2811">
        <v>1</v>
      </c>
      <c r="AU2811">
        <v>15</v>
      </c>
      <c r="AV2811">
        <v>447</v>
      </c>
      <c r="AW2811">
        <v>447</v>
      </c>
      <c r="AX2811">
        <v>703</v>
      </c>
      <c r="BA2811">
        <v>1</v>
      </c>
      <c r="BC2811" t="s">
        <v>5724</v>
      </c>
      <c r="BD2811" s="4">
        <v>43283.026388888888</v>
      </c>
      <c r="BE2811" s="4">
        <v>43283.031481481485</v>
      </c>
      <c r="BF2811" s="4">
        <v>43283.031481481485</v>
      </c>
      <c r="BG2811" t="s">
        <v>83</v>
      </c>
      <c r="BH2811" t="s">
        <v>84</v>
      </c>
      <c r="BI2811" t="s">
        <v>85</v>
      </c>
    </row>
    <row r="2812" spans="1:61" x14ac:dyDescent="0.3">
      <c r="A2812" t="str">
        <f>"200602C0100"</f>
        <v>200602C0100</v>
      </c>
      <c r="B2812" t="s">
        <v>5725</v>
      </c>
      <c r="C2812">
        <v>20</v>
      </c>
      <c r="D2812" t="s">
        <v>79</v>
      </c>
      <c r="E2812">
        <v>13</v>
      </c>
      <c r="F2812" t="s">
        <v>5455</v>
      </c>
      <c r="G2812">
        <v>602</v>
      </c>
      <c r="H2812">
        <v>1</v>
      </c>
      <c r="I2812" t="s">
        <v>89</v>
      </c>
      <c r="J2812">
        <v>0</v>
      </c>
      <c r="K2812">
        <v>1</v>
      </c>
      <c r="L2812">
        <v>2</v>
      </c>
      <c r="M2812">
        <v>228</v>
      </c>
      <c r="N2812">
        <v>496</v>
      </c>
      <c r="O2812">
        <v>10</v>
      </c>
      <c r="P2812">
        <v>496</v>
      </c>
      <c r="Q2812">
        <v>52</v>
      </c>
      <c r="R2812">
        <v>77</v>
      </c>
      <c r="S2812">
        <v>8</v>
      </c>
      <c r="T2812">
        <v>9</v>
      </c>
      <c r="U2812">
        <v>18</v>
      </c>
      <c r="V2812">
        <v>9</v>
      </c>
      <c r="W2812">
        <v>10</v>
      </c>
      <c r="X2812">
        <v>8</v>
      </c>
      <c r="Y2812">
        <v>254</v>
      </c>
      <c r="Z2812">
        <v>2</v>
      </c>
      <c r="AA2812">
        <v>8</v>
      </c>
      <c r="AB2812">
        <v>17</v>
      </c>
      <c r="AC2812">
        <v>0</v>
      </c>
      <c r="AD2812">
        <v>1</v>
      </c>
      <c r="AE2812">
        <v>0</v>
      </c>
      <c r="AF2812">
        <v>0</v>
      </c>
      <c r="AK2812">
        <v>7</v>
      </c>
      <c r="AL2812">
        <v>0</v>
      </c>
      <c r="AM2812">
        <v>0</v>
      </c>
      <c r="AN2812">
        <v>0</v>
      </c>
      <c r="AT2812">
        <v>0</v>
      </c>
      <c r="AU2812">
        <v>21</v>
      </c>
      <c r="AV2812">
        <v>496</v>
      </c>
      <c r="AW2812">
        <v>501</v>
      </c>
      <c r="AX2812">
        <v>703</v>
      </c>
      <c r="BA2812">
        <v>1</v>
      </c>
      <c r="BC2812" t="s">
        <v>5726</v>
      </c>
      <c r="BD2812" s="4">
        <v>43283.025694444441</v>
      </c>
      <c r="BE2812" s="4">
        <v>43283.029305555552</v>
      </c>
      <c r="BF2812" s="4">
        <v>43283.029305555552</v>
      </c>
      <c r="BG2812" t="s">
        <v>83</v>
      </c>
      <c r="BH2812" t="s">
        <v>84</v>
      </c>
      <c r="BI2812" t="s">
        <v>85</v>
      </c>
    </row>
    <row r="2813" spans="1:61" x14ac:dyDescent="0.3">
      <c r="A2813" t="str">
        <f>"200603B0100"</f>
        <v>200603B0100</v>
      </c>
      <c r="B2813" t="s">
        <v>5727</v>
      </c>
      <c r="C2813">
        <v>20</v>
      </c>
      <c r="D2813" t="s">
        <v>79</v>
      </c>
      <c r="E2813">
        <v>13</v>
      </c>
      <c r="F2813" t="s">
        <v>5455</v>
      </c>
      <c r="G2813">
        <v>603</v>
      </c>
      <c r="H2813">
        <v>1</v>
      </c>
      <c r="I2813" t="s">
        <v>81</v>
      </c>
      <c r="J2813">
        <v>0</v>
      </c>
      <c r="K2813">
        <v>1</v>
      </c>
      <c r="L2813">
        <v>2</v>
      </c>
      <c r="M2813">
        <v>190</v>
      </c>
      <c r="N2813">
        <v>544</v>
      </c>
      <c r="O2813">
        <v>7</v>
      </c>
      <c r="P2813">
        <v>544</v>
      </c>
      <c r="Q2813">
        <v>101</v>
      </c>
      <c r="R2813">
        <v>112</v>
      </c>
      <c r="S2813">
        <v>10</v>
      </c>
      <c r="T2813">
        <v>5</v>
      </c>
      <c r="U2813">
        <v>18</v>
      </c>
      <c r="V2813">
        <v>16</v>
      </c>
      <c r="W2813">
        <v>12</v>
      </c>
      <c r="X2813">
        <v>8</v>
      </c>
      <c r="Y2813">
        <v>201</v>
      </c>
      <c r="Z2813">
        <v>3</v>
      </c>
      <c r="AA2813">
        <v>10</v>
      </c>
      <c r="AB2813">
        <v>20</v>
      </c>
      <c r="AC2813">
        <v>2</v>
      </c>
      <c r="AD2813">
        <v>1</v>
      </c>
      <c r="AE2813" t="s">
        <v>100</v>
      </c>
      <c r="AF2813">
        <v>1</v>
      </c>
      <c r="AK2813">
        <v>3</v>
      </c>
      <c r="AL2813" t="s">
        <v>100</v>
      </c>
      <c r="AM2813" t="s">
        <v>100</v>
      </c>
      <c r="AN2813" t="s">
        <v>100</v>
      </c>
      <c r="AT2813" t="s">
        <v>100</v>
      </c>
      <c r="AU2813" t="s">
        <v>100</v>
      </c>
      <c r="AV2813">
        <v>544</v>
      </c>
      <c r="AW2813">
        <v>523</v>
      </c>
      <c r="AX2813">
        <v>712</v>
      </c>
      <c r="AZ2813" t="s">
        <v>101</v>
      </c>
      <c r="BA2813">
        <v>1</v>
      </c>
      <c r="BC2813" t="s">
        <v>5728</v>
      </c>
      <c r="BD2813" s="4">
        <v>43283.09375</v>
      </c>
      <c r="BE2813" s="4">
        <v>43283.097546296296</v>
      </c>
      <c r="BF2813" s="4">
        <v>43283.097546296296</v>
      </c>
      <c r="BG2813" t="s">
        <v>83</v>
      </c>
      <c r="BH2813" t="s">
        <v>84</v>
      </c>
      <c r="BI2813" t="s">
        <v>85</v>
      </c>
    </row>
    <row r="2814" spans="1:61" x14ac:dyDescent="0.3">
      <c r="A2814" t="str">
        <f>"200604B0100"</f>
        <v>200604B0100</v>
      </c>
      <c r="B2814" t="s">
        <v>5729</v>
      </c>
      <c r="C2814">
        <v>20</v>
      </c>
      <c r="D2814" t="s">
        <v>79</v>
      </c>
      <c r="E2814">
        <v>13</v>
      </c>
      <c r="F2814" t="s">
        <v>5455</v>
      </c>
      <c r="G2814">
        <v>604</v>
      </c>
      <c r="H2814">
        <v>1</v>
      </c>
      <c r="I2814" t="s">
        <v>81</v>
      </c>
      <c r="J2814">
        <v>0</v>
      </c>
      <c r="K2814">
        <v>1</v>
      </c>
      <c r="L2814">
        <v>2</v>
      </c>
      <c r="M2814">
        <v>233</v>
      </c>
      <c r="N2814">
        <v>353</v>
      </c>
      <c r="O2814">
        <v>7</v>
      </c>
      <c r="P2814">
        <v>350</v>
      </c>
      <c r="Q2814">
        <v>49</v>
      </c>
      <c r="R2814">
        <v>65</v>
      </c>
      <c r="S2814">
        <v>7</v>
      </c>
      <c r="T2814">
        <v>4</v>
      </c>
      <c r="U2814">
        <v>11</v>
      </c>
      <c r="V2814">
        <v>4</v>
      </c>
      <c r="W2814">
        <v>4</v>
      </c>
      <c r="X2814">
        <v>6</v>
      </c>
      <c r="Y2814">
        <v>162</v>
      </c>
      <c r="Z2814">
        <v>6</v>
      </c>
      <c r="AA2814">
        <v>3</v>
      </c>
      <c r="AB2814">
        <v>13</v>
      </c>
      <c r="AC2814">
        <v>0</v>
      </c>
      <c r="AD2814">
        <v>0</v>
      </c>
      <c r="AE2814">
        <v>1</v>
      </c>
      <c r="AF2814">
        <v>0</v>
      </c>
      <c r="AK2814">
        <v>0</v>
      </c>
      <c r="AL2814">
        <v>1</v>
      </c>
      <c r="AM2814">
        <v>0</v>
      </c>
      <c r="AN2814">
        <v>1</v>
      </c>
      <c r="AT2814">
        <v>0</v>
      </c>
      <c r="AU2814">
        <v>14</v>
      </c>
      <c r="AV2814">
        <v>351</v>
      </c>
      <c r="AW2814">
        <v>351</v>
      </c>
      <c r="AX2814">
        <v>564</v>
      </c>
      <c r="BA2814">
        <v>1</v>
      </c>
      <c r="BC2814" t="s">
        <v>5730</v>
      </c>
      <c r="BD2814" s="4">
        <v>43282.928680555553</v>
      </c>
      <c r="BE2814" s="4">
        <v>43282.934178240743</v>
      </c>
      <c r="BF2814" s="4">
        <v>43282.934178240743</v>
      </c>
      <c r="BG2814" t="s">
        <v>373</v>
      </c>
      <c r="BH2814" t="s">
        <v>374</v>
      </c>
      <c r="BI2814" t="s">
        <v>85</v>
      </c>
    </row>
    <row r="2815" spans="1:61" x14ac:dyDescent="0.3">
      <c r="A2815" t="str">
        <f>"200604C0100"</f>
        <v>200604C0100</v>
      </c>
      <c r="B2815" t="s">
        <v>5731</v>
      </c>
      <c r="C2815">
        <v>20</v>
      </c>
      <c r="D2815" t="s">
        <v>79</v>
      </c>
      <c r="E2815">
        <v>13</v>
      </c>
      <c r="F2815" t="s">
        <v>5455</v>
      </c>
      <c r="G2815">
        <v>604</v>
      </c>
      <c r="H2815">
        <v>1</v>
      </c>
      <c r="I2815" t="s">
        <v>89</v>
      </c>
      <c r="J2815">
        <v>0</v>
      </c>
      <c r="K2815">
        <v>1</v>
      </c>
      <c r="L2815">
        <v>2</v>
      </c>
      <c r="M2815">
        <v>188</v>
      </c>
      <c r="N2815">
        <v>397</v>
      </c>
      <c r="O2815">
        <v>6</v>
      </c>
      <c r="P2815">
        <v>396</v>
      </c>
      <c r="Q2815">
        <v>46</v>
      </c>
      <c r="R2815">
        <v>53</v>
      </c>
      <c r="S2815">
        <v>9</v>
      </c>
      <c r="T2815">
        <v>9</v>
      </c>
      <c r="U2815">
        <v>21</v>
      </c>
      <c r="V2815">
        <v>6</v>
      </c>
      <c r="W2815">
        <v>7</v>
      </c>
      <c r="X2815">
        <v>7</v>
      </c>
      <c r="Y2815">
        <v>187</v>
      </c>
      <c r="Z2815">
        <v>10</v>
      </c>
      <c r="AA2815">
        <v>1</v>
      </c>
      <c r="AB2815">
        <v>14</v>
      </c>
      <c r="AC2815">
        <v>1</v>
      </c>
      <c r="AD2815">
        <v>1</v>
      </c>
      <c r="AE2815">
        <v>0</v>
      </c>
      <c r="AF2815">
        <v>0</v>
      </c>
      <c r="AK2815">
        <v>1</v>
      </c>
      <c r="AL2815">
        <v>3</v>
      </c>
      <c r="AM2815">
        <v>1</v>
      </c>
      <c r="AN2815">
        <v>0</v>
      </c>
      <c r="AT2815">
        <v>1</v>
      </c>
      <c r="AU2815">
        <v>18</v>
      </c>
      <c r="AV2815">
        <v>396</v>
      </c>
      <c r="AW2815">
        <v>396</v>
      </c>
      <c r="AX2815">
        <v>563</v>
      </c>
      <c r="BA2815">
        <v>1</v>
      </c>
      <c r="BC2815" t="s">
        <v>5732</v>
      </c>
      <c r="BD2815" s="4">
        <v>43283.104166666664</v>
      </c>
      <c r="BE2815" s="4">
        <v>43283.11347222222</v>
      </c>
      <c r="BF2815" s="4">
        <v>43283.11347222222</v>
      </c>
      <c r="BG2815" t="s">
        <v>83</v>
      </c>
      <c r="BH2815" t="s">
        <v>84</v>
      </c>
      <c r="BI2815" t="s">
        <v>85</v>
      </c>
    </row>
    <row r="2816" spans="1:61" x14ac:dyDescent="0.3">
      <c r="A2816" t="str">
        <f>"200605B0100"</f>
        <v>200605B0100</v>
      </c>
      <c r="B2816" t="s">
        <v>5733</v>
      </c>
      <c r="C2816">
        <v>20</v>
      </c>
      <c r="D2816" t="s">
        <v>79</v>
      </c>
      <c r="E2816">
        <v>13</v>
      </c>
      <c r="F2816" t="s">
        <v>5455</v>
      </c>
      <c r="G2816">
        <v>605</v>
      </c>
      <c r="H2816">
        <v>1</v>
      </c>
      <c r="I2816" t="s">
        <v>81</v>
      </c>
      <c r="J2816">
        <v>0</v>
      </c>
      <c r="K2816">
        <v>1</v>
      </c>
      <c r="L2816">
        <v>2</v>
      </c>
      <c r="M2816">
        <v>330</v>
      </c>
      <c r="N2816">
        <v>398</v>
      </c>
      <c r="O2816">
        <v>6</v>
      </c>
      <c r="P2816">
        <v>396</v>
      </c>
      <c r="Q2816">
        <v>30</v>
      </c>
      <c r="R2816">
        <v>52</v>
      </c>
      <c r="S2816">
        <v>5</v>
      </c>
      <c r="T2816">
        <v>11</v>
      </c>
      <c r="U2816">
        <v>28</v>
      </c>
      <c r="V2816">
        <v>3</v>
      </c>
      <c r="W2816">
        <v>15</v>
      </c>
      <c r="X2816">
        <v>7</v>
      </c>
      <c r="Y2816">
        <v>194</v>
      </c>
      <c r="Z2816">
        <v>8</v>
      </c>
      <c r="AA2816">
        <v>1</v>
      </c>
      <c r="AB2816">
        <v>8</v>
      </c>
      <c r="AC2816">
        <v>0</v>
      </c>
      <c r="AD2816">
        <v>1</v>
      </c>
      <c r="AE2816">
        <v>0</v>
      </c>
      <c r="AF2816">
        <v>0</v>
      </c>
      <c r="AK2816">
        <v>5</v>
      </c>
      <c r="AL2816">
        <v>1</v>
      </c>
      <c r="AM2816">
        <v>2</v>
      </c>
      <c r="AN2816">
        <v>0</v>
      </c>
      <c r="AT2816">
        <v>0</v>
      </c>
      <c r="AU2816">
        <v>25</v>
      </c>
      <c r="AV2816">
        <v>396</v>
      </c>
      <c r="AW2816">
        <v>396</v>
      </c>
      <c r="AX2816">
        <v>706</v>
      </c>
      <c r="BA2816">
        <v>1</v>
      </c>
      <c r="BC2816" t="s">
        <v>5734</v>
      </c>
      <c r="BD2816" s="4">
        <v>43283.168749999997</v>
      </c>
      <c r="BE2816" s="4">
        <v>43283.187824074077</v>
      </c>
      <c r="BF2816" s="4">
        <v>43283.187824074077</v>
      </c>
      <c r="BG2816" t="s">
        <v>83</v>
      </c>
      <c r="BH2816" t="s">
        <v>84</v>
      </c>
      <c r="BI2816" t="s">
        <v>85</v>
      </c>
    </row>
    <row r="2817" spans="1:61" x14ac:dyDescent="0.3">
      <c r="A2817" t="str">
        <f>"200605C0100"</f>
        <v>200605C0100</v>
      </c>
      <c r="B2817" t="s">
        <v>5735</v>
      </c>
      <c r="C2817">
        <v>20</v>
      </c>
      <c r="D2817" t="s">
        <v>79</v>
      </c>
      <c r="E2817">
        <v>13</v>
      </c>
      <c r="F2817" t="s">
        <v>5455</v>
      </c>
      <c r="G2817">
        <v>605</v>
      </c>
      <c r="H2817">
        <v>1</v>
      </c>
      <c r="I2817" t="s">
        <v>89</v>
      </c>
      <c r="J2817">
        <v>0</v>
      </c>
      <c r="K2817">
        <v>1</v>
      </c>
      <c r="L2817">
        <v>2</v>
      </c>
      <c r="M2817">
        <v>298</v>
      </c>
      <c r="N2817">
        <v>430</v>
      </c>
      <c r="O2817">
        <v>5</v>
      </c>
      <c r="P2817">
        <v>433</v>
      </c>
      <c r="Q2817">
        <v>43</v>
      </c>
      <c r="R2817">
        <v>46</v>
      </c>
      <c r="S2817">
        <v>9</v>
      </c>
      <c r="T2817">
        <v>7</v>
      </c>
      <c r="U2817">
        <v>34</v>
      </c>
      <c r="V2817">
        <v>8</v>
      </c>
      <c r="W2817">
        <v>20</v>
      </c>
      <c r="X2817">
        <v>4</v>
      </c>
      <c r="Y2817">
        <v>202</v>
      </c>
      <c r="Z2817">
        <v>8</v>
      </c>
      <c r="AA2817">
        <v>2</v>
      </c>
      <c r="AB2817">
        <v>21</v>
      </c>
      <c r="AC2817">
        <v>2</v>
      </c>
      <c r="AD2817">
        <v>1</v>
      </c>
      <c r="AE2817">
        <v>0</v>
      </c>
      <c r="AF2817">
        <v>0</v>
      </c>
      <c r="AK2817">
        <v>5</v>
      </c>
      <c r="AL2817">
        <v>2</v>
      </c>
      <c r="AM2817">
        <v>1</v>
      </c>
      <c r="AN2817">
        <v>1</v>
      </c>
      <c r="AT2817">
        <v>0</v>
      </c>
      <c r="AU2817">
        <v>17</v>
      </c>
      <c r="AV2817">
        <v>433</v>
      </c>
      <c r="AW2817">
        <v>433</v>
      </c>
      <c r="AX2817">
        <v>706</v>
      </c>
      <c r="BA2817">
        <v>1</v>
      </c>
      <c r="BC2817" t="s">
        <v>5736</v>
      </c>
      <c r="BD2817" s="4">
        <v>43283.169444444444</v>
      </c>
      <c r="BE2817" s="4">
        <v>43283.191701388889</v>
      </c>
      <c r="BF2817" s="4">
        <v>43283.191701388889</v>
      </c>
      <c r="BG2817" t="s">
        <v>83</v>
      </c>
      <c r="BH2817" t="s">
        <v>84</v>
      </c>
      <c r="BI2817" t="s">
        <v>85</v>
      </c>
    </row>
    <row r="2818" spans="1:61" x14ac:dyDescent="0.3">
      <c r="A2818" t="str">
        <f>"200606B0100"</f>
        <v>200606B0100</v>
      </c>
      <c r="B2818" t="s">
        <v>5737</v>
      </c>
      <c r="C2818">
        <v>20</v>
      </c>
      <c r="D2818" t="s">
        <v>79</v>
      </c>
      <c r="E2818">
        <v>13</v>
      </c>
      <c r="F2818" t="s">
        <v>5455</v>
      </c>
      <c r="G2818">
        <v>606</v>
      </c>
      <c r="H2818">
        <v>1</v>
      </c>
      <c r="I2818" t="s">
        <v>81</v>
      </c>
      <c r="J2818">
        <v>0</v>
      </c>
      <c r="K2818">
        <v>1</v>
      </c>
      <c r="L2818">
        <v>2</v>
      </c>
      <c r="M2818">
        <v>195</v>
      </c>
      <c r="N2818">
        <v>379</v>
      </c>
      <c r="O2818">
        <v>0</v>
      </c>
      <c r="P2818">
        <v>379</v>
      </c>
      <c r="Q2818">
        <v>38</v>
      </c>
      <c r="R2818">
        <v>64</v>
      </c>
      <c r="S2818">
        <v>3</v>
      </c>
      <c r="T2818">
        <v>7</v>
      </c>
      <c r="U2818">
        <v>15</v>
      </c>
      <c r="V2818">
        <v>6</v>
      </c>
      <c r="W2818">
        <v>5</v>
      </c>
      <c r="X2818">
        <v>4</v>
      </c>
      <c r="Y2818">
        <v>182</v>
      </c>
      <c r="Z2818">
        <v>4</v>
      </c>
      <c r="AA2818">
        <v>6</v>
      </c>
      <c r="AB2818">
        <v>16</v>
      </c>
      <c r="AC2818">
        <v>0</v>
      </c>
      <c r="AD2818">
        <v>0</v>
      </c>
      <c r="AE2818">
        <v>0</v>
      </c>
      <c r="AF2818">
        <v>0</v>
      </c>
      <c r="AK2818">
        <v>8</v>
      </c>
      <c r="AL2818">
        <v>0</v>
      </c>
      <c r="AM2818">
        <v>0</v>
      </c>
      <c r="AN2818">
        <v>3</v>
      </c>
      <c r="AT2818">
        <v>0</v>
      </c>
      <c r="AU2818">
        <v>18</v>
      </c>
      <c r="AV2818">
        <v>379</v>
      </c>
      <c r="AW2818">
        <v>379</v>
      </c>
      <c r="AX2818">
        <v>563</v>
      </c>
      <c r="BA2818">
        <v>1</v>
      </c>
      <c r="BC2818" t="s">
        <v>5738</v>
      </c>
      <c r="BD2818" s="4">
        <v>43282.896377314813</v>
      </c>
      <c r="BE2818" s="4">
        <v>43282.901238425926</v>
      </c>
      <c r="BF2818" s="4">
        <v>43282.901238425926</v>
      </c>
      <c r="BG2818" t="s">
        <v>373</v>
      </c>
      <c r="BH2818" t="s">
        <v>374</v>
      </c>
      <c r="BI2818" t="s">
        <v>85</v>
      </c>
    </row>
    <row r="2819" spans="1:61" x14ac:dyDescent="0.3">
      <c r="A2819" t="str">
        <f>"200606C0100"</f>
        <v>200606C0100</v>
      </c>
      <c r="B2819" t="s">
        <v>5739</v>
      </c>
      <c r="C2819">
        <v>20</v>
      </c>
      <c r="D2819" t="s">
        <v>79</v>
      </c>
      <c r="E2819">
        <v>13</v>
      </c>
      <c r="F2819" t="s">
        <v>5455</v>
      </c>
      <c r="G2819">
        <v>606</v>
      </c>
      <c r="H2819">
        <v>1</v>
      </c>
      <c r="I2819" t="s">
        <v>89</v>
      </c>
      <c r="J2819">
        <v>0</v>
      </c>
      <c r="K2819">
        <v>1</v>
      </c>
      <c r="L2819">
        <v>2</v>
      </c>
      <c r="M2819">
        <v>233</v>
      </c>
      <c r="N2819">
        <v>351</v>
      </c>
      <c r="O2819">
        <v>1</v>
      </c>
      <c r="P2819">
        <v>362</v>
      </c>
      <c r="Q2819">
        <v>22</v>
      </c>
      <c r="R2819">
        <v>52</v>
      </c>
      <c r="S2819">
        <v>5</v>
      </c>
      <c r="T2819">
        <v>8</v>
      </c>
      <c r="U2819">
        <v>12</v>
      </c>
      <c r="V2819">
        <v>3</v>
      </c>
      <c r="W2819">
        <v>3</v>
      </c>
      <c r="X2819">
        <v>5</v>
      </c>
      <c r="Y2819">
        <v>195</v>
      </c>
      <c r="Z2819">
        <v>8</v>
      </c>
      <c r="AA2819">
        <v>5</v>
      </c>
      <c r="AB2819">
        <v>16</v>
      </c>
      <c r="AC2819">
        <v>0</v>
      </c>
      <c r="AD2819">
        <v>0</v>
      </c>
      <c r="AE2819">
        <v>0</v>
      </c>
      <c r="AF2819">
        <v>0</v>
      </c>
      <c r="AK2819">
        <v>7</v>
      </c>
      <c r="AL2819">
        <v>0</v>
      </c>
      <c r="AM2819">
        <v>0</v>
      </c>
      <c r="AN2819">
        <v>0</v>
      </c>
      <c r="AT2819">
        <v>0</v>
      </c>
      <c r="AU2819">
        <v>20</v>
      </c>
      <c r="AV2819">
        <v>362</v>
      </c>
      <c r="AW2819">
        <v>361</v>
      </c>
      <c r="AX2819">
        <v>562</v>
      </c>
      <c r="BA2819">
        <v>1</v>
      </c>
      <c r="BC2819" t="s">
        <v>5740</v>
      </c>
      <c r="BD2819" s="4">
        <v>43282.884270833332</v>
      </c>
      <c r="BE2819" s="4">
        <v>43282.889374999999</v>
      </c>
      <c r="BF2819" s="4">
        <v>43282.889374999999</v>
      </c>
      <c r="BG2819" t="s">
        <v>373</v>
      </c>
      <c r="BH2819" t="s">
        <v>374</v>
      </c>
      <c r="BI2819" t="s">
        <v>85</v>
      </c>
    </row>
    <row r="2820" spans="1:61" x14ac:dyDescent="0.3">
      <c r="A2820" t="str">
        <f>"200607B0100"</f>
        <v>200607B0100</v>
      </c>
      <c r="B2820" t="s">
        <v>5741</v>
      </c>
      <c r="C2820">
        <v>20</v>
      </c>
      <c r="D2820" t="s">
        <v>79</v>
      </c>
      <c r="E2820">
        <v>13</v>
      </c>
      <c r="F2820" t="s">
        <v>5455</v>
      </c>
      <c r="G2820">
        <v>607</v>
      </c>
      <c r="H2820">
        <v>1</v>
      </c>
      <c r="I2820" t="s">
        <v>81</v>
      </c>
      <c r="J2820">
        <v>0</v>
      </c>
      <c r="K2820">
        <v>1</v>
      </c>
      <c r="L2820">
        <v>2</v>
      </c>
      <c r="M2820">
        <v>261</v>
      </c>
      <c r="N2820">
        <v>431</v>
      </c>
      <c r="O2820">
        <v>2</v>
      </c>
      <c r="P2820">
        <v>431</v>
      </c>
      <c r="Q2820">
        <v>44</v>
      </c>
      <c r="R2820">
        <v>45</v>
      </c>
      <c r="S2820">
        <v>16</v>
      </c>
      <c r="T2820">
        <v>10</v>
      </c>
      <c r="U2820">
        <v>16</v>
      </c>
      <c r="V2820">
        <v>4</v>
      </c>
      <c r="W2820">
        <v>6</v>
      </c>
      <c r="X2820">
        <v>2</v>
      </c>
      <c r="Y2820">
        <v>234</v>
      </c>
      <c r="Z2820">
        <v>4</v>
      </c>
      <c r="AA2820">
        <v>6</v>
      </c>
      <c r="AB2820">
        <v>16</v>
      </c>
      <c r="AC2820">
        <v>0</v>
      </c>
      <c r="AD2820">
        <v>1</v>
      </c>
      <c r="AE2820">
        <v>0</v>
      </c>
      <c r="AF2820">
        <v>0</v>
      </c>
      <c r="AK2820">
        <v>5</v>
      </c>
      <c r="AL2820">
        <v>2</v>
      </c>
      <c r="AM2820">
        <v>0</v>
      </c>
      <c r="AN2820">
        <v>0</v>
      </c>
      <c r="AT2820">
        <v>0</v>
      </c>
      <c r="AU2820">
        <v>20</v>
      </c>
      <c r="AV2820">
        <v>431</v>
      </c>
      <c r="AW2820">
        <v>431</v>
      </c>
      <c r="AX2820">
        <v>671</v>
      </c>
      <c r="BA2820">
        <v>1</v>
      </c>
      <c r="BC2820" t="s">
        <v>5742</v>
      </c>
      <c r="BD2820" s="4">
        <v>43283.09375</v>
      </c>
      <c r="BE2820" s="4">
        <v>43283.09814814815</v>
      </c>
      <c r="BF2820" s="4">
        <v>43283.09814814815</v>
      </c>
      <c r="BG2820" t="s">
        <v>83</v>
      </c>
      <c r="BH2820" t="s">
        <v>84</v>
      </c>
      <c r="BI2820" t="s">
        <v>85</v>
      </c>
    </row>
    <row r="2821" spans="1:61" x14ac:dyDescent="0.3">
      <c r="A2821" t="str">
        <f>"200607C0100"</f>
        <v>200607C0100</v>
      </c>
      <c r="B2821" t="s">
        <v>5743</v>
      </c>
      <c r="C2821">
        <v>20</v>
      </c>
      <c r="D2821" t="s">
        <v>79</v>
      </c>
      <c r="E2821">
        <v>13</v>
      </c>
      <c r="F2821" t="s">
        <v>5455</v>
      </c>
      <c r="G2821">
        <v>607</v>
      </c>
      <c r="H2821">
        <v>1</v>
      </c>
      <c r="I2821" t="s">
        <v>89</v>
      </c>
      <c r="J2821">
        <v>0</v>
      </c>
      <c r="K2821">
        <v>1</v>
      </c>
      <c r="L2821">
        <v>2</v>
      </c>
      <c r="M2821">
        <v>262</v>
      </c>
      <c r="N2821" t="s">
        <v>100</v>
      </c>
      <c r="O2821" t="s">
        <v>100</v>
      </c>
      <c r="P2821" t="s">
        <v>100</v>
      </c>
      <c r="Q2821">
        <v>50</v>
      </c>
      <c r="R2821">
        <v>45</v>
      </c>
      <c r="S2821">
        <v>7</v>
      </c>
      <c r="T2821">
        <v>9</v>
      </c>
      <c r="U2821">
        <v>20</v>
      </c>
      <c r="V2821">
        <v>9</v>
      </c>
      <c r="W2821">
        <v>8</v>
      </c>
      <c r="X2821">
        <v>4</v>
      </c>
      <c r="Y2821">
        <v>211</v>
      </c>
      <c r="Z2821">
        <v>13</v>
      </c>
      <c r="AA2821">
        <v>9</v>
      </c>
      <c r="AB2821">
        <v>22</v>
      </c>
      <c r="AC2821">
        <v>0</v>
      </c>
      <c r="AD2821">
        <v>0</v>
      </c>
      <c r="AE2821">
        <v>0</v>
      </c>
      <c r="AF2821">
        <v>0</v>
      </c>
      <c r="AK2821">
        <v>7</v>
      </c>
      <c r="AL2821">
        <v>1</v>
      </c>
      <c r="AM2821">
        <v>0</v>
      </c>
      <c r="AN2821">
        <v>1</v>
      </c>
      <c r="AT2821">
        <v>0</v>
      </c>
      <c r="AU2821">
        <v>16</v>
      </c>
      <c r="AV2821">
        <v>431</v>
      </c>
      <c r="AW2821">
        <v>432</v>
      </c>
      <c r="AX2821">
        <v>671</v>
      </c>
      <c r="BA2821">
        <v>1</v>
      </c>
      <c r="BC2821" t="s">
        <v>5744</v>
      </c>
      <c r="BD2821" s="4">
        <v>43283.097222222219</v>
      </c>
      <c r="BE2821" s="4">
        <v>43283.101527777777</v>
      </c>
      <c r="BF2821" s="4">
        <v>43283.101527777777</v>
      </c>
      <c r="BG2821" t="s">
        <v>83</v>
      </c>
      <c r="BH2821" t="s">
        <v>84</v>
      </c>
      <c r="BI2821" t="s">
        <v>85</v>
      </c>
    </row>
    <row r="2822" spans="1:61" x14ac:dyDescent="0.3">
      <c r="A2822" t="str">
        <f>"200608B0100"</f>
        <v>200608B0100</v>
      </c>
      <c r="B2822" t="s">
        <v>5745</v>
      </c>
      <c r="C2822">
        <v>20</v>
      </c>
      <c r="D2822" t="s">
        <v>79</v>
      </c>
      <c r="E2822">
        <v>13</v>
      </c>
      <c r="F2822" t="s">
        <v>5455</v>
      </c>
      <c r="G2822">
        <v>608</v>
      </c>
      <c r="H2822">
        <v>1</v>
      </c>
      <c r="I2822" t="s">
        <v>81</v>
      </c>
      <c r="J2822">
        <v>0</v>
      </c>
      <c r="K2822">
        <v>1</v>
      </c>
      <c r="L2822">
        <v>2</v>
      </c>
      <c r="M2822">
        <v>141</v>
      </c>
      <c r="N2822">
        <v>327</v>
      </c>
      <c r="O2822">
        <v>6</v>
      </c>
      <c r="P2822">
        <v>326</v>
      </c>
      <c r="Q2822">
        <v>72</v>
      </c>
      <c r="R2822">
        <v>65</v>
      </c>
      <c r="S2822">
        <v>5</v>
      </c>
      <c r="T2822">
        <v>7</v>
      </c>
      <c r="U2822">
        <v>7</v>
      </c>
      <c r="V2822">
        <v>5</v>
      </c>
      <c r="W2822">
        <v>3</v>
      </c>
      <c r="X2822">
        <v>1</v>
      </c>
      <c r="Y2822">
        <v>114</v>
      </c>
      <c r="Z2822">
        <v>3</v>
      </c>
      <c r="AA2822">
        <v>6</v>
      </c>
      <c r="AB2822">
        <v>15</v>
      </c>
      <c r="AC2822">
        <v>2</v>
      </c>
      <c r="AD2822">
        <v>2</v>
      </c>
      <c r="AE2822">
        <v>0</v>
      </c>
      <c r="AF2822">
        <v>0</v>
      </c>
      <c r="AK2822">
        <v>0</v>
      </c>
      <c r="AL2822">
        <v>1</v>
      </c>
      <c r="AM2822">
        <v>0</v>
      </c>
      <c r="AN2822">
        <v>0</v>
      </c>
      <c r="AT2822" t="s">
        <v>100</v>
      </c>
      <c r="AU2822" t="s">
        <v>100</v>
      </c>
      <c r="AV2822" t="s">
        <v>100</v>
      </c>
      <c r="AW2822">
        <v>308</v>
      </c>
      <c r="AX2822">
        <v>446</v>
      </c>
      <c r="AZ2822" t="s">
        <v>101</v>
      </c>
      <c r="BA2822">
        <v>1</v>
      </c>
      <c r="BC2822" t="s">
        <v>5746</v>
      </c>
      <c r="BD2822" s="4">
        <v>43282.979861111111</v>
      </c>
      <c r="BE2822" s="4">
        <v>43282.988356481481</v>
      </c>
      <c r="BF2822" s="4">
        <v>43282.988356481481</v>
      </c>
      <c r="BG2822" t="s">
        <v>83</v>
      </c>
      <c r="BH2822" t="s">
        <v>84</v>
      </c>
      <c r="BI2822" t="s">
        <v>85</v>
      </c>
    </row>
    <row r="2823" spans="1:61" x14ac:dyDescent="0.3">
      <c r="A2823" t="str">
        <f>"200608C0100"</f>
        <v>200608C0100</v>
      </c>
      <c r="B2823" t="s">
        <v>5747</v>
      </c>
      <c r="C2823">
        <v>20</v>
      </c>
      <c r="D2823" t="s">
        <v>79</v>
      </c>
      <c r="E2823">
        <v>13</v>
      </c>
      <c r="F2823" t="s">
        <v>5455</v>
      </c>
      <c r="G2823">
        <v>608</v>
      </c>
      <c r="H2823">
        <v>1</v>
      </c>
      <c r="I2823" t="s">
        <v>89</v>
      </c>
      <c r="J2823">
        <v>0</v>
      </c>
      <c r="K2823">
        <v>1</v>
      </c>
      <c r="L2823">
        <v>2</v>
      </c>
      <c r="M2823">
        <v>137</v>
      </c>
      <c r="N2823">
        <v>336</v>
      </c>
      <c r="O2823">
        <v>4</v>
      </c>
      <c r="P2823">
        <v>331</v>
      </c>
      <c r="Q2823">
        <v>62</v>
      </c>
      <c r="R2823">
        <v>53</v>
      </c>
      <c r="S2823">
        <v>2</v>
      </c>
      <c r="T2823">
        <v>11</v>
      </c>
      <c r="U2823">
        <v>10</v>
      </c>
      <c r="V2823">
        <v>7</v>
      </c>
      <c r="W2823">
        <v>8</v>
      </c>
      <c r="X2823">
        <v>2</v>
      </c>
      <c r="Y2823">
        <v>120</v>
      </c>
      <c r="Z2823">
        <v>4</v>
      </c>
      <c r="AA2823">
        <v>6</v>
      </c>
      <c r="AB2823">
        <v>16</v>
      </c>
      <c r="AC2823">
        <v>2</v>
      </c>
      <c r="AD2823">
        <v>0</v>
      </c>
      <c r="AE2823">
        <v>0</v>
      </c>
      <c r="AF2823">
        <v>0</v>
      </c>
      <c r="AK2823">
        <v>2</v>
      </c>
      <c r="AL2823">
        <v>1</v>
      </c>
      <c r="AM2823">
        <v>0</v>
      </c>
      <c r="AN2823">
        <v>2</v>
      </c>
      <c r="AT2823">
        <v>0</v>
      </c>
      <c r="AU2823">
        <v>23</v>
      </c>
      <c r="AV2823">
        <v>331</v>
      </c>
      <c r="AW2823">
        <v>331</v>
      </c>
      <c r="AX2823">
        <v>446</v>
      </c>
      <c r="BA2823">
        <v>1</v>
      </c>
      <c r="BC2823" t="s">
        <v>5748</v>
      </c>
      <c r="BD2823" s="4">
        <v>43282.974305555559</v>
      </c>
      <c r="BE2823" s="4">
        <v>43282.98</v>
      </c>
      <c r="BF2823" s="4">
        <v>43282.98</v>
      </c>
      <c r="BG2823" t="s">
        <v>83</v>
      </c>
      <c r="BH2823" t="s">
        <v>84</v>
      </c>
      <c r="BI2823" t="s">
        <v>85</v>
      </c>
    </row>
    <row r="2824" spans="1:61" x14ac:dyDescent="0.3">
      <c r="A2824" t="str">
        <f>"200609B0100"</f>
        <v>200609B0100</v>
      </c>
      <c r="B2824" t="s">
        <v>5749</v>
      </c>
      <c r="C2824">
        <v>20</v>
      </c>
      <c r="D2824" t="s">
        <v>79</v>
      </c>
      <c r="E2824">
        <v>13</v>
      </c>
      <c r="F2824" t="s">
        <v>5455</v>
      </c>
      <c r="G2824">
        <v>609</v>
      </c>
      <c r="H2824">
        <v>1</v>
      </c>
      <c r="I2824" t="s">
        <v>81</v>
      </c>
      <c r="J2824">
        <v>0</v>
      </c>
      <c r="K2824">
        <v>1</v>
      </c>
      <c r="L2824">
        <v>2</v>
      </c>
      <c r="M2824">
        <v>254</v>
      </c>
      <c r="N2824">
        <v>384</v>
      </c>
      <c r="O2824">
        <v>1</v>
      </c>
      <c r="P2824">
        <v>383</v>
      </c>
      <c r="Q2824">
        <v>34</v>
      </c>
      <c r="R2824">
        <v>44</v>
      </c>
      <c r="S2824">
        <v>3</v>
      </c>
      <c r="T2824">
        <v>9</v>
      </c>
      <c r="U2824">
        <v>15</v>
      </c>
      <c r="V2824">
        <v>7</v>
      </c>
      <c r="W2824">
        <v>10</v>
      </c>
      <c r="X2824">
        <v>4</v>
      </c>
      <c r="Y2824">
        <v>215</v>
      </c>
      <c r="Z2824">
        <v>5</v>
      </c>
      <c r="AA2824">
        <v>10</v>
      </c>
      <c r="AB2824">
        <v>11</v>
      </c>
      <c r="AC2824">
        <v>1</v>
      </c>
      <c r="AD2824">
        <v>2</v>
      </c>
      <c r="AE2824">
        <v>0</v>
      </c>
      <c r="AF2824">
        <v>0</v>
      </c>
      <c r="AK2824">
        <v>1</v>
      </c>
      <c r="AL2824">
        <v>2</v>
      </c>
      <c r="AM2824">
        <v>0</v>
      </c>
      <c r="AN2824">
        <v>0</v>
      </c>
      <c r="AT2824">
        <v>0</v>
      </c>
      <c r="AU2824">
        <v>11</v>
      </c>
      <c r="AV2824">
        <v>384</v>
      </c>
      <c r="AW2824">
        <v>384</v>
      </c>
      <c r="AX2824">
        <v>616</v>
      </c>
      <c r="BA2824">
        <v>1</v>
      </c>
      <c r="BC2824" t="s">
        <v>5750</v>
      </c>
      <c r="BD2824" s="4">
        <v>43283.056944444441</v>
      </c>
      <c r="BE2824" s="4">
        <v>43283.063888888886</v>
      </c>
      <c r="BF2824" s="4">
        <v>43283.063888888886</v>
      </c>
      <c r="BG2824" t="s">
        <v>83</v>
      </c>
      <c r="BH2824" t="s">
        <v>84</v>
      </c>
      <c r="BI2824" t="s">
        <v>85</v>
      </c>
    </row>
    <row r="2825" spans="1:61" x14ac:dyDescent="0.3">
      <c r="A2825" t="str">
        <f>"200609C0100"</f>
        <v>200609C0100</v>
      </c>
      <c r="B2825" t="s">
        <v>5751</v>
      </c>
      <c r="C2825">
        <v>20</v>
      </c>
      <c r="D2825" t="s">
        <v>79</v>
      </c>
      <c r="E2825">
        <v>13</v>
      </c>
      <c r="F2825" t="s">
        <v>5455</v>
      </c>
      <c r="G2825">
        <v>609</v>
      </c>
      <c r="H2825">
        <v>1</v>
      </c>
      <c r="I2825" t="s">
        <v>89</v>
      </c>
      <c r="J2825">
        <v>0</v>
      </c>
      <c r="K2825">
        <v>1</v>
      </c>
      <c r="L2825">
        <v>2</v>
      </c>
      <c r="M2825">
        <v>255</v>
      </c>
      <c r="N2825" t="s">
        <v>100</v>
      </c>
      <c r="O2825">
        <v>1</v>
      </c>
      <c r="P2825">
        <v>363</v>
      </c>
      <c r="Q2825">
        <v>56</v>
      </c>
      <c r="R2825">
        <v>48</v>
      </c>
      <c r="S2825">
        <v>8</v>
      </c>
      <c r="T2825">
        <v>6</v>
      </c>
      <c r="U2825">
        <v>16</v>
      </c>
      <c r="V2825">
        <v>12</v>
      </c>
      <c r="W2825">
        <v>9</v>
      </c>
      <c r="X2825">
        <v>1</v>
      </c>
      <c r="Y2825">
        <v>178</v>
      </c>
      <c r="Z2825">
        <v>5</v>
      </c>
      <c r="AA2825">
        <v>4</v>
      </c>
      <c r="AB2825">
        <v>13</v>
      </c>
      <c r="AC2825">
        <v>1</v>
      </c>
      <c r="AD2825">
        <v>0</v>
      </c>
      <c r="AE2825">
        <v>0</v>
      </c>
      <c r="AF2825">
        <v>0</v>
      </c>
      <c r="AK2825">
        <v>3</v>
      </c>
      <c r="AL2825">
        <v>3</v>
      </c>
      <c r="AM2825">
        <v>0</v>
      </c>
      <c r="AN2825">
        <v>0</v>
      </c>
      <c r="AT2825">
        <v>2</v>
      </c>
      <c r="AU2825">
        <v>16</v>
      </c>
      <c r="AV2825">
        <v>363</v>
      </c>
      <c r="AW2825">
        <v>381</v>
      </c>
      <c r="AX2825">
        <v>616</v>
      </c>
      <c r="BA2825">
        <v>1</v>
      </c>
      <c r="BC2825" t="s">
        <v>5752</v>
      </c>
      <c r="BD2825" s="4">
        <v>43283.015972222223</v>
      </c>
      <c r="BE2825" s="4">
        <v>43283.022372685184</v>
      </c>
      <c r="BF2825" s="4">
        <v>43283.022372685184</v>
      </c>
      <c r="BG2825" t="s">
        <v>83</v>
      </c>
      <c r="BH2825" t="s">
        <v>84</v>
      </c>
      <c r="BI2825" t="s">
        <v>85</v>
      </c>
    </row>
    <row r="2826" spans="1:61" x14ac:dyDescent="0.3">
      <c r="A2826" t="str">
        <f>"200609C0200"</f>
        <v>200609C0200</v>
      </c>
      <c r="B2826" t="s">
        <v>5753</v>
      </c>
      <c r="C2826">
        <v>20</v>
      </c>
      <c r="D2826" t="s">
        <v>79</v>
      </c>
      <c r="E2826">
        <v>13</v>
      </c>
      <c r="F2826" t="s">
        <v>5455</v>
      </c>
      <c r="G2826">
        <v>609</v>
      </c>
      <c r="H2826">
        <v>2</v>
      </c>
      <c r="I2826" t="s">
        <v>89</v>
      </c>
      <c r="J2826">
        <v>0</v>
      </c>
      <c r="K2826">
        <v>1</v>
      </c>
      <c r="L2826">
        <v>2</v>
      </c>
      <c r="AX2826">
        <v>615</v>
      </c>
      <c r="AZ2826" t="s">
        <v>156</v>
      </c>
      <c r="BA2826">
        <v>0</v>
      </c>
      <c r="BC2826" t="s">
        <v>5754</v>
      </c>
      <c r="BD2826" s="4">
        <v>43283.427777777775</v>
      </c>
      <c r="BE2826" s="4">
        <v>43283.432175925926</v>
      </c>
      <c r="BF2826" s="4">
        <v>43283.432175925926</v>
      </c>
      <c r="BG2826" t="s">
        <v>83</v>
      </c>
      <c r="BH2826" t="s">
        <v>84</v>
      </c>
      <c r="BI2826" t="s">
        <v>85</v>
      </c>
    </row>
    <row r="2827" spans="1:61" x14ac:dyDescent="0.3">
      <c r="A2827" t="str">
        <f>"200609C0300"</f>
        <v>200609C0300</v>
      </c>
      <c r="B2827" t="s">
        <v>5755</v>
      </c>
      <c r="C2827">
        <v>20</v>
      </c>
      <c r="D2827" t="s">
        <v>79</v>
      </c>
      <c r="E2827">
        <v>13</v>
      </c>
      <c r="F2827" t="s">
        <v>5455</v>
      </c>
      <c r="G2827">
        <v>609</v>
      </c>
      <c r="H2827">
        <v>3</v>
      </c>
      <c r="I2827" t="s">
        <v>89</v>
      </c>
      <c r="J2827">
        <v>0</v>
      </c>
      <c r="K2827">
        <v>1</v>
      </c>
      <c r="L2827">
        <v>2</v>
      </c>
      <c r="M2827">
        <v>232</v>
      </c>
      <c r="N2827">
        <v>407</v>
      </c>
      <c r="O2827">
        <v>1</v>
      </c>
      <c r="P2827">
        <v>398</v>
      </c>
      <c r="Q2827">
        <v>55</v>
      </c>
      <c r="R2827">
        <v>57</v>
      </c>
      <c r="S2827">
        <v>5</v>
      </c>
      <c r="T2827">
        <v>14</v>
      </c>
      <c r="U2827">
        <v>20</v>
      </c>
      <c r="V2827">
        <v>4</v>
      </c>
      <c r="W2827">
        <v>5</v>
      </c>
      <c r="X2827">
        <v>7</v>
      </c>
      <c r="Y2827">
        <v>182</v>
      </c>
      <c r="Z2827">
        <v>2</v>
      </c>
      <c r="AA2827">
        <v>3</v>
      </c>
      <c r="AB2827">
        <v>12</v>
      </c>
      <c r="AC2827">
        <v>1</v>
      </c>
      <c r="AD2827">
        <v>0</v>
      </c>
      <c r="AE2827">
        <v>0</v>
      </c>
      <c r="AF2827">
        <v>1</v>
      </c>
      <c r="AK2827">
        <v>9</v>
      </c>
      <c r="AL2827">
        <v>0</v>
      </c>
      <c r="AM2827">
        <v>0</v>
      </c>
      <c r="AN2827">
        <v>0</v>
      </c>
      <c r="AT2827">
        <v>0</v>
      </c>
      <c r="AU2827">
        <v>21</v>
      </c>
      <c r="AV2827">
        <v>398</v>
      </c>
      <c r="AW2827">
        <v>398</v>
      </c>
      <c r="AX2827">
        <v>615</v>
      </c>
      <c r="BA2827">
        <v>1</v>
      </c>
      <c r="BC2827" t="s">
        <v>5756</v>
      </c>
      <c r="BD2827" s="4">
        <v>43283.015277777777</v>
      </c>
      <c r="BE2827" s="4">
        <v>43283.020115740743</v>
      </c>
      <c r="BF2827" s="4">
        <v>43283.020115740743</v>
      </c>
      <c r="BG2827" t="s">
        <v>83</v>
      </c>
      <c r="BH2827" t="s">
        <v>84</v>
      </c>
      <c r="BI2827" t="s">
        <v>85</v>
      </c>
    </row>
    <row r="2828" spans="1:61" x14ac:dyDescent="0.3">
      <c r="A2828" t="str">
        <f>"200609C0400"</f>
        <v>200609C0400</v>
      </c>
      <c r="B2828" t="s">
        <v>5757</v>
      </c>
      <c r="C2828">
        <v>20</v>
      </c>
      <c r="D2828" t="s">
        <v>79</v>
      </c>
      <c r="E2828">
        <v>13</v>
      </c>
      <c r="F2828" t="s">
        <v>5455</v>
      </c>
      <c r="G2828">
        <v>609</v>
      </c>
      <c r="H2828">
        <v>4</v>
      </c>
      <c r="I2828" t="s">
        <v>89</v>
      </c>
      <c r="J2828">
        <v>0</v>
      </c>
      <c r="K2828">
        <v>1</v>
      </c>
      <c r="L2828">
        <v>2</v>
      </c>
      <c r="M2828">
        <v>241</v>
      </c>
      <c r="N2828">
        <v>636</v>
      </c>
      <c r="O2828">
        <v>1</v>
      </c>
      <c r="P2828">
        <v>397</v>
      </c>
      <c r="Q2828">
        <v>38</v>
      </c>
      <c r="R2828">
        <v>49</v>
      </c>
      <c r="S2828">
        <v>8</v>
      </c>
      <c r="T2828">
        <v>18</v>
      </c>
      <c r="U2828">
        <v>21</v>
      </c>
      <c r="V2828">
        <v>10</v>
      </c>
      <c r="W2828">
        <v>8</v>
      </c>
      <c r="X2828">
        <v>4</v>
      </c>
      <c r="Y2828">
        <v>205</v>
      </c>
      <c r="Z2828">
        <v>12</v>
      </c>
      <c r="AA2828">
        <v>2</v>
      </c>
      <c r="AB2828">
        <v>7</v>
      </c>
      <c r="AC2828">
        <v>0</v>
      </c>
      <c r="AD2828">
        <v>0</v>
      </c>
      <c r="AE2828">
        <v>0</v>
      </c>
      <c r="AF2828">
        <v>0</v>
      </c>
      <c r="AK2828">
        <v>1</v>
      </c>
      <c r="AL2828">
        <v>2</v>
      </c>
      <c r="AM2828">
        <v>0</v>
      </c>
      <c r="AN2828">
        <v>1</v>
      </c>
      <c r="AT2828">
        <v>0</v>
      </c>
      <c r="AU2828">
        <v>11</v>
      </c>
      <c r="AV2828">
        <v>398</v>
      </c>
      <c r="AW2828">
        <v>397</v>
      </c>
      <c r="AX2828">
        <v>615</v>
      </c>
      <c r="BA2828">
        <v>1</v>
      </c>
      <c r="BC2828" t="s">
        <v>5758</v>
      </c>
      <c r="BD2828" s="4">
        <v>43283.015972222223</v>
      </c>
      <c r="BE2828" s="4">
        <v>43283.019768518519</v>
      </c>
      <c r="BF2828" s="4">
        <v>43283.019768518519</v>
      </c>
      <c r="BG2828" t="s">
        <v>83</v>
      </c>
      <c r="BH2828" t="s">
        <v>84</v>
      </c>
      <c r="BI2828" t="s">
        <v>85</v>
      </c>
    </row>
    <row r="2829" spans="1:61" x14ac:dyDescent="0.3">
      <c r="A2829" t="str">
        <f>"200610B0100"</f>
        <v>200610B0100</v>
      </c>
      <c r="B2829" t="s">
        <v>5759</v>
      </c>
      <c r="C2829">
        <v>20</v>
      </c>
      <c r="D2829" t="s">
        <v>79</v>
      </c>
      <c r="E2829">
        <v>13</v>
      </c>
      <c r="F2829" t="s">
        <v>5455</v>
      </c>
      <c r="G2829">
        <v>610</v>
      </c>
      <c r="H2829">
        <v>1</v>
      </c>
      <c r="I2829" t="s">
        <v>81</v>
      </c>
      <c r="J2829">
        <v>0</v>
      </c>
      <c r="K2829">
        <v>1</v>
      </c>
      <c r="L2829">
        <v>2</v>
      </c>
      <c r="M2829">
        <v>125</v>
      </c>
      <c r="N2829">
        <v>337</v>
      </c>
      <c r="O2829">
        <v>5</v>
      </c>
      <c r="P2829">
        <v>339</v>
      </c>
      <c r="Q2829">
        <v>54</v>
      </c>
      <c r="R2829">
        <v>56</v>
      </c>
      <c r="S2829">
        <v>3</v>
      </c>
      <c r="T2829">
        <v>14</v>
      </c>
      <c r="U2829">
        <v>10</v>
      </c>
      <c r="V2829">
        <v>4</v>
      </c>
      <c r="W2829">
        <v>5</v>
      </c>
      <c r="X2829">
        <v>8</v>
      </c>
      <c r="Y2829">
        <v>136</v>
      </c>
      <c r="Z2829">
        <v>3</v>
      </c>
      <c r="AA2829">
        <v>1</v>
      </c>
      <c r="AB2829">
        <v>14</v>
      </c>
      <c r="AC2829">
        <v>1</v>
      </c>
      <c r="AD2829">
        <v>0</v>
      </c>
      <c r="AE2829">
        <v>1</v>
      </c>
      <c r="AF2829">
        <v>0</v>
      </c>
      <c r="AK2829">
        <v>4</v>
      </c>
      <c r="AL2829">
        <v>0</v>
      </c>
      <c r="AM2829">
        <v>0</v>
      </c>
      <c r="AN2829">
        <v>0</v>
      </c>
      <c r="AT2829">
        <v>1</v>
      </c>
      <c r="AU2829">
        <v>24</v>
      </c>
      <c r="AV2829">
        <v>339</v>
      </c>
      <c r="AW2829">
        <v>339</v>
      </c>
      <c r="AX2829">
        <v>440</v>
      </c>
      <c r="BA2829">
        <v>1</v>
      </c>
      <c r="BC2829" t="s">
        <v>5760</v>
      </c>
      <c r="BD2829" s="4">
        <v>43283.023611111108</v>
      </c>
      <c r="BE2829" s="4">
        <v>43283.028148148151</v>
      </c>
      <c r="BF2829" s="4">
        <v>43283.028148148151</v>
      </c>
      <c r="BG2829" t="s">
        <v>83</v>
      </c>
      <c r="BH2829" t="s">
        <v>84</v>
      </c>
      <c r="BI2829" t="s">
        <v>85</v>
      </c>
    </row>
    <row r="2830" spans="1:61" x14ac:dyDescent="0.3">
      <c r="A2830" t="str">
        <f>"200610C0100"</f>
        <v>200610C0100</v>
      </c>
      <c r="B2830" t="s">
        <v>5761</v>
      </c>
      <c r="C2830">
        <v>20</v>
      </c>
      <c r="D2830" t="s">
        <v>79</v>
      </c>
      <c r="E2830">
        <v>13</v>
      </c>
      <c r="F2830" t="s">
        <v>5455</v>
      </c>
      <c r="G2830">
        <v>610</v>
      </c>
      <c r="H2830">
        <v>1</v>
      </c>
      <c r="I2830" t="s">
        <v>89</v>
      </c>
      <c r="J2830">
        <v>0</v>
      </c>
      <c r="K2830">
        <v>1</v>
      </c>
      <c r="L2830">
        <v>2</v>
      </c>
      <c r="M2830">
        <v>138</v>
      </c>
      <c r="N2830">
        <v>323</v>
      </c>
      <c r="O2830">
        <v>5</v>
      </c>
      <c r="P2830">
        <v>321</v>
      </c>
      <c r="Q2830">
        <v>51</v>
      </c>
      <c r="R2830">
        <v>67</v>
      </c>
      <c r="S2830">
        <v>7</v>
      </c>
      <c r="T2830">
        <v>4</v>
      </c>
      <c r="U2830">
        <v>12</v>
      </c>
      <c r="V2830">
        <v>3</v>
      </c>
      <c r="W2830">
        <v>9</v>
      </c>
      <c r="X2830">
        <v>3</v>
      </c>
      <c r="Y2830">
        <v>125</v>
      </c>
      <c r="Z2830">
        <v>0</v>
      </c>
      <c r="AA2830">
        <v>5</v>
      </c>
      <c r="AB2830">
        <v>12</v>
      </c>
      <c r="AC2830">
        <v>0</v>
      </c>
      <c r="AD2830">
        <v>0</v>
      </c>
      <c r="AE2830">
        <v>0</v>
      </c>
      <c r="AF2830">
        <v>0</v>
      </c>
      <c r="AK2830">
        <v>5</v>
      </c>
      <c r="AL2830">
        <v>3</v>
      </c>
      <c r="AM2830">
        <v>0</v>
      </c>
      <c r="AN2830">
        <v>0</v>
      </c>
      <c r="AT2830">
        <v>0</v>
      </c>
      <c r="AU2830">
        <v>15</v>
      </c>
      <c r="AV2830">
        <v>321</v>
      </c>
      <c r="AW2830">
        <v>321</v>
      </c>
      <c r="AX2830">
        <v>439</v>
      </c>
      <c r="BA2830">
        <v>1</v>
      </c>
      <c r="BC2830" t="s">
        <v>5762</v>
      </c>
      <c r="BD2830" s="4">
        <v>43283.024305555555</v>
      </c>
      <c r="BE2830" s="4">
        <v>43283.028796296298</v>
      </c>
      <c r="BF2830" s="4">
        <v>43283.028796296298</v>
      </c>
      <c r="BG2830" t="s">
        <v>83</v>
      </c>
      <c r="BH2830" t="s">
        <v>84</v>
      </c>
      <c r="BI2830" t="s">
        <v>85</v>
      </c>
    </row>
    <row r="2831" spans="1:61" x14ac:dyDescent="0.3">
      <c r="A2831" t="str">
        <f>"200611B0100"</f>
        <v>200611B0100</v>
      </c>
      <c r="B2831" t="s">
        <v>5763</v>
      </c>
      <c r="C2831">
        <v>20</v>
      </c>
      <c r="D2831" t="s">
        <v>79</v>
      </c>
      <c r="E2831">
        <v>13</v>
      </c>
      <c r="F2831" t="s">
        <v>5455</v>
      </c>
      <c r="G2831">
        <v>611</v>
      </c>
      <c r="H2831">
        <v>1</v>
      </c>
      <c r="I2831" t="s">
        <v>81</v>
      </c>
      <c r="J2831">
        <v>0</v>
      </c>
      <c r="K2831">
        <v>1</v>
      </c>
      <c r="L2831">
        <v>2</v>
      </c>
      <c r="M2831">
        <v>211</v>
      </c>
      <c r="N2831">
        <v>369</v>
      </c>
      <c r="O2831">
        <v>3</v>
      </c>
      <c r="P2831">
        <v>367</v>
      </c>
      <c r="Q2831">
        <v>40</v>
      </c>
      <c r="R2831">
        <v>56</v>
      </c>
      <c r="S2831">
        <v>6</v>
      </c>
      <c r="T2831">
        <v>10</v>
      </c>
      <c r="U2831">
        <v>11</v>
      </c>
      <c r="V2831">
        <v>1</v>
      </c>
      <c r="W2831">
        <v>6</v>
      </c>
      <c r="X2831">
        <v>4</v>
      </c>
      <c r="Y2831">
        <v>198</v>
      </c>
      <c r="Z2831">
        <v>12</v>
      </c>
      <c r="AA2831">
        <v>1</v>
      </c>
      <c r="AB2831">
        <v>11</v>
      </c>
      <c r="AC2831">
        <v>0</v>
      </c>
      <c r="AD2831">
        <v>1</v>
      </c>
      <c r="AE2831">
        <v>0</v>
      </c>
      <c r="AF2831">
        <v>0</v>
      </c>
      <c r="AK2831">
        <v>6</v>
      </c>
      <c r="AL2831">
        <v>2</v>
      </c>
      <c r="AM2831">
        <v>0</v>
      </c>
      <c r="AN2831">
        <v>2</v>
      </c>
      <c r="AT2831">
        <v>0</v>
      </c>
      <c r="AU2831">
        <v>17</v>
      </c>
      <c r="AV2831">
        <v>367</v>
      </c>
      <c r="AW2831">
        <v>384</v>
      </c>
      <c r="AX2831">
        <v>558</v>
      </c>
      <c r="BA2831">
        <v>1</v>
      </c>
      <c r="BC2831" t="s">
        <v>5764</v>
      </c>
      <c r="BD2831" s="4">
        <v>43282.980011574073</v>
      </c>
      <c r="BE2831" s="4">
        <v>43282.9843287037</v>
      </c>
      <c r="BF2831" s="4">
        <v>43282.9843287037</v>
      </c>
      <c r="BG2831" t="s">
        <v>373</v>
      </c>
      <c r="BH2831" t="s">
        <v>374</v>
      </c>
      <c r="BI2831" t="s">
        <v>85</v>
      </c>
    </row>
    <row r="2832" spans="1:61" x14ac:dyDescent="0.3">
      <c r="A2832" t="str">
        <f>"200611C0100"</f>
        <v>200611C0100</v>
      </c>
      <c r="B2832" t="s">
        <v>5765</v>
      </c>
      <c r="C2832">
        <v>20</v>
      </c>
      <c r="D2832" t="s">
        <v>79</v>
      </c>
      <c r="E2832">
        <v>13</v>
      </c>
      <c r="F2832" t="s">
        <v>5455</v>
      </c>
      <c r="G2832">
        <v>611</v>
      </c>
      <c r="H2832">
        <v>1</v>
      </c>
      <c r="I2832" t="s">
        <v>89</v>
      </c>
      <c r="J2832">
        <v>0</v>
      </c>
      <c r="K2832">
        <v>1</v>
      </c>
      <c r="L2832">
        <v>2</v>
      </c>
      <c r="M2832">
        <v>179</v>
      </c>
      <c r="N2832">
        <v>400</v>
      </c>
      <c r="O2832">
        <v>10</v>
      </c>
      <c r="P2832">
        <v>387</v>
      </c>
      <c r="Q2832">
        <v>39</v>
      </c>
      <c r="R2832">
        <v>44</v>
      </c>
      <c r="S2832">
        <v>4</v>
      </c>
      <c r="T2832">
        <v>8</v>
      </c>
      <c r="U2832">
        <v>19</v>
      </c>
      <c r="V2832">
        <v>3</v>
      </c>
      <c r="W2832">
        <v>7</v>
      </c>
      <c r="X2832">
        <v>4</v>
      </c>
      <c r="Y2832">
        <v>219</v>
      </c>
      <c r="Z2832">
        <v>8</v>
      </c>
      <c r="AA2832">
        <v>3</v>
      </c>
      <c r="AB2832">
        <v>10</v>
      </c>
      <c r="AC2832">
        <v>2</v>
      </c>
      <c r="AD2832">
        <v>0</v>
      </c>
      <c r="AE2832">
        <v>0</v>
      </c>
      <c r="AF2832">
        <v>0</v>
      </c>
      <c r="AK2832">
        <v>6</v>
      </c>
      <c r="AL2832">
        <v>1</v>
      </c>
      <c r="AM2832">
        <v>0</v>
      </c>
      <c r="AN2832">
        <v>2</v>
      </c>
      <c r="AT2832">
        <v>0</v>
      </c>
      <c r="AU2832">
        <v>8</v>
      </c>
      <c r="AV2832">
        <v>387</v>
      </c>
      <c r="AW2832">
        <v>387</v>
      </c>
      <c r="AX2832">
        <v>558</v>
      </c>
      <c r="BA2832">
        <v>1</v>
      </c>
      <c r="BC2832" t="s">
        <v>5766</v>
      </c>
      <c r="BD2832" s="4">
        <v>43282.962939814817</v>
      </c>
      <c r="BE2832" s="4">
        <v>43282.967465277776</v>
      </c>
      <c r="BF2832" s="4">
        <v>43282.967465277776</v>
      </c>
      <c r="BG2832" t="s">
        <v>373</v>
      </c>
      <c r="BH2832" t="s">
        <v>374</v>
      </c>
      <c r="BI2832" t="s">
        <v>85</v>
      </c>
    </row>
    <row r="2833" spans="1:61" x14ac:dyDescent="0.3">
      <c r="A2833" t="str">
        <f>"200612B0100"</f>
        <v>200612B0100</v>
      </c>
      <c r="B2833" t="s">
        <v>5767</v>
      </c>
      <c r="C2833">
        <v>20</v>
      </c>
      <c r="D2833" t="s">
        <v>79</v>
      </c>
      <c r="E2833">
        <v>13</v>
      </c>
      <c r="F2833" t="s">
        <v>5455</v>
      </c>
      <c r="G2833">
        <v>612</v>
      </c>
      <c r="H2833">
        <v>1</v>
      </c>
      <c r="I2833" t="s">
        <v>81</v>
      </c>
      <c r="J2833">
        <v>0</v>
      </c>
      <c r="K2833">
        <v>1</v>
      </c>
      <c r="L2833">
        <v>2</v>
      </c>
      <c r="M2833">
        <v>210</v>
      </c>
      <c r="N2833">
        <v>386</v>
      </c>
      <c r="O2833">
        <v>4</v>
      </c>
      <c r="P2833">
        <v>394</v>
      </c>
      <c r="Q2833">
        <v>43</v>
      </c>
      <c r="R2833">
        <v>56</v>
      </c>
      <c r="S2833">
        <v>8</v>
      </c>
      <c r="T2833">
        <v>8</v>
      </c>
      <c r="U2833">
        <v>22</v>
      </c>
      <c r="V2833">
        <v>4</v>
      </c>
      <c r="W2833">
        <v>5</v>
      </c>
      <c r="X2833">
        <v>3</v>
      </c>
      <c r="Y2833">
        <v>207</v>
      </c>
      <c r="Z2833">
        <v>4</v>
      </c>
      <c r="AA2833">
        <v>3</v>
      </c>
      <c r="AB2833">
        <v>12</v>
      </c>
      <c r="AC2833">
        <v>1</v>
      </c>
      <c r="AD2833">
        <v>0</v>
      </c>
      <c r="AE2833">
        <v>0</v>
      </c>
      <c r="AF2833">
        <v>0</v>
      </c>
      <c r="AK2833">
        <v>5</v>
      </c>
      <c r="AL2833">
        <v>1</v>
      </c>
      <c r="AM2833">
        <v>1</v>
      </c>
      <c r="AN2833">
        <v>0</v>
      </c>
      <c r="AT2833">
        <v>0</v>
      </c>
      <c r="AU2833">
        <v>11</v>
      </c>
      <c r="AV2833">
        <v>394</v>
      </c>
      <c r="AW2833">
        <v>394</v>
      </c>
      <c r="AX2833">
        <v>574</v>
      </c>
      <c r="BA2833">
        <v>1</v>
      </c>
      <c r="BC2833" t="s">
        <v>5768</v>
      </c>
      <c r="BD2833" s="4">
        <v>43282.905891203707</v>
      </c>
      <c r="BE2833" s="4">
        <v>43282.90892361111</v>
      </c>
      <c r="BF2833" s="4">
        <v>43282.90892361111</v>
      </c>
      <c r="BG2833" t="s">
        <v>373</v>
      </c>
      <c r="BH2833" t="s">
        <v>374</v>
      </c>
      <c r="BI2833" t="s">
        <v>85</v>
      </c>
    </row>
    <row r="2834" spans="1:61" x14ac:dyDescent="0.3">
      <c r="A2834" t="str">
        <f>"200612C0100"</f>
        <v>200612C0100</v>
      </c>
      <c r="B2834" t="s">
        <v>5769</v>
      </c>
      <c r="C2834">
        <v>20</v>
      </c>
      <c r="D2834" t="s">
        <v>79</v>
      </c>
      <c r="E2834">
        <v>13</v>
      </c>
      <c r="F2834" t="s">
        <v>5455</v>
      </c>
      <c r="G2834">
        <v>612</v>
      </c>
      <c r="H2834">
        <v>1</v>
      </c>
      <c r="I2834" t="s">
        <v>89</v>
      </c>
      <c r="J2834">
        <v>0</v>
      </c>
      <c r="K2834">
        <v>1</v>
      </c>
      <c r="L2834">
        <v>2</v>
      </c>
      <c r="M2834">
        <v>213</v>
      </c>
      <c r="N2834">
        <v>379</v>
      </c>
      <c r="O2834">
        <v>0</v>
      </c>
      <c r="P2834">
        <v>371</v>
      </c>
      <c r="Q2834">
        <v>44</v>
      </c>
      <c r="R2834">
        <v>54</v>
      </c>
      <c r="S2834">
        <v>11</v>
      </c>
      <c r="T2834">
        <v>10</v>
      </c>
      <c r="U2834">
        <v>12</v>
      </c>
      <c r="V2834">
        <v>3</v>
      </c>
      <c r="W2834">
        <v>2</v>
      </c>
      <c r="X2834">
        <v>1</v>
      </c>
      <c r="Y2834">
        <v>194</v>
      </c>
      <c r="Z2834">
        <v>4</v>
      </c>
      <c r="AA2834">
        <v>2</v>
      </c>
      <c r="AB2834">
        <v>10</v>
      </c>
      <c r="AC2834">
        <v>1</v>
      </c>
      <c r="AD2834">
        <v>1</v>
      </c>
      <c r="AE2834">
        <v>0</v>
      </c>
      <c r="AF2834">
        <v>1</v>
      </c>
      <c r="AK2834">
        <v>7</v>
      </c>
      <c r="AL2834">
        <v>1</v>
      </c>
      <c r="AM2834">
        <v>0</v>
      </c>
      <c r="AN2834">
        <v>0</v>
      </c>
      <c r="AT2834">
        <v>0</v>
      </c>
      <c r="AU2834">
        <v>13</v>
      </c>
      <c r="AV2834">
        <v>371</v>
      </c>
      <c r="AW2834">
        <v>371</v>
      </c>
      <c r="AX2834">
        <v>573</v>
      </c>
      <c r="BA2834">
        <v>1</v>
      </c>
      <c r="BC2834" t="s">
        <v>5770</v>
      </c>
      <c r="BD2834" s="4">
        <v>43283.394444444442</v>
      </c>
      <c r="BE2834" s="4">
        <v>43283.398645833331</v>
      </c>
      <c r="BF2834" s="4">
        <v>43283.398645833331</v>
      </c>
      <c r="BG2834" t="s">
        <v>83</v>
      </c>
      <c r="BH2834" t="s">
        <v>84</v>
      </c>
      <c r="BI2834" t="s">
        <v>548</v>
      </c>
    </row>
    <row r="2835" spans="1:61" x14ac:dyDescent="0.3">
      <c r="A2835" t="str">
        <f>"200613B0100"</f>
        <v>200613B0100</v>
      </c>
      <c r="B2835" t="s">
        <v>5771</v>
      </c>
      <c r="C2835">
        <v>20</v>
      </c>
      <c r="D2835" t="s">
        <v>79</v>
      </c>
      <c r="E2835">
        <v>13</v>
      </c>
      <c r="F2835" t="s">
        <v>5455</v>
      </c>
      <c r="G2835">
        <v>613</v>
      </c>
      <c r="H2835">
        <v>1</v>
      </c>
      <c r="I2835" t="s">
        <v>81</v>
      </c>
      <c r="J2835">
        <v>0</v>
      </c>
      <c r="K2835">
        <v>1</v>
      </c>
      <c r="L2835">
        <v>2</v>
      </c>
      <c r="M2835">
        <v>159</v>
      </c>
      <c r="N2835">
        <v>344</v>
      </c>
      <c r="O2835">
        <v>3</v>
      </c>
      <c r="P2835">
        <v>344</v>
      </c>
      <c r="Q2835">
        <v>30</v>
      </c>
      <c r="R2835">
        <v>50</v>
      </c>
      <c r="S2835">
        <v>5</v>
      </c>
      <c r="T2835">
        <v>8</v>
      </c>
      <c r="U2835">
        <v>14</v>
      </c>
      <c r="V2835">
        <v>4</v>
      </c>
      <c r="W2835">
        <v>4</v>
      </c>
      <c r="X2835">
        <v>2</v>
      </c>
      <c r="Y2835">
        <v>199</v>
      </c>
      <c r="Z2835">
        <v>5</v>
      </c>
      <c r="AA2835">
        <v>3</v>
      </c>
      <c r="AB2835">
        <v>10</v>
      </c>
      <c r="AC2835">
        <v>3</v>
      </c>
      <c r="AD2835">
        <v>0</v>
      </c>
      <c r="AE2835">
        <v>0</v>
      </c>
      <c r="AF2835">
        <v>0</v>
      </c>
      <c r="AK2835">
        <v>2</v>
      </c>
      <c r="AL2835">
        <v>0</v>
      </c>
      <c r="AM2835">
        <v>0</v>
      </c>
      <c r="AN2835">
        <v>0</v>
      </c>
      <c r="AT2835">
        <v>0</v>
      </c>
      <c r="AU2835">
        <v>7</v>
      </c>
      <c r="AV2835">
        <v>346</v>
      </c>
      <c r="AW2835">
        <v>346</v>
      </c>
      <c r="AX2835">
        <v>482</v>
      </c>
      <c r="BA2835">
        <v>1</v>
      </c>
      <c r="BC2835" t="s">
        <v>5772</v>
      </c>
      <c r="BD2835" s="4">
        <v>43283.045138888891</v>
      </c>
      <c r="BE2835" s="4">
        <v>43283.051006944443</v>
      </c>
      <c r="BF2835" s="4">
        <v>43283.051006944443</v>
      </c>
      <c r="BG2835" t="s">
        <v>83</v>
      </c>
      <c r="BH2835" t="s">
        <v>84</v>
      </c>
      <c r="BI2835" t="s">
        <v>85</v>
      </c>
    </row>
    <row r="2836" spans="1:61" x14ac:dyDescent="0.3">
      <c r="A2836" t="str">
        <f>"200613C0100"</f>
        <v>200613C0100</v>
      </c>
      <c r="B2836" t="s">
        <v>5773</v>
      </c>
      <c r="C2836">
        <v>20</v>
      </c>
      <c r="D2836" t="s">
        <v>79</v>
      </c>
      <c r="E2836">
        <v>13</v>
      </c>
      <c r="F2836" t="s">
        <v>5455</v>
      </c>
      <c r="G2836">
        <v>613</v>
      </c>
      <c r="H2836">
        <v>1</v>
      </c>
      <c r="I2836" t="s">
        <v>89</v>
      </c>
      <c r="J2836">
        <v>0</v>
      </c>
      <c r="K2836">
        <v>1</v>
      </c>
      <c r="L2836">
        <v>2</v>
      </c>
      <c r="M2836">
        <v>179</v>
      </c>
      <c r="N2836" t="s">
        <v>100</v>
      </c>
      <c r="O2836">
        <v>4</v>
      </c>
      <c r="P2836">
        <v>325</v>
      </c>
      <c r="Q2836">
        <v>24</v>
      </c>
      <c r="R2836">
        <v>48</v>
      </c>
      <c r="S2836">
        <v>8</v>
      </c>
      <c r="T2836">
        <v>6</v>
      </c>
      <c r="U2836">
        <v>16</v>
      </c>
      <c r="V2836">
        <v>3</v>
      </c>
      <c r="W2836">
        <v>6</v>
      </c>
      <c r="X2836">
        <v>1</v>
      </c>
      <c r="Y2836">
        <v>192</v>
      </c>
      <c r="Z2836">
        <v>2</v>
      </c>
      <c r="AA2836">
        <v>1</v>
      </c>
      <c r="AB2836">
        <v>7</v>
      </c>
      <c r="AC2836">
        <v>0</v>
      </c>
      <c r="AD2836">
        <v>0</v>
      </c>
      <c r="AE2836">
        <v>0</v>
      </c>
      <c r="AF2836">
        <v>0</v>
      </c>
      <c r="AK2836">
        <v>3</v>
      </c>
      <c r="AL2836">
        <v>2</v>
      </c>
      <c r="AM2836">
        <v>0</v>
      </c>
      <c r="AN2836">
        <v>0</v>
      </c>
      <c r="AT2836">
        <v>0</v>
      </c>
      <c r="AU2836">
        <v>7</v>
      </c>
      <c r="AV2836" t="s">
        <v>100</v>
      </c>
      <c r="AW2836">
        <v>326</v>
      </c>
      <c r="AX2836">
        <v>482</v>
      </c>
      <c r="BA2836">
        <v>1</v>
      </c>
      <c r="BC2836" t="s">
        <v>5774</v>
      </c>
      <c r="BD2836" s="4">
        <v>43283.023449074077</v>
      </c>
      <c r="BE2836" s="4">
        <v>43283.030821759261</v>
      </c>
      <c r="BF2836" s="4">
        <v>43283.030821759261</v>
      </c>
      <c r="BG2836" t="s">
        <v>373</v>
      </c>
      <c r="BH2836" t="s">
        <v>374</v>
      </c>
      <c r="BI2836" t="s">
        <v>85</v>
      </c>
    </row>
    <row r="2837" spans="1:61" x14ac:dyDescent="0.3">
      <c r="A2837" t="str">
        <f>"200614B0100"</f>
        <v>200614B0100</v>
      </c>
      <c r="B2837" t="s">
        <v>5775</v>
      </c>
      <c r="C2837">
        <v>20</v>
      </c>
      <c r="D2837" t="s">
        <v>79</v>
      </c>
      <c r="E2837">
        <v>13</v>
      </c>
      <c r="F2837" t="s">
        <v>5455</v>
      </c>
      <c r="G2837">
        <v>614</v>
      </c>
      <c r="H2837">
        <v>1</v>
      </c>
      <c r="I2837" t="s">
        <v>81</v>
      </c>
      <c r="J2837">
        <v>0</v>
      </c>
      <c r="K2837">
        <v>1</v>
      </c>
      <c r="L2837">
        <v>2</v>
      </c>
      <c r="M2837">
        <v>170</v>
      </c>
      <c r="N2837">
        <v>390</v>
      </c>
      <c r="O2837">
        <v>2</v>
      </c>
      <c r="P2837">
        <v>390</v>
      </c>
      <c r="Q2837">
        <v>40</v>
      </c>
      <c r="R2837">
        <v>30</v>
      </c>
      <c r="S2837">
        <v>4</v>
      </c>
      <c r="T2837">
        <v>10</v>
      </c>
      <c r="U2837">
        <v>24</v>
      </c>
      <c r="V2837">
        <v>2</v>
      </c>
      <c r="W2837">
        <v>7</v>
      </c>
      <c r="X2837">
        <v>9</v>
      </c>
      <c r="Y2837">
        <v>221</v>
      </c>
      <c r="Z2837">
        <v>5</v>
      </c>
      <c r="AA2837">
        <v>10</v>
      </c>
      <c r="AB2837">
        <v>14</v>
      </c>
      <c r="AC2837">
        <v>1</v>
      </c>
      <c r="AD2837" t="s">
        <v>100</v>
      </c>
      <c r="AE2837" t="s">
        <v>100</v>
      </c>
      <c r="AF2837" t="s">
        <v>100</v>
      </c>
      <c r="AK2837">
        <v>1</v>
      </c>
      <c r="AL2837">
        <v>1</v>
      </c>
      <c r="AM2837" t="s">
        <v>100</v>
      </c>
      <c r="AN2837" t="s">
        <v>100</v>
      </c>
      <c r="AT2837" t="s">
        <v>100</v>
      </c>
      <c r="AU2837">
        <v>8</v>
      </c>
      <c r="AV2837">
        <v>390</v>
      </c>
      <c r="AW2837">
        <v>387</v>
      </c>
      <c r="AX2837">
        <v>538</v>
      </c>
      <c r="AZ2837" t="s">
        <v>101</v>
      </c>
      <c r="BA2837">
        <v>1</v>
      </c>
      <c r="BC2837" t="s">
        <v>5776</v>
      </c>
      <c r="BD2837" s="4">
        <v>43282.918564814812</v>
      </c>
      <c r="BE2837" s="4">
        <v>43282.92287037037</v>
      </c>
      <c r="BF2837" s="4">
        <v>43282.92287037037</v>
      </c>
      <c r="BG2837" t="s">
        <v>373</v>
      </c>
      <c r="BH2837" t="s">
        <v>374</v>
      </c>
      <c r="BI2837" t="s">
        <v>85</v>
      </c>
    </row>
    <row r="2838" spans="1:61" x14ac:dyDescent="0.3">
      <c r="A2838" t="str">
        <f>"200614C0100"</f>
        <v>200614C0100</v>
      </c>
      <c r="B2838" t="s">
        <v>5777</v>
      </c>
      <c r="C2838">
        <v>20</v>
      </c>
      <c r="D2838" t="s">
        <v>79</v>
      </c>
      <c r="E2838">
        <v>13</v>
      </c>
      <c r="F2838" t="s">
        <v>5455</v>
      </c>
      <c r="G2838">
        <v>614</v>
      </c>
      <c r="H2838">
        <v>1</v>
      </c>
      <c r="I2838" t="s">
        <v>89</v>
      </c>
      <c r="J2838">
        <v>0</v>
      </c>
      <c r="K2838">
        <v>1</v>
      </c>
      <c r="L2838">
        <v>2</v>
      </c>
      <c r="M2838">
        <v>186</v>
      </c>
      <c r="N2838">
        <v>373</v>
      </c>
      <c r="O2838">
        <v>3</v>
      </c>
      <c r="P2838">
        <v>373</v>
      </c>
      <c r="Q2838">
        <v>26</v>
      </c>
      <c r="R2838">
        <v>58</v>
      </c>
      <c r="S2838">
        <v>4</v>
      </c>
      <c r="T2838">
        <v>4</v>
      </c>
      <c r="U2838">
        <v>19</v>
      </c>
      <c r="V2838">
        <v>4</v>
      </c>
      <c r="W2838">
        <v>4</v>
      </c>
      <c r="X2838">
        <v>3</v>
      </c>
      <c r="Y2838">
        <v>200</v>
      </c>
      <c r="Z2838">
        <v>10</v>
      </c>
      <c r="AA2838">
        <v>5</v>
      </c>
      <c r="AB2838">
        <v>11</v>
      </c>
      <c r="AC2838">
        <v>1</v>
      </c>
      <c r="AD2838">
        <v>0</v>
      </c>
      <c r="AE2838">
        <v>0</v>
      </c>
      <c r="AF2838">
        <v>0</v>
      </c>
      <c r="AK2838">
        <v>5</v>
      </c>
      <c r="AL2838">
        <v>2</v>
      </c>
      <c r="AM2838">
        <v>0</v>
      </c>
      <c r="AN2838">
        <v>3</v>
      </c>
      <c r="AT2838">
        <v>0</v>
      </c>
      <c r="AU2838">
        <v>14</v>
      </c>
      <c r="AV2838">
        <v>373</v>
      </c>
      <c r="AW2838">
        <v>373</v>
      </c>
      <c r="AX2838">
        <v>537</v>
      </c>
      <c r="BA2838">
        <v>1</v>
      </c>
      <c r="BC2838" t="s">
        <v>5778</v>
      </c>
      <c r="BD2838" s="4">
        <v>43282.920578703706</v>
      </c>
      <c r="BE2838" s="4">
        <v>43282.926863425928</v>
      </c>
      <c r="BF2838" s="4">
        <v>43282.926863425928</v>
      </c>
      <c r="BG2838" t="s">
        <v>373</v>
      </c>
      <c r="BH2838" t="s">
        <v>374</v>
      </c>
      <c r="BI2838" t="s">
        <v>85</v>
      </c>
    </row>
    <row r="2839" spans="1:61" x14ac:dyDescent="0.3">
      <c r="A2839" t="str">
        <f>"200615B0100"</f>
        <v>200615B0100</v>
      </c>
      <c r="B2839" t="s">
        <v>5779</v>
      </c>
      <c r="C2839">
        <v>20</v>
      </c>
      <c r="D2839" t="s">
        <v>79</v>
      </c>
      <c r="E2839">
        <v>13</v>
      </c>
      <c r="F2839" t="s">
        <v>5455</v>
      </c>
      <c r="G2839">
        <v>615</v>
      </c>
      <c r="H2839">
        <v>1</v>
      </c>
      <c r="I2839" t="s">
        <v>81</v>
      </c>
      <c r="J2839">
        <v>0</v>
      </c>
      <c r="K2839">
        <v>1</v>
      </c>
      <c r="L2839">
        <v>2</v>
      </c>
      <c r="M2839">
        <v>238</v>
      </c>
      <c r="N2839">
        <v>397</v>
      </c>
      <c r="O2839">
        <v>3</v>
      </c>
      <c r="P2839" t="s">
        <v>100</v>
      </c>
      <c r="Q2839">
        <v>37</v>
      </c>
      <c r="R2839">
        <v>46</v>
      </c>
      <c r="S2839">
        <v>6</v>
      </c>
      <c r="T2839">
        <v>8</v>
      </c>
      <c r="U2839">
        <v>18</v>
      </c>
      <c r="V2839">
        <v>2</v>
      </c>
      <c r="W2839">
        <v>5</v>
      </c>
      <c r="X2839">
        <v>4</v>
      </c>
      <c r="Y2839">
        <v>226</v>
      </c>
      <c r="Z2839">
        <v>2</v>
      </c>
      <c r="AA2839">
        <v>1</v>
      </c>
      <c r="AB2839">
        <v>12</v>
      </c>
      <c r="AC2839">
        <v>1</v>
      </c>
      <c r="AD2839" t="s">
        <v>100</v>
      </c>
      <c r="AE2839" t="s">
        <v>100</v>
      </c>
      <c r="AF2839" t="s">
        <v>100</v>
      </c>
      <c r="AK2839">
        <v>6</v>
      </c>
      <c r="AL2839">
        <v>4</v>
      </c>
      <c r="AM2839" t="s">
        <v>100</v>
      </c>
      <c r="AN2839">
        <v>2</v>
      </c>
      <c r="AT2839" t="s">
        <v>100</v>
      </c>
      <c r="AU2839">
        <v>17</v>
      </c>
      <c r="AV2839">
        <v>397</v>
      </c>
      <c r="AW2839">
        <v>397</v>
      </c>
      <c r="AX2839">
        <v>613</v>
      </c>
      <c r="AZ2839" t="s">
        <v>101</v>
      </c>
      <c r="BA2839">
        <v>1</v>
      </c>
      <c r="BC2839" t="s">
        <v>5780</v>
      </c>
      <c r="BD2839" s="4">
        <v>43283.001608796294</v>
      </c>
      <c r="BE2839" s="4">
        <v>43283.00440972222</v>
      </c>
      <c r="BF2839" s="4">
        <v>43283.00440972222</v>
      </c>
      <c r="BG2839" t="s">
        <v>373</v>
      </c>
      <c r="BH2839" t="s">
        <v>374</v>
      </c>
      <c r="BI2839" t="s">
        <v>85</v>
      </c>
    </row>
    <row r="2840" spans="1:61" x14ac:dyDescent="0.3">
      <c r="A2840" t="str">
        <f>"200615C0100"</f>
        <v>200615C0100</v>
      </c>
      <c r="B2840" t="s">
        <v>5781</v>
      </c>
      <c r="C2840">
        <v>20</v>
      </c>
      <c r="D2840" t="s">
        <v>79</v>
      </c>
      <c r="E2840">
        <v>13</v>
      </c>
      <c r="F2840" t="s">
        <v>5455</v>
      </c>
      <c r="G2840">
        <v>615</v>
      </c>
      <c r="H2840">
        <v>1</v>
      </c>
      <c r="I2840" t="s">
        <v>89</v>
      </c>
      <c r="J2840">
        <v>0</v>
      </c>
      <c r="K2840">
        <v>1</v>
      </c>
      <c r="L2840">
        <v>2</v>
      </c>
      <c r="M2840">
        <v>256</v>
      </c>
      <c r="N2840">
        <v>378</v>
      </c>
      <c r="O2840">
        <v>6</v>
      </c>
      <c r="P2840">
        <v>378</v>
      </c>
      <c r="Q2840">
        <v>50</v>
      </c>
      <c r="R2840">
        <v>49</v>
      </c>
      <c r="S2840">
        <v>5</v>
      </c>
      <c r="T2840">
        <v>10</v>
      </c>
      <c r="U2840">
        <v>18</v>
      </c>
      <c r="V2840">
        <v>2</v>
      </c>
      <c r="W2840">
        <v>4</v>
      </c>
      <c r="X2840">
        <v>4</v>
      </c>
      <c r="Y2840">
        <v>174</v>
      </c>
      <c r="Z2840">
        <v>9</v>
      </c>
      <c r="AA2840">
        <v>3</v>
      </c>
      <c r="AB2840">
        <v>20</v>
      </c>
      <c r="AC2840">
        <v>2</v>
      </c>
      <c r="AD2840">
        <v>0</v>
      </c>
      <c r="AE2840">
        <v>0</v>
      </c>
      <c r="AF2840">
        <v>0</v>
      </c>
      <c r="AK2840">
        <v>2</v>
      </c>
      <c r="AL2840">
        <v>2</v>
      </c>
      <c r="AM2840">
        <v>0</v>
      </c>
      <c r="AN2840">
        <v>0</v>
      </c>
      <c r="AT2840">
        <v>0</v>
      </c>
      <c r="AU2840">
        <v>24</v>
      </c>
      <c r="AV2840">
        <v>378</v>
      </c>
      <c r="AW2840">
        <v>378</v>
      </c>
      <c r="AX2840">
        <v>612</v>
      </c>
      <c r="BA2840">
        <v>1</v>
      </c>
      <c r="BC2840" t="s">
        <v>5782</v>
      </c>
      <c r="BD2840" s="4">
        <v>43283.005324074074</v>
      </c>
      <c r="BE2840" s="4">
        <v>43283.009421296294</v>
      </c>
      <c r="BF2840" s="4">
        <v>43283.009421296294</v>
      </c>
      <c r="BG2840" t="s">
        <v>373</v>
      </c>
      <c r="BH2840" t="s">
        <v>374</v>
      </c>
      <c r="BI2840" t="s">
        <v>85</v>
      </c>
    </row>
    <row r="2841" spans="1:61" x14ac:dyDescent="0.3">
      <c r="A2841" t="str">
        <f>"200917B0100"</f>
        <v>200917B0100</v>
      </c>
      <c r="B2841" t="s">
        <v>5783</v>
      </c>
      <c r="C2841">
        <v>20</v>
      </c>
      <c r="D2841" t="s">
        <v>79</v>
      </c>
      <c r="E2841">
        <v>13</v>
      </c>
      <c r="F2841" t="s">
        <v>5455</v>
      </c>
      <c r="G2841">
        <v>917</v>
      </c>
      <c r="H2841">
        <v>1</v>
      </c>
      <c r="I2841" t="s">
        <v>81</v>
      </c>
      <c r="J2841">
        <v>0</v>
      </c>
      <c r="K2841">
        <v>1</v>
      </c>
      <c r="L2841">
        <v>2</v>
      </c>
      <c r="M2841">
        <v>173</v>
      </c>
      <c r="N2841">
        <v>475</v>
      </c>
      <c r="O2841">
        <v>4</v>
      </c>
      <c r="P2841">
        <v>475</v>
      </c>
      <c r="Q2841">
        <v>26</v>
      </c>
      <c r="R2841">
        <v>59</v>
      </c>
      <c r="S2841">
        <v>53</v>
      </c>
      <c r="T2841">
        <v>5</v>
      </c>
      <c r="U2841">
        <v>12</v>
      </c>
      <c r="V2841">
        <v>5</v>
      </c>
      <c r="W2841">
        <v>11</v>
      </c>
      <c r="X2841">
        <v>6</v>
      </c>
      <c r="Y2841">
        <v>208</v>
      </c>
      <c r="Z2841">
        <v>3</v>
      </c>
      <c r="AA2841">
        <v>42</v>
      </c>
      <c r="AB2841">
        <v>18</v>
      </c>
      <c r="AC2841">
        <v>1</v>
      </c>
      <c r="AD2841">
        <v>1</v>
      </c>
      <c r="AE2841">
        <v>1</v>
      </c>
      <c r="AF2841">
        <v>1</v>
      </c>
      <c r="AK2841">
        <v>1</v>
      </c>
      <c r="AL2841">
        <v>0</v>
      </c>
      <c r="AM2841">
        <v>0</v>
      </c>
      <c r="AN2841">
        <v>1</v>
      </c>
      <c r="AT2841">
        <v>0</v>
      </c>
      <c r="AU2841">
        <v>21</v>
      </c>
      <c r="AV2841">
        <v>475</v>
      </c>
      <c r="AW2841">
        <v>475</v>
      </c>
      <c r="AX2841">
        <v>624</v>
      </c>
      <c r="BA2841">
        <v>1</v>
      </c>
      <c r="BC2841" t="s">
        <v>5784</v>
      </c>
      <c r="BD2841" s="4">
        <v>43283.177083333336</v>
      </c>
      <c r="BE2841" s="4">
        <v>43283.194537037038</v>
      </c>
      <c r="BF2841" s="4">
        <v>43283.194537037038</v>
      </c>
      <c r="BG2841" t="s">
        <v>83</v>
      </c>
      <c r="BH2841" t="s">
        <v>84</v>
      </c>
      <c r="BI2841" t="s">
        <v>85</v>
      </c>
    </row>
    <row r="2842" spans="1:61" x14ac:dyDescent="0.3">
      <c r="A2842" t="str">
        <f>"200917C0100"</f>
        <v>200917C0100</v>
      </c>
      <c r="B2842" t="s">
        <v>5785</v>
      </c>
      <c r="C2842">
        <v>20</v>
      </c>
      <c r="D2842" t="s">
        <v>79</v>
      </c>
      <c r="E2842">
        <v>13</v>
      </c>
      <c r="F2842" t="s">
        <v>5455</v>
      </c>
      <c r="G2842">
        <v>917</v>
      </c>
      <c r="H2842">
        <v>1</v>
      </c>
      <c r="I2842" t="s">
        <v>89</v>
      </c>
      <c r="J2842">
        <v>0</v>
      </c>
      <c r="K2842">
        <v>1</v>
      </c>
      <c r="L2842">
        <v>2</v>
      </c>
      <c r="M2842">
        <v>178</v>
      </c>
      <c r="N2842">
        <v>470</v>
      </c>
      <c r="O2842">
        <v>2</v>
      </c>
      <c r="P2842">
        <v>459</v>
      </c>
      <c r="Q2842">
        <v>33</v>
      </c>
      <c r="R2842">
        <v>85</v>
      </c>
      <c r="S2842">
        <v>76</v>
      </c>
      <c r="T2842">
        <v>5</v>
      </c>
      <c r="U2842">
        <v>14</v>
      </c>
      <c r="V2842">
        <v>8</v>
      </c>
      <c r="W2842">
        <v>7</v>
      </c>
      <c r="X2842">
        <v>1</v>
      </c>
      <c r="Y2842">
        <v>150</v>
      </c>
      <c r="Z2842">
        <v>9</v>
      </c>
      <c r="AA2842">
        <v>48</v>
      </c>
      <c r="AB2842">
        <v>20</v>
      </c>
      <c r="AC2842">
        <v>0</v>
      </c>
      <c r="AD2842">
        <v>1</v>
      </c>
      <c r="AE2842">
        <v>0</v>
      </c>
      <c r="AF2842">
        <v>0</v>
      </c>
      <c r="AK2842">
        <v>1</v>
      </c>
      <c r="AL2842">
        <v>0</v>
      </c>
      <c r="AM2842">
        <v>0</v>
      </c>
      <c r="AN2842">
        <v>1</v>
      </c>
      <c r="AT2842">
        <v>0</v>
      </c>
      <c r="AU2842">
        <v>10</v>
      </c>
      <c r="AV2842" t="s">
        <v>315</v>
      </c>
      <c r="AW2842">
        <v>469</v>
      </c>
      <c r="AX2842">
        <v>624</v>
      </c>
      <c r="BA2842">
        <v>1</v>
      </c>
      <c r="BC2842" t="s">
        <v>5786</v>
      </c>
      <c r="BD2842" s="4">
        <v>43283.175000000003</v>
      </c>
      <c r="BE2842" s="4">
        <v>43283.190416666665</v>
      </c>
      <c r="BF2842" s="4">
        <v>43283.190416666665</v>
      </c>
      <c r="BG2842" t="s">
        <v>83</v>
      </c>
      <c r="BH2842" t="s">
        <v>84</v>
      </c>
      <c r="BI2842" t="s">
        <v>85</v>
      </c>
    </row>
    <row r="2843" spans="1:61" x14ac:dyDescent="0.3">
      <c r="A2843" t="str">
        <f>"200917C0200"</f>
        <v>200917C0200</v>
      </c>
      <c r="B2843" t="s">
        <v>5787</v>
      </c>
      <c r="C2843">
        <v>20</v>
      </c>
      <c r="D2843" t="s">
        <v>79</v>
      </c>
      <c r="E2843">
        <v>13</v>
      </c>
      <c r="F2843" t="s">
        <v>5455</v>
      </c>
      <c r="G2843">
        <v>917</v>
      </c>
      <c r="H2843">
        <v>2</v>
      </c>
      <c r="I2843" t="s">
        <v>89</v>
      </c>
      <c r="J2843">
        <v>0</v>
      </c>
      <c r="K2843">
        <v>1</v>
      </c>
      <c r="L2843">
        <v>2</v>
      </c>
      <c r="M2843">
        <v>165</v>
      </c>
      <c r="N2843">
        <v>481</v>
      </c>
      <c r="O2843">
        <v>3</v>
      </c>
      <c r="P2843">
        <v>468</v>
      </c>
      <c r="Q2843">
        <v>27</v>
      </c>
      <c r="R2843">
        <v>86</v>
      </c>
      <c r="S2843">
        <v>61</v>
      </c>
      <c r="T2843">
        <v>8</v>
      </c>
      <c r="U2843">
        <v>14</v>
      </c>
      <c r="V2843">
        <v>7</v>
      </c>
      <c r="W2843">
        <v>7</v>
      </c>
      <c r="X2843">
        <v>0</v>
      </c>
      <c r="Y2843">
        <v>190</v>
      </c>
      <c r="Z2843">
        <v>4</v>
      </c>
      <c r="AA2843">
        <v>37</v>
      </c>
      <c r="AB2843">
        <v>9</v>
      </c>
      <c r="AC2843">
        <v>2</v>
      </c>
      <c r="AD2843">
        <v>0</v>
      </c>
      <c r="AE2843">
        <v>0</v>
      </c>
      <c r="AF2843">
        <v>0</v>
      </c>
      <c r="AK2843">
        <v>5</v>
      </c>
      <c r="AL2843">
        <v>1</v>
      </c>
      <c r="AM2843">
        <v>0</v>
      </c>
      <c r="AN2843">
        <v>1</v>
      </c>
      <c r="AT2843">
        <v>1</v>
      </c>
      <c r="AU2843">
        <v>20</v>
      </c>
      <c r="AV2843">
        <v>480</v>
      </c>
      <c r="AW2843">
        <v>480</v>
      </c>
      <c r="AX2843">
        <v>624</v>
      </c>
      <c r="BA2843">
        <v>1</v>
      </c>
      <c r="BC2843" t="s">
        <v>5788</v>
      </c>
      <c r="BD2843" s="4">
        <v>43283.173611111109</v>
      </c>
      <c r="BE2843" s="4">
        <v>43283.189965277779</v>
      </c>
      <c r="BF2843" s="4">
        <v>43283.189965277779</v>
      </c>
      <c r="BG2843" t="s">
        <v>83</v>
      </c>
      <c r="BH2843" t="s">
        <v>84</v>
      </c>
      <c r="BI2843" t="s">
        <v>85</v>
      </c>
    </row>
    <row r="2844" spans="1:61" x14ac:dyDescent="0.3">
      <c r="A2844" t="str">
        <f>"200917C0300"</f>
        <v>200917C0300</v>
      </c>
      <c r="B2844" t="s">
        <v>5789</v>
      </c>
      <c r="C2844">
        <v>20</v>
      </c>
      <c r="D2844" t="s">
        <v>79</v>
      </c>
      <c r="E2844">
        <v>13</v>
      </c>
      <c r="F2844" t="s">
        <v>5455</v>
      </c>
      <c r="G2844">
        <v>917</v>
      </c>
      <c r="H2844">
        <v>3</v>
      </c>
      <c r="I2844" t="s">
        <v>89</v>
      </c>
      <c r="J2844">
        <v>0</v>
      </c>
      <c r="K2844">
        <v>1</v>
      </c>
      <c r="L2844">
        <v>2</v>
      </c>
      <c r="M2844">
        <v>167</v>
      </c>
      <c r="N2844">
        <v>479</v>
      </c>
      <c r="O2844">
        <v>0</v>
      </c>
      <c r="P2844">
        <v>476</v>
      </c>
      <c r="Q2844">
        <v>32</v>
      </c>
      <c r="R2844">
        <v>61</v>
      </c>
      <c r="S2844">
        <v>72</v>
      </c>
      <c r="T2844">
        <v>6</v>
      </c>
      <c r="U2844">
        <v>20</v>
      </c>
      <c r="V2844">
        <v>5</v>
      </c>
      <c r="W2844">
        <v>9</v>
      </c>
      <c r="X2844">
        <v>5</v>
      </c>
      <c r="Y2844">
        <v>197</v>
      </c>
      <c r="Z2844">
        <v>8</v>
      </c>
      <c r="AA2844">
        <v>31</v>
      </c>
      <c r="AB2844">
        <v>13</v>
      </c>
      <c r="AC2844">
        <v>1</v>
      </c>
      <c r="AD2844">
        <v>0</v>
      </c>
      <c r="AE2844">
        <v>0</v>
      </c>
      <c r="AF2844">
        <v>0</v>
      </c>
      <c r="AK2844">
        <v>2</v>
      </c>
      <c r="AL2844">
        <v>1</v>
      </c>
      <c r="AM2844">
        <v>0</v>
      </c>
      <c r="AN2844">
        <v>1</v>
      </c>
      <c r="AT2844">
        <v>0</v>
      </c>
      <c r="AU2844">
        <v>12</v>
      </c>
      <c r="AV2844">
        <v>476</v>
      </c>
      <c r="AW2844">
        <v>476</v>
      </c>
      <c r="AX2844">
        <v>624</v>
      </c>
      <c r="BA2844">
        <v>1</v>
      </c>
      <c r="BC2844" t="s">
        <v>5790</v>
      </c>
      <c r="BD2844" s="4">
        <v>43283.177083333336</v>
      </c>
      <c r="BE2844" s="4">
        <v>43283.192789351851</v>
      </c>
      <c r="BF2844" s="4">
        <v>43283.192789351851</v>
      </c>
      <c r="BG2844" t="s">
        <v>83</v>
      </c>
      <c r="BH2844" t="s">
        <v>84</v>
      </c>
      <c r="BI2844" t="s">
        <v>85</v>
      </c>
    </row>
    <row r="2845" spans="1:61" x14ac:dyDescent="0.3">
      <c r="A2845" t="str">
        <f>"200917C0400"</f>
        <v>200917C0400</v>
      </c>
      <c r="B2845" t="s">
        <v>5791</v>
      </c>
      <c r="C2845">
        <v>20</v>
      </c>
      <c r="D2845" t="s">
        <v>79</v>
      </c>
      <c r="E2845">
        <v>13</v>
      </c>
      <c r="F2845" t="s">
        <v>5455</v>
      </c>
      <c r="G2845">
        <v>917</v>
      </c>
      <c r="H2845">
        <v>4</v>
      </c>
      <c r="I2845" t="s">
        <v>89</v>
      </c>
      <c r="J2845">
        <v>0</v>
      </c>
      <c r="K2845">
        <v>1</v>
      </c>
      <c r="L2845">
        <v>2</v>
      </c>
      <c r="M2845">
        <v>165</v>
      </c>
      <c r="N2845">
        <v>481</v>
      </c>
      <c r="O2845">
        <v>7</v>
      </c>
      <c r="P2845">
        <v>479</v>
      </c>
      <c r="Q2845">
        <v>18</v>
      </c>
      <c r="R2845">
        <v>76</v>
      </c>
      <c r="S2845">
        <v>60</v>
      </c>
      <c r="T2845">
        <v>10</v>
      </c>
      <c r="U2845">
        <v>13</v>
      </c>
      <c r="V2845">
        <v>4</v>
      </c>
      <c r="W2845">
        <v>11</v>
      </c>
      <c r="X2845">
        <v>4</v>
      </c>
      <c r="Y2845">
        <v>203</v>
      </c>
      <c r="Z2845">
        <v>5</v>
      </c>
      <c r="AA2845">
        <v>33</v>
      </c>
      <c r="AB2845">
        <v>11</v>
      </c>
      <c r="AC2845">
        <v>2</v>
      </c>
      <c r="AD2845">
        <v>2</v>
      </c>
      <c r="AE2845">
        <v>0</v>
      </c>
      <c r="AF2845">
        <v>0</v>
      </c>
      <c r="AK2845">
        <v>2</v>
      </c>
      <c r="AL2845">
        <v>4</v>
      </c>
      <c r="AM2845">
        <v>0</v>
      </c>
      <c r="AN2845">
        <v>2</v>
      </c>
      <c r="AT2845">
        <v>2</v>
      </c>
      <c r="AU2845">
        <v>17</v>
      </c>
      <c r="AV2845">
        <v>479</v>
      </c>
      <c r="AW2845">
        <v>479</v>
      </c>
      <c r="AX2845">
        <v>623</v>
      </c>
      <c r="BA2845">
        <v>1</v>
      </c>
      <c r="BC2845" t="s">
        <v>5792</v>
      </c>
      <c r="BD2845" s="4">
        <v>43283.121527777781</v>
      </c>
      <c r="BE2845" s="4">
        <v>43283.144652777781</v>
      </c>
      <c r="BF2845" s="4">
        <v>43283.144652777781</v>
      </c>
      <c r="BG2845" t="s">
        <v>83</v>
      </c>
      <c r="BH2845" t="s">
        <v>84</v>
      </c>
      <c r="BI2845" t="s">
        <v>85</v>
      </c>
    </row>
    <row r="2846" spans="1:61" x14ac:dyDescent="0.3">
      <c r="A2846" t="str">
        <f>"200918B0100"</f>
        <v>200918B0100</v>
      </c>
      <c r="B2846" t="s">
        <v>5793</v>
      </c>
      <c r="C2846">
        <v>20</v>
      </c>
      <c r="D2846" t="s">
        <v>79</v>
      </c>
      <c r="E2846">
        <v>13</v>
      </c>
      <c r="F2846" t="s">
        <v>5455</v>
      </c>
      <c r="G2846">
        <v>918</v>
      </c>
      <c r="H2846">
        <v>1</v>
      </c>
      <c r="I2846" t="s">
        <v>81</v>
      </c>
      <c r="J2846">
        <v>0</v>
      </c>
      <c r="K2846">
        <v>1</v>
      </c>
      <c r="L2846">
        <v>2</v>
      </c>
      <c r="M2846">
        <v>227</v>
      </c>
      <c r="N2846">
        <v>527</v>
      </c>
      <c r="O2846">
        <v>2</v>
      </c>
      <c r="P2846" t="s">
        <v>100</v>
      </c>
      <c r="Q2846">
        <v>36</v>
      </c>
      <c r="R2846">
        <v>58</v>
      </c>
      <c r="S2846">
        <v>44</v>
      </c>
      <c r="T2846">
        <v>17</v>
      </c>
      <c r="U2846">
        <v>13</v>
      </c>
      <c r="V2846">
        <v>9</v>
      </c>
      <c r="W2846">
        <v>12</v>
      </c>
      <c r="X2846">
        <v>7</v>
      </c>
      <c r="Y2846">
        <v>242</v>
      </c>
      <c r="Z2846">
        <v>12</v>
      </c>
      <c r="AA2846">
        <v>19</v>
      </c>
      <c r="AB2846">
        <v>22</v>
      </c>
      <c r="AC2846">
        <v>4</v>
      </c>
      <c r="AD2846">
        <v>2</v>
      </c>
      <c r="AE2846">
        <v>0</v>
      </c>
      <c r="AF2846">
        <v>0</v>
      </c>
      <c r="AK2846">
        <v>8</v>
      </c>
      <c r="AL2846">
        <v>1</v>
      </c>
      <c r="AM2846">
        <v>0</v>
      </c>
      <c r="AN2846">
        <v>2</v>
      </c>
      <c r="AT2846">
        <v>0</v>
      </c>
      <c r="AU2846">
        <v>21</v>
      </c>
      <c r="AV2846">
        <v>532</v>
      </c>
      <c r="AW2846">
        <v>529</v>
      </c>
      <c r="AX2846">
        <v>732</v>
      </c>
      <c r="BA2846">
        <v>1</v>
      </c>
      <c r="BC2846" t="s">
        <v>5794</v>
      </c>
      <c r="BD2846" s="4">
        <v>43283.165972222225</v>
      </c>
      <c r="BE2846" s="4">
        <v>43283.177314814813</v>
      </c>
      <c r="BF2846" s="4">
        <v>43283.177314814813</v>
      </c>
      <c r="BG2846" t="s">
        <v>83</v>
      </c>
      <c r="BH2846" t="s">
        <v>84</v>
      </c>
      <c r="BI2846" t="s">
        <v>85</v>
      </c>
    </row>
    <row r="2847" spans="1:61" x14ac:dyDescent="0.3">
      <c r="A2847" t="str">
        <f>"200918C0100"</f>
        <v>200918C0100</v>
      </c>
      <c r="B2847" t="s">
        <v>5795</v>
      </c>
      <c r="C2847">
        <v>20</v>
      </c>
      <c r="D2847" t="s">
        <v>79</v>
      </c>
      <c r="E2847">
        <v>13</v>
      </c>
      <c r="F2847" t="s">
        <v>5455</v>
      </c>
      <c r="G2847">
        <v>918</v>
      </c>
      <c r="H2847">
        <v>1</v>
      </c>
      <c r="I2847" t="s">
        <v>89</v>
      </c>
      <c r="J2847">
        <v>0</v>
      </c>
      <c r="K2847">
        <v>1</v>
      </c>
      <c r="L2847">
        <v>2</v>
      </c>
      <c r="M2847">
        <v>222</v>
      </c>
      <c r="N2847">
        <v>530</v>
      </c>
      <c r="O2847">
        <v>10</v>
      </c>
      <c r="P2847">
        <v>527</v>
      </c>
      <c r="Q2847">
        <v>45</v>
      </c>
      <c r="R2847">
        <v>46</v>
      </c>
      <c r="S2847">
        <v>47</v>
      </c>
      <c r="T2847">
        <v>11</v>
      </c>
      <c r="U2847">
        <v>4</v>
      </c>
      <c r="V2847">
        <v>6</v>
      </c>
      <c r="W2847">
        <v>15</v>
      </c>
      <c r="X2847">
        <v>5</v>
      </c>
      <c r="Y2847">
        <v>272</v>
      </c>
      <c r="Z2847">
        <v>8</v>
      </c>
      <c r="AA2847">
        <v>26</v>
      </c>
      <c r="AB2847">
        <v>17</v>
      </c>
      <c r="AC2847">
        <v>1</v>
      </c>
      <c r="AD2847">
        <v>1</v>
      </c>
      <c r="AE2847">
        <v>0</v>
      </c>
      <c r="AF2847">
        <v>0</v>
      </c>
      <c r="AK2847">
        <v>8</v>
      </c>
      <c r="AL2847">
        <v>0</v>
      </c>
      <c r="AM2847">
        <v>1</v>
      </c>
      <c r="AN2847">
        <v>0</v>
      </c>
      <c r="AT2847">
        <v>1</v>
      </c>
      <c r="AU2847">
        <v>13</v>
      </c>
      <c r="AV2847">
        <v>527</v>
      </c>
      <c r="AW2847">
        <v>527</v>
      </c>
      <c r="AX2847">
        <v>732</v>
      </c>
      <c r="BA2847">
        <v>1</v>
      </c>
      <c r="BC2847" t="s">
        <v>5796</v>
      </c>
      <c r="BD2847" s="4">
        <v>43283.165277777778</v>
      </c>
      <c r="BE2847" s="4">
        <v>43283.177581018521</v>
      </c>
      <c r="BF2847" s="4">
        <v>43283.177581018521</v>
      </c>
      <c r="BG2847" t="s">
        <v>83</v>
      </c>
      <c r="BH2847" t="s">
        <v>84</v>
      </c>
      <c r="BI2847" t="s">
        <v>85</v>
      </c>
    </row>
    <row r="2848" spans="1:61" x14ac:dyDescent="0.3">
      <c r="A2848" t="str">
        <f>"200918C0200"</f>
        <v>200918C0200</v>
      </c>
      <c r="B2848" t="s">
        <v>5797</v>
      </c>
      <c r="C2848">
        <v>20</v>
      </c>
      <c r="D2848" t="s">
        <v>79</v>
      </c>
      <c r="E2848">
        <v>13</v>
      </c>
      <c r="F2848" t="s">
        <v>5455</v>
      </c>
      <c r="G2848">
        <v>918</v>
      </c>
      <c r="H2848">
        <v>2</v>
      </c>
      <c r="I2848" t="s">
        <v>89</v>
      </c>
      <c r="J2848">
        <v>0</v>
      </c>
      <c r="K2848">
        <v>1</v>
      </c>
      <c r="L2848">
        <v>2</v>
      </c>
      <c r="M2848">
        <v>220</v>
      </c>
      <c r="N2848">
        <v>747</v>
      </c>
      <c r="O2848">
        <v>6</v>
      </c>
      <c r="P2848">
        <v>534</v>
      </c>
      <c r="Q2848">
        <v>54</v>
      </c>
      <c r="R2848">
        <v>61</v>
      </c>
      <c r="S2848">
        <v>49</v>
      </c>
      <c r="T2848">
        <v>17</v>
      </c>
      <c r="U2848">
        <v>22</v>
      </c>
      <c r="V2848">
        <v>7</v>
      </c>
      <c r="W2848">
        <v>8</v>
      </c>
      <c r="X2848">
        <v>7</v>
      </c>
      <c r="Y2848">
        <v>230</v>
      </c>
      <c r="Z2848">
        <v>8</v>
      </c>
      <c r="AA2848">
        <v>25</v>
      </c>
      <c r="AB2848">
        <v>22</v>
      </c>
      <c r="AC2848">
        <v>1</v>
      </c>
      <c r="AD2848">
        <v>2</v>
      </c>
      <c r="AE2848">
        <v>2</v>
      </c>
      <c r="AF2848">
        <v>1</v>
      </c>
      <c r="AK2848">
        <v>5</v>
      </c>
      <c r="AL2848">
        <v>0</v>
      </c>
      <c r="AM2848">
        <v>0</v>
      </c>
      <c r="AN2848">
        <v>4</v>
      </c>
      <c r="AT2848">
        <v>0</v>
      </c>
      <c r="AU2848">
        <v>9</v>
      </c>
      <c r="AV2848">
        <v>534</v>
      </c>
      <c r="AW2848">
        <v>534</v>
      </c>
      <c r="AX2848">
        <v>732</v>
      </c>
      <c r="BA2848">
        <v>1</v>
      </c>
      <c r="BC2848" t="s">
        <v>5798</v>
      </c>
      <c r="BD2848" s="4">
        <v>43283.163194444445</v>
      </c>
      <c r="BE2848" s="4">
        <v>43283.175046296295</v>
      </c>
      <c r="BF2848" s="4">
        <v>43283.175046296295</v>
      </c>
      <c r="BG2848" t="s">
        <v>83</v>
      </c>
      <c r="BH2848" t="s">
        <v>84</v>
      </c>
      <c r="BI2848" t="s">
        <v>85</v>
      </c>
    </row>
    <row r="2849" spans="1:61" x14ac:dyDescent="0.3">
      <c r="A2849" t="str">
        <f>"200918C0300"</f>
        <v>200918C0300</v>
      </c>
      <c r="B2849" t="s">
        <v>5799</v>
      </c>
      <c r="C2849">
        <v>20</v>
      </c>
      <c r="D2849" t="s">
        <v>79</v>
      </c>
      <c r="E2849">
        <v>13</v>
      </c>
      <c r="F2849" t="s">
        <v>5455</v>
      </c>
      <c r="G2849">
        <v>918</v>
      </c>
      <c r="H2849">
        <v>3</v>
      </c>
      <c r="I2849" t="s">
        <v>89</v>
      </c>
      <c r="J2849">
        <v>0</v>
      </c>
      <c r="K2849">
        <v>1</v>
      </c>
      <c r="L2849">
        <v>2</v>
      </c>
      <c r="M2849">
        <v>240</v>
      </c>
      <c r="N2849">
        <v>514</v>
      </c>
      <c r="O2849">
        <v>6</v>
      </c>
      <c r="P2849" t="s">
        <v>100</v>
      </c>
      <c r="Q2849">
        <v>51</v>
      </c>
      <c r="R2849">
        <v>58</v>
      </c>
      <c r="S2849">
        <v>39</v>
      </c>
      <c r="T2849">
        <v>11</v>
      </c>
      <c r="U2849">
        <v>23</v>
      </c>
      <c r="V2849">
        <v>11</v>
      </c>
      <c r="W2849">
        <v>8</v>
      </c>
      <c r="X2849">
        <v>2</v>
      </c>
      <c r="Y2849">
        <v>242</v>
      </c>
      <c r="Z2849">
        <v>11</v>
      </c>
      <c r="AA2849">
        <v>21</v>
      </c>
      <c r="AB2849">
        <v>17</v>
      </c>
      <c r="AC2849">
        <v>1</v>
      </c>
      <c r="AD2849">
        <v>1</v>
      </c>
      <c r="AE2849" t="s">
        <v>100</v>
      </c>
      <c r="AF2849">
        <v>1</v>
      </c>
      <c r="AK2849">
        <v>3</v>
      </c>
      <c r="AL2849" t="s">
        <v>100</v>
      </c>
      <c r="AM2849" t="s">
        <v>100</v>
      </c>
      <c r="AN2849">
        <v>1</v>
      </c>
      <c r="AT2849">
        <v>1</v>
      </c>
      <c r="AU2849">
        <v>12</v>
      </c>
      <c r="AV2849">
        <v>514</v>
      </c>
      <c r="AW2849">
        <v>514</v>
      </c>
      <c r="AX2849">
        <v>732</v>
      </c>
      <c r="AZ2849" t="s">
        <v>101</v>
      </c>
      <c r="BA2849">
        <v>1</v>
      </c>
      <c r="BC2849" t="s">
        <v>5800</v>
      </c>
      <c r="BD2849" s="4">
        <v>43283.163888888892</v>
      </c>
      <c r="BE2849" s="4">
        <v>43283.184849537036</v>
      </c>
      <c r="BF2849" s="4">
        <v>43283.184849537036</v>
      </c>
      <c r="BG2849" t="s">
        <v>83</v>
      </c>
      <c r="BH2849" t="s">
        <v>84</v>
      </c>
      <c r="BI2849" t="s">
        <v>85</v>
      </c>
    </row>
    <row r="2850" spans="1:61" x14ac:dyDescent="0.3">
      <c r="A2850" t="str">
        <f>"200919B0100"</f>
        <v>200919B0100</v>
      </c>
      <c r="B2850" t="s">
        <v>5801</v>
      </c>
      <c r="C2850">
        <v>20</v>
      </c>
      <c r="D2850" t="s">
        <v>79</v>
      </c>
      <c r="E2850">
        <v>13</v>
      </c>
      <c r="F2850" t="s">
        <v>5455</v>
      </c>
      <c r="G2850">
        <v>919</v>
      </c>
      <c r="H2850">
        <v>1</v>
      </c>
      <c r="I2850" t="s">
        <v>81</v>
      </c>
      <c r="J2850">
        <v>0</v>
      </c>
      <c r="K2850">
        <v>2</v>
      </c>
      <c r="L2850">
        <v>2</v>
      </c>
      <c r="M2850" t="s">
        <v>315</v>
      </c>
      <c r="N2850" t="s">
        <v>315</v>
      </c>
      <c r="O2850" t="s">
        <v>315</v>
      </c>
      <c r="P2850" t="s">
        <v>315</v>
      </c>
      <c r="Q2850" t="s">
        <v>315</v>
      </c>
      <c r="R2850" t="s">
        <v>315</v>
      </c>
      <c r="S2850" t="s">
        <v>315</v>
      </c>
      <c r="T2850" t="s">
        <v>315</v>
      </c>
      <c r="U2850" t="s">
        <v>315</v>
      </c>
      <c r="V2850" t="s">
        <v>315</v>
      </c>
      <c r="W2850" t="s">
        <v>315</v>
      </c>
      <c r="X2850" t="s">
        <v>315</v>
      </c>
      <c r="Y2850" t="s">
        <v>315</v>
      </c>
      <c r="Z2850" t="s">
        <v>315</v>
      </c>
      <c r="AA2850" t="s">
        <v>315</v>
      </c>
      <c r="AB2850" t="s">
        <v>315</v>
      </c>
      <c r="AC2850" t="s">
        <v>315</v>
      </c>
      <c r="AD2850" t="s">
        <v>315</v>
      </c>
      <c r="AE2850" t="s">
        <v>315</v>
      </c>
      <c r="AF2850" t="s">
        <v>315</v>
      </c>
      <c r="AK2850" t="s">
        <v>315</v>
      </c>
      <c r="AL2850" t="s">
        <v>315</v>
      </c>
      <c r="AM2850" t="s">
        <v>315</v>
      </c>
      <c r="AN2850" t="s">
        <v>315</v>
      </c>
      <c r="AT2850" t="s">
        <v>315</v>
      </c>
      <c r="AU2850" t="s">
        <v>315</v>
      </c>
      <c r="AX2850">
        <v>686</v>
      </c>
      <c r="AZ2850" t="s">
        <v>794</v>
      </c>
      <c r="BA2850">
        <v>0</v>
      </c>
      <c r="BC2850" t="s">
        <v>5802</v>
      </c>
      <c r="BD2850" s="4">
        <v>43283.370833333334</v>
      </c>
      <c r="BE2850" s="4">
        <v>43283.386296296296</v>
      </c>
      <c r="BF2850" s="4">
        <v>43283.386296296296</v>
      </c>
      <c r="BG2850" t="s">
        <v>83</v>
      </c>
      <c r="BH2850" t="s">
        <v>84</v>
      </c>
      <c r="BI2850" t="s">
        <v>85</v>
      </c>
    </row>
    <row r="2851" spans="1:61" x14ac:dyDescent="0.3">
      <c r="A2851" t="str">
        <f>"200919C0100"</f>
        <v>200919C0100</v>
      </c>
      <c r="B2851" t="s">
        <v>5803</v>
      </c>
      <c r="C2851">
        <v>20</v>
      </c>
      <c r="D2851" t="s">
        <v>79</v>
      </c>
      <c r="E2851">
        <v>13</v>
      </c>
      <c r="F2851" t="s">
        <v>5455</v>
      </c>
      <c r="G2851">
        <v>919</v>
      </c>
      <c r="H2851">
        <v>1</v>
      </c>
      <c r="I2851" t="s">
        <v>89</v>
      </c>
      <c r="J2851">
        <v>0</v>
      </c>
      <c r="K2851">
        <v>2</v>
      </c>
      <c r="L2851">
        <v>2</v>
      </c>
      <c r="M2851">
        <v>243</v>
      </c>
      <c r="N2851">
        <v>465</v>
      </c>
      <c r="O2851">
        <v>5</v>
      </c>
      <c r="P2851">
        <v>473</v>
      </c>
      <c r="Q2851">
        <v>35</v>
      </c>
      <c r="R2851">
        <v>68</v>
      </c>
      <c r="S2851">
        <v>37</v>
      </c>
      <c r="T2851">
        <v>5</v>
      </c>
      <c r="U2851">
        <v>19</v>
      </c>
      <c r="V2851">
        <v>6</v>
      </c>
      <c r="W2851">
        <v>13</v>
      </c>
      <c r="X2851">
        <v>4</v>
      </c>
      <c r="Y2851">
        <v>213</v>
      </c>
      <c r="Z2851">
        <v>12</v>
      </c>
      <c r="AA2851">
        <v>22</v>
      </c>
      <c r="AB2851">
        <v>19</v>
      </c>
      <c r="AC2851">
        <v>1</v>
      </c>
      <c r="AD2851">
        <v>0</v>
      </c>
      <c r="AE2851">
        <v>0</v>
      </c>
      <c r="AF2851">
        <v>0</v>
      </c>
      <c r="AK2851">
        <v>8</v>
      </c>
      <c r="AL2851">
        <v>1</v>
      </c>
      <c r="AM2851">
        <v>0</v>
      </c>
      <c r="AN2851">
        <v>0</v>
      </c>
      <c r="AT2851">
        <v>0</v>
      </c>
      <c r="AU2851">
        <v>13</v>
      </c>
      <c r="AV2851" t="s">
        <v>315</v>
      </c>
      <c r="AW2851">
        <v>476</v>
      </c>
      <c r="AX2851">
        <v>686</v>
      </c>
      <c r="BA2851">
        <v>1</v>
      </c>
      <c r="BC2851" t="s">
        <v>5804</v>
      </c>
      <c r="BD2851" s="4">
        <v>43283.199305555558</v>
      </c>
      <c r="BE2851" s="4">
        <v>43283.218773148146</v>
      </c>
      <c r="BF2851" s="4">
        <v>43283.218773148146</v>
      </c>
      <c r="BG2851" t="s">
        <v>83</v>
      </c>
      <c r="BH2851" t="s">
        <v>84</v>
      </c>
      <c r="BI2851" t="s">
        <v>85</v>
      </c>
    </row>
    <row r="2852" spans="1:61" x14ac:dyDescent="0.3">
      <c r="A2852" t="str">
        <f>"200919C0200"</f>
        <v>200919C0200</v>
      </c>
      <c r="B2852" t="s">
        <v>5805</v>
      </c>
      <c r="C2852">
        <v>20</v>
      </c>
      <c r="D2852" t="s">
        <v>79</v>
      </c>
      <c r="E2852">
        <v>13</v>
      </c>
      <c r="F2852" t="s">
        <v>5455</v>
      </c>
      <c r="G2852">
        <v>919</v>
      </c>
      <c r="H2852">
        <v>2</v>
      </c>
      <c r="I2852" t="s">
        <v>89</v>
      </c>
      <c r="J2852">
        <v>0</v>
      </c>
      <c r="K2852">
        <v>2</v>
      </c>
      <c r="L2852">
        <v>2</v>
      </c>
      <c r="M2852">
        <v>208</v>
      </c>
      <c r="N2852">
        <v>494</v>
      </c>
      <c r="O2852">
        <v>7</v>
      </c>
      <c r="P2852">
        <v>437</v>
      </c>
      <c r="Q2852">
        <v>21</v>
      </c>
      <c r="R2852">
        <v>66</v>
      </c>
      <c r="S2852">
        <v>51</v>
      </c>
      <c r="T2852">
        <v>7</v>
      </c>
      <c r="U2852">
        <v>19</v>
      </c>
      <c r="V2852">
        <v>5</v>
      </c>
      <c r="W2852">
        <v>8</v>
      </c>
      <c r="X2852">
        <v>3</v>
      </c>
      <c r="Y2852">
        <v>200</v>
      </c>
      <c r="Z2852">
        <v>8</v>
      </c>
      <c r="AA2852">
        <v>18</v>
      </c>
      <c r="AB2852">
        <v>12</v>
      </c>
      <c r="AC2852">
        <v>0</v>
      </c>
      <c r="AD2852">
        <v>1</v>
      </c>
      <c r="AE2852">
        <v>0</v>
      </c>
      <c r="AF2852">
        <v>0</v>
      </c>
      <c r="AK2852">
        <v>8</v>
      </c>
      <c r="AL2852">
        <v>4</v>
      </c>
      <c r="AM2852">
        <v>0</v>
      </c>
      <c r="AN2852">
        <v>1</v>
      </c>
      <c r="AT2852">
        <v>0</v>
      </c>
      <c r="AU2852">
        <v>14</v>
      </c>
      <c r="AV2852">
        <v>446</v>
      </c>
      <c r="AW2852">
        <v>446</v>
      </c>
      <c r="AX2852">
        <v>686</v>
      </c>
      <c r="BA2852">
        <v>1</v>
      </c>
      <c r="BC2852" t="s">
        <v>5806</v>
      </c>
      <c r="BD2852" s="4">
        <v>43283.200694444444</v>
      </c>
      <c r="BE2852" s="4">
        <v>43283.216805555552</v>
      </c>
      <c r="BF2852" s="4">
        <v>43283.216805555552</v>
      </c>
      <c r="BG2852" t="s">
        <v>83</v>
      </c>
      <c r="BH2852" t="s">
        <v>84</v>
      </c>
      <c r="BI2852" t="s">
        <v>85</v>
      </c>
    </row>
    <row r="2853" spans="1:61" x14ac:dyDescent="0.3">
      <c r="A2853" t="str">
        <f>"200919E0100"</f>
        <v>200919E0100</v>
      </c>
      <c r="B2853" s="2" t="s">
        <v>5807</v>
      </c>
      <c r="C2853">
        <v>20</v>
      </c>
      <c r="D2853" t="s">
        <v>79</v>
      </c>
      <c r="E2853">
        <v>13</v>
      </c>
      <c r="F2853" t="s">
        <v>5455</v>
      </c>
      <c r="G2853">
        <v>919</v>
      </c>
      <c r="H2853">
        <v>1</v>
      </c>
      <c r="I2853" t="s">
        <v>145</v>
      </c>
      <c r="J2853">
        <v>0</v>
      </c>
      <c r="K2853">
        <v>2</v>
      </c>
      <c r="L2853">
        <v>2</v>
      </c>
      <c r="M2853">
        <v>219</v>
      </c>
      <c r="N2853">
        <v>337</v>
      </c>
      <c r="O2853">
        <v>9</v>
      </c>
      <c r="P2853">
        <v>338</v>
      </c>
      <c r="Q2853">
        <v>20</v>
      </c>
      <c r="R2853">
        <v>40</v>
      </c>
      <c r="S2853">
        <v>35</v>
      </c>
      <c r="T2853">
        <v>5</v>
      </c>
      <c r="U2853">
        <v>15</v>
      </c>
      <c r="V2853">
        <v>4</v>
      </c>
      <c r="W2853">
        <v>11</v>
      </c>
      <c r="X2853">
        <v>3</v>
      </c>
      <c r="Y2853">
        <v>145</v>
      </c>
      <c r="Z2853">
        <v>3</v>
      </c>
      <c r="AA2853">
        <v>11</v>
      </c>
      <c r="AB2853">
        <v>13</v>
      </c>
      <c r="AC2853">
        <v>0</v>
      </c>
      <c r="AD2853">
        <v>0</v>
      </c>
      <c r="AE2853">
        <v>0</v>
      </c>
      <c r="AF2853">
        <v>0</v>
      </c>
      <c r="AK2853">
        <v>4</v>
      </c>
      <c r="AL2853">
        <v>2</v>
      </c>
      <c r="AM2853">
        <v>0</v>
      </c>
      <c r="AN2853">
        <v>4</v>
      </c>
      <c r="AT2853">
        <v>0</v>
      </c>
      <c r="AU2853">
        <v>23</v>
      </c>
      <c r="AV2853">
        <v>338</v>
      </c>
      <c r="AW2853">
        <v>338</v>
      </c>
      <c r="AX2853">
        <v>535</v>
      </c>
      <c r="BA2853">
        <v>1</v>
      </c>
      <c r="BC2853" t="s">
        <v>5808</v>
      </c>
      <c r="BD2853" s="4">
        <v>43283.201388888891</v>
      </c>
      <c r="BE2853" s="4">
        <v>43283.217881944445</v>
      </c>
      <c r="BF2853" s="4">
        <v>43283.217881944445</v>
      </c>
      <c r="BG2853" t="s">
        <v>83</v>
      </c>
      <c r="BH2853" t="s">
        <v>84</v>
      </c>
      <c r="BI2853" t="s">
        <v>85</v>
      </c>
    </row>
    <row r="2854" spans="1:61" x14ac:dyDescent="0.3">
      <c r="A2854" t="str">
        <f>"200919E0101"</f>
        <v>200919E0101</v>
      </c>
      <c r="B2854" s="2" t="s">
        <v>5809</v>
      </c>
      <c r="C2854">
        <v>20</v>
      </c>
      <c r="D2854" t="s">
        <v>79</v>
      </c>
      <c r="E2854">
        <v>13</v>
      </c>
      <c r="F2854" t="s">
        <v>5455</v>
      </c>
      <c r="G2854">
        <v>919</v>
      </c>
      <c r="H2854">
        <v>1</v>
      </c>
      <c r="I2854" t="s">
        <v>145</v>
      </c>
      <c r="J2854">
        <v>1</v>
      </c>
      <c r="K2854">
        <v>2</v>
      </c>
      <c r="L2854">
        <v>2</v>
      </c>
      <c r="M2854" t="s">
        <v>100</v>
      </c>
      <c r="N2854" t="s">
        <v>100</v>
      </c>
      <c r="O2854" t="s">
        <v>100</v>
      </c>
      <c r="P2854" t="s">
        <v>100</v>
      </c>
      <c r="Q2854" t="s">
        <v>100</v>
      </c>
      <c r="R2854" t="s">
        <v>100</v>
      </c>
      <c r="S2854" t="s">
        <v>100</v>
      </c>
      <c r="T2854" t="s">
        <v>100</v>
      </c>
      <c r="U2854" t="s">
        <v>100</v>
      </c>
      <c r="V2854" t="s">
        <v>100</v>
      </c>
      <c r="W2854" t="s">
        <v>100</v>
      </c>
      <c r="X2854" t="s">
        <v>100</v>
      </c>
      <c r="Y2854" t="s">
        <v>100</v>
      </c>
      <c r="Z2854" t="s">
        <v>100</v>
      </c>
      <c r="AA2854" t="s">
        <v>100</v>
      </c>
      <c r="AB2854" t="s">
        <v>100</v>
      </c>
      <c r="AC2854" t="s">
        <v>100</v>
      </c>
      <c r="AD2854" t="s">
        <v>100</v>
      </c>
      <c r="AE2854" t="s">
        <v>100</v>
      </c>
      <c r="AF2854" t="s">
        <v>100</v>
      </c>
      <c r="AK2854" t="s">
        <v>100</v>
      </c>
      <c r="AL2854" t="s">
        <v>100</v>
      </c>
      <c r="AM2854" t="s">
        <v>100</v>
      </c>
      <c r="AN2854" t="s">
        <v>100</v>
      </c>
      <c r="AT2854" t="s">
        <v>100</v>
      </c>
      <c r="AU2854" t="s">
        <v>100</v>
      </c>
      <c r="AX2854">
        <v>534</v>
      </c>
      <c r="AZ2854" t="s">
        <v>794</v>
      </c>
      <c r="BA2854">
        <v>0</v>
      </c>
      <c r="BC2854" t="s">
        <v>5810</v>
      </c>
      <c r="BD2854" s="4">
        <v>43283.37222222222</v>
      </c>
      <c r="BE2854" s="4">
        <v>43283.387083333335</v>
      </c>
      <c r="BF2854" s="4">
        <v>43283.387083333335</v>
      </c>
      <c r="BG2854" t="s">
        <v>83</v>
      </c>
      <c r="BH2854" t="s">
        <v>84</v>
      </c>
      <c r="BI2854" t="s">
        <v>85</v>
      </c>
    </row>
    <row r="2855" spans="1:61" x14ac:dyDescent="0.3">
      <c r="A2855" t="str">
        <f>"200919E0200"</f>
        <v>200919E0200</v>
      </c>
      <c r="B2855" s="2" t="s">
        <v>5811</v>
      </c>
      <c r="C2855">
        <v>20</v>
      </c>
      <c r="D2855" t="s">
        <v>79</v>
      </c>
      <c r="E2855">
        <v>13</v>
      </c>
      <c r="F2855" t="s">
        <v>5455</v>
      </c>
      <c r="G2855">
        <v>919</v>
      </c>
      <c r="H2855">
        <v>2</v>
      </c>
      <c r="I2855" t="s">
        <v>145</v>
      </c>
      <c r="J2855">
        <v>0</v>
      </c>
      <c r="K2855">
        <v>2</v>
      </c>
      <c r="L2855">
        <v>2</v>
      </c>
      <c r="M2855">
        <v>289</v>
      </c>
      <c r="N2855">
        <v>471</v>
      </c>
      <c r="O2855">
        <v>5</v>
      </c>
      <c r="P2855">
        <v>471</v>
      </c>
      <c r="Q2855">
        <v>31</v>
      </c>
      <c r="R2855">
        <v>65</v>
      </c>
      <c r="S2855">
        <v>27</v>
      </c>
      <c r="T2855">
        <v>8</v>
      </c>
      <c r="U2855">
        <v>20</v>
      </c>
      <c r="V2855">
        <v>5</v>
      </c>
      <c r="W2855">
        <v>10</v>
      </c>
      <c r="X2855">
        <v>4</v>
      </c>
      <c r="Y2855">
        <v>225</v>
      </c>
      <c r="Z2855">
        <v>6</v>
      </c>
      <c r="AA2855">
        <v>21</v>
      </c>
      <c r="AB2855">
        <v>26</v>
      </c>
      <c r="AC2855">
        <v>1</v>
      </c>
      <c r="AD2855">
        <v>0</v>
      </c>
      <c r="AE2855">
        <v>0</v>
      </c>
      <c r="AF2855">
        <v>0</v>
      </c>
      <c r="AK2855">
        <v>10</v>
      </c>
      <c r="AL2855">
        <v>1</v>
      </c>
      <c r="AM2855">
        <v>1</v>
      </c>
      <c r="AN2855">
        <v>0</v>
      </c>
      <c r="AT2855">
        <v>0</v>
      </c>
      <c r="AU2855">
        <v>11</v>
      </c>
      <c r="AV2855">
        <v>471</v>
      </c>
      <c r="AW2855">
        <v>472</v>
      </c>
      <c r="AX2855">
        <v>738</v>
      </c>
      <c r="BA2855">
        <v>1</v>
      </c>
      <c r="BC2855" t="s">
        <v>5812</v>
      </c>
      <c r="BD2855" s="4">
        <v>43283.395833333336</v>
      </c>
      <c r="BE2855" s="4">
        <v>43283.399594907409</v>
      </c>
      <c r="BF2855" s="4">
        <v>43283.399594907409</v>
      </c>
      <c r="BG2855" t="s">
        <v>83</v>
      </c>
      <c r="BH2855" t="s">
        <v>84</v>
      </c>
      <c r="BI2855" t="s">
        <v>548</v>
      </c>
    </row>
    <row r="2856" spans="1:61" x14ac:dyDescent="0.3">
      <c r="A2856" t="str">
        <f>"200919E0201"</f>
        <v>200919E0201</v>
      </c>
      <c r="B2856" s="2" t="s">
        <v>5813</v>
      </c>
      <c r="C2856">
        <v>20</v>
      </c>
      <c r="D2856" t="s">
        <v>79</v>
      </c>
      <c r="E2856">
        <v>13</v>
      </c>
      <c r="F2856" t="s">
        <v>5455</v>
      </c>
      <c r="G2856">
        <v>919</v>
      </c>
      <c r="H2856">
        <v>2</v>
      </c>
      <c r="I2856" t="s">
        <v>145</v>
      </c>
      <c r="J2856">
        <v>1</v>
      </c>
      <c r="K2856">
        <v>2</v>
      </c>
      <c r="L2856">
        <v>2</v>
      </c>
      <c r="M2856" t="s">
        <v>315</v>
      </c>
      <c r="N2856" t="s">
        <v>315</v>
      </c>
      <c r="O2856">
        <v>5</v>
      </c>
      <c r="P2856" t="s">
        <v>315</v>
      </c>
      <c r="Q2856">
        <v>32</v>
      </c>
      <c r="R2856">
        <v>45</v>
      </c>
      <c r="S2856">
        <v>24</v>
      </c>
      <c r="T2856">
        <v>7</v>
      </c>
      <c r="U2856">
        <v>3</v>
      </c>
      <c r="V2856">
        <v>6</v>
      </c>
      <c r="W2856">
        <v>9</v>
      </c>
      <c r="X2856">
        <v>2</v>
      </c>
      <c r="Y2856">
        <v>159</v>
      </c>
      <c r="Z2856">
        <v>5</v>
      </c>
      <c r="AA2856">
        <v>36</v>
      </c>
      <c r="AB2856">
        <v>14</v>
      </c>
      <c r="AC2856">
        <v>2</v>
      </c>
      <c r="AD2856" t="s">
        <v>100</v>
      </c>
      <c r="AE2856" t="s">
        <v>100</v>
      </c>
      <c r="AF2856" t="s">
        <v>100</v>
      </c>
      <c r="AK2856">
        <v>9</v>
      </c>
      <c r="AL2856">
        <v>7</v>
      </c>
      <c r="AM2856">
        <v>0</v>
      </c>
      <c r="AN2856">
        <v>0</v>
      </c>
      <c r="AT2856">
        <v>0</v>
      </c>
      <c r="AU2856">
        <v>13</v>
      </c>
      <c r="AV2856" t="s">
        <v>100</v>
      </c>
      <c r="AW2856">
        <v>373</v>
      </c>
      <c r="AX2856">
        <v>738</v>
      </c>
      <c r="AZ2856" t="s">
        <v>101</v>
      </c>
      <c r="BA2856">
        <v>1</v>
      </c>
      <c r="BC2856" t="s">
        <v>5814</v>
      </c>
      <c r="BD2856" s="4">
        <v>43283.372916666667</v>
      </c>
      <c r="BE2856" s="4">
        <v>43283.401354166665</v>
      </c>
      <c r="BF2856" s="4">
        <v>43283.401354166665</v>
      </c>
      <c r="BG2856" t="s">
        <v>83</v>
      </c>
      <c r="BH2856" t="s">
        <v>84</v>
      </c>
      <c r="BI2856" t="s">
        <v>85</v>
      </c>
    </row>
    <row r="2857" spans="1:61" x14ac:dyDescent="0.3">
      <c r="A2857" t="str">
        <f>"201784B0100"</f>
        <v>201784B0100</v>
      </c>
      <c r="B2857" t="s">
        <v>5815</v>
      </c>
      <c r="C2857">
        <v>20</v>
      </c>
      <c r="D2857" t="s">
        <v>79</v>
      </c>
      <c r="E2857">
        <v>13</v>
      </c>
      <c r="F2857" t="s">
        <v>5455</v>
      </c>
      <c r="G2857">
        <v>1784</v>
      </c>
      <c r="H2857">
        <v>1</v>
      </c>
      <c r="I2857" t="s">
        <v>81</v>
      </c>
      <c r="J2857">
        <v>0</v>
      </c>
      <c r="K2857">
        <v>2</v>
      </c>
      <c r="L2857">
        <v>2</v>
      </c>
      <c r="M2857">
        <v>259</v>
      </c>
      <c r="N2857">
        <v>369</v>
      </c>
      <c r="O2857">
        <v>5</v>
      </c>
      <c r="P2857">
        <v>372</v>
      </c>
      <c r="Q2857">
        <v>18</v>
      </c>
      <c r="R2857">
        <v>48</v>
      </c>
      <c r="S2857">
        <v>9</v>
      </c>
      <c r="T2857">
        <v>3</v>
      </c>
      <c r="U2857">
        <v>24</v>
      </c>
      <c r="V2857">
        <v>6</v>
      </c>
      <c r="W2857">
        <v>7</v>
      </c>
      <c r="X2857">
        <v>4</v>
      </c>
      <c r="Y2857">
        <v>227</v>
      </c>
      <c r="Z2857">
        <v>5</v>
      </c>
      <c r="AA2857">
        <v>0</v>
      </c>
      <c r="AB2857">
        <v>4</v>
      </c>
      <c r="AC2857">
        <v>0</v>
      </c>
      <c r="AD2857">
        <v>0</v>
      </c>
      <c r="AE2857">
        <v>0</v>
      </c>
      <c r="AF2857">
        <v>0</v>
      </c>
      <c r="AK2857">
        <v>6</v>
      </c>
      <c r="AL2857">
        <v>2</v>
      </c>
      <c r="AM2857">
        <v>2</v>
      </c>
      <c r="AN2857">
        <v>1</v>
      </c>
      <c r="AT2857">
        <v>0</v>
      </c>
      <c r="AU2857">
        <v>6</v>
      </c>
      <c r="AV2857">
        <v>372</v>
      </c>
      <c r="AW2857">
        <v>372</v>
      </c>
      <c r="AX2857">
        <v>607</v>
      </c>
      <c r="BA2857">
        <v>1</v>
      </c>
      <c r="BC2857" t="s">
        <v>5816</v>
      </c>
      <c r="BD2857" s="4">
        <v>43283.004861111112</v>
      </c>
      <c r="BE2857" s="4">
        <v>43283.00849537037</v>
      </c>
      <c r="BF2857" s="4">
        <v>43283.00849537037</v>
      </c>
      <c r="BG2857" t="s">
        <v>83</v>
      </c>
      <c r="BH2857" t="s">
        <v>84</v>
      </c>
      <c r="BI2857" t="s">
        <v>85</v>
      </c>
    </row>
    <row r="2858" spans="1:61" x14ac:dyDescent="0.3">
      <c r="A2858" t="str">
        <f>"201784C0100"</f>
        <v>201784C0100</v>
      </c>
      <c r="B2858" t="s">
        <v>5817</v>
      </c>
      <c r="C2858">
        <v>20</v>
      </c>
      <c r="D2858" t="s">
        <v>79</v>
      </c>
      <c r="E2858">
        <v>13</v>
      </c>
      <c r="F2858" t="s">
        <v>5455</v>
      </c>
      <c r="G2858">
        <v>1784</v>
      </c>
      <c r="H2858">
        <v>1</v>
      </c>
      <c r="I2858" t="s">
        <v>89</v>
      </c>
      <c r="J2858">
        <v>0</v>
      </c>
      <c r="K2858">
        <v>2</v>
      </c>
      <c r="L2858">
        <v>2</v>
      </c>
      <c r="M2858">
        <v>246</v>
      </c>
      <c r="N2858">
        <v>389</v>
      </c>
      <c r="O2858">
        <v>6</v>
      </c>
      <c r="P2858">
        <v>383</v>
      </c>
      <c r="Q2858">
        <v>22</v>
      </c>
      <c r="R2858">
        <v>56</v>
      </c>
      <c r="S2858">
        <v>4</v>
      </c>
      <c r="T2858">
        <v>9</v>
      </c>
      <c r="U2858">
        <v>17</v>
      </c>
      <c r="V2858">
        <v>6</v>
      </c>
      <c r="W2858">
        <v>5</v>
      </c>
      <c r="X2858">
        <v>6</v>
      </c>
      <c r="Y2858">
        <v>216</v>
      </c>
      <c r="Z2858">
        <v>14</v>
      </c>
      <c r="AA2858">
        <v>1</v>
      </c>
      <c r="AB2858">
        <v>10</v>
      </c>
      <c r="AC2858">
        <v>1</v>
      </c>
      <c r="AD2858">
        <v>0</v>
      </c>
      <c r="AE2858">
        <v>0</v>
      </c>
      <c r="AF2858">
        <v>0</v>
      </c>
      <c r="AK2858">
        <v>5</v>
      </c>
      <c r="AL2858">
        <v>1</v>
      </c>
      <c r="AM2858">
        <v>0</v>
      </c>
      <c r="AN2858">
        <v>0</v>
      </c>
      <c r="AT2858">
        <v>0</v>
      </c>
      <c r="AU2858">
        <v>10</v>
      </c>
      <c r="AV2858">
        <v>383</v>
      </c>
      <c r="AW2858">
        <v>383</v>
      </c>
      <c r="AX2858">
        <v>607</v>
      </c>
      <c r="BA2858">
        <v>1</v>
      </c>
      <c r="BC2858" t="s">
        <v>5818</v>
      </c>
      <c r="BD2858" s="4">
        <v>43283.00277777778</v>
      </c>
      <c r="BE2858" s="4">
        <v>43283.008564814816</v>
      </c>
      <c r="BF2858" s="4">
        <v>43283.008564814816</v>
      </c>
      <c r="BG2858" t="s">
        <v>83</v>
      </c>
      <c r="BH2858" t="s">
        <v>84</v>
      </c>
      <c r="BI2858" t="s">
        <v>85</v>
      </c>
    </row>
    <row r="2859" spans="1:61" x14ac:dyDescent="0.3">
      <c r="A2859" t="str">
        <f>"201784C0200"</f>
        <v>201784C0200</v>
      </c>
      <c r="B2859" t="s">
        <v>5819</v>
      </c>
      <c r="C2859">
        <v>20</v>
      </c>
      <c r="D2859" t="s">
        <v>79</v>
      </c>
      <c r="E2859">
        <v>13</v>
      </c>
      <c r="F2859" t="s">
        <v>5455</v>
      </c>
      <c r="G2859">
        <v>1784</v>
      </c>
      <c r="H2859">
        <v>2</v>
      </c>
      <c r="I2859" t="s">
        <v>89</v>
      </c>
      <c r="J2859">
        <v>0</v>
      </c>
      <c r="K2859">
        <v>2</v>
      </c>
      <c r="L2859">
        <v>2</v>
      </c>
      <c r="M2859">
        <v>258</v>
      </c>
      <c r="N2859">
        <v>370</v>
      </c>
      <c r="O2859">
        <v>3</v>
      </c>
      <c r="P2859">
        <v>370</v>
      </c>
      <c r="Q2859">
        <v>22</v>
      </c>
      <c r="R2859">
        <v>43</v>
      </c>
      <c r="S2859">
        <v>7</v>
      </c>
      <c r="T2859">
        <v>5</v>
      </c>
      <c r="U2859">
        <v>19</v>
      </c>
      <c r="V2859">
        <v>6</v>
      </c>
      <c r="W2859">
        <v>10</v>
      </c>
      <c r="X2859">
        <v>5</v>
      </c>
      <c r="Y2859">
        <v>214</v>
      </c>
      <c r="Z2859">
        <v>5</v>
      </c>
      <c r="AA2859">
        <v>4</v>
      </c>
      <c r="AB2859">
        <v>12</v>
      </c>
      <c r="AC2859">
        <v>1</v>
      </c>
      <c r="AD2859">
        <v>0</v>
      </c>
      <c r="AE2859">
        <v>0</v>
      </c>
      <c r="AF2859">
        <v>0</v>
      </c>
      <c r="AK2859">
        <v>7</v>
      </c>
      <c r="AL2859">
        <v>1</v>
      </c>
      <c r="AM2859">
        <v>0</v>
      </c>
      <c r="AN2859">
        <v>2</v>
      </c>
      <c r="AT2859">
        <v>0</v>
      </c>
      <c r="AU2859">
        <v>7</v>
      </c>
      <c r="AV2859">
        <v>370</v>
      </c>
      <c r="AW2859">
        <v>370</v>
      </c>
      <c r="AX2859">
        <v>606</v>
      </c>
      <c r="BA2859">
        <v>1</v>
      </c>
      <c r="BC2859" t="s">
        <v>5820</v>
      </c>
      <c r="BD2859" s="4">
        <v>43283.001388888886</v>
      </c>
      <c r="BE2859" s="4">
        <v>43283.006608796299</v>
      </c>
      <c r="BF2859" s="4">
        <v>43283.006608796299</v>
      </c>
      <c r="BG2859" t="s">
        <v>83</v>
      </c>
      <c r="BH2859" t="s">
        <v>84</v>
      </c>
      <c r="BI2859" t="s">
        <v>85</v>
      </c>
    </row>
    <row r="2860" spans="1:61" x14ac:dyDescent="0.3">
      <c r="A2860" t="str">
        <f>"201784C0300"</f>
        <v>201784C0300</v>
      </c>
      <c r="B2860" t="s">
        <v>5821</v>
      </c>
      <c r="C2860">
        <v>20</v>
      </c>
      <c r="D2860" t="s">
        <v>79</v>
      </c>
      <c r="E2860">
        <v>13</v>
      </c>
      <c r="F2860" t="s">
        <v>5455</v>
      </c>
      <c r="G2860">
        <v>1784</v>
      </c>
      <c r="H2860">
        <v>3</v>
      </c>
      <c r="I2860" t="s">
        <v>89</v>
      </c>
      <c r="J2860">
        <v>0</v>
      </c>
      <c r="K2860">
        <v>2</v>
      </c>
      <c r="L2860">
        <v>2</v>
      </c>
      <c r="M2860">
        <v>249</v>
      </c>
      <c r="N2860">
        <v>379</v>
      </c>
      <c r="O2860">
        <v>6</v>
      </c>
      <c r="P2860">
        <v>379</v>
      </c>
      <c r="Q2860">
        <v>16</v>
      </c>
      <c r="R2860">
        <v>37</v>
      </c>
      <c r="S2860">
        <v>12</v>
      </c>
      <c r="T2860">
        <v>4</v>
      </c>
      <c r="U2860">
        <v>12</v>
      </c>
      <c r="V2860">
        <v>7</v>
      </c>
      <c r="W2860">
        <v>6</v>
      </c>
      <c r="X2860">
        <v>2</v>
      </c>
      <c r="Y2860">
        <v>233</v>
      </c>
      <c r="Z2860">
        <v>7</v>
      </c>
      <c r="AA2860">
        <v>2</v>
      </c>
      <c r="AB2860">
        <v>10</v>
      </c>
      <c r="AC2860">
        <v>1</v>
      </c>
      <c r="AD2860">
        <v>0</v>
      </c>
      <c r="AE2860">
        <v>0</v>
      </c>
      <c r="AF2860">
        <v>0</v>
      </c>
      <c r="AK2860">
        <v>10</v>
      </c>
      <c r="AL2860">
        <v>2</v>
      </c>
      <c r="AM2860">
        <v>0</v>
      </c>
      <c r="AN2860">
        <v>1</v>
      </c>
      <c r="AT2860">
        <v>0</v>
      </c>
      <c r="AU2860">
        <v>17</v>
      </c>
      <c r="AV2860">
        <v>379</v>
      </c>
      <c r="AW2860">
        <v>379</v>
      </c>
      <c r="AX2860">
        <v>606</v>
      </c>
      <c r="BA2860">
        <v>1</v>
      </c>
      <c r="BC2860" t="s">
        <v>5822</v>
      </c>
      <c r="BD2860" s="4">
        <v>43283.002083333333</v>
      </c>
      <c r="BE2860" s="4">
        <v>43283.007708333331</v>
      </c>
      <c r="BF2860" s="4">
        <v>43283.007708333331</v>
      </c>
      <c r="BG2860" t="s">
        <v>83</v>
      </c>
      <c r="BH2860" t="s">
        <v>84</v>
      </c>
      <c r="BI2860" t="s">
        <v>85</v>
      </c>
    </row>
    <row r="2861" spans="1:61" x14ac:dyDescent="0.3">
      <c r="A2861" t="str">
        <f>"201784C0400"</f>
        <v>201784C0400</v>
      </c>
      <c r="B2861" t="s">
        <v>5823</v>
      </c>
      <c r="C2861">
        <v>20</v>
      </c>
      <c r="D2861" t="s">
        <v>79</v>
      </c>
      <c r="E2861">
        <v>13</v>
      </c>
      <c r="F2861" t="s">
        <v>5455</v>
      </c>
      <c r="G2861">
        <v>1784</v>
      </c>
      <c r="H2861">
        <v>4</v>
      </c>
      <c r="I2861" t="s">
        <v>89</v>
      </c>
      <c r="J2861">
        <v>0</v>
      </c>
      <c r="K2861">
        <v>2</v>
      </c>
      <c r="L2861">
        <v>2</v>
      </c>
      <c r="M2861">
        <v>266</v>
      </c>
      <c r="N2861">
        <v>362</v>
      </c>
      <c r="O2861">
        <v>8</v>
      </c>
      <c r="P2861">
        <v>362</v>
      </c>
      <c r="Q2861">
        <v>16</v>
      </c>
      <c r="R2861">
        <v>60</v>
      </c>
      <c r="S2861">
        <v>8</v>
      </c>
      <c r="T2861">
        <v>5</v>
      </c>
      <c r="U2861">
        <v>23</v>
      </c>
      <c r="V2861">
        <v>5</v>
      </c>
      <c r="W2861">
        <v>6</v>
      </c>
      <c r="X2861">
        <v>1</v>
      </c>
      <c r="Y2861">
        <v>207</v>
      </c>
      <c r="Z2861">
        <v>10</v>
      </c>
      <c r="AA2861">
        <v>0</v>
      </c>
      <c r="AB2861">
        <v>7</v>
      </c>
      <c r="AC2861">
        <v>0</v>
      </c>
      <c r="AD2861">
        <v>0</v>
      </c>
      <c r="AE2861">
        <v>0</v>
      </c>
      <c r="AF2861">
        <v>0</v>
      </c>
      <c r="AK2861">
        <v>0</v>
      </c>
      <c r="AL2861">
        <v>5</v>
      </c>
      <c r="AM2861">
        <v>0</v>
      </c>
      <c r="AN2861">
        <v>2</v>
      </c>
      <c r="AT2861">
        <v>0</v>
      </c>
      <c r="AU2861">
        <v>7</v>
      </c>
      <c r="AV2861">
        <v>362</v>
      </c>
      <c r="AW2861">
        <v>362</v>
      </c>
      <c r="AX2861">
        <v>606</v>
      </c>
      <c r="BA2861">
        <v>1</v>
      </c>
      <c r="BC2861" t="s">
        <v>5824</v>
      </c>
      <c r="BD2861" s="4">
        <v>43283.003472222219</v>
      </c>
      <c r="BE2861" s="4">
        <v>43283.013761574075</v>
      </c>
      <c r="BF2861" s="4">
        <v>43283.013761574075</v>
      </c>
      <c r="BG2861" t="s">
        <v>83</v>
      </c>
      <c r="BH2861" t="s">
        <v>84</v>
      </c>
      <c r="BI2861" t="s">
        <v>85</v>
      </c>
    </row>
    <row r="2862" spans="1:61" x14ac:dyDescent="0.3">
      <c r="A2862" t="str">
        <f>"201784E0100"</f>
        <v>201784E0100</v>
      </c>
      <c r="B2862" s="2" t="s">
        <v>5825</v>
      </c>
      <c r="C2862">
        <v>20</v>
      </c>
      <c r="D2862" t="s">
        <v>79</v>
      </c>
      <c r="E2862">
        <v>13</v>
      </c>
      <c r="F2862" t="s">
        <v>5455</v>
      </c>
      <c r="G2862">
        <v>1784</v>
      </c>
      <c r="H2862">
        <v>1</v>
      </c>
      <c r="I2862" t="s">
        <v>145</v>
      </c>
      <c r="J2862">
        <v>0</v>
      </c>
      <c r="K2862">
        <v>2</v>
      </c>
      <c r="L2862">
        <v>2</v>
      </c>
      <c r="M2862">
        <v>289</v>
      </c>
      <c r="N2862">
        <v>428</v>
      </c>
      <c r="O2862">
        <v>2</v>
      </c>
      <c r="P2862">
        <v>430</v>
      </c>
      <c r="Q2862">
        <v>31</v>
      </c>
      <c r="R2862">
        <v>49</v>
      </c>
      <c r="S2862">
        <v>4</v>
      </c>
      <c r="T2862">
        <v>5</v>
      </c>
      <c r="U2862">
        <v>18</v>
      </c>
      <c r="V2862">
        <v>11</v>
      </c>
      <c r="W2862">
        <v>7</v>
      </c>
      <c r="X2862">
        <v>1</v>
      </c>
      <c r="Y2862">
        <v>252</v>
      </c>
      <c r="Z2862">
        <v>7</v>
      </c>
      <c r="AA2862">
        <v>2</v>
      </c>
      <c r="AB2862">
        <v>13</v>
      </c>
      <c r="AC2862">
        <v>0</v>
      </c>
      <c r="AD2862">
        <v>2</v>
      </c>
      <c r="AE2862">
        <v>0</v>
      </c>
      <c r="AF2862">
        <v>0</v>
      </c>
      <c r="AK2862">
        <v>8</v>
      </c>
      <c r="AL2862">
        <v>2</v>
      </c>
      <c r="AM2862">
        <v>0</v>
      </c>
      <c r="AN2862">
        <v>1</v>
      </c>
      <c r="AT2862">
        <v>0</v>
      </c>
      <c r="AU2862">
        <v>17</v>
      </c>
      <c r="AV2862">
        <v>430</v>
      </c>
      <c r="AW2862">
        <v>430</v>
      </c>
      <c r="AX2862">
        <v>696</v>
      </c>
      <c r="BA2862">
        <v>1</v>
      </c>
      <c r="BC2862" t="s">
        <v>5826</v>
      </c>
      <c r="BD2862" s="4">
        <v>43283.120138888888</v>
      </c>
      <c r="BE2862" s="4">
        <v>43283.125104166669</v>
      </c>
      <c r="BF2862" s="4">
        <v>43283.125104166669</v>
      </c>
      <c r="BG2862" t="s">
        <v>83</v>
      </c>
      <c r="BH2862" t="s">
        <v>84</v>
      </c>
      <c r="BI2862" t="s">
        <v>85</v>
      </c>
    </row>
    <row r="2863" spans="1:61" x14ac:dyDescent="0.3">
      <c r="A2863" t="str">
        <f>"201784E0101"</f>
        <v>201784E0101</v>
      </c>
      <c r="B2863" s="2" t="s">
        <v>5827</v>
      </c>
      <c r="C2863">
        <v>20</v>
      </c>
      <c r="D2863" t="s">
        <v>79</v>
      </c>
      <c r="E2863">
        <v>13</v>
      </c>
      <c r="F2863" t="s">
        <v>5455</v>
      </c>
      <c r="G2863">
        <v>1784</v>
      </c>
      <c r="H2863">
        <v>1</v>
      </c>
      <c r="I2863" t="s">
        <v>145</v>
      </c>
      <c r="J2863">
        <v>1</v>
      </c>
      <c r="K2863">
        <v>2</v>
      </c>
      <c r="L2863">
        <v>2</v>
      </c>
      <c r="M2863">
        <v>297</v>
      </c>
      <c r="N2863">
        <v>421</v>
      </c>
      <c r="O2863">
        <v>9</v>
      </c>
      <c r="P2863">
        <v>421</v>
      </c>
      <c r="Q2863">
        <v>29</v>
      </c>
      <c r="R2863">
        <v>64</v>
      </c>
      <c r="S2863">
        <v>8</v>
      </c>
      <c r="T2863">
        <v>6</v>
      </c>
      <c r="U2863">
        <v>19</v>
      </c>
      <c r="V2863">
        <v>9</v>
      </c>
      <c r="W2863">
        <v>13</v>
      </c>
      <c r="X2863">
        <v>10</v>
      </c>
      <c r="Y2863">
        <v>228</v>
      </c>
      <c r="Z2863">
        <v>4</v>
      </c>
      <c r="AA2863">
        <v>0</v>
      </c>
      <c r="AB2863">
        <v>10</v>
      </c>
      <c r="AC2863">
        <v>1</v>
      </c>
      <c r="AD2863">
        <v>1</v>
      </c>
      <c r="AE2863">
        <v>1</v>
      </c>
      <c r="AF2863">
        <v>0</v>
      </c>
      <c r="AK2863">
        <v>1</v>
      </c>
      <c r="AL2863">
        <v>3</v>
      </c>
      <c r="AM2863">
        <v>1</v>
      </c>
      <c r="AN2863">
        <v>1</v>
      </c>
      <c r="AT2863">
        <v>0</v>
      </c>
      <c r="AU2863">
        <v>12</v>
      </c>
      <c r="AV2863">
        <v>421</v>
      </c>
      <c r="AW2863">
        <v>421</v>
      </c>
      <c r="AX2863">
        <v>696</v>
      </c>
      <c r="BA2863">
        <v>1</v>
      </c>
      <c r="BC2863" t="s">
        <v>5828</v>
      </c>
      <c r="BD2863" s="4">
        <v>43283.119444444441</v>
      </c>
      <c r="BE2863" s="4">
        <v>43283.125439814816</v>
      </c>
      <c r="BF2863" s="4">
        <v>43283.125439814816</v>
      </c>
      <c r="BG2863" t="s">
        <v>83</v>
      </c>
      <c r="BH2863" t="s">
        <v>84</v>
      </c>
      <c r="BI2863" t="s">
        <v>85</v>
      </c>
    </row>
    <row r="2864" spans="1:61" x14ac:dyDescent="0.3">
      <c r="A2864" t="str">
        <f>"201784E0102"</f>
        <v>201784E0102</v>
      </c>
      <c r="B2864" s="2" t="s">
        <v>5829</v>
      </c>
      <c r="C2864">
        <v>20</v>
      </c>
      <c r="D2864" t="s">
        <v>79</v>
      </c>
      <c r="E2864">
        <v>13</v>
      </c>
      <c r="F2864" t="s">
        <v>5455</v>
      </c>
      <c r="G2864">
        <v>1784</v>
      </c>
      <c r="H2864">
        <v>1</v>
      </c>
      <c r="I2864" t="s">
        <v>145</v>
      </c>
      <c r="J2864">
        <v>2</v>
      </c>
      <c r="K2864">
        <v>2</v>
      </c>
      <c r="L2864">
        <v>2</v>
      </c>
      <c r="M2864">
        <v>306</v>
      </c>
      <c r="N2864">
        <v>412</v>
      </c>
      <c r="O2864">
        <v>4</v>
      </c>
      <c r="P2864">
        <v>412</v>
      </c>
      <c r="Q2864">
        <v>30</v>
      </c>
      <c r="R2864">
        <v>67</v>
      </c>
      <c r="S2864">
        <v>7</v>
      </c>
      <c r="T2864">
        <v>8</v>
      </c>
      <c r="U2864">
        <v>25</v>
      </c>
      <c r="V2864">
        <v>6</v>
      </c>
      <c r="W2864">
        <v>10</v>
      </c>
      <c r="X2864">
        <v>2</v>
      </c>
      <c r="Y2864">
        <v>220</v>
      </c>
      <c r="Z2864">
        <v>4</v>
      </c>
      <c r="AA2864">
        <v>2</v>
      </c>
      <c r="AB2864">
        <v>12</v>
      </c>
      <c r="AC2864">
        <v>0</v>
      </c>
      <c r="AD2864">
        <v>0</v>
      </c>
      <c r="AE2864">
        <v>0</v>
      </c>
      <c r="AF2864">
        <v>1</v>
      </c>
      <c r="AK2864">
        <v>3</v>
      </c>
      <c r="AL2864">
        <v>5</v>
      </c>
      <c r="AM2864">
        <v>0</v>
      </c>
      <c r="AN2864">
        <v>0</v>
      </c>
      <c r="AT2864">
        <v>0</v>
      </c>
      <c r="AU2864">
        <v>9</v>
      </c>
      <c r="AV2864">
        <v>412</v>
      </c>
      <c r="AW2864">
        <v>411</v>
      </c>
      <c r="AX2864">
        <v>696</v>
      </c>
      <c r="BA2864">
        <v>1</v>
      </c>
      <c r="BC2864" t="s">
        <v>5830</v>
      </c>
      <c r="BD2864" s="4">
        <v>43283.120833333334</v>
      </c>
      <c r="BE2864" s="4">
        <v>43283.132430555554</v>
      </c>
      <c r="BF2864" s="4">
        <v>43283.132430555554</v>
      </c>
      <c r="BG2864" t="s">
        <v>83</v>
      </c>
      <c r="BH2864" t="s">
        <v>84</v>
      </c>
      <c r="BI2864" t="s">
        <v>85</v>
      </c>
    </row>
    <row r="2865" spans="1:61" x14ac:dyDescent="0.3">
      <c r="A2865" t="str">
        <f>"201784E0103"</f>
        <v>201784E0103</v>
      </c>
      <c r="B2865" s="2" t="s">
        <v>5831</v>
      </c>
      <c r="C2865">
        <v>20</v>
      </c>
      <c r="D2865" t="s">
        <v>79</v>
      </c>
      <c r="E2865">
        <v>13</v>
      </c>
      <c r="F2865" t="s">
        <v>5455</v>
      </c>
      <c r="G2865">
        <v>1784</v>
      </c>
      <c r="H2865">
        <v>1</v>
      </c>
      <c r="I2865" t="s">
        <v>145</v>
      </c>
      <c r="J2865">
        <v>3</v>
      </c>
      <c r="K2865">
        <v>2</v>
      </c>
      <c r="L2865">
        <v>2</v>
      </c>
      <c r="M2865">
        <v>306</v>
      </c>
      <c r="N2865">
        <v>411</v>
      </c>
      <c r="O2865">
        <v>9</v>
      </c>
      <c r="P2865">
        <v>411</v>
      </c>
      <c r="Q2865">
        <v>20</v>
      </c>
      <c r="R2865">
        <v>63</v>
      </c>
      <c r="S2865">
        <v>14</v>
      </c>
      <c r="T2865">
        <v>8</v>
      </c>
      <c r="U2865">
        <v>16</v>
      </c>
      <c r="V2865">
        <v>7</v>
      </c>
      <c r="W2865">
        <v>14</v>
      </c>
      <c r="X2865">
        <v>3</v>
      </c>
      <c r="Y2865">
        <v>230</v>
      </c>
      <c r="Z2865">
        <v>7</v>
      </c>
      <c r="AA2865">
        <v>1</v>
      </c>
      <c r="AB2865">
        <v>9</v>
      </c>
      <c r="AC2865">
        <v>0</v>
      </c>
      <c r="AD2865">
        <v>0</v>
      </c>
      <c r="AE2865">
        <v>0</v>
      </c>
      <c r="AF2865">
        <v>0</v>
      </c>
      <c r="AK2865">
        <v>5</v>
      </c>
      <c r="AL2865">
        <v>1</v>
      </c>
      <c r="AM2865">
        <v>0</v>
      </c>
      <c r="AN2865">
        <v>3</v>
      </c>
      <c r="AT2865">
        <v>0</v>
      </c>
      <c r="AU2865">
        <v>10</v>
      </c>
      <c r="AV2865">
        <v>411</v>
      </c>
      <c r="AW2865">
        <v>411</v>
      </c>
      <c r="AX2865">
        <v>695</v>
      </c>
      <c r="BA2865">
        <v>1</v>
      </c>
      <c r="BC2865" t="s">
        <v>5832</v>
      </c>
      <c r="BD2865" s="4">
        <v>43283.119444444441</v>
      </c>
      <c r="BE2865" s="4">
        <v>43283.125011574077</v>
      </c>
      <c r="BF2865" s="4">
        <v>43283.125011574077</v>
      </c>
      <c r="BG2865" t="s">
        <v>83</v>
      </c>
      <c r="BH2865" t="s">
        <v>84</v>
      </c>
      <c r="BI2865" t="s">
        <v>85</v>
      </c>
    </row>
    <row r="2866" spans="1:61" x14ac:dyDescent="0.3">
      <c r="A2866" t="str">
        <f>"201784E0200"</f>
        <v>201784E0200</v>
      </c>
      <c r="B2866" s="2" t="s">
        <v>5833</v>
      </c>
      <c r="C2866">
        <v>20</v>
      </c>
      <c r="D2866" t="s">
        <v>79</v>
      </c>
      <c r="E2866">
        <v>13</v>
      </c>
      <c r="F2866" t="s">
        <v>5455</v>
      </c>
      <c r="G2866">
        <v>1784</v>
      </c>
      <c r="H2866">
        <v>2</v>
      </c>
      <c r="I2866" t="s">
        <v>145</v>
      </c>
      <c r="J2866">
        <v>0</v>
      </c>
      <c r="K2866">
        <v>2</v>
      </c>
      <c r="L2866">
        <v>2</v>
      </c>
      <c r="M2866">
        <v>252</v>
      </c>
      <c r="N2866">
        <v>441</v>
      </c>
      <c r="O2866">
        <v>10</v>
      </c>
      <c r="P2866">
        <v>441</v>
      </c>
      <c r="Q2866">
        <v>24</v>
      </c>
      <c r="R2866">
        <v>59</v>
      </c>
      <c r="S2866">
        <v>12</v>
      </c>
      <c r="T2866">
        <v>13</v>
      </c>
      <c r="U2866">
        <v>26</v>
      </c>
      <c r="V2866">
        <v>7</v>
      </c>
      <c r="W2866">
        <v>7</v>
      </c>
      <c r="X2866">
        <v>6</v>
      </c>
      <c r="Y2866">
        <v>241</v>
      </c>
      <c r="Z2866">
        <v>4</v>
      </c>
      <c r="AA2866">
        <v>3</v>
      </c>
      <c r="AB2866">
        <v>12</v>
      </c>
      <c r="AC2866">
        <v>0</v>
      </c>
      <c r="AD2866">
        <v>0</v>
      </c>
      <c r="AE2866">
        <v>0</v>
      </c>
      <c r="AF2866">
        <v>0</v>
      </c>
      <c r="AK2866">
        <v>9</v>
      </c>
      <c r="AL2866">
        <v>1</v>
      </c>
      <c r="AM2866">
        <v>0</v>
      </c>
      <c r="AN2866">
        <v>2</v>
      </c>
      <c r="AT2866">
        <v>0</v>
      </c>
      <c r="AU2866">
        <v>15</v>
      </c>
      <c r="AV2866">
        <v>441</v>
      </c>
      <c r="AW2866">
        <v>441</v>
      </c>
      <c r="AX2866">
        <v>671</v>
      </c>
      <c r="BA2866">
        <v>1</v>
      </c>
      <c r="BC2866" t="s">
        <v>5834</v>
      </c>
      <c r="BD2866" s="4">
        <v>43283.147916666669</v>
      </c>
      <c r="BE2866" s="4">
        <v>43283.157048611109</v>
      </c>
      <c r="BF2866" s="4">
        <v>43283.157048611109</v>
      </c>
      <c r="BG2866" t="s">
        <v>83</v>
      </c>
      <c r="BH2866" t="s">
        <v>84</v>
      </c>
      <c r="BI2866" t="s">
        <v>85</v>
      </c>
    </row>
    <row r="2867" spans="1:61" x14ac:dyDescent="0.3">
      <c r="A2867" t="str">
        <f>"201784E0201"</f>
        <v>201784E0201</v>
      </c>
      <c r="B2867" s="2" t="s">
        <v>5835</v>
      </c>
      <c r="C2867">
        <v>20</v>
      </c>
      <c r="D2867" t="s">
        <v>79</v>
      </c>
      <c r="E2867">
        <v>13</v>
      </c>
      <c r="F2867" t="s">
        <v>5455</v>
      </c>
      <c r="G2867">
        <v>1784</v>
      </c>
      <c r="H2867">
        <v>2</v>
      </c>
      <c r="I2867" t="s">
        <v>145</v>
      </c>
      <c r="J2867">
        <v>1</v>
      </c>
      <c r="K2867">
        <v>2</v>
      </c>
      <c r="L2867">
        <v>2</v>
      </c>
      <c r="M2867">
        <v>276</v>
      </c>
      <c r="N2867">
        <v>417</v>
      </c>
      <c r="O2867">
        <v>10</v>
      </c>
      <c r="P2867">
        <v>417</v>
      </c>
      <c r="Q2867">
        <v>16</v>
      </c>
      <c r="R2867">
        <v>35</v>
      </c>
      <c r="S2867">
        <v>3</v>
      </c>
      <c r="T2867">
        <v>6</v>
      </c>
      <c r="U2867">
        <v>38</v>
      </c>
      <c r="V2867">
        <v>3</v>
      </c>
      <c r="W2867">
        <v>13</v>
      </c>
      <c r="X2867">
        <v>7</v>
      </c>
      <c r="Y2867">
        <v>249</v>
      </c>
      <c r="Z2867">
        <v>8</v>
      </c>
      <c r="AA2867">
        <v>1</v>
      </c>
      <c r="AB2867">
        <v>10</v>
      </c>
      <c r="AC2867">
        <v>0</v>
      </c>
      <c r="AD2867">
        <v>0</v>
      </c>
      <c r="AE2867">
        <v>0</v>
      </c>
      <c r="AF2867">
        <v>0</v>
      </c>
      <c r="AK2867">
        <v>6</v>
      </c>
      <c r="AL2867">
        <v>5</v>
      </c>
      <c r="AM2867">
        <v>1</v>
      </c>
      <c r="AN2867">
        <v>1</v>
      </c>
      <c r="AT2867">
        <v>0</v>
      </c>
      <c r="AU2867">
        <v>15</v>
      </c>
      <c r="AV2867">
        <v>417</v>
      </c>
      <c r="AW2867">
        <v>417</v>
      </c>
      <c r="AX2867">
        <v>671</v>
      </c>
      <c r="BA2867">
        <v>1</v>
      </c>
      <c r="BC2867" t="s">
        <v>5836</v>
      </c>
      <c r="BD2867" s="4">
        <v>43283.147222222222</v>
      </c>
      <c r="BE2867" s="4">
        <v>43283.156354166669</v>
      </c>
      <c r="BF2867" s="4">
        <v>43283.156354166669</v>
      </c>
      <c r="BG2867" t="s">
        <v>83</v>
      </c>
      <c r="BH2867" t="s">
        <v>84</v>
      </c>
      <c r="BI2867" t="s">
        <v>85</v>
      </c>
    </row>
    <row r="2868" spans="1:61" x14ac:dyDescent="0.3">
      <c r="A2868" t="str">
        <f>"201784E0202"</f>
        <v>201784E0202</v>
      </c>
      <c r="B2868" s="2" t="s">
        <v>5837</v>
      </c>
      <c r="C2868">
        <v>20</v>
      </c>
      <c r="D2868" t="s">
        <v>79</v>
      </c>
      <c r="E2868">
        <v>13</v>
      </c>
      <c r="F2868" t="s">
        <v>5455</v>
      </c>
      <c r="G2868">
        <v>1784</v>
      </c>
      <c r="H2868">
        <v>2</v>
      </c>
      <c r="I2868" t="s">
        <v>145</v>
      </c>
      <c r="J2868">
        <v>2</v>
      </c>
      <c r="K2868">
        <v>2</v>
      </c>
      <c r="L2868">
        <v>2</v>
      </c>
      <c r="M2868">
        <v>281</v>
      </c>
      <c r="N2868">
        <v>411</v>
      </c>
      <c r="O2868">
        <v>9</v>
      </c>
      <c r="P2868">
        <v>412</v>
      </c>
      <c r="Q2868">
        <v>26</v>
      </c>
      <c r="R2868">
        <v>35</v>
      </c>
      <c r="S2868">
        <v>3</v>
      </c>
      <c r="T2868">
        <v>5</v>
      </c>
      <c r="U2868">
        <v>37</v>
      </c>
      <c r="V2868">
        <v>3</v>
      </c>
      <c r="W2868">
        <v>6</v>
      </c>
      <c r="X2868">
        <v>8</v>
      </c>
      <c r="Y2868">
        <v>253</v>
      </c>
      <c r="Z2868">
        <v>9</v>
      </c>
      <c r="AA2868">
        <v>3</v>
      </c>
      <c r="AB2868">
        <v>11</v>
      </c>
      <c r="AC2868">
        <v>0</v>
      </c>
      <c r="AD2868">
        <v>0</v>
      </c>
      <c r="AE2868">
        <v>0</v>
      </c>
      <c r="AF2868">
        <v>0</v>
      </c>
      <c r="AK2868">
        <v>7</v>
      </c>
      <c r="AL2868">
        <v>0</v>
      </c>
      <c r="AM2868">
        <v>0</v>
      </c>
      <c r="AN2868">
        <v>1</v>
      </c>
      <c r="AT2868">
        <v>0</v>
      </c>
      <c r="AU2868">
        <v>5</v>
      </c>
      <c r="AV2868" t="s">
        <v>100</v>
      </c>
      <c r="AW2868">
        <v>412</v>
      </c>
      <c r="AX2868">
        <v>671</v>
      </c>
      <c r="BA2868">
        <v>1</v>
      </c>
      <c r="BC2868" t="s">
        <v>5838</v>
      </c>
      <c r="BD2868" s="4">
        <v>43283.146527777775</v>
      </c>
      <c r="BE2868" s="4">
        <v>43283.154560185183</v>
      </c>
      <c r="BF2868" s="4">
        <v>43283.154560185183</v>
      </c>
      <c r="BG2868" t="s">
        <v>83</v>
      </c>
      <c r="BH2868" t="s">
        <v>84</v>
      </c>
      <c r="BI2868" t="s">
        <v>85</v>
      </c>
    </row>
    <row r="2869" spans="1:61" x14ac:dyDescent="0.3">
      <c r="A2869" t="str">
        <f>"201784E0300"</f>
        <v>201784E0300</v>
      </c>
      <c r="B2869" s="2" t="s">
        <v>5839</v>
      </c>
      <c r="C2869">
        <v>20</v>
      </c>
      <c r="D2869" t="s">
        <v>79</v>
      </c>
      <c r="E2869">
        <v>13</v>
      </c>
      <c r="F2869" t="s">
        <v>5455</v>
      </c>
      <c r="G2869">
        <v>1784</v>
      </c>
      <c r="H2869">
        <v>3</v>
      </c>
      <c r="I2869" t="s">
        <v>145</v>
      </c>
      <c r="J2869">
        <v>0</v>
      </c>
      <c r="K2869">
        <v>2</v>
      </c>
      <c r="L2869">
        <v>2</v>
      </c>
      <c r="M2869">
        <v>258</v>
      </c>
      <c r="N2869">
        <v>314</v>
      </c>
      <c r="O2869">
        <v>7</v>
      </c>
      <c r="P2869">
        <v>315</v>
      </c>
      <c r="Q2869">
        <v>19</v>
      </c>
      <c r="R2869">
        <v>51</v>
      </c>
      <c r="S2869">
        <v>10</v>
      </c>
      <c r="T2869">
        <v>12</v>
      </c>
      <c r="U2869">
        <v>30</v>
      </c>
      <c r="V2869">
        <v>8</v>
      </c>
      <c r="W2869">
        <v>2</v>
      </c>
      <c r="X2869">
        <v>5</v>
      </c>
      <c r="Y2869">
        <v>139</v>
      </c>
      <c r="Z2869">
        <v>7</v>
      </c>
      <c r="AA2869">
        <v>2</v>
      </c>
      <c r="AB2869">
        <v>12</v>
      </c>
      <c r="AC2869">
        <v>0</v>
      </c>
      <c r="AD2869">
        <v>0</v>
      </c>
      <c r="AE2869">
        <v>0</v>
      </c>
      <c r="AF2869">
        <v>0</v>
      </c>
      <c r="AK2869">
        <v>4</v>
      </c>
      <c r="AL2869">
        <v>2</v>
      </c>
      <c r="AM2869">
        <v>0</v>
      </c>
      <c r="AN2869">
        <v>0</v>
      </c>
      <c r="AT2869">
        <v>0</v>
      </c>
      <c r="AU2869">
        <v>12</v>
      </c>
      <c r="AV2869">
        <v>315</v>
      </c>
      <c r="AW2869">
        <v>315</v>
      </c>
      <c r="AX2869">
        <v>551</v>
      </c>
      <c r="BA2869">
        <v>1</v>
      </c>
      <c r="BC2869" t="s">
        <v>5840</v>
      </c>
      <c r="BD2869" s="4">
        <v>43283.147222222222</v>
      </c>
      <c r="BE2869" s="4">
        <v>43283.156585648147</v>
      </c>
      <c r="BF2869" s="4">
        <v>43283.156585648147</v>
      </c>
      <c r="BG2869" t="s">
        <v>83</v>
      </c>
      <c r="BH2869" t="s">
        <v>84</v>
      </c>
      <c r="BI2869" t="s">
        <v>85</v>
      </c>
    </row>
    <row r="2870" spans="1:61" x14ac:dyDescent="0.3">
      <c r="A2870" t="str">
        <f>"201784E0400"</f>
        <v>201784E0400</v>
      </c>
      <c r="B2870" s="2" t="s">
        <v>5841</v>
      </c>
      <c r="C2870">
        <v>20</v>
      </c>
      <c r="D2870" t="s">
        <v>79</v>
      </c>
      <c r="E2870">
        <v>13</v>
      </c>
      <c r="F2870" t="s">
        <v>5455</v>
      </c>
      <c r="G2870">
        <v>1784</v>
      </c>
      <c r="H2870">
        <v>4</v>
      </c>
      <c r="I2870" t="s">
        <v>145</v>
      </c>
      <c r="J2870">
        <v>0</v>
      </c>
      <c r="K2870">
        <v>2</v>
      </c>
      <c r="L2870">
        <v>2</v>
      </c>
      <c r="M2870">
        <v>289</v>
      </c>
      <c r="N2870">
        <v>404</v>
      </c>
      <c r="O2870">
        <v>7</v>
      </c>
      <c r="P2870">
        <v>403</v>
      </c>
      <c r="Q2870">
        <v>22</v>
      </c>
      <c r="R2870">
        <v>64</v>
      </c>
      <c r="S2870">
        <v>9</v>
      </c>
      <c r="T2870">
        <v>10</v>
      </c>
      <c r="U2870">
        <v>27</v>
      </c>
      <c r="V2870">
        <v>5</v>
      </c>
      <c r="W2870">
        <v>4</v>
      </c>
      <c r="X2870">
        <v>4</v>
      </c>
      <c r="Y2870">
        <v>213</v>
      </c>
      <c r="Z2870">
        <v>10</v>
      </c>
      <c r="AA2870">
        <v>2</v>
      </c>
      <c r="AB2870">
        <v>11</v>
      </c>
      <c r="AC2870">
        <v>0</v>
      </c>
      <c r="AD2870">
        <v>0</v>
      </c>
      <c r="AE2870">
        <v>0</v>
      </c>
      <c r="AF2870">
        <v>0</v>
      </c>
      <c r="AK2870">
        <v>10</v>
      </c>
      <c r="AL2870">
        <v>0</v>
      </c>
      <c r="AM2870">
        <v>0</v>
      </c>
      <c r="AN2870">
        <v>1</v>
      </c>
      <c r="AT2870">
        <v>0</v>
      </c>
      <c r="AU2870">
        <v>11</v>
      </c>
      <c r="AV2870">
        <v>403</v>
      </c>
      <c r="AW2870">
        <v>403</v>
      </c>
      <c r="AX2870">
        <v>671</v>
      </c>
      <c r="BA2870">
        <v>1</v>
      </c>
      <c r="BC2870" t="s">
        <v>5842</v>
      </c>
      <c r="BD2870" s="4">
        <v>43283.145833333336</v>
      </c>
      <c r="BE2870" s="4">
        <v>43283.153935185182</v>
      </c>
      <c r="BF2870" s="4">
        <v>43283.153935185182</v>
      </c>
      <c r="BG2870" t="s">
        <v>83</v>
      </c>
      <c r="BH2870" t="s">
        <v>84</v>
      </c>
      <c r="BI2870" t="s">
        <v>85</v>
      </c>
    </row>
    <row r="2871" spans="1:61" x14ac:dyDescent="0.3">
      <c r="A2871" t="str">
        <f>"201785B0100"</f>
        <v>201785B0100</v>
      </c>
      <c r="B2871" t="s">
        <v>5843</v>
      </c>
      <c r="C2871">
        <v>20</v>
      </c>
      <c r="D2871" t="s">
        <v>79</v>
      </c>
      <c r="E2871">
        <v>13</v>
      </c>
      <c r="F2871" t="s">
        <v>5455</v>
      </c>
      <c r="G2871">
        <v>1785</v>
      </c>
      <c r="H2871">
        <v>1</v>
      </c>
      <c r="I2871" t="s">
        <v>81</v>
      </c>
      <c r="J2871">
        <v>0</v>
      </c>
      <c r="K2871">
        <v>2</v>
      </c>
      <c r="L2871">
        <v>2</v>
      </c>
      <c r="M2871">
        <v>270</v>
      </c>
      <c r="N2871">
        <v>370</v>
      </c>
      <c r="O2871">
        <v>4</v>
      </c>
      <c r="P2871">
        <v>369</v>
      </c>
      <c r="Q2871">
        <v>15</v>
      </c>
      <c r="R2871">
        <v>68</v>
      </c>
      <c r="S2871">
        <v>4</v>
      </c>
      <c r="T2871">
        <v>10</v>
      </c>
      <c r="U2871">
        <v>23</v>
      </c>
      <c r="V2871">
        <v>3</v>
      </c>
      <c r="W2871">
        <v>10</v>
      </c>
      <c r="X2871">
        <v>4</v>
      </c>
      <c r="Y2871">
        <v>183</v>
      </c>
      <c r="Z2871">
        <v>8</v>
      </c>
      <c r="AA2871">
        <v>4</v>
      </c>
      <c r="AB2871">
        <v>8</v>
      </c>
      <c r="AC2871">
        <v>1</v>
      </c>
      <c r="AD2871">
        <v>0</v>
      </c>
      <c r="AE2871">
        <v>0</v>
      </c>
      <c r="AF2871">
        <v>0</v>
      </c>
      <c r="AK2871">
        <v>7</v>
      </c>
      <c r="AL2871">
        <v>4</v>
      </c>
      <c r="AM2871">
        <v>3</v>
      </c>
      <c r="AN2871">
        <v>0</v>
      </c>
      <c r="AT2871">
        <v>0</v>
      </c>
      <c r="AU2871">
        <v>12</v>
      </c>
      <c r="AV2871">
        <v>369</v>
      </c>
      <c r="AW2871">
        <v>367</v>
      </c>
      <c r="AX2871">
        <v>618</v>
      </c>
      <c r="BA2871">
        <v>1</v>
      </c>
      <c r="BC2871" t="s">
        <v>5844</v>
      </c>
      <c r="BD2871" s="4">
        <v>43283.097222222219</v>
      </c>
      <c r="BE2871" s="4">
        <v>43283.101863425924</v>
      </c>
      <c r="BF2871" s="4">
        <v>43283.101863425924</v>
      </c>
      <c r="BG2871" t="s">
        <v>83</v>
      </c>
      <c r="BH2871" t="s">
        <v>84</v>
      </c>
      <c r="BI2871" t="s">
        <v>85</v>
      </c>
    </row>
    <row r="2872" spans="1:61" x14ac:dyDescent="0.3">
      <c r="A2872" t="str">
        <f>"201785C0100"</f>
        <v>201785C0100</v>
      </c>
      <c r="B2872" t="s">
        <v>5845</v>
      </c>
      <c r="C2872">
        <v>20</v>
      </c>
      <c r="D2872" t="s">
        <v>79</v>
      </c>
      <c r="E2872">
        <v>13</v>
      </c>
      <c r="F2872" t="s">
        <v>5455</v>
      </c>
      <c r="G2872">
        <v>1785</v>
      </c>
      <c r="H2872">
        <v>1</v>
      </c>
      <c r="I2872" t="s">
        <v>89</v>
      </c>
      <c r="J2872">
        <v>0</v>
      </c>
      <c r="K2872">
        <v>2</v>
      </c>
      <c r="L2872">
        <v>2</v>
      </c>
      <c r="M2872">
        <v>282</v>
      </c>
      <c r="N2872">
        <v>358</v>
      </c>
      <c r="O2872">
        <v>3</v>
      </c>
      <c r="P2872">
        <v>353</v>
      </c>
      <c r="Q2872">
        <v>14</v>
      </c>
      <c r="R2872">
        <v>88</v>
      </c>
      <c r="S2872">
        <v>5</v>
      </c>
      <c r="T2872">
        <v>8</v>
      </c>
      <c r="U2872">
        <v>23</v>
      </c>
      <c r="V2872">
        <v>4</v>
      </c>
      <c r="W2872">
        <v>11</v>
      </c>
      <c r="X2872">
        <v>2</v>
      </c>
      <c r="Y2872">
        <v>159</v>
      </c>
      <c r="Z2872">
        <v>5</v>
      </c>
      <c r="AA2872">
        <v>4</v>
      </c>
      <c r="AB2872">
        <v>11</v>
      </c>
      <c r="AC2872">
        <v>1</v>
      </c>
      <c r="AD2872">
        <v>0</v>
      </c>
      <c r="AE2872">
        <v>0</v>
      </c>
      <c r="AF2872">
        <v>0</v>
      </c>
      <c r="AK2872">
        <v>8</v>
      </c>
      <c r="AL2872">
        <v>1</v>
      </c>
      <c r="AM2872">
        <v>0</v>
      </c>
      <c r="AN2872">
        <v>2</v>
      </c>
      <c r="AT2872">
        <v>0</v>
      </c>
      <c r="AU2872">
        <v>12</v>
      </c>
      <c r="AV2872">
        <v>358</v>
      </c>
      <c r="AW2872">
        <v>358</v>
      </c>
      <c r="AX2872">
        <v>618</v>
      </c>
      <c r="BA2872">
        <v>1</v>
      </c>
      <c r="BC2872" t="s">
        <v>5846</v>
      </c>
      <c r="BD2872" s="4">
        <v>43283.100694444445</v>
      </c>
      <c r="BE2872" s="4">
        <v>43283.105324074073</v>
      </c>
      <c r="BF2872" s="4">
        <v>43283.105324074073</v>
      </c>
      <c r="BG2872" t="s">
        <v>83</v>
      </c>
      <c r="BH2872" t="s">
        <v>84</v>
      </c>
      <c r="BI2872" t="s">
        <v>85</v>
      </c>
    </row>
    <row r="2873" spans="1:61" x14ac:dyDescent="0.3">
      <c r="A2873" t="str">
        <f>"201785C0200"</f>
        <v>201785C0200</v>
      </c>
      <c r="B2873" t="s">
        <v>5847</v>
      </c>
      <c r="C2873">
        <v>20</v>
      </c>
      <c r="D2873" t="s">
        <v>79</v>
      </c>
      <c r="E2873">
        <v>13</v>
      </c>
      <c r="F2873" t="s">
        <v>5455</v>
      </c>
      <c r="G2873">
        <v>1785</v>
      </c>
      <c r="H2873">
        <v>2</v>
      </c>
      <c r="I2873" t="s">
        <v>89</v>
      </c>
      <c r="J2873">
        <v>0</v>
      </c>
      <c r="K2873">
        <v>2</v>
      </c>
      <c r="L2873">
        <v>2</v>
      </c>
      <c r="M2873">
        <v>280</v>
      </c>
      <c r="N2873">
        <v>357</v>
      </c>
      <c r="O2873">
        <v>4</v>
      </c>
      <c r="P2873">
        <v>353</v>
      </c>
      <c r="Q2873">
        <v>18</v>
      </c>
      <c r="R2873">
        <v>71</v>
      </c>
      <c r="S2873">
        <v>12</v>
      </c>
      <c r="T2873">
        <v>6</v>
      </c>
      <c r="U2873">
        <v>29</v>
      </c>
      <c r="V2873">
        <v>3</v>
      </c>
      <c r="W2873">
        <v>10</v>
      </c>
      <c r="X2873">
        <v>7</v>
      </c>
      <c r="Y2873">
        <v>172</v>
      </c>
      <c r="Z2873">
        <v>2</v>
      </c>
      <c r="AA2873">
        <v>2</v>
      </c>
      <c r="AB2873">
        <v>3</v>
      </c>
      <c r="AC2873">
        <v>1</v>
      </c>
      <c r="AD2873">
        <v>0</v>
      </c>
      <c r="AE2873">
        <v>0</v>
      </c>
      <c r="AF2873">
        <v>0</v>
      </c>
      <c r="AK2873">
        <v>10</v>
      </c>
      <c r="AL2873">
        <v>2</v>
      </c>
      <c r="AM2873">
        <v>0</v>
      </c>
      <c r="AN2873">
        <v>0</v>
      </c>
      <c r="AT2873">
        <v>0</v>
      </c>
      <c r="AU2873">
        <v>11</v>
      </c>
      <c r="AV2873">
        <v>353</v>
      </c>
      <c r="AW2873">
        <v>359</v>
      </c>
      <c r="AX2873">
        <v>617</v>
      </c>
      <c r="BA2873">
        <v>1</v>
      </c>
      <c r="BC2873" t="s">
        <v>5848</v>
      </c>
      <c r="BD2873" s="4">
        <v>43283.098611111112</v>
      </c>
      <c r="BE2873" s="4">
        <v>43283.102349537039</v>
      </c>
      <c r="BF2873" s="4">
        <v>43283.102349537039</v>
      </c>
      <c r="BG2873" t="s">
        <v>83</v>
      </c>
      <c r="BH2873" t="s">
        <v>84</v>
      </c>
      <c r="BI2873" t="s">
        <v>85</v>
      </c>
    </row>
    <row r="2874" spans="1:61" x14ac:dyDescent="0.3">
      <c r="A2874" t="str">
        <f>"201785C0300"</f>
        <v>201785C0300</v>
      </c>
      <c r="B2874" t="s">
        <v>5849</v>
      </c>
      <c r="C2874">
        <v>20</v>
      </c>
      <c r="D2874" t="s">
        <v>79</v>
      </c>
      <c r="E2874">
        <v>13</v>
      </c>
      <c r="F2874" t="s">
        <v>5455</v>
      </c>
      <c r="G2874">
        <v>1785</v>
      </c>
      <c r="H2874">
        <v>3</v>
      </c>
      <c r="I2874" t="s">
        <v>89</v>
      </c>
      <c r="J2874">
        <v>0</v>
      </c>
      <c r="K2874">
        <v>2</v>
      </c>
      <c r="L2874">
        <v>2</v>
      </c>
      <c r="M2874" t="s">
        <v>100</v>
      </c>
      <c r="N2874" t="s">
        <v>100</v>
      </c>
      <c r="O2874" t="s">
        <v>100</v>
      </c>
      <c r="P2874" t="s">
        <v>100</v>
      </c>
      <c r="Q2874">
        <v>9</v>
      </c>
      <c r="R2874">
        <v>112</v>
      </c>
      <c r="S2874">
        <v>9</v>
      </c>
      <c r="T2874">
        <v>10</v>
      </c>
      <c r="U2874">
        <v>18</v>
      </c>
      <c r="V2874">
        <v>3</v>
      </c>
      <c r="W2874">
        <v>10</v>
      </c>
      <c r="X2874">
        <v>1</v>
      </c>
      <c r="Y2874">
        <v>170</v>
      </c>
      <c r="Z2874">
        <v>6</v>
      </c>
      <c r="AA2874">
        <v>5</v>
      </c>
      <c r="AB2874">
        <v>10</v>
      </c>
      <c r="AC2874">
        <v>1</v>
      </c>
      <c r="AD2874">
        <v>0</v>
      </c>
      <c r="AE2874">
        <v>0</v>
      </c>
      <c r="AF2874">
        <v>0</v>
      </c>
      <c r="AK2874">
        <v>6</v>
      </c>
      <c r="AL2874">
        <v>3</v>
      </c>
      <c r="AM2874">
        <v>0</v>
      </c>
      <c r="AN2874">
        <v>0</v>
      </c>
      <c r="AT2874">
        <v>0</v>
      </c>
      <c r="AU2874">
        <v>13</v>
      </c>
      <c r="AV2874">
        <v>388</v>
      </c>
      <c r="AW2874">
        <v>386</v>
      </c>
      <c r="AX2874">
        <v>617</v>
      </c>
      <c r="BA2874">
        <v>1</v>
      </c>
      <c r="BC2874" t="s">
        <v>5850</v>
      </c>
      <c r="BD2874" s="4">
        <v>43283.395833333336</v>
      </c>
      <c r="BE2874" s="4">
        <v>43283.399340277778</v>
      </c>
      <c r="BF2874" s="4">
        <v>43283.399340277778</v>
      </c>
      <c r="BG2874" t="s">
        <v>83</v>
      </c>
      <c r="BH2874" t="s">
        <v>84</v>
      </c>
      <c r="BI2874" t="s">
        <v>85</v>
      </c>
    </row>
    <row r="2875" spans="1:61" x14ac:dyDescent="0.3">
      <c r="A2875" t="str">
        <f>"201785E0100"</f>
        <v>201785E0100</v>
      </c>
      <c r="B2875" s="2" t="s">
        <v>5851</v>
      </c>
      <c r="C2875">
        <v>20</v>
      </c>
      <c r="D2875" t="s">
        <v>79</v>
      </c>
      <c r="E2875">
        <v>13</v>
      </c>
      <c r="F2875" t="s">
        <v>5455</v>
      </c>
      <c r="G2875">
        <v>1785</v>
      </c>
      <c r="H2875">
        <v>1</v>
      </c>
      <c r="I2875" t="s">
        <v>145</v>
      </c>
      <c r="J2875">
        <v>0</v>
      </c>
      <c r="K2875">
        <v>2</v>
      </c>
      <c r="L2875">
        <v>2</v>
      </c>
      <c r="M2875">
        <v>232</v>
      </c>
      <c r="N2875">
        <v>337</v>
      </c>
      <c r="O2875">
        <v>0</v>
      </c>
      <c r="P2875">
        <v>336</v>
      </c>
      <c r="Q2875">
        <v>20</v>
      </c>
      <c r="R2875">
        <v>44</v>
      </c>
      <c r="S2875">
        <v>7</v>
      </c>
      <c r="T2875">
        <v>8</v>
      </c>
      <c r="U2875">
        <v>27</v>
      </c>
      <c r="V2875">
        <v>2</v>
      </c>
      <c r="W2875">
        <v>12</v>
      </c>
      <c r="X2875">
        <v>3</v>
      </c>
      <c r="Y2875">
        <v>182</v>
      </c>
      <c r="Z2875">
        <v>8</v>
      </c>
      <c r="AA2875">
        <v>1</v>
      </c>
      <c r="AB2875">
        <v>5</v>
      </c>
      <c r="AC2875">
        <v>0</v>
      </c>
      <c r="AD2875">
        <v>0</v>
      </c>
      <c r="AE2875">
        <v>0</v>
      </c>
      <c r="AF2875">
        <v>0</v>
      </c>
      <c r="AK2875">
        <v>3</v>
      </c>
      <c r="AL2875">
        <v>2</v>
      </c>
      <c r="AM2875">
        <v>0</v>
      </c>
      <c r="AN2875">
        <v>2</v>
      </c>
      <c r="AT2875" t="s">
        <v>100</v>
      </c>
      <c r="AU2875">
        <v>10</v>
      </c>
      <c r="AV2875">
        <v>336</v>
      </c>
      <c r="AW2875">
        <v>336</v>
      </c>
      <c r="AX2875">
        <v>547</v>
      </c>
      <c r="AZ2875" t="s">
        <v>101</v>
      </c>
      <c r="BA2875">
        <v>1</v>
      </c>
      <c r="BC2875" t="s">
        <v>5852</v>
      </c>
      <c r="BD2875" s="4">
        <v>43283.099305555559</v>
      </c>
      <c r="BE2875" s="4">
        <v>43283.102731481478</v>
      </c>
      <c r="BF2875" s="4">
        <v>43283.102731481478</v>
      </c>
      <c r="BG2875" t="s">
        <v>83</v>
      </c>
      <c r="BH2875" t="s">
        <v>84</v>
      </c>
      <c r="BI2875" t="s">
        <v>85</v>
      </c>
    </row>
    <row r="2876" spans="1:61" x14ac:dyDescent="0.3">
      <c r="A2876" t="str">
        <f>"201785E0101"</f>
        <v>201785E0101</v>
      </c>
      <c r="B2876" s="2" t="s">
        <v>5853</v>
      </c>
      <c r="C2876">
        <v>20</v>
      </c>
      <c r="D2876" t="s">
        <v>79</v>
      </c>
      <c r="E2876">
        <v>13</v>
      </c>
      <c r="F2876" t="s">
        <v>5455</v>
      </c>
      <c r="G2876">
        <v>1785</v>
      </c>
      <c r="H2876">
        <v>1</v>
      </c>
      <c r="I2876" t="s">
        <v>145</v>
      </c>
      <c r="J2876">
        <v>1</v>
      </c>
      <c r="K2876">
        <v>2</v>
      </c>
      <c r="L2876">
        <v>2</v>
      </c>
      <c r="M2876">
        <v>248</v>
      </c>
      <c r="N2876">
        <v>317</v>
      </c>
      <c r="O2876">
        <v>5</v>
      </c>
      <c r="P2876">
        <v>314</v>
      </c>
      <c r="Q2876">
        <v>22</v>
      </c>
      <c r="R2876">
        <v>39</v>
      </c>
      <c r="S2876">
        <v>6</v>
      </c>
      <c r="T2876">
        <v>6</v>
      </c>
      <c r="U2876">
        <v>26</v>
      </c>
      <c r="V2876">
        <v>2</v>
      </c>
      <c r="W2876">
        <v>10</v>
      </c>
      <c r="X2876">
        <v>5</v>
      </c>
      <c r="Y2876">
        <v>166</v>
      </c>
      <c r="Z2876">
        <v>4</v>
      </c>
      <c r="AA2876">
        <v>1</v>
      </c>
      <c r="AB2876">
        <v>5</v>
      </c>
      <c r="AC2876">
        <v>0</v>
      </c>
      <c r="AD2876">
        <v>0</v>
      </c>
      <c r="AE2876">
        <v>0</v>
      </c>
      <c r="AF2876">
        <v>0</v>
      </c>
      <c r="AK2876">
        <v>6</v>
      </c>
      <c r="AL2876">
        <v>2</v>
      </c>
      <c r="AM2876">
        <v>0</v>
      </c>
      <c r="AN2876">
        <v>2</v>
      </c>
      <c r="AT2876">
        <v>1</v>
      </c>
      <c r="AU2876">
        <v>17</v>
      </c>
      <c r="AV2876">
        <v>320</v>
      </c>
      <c r="AW2876">
        <v>320</v>
      </c>
      <c r="AX2876">
        <v>546</v>
      </c>
      <c r="BA2876">
        <v>1</v>
      </c>
      <c r="BC2876" t="s">
        <v>5854</v>
      </c>
      <c r="BD2876" s="4">
        <v>43283.100694444445</v>
      </c>
      <c r="BE2876" s="4">
        <v>43283.104247685187</v>
      </c>
      <c r="BF2876" s="4">
        <v>43283.104247685187</v>
      </c>
      <c r="BG2876" t="s">
        <v>83</v>
      </c>
      <c r="BH2876" t="s">
        <v>84</v>
      </c>
      <c r="BI2876" t="s">
        <v>85</v>
      </c>
    </row>
    <row r="2877" spans="1:61" x14ac:dyDescent="0.3">
      <c r="A2877" t="str">
        <f>"201785E0200"</f>
        <v>201785E0200</v>
      </c>
      <c r="B2877" s="2" t="s">
        <v>5855</v>
      </c>
      <c r="C2877">
        <v>20</v>
      </c>
      <c r="D2877" t="s">
        <v>79</v>
      </c>
      <c r="E2877">
        <v>13</v>
      </c>
      <c r="F2877" t="s">
        <v>5455</v>
      </c>
      <c r="G2877">
        <v>1785</v>
      </c>
      <c r="H2877">
        <v>2</v>
      </c>
      <c r="I2877" t="s">
        <v>145</v>
      </c>
      <c r="J2877">
        <v>0</v>
      </c>
      <c r="K2877">
        <v>2</v>
      </c>
      <c r="L2877">
        <v>2</v>
      </c>
      <c r="M2877">
        <v>331</v>
      </c>
      <c r="N2877">
        <v>422</v>
      </c>
      <c r="O2877">
        <v>0</v>
      </c>
      <c r="P2877">
        <v>422</v>
      </c>
      <c r="Q2877">
        <v>12</v>
      </c>
      <c r="R2877">
        <v>34</v>
      </c>
      <c r="S2877">
        <v>5</v>
      </c>
      <c r="T2877">
        <v>15</v>
      </c>
      <c r="U2877">
        <v>38</v>
      </c>
      <c r="V2877">
        <v>5</v>
      </c>
      <c r="W2877">
        <v>4</v>
      </c>
      <c r="X2877">
        <v>8</v>
      </c>
      <c r="Y2877">
        <v>251</v>
      </c>
      <c r="Z2877">
        <v>6</v>
      </c>
      <c r="AA2877">
        <v>0</v>
      </c>
      <c r="AB2877">
        <v>11</v>
      </c>
      <c r="AC2877">
        <v>0</v>
      </c>
      <c r="AD2877">
        <v>0</v>
      </c>
      <c r="AE2877">
        <v>1</v>
      </c>
      <c r="AF2877">
        <v>0</v>
      </c>
      <c r="AK2877">
        <v>8</v>
      </c>
      <c r="AL2877">
        <v>6</v>
      </c>
      <c r="AM2877">
        <v>1</v>
      </c>
      <c r="AN2877">
        <v>0</v>
      </c>
      <c r="AT2877" t="s">
        <v>100</v>
      </c>
      <c r="AU2877" t="s">
        <v>100</v>
      </c>
      <c r="AV2877">
        <v>422</v>
      </c>
      <c r="AW2877">
        <v>405</v>
      </c>
      <c r="AX2877">
        <v>732</v>
      </c>
      <c r="AZ2877" t="s">
        <v>101</v>
      </c>
      <c r="BA2877">
        <v>1</v>
      </c>
      <c r="BC2877" t="s">
        <v>5856</v>
      </c>
      <c r="BD2877" s="4">
        <v>43283.397222222222</v>
      </c>
      <c r="BE2877" s="4">
        <v>43283.400590277779</v>
      </c>
      <c r="BF2877" s="4">
        <v>43283.400590277779</v>
      </c>
      <c r="BG2877" t="s">
        <v>83</v>
      </c>
      <c r="BH2877" t="s">
        <v>84</v>
      </c>
      <c r="BI2877" t="s">
        <v>548</v>
      </c>
    </row>
    <row r="2878" spans="1:61" x14ac:dyDescent="0.3">
      <c r="A2878" t="str">
        <f>"201785E0201"</f>
        <v>201785E0201</v>
      </c>
      <c r="B2878" s="2" t="s">
        <v>5857</v>
      </c>
      <c r="C2878">
        <v>20</v>
      </c>
      <c r="D2878" t="s">
        <v>79</v>
      </c>
      <c r="E2878">
        <v>13</v>
      </c>
      <c r="F2878" t="s">
        <v>5455</v>
      </c>
      <c r="G2878">
        <v>1785</v>
      </c>
      <c r="H2878">
        <v>2</v>
      </c>
      <c r="I2878" t="s">
        <v>145</v>
      </c>
      <c r="J2878">
        <v>1</v>
      </c>
      <c r="K2878">
        <v>2</v>
      </c>
      <c r="L2878">
        <v>2</v>
      </c>
      <c r="M2878">
        <v>293</v>
      </c>
      <c r="N2878">
        <v>460</v>
      </c>
      <c r="O2878">
        <v>1</v>
      </c>
      <c r="P2878">
        <v>463</v>
      </c>
      <c r="Q2878">
        <v>20</v>
      </c>
      <c r="R2878">
        <v>51</v>
      </c>
      <c r="S2878">
        <v>3</v>
      </c>
      <c r="T2878">
        <v>7</v>
      </c>
      <c r="U2878">
        <v>44</v>
      </c>
      <c r="V2878">
        <v>6</v>
      </c>
      <c r="W2878">
        <v>10</v>
      </c>
      <c r="X2878">
        <v>14</v>
      </c>
      <c r="Y2878">
        <v>255</v>
      </c>
      <c r="Z2878">
        <v>9</v>
      </c>
      <c r="AA2878">
        <v>2</v>
      </c>
      <c r="AB2878">
        <v>9</v>
      </c>
      <c r="AC2878">
        <v>2</v>
      </c>
      <c r="AD2878">
        <v>1</v>
      </c>
      <c r="AE2878" t="s">
        <v>100</v>
      </c>
      <c r="AF2878" t="s">
        <v>100</v>
      </c>
      <c r="AK2878">
        <v>11</v>
      </c>
      <c r="AL2878">
        <v>2</v>
      </c>
      <c r="AM2878" t="s">
        <v>100</v>
      </c>
      <c r="AN2878" t="s">
        <v>100</v>
      </c>
      <c r="AT2878">
        <v>1</v>
      </c>
      <c r="AU2878">
        <v>16</v>
      </c>
      <c r="AV2878">
        <v>463</v>
      </c>
      <c r="AW2878">
        <v>463</v>
      </c>
      <c r="AX2878">
        <v>731</v>
      </c>
      <c r="AZ2878" t="s">
        <v>101</v>
      </c>
      <c r="BA2878">
        <v>1</v>
      </c>
      <c r="BC2878" t="s">
        <v>5858</v>
      </c>
      <c r="BD2878" s="4">
        <v>43283.100694444445</v>
      </c>
      <c r="BE2878" s="4">
        <v>43283.104907407411</v>
      </c>
      <c r="BF2878" s="4">
        <v>43283.104907407411</v>
      </c>
      <c r="BG2878" t="s">
        <v>83</v>
      </c>
      <c r="BH2878" t="s">
        <v>84</v>
      </c>
      <c r="BI2878" t="s">
        <v>85</v>
      </c>
    </row>
    <row r="2879" spans="1:61" x14ac:dyDescent="0.3">
      <c r="A2879" t="str">
        <f>"201785E0300"</f>
        <v>201785E0300</v>
      </c>
      <c r="B2879" s="2" t="s">
        <v>5859</v>
      </c>
      <c r="C2879">
        <v>20</v>
      </c>
      <c r="D2879" t="s">
        <v>79</v>
      </c>
      <c r="E2879">
        <v>13</v>
      </c>
      <c r="F2879" t="s">
        <v>5455</v>
      </c>
      <c r="G2879">
        <v>1785</v>
      </c>
      <c r="H2879">
        <v>3</v>
      </c>
      <c r="I2879" t="s">
        <v>145</v>
      </c>
      <c r="J2879">
        <v>0</v>
      </c>
      <c r="K2879">
        <v>2</v>
      </c>
      <c r="L2879">
        <v>2</v>
      </c>
      <c r="M2879">
        <v>366</v>
      </c>
      <c r="N2879">
        <v>746</v>
      </c>
      <c r="O2879">
        <v>0</v>
      </c>
      <c r="P2879">
        <v>379</v>
      </c>
      <c r="Q2879">
        <v>18</v>
      </c>
      <c r="R2879">
        <v>43</v>
      </c>
      <c r="S2879">
        <v>3</v>
      </c>
      <c r="T2879">
        <v>9</v>
      </c>
      <c r="U2879">
        <v>28</v>
      </c>
      <c r="V2879">
        <v>6</v>
      </c>
      <c r="W2879">
        <v>5</v>
      </c>
      <c r="X2879">
        <v>11</v>
      </c>
      <c r="Y2879">
        <v>203</v>
      </c>
      <c r="Z2879">
        <v>11</v>
      </c>
      <c r="AA2879">
        <v>2</v>
      </c>
      <c r="AB2879">
        <v>13</v>
      </c>
      <c r="AC2879">
        <v>0</v>
      </c>
      <c r="AD2879">
        <v>0</v>
      </c>
      <c r="AE2879">
        <v>0</v>
      </c>
      <c r="AF2879">
        <v>0</v>
      </c>
      <c r="AK2879">
        <v>7</v>
      </c>
      <c r="AL2879">
        <v>2</v>
      </c>
      <c r="AM2879">
        <v>0</v>
      </c>
      <c r="AN2879">
        <v>2</v>
      </c>
      <c r="AT2879">
        <v>0</v>
      </c>
      <c r="AU2879">
        <v>16</v>
      </c>
      <c r="AV2879">
        <v>379</v>
      </c>
      <c r="AW2879">
        <v>379</v>
      </c>
      <c r="AX2879">
        <v>724</v>
      </c>
      <c r="BA2879">
        <v>1</v>
      </c>
      <c r="BC2879" t="s">
        <v>5860</v>
      </c>
      <c r="BD2879" s="4">
        <v>43283.098611111112</v>
      </c>
      <c r="BE2879" s="4">
        <v>43283.102488425924</v>
      </c>
      <c r="BF2879" s="4">
        <v>43283.102488425924</v>
      </c>
      <c r="BG2879" t="s">
        <v>83</v>
      </c>
      <c r="BH2879" t="s">
        <v>84</v>
      </c>
      <c r="BI2879" t="s">
        <v>85</v>
      </c>
    </row>
    <row r="2880" spans="1:61" x14ac:dyDescent="0.3">
      <c r="A2880" t="str">
        <f>"201785E0301"</f>
        <v>201785E0301</v>
      </c>
      <c r="B2880" s="2" t="s">
        <v>5861</v>
      </c>
      <c r="C2880">
        <v>20</v>
      </c>
      <c r="D2880" t="s">
        <v>79</v>
      </c>
      <c r="E2880">
        <v>13</v>
      </c>
      <c r="F2880" t="s">
        <v>5455</v>
      </c>
      <c r="G2880">
        <v>1785</v>
      </c>
      <c r="H2880">
        <v>3</v>
      </c>
      <c r="I2880" t="s">
        <v>145</v>
      </c>
      <c r="J2880">
        <v>1</v>
      </c>
      <c r="K2880">
        <v>2</v>
      </c>
      <c r="L2880">
        <v>2</v>
      </c>
      <c r="M2880">
        <v>325</v>
      </c>
      <c r="N2880">
        <v>421</v>
      </c>
      <c r="O2880">
        <v>5</v>
      </c>
      <c r="P2880">
        <v>421</v>
      </c>
      <c r="Q2880">
        <v>30</v>
      </c>
      <c r="R2880">
        <v>40</v>
      </c>
      <c r="S2880">
        <v>6</v>
      </c>
      <c r="T2880">
        <v>4</v>
      </c>
      <c r="U2880">
        <v>26</v>
      </c>
      <c r="V2880">
        <v>3</v>
      </c>
      <c r="W2880">
        <v>13</v>
      </c>
      <c r="X2880">
        <v>11</v>
      </c>
      <c r="Y2880">
        <v>241</v>
      </c>
      <c r="Z2880">
        <v>5</v>
      </c>
      <c r="AA2880">
        <v>2</v>
      </c>
      <c r="AB2880">
        <v>16</v>
      </c>
      <c r="AC2880">
        <v>0</v>
      </c>
      <c r="AD2880">
        <v>0</v>
      </c>
      <c r="AE2880">
        <v>0</v>
      </c>
      <c r="AF2880">
        <v>0</v>
      </c>
      <c r="AK2880">
        <v>8</v>
      </c>
      <c r="AL2880">
        <v>5</v>
      </c>
      <c r="AM2880">
        <v>0</v>
      </c>
      <c r="AN2880">
        <v>2</v>
      </c>
      <c r="AT2880">
        <v>0</v>
      </c>
      <c r="AU2880">
        <v>9</v>
      </c>
      <c r="AV2880">
        <v>421</v>
      </c>
      <c r="AW2880">
        <v>421</v>
      </c>
      <c r="AX2880">
        <v>724</v>
      </c>
      <c r="BA2880">
        <v>1</v>
      </c>
      <c r="BC2880" t="s">
        <v>5862</v>
      </c>
      <c r="BD2880" s="4">
        <v>43283.097916666666</v>
      </c>
      <c r="BE2880" s="4">
        <v>43283.102638888886</v>
      </c>
      <c r="BF2880" s="4">
        <v>43283.102638888886</v>
      </c>
      <c r="BG2880" t="s">
        <v>83</v>
      </c>
      <c r="BH2880" t="s">
        <v>84</v>
      </c>
      <c r="BI2880" t="s">
        <v>85</v>
      </c>
    </row>
    <row r="2881" spans="1:61" x14ac:dyDescent="0.3">
      <c r="A2881" t="str">
        <f>"201785E0302"</f>
        <v>201785E0302</v>
      </c>
      <c r="B2881" s="2" t="s">
        <v>5863</v>
      </c>
      <c r="C2881">
        <v>20</v>
      </c>
      <c r="D2881" t="s">
        <v>79</v>
      </c>
      <c r="E2881">
        <v>13</v>
      </c>
      <c r="F2881" t="s">
        <v>5455</v>
      </c>
      <c r="G2881">
        <v>1785</v>
      </c>
      <c r="H2881">
        <v>3</v>
      </c>
      <c r="I2881" t="s">
        <v>145</v>
      </c>
      <c r="J2881">
        <v>2</v>
      </c>
      <c r="K2881">
        <v>2</v>
      </c>
      <c r="L2881">
        <v>2</v>
      </c>
      <c r="M2881">
        <v>346</v>
      </c>
      <c r="N2881">
        <v>399</v>
      </c>
      <c r="O2881">
        <v>1</v>
      </c>
      <c r="P2881">
        <v>399</v>
      </c>
      <c r="Q2881">
        <v>19</v>
      </c>
      <c r="R2881">
        <v>46</v>
      </c>
      <c r="S2881">
        <v>7</v>
      </c>
      <c r="T2881">
        <v>7</v>
      </c>
      <c r="U2881">
        <v>33</v>
      </c>
      <c r="V2881">
        <v>3</v>
      </c>
      <c r="W2881">
        <v>11</v>
      </c>
      <c r="X2881">
        <v>12</v>
      </c>
      <c r="Y2881">
        <v>226</v>
      </c>
      <c r="Z2881">
        <v>8</v>
      </c>
      <c r="AA2881">
        <v>2</v>
      </c>
      <c r="AB2881">
        <v>9</v>
      </c>
      <c r="AC2881">
        <v>0</v>
      </c>
      <c r="AD2881">
        <v>0</v>
      </c>
      <c r="AE2881">
        <v>0</v>
      </c>
      <c r="AF2881">
        <v>0</v>
      </c>
      <c r="AK2881">
        <v>2</v>
      </c>
      <c r="AL2881">
        <v>4</v>
      </c>
      <c r="AM2881">
        <v>0</v>
      </c>
      <c r="AN2881">
        <v>0</v>
      </c>
      <c r="AT2881">
        <v>1</v>
      </c>
      <c r="AU2881">
        <v>10</v>
      </c>
      <c r="AV2881">
        <v>400</v>
      </c>
      <c r="AW2881">
        <v>400</v>
      </c>
      <c r="AX2881">
        <v>723</v>
      </c>
      <c r="BA2881">
        <v>1</v>
      </c>
      <c r="BC2881" t="s">
        <v>5864</v>
      </c>
      <c r="BD2881" s="4">
        <v>43283.097222222219</v>
      </c>
      <c r="BE2881" s="4">
        <v>43283.102233796293</v>
      </c>
      <c r="BF2881" s="4">
        <v>43283.102233796293</v>
      </c>
      <c r="BG2881" t="s">
        <v>83</v>
      </c>
      <c r="BH2881" t="s">
        <v>84</v>
      </c>
      <c r="BI2881" t="s">
        <v>85</v>
      </c>
    </row>
    <row r="2882" spans="1:61" x14ac:dyDescent="0.3">
      <c r="A2882" t="str">
        <f>"201785E0400"</f>
        <v>201785E0400</v>
      </c>
      <c r="B2882" s="2" t="s">
        <v>5865</v>
      </c>
      <c r="C2882">
        <v>20</v>
      </c>
      <c r="D2882" t="s">
        <v>79</v>
      </c>
      <c r="E2882">
        <v>13</v>
      </c>
      <c r="F2882" t="s">
        <v>5455</v>
      </c>
      <c r="G2882">
        <v>1785</v>
      </c>
      <c r="H2882">
        <v>4</v>
      </c>
      <c r="I2882" t="s">
        <v>145</v>
      </c>
      <c r="J2882">
        <v>0</v>
      </c>
      <c r="K2882">
        <v>2</v>
      </c>
      <c r="L2882">
        <v>2</v>
      </c>
      <c r="M2882">
        <v>176</v>
      </c>
      <c r="N2882">
        <v>300</v>
      </c>
      <c r="O2882">
        <v>2</v>
      </c>
      <c r="P2882">
        <v>299</v>
      </c>
      <c r="Q2882">
        <v>22</v>
      </c>
      <c r="R2882">
        <v>16</v>
      </c>
      <c r="S2882">
        <v>3</v>
      </c>
      <c r="T2882">
        <v>10</v>
      </c>
      <c r="U2882">
        <v>17</v>
      </c>
      <c r="V2882">
        <v>8</v>
      </c>
      <c r="W2882">
        <v>5</v>
      </c>
      <c r="X2882">
        <v>4</v>
      </c>
      <c r="Y2882">
        <v>178</v>
      </c>
      <c r="Z2882">
        <v>8</v>
      </c>
      <c r="AA2882">
        <v>1</v>
      </c>
      <c r="AB2882">
        <v>12</v>
      </c>
      <c r="AC2882">
        <v>0</v>
      </c>
      <c r="AD2882">
        <v>0</v>
      </c>
      <c r="AE2882">
        <v>0</v>
      </c>
      <c r="AF2882">
        <v>0</v>
      </c>
      <c r="AK2882">
        <v>6</v>
      </c>
      <c r="AL2882">
        <v>0</v>
      </c>
      <c r="AM2882">
        <v>0</v>
      </c>
      <c r="AN2882">
        <v>2</v>
      </c>
      <c r="AT2882">
        <v>0</v>
      </c>
      <c r="AU2882">
        <v>7</v>
      </c>
      <c r="AV2882">
        <v>299</v>
      </c>
      <c r="AW2882">
        <v>299</v>
      </c>
      <c r="AX2882">
        <v>454</v>
      </c>
      <c r="BA2882">
        <v>1</v>
      </c>
      <c r="BC2882" t="s">
        <v>5866</v>
      </c>
      <c r="BD2882" s="4">
        <v>43283.147222222222</v>
      </c>
      <c r="BE2882" s="4">
        <v>43283.156006944446</v>
      </c>
      <c r="BF2882" s="4">
        <v>43283.156006944446</v>
      </c>
      <c r="BG2882" t="s">
        <v>83</v>
      </c>
      <c r="BH2882" t="s">
        <v>84</v>
      </c>
      <c r="BI2882" t="s">
        <v>85</v>
      </c>
    </row>
    <row r="2883" spans="1:61" x14ac:dyDescent="0.3">
      <c r="A2883" t="str">
        <f>"201785E0401"</f>
        <v>201785E0401</v>
      </c>
      <c r="B2883" s="2" t="s">
        <v>5867</v>
      </c>
      <c r="C2883">
        <v>20</v>
      </c>
      <c r="D2883" t="s">
        <v>79</v>
      </c>
      <c r="E2883">
        <v>13</v>
      </c>
      <c r="F2883" t="s">
        <v>5455</v>
      </c>
      <c r="G2883">
        <v>1785</v>
      </c>
      <c r="H2883">
        <v>4</v>
      </c>
      <c r="I2883" t="s">
        <v>145</v>
      </c>
      <c r="J2883">
        <v>1</v>
      </c>
      <c r="K2883">
        <v>2</v>
      </c>
      <c r="L2883">
        <v>2</v>
      </c>
      <c r="M2883">
        <v>173</v>
      </c>
      <c r="N2883">
        <v>302</v>
      </c>
      <c r="O2883">
        <v>6</v>
      </c>
      <c r="P2883">
        <v>302</v>
      </c>
      <c r="Q2883">
        <v>26</v>
      </c>
      <c r="R2883">
        <v>25</v>
      </c>
      <c r="S2883">
        <v>1</v>
      </c>
      <c r="T2883">
        <v>2</v>
      </c>
      <c r="U2883">
        <v>22</v>
      </c>
      <c r="V2883">
        <v>7</v>
      </c>
      <c r="W2883">
        <v>9</v>
      </c>
      <c r="X2883">
        <v>6</v>
      </c>
      <c r="Y2883">
        <v>173</v>
      </c>
      <c r="Z2883">
        <v>5</v>
      </c>
      <c r="AA2883">
        <v>3</v>
      </c>
      <c r="AB2883">
        <v>5</v>
      </c>
      <c r="AC2883">
        <v>0</v>
      </c>
      <c r="AD2883">
        <v>0</v>
      </c>
      <c r="AE2883">
        <v>0</v>
      </c>
      <c r="AF2883">
        <v>0</v>
      </c>
      <c r="AK2883">
        <v>7</v>
      </c>
      <c r="AL2883">
        <v>5</v>
      </c>
      <c r="AM2883">
        <v>0</v>
      </c>
      <c r="AN2883">
        <v>1</v>
      </c>
      <c r="AT2883">
        <v>0</v>
      </c>
      <c r="AU2883">
        <v>6</v>
      </c>
      <c r="AV2883">
        <v>303</v>
      </c>
      <c r="AW2883">
        <v>303</v>
      </c>
      <c r="AX2883">
        <v>454</v>
      </c>
      <c r="BA2883">
        <v>1</v>
      </c>
      <c r="BC2883" t="s">
        <v>5868</v>
      </c>
      <c r="BD2883" s="4">
        <v>43283.147916666669</v>
      </c>
      <c r="BE2883" s="4">
        <v>43283.157569444447</v>
      </c>
      <c r="BF2883" s="4">
        <v>43283.157569444447</v>
      </c>
      <c r="BG2883" t="s">
        <v>83</v>
      </c>
      <c r="BH2883" t="s">
        <v>84</v>
      </c>
      <c r="BI2883" t="s">
        <v>85</v>
      </c>
    </row>
    <row r="2884" spans="1:61" x14ac:dyDescent="0.3">
      <c r="A2884" t="str">
        <f>"201785E0500"</f>
        <v>201785E0500</v>
      </c>
      <c r="B2884" s="2" t="s">
        <v>5869</v>
      </c>
      <c r="C2884">
        <v>20</v>
      </c>
      <c r="D2884" t="s">
        <v>79</v>
      </c>
      <c r="E2884">
        <v>13</v>
      </c>
      <c r="F2884" t="s">
        <v>5455</v>
      </c>
      <c r="G2884">
        <v>1785</v>
      </c>
      <c r="H2884">
        <v>5</v>
      </c>
      <c r="I2884" t="s">
        <v>145</v>
      </c>
      <c r="J2884">
        <v>0</v>
      </c>
      <c r="K2884">
        <v>2</v>
      </c>
      <c r="L2884">
        <v>2</v>
      </c>
      <c r="M2884">
        <v>248</v>
      </c>
      <c r="N2884">
        <v>359</v>
      </c>
      <c r="O2884">
        <v>3</v>
      </c>
      <c r="P2884">
        <v>359</v>
      </c>
      <c r="Q2884">
        <v>18</v>
      </c>
      <c r="R2884">
        <v>31</v>
      </c>
      <c r="S2884">
        <v>12</v>
      </c>
      <c r="T2884">
        <v>9</v>
      </c>
      <c r="U2884">
        <v>29</v>
      </c>
      <c r="V2884">
        <v>6</v>
      </c>
      <c r="W2884">
        <v>2</v>
      </c>
      <c r="X2884">
        <v>6</v>
      </c>
      <c r="Y2884">
        <v>201</v>
      </c>
      <c r="Z2884">
        <v>13</v>
      </c>
      <c r="AA2884">
        <v>2</v>
      </c>
      <c r="AB2884">
        <v>9</v>
      </c>
      <c r="AC2884">
        <v>0</v>
      </c>
      <c r="AD2884">
        <v>1</v>
      </c>
      <c r="AE2884">
        <v>1</v>
      </c>
      <c r="AF2884">
        <v>0</v>
      </c>
      <c r="AK2884">
        <v>6</v>
      </c>
      <c r="AL2884">
        <v>0</v>
      </c>
      <c r="AM2884">
        <v>0</v>
      </c>
      <c r="AN2884">
        <v>1</v>
      </c>
      <c r="AT2884">
        <v>1</v>
      </c>
      <c r="AU2884">
        <v>12</v>
      </c>
      <c r="AV2884">
        <v>360</v>
      </c>
      <c r="AW2884">
        <v>360</v>
      </c>
      <c r="AX2884">
        <v>584</v>
      </c>
      <c r="BA2884">
        <v>1</v>
      </c>
      <c r="BC2884" t="s">
        <v>5870</v>
      </c>
      <c r="BD2884" s="4">
        <v>43283.122916666667</v>
      </c>
      <c r="BE2884" s="4">
        <v>43283.126377314817</v>
      </c>
      <c r="BF2884" s="4">
        <v>43283.126377314817</v>
      </c>
      <c r="BG2884" t="s">
        <v>83</v>
      </c>
      <c r="BH2884" t="s">
        <v>84</v>
      </c>
      <c r="BI2884" t="s">
        <v>85</v>
      </c>
    </row>
    <row r="2885" spans="1:61" x14ac:dyDescent="0.3">
      <c r="A2885" t="str">
        <f>"201785E0501"</f>
        <v>201785E0501</v>
      </c>
      <c r="B2885" s="2" t="s">
        <v>5871</v>
      </c>
      <c r="C2885">
        <v>20</v>
      </c>
      <c r="D2885" t="s">
        <v>79</v>
      </c>
      <c r="E2885">
        <v>13</v>
      </c>
      <c r="F2885" t="s">
        <v>5455</v>
      </c>
      <c r="G2885">
        <v>1785</v>
      </c>
      <c r="H2885">
        <v>5</v>
      </c>
      <c r="I2885" t="s">
        <v>145</v>
      </c>
      <c r="J2885">
        <v>1</v>
      </c>
      <c r="K2885">
        <v>2</v>
      </c>
      <c r="L2885">
        <v>2</v>
      </c>
      <c r="M2885">
        <v>254</v>
      </c>
      <c r="N2885">
        <v>352</v>
      </c>
      <c r="O2885">
        <v>6</v>
      </c>
      <c r="P2885">
        <v>350</v>
      </c>
      <c r="Q2885">
        <v>17</v>
      </c>
      <c r="R2885">
        <v>34</v>
      </c>
      <c r="S2885">
        <v>7</v>
      </c>
      <c r="T2885">
        <v>2</v>
      </c>
      <c r="U2885">
        <v>23</v>
      </c>
      <c r="V2885">
        <v>6</v>
      </c>
      <c r="W2885">
        <v>6</v>
      </c>
      <c r="X2885">
        <v>3</v>
      </c>
      <c r="Y2885">
        <v>210</v>
      </c>
      <c r="Z2885">
        <v>6</v>
      </c>
      <c r="AA2885">
        <v>0</v>
      </c>
      <c r="AB2885">
        <v>8</v>
      </c>
      <c r="AC2885">
        <v>0</v>
      </c>
      <c r="AD2885">
        <v>2</v>
      </c>
      <c r="AE2885">
        <v>0</v>
      </c>
      <c r="AF2885">
        <v>0</v>
      </c>
      <c r="AK2885">
        <v>10</v>
      </c>
      <c r="AL2885">
        <v>1</v>
      </c>
      <c r="AM2885">
        <v>1</v>
      </c>
      <c r="AN2885">
        <v>0</v>
      </c>
      <c r="AT2885">
        <v>0</v>
      </c>
      <c r="AU2885">
        <v>14</v>
      </c>
      <c r="AV2885">
        <v>350</v>
      </c>
      <c r="AW2885">
        <v>350</v>
      </c>
      <c r="AX2885">
        <v>584</v>
      </c>
      <c r="BA2885">
        <v>1</v>
      </c>
      <c r="BC2885" t="s">
        <v>5872</v>
      </c>
      <c r="BD2885" s="4">
        <v>43283.122916666667</v>
      </c>
      <c r="BE2885" s="4">
        <v>43283.126562500001</v>
      </c>
      <c r="BF2885" s="4">
        <v>43283.126562500001</v>
      </c>
      <c r="BG2885" t="s">
        <v>83</v>
      </c>
      <c r="BH2885" t="s">
        <v>84</v>
      </c>
      <c r="BI2885" t="s">
        <v>85</v>
      </c>
    </row>
    <row r="2886" spans="1:61" x14ac:dyDescent="0.3">
      <c r="A2886" t="str">
        <f>"201785E0600"</f>
        <v>201785E0600</v>
      </c>
      <c r="B2886" s="2" t="s">
        <v>5873</v>
      </c>
      <c r="C2886">
        <v>20</v>
      </c>
      <c r="D2886" t="s">
        <v>79</v>
      </c>
      <c r="E2886">
        <v>13</v>
      </c>
      <c r="F2886" t="s">
        <v>5455</v>
      </c>
      <c r="G2886">
        <v>1785</v>
      </c>
      <c r="H2886">
        <v>6</v>
      </c>
      <c r="I2886" t="s">
        <v>145</v>
      </c>
      <c r="J2886">
        <v>0</v>
      </c>
      <c r="K2886">
        <v>2</v>
      </c>
      <c r="L2886">
        <v>2</v>
      </c>
      <c r="M2886">
        <v>277</v>
      </c>
      <c r="N2886">
        <v>434</v>
      </c>
      <c r="O2886">
        <v>6</v>
      </c>
      <c r="P2886">
        <v>438</v>
      </c>
      <c r="Q2886">
        <v>22</v>
      </c>
      <c r="R2886">
        <v>42</v>
      </c>
      <c r="S2886">
        <v>11</v>
      </c>
      <c r="T2886">
        <v>5</v>
      </c>
      <c r="U2886">
        <v>31</v>
      </c>
      <c r="V2886">
        <v>5</v>
      </c>
      <c r="W2886">
        <v>5</v>
      </c>
      <c r="X2886">
        <v>7</v>
      </c>
      <c r="Y2886">
        <v>253</v>
      </c>
      <c r="Z2886">
        <v>10</v>
      </c>
      <c r="AA2886">
        <v>5</v>
      </c>
      <c r="AB2886">
        <v>11</v>
      </c>
      <c r="AC2886">
        <v>0</v>
      </c>
      <c r="AD2886">
        <v>0</v>
      </c>
      <c r="AE2886">
        <v>0</v>
      </c>
      <c r="AF2886">
        <v>0</v>
      </c>
      <c r="AK2886">
        <v>9</v>
      </c>
      <c r="AL2886">
        <v>5</v>
      </c>
      <c r="AM2886">
        <v>0</v>
      </c>
      <c r="AN2886">
        <v>3</v>
      </c>
      <c r="AT2886">
        <v>0</v>
      </c>
      <c r="AU2886">
        <v>14</v>
      </c>
      <c r="AV2886">
        <v>438</v>
      </c>
      <c r="AW2886">
        <v>438</v>
      </c>
      <c r="AX2886">
        <v>689</v>
      </c>
      <c r="BA2886">
        <v>1</v>
      </c>
      <c r="BC2886" t="s">
        <v>5874</v>
      </c>
      <c r="BD2886" s="4">
        <v>43283.122916666667</v>
      </c>
      <c r="BE2886" s="4">
        <v>43283.13</v>
      </c>
      <c r="BF2886" s="4">
        <v>43283.13</v>
      </c>
      <c r="BG2886" t="s">
        <v>83</v>
      </c>
      <c r="BH2886" t="s">
        <v>84</v>
      </c>
      <c r="BI2886" t="s">
        <v>85</v>
      </c>
    </row>
    <row r="2887" spans="1:61" x14ac:dyDescent="0.3">
      <c r="A2887" t="str">
        <f>"201785E0601"</f>
        <v>201785E0601</v>
      </c>
      <c r="B2887" s="2" t="s">
        <v>5875</v>
      </c>
      <c r="C2887">
        <v>20</v>
      </c>
      <c r="D2887" t="s">
        <v>79</v>
      </c>
      <c r="E2887">
        <v>13</v>
      </c>
      <c r="F2887" t="s">
        <v>5455</v>
      </c>
      <c r="G2887">
        <v>1785</v>
      </c>
      <c r="H2887">
        <v>6</v>
      </c>
      <c r="I2887" t="s">
        <v>145</v>
      </c>
      <c r="J2887">
        <v>1</v>
      </c>
      <c r="K2887">
        <v>2</v>
      </c>
      <c r="L2887">
        <v>2</v>
      </c>
      <c r="M2887">
        <v>248</v>
      </c>
      <c r="N2887">
        <v>463</v>
      </c>
      <c r="O2887">
        <v>8</v>
      </c>
      <c r="P2887">
        <v>460</v>
      </c>
      <c r="Q2887">
        <v>23</v>
      </c>
      <c r="R2887">
        <v>39</v>
      </c>
      <c r="S2887">
        <v>11</v>
      </c>
      <c r="T2887">
        <v>9</v>
      </c>
      <c r="U2887">
        <v>26</v>
      </c>
      <c r="V2887">
        <v>8</v>
      </c>
      <c r="W2887">
        <v>11</v>
      </c>
      <c r="X2887">
        <v>7</v>
      </c>
      <c r="Y2887">
        <v>279</v>
      </c>
      <c r="Z2887">
        <v>12</v>
      </c>
      <c r="AA2887">
        <v>1</v>
      </c>
      <c r="AB2887">
        <v>15</v>
      </c>
      <c r="AC2887">
        <v>0</v>
      </c>
      <c r="AD2887">
        <v>0</v>
      </c>
      <c r="AE2887">
        <v>0</v>
      </c>
      <c r="AF2887">
        <v>0</v>
      </c>
      <c r="AK2887">
        <v>7</v>
      </c>
      <c r="AL2887">
        <v>2</v>
      </c>
      <c r="AM2887">
        <v>2</v>
      </c>
      <c r="AN2887">
        <v>3</v>
      </c>
      <c r="AT2887" t="s">
        <v>100</v>
      </c>
      <c r="AU2887">
        <v>9</v>
      </c>
      <c r="AV2887">
        <v>464</v>
      </c>
      <c r="AW2887">
        <v>464</v>
      </c>
      <c r="AX2887">
        <v>689</v>
      </c>
      <c r="AZ2887" t="s">
        <v>101</v>
      </c>
      <c r="BA2887">
        <v>1</v>
      </c>
      <c r="BC2887" t="s">
        <v>5876</v>
      </c>
      <c r="BD2887" s="4">
        <v>43283.119444444441</v>
      </c>
      <c r="BE2887" s="4">
        <v>43283.142453703702</v>
      </c>
      <c r="BF2887" s="4">
        <v>43283.142453703702</v>
      </c>
      <c r="BG2887" t="s">
        <v>83</v>
      </c>
      <c r="BH2887" t="s">
        <v>84</v>
      </c>
      <c r="BI2887" t="s">
        <v>85</v>
      </c>
    </row>
    <row r="2888" spans="1:61" x14ac:dyDescent="0.3">
      <c r="A2888" t="str">
        <f>"201785E0700"</f>
        <v>201785E0700</v>
      </c>
      <c r="B2888" s="2" t="s">
        <v>5877</v>
      </c>
      <c r="C2888">
        <v>20</v>
      </c>
      <c r="D2888" t="s">
        <v>79</v>
      </c>
      <c r="E2888">
        <v>13</v>
      </c>
      <c r="F2888" t="s">
        <v>5455</v>
      </c>
      <c r="G2888">
        <v>1785</v>
      </c>
      <c r="H2888">
        <v>7</v>
      </c>
      <c r="I2888" t="s">
        <v>145</v>
      </c>
      <c r="J2888">
        <v>0</v>
      </c>
      <c r="K2888">
        <v>2</v>
      </c>
      <c r="L2888">
        <v>2</v>
      </c>
      <c r="M2888">
        <v>237</v>
      </c>
      <c r="N2888">
        <v>327</v>
      </c>
      <c r="O2888">
        <v>10</v>
      </c>
      <c r="P2888">
        <v>316</v>
      </c>
      <c r="Q2888">
        <v>24</v>
      </c>
      <c r="R2888">
        <v>34</v>
      </c>
      <c r="S2888">
        <v>7</v>
      </c>
      <c r="T2888">
        <v>9</v>
      </c>
      <c r="U2888">
        <v>19</v>
      </c>
      <c r="V2888">
        <v>4</v>
      </c>
      <c r="W2888">
        <v>7</v>
      </c>
      <c r="X2888">
        <v>3</v>
      </c>
      <c r="Y2888">
        <v>171</v>
      </c>
      <c r="Z2888">
        <v>11</v>
      </c>
      <c r="AA2888">
        <v>0</v>
      </c>
      <c r="AB2888">
        <v>11</v>
      </c>
      <c r="AC2888">
        <v>0</v>
      </c>
      <c r="AD2888">
        <v>0</v>
      </c>
      <c r="AE2888">
        <v>0</v>
      </c>
      <c r="AF2888">
        <v>0</v>
      </c>
      <c r="AK2888">
        <v>8</v>
      </c>
      <c r="AL2888">
        <v>4</v>
      </c>
      <c r="AM2888">
        <v>0</v>
      </c>
      <c r="AN2888">
        <v>0</v>
      </c>
      <c r="AT2888">
        <v>0</v>
      </c>
      <c r="AU2888">
        <v>7</v>
      </c>
      <c r="AV2888">
        <v>316</v>
      </c>
      <c r="AW2888">
        <v>319</v>
      </c>
      <c r="AX2888">
        <v>531</v>
      </c>
      <c r="BA2888">
        <v>1</v>
      </c>
      <c r="BC2888" t="s">
        <v>5878</v>
      </c>
      <c r="BD2888" s="4">
        <v>43283.100694444445</v>
      </c>
      <c r="BE2888" s="4">
        <v>43283.105636574073</v>
      </c>
      <c r="BF2888" s="4">
        <v>43283.105636574073</v>
      </c>
      <c r="BG2888" t="s">
        <v>83</v>
      </c>
      <c r="BH2888" t="s">
        <v>84</v>
      </c>
      <c r="BI2888" t="s">
        <v>85</v>
      </c>
    </row>
    <row r="2889" spans="1:61" x14ac:dyDescent="0.3">
      <c r="A2889" t="str">
        <f>"201786B0100"</f>
        <v>201786B0100</v>
      </c>
      <c r="B2889" t="s">
        <v>5879</v>
      </c>
      <c r="C2889">
        <v>20</v>
      </c>
      <c r="D2889" t="s">
        <v>79</v>
      </c>
      <c r="E2889">
        <v>13</v>
      </c>
      <c r="F2889" t="s">
        <v>5455</v>
      </c>
      <c r="G2889">
        <v>1786</v>
      </c>
      <c r="H2889">
        <v>1</v>
      </c>
      <c r="I2889" t="s">
        <v>81</v>
      </c>
      <c r="J2889">
        <v>0</v>
      </c>
      <c r="K2889">
        <v>2</v>
      </c>
      <c r="L2889">
        <v>2</v>
      </c>
      <c r="M2889">
        <v>296</v>
      </c>
      <c r="N2889">
        <v>345</v>
      </c>
      <c r="O2889">
        <v>8</v>
      </c>
      <c r="P2889">
        <v>347</v>
      </c>
      <c r="Q2889">
        <v>17</v>
      </c>
      <c r="R2889">
        <v>77</v>
      </c>
      <c r="S2889">
        <v>9</v>
      </c>
      <c r="T2889">
        <v>12</v>
      </c>
      <c r="U2889">
        <v>28</v>
      </c>
      <c r="V2889">
        <v>6</v>
      </c>
      <c r="W2889">
        <v>13</v>
      </c>
      <c r="X2889">
        <v>7</v>
      </c>
      <c r="Y2889">
        <v>126</v>
      </c>
      <c r="Z2889">
        <v>10</v>
      </c>
      <c r="AA2889">
        <v>9</v>
      </c>
      <c r="AB2889">
        <v>4</v>
      </c>
      <c r="AC2889">
        <v>0</v>
      </c>
      <c r="AD2889">
        <v>0</v>
      </c>
      <c r="AE2889">
        <v>0</v>
      </c>
      <c r="AF2889">
        <v>0</v>
      </c>
      <c r="AK2889">
        <v>9</v>
      </c>
      <c r="AL2889">
        <v>5</v>
      </c>
      <c r="AM2889">
        <v>3</v>
      </c>
      <c r="AN2889">
        <v>0</v>
      </c>
      <c r="AT2889" t="s">
        <v>315</v>
      </c>
      <c r="AU2889">
        <v>12</v>
      </c>
      <c r="AV2889">
        <v>347</v>
      </c>
      <c r="AW2889">
        <v>347</v>
      </c>
      <c r="AX2889">
        <v>617</v>
      </c>
      <c r="AZ2889" t="s">
        <v>101</v>
      </c>
      <c r="BA2889">
        <v>1</v>
      </c>
      <c r="BC2889" t="s">
        <v>5880</v>
      </c>
      <c r="BD2889" s="4">
        <v>43283.040277777778</v>
      </c>
      <c r="BE2889" s="4">
        <v>43283.049976851849</v>
      </c>
      <c r="BF2889" s="4">
        <v>43283.049976851849</v>
      </c>
      <c r="BG2889" t="s">
        <v>83</v>
      </c>
      <c r="BH2889" t="s">
        <v>84</v>
      </c>
      <c r="BI2889" t="s">
        <v>85</v>
      </c>
    </row>
    <row r="2890" spans="1:61" x14ac:dyDescent="0.3">
      <c r="A2890" t="str">
        <f>"201786C0100"</f>
        <v>201786C0100</v>
      </c>
      <c r="B2890" t="s">
        <v>5881</v>
      </c>
      <c r="C2890">
        <v>20</v>
      </c>
      <c r="D2890" t="s">
        <v>79</v>
      </c>
      <c r="E2890">
        <v>13</v>
      </c>
      <c r="F2890" t="s">
        <v>5455</v>
      </c>
      <c r="G2890">
        <v>1786</v>
      </c>
      <c r="H2890">
        <v>1</v>
      </c>
      <c r="I2890" t="s">
        <v>89</v>
      </c>
      <c r="J2890">
        <v>0</v>
      </c>
      <c r="K2890">
        <v>2</v>
      </c>
      <c r="L2890">
        <v>2</v>
      </c>
      <c r="M2890">
        <v>285</v>
      </c>
      <c r="N2890">
        <v>352</v>
      </c>
      <c r="O2890">
        <v>9</v>
      </c>
      <c r="P2890">
        <v>346</v>
      </c>
      <c r="Q2890">
        <v>21</v>
      </c>
      <c r="R2890">
        <v>70</v>
      </c>
      <c r="S2890">
        <v>10</v>
      </c>
      <c r="T2890">
        <v>11</v>
      </c>
      <c r="U2890">
        <v>28</v>
      </c>
      <c r="V2890">
        <v>2</v>
      </c>
      <c r="W2890">
        <v>13</v>
      </c>
      <c r="X2890">
        <v>4</v>
      </c>
      <c r="Y2890">
        <v>161</v>
      </c>
      <c r="Z2890">
        <v>3</v>
      </c>
      <c r="AA2890">
        <v>2</v>
      </c>
      <c r="AB2890">
        <v>3</v>
      </c>
      <c r="AC2890" t="s">
        <v>100</v>
      </c>
      <c r="AD2890" t="s">
        <v>100</v>
      </c>
      <c r="AE2890" t="s">
        <v>100</v>
      </c>
      <c r="AF2890" t="s">
        <v>100</v>
      </c>
      <c r="AK2890" t="s">
        <v>100</v>
      </c>
      <c r="AL2890">
        <v>2</v>
      </c>
      <c r="AM2890">
        <v>1</v>
      </c>
      <c r="AN2890">
        <v>4</v>
      </c>
      <c r="AT2890" t="s">
        <v>100</v>
      </c>
      <c r="AU2890">
        <v>11</v>
      </c>
      <c r="AV2890">
        <v>346</v>
      </c>
      <c r="AW2890">
        <v>346</v>
      </c>
      <c r="AX2890">
        <v>616</v>
      </c>
      <c r="AZ2890" t="s">
        <v>101</v>
      </c>
      <c r="BA2890">
        <v>1</v>
      </c>
      <c r="BC2890" t="s">
        <v>5882</v>
      </c>
      <c r="BD2890" s="4">
        <v>43283.042361111111</v>
      </c>
      <c r="BE2890" s="4">
        <v>43283.046180555553</v>
      </c>
      <c r="BF2890" s="4">
        <v>43283.046180555553</v>
      </c>
      <c r="BG2890" t="s">
        <v>83</v>
      </c>
      <c r="BH2890" t="s">
        <v>84</v>
      </c>
      <c r="BI2890" t="s">
        <v>85</v>
      </c>
    </row>
    <row r="2891" spans="1:61" x14ac:dyDescent="0.3">
      <c r="A2891" t="str">
        <f>"201786C0200"</f>
        <v>201786C0200</v>
      </c>
      <c r="B2891" t="s">
        <v>5883</v>
      </c>
      <c r="C2891">
        <v>20</v>
      </c>
      <c r="D2891" t="s">
        <v>79</v>
      </c>
      <c r="E2891">
        <v>13</v>
      </c>
      <c r="F2891" t="s">
        <v>5455</v>
      </c>
      <c r="G2891">
        <v>1786</v>
      </c>
      <c r="H2891">
        <v>2</v>
      </c>
      <c r="I2891" t="s">
        <v>89</v>
      </c>
      <c r="J2891">
        <v>0</v>
      </c>
      <c r="K2891">
        <v>2</v>
      </c>
      <c r="L2891">
        <v>2</v>
      </c>
      <c r="M2891">
        <v>285</v>
      </c>
      <c r="N2891">
        <v>350</v>
      </c>
      <c r="O2891">
        <v>7</v>
      </c>
      <c r="P2891">
        <v>355</v>
      </c>
      <c r="Q2891">
        <v>11</v>
      </c>
      <c r="R2891">
        <v>83</v>
      </c>
      <c r="S2891">
        <v>4</v>
      </c>
      <c r="T2891">
        <v>10</v>
      </c>
      <c r="U2891">
        <v>20</v>
      </c>
      <c r="V2891">
        <v>6</v>
      </c>
      <c r="W2891">
        <v>15</v>
      </c>
      <c r="X2891">
        <v>8</v>
      </c>
      <c r="Y2891">
        <v>149</v>
      </c>
      <c r="Z2891">
        <v>7</v>
      </c>
      <c r="AA2891">
        <v>5</v>
      </c>
      <c r="AB2891">
        <v>15</v>
      </c>
      <c r="AC2891">
        <v>0</v>
      </c>
      <c r="AD2891">
        <v>0</v>
      </c>
      <c r="AE2891">
        <v>1</v>
      </c>
      <c r="AF2891">
        <v>0</v>
      </c>
      <c r="AK2891">
        <v>9</v>
      </c>
      <c r="AL2891">
        <v>0</v>
      </c>
      <c r="AM2891">
        <v>0</v>
      </c>
      <c r="AN2891">
        <v>0</v>
      </c>
      <c r="AT2891" t="s">
        <v>100</v>
      </c>
      <c r="AU2891">
        <v>12</v>
      </c>
      <c r="AV2891">
        <v>355</v>
      </c>
      <c r="AW2891">
        <v>355</v>
      </c>
      <c r="AX2891">
        <v>616</v>
      </c>
      <c r="AZ2891" t="s">
        <v>101</v>
      </c>
      <c r="BA2891">
        <v>1</v>
      </c>
      <c r="BC2891" t="s">
        <v>5884</v>
      </c>
      <c r="BD2891" s="4">
        <v>43283.043749999997</v>
      </c>
      <c r="BE2891" s="4">
        <v>43283.049687500003</v>
      </c>
      <c r="BF2891" s="4">
        <v>43283.049687500003</v>
      </c>
      <c r="BG2891" t="s">
        <v>83</v>
      </c>
      <c r="BH2891" t="s">
        <v>84</v>
      </c>
      <c r="BI2891" t="s">
        <v>85</v>
      </c>
    </row>
    <row r="2892" spans="1:61" x14ac:dyDescent="0.3">
      <c r="A2892" t="str">
        <f>"201786C0300"</f>
        <v>201786C0300</v>
      </c>
      <c r="B2892" t="s">
        <v>5885</v>
      </c>
      <c r="C2892">
        <v>20</v>
      </c>
      <c r="D2892" t="s">
        <v>79</v>
      </c>
      <c r="E2892">
        <v>13</v>
      </c>
      <c r="F2892" t="s">
        <v>5455</v>
      </c>
      <c r="G2892">
        <v>1786</v>
      </c>
      <c r="H2892">
        <v>3</v>
      </c>
      <c r="I2892" t="s">
        <v>89</v>
      </c>
      <c r="J2892">
        <v>0</v>
      </c>
      <c r="K2892">
        <v>2</v>
      </c>
      <c r="L2892">
        <v>2</v>
      </c>
      <c r="M2892">
        <v>302</v>
      </c>
      <c r="N2892">
        <v>335</v>
      </c>
      <c r="O2892">
        <v>5</v>
      </c>
      <c r="P2892">
        <v>334</v>
      </c>
      <c r="Q2892">
        <v>17</v>
      </c>
      <c r="R2892">
        <v>50</v>
      </c>
      <c r="S2892">
        <v>4</v>
      </c>
      <c r="T2892">
        <v>7</v>
      </c>
      <c r="U2892">
        <v>30</v>
      </c>
      <c r="V2892">
        <v>4</v>
      </c>
      <c r="W2892">
        <v>16</v>
      </c>
      <c r="X2892">
        <v>2</v>
      </c>
      <c r="Y2892">
        <v>166</v>
      </c>
      <c r="Z2892">
        <v>11</v>
      </c>
      <c r="AA2892">
        <v>5</v>
      </c>
      <c r="AB2892">
        <v>5</v>
      </c>
      <c r="AC2892">
        <v>0</v>
      </c>
      <c r="AD2892">
        <v>0</v>
      </c>
      <c r="AE2892">
        <v>1</v>
      </c>
      <c r="AF2892">
        <v>0</v>
      </c>
      <c r="AK2892">
        <v>3</v>
      </c>
      <c r="AL2892">
        <v>3</v>
      </c>
      <c r="AM2892">
        <v>0</v>
      </c>
      <c r="AN2892">
        <v>1</v>
      </c>
      <c r="AT2892">
        <v>0</v>
      </c>
      <c r="AU2892">
        <v>9</v>
      </c>
      <c r="AV2892">
        <v>334</v>
      </c>
      <c r="AW2892">
        <v>334</v>
      </c>
      <c r="AX2892">
        <v>616</v>
      </c>
      <c r="BA2892">
        <v>1</v>
      </c>
      <c r="BC2892" t="s">
        <v>5886</v>
      </c>
      <c r="BD2892" s="4">
        <v>43283.043055555558</v>
      </c>
      <c r="BE2892" s="4">
        <v>43283.047453703701</v>
      </c>
      <c r="BF2892" s="4">
        <v>43283.047453703701</v>
      </c>
      <c r="BG2892" t="s">
        <v>83</v>
      </c>
      <c r="BH2892" t="s">
        <v>84</v>
      </c>
      <c r="BI2892" t="s">
        <v>85</v>
      </c>
    </row>
    <row r="2893" spans="1:61" x14ac:dyDescent="0.3">
      <c r="A2893" t="str">
        <f>"201786C0400"</f>
        <v>201786C0400</v>
      </c>
      <c r="B2893" t="s">
        <v>5887</v>
      </c>
      <c r="C2893">
        <v>20</v>
      </c>
      <c r="D2893" t="s">
        <v>79</v>
      </c>
      <c r="E2893">
        <v>13</v>
      </c>
      <c r="F2893" t="s">
        <v>5455</v>
      </c>
      <c r="G2893">
        <v>1786</v>
      </c>
      <c r="H2893">
        <v>4</v>
      </c>
      <c r="I2893" t="s">
        <v>89</v>
      </c>
      <c r="J2893">
        <v>0</v>
      </c>
      <c r="K2893">
        <v>2</v>
      </c>
      <c r="L2893">
        <v>2</v>
      </c>
      <c r="M2893">
        <v>286</v>
      </c>
      <c r="N2893">
        <v>352</v>
      </c>
      <c r="O2893">
        <v>6</v>
      </c>
      <c r="P2893">
        <v>353</v>
      </c>
      <c r="Q2893">
        <v>23</v>
      </c>
      <c r="R2893">
        <v>60</v>
      </c>
      <c r="S2893">
        <v>7</v>
      </c>
      <c r="T2893">
        <v>10</v>
      </c>
      <c r="U2893">
        <v>28</v>
      </c>
      <c r="V2893">
        <v>4</v>
      </c>
      <c r="W2893">
        <v>9</v>
      </c>
      <c r="X2893">
        <v>7</v>
      </c>
      <c r="Y2893">
        <v>161</v>
      </c>
      <c r="Z2893">
        <v>7</v>
      </c>
      <c r="AA2893">
        <v>6</v>
      </c>
      <c r="AB2893">
        <v>9</v>
      </c>
      <c r="AC2893">
        <v>1</v>
      </c>
      <c r="AD2893">
        <v>0</v>
      </c>
      <c r="AE2893">
        <v>0</v>
      </c>
      <c r="AF2893">
        <v>0</v>
      </c>
      <c r="AK2893">
        <v>3</v>
      </c>
      <c r="AL2893">
        <v>3</v>
      </c>
      <c r="AM2893">
        <v>0</v>
      </c>
      <c r="AN2893">
        <v>0</v>
      </c>
      <c r="AT2893">
        <v>0</v>
      </c>
      <c r="AU2893">
        <v>15</v>
      </c>
      <c r="AV2893">
        <v>353</v>
      </c>
      <c r="AW2893">
        <v>353</v>
      </c>
      <c r="AX2893">
        <v>616</v>
      </c>
      <c r="BA2893">
        <v>1</v>
      </c>
      <c r="BC2893" t="s">
        <v>5888</v>
      </c>
      <c r="BD2893" s="4">
        <v>43283.041666666664</v>
      </c>
      <c r="BE2893" s="4">
        <v>43283.045856481483</v>
      </c>
      <c r="BF2893" s="4">
        <v>43283.045856481483</v>
      </c>
      <c r="BG2893" t="s">
        <v>83</v>
      </c>
      <c r="BH2893" t="s">
        <v>84</v>
      </c>
      <c r="BI2893" t="s">
        <v>85</v>
      </c>
    </row>
    <row r="2894" spans="1:61" x14ac:dyDescent="0.3">
      <c r="A2894" t="str">
        <f>"201786E0100"</f>
        <v>201786E0100</v>
      </c>
      <c r="B2894" s="2" t="s">
        <v>5889</v>
      </c>
      <c r="C2894">
        <v>20</v>
      </c>
      <c r="D2894" t="s">
        <v>79</v>
      </c>
      <c r="E2894">
        <v>13</v>
      </c>
      <c r="F2894" t="s">
        <v>5455</v>
      </c>
      <c r="G2894">
        <v>1786</v>
      </c>
      <c r="H2894">
        <v>1</v>
      </c>
      <c r="I2894" t="s">
        <v>145</v>
      </c>
      <c r="J2894">
        <v>0</v>
      </c>
      <c r="K2894">
        <v>2</v>
      </c>
      <c r="L2894">
        <v>2</v>
      </c>
      <c r="M2894">
        <v>187</v>
      </c>
      <c r="N2894">
        <v>216</v>
      </c>
      <c r="O2894">
        <v>9</v>
      </c>
      <c r="P2894">
        <v>216</v>
      </c>
      <c r="Q2894">
        <v>16</v>
      </c>
      <c r="R2894">
        <v>34</v>
      </c>
      <c r="S2894">
        <v>3</v>
      </c>
      <c r="T2894">
        <v>3</v>
      </c>
      <c r="U2894">
        <v>28</v>
      </c>
      <c r="V2894">
        <v>3</v>
      </c>
      <c r="W2894">
        <v>4</v>
      </c>
      <c r="X2894">
        <v>6</v>
      </c>
      <c r="Y2894">
        <v>89</v>
      </c>
      <c r="Z2894">
        <v>1</v>
      </c>
      <c r="AA2894">
        <v>2</v>
      </c>
      <c r="AB2894">
        <v>1</v>
      </c>
      <c r="AC2894">
        <v>1</v>
      </c>
      <c r="AD2894">
        <v>1</v>
      </c>
      <c r="AE2894">
        <v>0</v>
      </c>
      <c r="AF2894">
        <v>0</v>
      </c>
      <c r="AK2894">
        <v>1</v>
      </c>
      <c r="AL2894">
        <v>0</v>
      </c>
      <c r="AM2894">
        <v>0</v>
      </c>
      <c r="AN2894">
        <v>2</v>
      </c>
      <c r="AT2894" t="s">
        <v>100</v>
      </c>
      <c r="AU2894">
        <v>21</v>
      </c>
      <c r="AV2894" t="s">
        <v>100</v>
      </c>
      <c r="AW2894">
        <v>216</v>
      </c>
      <c r="AX2894">
        <v>383</v>
      </c>
      <c r="AZ2894" t="s">
        <v>101</v>
      </c>
      <c r="BA2894">
        <v>1</v>
      </c>
      <c r="BC2894" t="s">
        <v>5890</v>
      </c>
      <c r="BD2894" s="4">
        <v>43283.134722222225</v>
      </c>
      <c r="BE2894" s="4">
        <v>43283.144409722219</v>
      </c>
      <c r="BF2894" s="4">
        <v>43283.144409722219</v>
      </c>
      <c r="BG2894" t="s">
        <v>83</v>
      </c>
      <c r="BH2894" t="s">
        <v>84</v>
      </c>
      <c r="BI2894" t="s">
        <v>85</v>
      </c>
    </row>
    <row r="2895" spans="1:61" x14ac:dyDescent="0.3">
      <c r="A2895" t="str">
        <f>"200470B0100"</f>
        <v>200470B0100</v>
      </c>
      <c r="B2895" t="s">
        <v>5891</v>
      </c>
      <c r="C2895">
        <v>20</v>
      </c>
      <c r="D2895" t="s">
        <v>79</v>
      </c>
      <c r="E2895">
        <v>14</v>
      </c>
      <c r="F2895" t="s">
        <v>5455</v>
      </c>
      <c r="G2895">
        <v>470</v>
      </c>
      <c r="H2895">
        <v>1</v>
      </c>
      <c r="I2895" t="s">
        <v>81</v>
      </c>
      <c r="J2895">
        <v>0</v>
      </c>
      <c r="K2895">
        <v>1</v>
      </c>
      <c r="L2895">
        <v>2</v>
      </c>
      <c r="M2895">
        <v>187</v>
      </c>
      <c r="N2895">
        <v>368</v>
      </c>
      <c r="O2895">
        <v>9</v>
      </c>
      <c r="P2895">
        <v>368</v>
      </c>
      <c r="Q2895">
        <v>66</v>
      </c>
      <c r="R2895">
        <v>35</v>
      </c>
      <c r="S2895">
        <v>8</v>
      </c>
      <c r="T2895">
        <v>6</v>
      </c>
      <c r="U2895">
        <v>16</v>
      </c>
      <c r="V2895">
        <v>6</v>
      </c>
      <c r="W2895">
        <v>9</v>
      </c>
      <c r="X2895">
        <v>2</v>
      </c>
      <c r="Y2895">
        <v>192</v>
      </c>
      <c r="Z2895">
        <v>7</v>
      </c>
      <c r="AA2895">
        <v>0</v>
      </c>
      <c r="AB2895">
        <v>2</v>
      </c>
      <c r="AC2895">
        <v>3</v>
      </c>
      <c r="AD2895">
        <v>0</v>
      </c>
      <c r="AE2895">
        <v>0</v>
      </c>
      <c r="AF2895">
        <v>0</v>
      </c>
      <c r="AK2895">
        <v>7</v>
      </c>
      <c r="AL2895">
        <v>3</v>
      </c>
      <c r="AM2895">
        <v>0</v>
      </c>
      <c r="AN2895">
        <v>1</v>
      </c>
      <c r="AT2895">
        <v>0</v>
      </c>
      <c r="AU2895">
        <v>5</v>
      </c>
      <c r="AV2895">
        <v>368</v>
      </c>
      <c r="AW2895">
        <v>368</v>
      </c>
      <c r="AX2895">
        <v>534</v>
      </c>
      <c r="BA2895">
        <v>1</v>
      </c>
      <c r="BC2895" t="s">
        <v>5892</v>
      </c>
      <c r="BD2895" s="4">
        <v>43283.070138888892</v>
      </c>
      <c r="BE2895" s="4">
        <v>43283.074293981481</v>
      </c>
      <c r="BF2895" s="4">
        <v>43283.074293981481</v>
      </c>
      <c r="BG2895" t="s">
        <v>83</v>
      </c>
      <c r="BH2895" t="s">
        <v>84</v>
      </c>
      <c r="BI2895" t="s">
        <v>85</v>
      </c>
    </row>
    <row r="2896" spans="1:61" x14ac:dyDescent="0.3">
      <c r="A2896" t="str">
        <f>"200470C0100"</f>
        <v>200470C0100</v>
      </c>
      <c r="B2896" t="s">
        <v>5893</v>
      </c>
      <c r="C2896">
        <v>20</v>
      </c>
      <c r="D2896" t="s">
        <v>79</v>
      </c>
      <c r="E2896">
        <v>14</v>
      </c>
      <c r="F2896" t="s">
        <v>5455</v>
      </c>
      <c r="G2896">
        <v>470</v>
      </c>
      <c r="H2896">
        <v>1</v>
      </c>
      <c r="I2896" t="s">
        <v>89</v>
      </c>
      <c r="J2896">
        <v>0</v>
      </c>
      <c r="K2896">
        <v>1</v>
      </c>
      <c r="L2896">
        <v>2</v>
      </c>
      <c r="M2896" t="s">
        <v>315</v>
      </c>
      <c r="N2896" t="s">
        <v>315</v>
      </c>
      <c r="O2896" t="s">
        <v>315</v>
      </c>
      <c r="P2896" t="s">
        <v>315</v>
      </c>
      <c r="Q2896">
        <v>57</v>
      </c>
      <c r="R2896">
        <v>32</v>
      </c>
      <c r="S2896">
        <v>7</v>
      </c>
      <c r="T2896">
        <v>4</v>
      </c>
      <c r="U2896">
        <v>24</v>
      </c>
      <c r="V2896">
        <v>2</v>
      </c>
      <c r="W2896">
        <v>8</v>
      </c>
      <c r="X2896">
        <v>4</v>
      </c>
      <c r="Y2896">
        <v>180</v>
      </c>
      <c r="Z2896">
        <v>6</v>
      </c>
      <c r="AA2896">
        <v>2</v>
      </c>
      <c r="AB2896">
        <v>12</v>
      </c>
      <c r="AC2896">
        <v>1</v>
      </c>
      <c r="AD2896">
        <v>2</v>
      </c>
      <c r="AE2896">
        <v>0</v>
      </c>
      <c r="AF2896">
        <v>0</v>
      </c>
      <c r="AK2896">
        <v>7</v>
      </c>
      <c r="AL2896">
        <v>2</v>
      </c>
      <c r="AM2896">
        <v>1</v>
      </c>
      <c r="AN2896">
        <v>1</v>
      </c>
      <c r="AT2896">
        <v>0</v>
      </c>
      <c r="AU2896">
        <v>8</v>
      </c>
      <c r="AV2896">
        <v>360</v>
      </c>
      <c r="AW2896">
        <v>360</v>
      </c>
      <c r="AX2896">
        <v>533</v>
      </c>
      <c r="BA2896">
        <v>1</v>
      </c>
      <c r="BC2896" t="s">
        <v>5894</v>
      </c>
      <c r="BD2896" s="4">
        <v>43283.080555555556</v>
      </c>
      <c r="BE2896" s="4">
        <v>43283.090567129628</v>
      </c>
      <c r="BF2896" s="4">
        <v>43283.090567129628</v>
      </c>
      <c r="BG2896" t="s">
        <v>83</v>
      </c>
      <c r="BH2896" t="s">
        <v>84</v>
      </c>
      <c r="BI2896" t="s">
        <v>85</v>
      </c>
    </row>
    <row r="2897" spans="1:61" x14ac:dyDescent="0.3">
      <c r="A2897" t="str">
        <f>"200470E0100"</f>
        <v>200470E0100</v>
      </c>
      <c r="B2897" s="2" t="s">
        <v>5895</v>
      </c>
      <c r="C2897">
        <v>20</v>
      </c>
      <c r="D2897" t="s">
        <v>79</v>
      </c>
      <c r="E2897">
        <v>14</v>
      </c>
      <c r="F2897" t="s">
        <v>5455</v>
      </c>
      <c r="G2897">
        <v>470</v>
      </c>
      <c r="H2897">
        <v>1</v>
      </c>
      <c r="I2897" t="s">
        <v>145</v>
      </c>
      <c r="J2897">
        <v>0</v>
      </c>
      <c r="K2897">
        <v>1</v>
      </c>
      <c r="L2897">
        <v>2</v>
      </c>
      <c r="M2897">
        <v>246</v>
      </c>
      <c r="N2897">
        <v>399</v>
      </c>
      <c r="O2897">
        <v>12</v>
      </c>
      <c r="P2897">
        <v>396</v>
      </c>
      <c r="Q2897">
        <v>45</v>
      </c>
      <c r="R2897">
        <v>60</v>
      </c>
      <c r="S2897">
        <v>13</v>
      </c>
      <c r="T2897">
        <v>10</v>
      </c>
      <c r="U2897">
        <v>19</v>
      </c>
      <c r="V2897">
        <v>2</v>
      </c>
      <c r="W2897">
        <v>13</v>
      </c>
      <c r="X2897">
        <v>7</v>
      </c>
      <c r="Y2897">
        <v>180</v>
      </c>
      <c r="Z2897">
        <v>6</v>
      </c>
      <c r="AA2897">
        <v>2</v>
      </c>
      <c r="AB2897">
        <v>8</v>
      </c>
      <c r="AC2897">
        <v>1</v>
      </c>
      <c r="AD2897">
        <v>0</v>
      </c>
      <c r="AE2897">
        <v>0</v>
      </c>
      <c r="AF2897">
        <v>0</v>
      </c>
      <c r="AK2897">
        <v>7</v>
      </c>
      <c r="AL2897">
        <v>1</v>
      </c>
      <c r="AM2897">
        <v>0</v>
      </c>
      <c r="AN2897">
        <v>3</v>
      </c>
      <c r="AT2897">
        <v>1</v>
      </c>
      <c r="AU2897">
        <v>19</v>
      </c>
      <c r="AV2897">
        <v>397</v>
      </c>
      <c r="AW2897">
        <v>397</v>
      </c>
      <c r="AX2897">
        <v>623</v>
      </c>
      <c r="BA2897">
        <v>1</v>
      </c>
      <c r="BC2897" t="s">
        <v>5896</v>
      </c>
      <c r="BD2897" s="4">
        <v>43282.939421296294</v>
      </c>
      <c r="BE2897" s="4">
        <v>43282.94258101852</v>
      </c>
      <c r="BF2897" s="4">
        <v>43282.94258101852</v>
      </c>
      <c r="BG2897" t="s">
        <v>373</v>
      </c>
      <c r="BH2897" t="s">
        <v>374</v>
      </c>
      <c r="BI2897" t="s">
        <v>85</v>
      </c>
    </row>
    <row r="2898" spans="1:61" x14ac:dyDescent="0.3">
      <c r="A2898" t="str">
        <f>"200470E0101"</f>
        <v>200470E0101</v>
      </c>
      <c r="B2898" s="2" t="s">
        <v>5897</v>
      </c>
      <c r="C2898">
        <v>20</v>
      </c>
      <c r="D2898" t="s">
        <v>79</v>
      </c>
      <c r="E2898">
        <v>14</v>
      </c>
      <c r="F2898" t="s">
        <v>5455</v>
      </c>
      <c r="G2898">
        <v>470</v>
      </c>
      <c r="H2898">
        <v>1</v>
      </c>
      <c r="I2898" t="s">
        <v>145</v>
      </c>
      <c r="J2898">
        <v>1</v>
      </c>
      <c r="K2898">
        <v>1</v>
      </c>
      <c r="L2898">
        <v>2</v>
      </c>
      <c r="M2898">
        <v>203</v>
      </c>
      <c r="N2898">
        <v>416</v>
      </c>
      <c r="O2898">
        <v>11</v>
      </c>
      <c r="P2898" t="s">
        <v>315</v>
      </c>
      <c r="Q2898">
        <v>32</v>
      </c>
      <c r="R2898">
        <v>33</v>
      </c>
      <c r="S2898">
        <v>8</v>
      </c>
      <c r="T2898">
        <v>10</v>
      </c>
      <c r="U2898">
        <v>24</v>
      </c>
      <c r="V2898">
        <v>2</v>
      </c>
      <c r="W2898">
        <v>13</v>
      </c>
      <c r="X2898">
        <v>6</v>
      </c>
      <c r="Y2898">
        <v>246</v>
      </c>
      <c r="Z2898">
        <v>6</v>
      </c>
      <c r="AA2898">
        <v>6</v>
      </c>
      <c r="AB2898">
        <v>6</v>
      </c>
      <c r="AC2898">
        <v>2</v>
      </c>
      <c r="AD2898">
        <v>1</v>
      </c>
      <c r="AE2898">
        <v>0</v>
      </c>
      <c r="AF2898">
        <v>0</v>
      </c>
      <c r="AK2898">
        <v>10</v>
      </c>
      <c r="AL2898">
        <v>3</v>
      </c>
      <c r="AM2898">
        <v>2</v>
      </c>
      <c r="AN2898">
        <v>0</v>
      </c>
      <c r="AT2898">
        <v>0</v>
      </c>
      <c r="AU2898">
        <v>6</v>
      </c>
      <c r="AV2898">
        <v>416</v>
      </c>
      <c r="AW2898">
        <v>416</v>
      </c>
      <c r="AX2898">
        <v>622</v>
      </c>
      <c r="BA2898">
        <v>1</v>
      </c>
      <c r="BC2898" t="s">
        <v>5898</v>
      </c>
      <c r="BD2898" s="4">
        <v>43282.944537037038</v>
      </c>
      <c r="BE2898" s="4">
        <v>43282.950706018521</v>
      </c>
      <c r="BF2898" s="4">
        <v>43282.950706018521</v>
      </c>
      <c r="BG2898" t="s">
        <v>373</v>
      </c>
      <c r="BH2898" t="s">
        <v>374</v>
      </c>
      <c r="BI2898" t="s">
        <v>85</v>
      </c>
    </row>
    <row r="2899" spans="1:61" x14ac:dyDescent="0.3">
      <c r="A2899" t="str">
        <f>"200470E0200"</f>
        <v>200470E0200</v>
      </c>
      <c r="B2899" s="2" t="s">
        <v>5899</v>
      </c>
      <c r="C2899">
        <v>20</v>
      </c>
      <c r="D2899" t="s">
        <v>79</v>
      </c>
      <c r="E2899">
        <v>14</v>
      </c>
      <c r="F2899" t="s">
        <v>5455</v>
      </c>
      <c r="G2899">
        <v>470</v>
      </c>
      <c r="H2899">
        <v>2</v>
      </c>
      <c r="I2899" t="s">
        <v>145</v>
      </c>
      <c r="J2899">
        <v>0</v>
      </c>
      <c r="K2899">
        <v>1</v>
      </c>
      <c r="L2899">
        <v>2</v>
      </c>
      <c r="M2899">
        <v>240</v>
      </c>
      <c r="N2899">
        <v>386</v>
      </c>
      <c r="O2899">
        <v>9</v>
      </c>
      <c r="P2899">
        <v>386</v>
      </c>
      <c r="Q2899">
        <v>34</v>
      </c>
      <c r="R2899">
        <v>37</v>
      </c>
      <c r="S2899">
        <v>9</v>
      </c>
      <c r="T2899">
        <v>11</v>
      </c>
      <c r="U2899">
        <v>22</v>
      </c>
      <c r="V2899">
        <v>8</v>
      </c>
      <c r="W2899">
        <v>8</v>
      </c>
      <c r="X2899">
        <v>3</v>
      </c>
      <c r="Y2899">
        <v>208</v>
      </c>
      <c r="Z2899">
        <v>9</v>
      </c>
      <c r="AA2899">
        <v>2</v>
      </c>
      <c r="AB2899">
        <v>13</v>
      </c>
      <c r="AC2899">
        <v>0</v>
      </c>
      <c r="AD2899">
        <v>1</v>
      </c>
      <c r="AE2899">
        <v>1</v>
      </c>
      <c r="AF2899">
        <v>0</v>
      </c>
      <c r="AK2899">
        <v>6</v>
      </c>
      <c r="AL2899">
        <v>5</v>
      </c>
      <c r="AM2899">
        <v>0</v>
      </c>
      <c r="AN2899">
        <v>2</v>
      </c>
      <c r="AT2899">
        <v>0</v>
      </c>
      <c r="AU2899">
        <v>7</v>
      </c>
      <c r="AV2899">
        <v>386</v>
      </c>
      <c r="AW2899">
        <v>386</v>
      </c>
      <c r="AX2899">
        <v>604</v>
      </c>
      <c r="BA2899">
        <v>1</v>
      </c>
      <c r="BC2899" t="s">
        <v>5900</v>
      </c>
      <c r="BD2899" s="4">
        <v>43282.91646990741</v>
      </c>
      <c r="BE2899" s="4">
        <v>43282.919930555552</v>
      </c>
      <c r="BF2899" s="4">
        <v>43282.919930555552</v>
      </c>
      <c r="BG2899" t="s">
        <v>373</v>
      </c>
      <c r="BH2899" t="s">
        <v>374</v>
      </c>
      <c r="BI2899" t="s">
        <v>85</v>
      </c>
    </row>
    <row r="2900" spans="1:61" x14ac:dyDescent="0.3">
      <c r="A2900" t="str">
        <f>"200470E0300"</f>
        <v>200470E0300</v>
      </c>
      <c r="B2900" s="2" t="s">
        <v>5901</v>
      </c>
      <c r="C2900">
        <v>20</v>
      </c>
      <c r="D2900" t="s">
        <v>79</v>
      </c>
      <c r="E2900">
        <v>14</v>
      </c>
      <c r="F2900" t="s">
        <v>5455</v>
      </c>
      <c r="G2900">
        <v>470</v>
      </c>
      <c r="H2900">
        <v>3</v>
      </c>
      <c r="I2900" t="s">
        <v>145</v>
      </c>
      <c r="J2900">
        <v>0</v>
      </c>
      <c r="K2900">
        <v>1</v>
      </c>
      <c r="L2900">
        <v>2</v>
      </c>
      <c r="M2900">
        <v>168</v>
      </c>
      <c r="N2900">
        <v>238</v>
      </c>
      <c r="O2900">
        <v>9</v>
      </c>
      <c r="P2900">
        <v>238</v>
      </c>
      <c r="Q2900">
        <v>16</v>
      </c>
      <c r="R2900">
        <v>24</v>
      </c>
      <c r="S2900">
        <v>8</v>
      </c>
      <c r="T2900">
        <v>10</v>
      </c>
      <c r="U2900">
        <v>11</v>
      </c>
      <c r="V2900">
        <v>2</v>
      </c>
      <c r="W2900">
        <v>9</v>
      </c>
      <c r="X2900">
        <v>2</v>
      </c>
      <c r="Y2900">
        <v>136</v>
      </c>
      <c r="Z2900">
        <v>3</v>
      </c>
      <c r="AA2900">
        <v>2</v>
      </c>
      <c r="AB2900">
        <v>8</v>
      </c>
      <c r="AC2900">
        <v>2</v>
      </c>
      <c r="AD2900">
        <v>0</v>
      </c>
      <c r="AE2900">
        <v>0</v>
      </c>
      <c r="AF2900">
        <v>0</v>
      </c>
      <c r="AK2900">
        <v>1</v>
      </c>
      <c r="AL2900">
        <v>0</v>
      </c>
      <c r="AM2900">
        <v>0</v>
      </c>
      <c r="AN2900">
        <v>1</v>
      </c>
      <c r="AT2900">
        <v>0</v>
      </c>
      <c r="AU2900">
        <v>3</v>
      </c>
      <c r="AV2900">
        <v>238</v>
      </c>
      <c r="AW2900">
        <v>238</v>
      </c>
      <c r="AX2900">
        <v>386</v>
      </c>
      <c r="BA2900">
        <v>1</v>
      </c>
      <c r="BC2900" t="s">
        <v>5902</v>
      </c>
      <c r="BD2900" s="4">
        <v>43283.231944444444</v>
      </c>
      <c r="BE2900" s="4">
        <v>43283.26</v>
      </c>
      <c r="BF2900" s="4">
        <v>43283.26</v>
      </c>
      <c r="BG2900" t="s">
        <v>83</v>
      </c>
      <c r="BH2900" t="s">
        <v>84</v>
      </c>
      <c r="BI2900" t="s">
        <v>85</v>
      </c>
    </row>
    <row r="2901" spans="1:61" x14ac:dyDescent="0.3">
      <c r="A2901" t="str">
        <f>"200470E0301"</f>
        <v>200470E0301</v>
      </c>
      <c r="B2901" s="2" t="s">
        <v>5903</v>
      </c>
      <c r="C2901">
        <v>20</v>
      </c>
      <c r="D2901" t="s">
        <v>79</v>
      </c>
      <c r="E2901">
        <v>14</v>
      </c>
      <c r="F2901" t="s">
        <v>5455</v>
      </c>
      <c r="G2901">
        <v>470</v>
      </c>
      <c r="H2901">
        <v>3</v>
      </c>
      <c r="I2901" t="s">
        <v>145</v>
      </c>
      <c r="J2901">
        <v>1</v>
      </c>
      <c r="K2901">
        <v>1</v>
      </c>
      <c r="L2901">
        <v>2</v>
      </c>
      <c r="AX2901">
        <v>385</v>
      </c>
      <c r="AZ2901" t="s">
        <v>156</v>
      </c>
      <c r="BA2901">
        <v>0</v>
      </c>
      <c r="BC2901" t="s">
        <v>5904</v>
      </c>
      <c r="BD2901" s="4">
        <v>43283.794444444444</v>
      </c>
      <c r="BE2901" s="4">
        <v>43283.801631944443</v>
      </c>
      <c r="BF2901" s="4">
        <v>43283.801631944443</v>
      </c>
      <c r="BG2901" t="s">
        <v>83</v>
      </c>
      <c r="BH2901" t="s">
        <v>84</v>
      </c>
      <c r="BI2901" t="s">
        <v>85</v>
      </c>
    </row>
    <row r="2902" spans="1:61" x14ac:dyDescent="0.3">
      <c r="A2902" t="str">
        <f>"200470E0400"</f>
        <v>200470E0400</v>
      </c>
      <c r="B2902" s="2" t="s">
        <v>5905</v>
      </c>
      <c r="C2902">
        <v>20</v>
      </c>
      <c r="D2902" t="s">
        <v>79</v>
      </c>
      <c r="E2902">
        <v>14</v>
      </c>
      <c r="F2902" t="s">
        <v>5455</v>
      </c>
      <c r="G2902">
        <v>470</v>
      </c>
      <c r="H2902">
        <v>4</v>
      </c>
      <c r="I2902" t="s">
        <v>145</v>
      </c>
      <c r="J2902">
        <v>0</v>
      </c>
      <c r="K2902">
        <v>1</v>
      </c>
      <c r="L2902">
        <v>2</v>
      </c>
      <c r="M2902">
        <v>245</v>
      </c>
      <c r="N2902">
        <v>327</v>
      </c>
      <c r="O2902">
        <v>7</v>
      </c>
      <c r="P2902">
        <v>327</v>
      </c>
      <c r="Q2902">
        <v>29</v>
      </c>
      <c r="R2902">
        <v>42</v>
      </c>
      <c r="S2902">
        <v>6</v>
      </c>
      <c r="T2902">
        <v>4</v>
      </c>
      <c r="U2902">
        <v>11</v>
      </c>
      <c r="V2902">
        <v>4</v>
      </c>
      <c r="W2902">
        <v>3</v>
      </c>
      <c r="X2902">
        <v>3</v>
      </c>
      <c r="Y2902">
        <v>192</v>
      </c>
      <c r="Z2902">
        <v>8</v>
      </c>
      <c r="AA2902">
        <v>1</v>
      </c>
      <c r="AB2902">
        <v>12</v>
      </c>
      <c r="AC2902">
        <v>1</v>
      </c>
      <c r="AD2902">
        <v>0</v>
      </c>
      <c r="AE2902">
        <v>0</v>
      </c>
      <c r="AF2902">
        <v>0</v>
      </c>
      <c r="AK2902">
        <v>3</v>
      </c>
      <c r="AL2902">
        <v>1</v>
      </c>
      <c r="AM2902">
        <v>0</v>
      </c>
      <c r="AN2902">
        <v>1</v>
      </c>
      <c r="AT2902">
        <v>0</v>
      </c>
      <c r="AU2902">
        <v>6</v>
      </c>
      <c r="AV2902">
        <v>327</v>
      </c>
      <c r="AW2902">
        <v>327</v>
      </c>
      <c r="AX2902">
        <v>550</v>
      </c>
      <c r="BA2902">
        <v>1</v>
      </c>
      <c r="BC2902" t="s">
        <v>5906</v>
      </c>
      <c r="BD2902" s="4">
        <v>43283.143055555556</v>
      </c>
      <c r="BE2902" s="4">
        <v>43283.150381944448</v>
      </c>
      <c r="BF2902" s="4">
        <v>43283.150381944448</v>
      </c>
      <c r="BG2902" t="s">
        <v>83</v>
      </c>
      <c r="BH2902" t="s">
        <v>84</v>
      </c>
      <c r="BI2902" t="s">
        <v>85</v>
      </c>
    </row>
    <row r="2903" spans="1:61" x14ac:dyDescent="0.3">
      <c r="A2903" t="str">
        <f>"200470E0401"</f>
        <v>200470E0401</v>
      </c>
      <c r="B2903" s="2" t="s">
        <v>5907</v>
      </c>
      <c r="C2903">
        <v>20</v>
      </c>
      <c r="D2903" t="s">
        <v>79</v>
      </c>
      <c r="E2903">
        <v>14</v>
      </c>
      <c r="F2903" t="s">
        <v>5455</v>
      </c>
      <c r="G2903">
        <v>470</v>
      </c>
      <c r="H2903">
        <v>4</v>
      </c>
      <c r="I2903" t="s">
        <v>145</v>
      </c>
      <c r="J2903">
        <v>1</v>
      </c>
      <c r="K2903">
        <v>1</v>
      </c>
      <c r="L2903">
        <v>2</v>
      </c>
      <c r="M2903">
        <v>224</v>
      </c>
      <c r="N2903">
        <v>349</v>
      </c>
      <c r="O2903">
        <v>5</v>
      </c>
      <c r="P2903">
        <v>349</v>
      </c>
      <c r="Q2903">
        <v>37</v>
      </c>
      <c r="R2903">
        <v>62</v>
      </c>
      <c r="S2903">
        <v>8</v>
      </c>
      <c r="T2903">
        <v>7</v>
      </c>
      <c r="U2903">
        <v>13</v>
      </c>
      <c r="V2903">
        <v>2</v>
      </c>
      <c r="W2903">
        <v>7</v>
      </c>
      <c r="X2903">
        <v>1</v>
      </c>
      <c r="Y2903">
        <v>169</v>
      </c>
      <c r="Z2903">
        <v>10</v>
      </c>
      <c r="AA2903">
        <v>4</v>
      </c>
      <c r="AB2903">
        <v>11</v>
      </c>
      <c r="AC2903">
        <v>0</v>
      </c>
      <c r="AD2903">
        <v>0</v>
      </c>
      <c r="AE2903">
        <v>0</v>
      </c>
      <c r="AF2903">
        <v>0</v>
      </c>
      <c r="AK2903">
        <v>6</v>
      </c>
      <c r="AL2903">
        <v>1</v>
      </c>
      <c r="AM2903">
        <v>0</v>
      </c>
      <c r="AN2903">
        <v>0</v>
      </c>
      <c r="AT2903">
        <v>0</v>
      </c>
      <c r="AU2903">
        <v>10</v>
      </c>
      <c r="AV2903">
        <v>349</v>
      </c>
      <c r="AW2903">
        <v>348</v>
      </c>
      <c r="AX2903">
        <v>550</v>
      </c>
      <c r="BA2903">
        <v>1</v>
      </c>
      <c r="BC2903" t="s">
        <v>5908</v>
      </c>
      <c r="BD2903" s="4">
        <v>43283.163194444445</v>
      </c>
      <c r="BE2903" s="4">
        <v>43283.175127314818</v>
      </c>
      <c r="BF2903" s="4">
        <v>43283.175127314818</v>
      </c>
      <c r="BG2903" t="s">
        <v>83</v>
      </c>
      <c r="BH2903" t="s">
        <v>84</v>
      </c>
      <c r="BI2903" t="s">
        <v>85</v>
      </c>
    </row>
    <row r="2904" spans="1:61" x14ac:dyDescent="0.3">
      <c r="A2904" t="str">
        <f>"200470E0402"</f>
        <v>200470E0402</v>
      </c>
      <c r="B2904" s="2" t="s">
        <v>5909</v>
      </c>
      <c r="C2904">
        <v>20</v>
      </c>
      <c r="D2904" t="s">
        <v>79</v>
      </c>
      <c r="E2904">
        <v>14</v>
      </c>
      <c r="F2904" t="s">
        <v>5455</v>
      </c>
      <c r="G2904">
        <v>470</v>
      </c>
      <c r="H2904">
        <v>4</v>
      </c>
      <c r="I2904" t="s">
        <v>145</v>
      </c>
      <c r="J2904">
        <v>2</v>
      </c>
      <c r="K2904">
        <v>1</v>
      </c>
      <c r="L2904">
        <v>2</v>
      </c>
      <c r="M2904">
        <v>218</v>
      </c>
      <c r="N2904">
        <v>355</v>
      </c>
      <c r="O2904">
        <v>9</v>
      </c>
      <c r="P2904">
        <v>352</v>
      </c>
      <c r="Q2904">
        <v>43</v>
      </c>
      <c r="R2904">
        <v>52</v>
      </c>
      <c r="S2904">
        <v>6</v>
      </c>
      <c r="T2904">
        <v>7</v>
      </c>
      <c r="U2904">
        <v>9</v>
      </c>
      <c r="V2904">
        <v>2</v>
      </c>
      <c r="W2904">
        <v>3</v>
      </c>
      <c r="X2904">
        <v>2</v>
      </c>
      <c r="Y2904">
        <v>178</v>
      </c>
      <c r="Z2904">
        <v>3</v>
      </c>
      <c r="AA2904">
        <v>1</v>
      </c>
      <c r="AB2904">
        <v>18</v>
      </c>
      <c r="AC2904">
        <v>1</v>
      </c>
      <c r="AD2904">
        <v>0</v>
      </c>
      <c r="AE2904">
        <v>0</v>
      </c>
      <c r="AF2904">
        <v>0</v>
      </c>
      <c r="AK2904">
        <v>4</v>
      </c>
      <c r="AL2904">
        <v>1</v>
      </c>
      <c r="AM2904">
        <v>0</v>
      </c>
      <c r="AN2904">
        <v>0</v>
      </c>
      <c r="AT2904" t="s">
        <v>100</v>
      </c>
      <c r="AU2904">
        <v>22</v>
      </c>
      <c r="AV2904">
        <v>352</v>
      </c>
      <c r="AW2904">
        <v>352</v>
      </c>
      <c r="AX2904">
        <v>550</v>
      </c>
      <c r="AZ2904" t="s">
        <v>101</v>
      </c>
      <c r="BA2904">
        <v>1</v>
      </c>
      <c r="BC2904" t="s">
        <v>5910</v>
      </c>
      <c r="BD2904" s="4">
        <v>43283.164583333331</v>
      </c>
      <c r="BE2904" s="4">
        <v>43283.178032407406</v>
      </c>
      <c r="BF2904" s="4">
        <v>43283.178032407406</v>
      </c>
      <c r="BG2904" t="s">
        <v>83</v>
      </c>
      <c r="BH2904" t="s">
        <v>84</v>
      </c>
      <c r="BI2904" t="s">
        <v>85</v>
      </c>
    </row>
    <row r="2905" spans="1:61" x14ac:dyDescent="0.3">
      <c r="A2905" t="str">
        <f>"200470E0500"</f>
        <v>200470E0500</v>
      </c>
      <c r="B2905" s="2" t="s">
        <v>5911</v>
      </c>
      <c r="C2905">
        <v>20</v>
      </c>
      <c r="D2905" t="s">
        <v>79</v>
      </c>
      <c r="E2905">
        <v>14</v>
      </c>
      <c r="F2905" t="s">
        <v>5455</v>
      </c>
      <c r="G2905">
        <v>470</v>
      </c>
      <c r="H2905">
        <v>5</v>
      </c>
      <c r="I2905" t="s">
        <v>145</v>
      </c>
      <c r="J2905">
        <v>0</v>
      </c>
      <c r="K2905">
        <v>1</v>
      </c>
      <c r="L2905">
        <v>2</v>
      </c>
      <c r="M2905">
        <v>171</v>
      </c>
      <c r="N2905">
        <v>292</v>
      </c>
      <c r="O2905">
        <v>7</v>
      </c>
      <c r="P2905">
        <v>287</v>
      </c>
      <c r="Q2905">
        <v>38</v>
      </c>
      <c r="R2905">
        <v>36</v>
      </c>
      <c r="S2905">
        <v>7</v>
      </c>
      <c r="T2905">
        <v>12</v>
      </c>
      <c r="U2905">
        <v>10</v>
      </c>
      <c r="V2905">
        <v>2</v>
      </c>
      <c r="W2905">
        <v>8</v>
      </c>
      <c r="X2905">
        <v>4</v>
      </c>
      <c r="Y2905">
        <v>140</v>
      </c>
      <c r="Z2905">
        <v>2</v>
      </c>
      <c r="AA2905">
        <v>0</v>
      </c>
      <c r="AB2905">
        <v>7</v>
      </c>
      <c r="AC2905">
        <v>0</v>
      </c>
      <c r="AD2905">
        <v>0</v>
      </c>
      <c r="AE2905">
        <v>0</v>
      </c>
      <c r="AF2905">
        <v>0</v>
      </c>
      <c r="AK2905">
        <v>7</v>
      </c>
      <c r="AL2905">
        <v>0</v>
      </c>
      <c r="AM2905">
        <v>0</v>
      </c>
      <c r="AN2905">
        <v>1</v>
      </c>
      <c r="AT2905">
        <v>0</v>
      </c>
      <c r="AU2905">
        <v>13</v>
      </c>
      <c r="AV2905">
        <v>287</v>
      </c>
      <c r="AW2905">
        <v>287</v>
      </c>
      <c r="AX2905">
        <v>436</v>
      </c>
      <c r="BA2905">
        <v>1</v>
      </c>
      <c r="BC2905" t="s">
        <v>5912</v>
      </c>
      <c r="BD2905" s="4">
        <v>43283.002511574072</v>
      </c>
      <c r="BE2905" s="4">
        <v>43283.005173611113</v>
      </c>
      <c r="BF2905" s="4">
        <v>43283.005173611113</v>
      </c>
      <c r="BG2905" t="s">
        <v>373</v>
      </c>
      <c r="BH2905" t="s">
        <v>374</v>
      </c>
      <c r="BI2905" t="s">
        <v>85</v>
      </c>
    </row>
    <row r="2906" spans="1:61" x14ac:dyDescent="0.3">
      <c r="A2906" t="str">
        <f>"200470E0501"</f>
        <v>200470E0501</v>
      </c>
      <c r="B2906" s="2" t="s">
        <v>5913</v>
      </c>
      <c r="C2906">
        <v>20</v>
      </c>
      <c r="D2906" t="s">
        <v>79</v>
      </c>
      <c r="E2906">
        <v>14</v>
      </c>
      <c r="F2906" t="s">
        <v>5455</v>
      </c>
      <c r="G2906">
        <v>470</v>
      </c>
      <c r="H2906">
        <v>5</v>
      </c>
      <c r="I2906" t="s">
        <v>145</v>
      </c>
      <c r="J2906">
        <v>1</v>
      </c>
      <c r="K2906">
        <v>1</v>
      </c>
      <c r="L2906">
        <v>2</v>
      </c>
      <c r="M2906">
        <v>166</v>
      </c>
      <c r="N2906">
        <v>291</v>
      </c>
      <c r="O2906">
        <v>12</v>
      </c>
      <c r="P2906" t="s">
        <v>315</v>
      </c>
      <c r="Q2906">
        <v>31</v>
      </c>
      <c r="R2906">
        <v>45</v>
      </c>
      <c r="S2906">
        <v>6</v>
      </c>
      <c r="T2906">
        <v>13</v>
      </c>
      <c r="U2906">
        <v>13</v>
      </c>
      <c r="V2906">
        <v>2</v>
      </c>
      <c r="W2906">
        <v>6</v>
      </c>
      <c r="X2906">
        <v>4</v>
      </c>
      <c r="Y2906">
        <v>143</v>
      </c>
      <c r="Z2906">
        <v>4</v>
      </c>
      <c r="AA2906">
        <v>1</v>
      </c>
      <c r="AB2906">
        <v>10</v>
      </c>
      <c r="AC2906">
        <v>1</v>
      </c>
      <c r="AD2906">
        <v>0</v>
      </c>
      <c r="AE2906">
        <v>1</v>
      </c>
      <c r="AF2906">
        <v>1</v>
      </c>
      <c r="AK2906">
        <v>5</v>
      </c>
      <c r="AL2906">
        <v>1</v>
      </c>
      <c r="AM2906">
        <v>0</v>
      </c>
      <c r="AN2906">
        <v>1</v>
      </c>
      <c r="AT2906">
        <v>0</v>
      </c>
      <c r="AU2906">
        <v>6</v>
      </c>
      <c r="AV2906">
        <v>298</v>
      </c>
      <c r="AW2906">
        <v>294</v>
      </c>
      <c r="AX2906">
        <v>435</v>
      </c>
      <c r="BA2906">
        <v>1</v>
      </c>
      <c r="BC2906" t="s">
        <v>5914</v>
      </c>
      <c r="BD2906" s="4">
        <v>43282.999120370368</v>
      </c>
      <c r="BE2906" s="4">
        <v>43283.003136574072</v>
      </c>
      <c r="BF2906" s="4">
        <v>43283.003136574072</v>
      </c>
      <c r="BG2906" t="s">
        <v>373</v>
      </c>
      <c r="BH2906" t="s">
        <v>374</v>
      </c>
      <c r="BI2906" t="s">
        <v>85</v>
      </c>
    </row>
    <row r="2907" spans="1:61" x14ac:dyDescent="0.3">
      <c r="A2907" t="str">
        <f>"200470E0600"</f>
        <v>200470E0600</v>
      </c>
      <c r="B2907" s="2" t="s">
        <v>5915</v>
      </c>
      <c r="C2907">
        <v>20</v>
      </c>
      <c r="D2907" t="s">
        <v>79</v>
      </c>
      <c r="E2907">
        <v>14</v>
      </c>
      <c r="F2907" t="s">
        <v>5455</v>
      </c>
      <c r="G2907">
        <v>470</v>
      </c>
      <c r="H2907">
        <v>6</v>
      </c>
      <c r="I2907" t="s">
        <v>145</v>
      </c>
      <c r="J2907">
        <v>0</v>
      </c>
      <c r="K2907">
        <v>1</v>
      </c>
      <c r="L2907">
        <v>2</v>
      </c>
      <c r="M2907" t="s">
        <v>100</v>
      </c>
      <c r="N2907" t="s">
        <v>315</v>
      </c>
      <c r="O2907">
        <v>7</v>
      </c>
      <c r="P2907" t="s">
        <v>100</v>
      </c>
      <c r="Q2907">
        <v>31</v>
      </c>
      <c r="R2907">
        <v>46</v>
      </c>
      <c r="S2907">
        <v>5</v>
      </c>
      <c r="T2907">
        <v>12</v>
      </c>
      <c r="U2907">
        <v>21</v>
      </c>
      <c r="V2907">
        <v>1</v>
      </c>
      <c r="W2907">
        <v>5</v>
      </c>
      <c r="X2907">
        <v>6</v>
      </c>
      <c r="Y2907">
        <v>163</v>
      </c>
      <c r="Z2907">
        <v>0</v>
      </c>
      <c r="AA2907">
        <v>2</v>
      </c>
      <c r="AB2907">
        <v>7</v>
      </c>
      <c r="AC2907">
        <v>2</v>
      </c>
      <c r="AD2907">
        <v>0</v>
      </c>
      <c r="AE2907">
        <v>0</v>
      </c>
      <c r="AF2907">
        <v>1</v>
      </c>
      <c r="AK2907">
        <v>6</v>
      </c>
      <c r="AL2907">
        <v>2</v>
      </c>
      <c r="AM2907">
        <v>0</v>
      </c>
      <c r="AN2907">
        <v>0</v>
      </c>
      <c r="AT2907">
        <v>0</v>
      </c>
      <c r="AU2907">
        <v>14</v>
      </c>
      <c r="AV2907">
        <v>164</v>
      </c>
      <c r="AW2907">
        <v>324</v>
      </c>
      <c r="AX2907">
        <v>465</v>
      </c>
      <c r="BA2907">
        <v>1</v>
      </c>
      <c r="BC2907" t="s">
        <v>5916</v>
      </c>
      <c r="BD2907" s="4">
        <v>43282.95385416667</v>
      </c>
      <c r="BE2907" s="4">
        <v>43282.957881944443</v>
      </c>
      <c r="BF2907" s="4">
        <v>43282.957881944443</v>
      </c>
      <c r="BG2907" t="s">
        <v>373</v>
      </c>
      <c r="BH2907" t="s">
        <v>374</v>
      </c>
      <c r="BI2907" t="s">
        <v>85</v>
      </c>
    </row>
    <row r="2908" spans="1:61" x14ac:dyDescent="0.3">
      <c r="A2908" t="str">
        <f>"200470E0601"</f>
        <v>200470E0601</v>
      </c>
      <c r="B2908" s="2" t="s">
        <v>5917</v>
      </c>
      <c r="C2908">
        <v>20</v>
      </c>
      <c r="D2908" t="s">
        <v>79</v>
      </c>
      <c r="E2908">
        <v>14</v>
      </c>
      <c r="F2908" t="s">
        <v>5455</v>
      </c>
      <c r="G2908">
        <v>470</v>
      </c>
      <c r="H2908">
        <v>6</v>
      </c>
      <c r="I2908" t="s">
        <v>145</v>
      </c>
      <c r="J2908">
        <v>1</v>
      </c>
      <c r="K2908">
        <v>1</v>
      </c>
      <c r="L2908">
        <v>2</v>
      </c>
      <c r="M2908">
        <v>164</v>
      </c>
      <c r="N2908">
        <v>321</v>
      </c>
      <c r="O2908">
        <v>4</v>
      </c>
      <c r="P2908">
        <v>321</v>
      </c>
      <c r="Q2908">
        <v>33</v>
      </c>
      <c r="R2908">
        <v>26</v>
      </c>
      <c r="S2908">
        <v>4</v>
      </c>
      <c r="T2908">
        <v>12</v>
      </c>
      <c r="U2908">
        <v>13</v>
      </c>
      <c r="V2908">
        <v>3</v>
      </c>
      <c r="W2908">
        <v>4</v>
      </c>
      <c r="X2908">
        <v>3</v>
      </c>
      <c r="Y2908">
        <v>185</v>
      </c>
      <c r="Z2908">
        <v>3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K2908">
        <v>7</v>
      </c>
      <c r="AL2908">
        <v>0</v>
      </c>
      <c r="AM2908">
        <v>1</v>
      </c>
      <c r="AN2908">
        <v>1</v>
      </c>
      <c r="AT2908">
        <v>0</v>
      </c>
      <c r="AU2908">
        <v>5</v>
      </c>
      <c r="AV2908">
        <v>300</v>
      </c>
      <c r="AW2908">
        <v>300</v>
      </c>
      <c r="AX2908">
        <v>464</v>
      </c>
      <c r="BA2908">
        <v>1</v>
      </c>
      <c r="BC2908" t="s">
        <v>5918</v>
      </c>
      <c r="BD2908" s="4">
        <v>43282.949386574073</v>
      </c>
      <c r="BE2908" s="4">
        <v>43282.954907407409</v>
      </c>
      <c r="BF2908" s="4">
        <v>43282.954907407409</v>
      </c>
      <c r="BG2908" t="s">
        <v>373</v>
      </c>
      <c r="BH2908" t="s">
        <v>374</v>
      </c>
      <c r="BI2908" t="s">
        <v>85</v>
      </c>
    </row>
    <row r="2909" spans="1:61" x14ac:dyDescent="0.3">
      <c r="A2909" t="str">
        <f>"200471B0100"</f>
        <v>200471B0100</v>
      </c>
      <c r="B2909" t="s">
        <v>5919</v>
      </c>
      <c r="C2909">
        <v>20</v>
      </c>
      <c r="D2909" t="s">
        <v>79</v>
      </c>
      <c r="E2909">
        <v>14</v>
      </c>
      <c r="F2909" t="s">
        <v>5455</v>
      </c>
      <c r="G2909">
        <v>471</v>
      </c>
      <c r="H2909">
        <v>1</v>
      </c>
      <c r="I2909" t="s">
        <v>81</v>
      </c>
      <c r="J2909">
        <v>0</v>
      </c>
      <c r="K2909">
        <v>1</v>
      </c>
      <c r="L2909">
        <v>2</v>
      </c>
      <c r="M2909">
        <v>281</v>
      </c>
      <c r="N2909">
        <v>410</v>
      </c>
      <c r="O2909">
        <v>7</v>
      </c>
      <c r="P2909">
        <v>415</v>
      </c>
      <c r="Q2909">
        <v>30</v>
      </c>
      <c r="R2909">
        <v>68</v>
      </c>
      <c r="S2909">
        <v>11</v>
      </c>
      <c r="T2909">
        <v>11</v>
      </c>
      <c r="U2909">
        <v>21</v>
      </c>
      <c r="V2909">
        <v>9</v>
      </c>
      <c r="W2909">
        <v>6</v>
      </c>
      <c r="X2909">
        <v>10</v>
      </c>
      <c r="Y2909">
        <v>203</v>
      </c>
      <c r="Z2909">
        <v>16</v>
      </c>
      <c r="AA2909">
        <v>3</v>
      </c>
      <c r="AB2909">
        <v>3</v>
      </c>
      <c r="AC2909">
        <v>2</v>
      </c>
      <c r="AD2909">
        <v>0</v>
      </c>
      <c r="AE2909">
        <v>0</v>
      </c>
      <c r="AF2909">
        <v>1</v>
      </c>
      <c r="AK2909">
        <v>3</v>
      </c>
      <c r="AL2909">
        <v>3</v>
      </c>
      <c r="AM2909">
        <v>0</v>
      </c>
      <c r="AN2909">
        <v>1</v>
      </c>
      <c r="AT2909">
        <v>0</v>
      </c>
      <c r="AU2909">
        <v>14</v>
      </c>
      <c r="AV2909">
        <v>415</v>
      </c>
      <c r="AW2909">
        <v>415</v>
      </c>
      <c r="AX2909">
        <v>672</v>
      </c>
      <c r="BA2909">
        <v>1</v>
      </c>
      <c r="BC2909" t="s">
        <v>5920</v>
      </c>
      <c r="BD2909" s="4">
        <v>43283.211805555555</v>
      </c>
      <c r="BE2909" s="4">
        <v>43283.233993055554</v>
      </c>
      <c r="BF2909" s="4">
        <v>43283.233993055554</v>
      </c>
      <c r="BG2909" t="s">
        <v>83</v>
      </c>
      <c r="BH2909" t="s">
        <v>84</v>
      </c>
      <c r="BI2909" t="s">
        <v>85</v>
      </c>
    </row>
    <row r="2910" spans="1:61" x14ac:dyDescent="0.3">
      <c r="A2910" t="str">
        <f>"200471C0100"</f>
        <v>200471C0100</v>
      </c>
      <c r="B2910" t="s">
        <v>5921</v>
      </c>
      <c r="C2910">
        <v>20</v>
      </c>
      <c r="D2910" t="s">
        <v>79</v>
      </c>
      <c r="E2910">
        <v>14</v>
      </c>
      <c r="F2910" t="s">
        <v>5455</v>
      </c>
      <c r="G2910">
        <v>471</v>
      </c>
      <c r="H2910">
        <v>1</v>
      </c>
      <c r="I2910" t="s">
        <v>89</v>
      </c>
      <c r="J2910">
        <v>0</v>
      </c>
      <c r="K2910">
        <v>1</v>
      </c>
      <c r="L2910">
        <v>2</v>
      </c>
      <c r="M2910" t="s">
        <v>315</v>
      </c>
      <c r="N2910" t="s">
        <v>315</v>
      </c>
      <c r="O2910" t="s">
        <v>315</v>
      </c>
      <c r="P2910" t="s">
        <v>315</v>
      </c>
      <c r="Q2910">
        <v>45</v>
      </c>
      <c r="R2910">
        <v>68</v>
      </c>
      <c r="S2910">
        <v>4</v>
      </c>
      <c r="T2910">
        <v>11</v>
      </c>
      <c r="U2910">
        <v>22</v>
      </c>
      <c r="V2910">
        <v>7</v>
      </c>
      <c r="W2910">
        <v>4</v>
      </c>
      <c r="X2910">
        <v>4</v>
      </c>
      <c r="Y2910">
        <v>200</v>
      </c>
      <c r="Z2910">
        <v>6</v>
      </c>
      <c r="AA2910">
        <v>2</v>
      </c>
      <c r="AB2910">
        <v>2</v>
      </c>
      <c r="AC2910">
        <v>1</v>
      </c>
      <c r="AD2910">
        <v>3</v>
      </c>
      <c r="AE2910">
        <v>1</v>
      </c>
      <c r="AF2910">
        <v>0</v>
      </c>
      <c r="AK2910">
        <v>4</v>
      </c>
      <c r="AL2910">
        <v>1</v>
      </c>
      <c r="AM2910">
        <v>1</v>
      </c>
      <c r="AN2910">
        <v>0</v>
      </c>
      <c r="AT2910">
        <v>0</v>
      </c>
      <c r="AU2910">
        <v>0</v>
      </c>
      <c r="AV2910">
        <v>15</v>
      </c>
      <c r="AW2910">
        <v>386</v>
      </c>
      <c r="AX2910">
        <v>672</v>
      </c>
      <c r="BA2910">
        <v>1</v>
      </c>
      <c r="BC2910" t="s">
        <v>5922</v>
      </c>
      <c r="BD2910" s="4">
        <v>43283.227083333331</v>
      </c>
      <c r="BE2910" s="4">
        <v>43283.256458333337</v>
      </c>
      <c r="BF2910" s="4">
        <v>43283.256458333337</v>
      </c>
      <c r="BG2910" t="s">
        <v>83</v>
      </c>
      <c r="BH2910" t="s">
        <v>84</v>
      </c>
      <c r="BI2910" t="s">
        <v>85</v>
      </c>
    </row>
    <row r="2911" spans="1:61" x14ac:dyDescent="0.3">
      <c r="A2911" t="str">
        <f>"200471C0200"</f>
        <v>200471C0200</v>
      </c>
      <c r="B2911" t="s">
        <v>5923</v>
      </c>
      <c r="C2911">
        <v>20</v>
      </c>
      <c r="D2911" t="s">
        <v>79</v>
      </c>
      <c r="E2911">
        <v>14</v>
      </c>
      <c r="F2911" t="s">
        <v>5455</v>
      </c>
      <c r="G2911">
        <v>471</v>
      </c>
      <c r="H2911">
        <v>2</v>
      </c>
      <c r="I2911" t="s">
        <v>89</v>
      </c>
      <c r="J2911">
        <v>0</v>
      </c>
      <c r="K2911">
        <v>1</v>
      </c>
      <c r="L2911">
        <v>2</v>
      </c>
      <c r="M2911">
        <v>265</v>
      </c>
      <c r="N2911">
        <v>13</v>
      </c>
      <c r="O2911">
        <v>13</v>
      </c>
      <c r="P2911">
        <v>429</v>
      </c>
      <c r="Q2911">
        <v>38</v>
      </c>
      <c r="R2911">
        <v>69</v>
      </c>
      <c r="S2911">
        <v>6</v>
      </c>
      <c r="T2911">
        <v>21</v>
      </c>
      <c r="U2911">
        <v>19</v>
      </c>
      <c r="V2911">
        <v>9</v>
      </c>
      <c r="W2911">
        <v>9</v>
      </c>
      <c r="X2911">
        <v>9</v>
      </c>
      <c r="Y2911">
        <v>198</v>
      </c>
      <c r="Z2911">
        <v>5</v>
      </c>
      <c r="AA2911">
        <v>5</v>
      </c>
      <c r="AB2911">
        <v>13</v>
      </c>
      <c r="AC2911">
        <v>1</v>
      </c>
      <c r="AD2911">
        <v>0</v>
      </c>
      <c r="AE2911">
        <v>1</v>
      </c>
      <c r="AF2911">
        <v>0</v>
      </c>
      <c r="AK2911">
        <v>6</v>
      </c>
      <c r="AL2911">
        <v>4</v>
      </c>
      <c r="AM2911">
        <v>0</v>
      </c>
      <c r="AN2911">
        <v>0</v>
      </c>
      <c r="AT2911">
        <v>0</v>
      </c>
      <c r="AU2911">
        <v>16</v>
      </c>
      <c r="AV2911">
        <v>429</v>
      </c>
      <c r="AW2911">
        <v>429</v>
      </c>
      <c r="AX2911">
        <v>672</v>
      </c>
      <c r="BA2911">
        <v>1</v>
      </c>
      <c r="BC2911" t="s">
        <v>5924</v>
      </c>
      <c r="BD2911" s="4">
        <v>43283.251388888886</v>
      </c>
      <c r="BE2911" s="4">
        <v>43283.28638888889</v>
      </c>
      <c r="BF2911" s="4">
        <v>43283.28638888889</v>
      </c>
      <c r="BG2911" t="s">
        <v>83</v>
      </c>
      <c r="BH2911" t="s">
        <v>84</v>
      </c>
      <c r="BI2911" t="s">
        <v>85</v>
      </c>
    </row>
    <row r="2912" spans="1:61" x14ac:dyDescent="0.3">
      <c r="A2912" t="str">
        <f>"200471C0300"</f>
        <v>200471C0300</v>
      </c>
      <c r="B2912" t="s">
        <v>5925</v>
      </c>
      <c r="C2912">
        <v>20</v>
      </c>
      <c r="D2912" t="s">
        <v>79</v>
      </c>
      <c r="E2912">
        <v>14</v>
      </c>
      <c r="F2912" t="s">
        <v>5455</v>
      </c>
      <c r="G2912">
        <v>471</v>
      </c>
      <c r="H2912">
        <v>3</v>
      </c>
      <c r="I2912" t="s">
        <v>89</v>
      </c>
      <c r="J2912">
        <v>0</v>
      </c>
      <c r="K2912">
        <v>1</v>
      </c>
      <c r="L2912">
        <v>2</v>
      </c>
      <c r="M2912">
        <v>264</v>
      </c>
      <c r="N2912">
        <v>429</v>
      </c>
      <c r="O2912">
        <v>8</v>
      </c>
      <c r="P2912">
        <v>429</v>
      </c>
      <c r="Q2912">
        <v>30</v>
      </c>
      <c r="R2912">
        <v>62</v>
      </c>
      <c r="S2912">
        <v>9</v>
      </c>
      <c r="T2912">
        <v>13</v>
      </c>
      <c r="U2912">
        <v>17</v>
      </c>
      <c r="V2912">
        <v>10</v>
      </c>
      <c r="W2912">
        <v>8</v>
      </c>
      <c r="X2912">
        <v>9</v>
      </c>
      <c r="Y2912">
        <v>222</v>
      </c>
      <c r="Z2912">
        <v>5</v>
      </c>
      <c r="AA2912">
        <v>5</v>
      </c>
      <c r="AB2912">
        <v>7</v>
      </c>
      <c r="AC2912">
        <v>2</v>
      </c>
      <c r="AD2912">
        <v>1</v>
      </c>
      <c r="AE2912">
        <v>0</v>
      </c>
      <c r="AF2912">
        <v>0</v>
      </c>
      <c r="AK2912">
        <v>2</v>
      </c>
      <c r="AL2912">
        <v>3</v>
      </c>
      <c r="AM2912">
        <v>0</v>
      </c>
      <c r="AN2912">
        <v>1</v>
      </c>
      <c r="AT2912">
        <v>0</v>
      </c>
      <c r="AU2912">
        <v>26</v>
      </c>
      <c r="AV2912">
        <v>432</v>
      </c>
      <c r="AW2912">
        <v>432</v>
      </c>
      <c r="AX2912">
        <v>672</v>
      </c>
      <c r="BA2912">
        <v>1</v>
      </c>
      <c r="BC2912" t="s">
        <v>5926</v>
      </c>
      <c r="BD2912" s="4">
        <v>43283.259722222225</v>
      </c>
      <c r="BE2912" s="4">
        <v>43283.293819444443</v>
      </c>
      <c r="BF2912" s="4">
        <v>43283.293819444443</v>
      </c>
      <c r="BG2912" t="s">
        <v>83</v>
      </c>
      <c r="BH2912" t="s">
        <v>84</v>
      </c>
      <c r="BI2912" t="s">
        <v>85</v>
      </c>
    </row>
    <row r="2913" spans="1:61" x14ac:dyDescent="0.3">
      <c r="A2913" t="str">
        <f>"200471E0100"</f>
        <v>200471E0100</v>
      </c>
      <c r="B2913" s="2" t="s">
        <v>5927</v>
      </c>
      <c r="C2913">
        <v>20</v>
      </c>
      <c r="D2913" t="s">
        <v>79</v>
      </c>
      <c r="E2913">
        <v>14</v>
      </c>
      <c r="F2913" t="s">
        <v>5455</v>
      </c>
      <c r="G2913">
        <v>471</v>
      </c>
      <c r="H2913">
        <v>1</v>
      </c>
      <c r="I2913" t="s">
        <v>145</v>
      </c>
      <c r="J2913">
        <v>0</v>
      </c>
      <c r="K2913">
        <v>1</v>
      </c>
      <c r="L2913">
        <v>2</v>
      </c>
      <c r="M2913">
        <v>194</v>
      </c>
      <c r="N2913">
        <v>331</v>
      </c>
      <c r="O2913">
        <v>14</v>
      </c>
      <c r="P2913">
        <v>338</v>
      </c>
      <c r="Q2913">
        <v>35</v>
      </c>
      <c r="R2913">
        <v>64</v>
      </c>
      <c r="S2913">
        <v>5</v>
      </c>
      <c r="T2913">
        <v>6</v>
      </c>
      <c r="U2913">
        <v>22</v>
      </c>
      <c r="V2913">
        <v>2</v>
      </c>
      <c r="W2913">
        <v>6</v>
      </c>
      <c r="X2913">
        <v>5</v>
      </c>
      <c r="Y2913">
        <v>164</v>
      </c>
      <c r="Z2913">
        <v>1</v>
      </c>
      <c r="AA2913">
        <v>5</v>
      </c>
      <c r="AB2913">
        <v>3</v>
      </c>
      <c r="AC2913">
        <v>0</v>
      </c>
      <c r="AD2913">
        <v>0</v>
      </c>
      <c r="AE2913">
        <v>0</v>
      </c>
      <c r="AF2913">
        <v>0</v>
      </c>
      <c r="AK2913">
        <v>4</v>
      </c>
      <c r="AL2913">
        <v>3</v>
      </c>
      <c r="AM2913">
        <v>2</v>
      </c>
      <c r="AN2913">
        <v>0</v>
      </c>
      <c r="AT2913">
        <v>0</v>
      </c>
      <c r="AU2913">
        <v>10</v>
      </c>
      <c r="AV2913">
        <v>338</v>
      </c>
      <c r="AW2913">
        <v>337</v>
      </c>
      <c r="AX2913">
        <v>502</v>
      </c>
      <c r="BA2913">
        <v>1</v>
      </c>
      <c r="BC2913" t="s">
        <v>5928</v>
      </c>
      <c r="BD2913" s="4">
        <v>43282.919976851852</v>
      </c>
      <c r="BE2913" s="4">
        <v>43282.924942129626</v>
      </c>
      <c r="BF2913" s="4">
        <v>43282.924942129626</v>
      </c>
      <c r="BG2913" t="s">
        <v>373</v>
      </c>
      <c r="BH2913" t="s">
        <v>374</v>
      </c>
      <c r="BI2913" t="s">
        <v>85</v>
      </c>
    </row>
    <row r="2914" spans="1:61" x14ac:dyDescent="0.3">
      <c r="A2914" t="str">
        <f>"200471E0101"</f>
        <v>200471E0101</v>
      </c>
      <c r="B2914" s="2" t="s">
        <v>5929</v>
      </c>
      <c r="C2914">
        <v>20</v>
      </c>
      <c r="D2914" t="s">
        <v>79</v>
      </c>
      <c r="E2914">
        <v>14</v>
      </c>
      <c r="F2914" t="s">
        <v>5455</v>
      </c>
      <c r="G2914">
        <v>471</v>
      </c>
      <c r="H2914">
        <v>1</v>
      </c>
      <c r="I2914" t="s">
        <v>145</v>
      </c>
      <c r="J2914">
        <v>1</v>
      </c>
      <c r="K2914">
        <v>1</v>
      </c>
      <c r="L2914">
        <v>2</v>
      </c>
      <c r="M2914">
        <v>194</v>
      </c>
      <c r="N2914">
        <v>328</v>
      </c>
      <c r="O2914">
        <v>10</v>
      </c>
      <c r="P2914">
        <v>328</v>
      </c>
      <c r="Q2914">
        <v>33</v>
      </c>
      <c r="R2914">
        <v>58</v>
      </c>
      <c r="S2914">
        <v>7</v>
      </c>
      <c r="T2914">
        <v>7</v>
      </c>
      <c r="U2914">
        <v>11</v>
      </c>
      <c r="V2914">
        <v>5</v>
      </c>
      <c r="W2914">
        <v>4</v>
      </c>
      <c r="X2914">
        <v>5</v>
      </c>
      <c r="Y2914">
        <v>150</v>
      </c>
      <c r="Z2914">
        <v>7</v>
      </c>
      <c r="AA2914">
        <v>2</v>
      </c>
      <c r="AB2914">
        <v>12</v>
      </c>
      <c r="AC2914">
        <v>0</v>
      </c>
      <c r="AD2914">
        <v>0</v>
      </c>
      <c r="AE2914">
        <v>3</v>
      </c>
      <c r="AF2914">
        <v>3</v>
      </c>
      <c r="AK2914">
        <v>1</v>
      </c>
      <c r="AL2914">
        <v>2</v>
      </c>
      <c r="AM2914">
        <v>0</v>
      </c>
      <c r="AN2914">
        <v>3</v>
      </c>
      <c r="AT2914">
        <v>1</v>
      </c>
      <c r="AU2914">
        <v>14</v>
      </c>
      <c r="AV2914">
        <v>328</v>
      </c>
      <c r="AW2914">
        <v>328</v>
      </c>
      <c r="AX2914">
        <v>501</v>
      </c>
      <c r="BA2914">
        <v>1</v>
      </c>
      <c r="BC2914" t="s">
        <v>5930</v>
      </c>
      <c r="BD2914" s="4">
        <v>43283.013726851852</v>
      </c>
      <c r="BE2914" s="4">
        <v>43283.018113425926</v>
      </c>
      <c r="BF2914" s="4">
        <v>43283.018113425926</v>
      </c>
      <c r="BG2914" t="s">
        <v>373</v>
      </c>
      <c r="BH2914" t="s">
        <v>374</v>
      </c>
      <c r="BI2914" t="s">
        <v>85</v>
      </c>
    </row>
    <row r="2915" spans="1:61" x14ac:dyDescent="0.3">
      <c r="A2915" t="str">
        <f>"200471E0102"</f>
        <v>200471E0102</v>
      </c>
      <c r="B2915" s="2" t="s">
        <v>5931</v>
      </c>
      <c r="C2915">
        <v>20</v>
      </c>
      <c r="D2915" t="s">
        <v>79</v>
      </c>
      <c r="E2915">
        <v>14</v>
      </c>
      <c r="F2915" t="s">
        <v>5455</v>
      </c>
      <c r="G2915">
        <v>471</v>
      </c>
      <c r="H2915">
        <v>1</v>
      </c>
      <c r="I2915" t="s">
        <v>145</v>
      </c>
      <c r="J2915">
        <v>2</v>
      </c>
      <c r="K2915">
        <v>1</v>
      </c>
      <c r="L2915">
        <v>2</v>
      </c>
      <c r="M2915">
        <v>211</v>
      </c>
      <c r="N2915">
        <v>313</v>
      </c>
      <c r="O2915">
        <v>11</v>
      </c>
      <c r="P2915">
        <v>278</v>
      </c>
      <c r="Q2915">
        <v>33</v>
      </c>
      <c r="R2915">
        <v>52</v>
      </c>
      <c r="S2915">
        <v>1</v>
      </c>
      <c r="T2915">
        <v>17</v>
      </c>
      <c r="U2915">
        <v>16</v>
      </c>
      <c r="V2915">
        <v>3</v>
      </c>
      <c r="W2915">
        <v>7</v>
      </c>
      <c r="X2915">
        <v>7</v>
      </c>
      <c r="Y2915">
        <v>147</v>
      </c>
      <c r="Z2915">
        <v>3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K2915">
        <v>1</v>
      </c>
      <c r="AL2915">
        <v>0</v>
      </c>
      <c r="AM2915">
        <v>0</v>
      </c>
      <c r="AN2915">
        <v>1</v>
      </c>
      <c r="AT2915">
        <v>0</v>
      </c>
      <c r="AU2915">
        <v>7</v>
      </c>
      <c r="AV2915">
        <v>287</v>
      </c>
      <c r="AW2915">
        <v>295</v>
      </c>
      <c r="AX2915">
        <v>501</v>
      </c>
      <c r="BA2915">
        <v>1</v>
      </c>
      <c r="BC2915" t="s">
        <v>5932</v>
      </c>
      <c r="BD2915" s="4">
        <v>43282.900891203702</v>
      </c>
      <c r="BE2915" s="4">
        <v>43282.904236111113</v>
      </c>
      <c r="BF2915" s="4">
        <v>43282.904236111113</v>
      </c>
      <c r="BG2915" t="s">
        <v>373</v>
      </c>
      <c r="BH2915" t="s">
        <v>374</v>
      </c>
      <c r="BI2915" t="s">
        <v>85</v>
      </c>
    </row>
    <row r="2916" spans="1:61" x14ac:dyDescent="0.3">
      <c r="A2916" t="str">
        <f>"200471E0200"</f>
        <v>200471E0200</v>
      </c>
      <c r="B2916" s="2" t="s">
        <v>5933</v>
      </c>
      <c r="C2916">
        <v>20</v>
      </c>
      <c r="D2916" t="s">
        <v>79</v>
      </c>
      <c r="E2916">
        <v>14</v>
      </c>
      <c r="F2916" t="s">
        <v>5455</v>
      </c>
      <c r="G2916">
        <v>471</v>
      </c>
      <c r="H2916">
        <v>2</v>
      </c>
      <c r="I2916" t="s">
        <v>145</v>
      </c>
      <c r="J2916">
        <v>0</v>
      </c>
      <c r="K2916">
        <v>1</v>
      </c>
      <c r="L2916">
        <v>2</v>
      </c>
      <c r="M2916">
        <v>300</v>
      </c>
      <c r="N2916">
        <v>422</v>
      </c>
      <c r="O2916">
        <v>4</v>
      </c>
      <c r="P2916">
        <v>422</v>
      </c>
      <c r="Q2916">
        <v>38</v>
      </c>
      <c r="R2916">
        <v>50</v>
      </c>
      <c r="S2916">
        <v>14</v>
      </c>
      <c r="T2916">
        <v>16</v>
      </c>
      <c r="U2916">
        <v>23</v>
      </c>
      <c r="V2916">
        <v>3</v>
      </c>
      <c r="W2916">
        <v>8</v>
      </c>
      <c r="X2916">
        <v>4</v>
      </c>
      <c r="Y2916">
        <v>226</v>
      </c>
      <c r="Z2916">
        <v>3</v>
      </c>
      <c r="AA2916">
        <v>3</v>
      </c>
      <c r="AB2916">
        <v>9</v>
      </c>
      <c r="AC2916">
        <v>1</v>
      </c>
      <c r="AD2916">
        <v>2</v>
      </c>
      <c r="AE2916">
        <v>1</v>
      </c>
      <c r="AF2916">
        <v>0</v>
      </c>
      <c r="AK2916">
        <v>7</v>
      </c>
      <c r="AL2916">
        <v>4</v>
      </c>
      <c r="AM2916">
        <v>0</v>
      </c>
      <c r="AN2916">
        <v>1</v>
      </c>
      <c r="AT2916">
        <v>0</v>
      </c>
      <c r="AU2916">
        <v>11</v>
      </c>
      <c r="AV2916">
        <v>424</v>
      </c>
      <c r="AW2916">
        <v>424</v>
      </c>
      <c r="AX2916">
        <v>704</v>
      </c>
      <c r="BA2916">
        <v>1</v>
      </c>
      <c r="BC2916" t="s">
        <v>5934</v>
      </c>
      <c r="BD2916" s="4">
        <v>43283.055902777778</v>
      </c>
      <c r="BE2916" s="4">
        <v>43283.063009259262</v>
      </c>
      <c r="BF2916" s="4">
        <v>43283.063009259262</v>
      </c>
      <c r="BG2916" t="s">
        <v>373</v>
      </c>
      <c r="BH2916" t="s">
        <v>374</v>
      </c>
      <c r="BI2916" t="s">
        <v>85</v>
      </c>
    </row>
    <row r="2917" spans="1:61" x14ac:dyDescent="0.3">
      <c r="A2917" t="str">
        <f>"200471E0201"</f>
        <v>200471E0201</v>
      </c>
      <c r="B2917" s="2" t="s">
        <v>5935</v>
      </c>
      <c r="C2917">
        <v>20</v>
      </c>
      <c r="D2917" t="s">
        <v>79</v>
      </c>
      <c r="E2917">
        <v>14</v>
      </c>
      <c r="F2917" t="s">
        <v>5455</v>
      </c>
      <c r="G2917">
        <v>471</v>
      </c>
      <c r="H2917">
        <v>2</v>
      </c>
      <c r="I2917" t="s">
        <v>145</v>
      </c>
      <c r="J2917">
        <v>1</v>
      </c>
      <c r="K2917">
        <v>1</v>
      </c>
      <c r="L2917">
        <v>2</v>
      </c>
      <c r="M2917">
        <v>305</v>
      </c>
      <c r="N2917">
        <v>419</v>
      </c>
      <c r="O2917">
        <v>8</v>
      </c>
      <c r="P2917">
        <v>422</v>
      </c>
      <c r="Q2917">
        <v>36</v>
      </c>
      <c r="R2917">
        <v>59</v>
      </c>
      <c r="S2917">
        <v>11</v>
      </c>
      <c r="T2917">
        <v>14</v>
      </c>
      <c r="U2917">
        <v>24</v>
      </c>
      <c r="V2917">
        <v>0</v>
      </c>
      <c r="W2917">
        <v>11</v>
      </c>
      <c r="X2917">
        <v>5</v>
      </c>
      <c r="Y2917">
        <v>212</v>
      </c>
      <c r="Z2917">
        <v>5</v>
      </c>
      <c r="AA2917">
        <v>5</v>
      </c>
      <c r="AB2917">
        <v>8</v>
      </c>
      <c r="AC2917">
        <v>1</v>
      </c>
      <c r="AD2917">
        <v>2</v>
      </c>
      <c r="AE2917">
        <v>0</v>
      </c>
      <c r="AF2917">
        <v>0</v>
      </c>
      <c r="AK2917">
        <v>7</v>
      </c>
      <c r="AL2917">
        <v>4</v>
      </c>
      <c r="AM2917">
        <v>0</v>
      </c>
      <c r="AN2917">
        <v>2</v>
      </c>
      <c r="AT2917">
        <v>0</v>
      </c>
      <c r="AU2917">
        <v>16</v>
      </c>
      <c r="AV2917">
        <v>422</v>
      </c>
      <c r="AW2917">
        <v>422</v>
      </c>
      <c r="AX2917">
        <v>704</v>
      </c>
      <c r="BA2917">
        <v>1</v>
      </c>
      <c r="BC2917" t="s">
        <v>5936</v>
      </c>
      <c r="BD2917" s="4">
        <v>43283.057303240741</v>
      </c>
      <c r="BE2917" s="4">
        <v>43283.06181712963</v>
      </c>
      <c r="BF2917" s="4">
        <v>43283.06181712963</v>
      </c>
      <c r="BG2917" t="s">
        <v>373</v>
      </c>
      <c r="BH2917" t="s">
        <v>374</v>
      </c>
      <c r="BI2917" t="s">
        <v>85</v>
      </c>
    </row>
    <row r="2918" spans="1:61" x14ac:dyDescent="0.3">
      <c r="A2918" t="str">
        <f>"200471E0202"</f>
        <v>200471E0202</v>
      </c>
      <c r="B2918" s="2" t="s">
        <v>5937</v>
      </c>
      <c r="C2918">
        <v>20</v>
      </c>
      <c r="D2918" t="s">
        <v>79</v>
      </c>
      <c r="E2918">
        <v>14</v>
      </c>
      <c r="F2918" t="s">
        <v>5455</v>
      </c>
      <c r="G2918">
        <v>471</v>
      </c>
      <c r="H2918">
        <v>2</v>
      </c>
      <c r="I2918" t="s">
        <v>145</v>
      </c>
      <c r="J2918">
        <v>2</v>
      </c>
      <c r="K2918">
        <v>1</v>
      </c>
      <c r="L2918">
        <v>2</v>
      </c>
      <c r="M2918">
        <v>309</v>
      </c>
      <c r="N2918">
        <v>423</v>
      </c>
      <c r="O2918">
        <v>7</v>
      </c>
      <c r="P2918">
        <v>414</v>
      </c>
      <c r="Q2918">
        <v>43</v>
      </c>
      <c r="R2918">
        <v>81</v>
      </c>
      <c r="S2918">
        <v>9</v>
      </c>
      <c r="T2918">
        <v>11</v>
      </c>
      <c r="U2918">
        <v>9</v>
      </c>
      <c r="V2918">
        <v>2</v>
      </c>
      <c r="W2918">
        <v>12</v>
      </c>
      <c r="X2918">
        <v>6</v>
      </c>
      <c r="Y2918">
        <v>193</v>
      </c>
      <c r="Z2918">
        <v>13</v>
      </c>
      <c r="AA2918">
        <v>3</v>
      </c>
      <c r="AB2918">
        <v>7</v>
      </c>
      <c r="AC2918">
        <v>0</v>
      </c>
      <c r="AD2918">
        <v>0</v>
      </c>
      <c r="AE2918">
        <v>0</v>
      </c>
      <c r="AF2918">
        <v>0</v>
      </c>
      <c r="AK2918">
        <v>0</v>
      </c>
      <c r="AL2918">
        <v>0</v>
      </c>
      <c r="AM2918">
        <v>0</v>
      </c>
      <c r="AN2918">
        <v>0</v>
      </c>
      <c r="AT2918">
        <v>0</v>
      </c>
      <c r="AU2918">
        <v>18</v>
      </c>
      <c r="AV2918">
        <v>414</v>
      </c>
      <c r="AW2918">
        <v>407</v>
      </c>
      <c r="AX2918">
        <v>704</v>
      </c>
      <c r="BA2918">
        <v>1</v>
      </c>
      <c r="BC2918" t="s">
        <v>5938</v>
      </c>
      <c r="BD2918" s="4">
        <v>43283.060104166667</v>
      </c>
      <c r="BE2918" s="4">
        <v>43283.06690972222</v>
      </c>
      <c r="BF2918" s="4">
        <v>43283.06690972222</v>
      </c>
      <c r="BG2918" t="s">
        <v>373</v>
      </c>
      <c r="BH2918" t="s">
        <v>374</v>
      </c>
      <c r="BI2918" t="s">
        <v>85</v>
      </c>
    </row>
    <row r="2919" spans="1:61" x14ac:dyDescent="0.3">
      <c r="A2919" t="str">
        <f>"200472B0100"</f>
        <v>200472B0100</v>
      </c>
      <c r="B2919" t="s">
        <v>5939</v>
      </c>
      <c r="C2919">
        <v>20</v>
      </c>
      <c r="D2919" t="s">
        <v>79</v>
      </c>
      <c r="E2919">
        <v>14</v>
      </c>
      <c r="F2919" t="s">
        <v>5455</v>
      </c>
      <c r="G2919">
        <v>472</v>
      </c>
      <c r="H2919">
        <v>1</v>
      </c>
      <c r="I2919" t="s">
        <v>81</v>
      </c>
      <c r="J2919">
        <v>0</v>
      </c>
      <c r="K2919">
        <v>1</v>
      </c>
      <c r="L2919">
        <v>2</v>
      </c>
      <c r="M2919">
        <v>278</v>
      </c>
      <c r="N2919">
        <v>458</v>
      </c>
      <c r="O2919">
        <v>3</v>
      </c>
      <c r="P2919">
        <v>457</v>
      </c>
      <c r="Q2919">
        <v>64</v>
      </c>
      <c r="R2919">
        <v>79</v>
      </c>
      <c r="S2919">
        <v>9</v>
      </c>
      <c r="T2919">
        <v>17</v>
      </c>
      <c r="U2919">
        <v>9</v>
      </c>
      <c r="V2919">
        <v>9</v>
      </c>
      <c r="W2919">
        <v>18</v>
      </c>
      <c r="X2919">
        <v>11</v>
      </c>
      <c r="Y2919">
        <v>198</v>
      </c>
      <c r="Z2919">
        <v>9</v>
      </c>
      <c r="AA2919">
        <v>2</v>
      </c>
      <c r="AB2919">
        <v>12</v>
      </c>
      <c r="AC2919">
        <v>2</v>
      </c>
      <c r="AD2919">
        <v>2</v>
      </c>
      <c r="AE2919">
        <v>0</v>
      </c>
      <c r="AF2919">
        <v>0</v>
      </c>
      <c r="AK2919">
        <v>3</v>
      </c>
      <c r="AL2919">
        <v>0</v>
      </c>
      <c r="AM2919">
        <v>0</v>
      </c>
      <c r="AN2919">
        <v>0</v>
      </c>
      <c r="AT2919">
        <v>0</v>
      </c>
      <c r="AU2919">
        <v>14</v>
      </c>
      <c r="AV2919">
        <v>460</v>
      </c>
      <c r="AW2919">
        <v>458</v>
      </c>
      <c r="AX2919">
        <v>716</v>
      </c>
      <c r="BA2919">
        <v>1</v>
      </c>
      <c r="BC2919" t="s">
        <v>5940</v>
      </c>
      <c r="BD2919" s="4">
        <v>43282.94195601852</v>
      </c>
      <c r="BE2919" s="4">
        <v>43282.948576388888</v>
      </c>
      <c r="BF2919" s="4">
        <v>43282.948576388888</v>
      </c>
      <c r="BG2919" t="s">
        <v>373</v>
      </c>
      <c r="BH2919" t="s">
        <v>374</v>
      </c>
      <c r="BI2919" t="s">
        <v>85</v>
      </c>
    </row>
    <row r="2920" spans="1:61" x14ac:dyDescent="0.3">
      <c r="A2920" t="str">
        <f>"200472C0100"</f>
        <v>200472C0100</v>
      </c>
      <c r="B2920" t="s">
        <v>5941</v>
      </c>
      <c r="C2920">
        <v>20</v>
      </c>
      <c r="D2920" t="s">
        <v>79</v>
      </c>
      <c r="E2920">
        <v>14</v>
      </c>
      <c r="F2920" t="s">
        <v>5455</v>
      </c>
      <c r="G2920">
        <v>472</v>
      </c>
      <c r="H2920">
        <v>1</v>
      </c>
      <c r="I2920" t="s">
        <v>89</v>
      </c>
      <c r="J2920">
        <v>0</v>
      </c>
      <c r="K2920">
        <v>1</v>
      </c>
      <c r="L2920">
        <v>2</v>
      </c>
      <c r="M2920">
        <v>288</v>
      </c>
      <c r="N2920">
        <v>450</v>
      </c>
      <c r="O2920">
        <v>3</v>
      </c>
      <c r="P2920">
        <v>450</v>
      </c>
      <c r="Q2920">
        <v>42</v>
      </c>
      <c r="R2920">
        <v>65</v>
      </c>
      <c r="S2920">
        <v>9</v>
      </c>
      <c r="T2920">
        <v>25</v>
      </c>
      <c r="U2920">
        <v>22</v>
      </c>
      <c r="V2920">
        <v>6</v>
      </c>
      <c r="W2920">
        <v>18</v>
      </c>
      <c r="X2920">
        <v>14</v>
      </c>
      <c r="Y2920">
        <v>212</v>
      </c>
      <c r="Z2920">
        <v>10</v>
      </c>
      <c r="AA2920">
        <v>2</v>
      </c>
      <c r="AB2920">
        <v>7</v>
      </c>
      <c r="AC2920">
        <v>0</v>
      </c>
      <c r="AD2920">
        <v>0</v>
      </c>
      <c r="AE2920">
        <v>0</v>
      </c>
      <c r="AF2920">
        <v>0</v>
      </c>
      <c r="AK2920">
        <v>4</v>
      </c>
      <c r="AL2920">
        <v>0</v>
      </c>
      <c r="AM2920">
        <v>0</v>
      </c>
      <c r="AN2920">
        <v>1</v>
      </c>
      <c r="AT2920">
        <v>1</v>
      </c>
      <c r="AU2920">
        <v>12</v>
      </c>
      <c r="AV2920">
        <v>450</v>
      </c>
      <c r="AW2920">
        <v>450</v>
      </c>
      <c r="AX2920">
        <v>716</v>
      </c>
      <c r="BA2920">
        <v>1</v>
      </c>
      <c r="BC2920" t="s">
        <v>5942</v>
      </c>
      <c r="BD2920" s="4">
        <v>43282.922337962962</v>
      </c>
      <c r="BE2920" s="4">
        <v>43282.926701388889</v>
      </c>
      <c r="BF2920" s="4">
        <v>43282.926701388889</v>
      </c>
      <c r="BG2920" t="s">
        <v>373</v>
      </c>
      <c r="BH2920" t="s">
        <v>374</v>
      </c>
      <c r="BI2920" t="s">
        <v>85</v>
      </c>
    </row>
    <row r="2921" spans="1:61" x14ac:dyDescent="0.3">
      <c r="A2921" t="str">
        <f>"200472C0200"</f>
        <v>200472C0200</v>
      </c>
      <c r="B2921" t="s">
        <v>5943</v>
      </c>
      <c r="C2921">
        <v>20</v>
      </c>
      <c r="D2921" t="s">
        <v>79</v>
      </c>
      <c r="E2921">
        <v>14</v>
      </c>
      <c r="F2921" t="s">
        <v>5455</v>
      </c>
      <c r="G2921">
        <v>472</v>
      </c>
      <c r="H2921">
        <v>2</v>
      </c>
      <c r="I2921" t="s">
        <v>89</v>
      </c>
      <c r="J2921">
        <v>0</v>
      </c>
      <c r="K2921">
        <v>1</v>
      </c>
      <c r="L2921">
        <v>2</v>
      </c>
      <c r="M2921">
        <v>245</v>
      </c>
      <c r="N2921">
        <v>493</v>
      </c>
      <c r="O2921">
        <v>2</v>
      </c>
      <c r="P2921">
        <v>491</v>
      </c>
      <c r="Q2921">
        <v>47</v>
      </c>
      <c r="R2921">
        <v>88</v>
      </c>
      <c r="S2921">
        <v>9</v>
      </c>
      <c r="T2921">
        <v>18</v>
      </c>
      <c r="U2921">
        <v>16</v>
      </c>
      <c r="V2921">
        <v>13</v>
      </c>
      <c r="W2921">
        <v>16</v>
      </c>
      <c r="X2921">
        <v>13</v>
      </c>
      <c r="Y2921">
        <v>228</v>
      </c>
      <c r="Z2921">
        <v>5</v>
      </c>
      <c r="AA2921">
        <v>6</v>
      </c>
      <c r="AB2921">
        <v>15</v>
      </c>
      <c r="AC2921">
        <v>1</v>
      </c>
      <c r="AD2921">
        <v>1</v>
      </c>
      <c r="AE2921">
        <v>0</v>
      </c>
      <c r="AF2921">
        <v>0</v>
      </c>
      <c r="AK2921">
        <v>3</v>
      </c>
      <c r="AL2921">
        <v>1</v>
      </c>
      <c r="AM2921">
        <v>0</v>
      </c>
      <c r="AN2921">
        <v>0</v>
      </c>
      <c r="AT2921">
        <v>0</v>
      </c>
      <c r="AU2921">
        <v>13</v>
      </c>
      <c r="AV2921">
        <v>493</v>
      </c>
      <c r="AW2921">
        <v>493</v>
      </c>
      <c r="AX2921">
        <v>716</v>
      </c>
      <c r="BA2921">
        <v>1</v>
      </c>
      <c r="BC2921" t="s">
        <v>5944</v>
      </c>
      <c r="BD2921" s="4">
        <v>43282.965925925928</v>
      </c>
      <c r="BE2921" s="4">
        <v>43282.970520833333</v>
      </c>
      <c r="BF2921" s="4">
        <v>43282.970520833333</v>
      </c>
      <c r="BG2921" t="s">
        <v>373</v>
      </c>
      <c r="BH2921" t="s">
        <v>374</v>
      </c>
      <c r="BI2921" t="s">
        <v>85</v>
      </c>
    </row>
    <row r="2922" spans="1:61" x14ac:dyDescent="0.3">
      <c r="A2922" t="str">
        <f>"200472C0300"</f>
        <v>200472C0300</v>
      </c>
      <c r="B2922" t="s">
        <v>5945</v>
      </c>
      <c r="C2922">
        <v>20</v>
      </c>
      <c r="D2922" t="s">
        <v>79</v>
      </c>
      <c r="E2922">
        <v>14</v>
      </c>
      <c r="F2922" t="s">
        <v>5455</v>
      </c>
      <c r="G2922">
        <v>472</v>
      </c>
      <c r="H2922">
        <v>3</v>
      </c>
      <c r="I2922" t="s">
        <v>89</v>
      </c>
      <c r="J2922">
        <v>0</v>
      </c>
      <c r="K2922">
        <v>1</v>
      </c>
      <c r="L2922">
        <v>2</v>
      </c>
      <c r="M2922">
        <v>245</v>
      </c>
      <c r="N2922">
        <v>493</v>
      </c>
      <c r="O2922">
        <v>6</v>
      </c>
      <c r="P2922">
        <v>493</v>
      </c>
      <c r="Q2922">
        <v>43</v>
      </c>
      <c r="R2922">
        <v>85</v>
      </c>
      <c r="S2922">
        <v>9</v>
      </c>
      <c r="T2922">
        <v>26</v>
      </c>
      <c r="U2922">
        <v>21</v>
      </c>
      <c r="V2922">
        <v>8</v>
      </c>
      <c r="W2922">
        <v>13</v>
      </c>
      <c r="X2922">
        <v>4</v>
      </c>
      <c r="Y2922">
        <v>249</v>
      </c>
      <c r="Z2922">
        <v>3</v>
      </c>
      <c r="AA2922">
        <v>5</v>
      </c>
      <c r="AB2922">
        <v>6</v>
      </c>
      <c r="AC2922">
        <v>1</v>
      </c>
      <c r="AD2922">
        <v>0</v>
      </c>
      <c r="AE2922">
        <v>0</v>
      </c>
      <c r="AF2922">
        <v>0</v>
      </c>
      <c r="AK2922">
        <v>6</v>
      </c>
      <c r="AL2922">
        <v>2</v>
      </c>
      <c r="AM2922">
        <v>0</v>
      </c>
      <c r="AN2922">
        <v>1</v>
      </c>
      <c r="AT2922">
        <v>0</v>
      </c>
      <c r="AU2922">
        <v>8</v>
      </c>
      <c r="AV2922">
        <v>490</v>
      </c>
      <c r="AW2922">
        <v>490</v>
      </c>
      <c r="AX2922">
        <v>716</v>
      </c>
      <c r="BA2922">
        <v>1</v>
      </c>
      <c r="BC2922" t="s">
        <v>5946</v>
      </c>
      <c r="BD2922" s="4">
        <v>43282.930717592593</v>
      </c>
      <c r="BE2922" s="4">
        <v>43282.934270833335</v>
      </c>
      <c r="BF2922" s="4">
        <v>43282.934270833335</v>
      </c>
      <c r="BG2922" t="s">
        <v>373</v>
      </c>
      <c r="BH2922" t="s">
        <v>374</v>
      </c>
      <c r="BI2922" t="s">
        <v>85</v>
      </c>
    </row>
    <row r="2923" spans="1:61" x14ac:dyDescent="0.3">
      <c r="A2923" t="str">
        <f>"200473B0100"</f>
        <v>200473B0100</v>
      </c>
      <c r="B2923" t="s">
        <v>5947</v>
      </c>
      <c r="C2923">
        <v>20</v>
      </c>
      <c r="D2923" t="s">
        <v>79</v>
      </c>
      <c r="E2923">
        <v>14</v>
      </c>
      <c r="F2923" t="s">
        <v>5455</v>
      </c>
      <c r="G2923">
        <v>473</v>
      </c>
      <c r="H2923">
        <v>1</v>
      </c>
      <c r="I2923" t="s">
        <v>81</v>
      </c>
      <c r="J2923">
        <v>0</v>
      </c>
      <c r="K2923">
        <v>1</v>
      </c>
      <c r="L2923">
        <v>2</v>
      </c>
      <c r="M2923">
        <v>191</v>
      </c>
      <c r="N2923">
        <v>401</v>
      </c>
      <c r="O2923">
        <v>8</v>
      </c>
      <c r="P2923">
        <v>406</v>
      </c>
      <c r="Q2923">
        <v>43</v>
      </c>
      <c r="R2923">
        <v>57</v>
      </c>
      <c r="S2923">
        <v>7</v>
      </c>
      <c r="T2923">
        <v>14</v>
      </c>
      <c r="U2923">
        <v>21</v>
      </c>
      <c r="V2923">
        <v>4</v>
      </c>
      <c r="W2923">
        <v>10</v>
      </c>
      <c r="X2923">
        <v>4</v>
      </c>
      <c r="Y2923">
        <v>212</v>
      </c>
      <c r="Z2923">
        <v>6</v>
      </c>
      <c r="AA2923">
        <v>2</v>
      </c>
      <c r="AB2923">
        <v>2</v>
      </c>
      <c r="AC2923">
        <v>0</v>
      </c>
      <c r="AD2923">
        <v>0</v>
      </c>
      <c r="AE2923">
        <v>0</v>
      </c>
      <c r="AF2923">
        <v>0</v>
      </c>
      <c r="AK2923">
        <v>4</v>
      </c>
      <c r="AL2923">
        <v>1</v>
      </c>
      <c r="AM2923">
        <v>1</v>
      </c>
      <c r="AN2923">
        <v>1</v>
      </c>
      <c r="AT2923">
        <v>0</v>
      </c>
      <c r="AU2923">
        <v>17</v>
      </c>
      <c r="AV2923">
        <v>406</v>
      </c>
      <c r="AW2923">
        <v>406</v>
      </c>
      <c r="AX2923">
        <v>570</v>
      </c>
      <c r="BA2923">
        <v>1</v>
      </c>
      <c r="BC2923" t="s">
        <v>5948</v>
      </c>
      <c r="BD2923" s="4">
        <v>43283.085416666669</v>
      </c>
      <c r="BE2923" s="4">
        <v>43283.091134259259</v>
      </c>
      <c r="BF2923" s="4">
        <v>43283.091134259259</v>
      </c>
      <c r="BG2923" t="s">
        <v>83</v>
      </c>
      <c r="BH2923" t="s">
        <v>84</v>
      </c>
      <c r="BI2923" t="s">
        <v>85</v>
      </c>
    </row>
    <row r="2924" spans="1:61" x14ac:dyDescent="0.3">
      <c r="A2924" t="str">
        <f>"200473C0100"</f>
        <v>200473C0100</v>
      </c>
      <c r="B2924" t="s">
        <v>5949</v>
      </c>
      <c r="C2924">
        <v>20</v>
      </c>
      <c r="D2924" t="s">
        <v>79</v>
      </c>
      <c r="E2924">
        <v>14</v>
      </c>
      <c r="F2924" t="s">
        <v>5455</v>
      </c>
      <c r="G2924">
        <v>473</v>
      </c>
      <c r="H2924">
        <v>1</v>
      </c>
      <c r="I2924" t="s">
        <v>89</v>
      </c>
      <c r="J2924">
        <v>0</v>
      </c>
      <c r="K2924">
        <v>1</v>
      </c>
      <c r="L2924">
        <v>2</v>
      </c>
      <c r="M2924">
        <v>220</v>
      </c>
      <c r="N2924">
        <v>370</v>
      </c>
      <c r="O2924">
        <v>9</v>
      </c>
      <c r="P2924" t="s">
        <v>315</v>
      </c>
      <c r="Q2924">
        <v>30</v>
      </c>
      <c r="R2924">
        <v>43</v>
      </c>
      <c r="S2924">
        <v>8</v>
      </c>
      <c r="T2924">
        <v>6</v>
      </c>
      <c r="U2924">
        <v>17</v>
      </c>
      <c r="V2924">
        <v>2</v>
      </c>
      <c r="W2924">
        <v>14</v>
      </c>
      <c r="X2924">
        <v>9</v>
      </c>
      <c r="Y2924">
        <v>205</v>
      </c>
      <c r="Z2924">
        <v>5</v>
      </c>
      <c r="AA2924">
        <v>4</v>
      </c>
      <c r="AB2924">
        <v>4</v>
      </c>
      <c r="AC2924" t="s">
        <v>100</v>
      </c>
      <c r="AD2924" t="s">
        <v>100</v>
      </c>
      <c r="AE2924" t="s">
        <v>100</v>
      </c>
      <c r="AF2924" t="s">
        <v>100</v>
      </c>
      <c r="AK2924">
        <v>5</v>
      </c>
      <c r="AL2924">
        <v>2</v>
      </c>
      <c r="AM2924" t="s">
        <v>100</v>
      </c>
      <c r="AN2924">
        <v>3</v>
      </c>
      <c r="AT2924">
        <v>10</v>
      </c>
      <c r="AU2924">
        <v>10</v>
      </c>
      <c r="AV2924">
        <v>367</v>
      </c>
      <c r="AW2924">
        <v>377</v>
      </c>
      <c r="AX2924">
        <v>570</v>
      </c>
      <c r="AZ2924" t="s">
        <v>101</v>
      </c>
      <c r="BA2924">
        <v>1</v>
      </c>
      <c r="BC2924" t="s">
        <v>5950</v>
      </c>
      <c r="BD2924" s="4">
        <v>43283.076388888891</v>
      </c>
      <c r="BE2924" s="4">
        <v>43283.081238425926</v>
      </c>
      <c r="BF2924" s="4">
        <v>43283.081238425926</v>
      </c>
      <c r="BG2924" t="s">
        <v>83</v>
      </c>
      <c r="BH2924" t="s">
        <v>84</v>
      </c>
      <c r="BI2924" t="s">
        <v>85</v>
      </c>
    </row>
    <row r="2925" spans="1:61" x14ac:dyDescent="0.3">
      <c r="A2925" t="str">
        <f>"200473C0200"</f>
        <v>200473C0200</v>
      </c>
      <c r="B2925" t="s">
        <v>5951</v>
      </c>
      <c r="C2925">
        <v>20</v>
      </c>
      <c r="D2925" t="s">
        <v>79</v>
      </c>
      <c r="E2925">
        <v>14</v>
      </c>
      <c r="F2925" t="s">
        <v>5455</v>
      </c>
      <c r="G2925">
        <v>473</v>
      </c>
      <c r="H2925">
        <v>2</v>
      </c>
      <c r="I2925" t="s">
        <v>89</v>
      </c>
      <c r="J2925">
        <v>0</v>
      </c>
      <c r="K2925">
        <v>1</v>
      </c>
      <c r="L2925">
        <v>2</v>
      </c>
      <c r="M2925">
        <v>198</v>
      </c>
      <c r="N2925">
        <v>392</v>
      </c>
      <c r="O2925">
        <v>10</v>
      </c>
      <c r="P2925">
        <v>391</v>
      </c>
      <c r="Q2925">
        <v>45</v>
      </c>
      <c r="R2925">
        <v>38</v>
      </c>
      <c r="S2925">
        <v>6</v>
      </c>
      <c r="T2925">
        <v>14</v>
      </c>
      <c r="U2925">
        <v>18</v>
      </c>
      <c r="V2925">
        <v>5</v>
      </c>
      <c r="W2925">
        <v>7</v>
      </c>
      <c r="X2925">
        <v>11</v>
      </c>
      <c r="Y2925">
        <v>204</v>
      </c>
      <c r="Z2925">
        <v>6</v>
      </c>
      <c r="AA2925">
        <v>1</v>
      </c>
      <c r="AB2925">
        <v>13</v>
      </c>
      <c r="AC2925">
        <v>1</v>
      </c>
      <c r="AD2925">
        <v>0</v>
      </c>
      <c r="AE2925">
        <v>1</v>
      </c>
      <c r="AF2925">
        <v>0</v>
      </c>
      <c r="AK2925">
        <v>10</v>
      </c>
      <c r="AL2925">
        <v>1</v>
      </c>
      <c r="AM2925">
        <v>1</v>
      </c>
      <c r="AN2925">
        <v>0</v>
      </c>
      <c r="AT2925">
        <v>0</v>
      </c>
      <c r="AU2925">
        <v>11</v>
      </c>
      <c r="AV2925">
        <v>393</v>
      </c>
      <c r="AW2925">
        <v>393</v>
      </c>
      <c r="AX2925">
        <v>569</v>
      </c>
      <c r="BA2925">
        <v>1</v>
      </c>
      <c r="BC2925" t="s">
        <v>5952</v>
      </c>
      <c r="BD2925" s="4">
        <v>43283.086805555555</v>
      </c>
      <c r="BE2925" s="4">
        <v>43283.091504629629</v>
      </c>
      <c r="BF2925" s="4">
        <v>43283.091504629629</v>
      </c>
      <c r="BG2925" t="s">
        <v>83</v>
      </c>
      <c r="BH2925" t="s">
        <v>84</v>
      </c>
      <c r="BI2925" t="s">
        <v>85</v>
      </c>
    </row>
    <row r="2926" spans="1:61" x14ac:dyDescent="0.3">
      <c r="A2926" t="str">
        <f>"200474B0100"</f>
        <v>200474B0100</v>
      </c>
      <c r="B2926" t="s">
        <v>5953</v>
      </c>
      <c r="C2926">
        <v>20</v>
      </c>
      <c r="D2926" t="s">
        <v>79</v>
      </c>
      <c r="E2926">
        <v>14</v>
      </c>
      <c r="F2926" t="s">
        <v>5455</v>
      </c>
      <c r="G2926">
        <v>474</v>
      </c>
      <c r="H2926">
        <v>1</v>
      </c>
      <c r="I2926" t="s">
        <v>81</v>
      </c>
      <c r="J2926">
        <v>0</v>
      </c>
      <c r="K2926">
        <v>1</v>
      </c>
      <c r="L2926">
        <v>2</v>
      </c>
      <c r="M2926">
        <v>241</v>
      </c>
      <c r="N2926">
        <v>371</v>
      </c>
      <c r="O2926">
        <v>11</v>
      </c>
      <c r="P2926">
        <v>371</v>
      </c>
      <c r="Q2926">
        <v>41</v>
      </c>
      <c r="R2926">
        <v>58</v>
      </c>
      <c r="S2926">
        <v>4</v>
      </c>
      <c r="T2926">
        <v>13</v>
      </c>
      <c r="U2926">
        <v>19</v>
      </c>
      <c r="V2926">
        <v>5</v>
      </c>
      <c r="W2926">
        <v>7</v>
      </c>
      <c r="X2926">
        <v>7</v>
      </c>
      <c r="Y2926">
        <v>168</v>
      </c>
      <c r="Z2926">
        <v>4</v>
      </c>
      <c r="AA2926">
        <v>3</v>
      </c>
      <c r="AB2926">
        <v>9</v>
      </c>
      <c r="AC2926">
        <v>1</v>
      </c>
      <c r="AD2926">
        <v>1</v>
      </c>
      <c r="AE2926">
        <v>1</v>
      </c>
      <c r="AF2926">
        <v>1</v>
      </c>
      <c r="AK2926">
        <v>1</v>
      </c>
      <c r="AL2926">
        <v>3</v>
      </c>
      <c r="AM2926">
        <v>0</v>
      </c>
      <c r="AN2926">
        <v>2</v>
      </c>
      <c r="AT2926">
        <v>0</v>
      </c>
      <c r="AU2926">
        <v>23</v>
      </c>
      <c r="AV2926">
        <v>371</v>
      </c>
      <c r="AW2926">
        <v>371</v>
      </c>
      <c r="AX2926">
        <v>590</v>
      </c>
      <c r="BA2926">
        <v>1</v>
      </c>
      <c r="BC2926" t="s">
        <v>5954</v>
      </c>
      <c r="BD2926" s="4">
        <v>43283.071527777778</v>
      </c>
      <c r="BE2926" s="4">
        <v>43283.075509259259</v>
      </c>
      <c r="BF2926" s="4">
        <v>43283.075509259259</v>
      </c>
      <c r="BG2926" t="s">
        <v>83</v>
      </c>
      <c r="BH2926" t="s">
        <v>84</v>
      </c>
      <c r="BI2926" t="s">
        <v>85</v>
      </c>
    </row>
    <row r="2927" spans="1:61" x14ac:dyDescent="0.3">
      <c r="A2927" t="str">
        <f>"200474C0100"</f>
        <v>200474C0100</v>
      </c>
      <c r="B2927" t="s">
        <v>5955</v>
      </c>
      <c r="C2927">
        <v>20</v>
      </c>
      <c r="D2927" t="s">
        <v>79</v>
      </c>
      <c r="E2927">
        <v>14</v>
      </c>
      <c r="F2927" t="s">
        <v>5455</v>
      </c>
      <c r="G2927">
        <v>474</v>
      </c>
      <c r="H2927">
        <v>1</v>
      </c>
      <c r="I2927" t="s">
        <v>89</v>
      </c>
      <c r="J2927">
        <v>0</v>
      </c>
      <c r="K2927">
        <v>1</v>
      </c>
      <c r="L2927">
        <v>2</v>
      </c>
      <c r="M2927">
        <v>223</v>
      </c>
      <c r="N2927">
        <v>387</v>
      </c>
      <c r="O2927">
        <v>7</v>
      </c>
      <c r="P2927">
        <v>387</v>
      </c>
      <c r="Q2927">
        <v>40</v>
      </c>
      <c r="R2927">
        <v>42</v>
      </c>
      <c r="S2927">
        <v>8</v>
      </c>
      <c r="T2927">
        <v>22</v>
      </c>
      <c r="U2927">
        <v>18</v>
      </c>
      <c r="V2927">
        <v>7</v>
      </c>
      <c r="W2927">
        <v>6</v>
      </c>
      <c r="X2927">
        <v>14</v>
      </c>
      <c r="Y2927">
        <v>188</v>
      </c>
      <c r="Z2927">
        <v>4</v>
      </c>
      <c r="AA2927">
        <v>1</v>
      </c>
      <c r="AB2927">
        <v>8</v>
      </c>
      <c r="AC2927">
        <v>1</v>
      </c>
      <c r="AD2927">
        <v>0</v>
      </c>
      <c r="AE2927">
        <v>1</v>
      </c>
      <c r="AF2927">
        <v>1</v>
      </c>
      <c r="AK2927">
        <v>8</v>
      </c>
      <c r="AL2927">
        <v>2</v>
      </c>
      <c r="AM2927">
        <v>0</v>
      </c>
      <c r="AN2927">
        <v>1</v>
      </c>
      <c r="AT2927">
        <v>0</v>
      </c>
      <c r="AU2927">
        <v>15</v>
      </c>
      <c r="AV2927">
        <v>387</v>
      </c>
      <c r="AW2927">
        <v>387</v>
      </c>
      <c r="AX2927">
        <v>589</v>
      </c>
      <c r="BA2927">
        <v>1</v>
      </c>
      <c r="BC2927" t="s">
        <v>5956</v>
      </c>
      <c r="BD2927" s="4">
        <v>43283.075694444444</v>
      </c>
      <c r="BE2927" s="4">
        <v>43283.080300925925</v>
      </c>
      <c r="BF2927" s="4">
        <v>43283.080300925925</v>
      </c>
      <c r="BG2927" t="s">
        <v>83</v>
      </c>
      <c r="BH2927" t="s">
        <v>84</v>
      </c>
      <c r="BI2927" t="s">
        <v>85</v>
      </c>
    </row>
    <row r="2928" spans="1:61" x14ac:dyDescent="0.3">
      <c r="A2928" t="str">
        <f>"200474C0200"</f>
        <v>200474C0200</v>
      </c>
      <c r="B2928" t="s">
        <v>5957</v>
      </c>
      <c r="C2928">
        <v>20</v>
      </c>
      <c r="D2928" t="s">
        <v>79</v>
      </c>
      <c r="E2928">
        <v>14</v>
      </c>
      <c r="F2928" t="s">
        <v>5455</v>
      </c>
      <c r="G2928">
        <v>474</v>
      </c>
      <c r="H2928">
        <v>2</v>
      </c>
      <c r="I2928" t="s">
        <v>89</v>
      </c>
      <c r="J2928">
        <v>0</v>
      </c>
      <c r="K2928">
        <v>1</v>
      </c>
      <c r="L2928">
        <v>2</v>
      </c>
      <c r="M2928">
        <v>209</v>
      </c>
      <c r="N2928">
        <v>401</v>
      </c>
      <c r="O2928">
        <v>5</v>
      </c>
      <c r="P2928">
        <v>401</v>
      </c>
      <c r="Q2928">
        <v>34</v>
      </c>
      <c r="R2928">
        <v>57</v>
      </c>
      <c r="S2928">
        <v>6</v>
      </c>
      <c r="T2928">
        <v>20</v>
      </c>
      <c r="U2928">
        <v>22</v>
      </c>
      <c r="V2928">
        <v>6</v>
      </c>
      <c r="W2928">
        <v>5</v>
      </c>
      <c r="X2928">
        <v>10</v>
      </c>
      <c r="Y2928">
        <v>193</v>
      </c>
      <c r="Z2928">
        <v>8</v>
      </c>
      <c r="AA2928">
        <v>3</v>
      </c>
      <c r="AB2928">
        <v>5</v>
      </c>
      <c r="AC2928">
        <v>2</v>
      </c>
      <c r="AD2928">
        <v>0</v>
      </c>
      <c r="AE2928">
        <v>2</v>
      </c>
      <c r="AF2928">
        <v>0</v>
      </c>
      <c r="AK2928">
        <v>10</v>
      </c>
      <c r="AL2928">
        <v>2</v>
      </c>
      <c r="AM2928">
        <v>0</v>
      </c>
      <c r="AN2928">
        <v>2</v>
      </c>
      <c r="AT2928">
        <v>1</v>
      </c>
      <c r="AU2928">
        <v>13</v>
      </c>
      <c r="AV2928">
        <v>401</v>
      </c>
      <c r="AW2928">
        <v>401</v>
      </c>
      <c r="AX2928">
        <v>589</v>
      </c>
      <c r="BA2928">
        <v>1</v>
      </c>
      <c r="BC2928" t="s">
        <v>5958</v>
      </c>
      <c r="BD2928" s="4">
        <v>43283.066666666666</v>
      </c>
      <c r="BE2928" s="4">
        <v>43283.072118055556</v>
      </c>
      <c r="BF2928" s="4">
        <v>43283.072118055556</v>
      </c>
      <c r="BG2928" t="s">
        <v>83</v>
      </c>
      <c r="BH2928" t="s">
        <v>84</v>
      </c>
      <c r="BI2928" t="s">
        <v>85</v>
      </c>
    </row>
    <row r="2929" spans="1:61" x14ac:dyDescent="0.3">
      <c r="A2929" t="str">
        <f>"200475B0100"</f>
        <v>200475B0100</v>
      </c>
      <c r="B2929" t="s">
        <v>5959</v>
      </c>
      <c r="C2929">
        <v>20</v>
      </c>
      <c r="D2929" t="s">
        <v>79</v>
      </c>
      <c r="E2929">
        <v>14</v>
      </c>
      <c r="F2929" t="s">
        <v>5455</v>
      </c>
      <c r="G2929">
        <v>475</v>
      </c>
      <c r="H2929">
        <v>1</v>
      </c>
      <c r="I2929" t="s">
        <v>81</v>
      </c>
      <c r="J2929">
        <v>0</v>
      </c>
      <c r="K2929">
        <v>1</v>
      </c>
      <c r="L2929">
        <v>2</v>
      </c>
      <c r="M2929">
        <v>239</v>
      </c>
      <c r="N2929">
        <v>388</v>
      </c>
      <c r="O2929">
        <v>3</v>
      </c>
      <c r="P2929">
        <v>388</v>
      </c>
      <c r="Q2929">
        <v>46</v>
      </c>
      <c r="R2929">
        <v>41</v>
      </c>
      <c r="S2929">
        <v>6</v>
      </c>
      <c r="T2929">
        <v>23</v>
      </c>
      <c r="U2929">
        <v>15</v>
      </c>
      <c r="V2929">
        <v>8</v>
      </c>
      <c r="W2929">
        <v>14</v>
      </c>
      <c r="X2929">
        <v>9</v>
      </c>
      <c r="Y2929">
        <v>197</v>
      </c>
      <c r="Z2929">
        <v>6</v>
      </c>
      <c r="AA2929">
        <v>1</v>
      </c>
      <c r="AB2929">
        <v>0</v>
      </c>
      <c r="AC2929">
        <v>0</v>
      </c>
      <c r="AD2929">
        <v>0</v>
      </c>
      <c r="AE2929">
        <v>0</v>
      </c>
      <c r="AF2929">
        <v>0</v>
      </c>
      <c r="AK2929">
        <v>6</v>
      </c>
      <c r="AL2929">
        <v>1</v>
      </c>
      <c r="AM2929">
        <v>1</v>
      </c>
      <c r="AN2929">
        <v>1</v>
      </c>
      <c r="AT2929">
        <v>0</v>
      </c>
      <c r="AU2929">
        <v>13</v>
      </c>
      <c r="AV2929">
        <v>388</v>
      </c>
      <c r="AW2929">
        <v>388</v>
      </c>
      <c r="AX2929">
        <v>604</v>
      </c>
      <c r="BA2929">
        <v>1</v>
      </c>
      <c r="BC2929" t="s">
        <v>5960</v>
      </c>
      <c r="BD2929" s="4">
        <v>43283.193749999999</v>
      </c>
      <c r="BE2929" s="4">
        <v>43283.211481481485</v>
      </c>
      <c r="BF2929" s="4">
        <v>43283.211481481485</v>
      </c>
      <c r="BG2929" t="s">
        <v>83</v>
      </c>
      <c r="BH2929" t="s">
        <v>84</v>
      </c>
      <c r="BI2929" t="s">
        <v>85</v>
      </c>
    </row>
    <row r="2930" spans="1:61" x14ac:dyDescent="0.3">
      <c r="A2930" t="str">
        <f>"200475C0100"</f>
        <v>200475C0100</v>
      </c>
      <c r="B2930" t="s">
        <v>5961</v>
      </c>
      <c r="C2930">
        <v>20</v>
      </c>
      <c r="D2930" t="s">
        <v>79</v>
      </c>
      <c r="E2930">
        <v>14</v>
      </c>
      <c r="F2930" t="s">
        <v>5455</v>
      </c>
      <c r="G2930">
        <v>475</v>
      </c>
      <c r="H2930">
        <v>1</v>
      </c>
      <c r="I2930" t="s">
        <v>89</v>
      </c>
      <c r="J2930">
        <v>0</v>
      </c>
      <c r="K2930">
        <v>1</v>
      </c>
      <c r="L2930">
        <v>2</v>
      </c>
      <c r="M2930">
        <v>273</v>
      </c>
      <c r="N2930">
        <v>350</v>
      </c>
      <c r="O2930" t="s">
        <v>100</v>
      </c>
      <c r="P2930">
        <v>350</v>
      </c>
      <c r="Q2930">
        <v>22</v>
      </c>
      <c r="R2930">
        <v>42</v>
      </c>
      <c r="S2930">
        <v>6</v>
      </c>
      <c r="T2930">
        <v>16</v>
      </c>
      <c r="U2930">
        <v>11</v>
      </c>
      <c r="V2930">
        <v>7</v>
      </c>
      <c r="W2930">
        <v>11</v>
      </c>
      <c r="X2930">
        <v>2</v>
      </c>
      <c r="Y2930">
        <v>186</v>
      </c>
      <c r="Z2930">
        <v>7</v>
      </c>
      <c r="AA2930">
        <v>0</v>
      </c>
      <c r="AB2930">
        <v>6</v>
      </c>
      <c r="AC2930">
        <v>1</v>
      </c>
      <c r="AD2930">
        <v>0</v>
      </c>
      <c r="AE2930">
        <v>0</v>
      </c>
      <c r="AF2930">
        <v>0</v>
      </c>
      <c r="AK2930">
        <v>8</v>
      </c>
      <c r="AL2930">
        <v>1</v>
      </c>
      <c r="AM2930">
        <v>0</v>
      </c>
      <c r="AN2930">
        <v>0</v>
      </c>
      <c r="AT2930">
        <v>1</v>
      </c>
      <c r="AU2930">
        <v>22</v>
      </c>
      <c r="AV2930">
        <v>350</v>
      </c>
      <c r="AW2930">
        <v>349</v>
      </c>
      <c r="AX2930">
        <v>603</v>
      </c>
      <c r="BA2930">
        <v>1</v>
      </c>
      <c r="BC2930" t="s">
        <v>5962</v>
      </c>
      <c r="BD2930" s="4">
        <v>43283.277083333334</v>
      </c>
      <c r="BE2930" s="4">
        <v>43283.309062499997</v>
      </c>
      <c r="BF2930" s="4">
        <v>43283.309062499997</v>
      </c>
      <c r="BG2930" t="s">
        <v>83</v>
      </c>
      <c r="BH2930" t="s">
        <v>84</v>
      </c>
      <c r="BI2930" t="s">
        <v>548</v>
      </c>
    </row>
    <row r="2931" spans="1:61" x14ac:dyDescent="0.3">
      <c r="A2931" t="str">
        <f>"200475C0200"</f>
        <v>200475C0200</v>
      </c>
      <c r="B2931" t="s">
        <v>5963</v>
      </c>
      <c r="C2931">
        <v>20</v>
      </c>
      <c r="D2931" t="s">
        <v>79</v>
      </c>
      <c r="E2931">
        <v>14</v>
      </c>
      <c r="F2931" t="s">
        <v>5455</v>
      </c>
      <c r="G2931">
        <v>475</v>
      </c>
      <c r="H2931">
        <v>2</v>
      </c>
      <c r="I2931" t="s">
        <v>89</v>
      </c>
      <c r="J2931">
        <v>0</v>
      </c>
      <c r="K2931">
        <v>1</v>
      </c>
      <c r="L2931">
        <v>2</v>
      </c>
      <c r="M2931">
        <v>219</v>
      </c>
      <c r="N2931">
        <v>409</v>
      </c>
      <c r="O2931">
        <v>3</v>
      </c>
      <c r="P2931">
        <v>406</v>
      </c>
      <c r="Q2931">
        <v>34</v>
      </c>
      <c r="R2931">
        <v>46</v>
      </c>
      <c r="S2931">
        <v>4</v>
      </c>
      <c r="T2931">
        <v>24</v>
      </c>
      <c r="U2931">
        <v>8</v>
      </c>
      <c r="V2931">
        <v>6</v>
      </c>
      <c r="W2931">
        <v>10</v>
      </c>
      <c r="X2931">
        <v>8</v>
      </c>
      <c r="Y2931">
        <v>223</v>
      </c>
      <c r="Z2931">
        <v>6</v>
      </c>
      <c r="AA2931">
        <v>4</v>
      </c>
      <c r="AB2931">
        <v>7</v>
      </c>
      <c r="AC2931">
        <v>2</v>
      </c>
      <c r="AD2931">
        <v>1</v>
      </c>
      <c r="AE2931">
        <v>0</v>
      </c>
      <c r="AF2931">
        <v>0</v>
      </c>
      <c r="AK2931">
        <v>4</v>
      </c>
      <c r="AL2931">
        <v>2</v>
      </c>
      <c r="AM2931">
        <v>0</v>
      </c>
      <c r="AN2931">
        <v>0</v>
      </c>
      <c r="AT2931">
        <v>0</v>
      </c>
      <c r="AU2931">
        <v>17</v>
      </c>
      <c r="AV2931">
        <v>406</v>
      </c>
      <c r="AW2931">
        <v>406</v>
      </c>
      <c r="AX2931">
        <v>603</v>
      </c>
      <c r="BA2931">
        <v>1</v>
      </c>
      <c r="BC2931" t="s">
        <v>5964</v>
      </c>
      <c r="BD2931" s="4">
        <v>43283.223611111112</v>
      </c>
      <c r="BE2931" s="4">
        <v>43283.247569444444</v>
      </c>
      <c r="BF2931" s="4">
        <v>43283.247569444444</v>
      </c>
      <c r="BG2931" t="s">
        <v>83</v>
      </c>
      <c r="BH2931" t="s">
        <v>84</v>
      </c>
      <c r="BI2931" t="s">
        <v>85</v>
      </c>
    </row>
    <row r="2932" spans="1:61" x14ac:dyDescent="0.3">
      <c r="A2932" t="str">
        <f>"200476B0100"</f>
        <v>200476B0100</v>
      </c>
      <c r="B2932" t="s">
        <v>5965</v>
      </c>
      <c r="C2932">
        <v>20</v>
      </c>
      <c r="D2932" t="s">
        <v>79</v>
      </c>
      <c r="E2932">
        <v>14</v>
      </c>
      <c r="F2932" t="s">
        <v>5455</v>
      </c>
      <c r="G2932">
        <v>476</v>
      </c>
      <c r="H2932">
        <v>1</v>
      </c>
      <c r="I2932" t="s">
        <v>81</v>
      </c>
      <c r="J2932">
        <v>0</v>
      </c>
      <c r="K2932">
        <v>1</v>
      </c>
      <c r="L2932">
        <v>2</v>
      </c>
      <c r="M2932">
        <v>178</v>
      </c>
      <c r="N2932">
        <v>399</v>
      </c>
      <c r="O2932">
        <v>7</v>
      </c>
      <c r="P2932">
        <v>399</v>
      </c>
      <c r="Q2932">
        <v>75</v>
      </c>
      <c r="R2932">
        <v>94</v>
      </c>
      <c r="S2932">
        <v>5</v>
      </c>
      <c r="T2932">
        <v>10</v>
      </c>
      <c r="U2932">
        <v>17</v>
      </c>
      <c r="V2932">
        <v>5</v>
      </c>
      <c r="W2932">
        <v>20</v>
      </c>
      <c r="X2932">
        <v>8</v>
      </c>
      <c r="Y2932">
        <v>125</v>
      </c>
      <c r="Z2932">
        <v>5</v>
      </c>
      <c r="AA2932">
        <v>1</v>
      </c>
      <c r="AB2932">
        <v>15</v>
      </c>
      <c r="AC2932">
        <v>1</v>
      </c>
      <c r="AD2932">
        <v>0</v>
      </c>
      <c r="AE2932">
        <v>0</v>
      </c>
      <c r="AF2932">
        <v>0</v>
      </c>
      <c r="AK2932">
        <v>3</v>
      </c>
      <c r="AL2932">
        <v>0</v>
      </c>
      <c r="AM2932">
        <v>0</v>
      </c>
      <c r="AN2932">
        <v>0</v>
      </c>
      <c r="AT2932">
        <v>1</v>
      </c>
      <c r="AU2932">
        <v>20</v>
      </c>
      <c r="AV2932">
        <v>399</v>
      </c>
      <c r="AW2932">
        <v>405</v>
      </c>
      <c r="AX2932">
        <v>556</v>
      </c>
      <c r="BA2932">
        <v>1</v>
      </c>
      <c r="BC2932" t="s">
        <v>5966</v>
      </c>
      <c r="BD2932" s="4">
        <v>43283.243750000001</v>
      </c>
      <c r="BE2932" s="4">
        <v>43283.275069444448</v>
      </c>
      <c r="BF2932" s="4">
        <v>43283.275069444448</v>
      </c>
      <c r="BG2932" t="s">
        <v>83</v>
      </c>
      <c r="BH2932" t="s">
        <v>84</v>
      </c>
      <c r="BI2932" t="s">
        <v>85</v>
      </c>
    </row>
    <row r="2933" spans="1:61" x14ac:dyDescent="0.3">
      <c r="A2933" t="str">
        <f>"200476C0100"</f>
        <v>200476C0100</v>
      </c>
      <c r="B2933" t="s">
        <v>5967</v>
      </c>
      <c r="C2933">
        <v>20</v>
      </c>
      <c r="D2933" t="s">
        <v>79</v>
      </c>
      <c r="E2933">
        <v>14</v>
      </c>
      <c r="F2933" t="s">
        <v>5455</v>
      </c>
      <c r="G2933">
        <v>476</v>
      </c>
      <c r="H2933">
        <v>1</v>
      </c>
      <c r="I2933" t="s">
        <v>89</v>
      </c>
      <c r="J2933">
        <v>0</v>
      </c>
      <c r="K2933">
        <v>1</v>
      </c>
      <c r="L2933">
        <v>2</v>
      </c>
      <c r="M2933">
        <v>185</v>
      </c>
      <c r="N2933">
        <v>393</v>
      </c>
      <c r="O2933">
        <v>6</v>
      </c>
      <c r="P2933">
        <v>393</v>
      </c>
      <c r="Q2933">
        <v>86</v>
      </c>
      <c r="R2933">
        <v>89</v>
      </c>
      <c r="S2933">
        <v>10</v>
      </c>
      <c r="T2933">
        <v>11</v>
      </c>
      <c r="U2933">
        <v>8</v>
      </c>
      <c r="V2933">
        <v>3</v>
      </c>
      <c r="W2933">
        <v>9</v>
      </c>
      <c r="X2933">
        <v>5</v>
      </c>
      <c r="Y2933">
        <v>125</v>
      </c>
      <c r="Z2933">
        <v>8</v>
      </c>
      <c r="AA2933">
        <v>1</v>
      </c>
      <c r="AB2933">
        <v>15</v>
      </c>
      <c r="AC2933">
        <v>0</v>
      </c>
      <c r="AD2933">
        <v>1</v>
      </c>
      <c r="AE2933">
        <v>0</v>
      </c>
      <c r="AF2933">
        <v>0</v>
      </c>
      <c r="AK2933">
        <v>2</v>
      </c>
      <c r="AL2933">
        <v>0</v>
      </c>
      <c r="AM2933">
        <v>0</v>
      </c>
      <c r="AN2933">
        <v>2</v>
      </c>
      <c r="AT2933">
        <v>0</v>
      </c>
      <c r="AU2933">
        <v>18</v>
      </c>
      <c r="AV2933">
        <v>393</v>
      </c>
      <c r="AW2933">
        <v>393</v>
      </c>
      <c r="AX2933">
        <v>556</v>
      </c>
      <c r="BA2933">
        <v>1</v>
      </c>
      <c r="BC2933" t="s">
        <v>5968</v>
      </c>
      <c r="BD2933" s="4">
        <v>43283.18472222222</v>
      </c>
      <c r="BE2933" s="4">
        <v>43283.202847222223</v>
      </c>
      <c r="BF2933" s="4">
        <v>43283.202847222223</v>
      </c>
      <c r="BG2933" t="s">
        <v>83</v>
      </c>
      <c r="BH2933" t="s">
        <v>84</v>
      </c>
      <c r="BI2933" t="s">
        <v>85</v>
      </c>
    </row>
    <row r="2934" spans="1:61" x14ac:dyDescent="0.3">
      <c r="A2934" t="str">
        <f>"200476C0200"</f>
        <v>200476C0200</v>
      </c>
      <c r="B2934" t="s">
        <v>5969</v>
      </c>
      <c r="C2934">
        <v>20</v>
      </c>
      <c r="D2934" t="s">
        <v>79</v>
      </c>
      <c r="E2934">
        <v>14</v>
      </c>
      <c r="F2934" t="s">
        <v>5455</v>
      </c>
      <c r="G2934">
        <v>476</v>
      </c>
      <c r="H2934">
        <v>2</v>
      </c>
      <c r="I2934" t="s">
        <v>89</v>
      </c>
      <c r="J2934">
        <v>0</v>
      </c>
      <c r="K2934">
        <v>1</v>
      </c>
      <c r="L2934">
        <v>2</v>
      </c>
      <c r="M2934">
        <v>186</v>
      </c>
      <c r="N2934">
        <v>391</v>
      </c>
      <c r="O2934">
        <v>8</v>
      </c>
      <c r="P2934">
        <v>393</v>
      </c>
      <c r="Q2934">
        <v>74</v>
      </c>
      <c r="R2934">
        <v>90</v>
      </c>
      <c r="S2934">
        <v>5</v>
      </c>
      <c r="T2934">
        <v>9</v>
      </c>
      <c r="U2934">
        <v>16</v>
      </c>
      <c r="V2934">
        <v>6</v>
      </c>
      <c r="W2934">
        <v>14</v>
      </c>
      <c r="X2934">
        <v>1</v>
      </c>
      <c r="Y2934">
        <v>136</v>
      </c>
      <c r="Z2934">
        <v>6</v>
      </c>
      <c r="AA2934">
        <v>5</v>
      </c>
      <c r="AB2934">
        <v>6</v>
      </c>
      <c r="AC2934">
        <v>2</v>
      </c>
      <c r="AD2934">
        <v>2</v>
      </c>
      <c r="AE2934">
        <v>0</v>
      </c>
      <c r="AF2934">
        <v>0</v>
      </c>
      <c r="AK2934">
        <v>1</v>
      </c>
      <c r="AL2934">
        <v>4</v>
      </c>
      <c r="AM2934">
        <v>0</v>
      </c>
      <c r="AN2934">
        <v>1</v>
      </c>
      <c r="AT2934">
        <v>0</v>
      </c>
      <c r="AU2934">
        <v>15</v>
      </c>
      <c r="AV2934">
        <v>393</v>
      </c>
      <c r="AW2934">
        <v>393</v>
      </c>
      <c r="AX2934">
        <v>555</v>
      </c>
      <c r="BA2934">
        <v>1</v>
      </c>
      <c r="BC2934" t="s">
        <v>5970</v>
      </c>
      <c r="BD2934" s="4">
        <v>43283.189583333333</v>
      </c>
      <c r="BE2934" s="4">
        <v>43283.208252314813</v>
      </c>
      <c r="BF2934" s="4">
        <v>43283.208252314813</v>
      </c>
      <c r="BG2934" t="s">
        <v>83</v>
      </c>
      <c r="BH2934" t="s">
        <v>84</v>
      </c>
      <c r="BI2934" t="s">
        <v>85</v>
      </c>
    </row>
    <row r="2935" spans="1:61" x14ac:dyDescent="0.3">
      <c r="A2935" t="str">
        <f>"200477B0100"</f>
        <v>200477B0100</v>
      </c>
      <c r="B2935" t="s">
        <v>5971</v>
      </c>
      <c r="C2935">
        <v>20</v>
      </c>
      <c r="D2935" t="s">
        <v>79</v>
      </c>
      <c r="E2935">
        <v>14</v>
      </c>
      <c r="F2935" t="s">
        <v>5455</v>
      </c>
      <c r="G2935">
        <v>477</v>
      </c>
      <c r="H2935">
        <v>1</v>
      </c>
      <c r="I2935" t="s">
        <v>81</v>
      </c>
      <c r="J2935">
        <v>0</v>
      </c>
      <c r="K2935">
        <v>1</v>
      </c>
      <c r="L2935">
        <v>2</v>
      </c>
      <c r="AX2935">
        <v>679</v>
      </c>
      <c r="AZ2935" t="s">
        <v>156</v>
      </c>
      <c r="BA2935">
        <v>0</v>
      </c>
      <c r="BC2935" t="s">
        <v>5972</v>
      </c>
      <c r="BD2935" s="4">
        <v>43283.795138888891</v>
      </c>
      <c r="BE2935" s="4">
        <v>43283.799814814818</v>
      </c>
      <c r="BF2935" s="4">
        <v>43283.799814814818</v>
      </c>
      <c r="BG2935" t="s">
        <v>83</v>
      </c>
      <c r="BH2935" t="s">
        <v>84</v>
      </c>
      <c r="BI2935" t="s">
        <v>85</v>
      </c>
    </row>
    <row r="2936" spans="1:61" x14ac:dyDescent="0.3">
      <c r="A2936" t="str">
        <f>"200477C0100"</f>
        <v>200477C0100</v>
      </c>
      <c r="B2936" t="s">
        <v>5973</v>
      </c>
      <c r="C2936">
        <v>20</v>
      </c>
      <c r="D2936" t="s">
        <v>79</v>
      </c>
      <c r="E2936">
        <v>14</v>
      </c>
      <c r="F2936" t="s">
        <v>5455</v>
      </c>
      <c r="G2936">
        <v>477</v>
      </c>
      <c r="H2936">
        <v>1</v>
      </c>
      <c r="I2936" t="s">
        <v>89</v>
      </c>
      <c r="J2936">
        <v>0</v>
      </c>
      <c r="K2936">
        <v>1</v>
      </c>
      <c r="L2936">
        <v>2</v>
      </c>
      <c r="M2936">
        <v>284</v>
      </c>
      <c r="N2936">
        <v>424</v>
      </c>
      <c r="O2936">
        <v>14</v>
      </c>
      <c r="P2936" t="s">
        <v>315</v>
      </c>
      <c r="Q2936">
        <v>45</v>
      </c>
      <c r="R2936">
        <v>86</v>
      </c>
      <c r="S2936">
        <v>0</v>
      </c>
      <c r="T2936">
        <v>27</v>
      </c>
      <c r="U2936">
        <v>17</v>
      </c>
      <c r="V2936">
        <v>4</v>
      </c>
      <c r="W2936">
        <v>24</v>
      </c>
      <c r="X2936">
        <v>13</v>
      </c>
      <c r="Y2936">
        <v>152</v>
      </c>
      <c r="Z2936">
        <v>12</v>
      </c>
      <c r="AA2936">
        <v>2</v>
      </c>
      <c r="AB2936">
        <v>8</v>
      </c>
      <c r="AC2936">
        <v>3</v>
      </c>
      <c r="AD2936">
        <v>1</v>
      </c>
      <c r="AE2936">
        <v>1</v>
      </c>
      <c r="AF2936">
        <v>0</v>
      </c>
      <c r="AK2936">
        <v>2</v>
      </c>
      <c r="AL2936">
        <v>3</v>
      </c>
      <c r="AM2936">
        <v>1</v>
      </c>
      <c r="AN2936">
        <v>0</v>
      </c>
      <c r="AT2936">
        <v>0</v>
      </c>
      <c r="AU2936">
        <v>19</v>
      </c>
      <c r="AV2936" t="s">
        <v>100</v>
      </c>
      <c r="AW2936">
        <v>420</v>
      </c>
      <c r="AX2936">
        <v>679</v>
      </c>
      <c r="BA2936">
        <v>1</v>
      </c>
      <c r="BC2936" t="s">
        <v>5974</v>
      </c>
      <c r="BD2936" s="4">
        <v>43283.112500000003</v>
      </c>
      <c r="BE2936" s="4">
        <v>43283.1175</v>
      </c>
      <c r="BF2936" s="4">
        <v>43283.1175</v>
      </c>
      <c r="BG2936" t="s">
        <v>83</v>
      </c>
      <c r="BH2936" t="s">
        <v>84</v>
      </c>
      <c r="BI2936" t="s">
        <v>85</v>
      </c>
    </row>
    <row r="2937" spans="1:61" x14ac:dyDescent="0.3">
      <c r="A2937" t="str">
        <f>"200477C0200"</f>
        <v>200477C0200</v>
      </c>
      <c r="B2937" t="s">
        <v>5975</v>
      </c>
      <c r="C2937">
        <v>20</v>
      </c>
      <c r="D2937" t="s">
        <v>79</v>
      </c>
      <c r="E2937">
        <v>14</v>
      </c>
      <c r="F2937" t="s">
        <v>5455</v>
      </c>
      <c r="G2937">
        <v>477</v>
      </c>
      <c r="H2937">
        <v>2</v>
      </c>
      <c r="I2937" t="s">
        <v>89</v>
      </c>
      <c r="J2937">
        <v>0</v>
      </c>
      <c r="K2937">
        <v>1</v>
      </c>
      <c r="L2937">
        <v>2</v>
      </c>
      <c r="M2937">
        <v>252</v>
      </c>
      <c r="N2937">
        <v>448</v>
      </c>
      <c r="O2937">
        <v>7</v>
      </c>
      <c r="P2937">
        <v>448</v>
      </c>
      <c r="Q2937">
        <v>46</v>
      </c>
      <c r="R2937">
        <v>64</v>
      </c>
      <c r="S2937">
        <v>6</v>
      </c>
      <c r="T2937">
        <v>8</v>
      </c>
      <c r="U2937">
        <v>18</v>
      </c>
      <c r="V2937">
        <v>9</v>
      </c>
      <c r="W2937">
        <v>31</v>
      </c>
      <c r="X2937">
        <v>5</v>
      </c>
      <c r="Y2937">
        <v>197</v>
      </c>
      <c r="Z2937">
        <v>12</v>
      </c>
      <c r="AA2937">
        <v>5</v>
      </c>
      <c r="AB2937">
        <v>15</v>
      </c>
      <c r="AC2937">
        <v>1</v>
      </c>
      <c r="AD2937">
        <v>0</v>
      </c>
      <c r="AE2937">
        <v>0</v>
      </c>
      <c r="AF2937">
        <v>0</v>
      </c>
      <c r="AK2937">
        <v>0</v>
      </c>
      <c r="AL2937">
        <v>2</v>
      </c>
      <c r="AM2937">
        <v>4</v>
      </c>
      <c r="AN2937">
        <v>1</v>
      </c>
      <c r="AT2937">
        <v>0</v>
      </c>
      <c r="AU2937">
        <v>24</v>
      </c>
      <c r="AV2937">
        <v>448</v>
      </c>
      <c r="AW2937">
        <v>448</v>
      </c>
      <c r="AX2937">
        <v>679</v>
      </c>
      <c r="BA2937">
        <v>1</v>
      </c>
      <c r="BC2937" t="s">
        <v>5976</v>
      </c>
      <c r="BD2937" s="4">
        <v>43283.102777777778</v>
      </c>
      <c r="BE2937" s="4">
        <v>43283.115833333337</v>
      </c>
      <c r="BF2937" s="4">
        <v>43283.115833333337</v>
      </c>
      <c r="BG2937" t="s">
        <v>83</v>
      </c>
      <c r="BH2937" t="s">
        <v>84</v>
      </c>
      <c r="BI2937" t="s">
        <v>85</v>
      </c>
    </row>
    <row r="2938" spans="1:61" x14ac:dyDescent="0.3">
      <c r="A2938" t="str">
        <f>"200478B0100"</f>
        <v>200478B0100</v>
      </c>
      <c r="B2938" t="s">
        <v>5977</v>
      </c>
      <c r="C2938">
        <v>20</v>
      </c>
      <c r="D2938" t="s">
        <v>79</v>
      </c>
      <c r="E2938">
        <v>14</v>
      </c>
      <c r="F2938" t="s">
        <v>5455</v>
      </c>
      <c r="G2938">
        <v>478</v>
      </c>
      <c r="H2938">
        <v>1</v>
      </c>
      <c r="I2938" t="s">
        <v>81</v>
      </c>
      <c r="J2938">
        <v>0</v>
      </c>
      <c r="K2938">
        <v>1</v>
      </c>
      <c r="L2938">
        <v>2</v>
      </c>
      <c r="M2938">
        <v>256</v>
      </c>
      <c r="N2938">
        <v>438</v>
      </c>
      <c r="O2938">
        <v>6</v>
      </c>
      <c r="P2938">
        <v>432</v>
      </c>
      <c r="Q2938">
        <v>47</v>
      </c>
      <c r="R2938">
        <v>73</v>
      </c>
      <c r="S2938">
        <v>6</v>
      </c>
      <c r="T2938">
        <v>14</v>
      </c>
      <c r="U2938">
        <v>17</v>
      </c>
      <c r="V2938">
        <v>8</v>
      </c>
      <c r="W2938">
        <v>9</v>
      </c>
      <c r="X2938">
        <v>10</v>
      </c>
      <c r="Y2938">
        <v>197</v>
      </c>
      <c r="Z2938">
        <v>9</v>
      </c>
      <c r="AA2938">
        <v>1</v>
      </c>
      <c r="AB2938">
        <v>13</v>
      </c>
      <c r="AC2938">
        <v>2</v>
      </c>
      <c r="AD2938">
        <v>0</v>
      </c>
      <c r="AE2938">
        <v>0</v>
      </c>
      <c r="AF2938">
        <v>0</v>
      </c>
      <c r="AK2938">
        <v>7</v>
      </c>
      <c r="AL2938">
        <v>1</v>
      </c>
      <c r="AM2938">
        <v>0</v>
      </c>
      <c r="AN2938">
        <v>2</v>
      </c>
      <c r="AT2938">
        <v>0</v>
      </c>
      <c r="AU2938">
        <v>16</v>
      </c>
      <c r="AV2938">
        <v>432</v>
      </c>
      <c r="AW2938">
        <v>432</v>
      </c>
      <c r="AX2938">
        <v>676</v>
      </c>
      <c r="BA2938">
        <v>1</v>
      </c>
      <c r="BC2938" t="s">
        <v>5978</v>
      </c>
      <c r="BD2938" s="4">
        <v>43283.118750000001</v>
      </c>
      <c r="BE2938" s="4">
        <v>43283.123773148145</v>
      </c>
      <c r="BF2938" s="4">
        <v>43283.123773148145</v>
      </c>
      <c r="BG2938" t="s">
        <v>83</v>
      </c>
      <c r="BH2938" t="s">
        <v>84</v>
      </c>
      <c r="BI2938" t="s">
        <v>85</v>
      </c>
    </row>
    <row r="2939" spans="1:61" x14ac:dyDescent="0.3">
      <c r="A2939" t="str">
        <f>"200478C0100"</f>
        <v>200478C0100</v>
      </c>
      <c r="B2939" t="s">
        <v>5979</v>
      </c>
      <c r="C2939">
        <v>20</v>
      </c>
      <c r="D2939" t="s">
        <v>79</v>
      </c>
      <c r="E2939">
        <v>14</v>
      </c>
      <c r="F2939" t="s">
        <v>5455</v>
      </c>
      <c r="G2939">
        <v>478</v>
      </c>
      <c r="H2939">
        <v>1</v>
      </c>
      <c r="I2939" t="s">
        <v>89</v>
      </c>
      <c r="J2939">
        <v>0</v>
      </c>
      <c r="K2939">
        <v>1</v>
      </c>
      <c r="L2939">
        <v>2</v>
      </c>
      <c r="M2939">
        <v>265</v>
      </c>
      <c r="N2939">
        <v>433</v>
      </c>
      <c r="O2939">
        <v>3</v>
      </c>
      <c r="P2939">
        <v>444</v>
      </c>
      <c r="Q2939">
        <v>39</v>
      </c>
      <c r="R2939">
        <v>63</v>
      </c>
      <c r="S2939">
        <v>9</v>
      </c>
      <c r="T2939">
        <v>25</v>
      </c>
      <c r="U2939">
        <v>19</v>
      </c>
      <c r="V2939">
        <v>4</v>
      </c>
      <c r="W2939">
        <v>6</v>
      </c>
      <c r="X2939">
        <v>6</v>
      </c>
      <c r="Y2939">
        <v>222</v>
      </c>
      <c r="Z2939">
        <v>11</v>
      </c>
      <c r="AA2939">
        <v>8</v>
      </c>
      <c r="AB2939">
        <v>13</v>
      </c>
      <c r="AC2939">
        <v>1</v>
      </c>
      <c r="AD2939">
        <v>1</v>
      </c>
      <c r="AE2939">
        <v>0</v>
      </c>
      <c r="AF2939">
        <v>0</v>
      </c>
      <c r="AK2939">
        <v>4</v>
      </c>
      <c r="AL2939">
        <v>2</v>
      </c>
      <c r="AM2939">
        <v>0</v>
      </c>
      <c r="AN2939">
        <v>2</v>
      </c>
      <c r="AT2939">
        <v>1</v>
      </c>
      <c r="AU2939">
        <v>8</v>
      </c>
      <c r="AV2939" t="s">
        <v>100</v>
      </c>
      <c r="AW2939">
        <v>444</v>
      </c>
      <c r="AX2939">
        <v>676</v>
      </c>
      <c r="BA2939">
        <v>1</v>
      </c>
      <c r="BC2939" t="s">
        <v>5980</v>
      </c>
      <c r="BD2939" s="4">
        <v>43283.211111111108</v>
      </c>
      <c r="BE2939" s="4">
        <v>43283.232754629629</v>
      </c>
      <c r="BF2939" s="4">
        <v>43283.232754629629</v>
      </c>
      <c r="BG2939" t="s">
        <v>83</v>
      </c>
      <c r="BH2939" t="s">
        <v>84</v>
      </c>
      <c r="BI2939" t="s">
        <v>85</v>
      </c>
    </row>
    <row r="2940" spans="1:61" x14ac:dyDescent="0.3">
      <c r="A2940" t="str">
        <f>"200478C0200"</f>
        <v>200478C0200</v>
      </c>
      <c r="B2940" t="s">
        <v>5981</v>
      </c>
      <c r="C2940">
        <v>20</v>
      </c>
      <c r="D2940" t="s">
        <v>79</v>
      </c>
      <c r="E2940">
        <v>14</v>
      </c>
      <c r="F2940" t="s">
        <v>5455</v>
      </c>
      <c r="G2940">
        <v>478</v>
      </c>
      <c r="H2940">
        <v>2</v>
      </c>
      <c r="I2940" t="s">
        <v>89</v>
      </c>
      <c r="J2940">
        <v>0</v>
      </c>
      <c r="K2940">
        <v>1</v>
      </c>
      <c r="L2940">
        <v>2</v>
      </c>
      <c r="M2940" t="s">
        <v>315</v>
      </c>
      <c r="N2940" t="s">
        <v>315</v>
      </c>
      <c r="O2940" t="s">
        <v>315</v>
      </c>
      <c r="P2940" t="s">
        <v>315</v>
      </c>
      <c r="Q2940" t="s">
        <v>315</v>
      </c>
      <c r="R2940" t="s">
        <v>315</v>
      </c>
      <c r="S2940" t="s">
        <v>315</v>
      </c>
      <c r="T2940" t="s">
        <v>315</v>
      </c>
      <c r="U2940" t="s">
        <v>315</v>
      </c>
      <c r="V2940" t="s">
        <v>315</v>
      </c>
      <c r="W2940" t="s">
        <v>315</v>
      </c>
      <c r="X2940" t="s">
        <v>315</v>
      </c>
      <c r="Y2940" t="s">
        <v>315</v>
      </c>
      <c r="Z2940" t="s">
        <v>315</v>
      </c>
      <c r="AA2940" t="s">
        <v>315</v>
      </c>
      <c r="AB2940" t="s">
        <v>315</v>
      </c>
      <c r="AC2940" t="s">
        <v>315</v>
      </c>
      <c r="AD2940" t="s">
        <v>315</v>
      </c>
      <c r="AE2940" t="s">
        <v>315</v>
      </c>
      <c r="AF2940" t="s">
        <v>315</v>
      </c>
      <c r="AK2940" t="s">
        <v>315</v>
      </c>
      <c r="AL2940" t="s">
        <v>315</v>
      </c>
      <c r="AM2940" t="s">
        <v>315</v>
      </c>
      <c r="AN2940" t="s">
        <v>315</v>
      </c>
      <c r="AT2940" t="s">
        <v>315</v>
      </c>
      <c r="AU2940" t="s">
        <v>315</v>
      </c>
      <c r="AX2940">
        <v>676</v>
      </c>
      <c r="AZ2940" t="s">
        <v>794</v>
      </c>
      <c r="BA2940">
        <v>0</v>
      </c>
      <c r="BC2940" t="s">
        <v>5982</v>
      </c>
      <c r="BD2940" s="4">
        <v>43283.09652777778</v>
      </c>
      <c r="BE2940" s="4">
        <v>43283.113749999997</v>
      </c>
      <c r="BF2940" s="4">
        <v>43283.113749999997</v>
      </c>
      <c r="BG2940" t="s">
        <v>83</v>
      </c>
      <c r="BH2940" t="s">
        <v>84</v>
      </c>
      <c r="BI2940" t="s">
        <v>85</v>
      </c>
    </row>
    <row r="2941" spans="1:61" x14ac:dyDescent="0.3">
      <c r="A2941" t="str">
        <f>"200478C0300"</f>
        <v>200478C0300</v>
      </c>
      <c r="B2941" t="s">
        <v>5983</v>
      </c>
      <c r="C2941">
        <v>20</v>
      </c>
      <c r="D2941" t="s">
        <v>79</v>
      </c>
      <c r="E2941">
        <v>14</v>
      </c>
      <c r="F2941" t="s">
        <v>5455</v>
      </c>
      <c r="G2941">
        <v>478</v>
      </c>
      <c r="H2941">
        <v>3</v>
      </c>
      <c r="I2941" t="s">
        <v>89</v>
      </c>
      <c r="J2941">
        <v>0</v>
      </c>
      <c r="K2941">
        <v>1</v>
      </c>
      <c r="L2941">
        <v>2</v>
      </c>
      <c r="M2941">
        <v>256</v>
      </c>
      <c r="N2941">
        <v>442</v>
      </c>
      <c r="O2941">
        <v>1</v>
      </c>
      <c r="P2941">
        <v>446</v>
      </c>
      <c r="Q2941">
        <v>43</v>
      </c>
      <c r="R2941">
        <v>54</v>
      </c>
      <c r="S2941">
        <v>10</v>
      </c>
      <c r="T2941">
        <v>28</v>
      </c>
      <c r="U2941">
        <v>20</v>
      </c>
      <c r="V2941">
        <v>5</v>
      </c>
      <c r="W2941">
        <v>8</v>
      </c>
      <c r="X2941">
        <v>7</v>
      </c>
      <c r="Y2941">
        <v>220</v>
      </c>
      <c r="Z2941">
        <v>7</v>
      </c>
      <c r="AA2941">
        <v>7</v>
      </c>
      <c r="AB2941">
        <v>12</v>
      </c>
      <c r="AC2941">
        <v>0</v>
      </c>
      <c r="AD2941">
        <v>0</v>
      </c>
      <c r="AE2941">
        <v>0</v>
      </c>
      <c r="AF2941">
        <v>0</v>
      </c>
      <c r="AK2941">
        <v>3</v>
      </c>
      <c r="AL2941">
        <v>4</v>
      </c>
      <c r="AM2941">
        <v>0</v>
      </c>
      <c r="AN2941">
        <v>2</v>
      </c>
      <c r="AT2941">
        <v>1</v>
      </c>
      <c r="AU2941">
        <v>15</v>
      </c>
      <c r="AV2941">
        <v>446</v>
      </c>
      <c r="AW2941">
        <v>446</v>
      </c>
      <c r="AX2941">
        <v>676</v>
      </c>
      <c r="BA2941">
        <v>1</v>
      </c>
      <c r="BC2941" t="s">
        <v>5984</v>
      </c>
      <c r="BD2941" s="4">
        <v>43283.238888888889</v>
      </c>
      <c r="BE2941" s="4">
        <v>43283.263553240744</v>
      </c>
      <c r="BF2941" s="4">
        <v>43283.263553240744</v>
      </c>
      <c r="BG2941" t="s">
        <v>83</v>
      </c>
      <c r="BH2941" t="s">
        <v>84</v>
      </c>
      <c r="BI2941" t="s">
        <v>85</v>
      </c>
    </row>
    <row r="2942" spans="1:61" x14ac:dyDescent="0.3">
      <c r="A2942" t="str">
        <f>"200478C0400"</f>
        <v>200478C0400</v>
      </c>
      <c r="B2942" t="s">
        <v>5985</v>
      </c>
      <c r="C2942">
        <v>20</v>
      </c>
      <c r="D2942" t="s">
        <v>79</v>
      </c>
      <c r="E2942">
        <v>14</v>
      </c>
      <c r="F2942" t="s">
        <v>5455</v>
      </c>
      <c r="G2942">
        <v>478</v>
      </c>
      <c r="H2942">
        <v>4</v>
      </c>
      <c r="I2942" t="s">
        <v>89</v>
      </c>
      <c r="J2942">
        <v>0</v>
      </c>
      <c r="K2942">
        <v>1</v>
      </c>
      <c r="L2942">
        <v>2</v>
      </c>
      <c r="M2942">
        <v>269</v>
      </c>
      <c r="N2942">
        <v>429</v>
      </c>
      <c r="O2942">
        <v>4</v>
      </c>
      <c r="P2942">
        <v>429</v>
      </c>
      <c r="Q2942">
        <v>43</v>
      </c>
      <c r="R2942">
        <v>66</v>
      </c>
      <c r="S2942">
        <v>7</v>
      </c>
      <c r="T2942">
        <v>14</v>
      </c>
      <c r="U2942">
        <v>13</v>
      </c>
      <c r="V2942">
        <v>5</v>
      </c>
      <c r="W2942">
        <v>5</v>
      </c>
      <c r="X2942">
        <v>8</v>
      </c>
      <c r="Y2942">
        <v>208</v>
      </c>
      <c r="Z2942">
        <v>6</v>
      </c>
      <c r="AA2942">
        <v>4</v>
      </c>
      <c r="AB2942">
        <v>13</v>
      </c>
      <c r="AC2942">
        <v>2</v>
      </c>
      <c r="AD2942">
        <v>0</v>
      </c>
      <c r="AE2942">
        <v>1</v>
      </c>
      <c r="AF2942">
        <v>0</v>
      </c>
      <c r="AK2942">
        <v>7</v>
      </c>
      <c r="AL2942">
        <v>2</v>
      </c>
      <c r="AM2942">
        <v>0</v>
      </c>
      <c r="AN2942">
        <v>0</v>
      </c>
      <c r="AT2942">
        <v>2</v>
      </c>
      <c r="AU2942">
        <v>18</v>
      </c>
      <c r="AV2942">
        <v>424</v>
      </c>
      <c r="AW2942">
        <v>424</v>
      </c>
      <c r="AX2942">
        <v>676</v>
      </c>
      <c r="BA2942">
        <v>1</v>
      </c>
      <c r="BC2942" t="s">
        <v>5986</v>
      </c>
      <c r="BD2942" s="4">
        <v>43283.215277777781</v>
      </c>
      <c r="BE2942" s="4">
        <v>43283.236597222225</v>
      </c>
      <c r="BF2942" s="4">
        <v>43283.236597222225</v>
      </c>
      <c r="BG2942" t="s">
        <v>83</v>
      </c>
      <c r="BH2942" t="s">
        <v>84</v>
      </c>
      <c r="BI2942" t="s">
        <v>85</v>
      </c>
    </row>
    <row r="2943" spans="1:61" x14ac:dyDescent="0.3">
      <c r="A2943" t="str">
        <f>"200479B0100"</f>
        <v>200479B0100</v>
      </c>
      <c r="B2943" t="s">
        <v>5987</v>
      </c>
      <c r="C2943">
        <v>20</v>
      </c>
      <c r="D2943" t="s">
        <v>79</v>
      </c>
      <c r="E2943">
        <v>14</v>
      </c>
      <c r="F2943" t="s">
        <v>5455</v>
      </c>
      <c r="G2943">
        <v>479</v>
      </c>
      <c r="H2943">
        <v>1</v>
      </c>
      <c r="I2943" t="s">
        <v>81</v>
      </c>
      <c r="J2943">
        <v>0</v>
      </c>
      <c r="K2943">
        <v>1</v>
      </c>
      <c r="L2943">
        <v>2</v>
      </c>
      <c r="M2943">
        <v>256</v>
      </c>
      <c r="N2943">
        <v>369</v>
      </c>
      <c r="O2943">
        <v>6</v>
      </c>
      <c r="P2943">
        <v>369</v>
      </c>
      <c r="Q2943">
        <v>37</v>
      </c>
      <c r="R2943">
        <v>61</v>
      </c>
      <c r="S2943">
        <v>10</v>
      </c>
      <c r="T2943">
        <v>6</v>
      </c>
      <c r="U2943">
        <v>16</v>
      </c>
      <c r="V2943">
        <v>3</v>
      </c>
      <c r="W2943">
        <v>2</v>
      </c>
      <c r="X2943">
        <v>7</v>
      </c>
      <c r="Y2943">
        <v>171</v>
      </c>
      <c r="Z2943">
        <v>14</v>
      </c>
      <c r="AA2943">
        <v>4</v>
      </c>
      <c r="AB2943">
        <v>17</v>
      </c>
      <c r="AC2943">
        <v>2</v>
      </c>
      <c r="AD2943">
        <v>0</v>
      </c>
      <c r="AE2943">
        <v>0</v>
      </c>
      <c r="AF2943">
        <v>0</v>
      </c>
      <c r="AK2943">
        <v>3</v>
      </c>
      <c r="AL2943">
        <v>2</v>
      </c>
      <c r="AM2943">
        <v>1</v>
      </c>
      <c r="AN2943">
        <v>0</v>
      </c>
      <c r="AT2943">
        <v>0</v>
      </c>
      <c r="AU2943">
        <v>13</v>
      </c>
      <c r="AV2943">
        <v>369</v>
      </c>
      <c r="AW2943">
        <v>369</v>
      </c>
      <c r="AX2943">
        <v>603</v>
      </c>
      <c r="BA2943">
        <v>1</v>
      </c>
      <c r="BC2943" t="s">
        <v>5988</v>
      </c>
      <c r="BD2943" s="4">
        <v>43283.196527777778</v>
      </c>
      <c r="BE2943" s="4">
        <v>43283.214375000003</v>
      </c>
      <c r="BF2943" s="4">
        <v>43283.214375000003</v>
      </c>
      <c r="BG2943" t="s">
        <v>83</v>
      </c>
      <c r="BH2943" t="s">
        <v>84</v>
      </c>
      <c r="BI2943" t="s">
        <v>85</v>
      </c>
    </row>
    <row r="2944" spans="1:61" x14ac:dyDescent="0.3">
      <c r="A2944" t="str">
        <f>"200479C0100"</f>
        <v>200479C0100</v>
      </c>
      <c r="B2944" t="s">
        <v>5989</v>
      </c>
      <c r="C2944">
        <v>20</v>
      </c>
      <c r="D2944" t="s">
        <v>79</v>
      </c>
      <c r="E2944">
        <v>14</v>
      </c>
      <c r="F2944" t="s">
        <v>5455</v>
      </c>
      <c r="G2944">
        <v>479</v>
      </c>
      <c r="H2944">
        <v>1</v>
      </c>
      <c r="I2944" t="s">
        <v>89</v>
      </c>
      <c r="J2944">
        <v>0</v>
      </c>
      <c r="K2944">
        <v>1</v>
      </c>
      <c r="L2944">
        <v>2</v>
      </c>
      <c r="M2944">
        <v>238</v>
      </c>
      <c r="N2944">
        <v>387</v>
      </c>
      <c r="O2944">
        <v>10</v>
      </c>
      <c r="P2944">
        <v>386</v>
      </c>
      <c r="Q2944">
        <v>49</v>
      </c>
      <c r="R2944">
        <v>47</v>
      </c>
      <c r="S2944">
        <v>12</v>
      </c>
      <c r="T2944">
        <v>13</v>
      </c>
      <c r="U2944">
        <v>19</v>
      </c>
      <c r="V2944">
        <v>5</v>
      </c>
      <c r="W2944">
        <v>9</v>
      </c>
      <c r="X2944">
        <v>7</v>
      </c>
      <c r="Y2944">
        <v>186</v>
      </c>
      <c r="Z2944">
        <v>12</v>
      </c>
      <c r="AA2944">
        <v>1</v>
      </c>
      <c r="AB2944">
        <v>3</v>
      </c>
      <c r="AC2944">
        <v>1</v>
      </c>
      <c r="AD2944">
        <v>0</v>
      </c>
      <c r="AE2944">
        <v>0</v>
      </c>
      <c r="AF2944">
        <v>0</v>
      </c>
      <c r="AK2944">
        <v>2</v>
      </c>
      <c r="AL2944">
        <v>2</v>
      </c>
      <c r="AM2944">
        <v>0</v>
      </c>
      <c r="AN2944">
        <v>2</v>
      </c>
      <c r="AT2944">
        <v>0</v>
      </c>
      <c r="AU2944">
        <v>16</v>
      </c>
      <c r="AV2944">
        <v>386</v>
      </c>
      <c r="AW2944">
        <v>386</v>
      </c>
      <c r="AX2944">
        <v>603</v>
      </c>
      <c r="BA2944">
        <v>1</v>
      </c>
      <c r="BC2944" t="s">
        <v>5990</v>
      </c>
      <c r="BD2944" s="4">
        <v>43283.225694444445</v>
      </c>
      <c r="BE2944" s="4">
        <v>43283.24827546296</v>
      </c>
      <c r="BF2944" s="4">
        <v>43283.24827546296</v>
      </c>
      <c r="BG2944" t="s">
        <v>83</v>
      </c>
      <c r="BH2944" t="s">
        <v>84</v>
      </c>
      <c r="BI2944" t="s">
        <v>85</v>
      </c>
    </row>
    <row r="2945" spans="1:61" x14ac:dyDescent="0.3">
      <c r="A2945" t="str">
        <f>"200479C0200"</f>
        <v>200479C0200</v>
      </c>
      <c r="B2945" t="s">
        <v>5991</v>
      </c>
      <c r="C2945">
        <v>20</v>
      </c>
      <c r="D2945" t="s">
        <v>79</v>
      </c>
      <c r="E2945">
        <v>14</v>
      </c>
      <c r="F2945" t="s">
        <v>5455</v>
      </c>
      <c r="G2945">
        <v>479</v>
      </c>
      <c r="H2945">
        <v>2</v>
      </c>
      <c r="I2945" t="s">
        <v>89</v>
      </c>
      <c r="J2945">
        <v>0</v>
      </c>
      <c r="K2945">
        <v>1</v>
      </c>
      <c r="L2945">
        <v>2</v>
      </c>
      <c r="M2945">
        <v>238</v>
      </c>
      <c r="N2945">
        <v>387</v>
      </c>
      <c r="O2945">
        <v>7</v>
      </c>
      <c r="P2945">
        <v>387</v>
      </c>
      <c r="Q2945">
        <v>42</v>
      </c>
      <c r="R2945">
        <v>47</v>
      </c>
      <c r="S2945">
        <v>7</v>
      </c>
      <c r="T2945">
        <v>16</v>
      </c>
      <c r="U2945">
        <v>14</v>
      </c>
      <c r="V2945">
        <v>7</v>
      </c>
      <c r="W2945">
        <v>6</v>
      </c>
      <c r="X2945">
        <v>4</v>
      </c>
      <c r="Y2945">
        <v>193</v>
      </c>
      <c r="Z2945">
        <v>6</v>
      </c>
      <c r="AA2945">
        <v>3</v>
      </c>
      <c r="AB2945">
        <v>12</v>
      </c>
      <c r="AC2945">
        <v>0</v>
      </c>
      <c r="AD2945">
        <v>1</v>
      </c>
      <c r="AE2945">
        <v>0</v>
      </c>
      <c r="AF2945">
        <v>0</v>
      </c>
      <c r="AK2945">
        <v>11</v>
      </c>
      <c r="AL2945">
        <v>1</v>
      </c>
      <c r="AM2945">
        <v>0</v>
      </c>
      <c r="AN2945">
        <v>0</v>
      </c>
      <c r="AT2945">
        <v>0</v>
      </c>
      <c r="AU2945">
        <v>17</v>
      </c>
      <c r="AV2945">
        <v>387</v>
      </c>
      <c r="AW2945">
        <v>387</v>
      </c>
      <c r="AX2945">
        <v>603</v>
      </c>
      <c r="BA2945">
        <v>1</v>
      </c>
      <c r="BC2945" t="s">
        <v>5992</v>
      </c>
      <c r="BD2945" s="4">
        <v>43283.168055555558</v>
      </c>
      <c r="BE2945" s="4">
        <v>43283.181469907409</v>
      </c>
      <c r="BF2945" s="4">
        <v>43283.181469907409</v>
      </c>
      <c r="BG2945" t="s">
        <v>83</v>
      </c>
      <c r="BH2945" t="s">
        <v>84</v>
      </c>
      <c r="BI2945" t="s">
        <v>85</v>
      </c>
    </row>
    <row r="2946" spans="1:61" x14ac:dyDescent="0.3">
      <c r="A2946" t="str">
        <f>"200480B0100"</f>
        <v>200480B0100</v>
      </c>
      <c r="B2946" t="s">
        <v>5993</v>
      </c>
      <c r="C2946">
        <v>20</v>
      </c>
      <c r="D2946" t="s">
        <v>79</v>
      </c>
      <c r="E2946">
        <v>14</v>
      </c>
      <c r="F2946" t="s">
        <v>5455</v>
      </c>
      <c r="G2946">
        <v>480</v>
      </c>
      <c r="H2946">
        <v>1</v>
      </c>
      <c r="I2946" t="s">
        <v>81</v>
      </c>
      <c r="J2946">
        <v>0</v>
      </c>
      <c r="K2946">
        <v>1</v>
      </c>
      <c r="L2946">
        <v>2</v>
      </c>
      <c r="M2946" t="s">
        <v>100</v>
      </c>
      <c r="N2946" t="s">
        <v>100</v>
      </c>
      <c r="O2946" t="s">
        <v>100</v>
      </c>
      <c r="P2946" t="s">
        <v>100</v>
      </c>
      <c r="Q2946">
        <v>142</v>
      </c>
      <c r="R2946">
        <v>98</v>
      </c>
      <c r="S2946">
        <v>7</v>
      </c>
      <c r="T2946">
        <v>12</v>
      </c>
      <c r="U2946">
        <v>12</v>
      </c>
      <c r="V2946">
        <v>7</v>
      </c>
      <c r="W2946">
        <v>8</v>
      </c>
      <c r="X2946">
        <v>11</v>
      </c>
      <c r="Y2946">
        <v>112</v>
      </c>
      <c r="Z2946">
        <v>7</v>
      </c>
      <c r="AA2946">
        <v>2</v>
      </c>
      <c r="AB2946">
        <v>4</v>
      </c>
      <c r="AC2946">
        <v>2</v>
      </c>
      <c r="AD2946">
        <v>4</v>
      </c>
      <c r="AE2946">
        <v>0</v>
      </c>
      <c r="AF2946">
        <v>0</v>
      </c>
      <c r="AK2946">
        <v>2</v>
      </c>
      <c r="AL2946">
        <v>2</v>
      </c>
      <c r="AM2946">
        <v>0</v>
      </c>
      <c r="AN2946">
        <v>0</v>
      </c>
      <c r="AT2946">
        <v>1</v>
      </c>
      <c r="AU2946">
        <v>15</v>
      </c>
      <c r="AV2946">
        <v>448</v>
      </c>
      <c r="AW2946">
        <v>448</v>
      </c>
      <c r="AX2946">
        <v>627</v>
      </c>
      <c r="BA2946">
        <v>1</v>
      </c>
      <c r="BC2946" t="s">
        <v>5994</v>
      </c>
      <c r="BD2946" s="4">
        <v>43283.051388888889</v>
      </c>
      <c r="BE2946" s="4">
        <v>43283.055358796293</v>
      </c>
      <c r="BF2946" s="4">
        <v>43283.055358796293</v>
      </c>
      <c r="BG2946" t="s">
        <v>83</v>
      </c>
      <c r="BH2946" t="s">
        <v>84</v>
      </c>
      <c r="BI2946" t="s">
        <v>85</v>
      </c>
    </row>
    <row r="2947" spans="1:61" x14ac:dyDescent="0.3">
      <c r="A2947" t="str">
        <f>"200480C0100"</f>
        <v>200480C0100</v>
      </c>
      <c r="B2947" t="s">
        <v>5995</v>
      </c>
      <c r="C2947">
        <v>20</v>
      </c>
      <c r="D2947" t="s">
        <v>79</v>
      </c>
      <c r="E2947">
        <v>14</v>
      </c>
      <c r="F2947" t="s">
        <v>5455</v>
      </c>
      <c r="G2947">
        <v>480</v>
      </c>
      <c r="H2947">
        <v>1</v>
      </c>
      <c r="I2947" t="s">
        <v>89</v>
      </c>
      <c r="J2947">
        <v>0</v>
      </c>
      <c r="K2947">
        <v>1</v>
      </c>
      <c r="L2947">
        <v>2</v>
      </c>
      <c r="M2947">
        <v>221</v>
      </c>
      <c r="N2947">
        <v>426</v>
      </c>
      <c r="O2947">
        <v>9</v>
      </c>
      <c r="P2947">
        <v>427</v>
      </c>
      <c r="Q2947">
        <v>98</v>
      </c>
      <c r="R2947">
        <v>88</v>
      </c>
      <c r="S2947">
        <v>6</v>
      </c>
      <c r="T2947">
        <v>14</v>
      </c>
      <c r="U2947">
        <v>14</v>
      </c>
      <c r="V2947">
        <v>7</v>
      </c>
      <c r="W2947">
        <v>7</v>
      </c>
      <c r="X2947">
        <v>11</v>
      </c>
      <c r="Y2947">
        <v>137</v>
      </c>
      <c r="Z2947">
        <v>1</v>
      </c>
      <c r="AA2947">
        <v>4</v>
      </c>
      <c r="AB2947">
        <v>8</v>
      </c>
      <c r="AC2947">
        <v>0</v>
      </c>
      <c r="AD2947">
        <v>0</v>
      </c>
      <c r="AE2947">
        <v>0</v>
      </c>
      <c r="AF2947">
        <v>0</v>
      </c>
      <c r="AK2947">
        <v>3</v>
      </c>
      <c r="AL2947">
        <v>0</v>
      </c>
      <c r="AM2947">
        <v>0</v>
      </c>
      <c r="AN2947">
        <v>0</v>
      </c>
      <c r="AT2947">
        <v>1</v>
      </c>
      <c r="AU2947">
        <v>28</v>
      </c>
      <c r="AV2947">
        <v>427</v>
      </c>
      <c r="AW2947">
        <v>427</v>
      </c>
      <c r="AX2947">
        <v>626</v>
      </c>
      <c r="BA2947">
        <v>1</v>
      </c>
      <c r="BC2947" t="s">
        <v>5996</v>
      </c>
      <c r="BD2947" s="4">
        <v>43283.003472222219</v>
      </c>
      <c r="BE2947" s="4">
        <v>43283.007997685185</v>
      </c>
      <c r="BF2947" s="4">
        <v>43283.007997685185</v>
      </c>
      <c r="BG2947" t="s">
        <v>83</v>
      </c>
      <c r="BH2947" t="s">
        <v>84</v>
      </c>
      <c r="BI2947" t="s">
        <v>85</v>
      </c>
    </row>
    <row r="2948" spans="1:61" x14ac:dyDescent="0.3">
      <c r="A2948" t="str">
        <f>"200480C0200"</f>
        <v>200480C0200</v>
      </c>
      <c r="B2948" t="s">
        <v>5997</v>
      </c>
      <c r="C2948">
        <v>20</v>
      </c>
      <c r="D2948" t="s">
        <v>79</v>
      </c>
      <c r="E2948">
        <v>14</v>
      </c>
      <c r="F2948" t="s">
        <v>5455</v>
      </c>
      <c r="G2948">
        <v>480</v>
      </c>
      <c r="H2948">
        <v>2</v>
      </c>
      <c r="I2948" t="s">
        <v>89</v>
      </c>
      <c r="J2948">
        <v>0</v>
      </c>
      <c r="K2948">
        <v>1</v>
      </c>
      <c r="L2948">
        <v>2</v>
      </c>
      <c r="M2948">
        <v>195</v>
      </c>
      <c r="N2948">
        <v>453</v>
      </c>
      <c r="O2948">
        <v>9</v>
      </c>
      <c r="P2948">
        <v>451</v>
      </c>
      <c r="Q2948">
        <v>115</v>
      </c>
      <c r="R2948">
        <v>98</v>
      </c>
      <c r="S2948">
        <v>7</v>
      </c>
      <c r="T2948">
        <v>10</v>
      </c>
      <c r="U2948">
        <v>11</v>
      </c>
      <c r="V2948">
        <v>7</v>
      </c>
      <c r="W2948">
        <v>3</v>
      </c>
      <c r="X2948">
        <v>13</v>
      </c>
      <c r="Y2948">
        <v>130</v>
      </c>
      <c r="Z2948">
        <v>7</v>
      </c>
      <c r="AA2948">
        <v>3</v>
      </c>
      <c r="AB2948">
        <v>7</v>
      </c>
      <c r="AC2948">
        <v>1</v>
      </c>
      <c r="AD2948">
        <v>0</v>
      </c>
      <c r="AE2948">
        <v>0</v>
      </c>
      <c r="AF2948">
        <v>0</v>
      </c>
      <c r="AK2948">
        <v>5</v>
      </c>
      <c r="AL2948">
        <v>0</v>
      </c>
      <c r="AM2948">
        <v>0</v>
      </c>
      <c r="AN2948">
        <v>0</v>
      </c>
      <c r="AT2948">
        <v>0</v>
      </c>
      <c r="AU2948">
        <v>34</v>
      </c>
      <c r="AV2948">
        <v>451</v>
      </c>
      <c r="AW2948">
        <v>451</v>
      </c>
      <c r="AX2948">
        <v>626</v>
      </c>
      <c r="BA2948">
        <v>1</v>
      </c>
      <c r="BC2948" t="s">
        <v>5998</v>
      </c>
      <c r="BD2948" s="4">
        <v>43283.052083333336</v>
      </c>
      <c r="BE2948" s="4">
        <v>43283.05672453704</v>
      </c>
      <c r="BF2948" s="4">
        <v>43283.05672453704</v>
      </c>
      <c r="BG2948" t="s">
        <v>83</v>
      </c>
      <c r="BH2948" t="s">
        <v>84</v>
      </c>
      <c r="BI2948" t="s">
        <v>85</v>
      </c>
    </row>
    <row r="2949" spans="1:61" x14ac:dyDescent="0.3">
      <c r="A2949" t="str">
        <f>"200481B0100"</f>
        <v>200481B0100</v>
      </c>
      <c r="B2949" t="s">
        <v>5999</v>
      </c>
      <c r="C2949">
        <v>20</v>
      </c>
      <c r="D2949" t="s">
        <v>79</v>
      </c>
      <c r="E2949">
        <v>14</v>
      </c>
      <c r="F2949" t="s">
        <v>5455</v>
      </c>
      <c r="G2949">
        <v>481</v>
      </c>
      <c r="H2949">
        <v>1</v>
      </c>
      <c r="I2949" t="s">
        <v>81</v>
      </c>
      <c r="J2949">
        <v>0</v>
      </c>
      <c r="K2949">
        <v>1</v>
      </c>
      <c r="L2949">
        <v>2</v>
      </c>
      <c r="M2949">
        <v>226</v>
      </c>
      <c r="N2949">
        <v>510</v>
      </c>
      <c r="O2949">
        <v>4</v>
      </c>
      <c r="P2949">
        <v>510</v>
      </c>
      <c r="Q2949">
        <v>117</v>
      </c>
      <c r="R2949">
        <v>78</v>
      </c>
      <c r="S2949">
        <v>13</v>
      </c>
      <c r="T2949">
        <v>18</v>
      </c>
      <c r="U2949">
        <v>13</v>
      </c>
      <c r="V2949">
        <v>8</v>
      </c>
      <c r="W2949">
        <v>15</v>
      </c>
      <c r="X2949">
        <v>10</v>
      </c>
      <c r="Y2949">
        <v>182</v>
      </c>
      <c r="Z2949">
        <v>0</v>
      </c>
      <c r="AA2949">
        <v>12</v>
      </c>
      <c r="AB2949">
        <v>12</v>
      </c>
      <c r="AC2949">
        <v>1</v>
      </c>
      <c r="AD2949">
        <v>0</v>
      </c>
      <c r="AE2949">
        <v>0</v>
      </c>
      <c r="AF2949">
        <v>0</v>
      </c>
      <c r="AK2949">
        <v>3</v>
      </c>
      <c r="AL2949">
        <v>1</v>
      </c>
      <c r="AM2949">
        <v>1</v>
      </c>
      <c r="AN2949">
        <v>0</v>
      </c>
      <c r="AT2949">
        <v>0</v>
      </c>
      <c r="AU2949">
        <v>26</v>
      </c>
      <c r="AV2949">
        <v>510</v>
      </c>
      <c r="AW2949">
        <v>510</v>
      </c>
      <c r="AX2949">
        <v>714</v>
      </c>
      <c r="BA2949">
        <v>1</v>
      </c>
      <c r="BC2949" t="s">
        <v>6000</v>
      </c>
      <c r="BD2949" s="4">
        <v>43283.053472222222</v>
      </c>
      <c r="BE2949" s="4">
        <v>43283.058553240742</v>
      </c>
      <c r="BF2949" s="4">
        <v>43283.058553240742</v>
      </c>
      <c r="BG2949" t="s">
        <v>83</v>
      </c>
      <c r="BH2949" t="s">
        <v>84</v>
      </c>
      <c r="BI2949" t="s">
        <v>85</v>
      </c>
    </row>
    <row r="2950" spans="1:61" x14ac:dyDescent="0.3">
      <c r="A2950" t="str">
        <f>"200481C0100"</f>
        <v>200481C0100</v>
      </c>
      <c r="B2950" t="s">
        <v>6001</v>
      </c>
      <c r="C2950">
        <v>20</v>
      </c>
      <c r="D2950" t="s">
        <v>79</v>
      </c>
      <c r="E2950">
        <v>14</v>
      </c>
      <c r="F2950" t="s">
        <v>5455</v>
      </c>
      <c r="G2950">
        <v>481</v>
      </c>
      <c r="H2950">
        <v>1</v>
      </c>
      <c r="I2950" t="s">
        <v>89</v>
      </c>
      <c r="J2950">
        <v>0</v>
      </c>
      <c r="K2950">
        <v>1</v>
      </c>
      <c r="L2950">
        <v>2</v>
      </c>
      <c r="M2950">
        <v>235</v>
      </c>
      <c r="N2950">
        <v>508</v>
      </c>
      <c r="O2950">
        <v>7</v>
      </c>
      <c r="P2950">
        <v>497</v>
      </c>
      <c r="Q2950">
        <v>130</v>
      </c>
      <c r="R2950">
        <v>74</v>
      </c>
      <c r="S2950">
        <v>11</v>
      </c>
      <c r="T2950">
        <v>12</v>
      </c>
      <c r="U2950">
        <v>12</v>
      </c>
      <c r="V2950">
        <v>8</v>
      </c>
      <c r="W2950">
        <v>11</v>
      </c>
      <c r="X2950">
        <v>6</v>
      </c>
      <c r="Y2950">
        <v>192</v>
      </c>
      <c r="Z2950">
        <v>10</v>
      </c>
      <c r="AA2950">
        <v>2</v>
      </c>
      <c r="AB2950">
        <v>7</v>
      </c>
      <c r="AC2950">
        <v>1</v>
      </c>
      <c r="AD2950">
        <v>0</v>
      </c>
      <c r="AE2950">
        <v>0</v>
      </c>
      <c r="AF2950">
        <v>0</v>
      </c>
      <c r="AK2950">
        <v>1</v>
      </c>
      <c r="AL2950">
        <v>0</v>
      </c>
      <c r="AM2950">
        <v>0</v>
      </c>
      <c r="AN2950">
        <v>0</v>
      </c>
      <c r="AT2950">
        <v>0</v>
      </c>
      <c r="AU2950">
        <v>24</v>
      </c>
      <c r="AV2950">
        <v>501</v>
      </c>
      <c r="AW2950">
        <v>501</v>
      </c>
      <c r="AX2950">
        <v>714</v>
      </c>
      <c r="BA2950">
        <v>1</v>
      </c>
      <c r="BC2950" t="s">
        <v>6002</v>
      </c>
      <c r="BD2950" s="4">
        <v>43283.211805555555</v>
      </c>
      <c r="BE2950" s="4">
        <v>43283.234201388892</v>
      </c>
      <c r="BF2950" s="4">
        <v>43283.234201388892</v>
      </c>
      <c r="BG2950" t="s">
        <v>83</v>
      </c>
      <c r="BH2950" t="s">
        <v>84</v>
      </c>
      <c r="BI2950" t="s">
        <v>85</v>
      </c>
    </row>
    <row r="2951" spans="1:61" x14ac:dyDescent="0.3">
      <c r="A2951" t="str">
        <f>"200481C0200"</f>
        <v>200481C0200</v>
      </c>
      <c r="B2951" t="s">
        <v>6003</v>
      </c>
      <c r="C2951">
        <v>20</v>
      </c>
      <c r="D2951" t="s">
        <v>79</v>
      </c>
      <c r="E2951">
        <v>14</v>
      </c>
      <c r="F2951" t="s">
        <v>5455</v>
      </c>
      <c r="G2951">
        <v>481</v>
      </c>
      <c r="H2951">
        <v>2</v>
      </c>
      <c r="I2951" t="s">
        <v>89</v>
      </c>
      <c r="J2951">
        <v>0</v>
      </c>
      <c r="K2951">
        <v>1</v>
      </c>
      <c r="L2951">
        <v>2</v>
      </c>
      <c r="M2951">
        <v>244</v>
      </c>
      <c r="N2951">
        <v>491</v>
      </c>
      <c r="O2951">
        <v>4</v>
      </c>
      <c r="P2951">
        <v>491</v>
      </c>
      <c r="Q2951">
        <v>90</v>
      </c>
      <c r="R2951">
        <v>69</v>
      </c>
      <c r="S2951">
        <v>7</v>
      </c>
      <c r="T2951">
        <v>14</v>
      </c>
      <c r="U2951">
        <v>12</v>
      </c>
      <c r="V2951">
        <v>6</v>
      </c>
      <c r="W2951">
        <v>2</v>
      </c>
      <c r="X2951">
        <v>7</v>
      </c>
      <c r="Y2951">
        <v>229</v>
      </c>
      <c r="Z2951">
        <v>6</v>
      </c>
      <c r="AA2951">
        <v>2</v>
      </c>
      <c r="AB2951">
        <v>12</v>
      </c>
      <c r="AC2951">
        <v>1</v>
      </c>
      <c r="AD2951">
        <v>2</v>
      </c>
      <c r="AE2951">
        <v>0</v>
      </c>
      <c r="AF2951">
        <v>0</v>
      </c>
      <c r="AK2951">
        <v>5</v>
      </c>
      <c r="AL2951">
        <v>0</v>
      </c>
      <c r="AM2951">
        <v>0</v>
      </c>
      <c r="AN2951">
        <v>1</v>
      </c>
      <c r="AT2951">
        <v>1</v>
      </c>
      <c r="AU2951">
        <v>25</v>
      </c>
      <c r="AV2951">
        <v>491</v>
      </c>
      <c r="AW2951">
        <v>491</v>
      </c>
      <c r="AX2951">
        <v>714</v>
      </c>
      <c r="BA2951">
        <v>1</v>
      </c>
      <c r="BC2951" t="s">
        <v>6004</v>
      </c>
      <c r="BD2951" s="4">
        <v>43283.227777777778</v>
      </c>
      <c r="BE2951" s="4">
        <v>43283.252233796295</v>
      </c>
      <c r="BF2951" s="4">
        <v>43283.252233796295</v>
      </c>
      <c r="BG2951" t="s">
        <v>83</v>
      </c>
      <c r="BH2951" t="s">
        <v>84</v>
      </c>
      <c r="BI2951" t="s">
        <v>85</v>
      </c>
    </row>
    <row r="2952" spans="1:61" x14ac:dyDescent="0.3">
      <c r="A2952" t="str">
        <f>"200481C0300"</f>
        <v>200481C0300</v>
      </c>
      <c r="B2952" t="s">
        <v>6005</v>
      </c>
      <c r="C2952">
        <v>20</v>
      </c>
      <c r="D2952" t="s">
        <v>79</v>
      </c>
      <c r="E2952">
        <v>14</v>
      </c>
      <c r="F2952" t="s">
        <v>5455</v>
      </c>
      <c r="G2952">
        <v>481</v>
      </c>
      <c r="H2952">
        <v>3</v>
      </c>
      <c r="I2952" t="s">
        <v>89</v>
      </c>
      <c r="J2952">
        <v>0</v>
      </c>
      <c r="K2952">
        <v>1</v>
      </c>
      <c r="L2952">
        <v>2</v>
      </c>
      <c r="M2952">
        <v>267</v>
      </c>
      <c r="N2952">
        <v>466</v>
      </c>
      <c r="O2952">
        <v>1</v>
      </c>
      <c r="P2952" t="s">
        <v>100</v>
      </c>
      <c r="Q2952">
        <v>97</v>
      </c>
      <c r="R2952">
        <v>81</v>
      </c>
      <c r="S2952">
        <v>11</v>
      </c>
      <c r="T2952">
        <v>13</v>
      </c>
      <c r="U2952">
        <v>9</v>
      </c>
      <c r="V2952">
        <v>7</v>
      </c>
      <c r="W2952">
        <v>13</v>
      </c>
      <c r="X2952">
        <v>7</v>
      </c>
      <c r="Y2952">
        <v>165</v>
      </c>
      <c r="Z2952">
        <v>7</v>
      </c>
      <c r="AA2952">
        <v>5</v>
      </c>
      <c r="AB2952">
        <v>7</v>
      </c>
      <c r="AC2952">
        <v>1</v>
      </c>
      <c r="AD2952">
        <v>0</v>
      </c>
      <c r="AE2952">
        <v>0</v>
      </c>
      <c r="AF2952">
        <v>0</v>
      </c>
      <c r="AK2952">
        <v>1</v>
      </c>
      <c r="AL2952">
        <v>2</v>
      </c>
      <c r="AM2952">
        <v>0</v>
      </c>
      <c r="AN2952">
        <v>3</v>
      </c>
      <c r="AT2952">
        <v>0</v>
      </c>
      <c r="AU2952">
        <v>22</v>
      </c>
      <c r="AV2952">
        <v>444</v>
      </c>
      <c r="AW2952">
        <v>451</v>
      </c>
      <c r="AX2952">
        <v>714</v>
      </c>
      <c r="BA2952">
        <v>1</v>
      </c>
      <c r="BC2952" t="s">
        <v>6006</v>
      </c>
      <c r="BD2952" s="4">
        <v>43283.224999999999</v>
      </c>
      <c r="BE2952" s="4">
        <v>43283.248645833337</v>
      </c>
      <c r="BF2952" s="4">
        <v>43283.248645833337</v>
      </c>
      <c r="BG2952" t="s">
        <v>83</v>
      </c>
      <c r="BH2952" t="s">
        <v>84</v>
      </c>
      <c r="BI2952" t="s">
        <v>85</v>
      </c>
    </row>
    <row r="2953" spans="1:61" x14ac:dyDescent="0.3">
      <c r="A2953" t="str">
        <f>"200481C0400"</f>
        <v>200481C0400</v>
      </c>
      <c r="B2953" t="s">
        <v>6007</v>
      </c>
      <c r="C2953">
        <v>20</v>
      </c>
      <c r="D2953" t="s">
        <v>79</v>
      </c>
      <c r="E2953">
        <v>14</v>
      </c>
      <c r="F2953" t="s">
        <v>5455</v>
      </c>
      <c r="G2953">
        <v>481</v>
      </c>
      <c r="H2953">
        <v>4</v>
      </c>
      <c r="I2953" t="s">
        <v>89</v>
      </c>
      <c r="J2953">
        <v>0</v>
      </c>
      <c r="K2953">
        <v>1</v>
      </c>
      <c r="L2953">
        <v>2</v>
      </c>
      <c r="M2953">
        <v>237</v>
      </c>
      <c r="N2953">
        <v>497</v>
      </c>
      <c r="O2953">
        <v>5</v>
      </c>
      <c r="P2953">
        <v>515</v>
      </c>
      <c r="Q2953">
        <v>127</v>
      </c>
      <c r="R2953">
        <v>83</v>
      </c>
      <c r="S2953">
        <v>11</v>
      </c>
      <c r="T2953">
        <v>15</v>
      </c>
      <c r="U2953">
        <v>14</v>
      </c>
      <c r="V2953">
        <v>5</v>
      </c>
      <c r="W2953">
        <v>8</v>
      </c>
      <c r="X2953">
        <v>6</v>
      </c>
      <c r="Y2953">
        <v>208</v>
      </c>
      <c r="Z2953">
        <v>6</v>
      </c>
      <c r="AA2953">
        <v>3</v>
      </c>
      <c r="AB2953">
        <v>10</v>
      </c>
      <c r="AC2953">
        <v>0</v>
      </c>
      <c r="AD2953">
        <v>0</v>
      </c>
      <c r="AE2953">
        <v>0</v>
      </c>
      <c r="AF2953">
        <v>0</v>
      </c>
      <c r="AK2953">
        <v>3</v>
      </c>
      <c r="AL2953">
        <v>0</v>
      </c>
      <c r="AM2953">
        <v>0</v>
      </c>
      <c r="AN2953">
        <v>0</v>
      </c>
      <c r="AT2953">
        <v>0</v>
      </c>
      <c r="AU2953">
        <v>16</v>
      </c>
      <c r="AV2953">
        <v>515</v>
      </c>
      <c r="AW2953">
        <v>515</v>
      </c>
      <c r="AX2953">
        <v>714</v>
      </c>
      <c r="BA2953">
        <v>1</v>
      </c>
      <c r="BC2953" t="s">
        <v>6008</v>
      </c>
      <c r="BD2953" s="4">
        <v>43283.20416666667</v>
      </c>
      <c r="BE2953" s="4">
        <v>43283.222326388888</v>
      </c>
      <c r="BF2953" s="4">
        <v>43283.222326388888</v>
      </c>
      <c r="BG2953" t="s">
        <v>83</v>
      </c>
      <c r="BH2953" t="s">
        <v>84</v>
      </c>
      <c r="BI2953" t="s">
        <v>85</v>
      </c>
    </row>
    <row r="2954" spans="1:61" x14ac:dyDescent="0.3">
      <c r="A2954" t="str">
        <f>"200482B0100"</f>
        <v>200482B0100</v>
      </c>
      <c r="B2954" t="s">
        <v>6009</v>
      </c>
      <c r="C2954">
        <v>20</v>
      </c>
      <c r="D2954" t="s">
        <v>79</v>
      </c>
      <c r="E2954">
        <v>14</v>
      </c>
      <c r="F2954" t="s">
        <v>5455</v>
      </c>
      <c r="G2954">
        <v>482</v>
      </c>
      <c r="H2954">
        <v>1</v>
      </c>
      <c r="I2954" t="s">
        <v>81</v>
      </c>
      <c r="J2954">
        <v>0</v>
      </c>
      <c r="K2954">
        <v>1</v>
      </c>
      <c r="L2954">
        <v>2</v>
      </c>
      <c r="AX2954">
        <v>736</v>
      </c>
      <c r="AZ2954" t="s">
        <v>1868</v>
      </c>
      <c r="BA2954">
        <v>0</v>
      </c>
      <c r="BC2954" t="s">
        <v>6010</v>
      </c>
      <c r="BD2954" s="4">
        <v>43283.25</v>
      </c>
      <c r="BE2954" s="4">
        <v>43283.283993055556</v>
      </c>
      <c r="BF2954" s="4">
        <v>43283.283993055556</v>
      </c>
      <c r="BG2954" t="s">
        <v>83</v>
      </c>
      <c r="BH2954" t="s">
        <v>84</v>
      </c>
      <c r="BI2954" t="s">
        <v>85</v>
      </c>
    </row>
    <row r="2955" spans="1:61" x14ac:dyDescent="0.3">
      <c r="A2955" t="str">
        <f>"200482C0100"</f>
        <v>200482C0100</v>
      </c>
      <c r="B2955" t="s">
        <v>6011</v>
      </c>
      <c r="C2955">
        <v>20</v>
      </c>
      <c r="D2955" t="s">
        <v>79</v>
      </c>
      <c r="E2955">
        <v>14</v>
      </c>
      <c r="F2955" t="s">
        <v>5455</v>
      </c>
      <c r="G2955">
        <v>482</v>
      </c>
      <c r="H2955">
        <v>1</v>
      </c>
      <c r="I2955" t="s">
        <v>89</v>
      </c>
      <c r="J2955">
        <v>0</v>
      </c>
      <c r="K2955">
        <v>1</v>
      </c>
      <c r="L2955">
        <v>2</v>
      </c>
      <c r="M2955">
        <v>283</v>
      </c>
      <c r="N2955">
        <v>475</v>
      </c>
      <c r="O2955">
        <v>6</v>
      </c>
      <c r="P2955">
        <v>0</v>
      </c>
      <c r="Q2955">
        <v>57</v>
      </c>
      <c r="R2955">
        <v>70</v>
      </c>
      <c r="S2955">
        <v>9</v>
      </c>
      <c r="T2955">
        <v>14</v>
      </c>
      <c r="U2955">
        <v>19</v>
      </c>
      <c r="V2955">
        <v>13</v>
      </c>
      <c r="W2955">
        <v>19</v>
      </c>
      <c r="X2955">
        <v>6</v>
      </c>
      <c r="Y2955">
        <v>211</v>
      </c>
      <c r="Z2955">
        <v>5</v>
      </c>
      <c r="AA2955">
        <v>1</v>
      </c>
      <c r="AB2955">
        <v>7</v>
      </c>
      <c r="AC2955">
        <v>3</v>
      </c>
      <c r="AD2955">
        <v>0</v>
      </c>
      <c r="AE2955">
        <v>2</v>
      </c>
      <c r="AF2955">
        <v>0</v>
      </c>
      <c r="AK2955">
        <v>1</v>
      </c>
      <c r="AL2955">
        <v>2</v>
      </c>
      <c r="AM2955">
        <v>0</v>
      </c>
      <c r="AN2955">
        <v>2</v>
      </c>
      <c r="AT2955">
        <v>0</v>
      </c>
      <c r="AU2955">
        <v>29</v>
      </c>
      <c r="AV2955">
        <v>470</v>
      </c>
      <c r="AW2955">
        <v>470</v>
      </c>
      <c r="AX2955">
        <v>736</v>
      </c>
      <c r="BA2955">
        <v>1</v>
      </c>
      <c r="BC2955" t="s">
        <v>6012</v>
      </c>
      <c r="BD2955" s="4">
        <v>43283.239583333336</v>
      </c>
      <c r="BE2955" s="4">
        <v>43283.264270833337</v>
      </c>
      <c r="BF2955" s="4">
        <v>43283.264270833337</v>
      </c>
      <c r="BG2955" t="s">
        <v>83</v>
      </c>
      <c r="BH2955" t="s">
        <v>84</v>
      </c>
      <c r="BI2955" t="s">
        <v>85</v>
      </c>
    </row>
    <row r="2956" spans="1:61" x14ac:dyDescent="0.3">
      <c r="A2956" t="str">
        <f>"200482C0200"</f>
        <v>200482C0200</v>
      </c>
      <c r="B2956" t="s">
        <v>6013</v>
      </c>
      <c r="C2956">
        <v>20</v>
      </c>
      <c r="D2956" t="s">
        <v>79</v>
      </c>
      <c r="E2956">
        <v>14</v>
      </c>
      <c r="F2956" t="s">
        <v>5455</v>
      </c>
      <c r="G2956">
        <v>482</v>
      </c>
      <c r="H2956">
        <v>2</v>
      </c>
      <c r="I2956" t="s">
        <v>89</v>
      </c>
      <c r="J2956">
        <v>0</v>
      </c>
      <c r="K2956">
        <v>1</v>
      </c>
      <c r="L2956">
        <v>2</v>
      </c>
      <c r="M2956">
        <v>299</v>
      </c>
      <c r="N2956">
        <v>456</v>
      </c>
      <c r="O2956">
        <v>0</v>
      </c>
      <c r="P2956">
        <v>456</v>
      </c>
      <c r="Q2956">
        <v>59</v>
      </c>
      <c r="R2956">
        <v>65</v>
      </c>
      <c r="S2956">
        <v>12</v>
      </c>
      <c r="T2956">
        <v>19</v>
      </c>
      <c r="U2956">
        <v>24</v>
      </c>
      <c r="V2956">
        <v>10</v>
      </c>
      <c r="W2956">
        <v>9</v>
      </c>
      <c r="X2956">
        <v>4</v>
      </c>
      <c r="Y2956">
        <v>209</v>
      </c>
      <c r="Z2956">
        <v>7</v>
      </c>
      <c r="AA2956">
        <v>2</v>
      </c>
      <c r="AB2956">
        <v>6</v>
      </c>
      <c r="AC2956">
        <v>4</v>
      </c>
      <c r="AD2956">
        <v>0</v>
      </c>
      <c r="AE2956">
        <v>0</v>
      </c>
      <c r="AF2956">
        <v>0</v>
      </c>
      <c r="AK2956">
        <v>3</v>
      </c>
      <c r="AL2956">
        <v>3</v>
      </c>
      <c r="AM2956">
        <v>0</v>
      </c>
      <c r="AN2956">
        <v>1</v>
      </c>
      <c r="AT2956">
        <v>0</v>
      </c>
      <c r="AU2956">
        <v>15</v>
      </c>
      <c r="AV2956" t="s">
        <v>100</v>
      </c>
      <c r="AW2956">
        <v>452</v>
      </c>
      <c r="AX2956">
        <v>735</v>
      </c>
      <c r="BA2956">
        <v>1</v>
      </c>
      <c r="BC2956" t="s">
        <v>6014</v>
      </c>
      <c r="BD2956" s="4">
        <v>43283.258333333331</v>
      </c>
      <c r="BE2956" s="4">
        <v>43283.288587962961</v>
      </c>
      <c r="BF2956" s="4">
        <v>43283.288587962961</v>
      </c>
      <c r="BG2956" t="s">
        <v>83</v>
      </c>
      <c r="BH2956" t="s">
        <v>84</v>
      </c>
      <c r="BI2956" t="s">
        <v>85</v>
      </c>
    </row>
    <row r="2957" spans="1:61" x14ac:dyDescent="0.3">
      <c r="A2957" t="str">
        <f>"200482E0100"</f>
        <v>200482E0100</v>
      </c>
      <c r="B2957" s="2" t="s">
        <v>6015</v>
      </c>
      <c r="C2957">
        <v>20</v>
      </c>
      <c r="D2957" t="s">
        <v>79</v>
      </c>
      <c r="E2957">
        <v>14</v>
      </c>
      <c r="F2957" t="s">
        <v>5455</v>
      </c>
      <c r="G2957">
        <v>482</v>
      </c>
      <c r="H2957">
        <v>1</v>
      </c>
      <c r="I2957" t="s">
        <v>145</v>
      </c>
      <c r="J2957">
        <v>0</v>
      </c>
      <c r="K2957">
        <v>1</v>
      </c>
      <c r="L2957">
        <v>2</v>
      </c>
      <c r="M2957">
        <v>258</v>
      </c>
      <c r="N2957">
        <v>435</v>
      </c>
      <c r="O2957">
        <v>3</v>
      </c>
      <c r="P2957">
        <v>432</v>
      </c>
      <c r="Q2957">
        <v>56</v>
      </c>
      <c r="R2957">
        <v>77</v>
      </c>
      <c r="S2957">
        <v>10</v>
      </c>
      <c r="T2957">
        <v>14</v>
      </c>
      <c r="U2957">
        <v>15</v>
      </c>
      <c r="V2957">
        <v>7</v>
      </c>
      <c r="W2957">
        <v>3</v>
      </c>
      <c r="X2957">
        <v>4</v>
      </c>
      <c r="Y2957">
        <v>207</v>
      </c>
      <c r="Z2957">
        <v>9</v>
      </c>
      <c r="AA2957">
        <v>2</v>
      </c>
      <c r="AB2957">
        <v>2</v>
      </c>
      <c r="AC2957">
        <v>1</v>
      </c>
      <c r="AD2957">
        <v>1</v>
      </c>
      <c r="AE2957">
        <v>0</v>
      </c>
      <c r="AF2957">
        <v>0</v>
      </c>
      <c r="AK2957">
        <v>6</v>
      </c>
      <c r="AL2957">
        <v>0</v>
      </c>
      <c r="AM2957">
        <v>0</v>
      </c>
      <c r="AN2957">
        <v>0</v>
      </c>
      <c r="AT2957">
        <v>0</v>
      </c>
      <c r="AU2957">
        <v>18</v>
      </c>
      <c r="AV2957">
        <v>432</v>
      </c>
      <c r="AW2957">
        <v>432</v>
      </c>
      <c r="AX2957">
        <v>689</v>
      </c>
      <c r="BA2957">
        <v>1</v>
      </c>
      <c r="BC2957" t="s">
        <v>6016</v>
      </c>
      <c r="BD2957" s="4">
        <v>43283.154166666667</v>
      </c>
      <c r="BE2957" s="4">
        <v>43283.179664351854</v>
      </c>
      <c r="BF2957" s="4">
        <v>43283.179664351854</v>
      </c>
      <c r="BG2957" t="s">
        <v>83</v>
      </c>
      <c r="BH2957" t="s">
        <v>84</v>
      </c>
      <c r="BI2957" t="s">
        <v>85</v>
      </c>
    </row>
    <row r="2958" spans="1:61" x14ac:dyDescent="0.3">
      <c r="A2958" t="str">
        <f>"200482E0101"</f>
        <v>200482E0101</v>
      </c>
      <c r="B2958" s="2" t="s">
        <v>6017</v>
      </c>
      <c r="C2958">
        <v>20</v>
      </c>
      <c r="D2958" t="s">
        <v>79</v>
      </c>
      <c r="E2958">
        <v>14</v>
      </c>
      <c r="F2958" t="s">
        <v>5455</v>
      </c>
      <c r="G2958">
        <v>482</v>
      </c>
      <c r="H2958">
        <v>1</v>
      </c>
      <c r="I2958" t="s">
        <v>145</v>
      </c>
      <c r="J2958">
        <v>1</v>
      </c>
      <c r="K2958">
        <v>1</v>
      </c>
      <c r="L2958">
        <v>2</v>
      </c>
      <c r="M2958">
        <v>325</v>
      </c>
      <c r="N2958">
        <v>385</v>
      </c>
      <c r="O2958">
        <v>6</v>
      </c>
      <c r="P2958">
        <v>385</v>
      </c>
      <c r="Q2958">
        <v>57</v>
      </c>
      <c r="R2958">
        <v>67</v>
      </c>
      <c r="S2958">
        <v>11</v>
      </c>
      <c r="T2958">
        <v>17</v>
      </c>
      <c r="U2958">
        <v>21</v>
      </c>
      <c r="V2958">
        <v>7</v>
      </c>
      <c r="W2958">
        <v>3</v>
      </c>
      <c r="X2958">
        <v>2</v>
      </c>
      <c r="Y2958">
        <v>166</v>
      </c>
      <c r="Z2958">
        <v>7</v>
      </c>
      <c r="AA2958">
        <v>1</v>
      </c>
      <c r="AB2958">
        <v>1</v>
      </c>
      <c r="AC2958">
        <v>1</v>
      </c>
      <c r="AD2958">
        <v>0</v>
      </c>
      <c r="AE2958">
        <v>0</v>
      </c>
      <c r="AF2958">
        <v>1</v>
      </c>
      <c r="AK2958">
        <v>1</v>
      </c>
      <c r="AL2958">
        <v>2</v>
      </c>
      <c r="AM2958">
        <v>1</v>
      </c>
      <c r="AN2958">
        <v>4</v>
      </c>
      <c r="AT2958">
        <v>0</v>
      </c>
      <c r="AU2958">
        <v>18</v>
      </c>
      <c r="AV2958">
        <v>388</v>
      </c>
      <c r="AW2958">
        <v>388</v>
      </c>
      <c r="AX2958">
        <v>688</v>
      </c>
      <c r="BA2958">
        <v>1</v>
      </c>
      <c r="BC2958" t="s">
        <v>6018</v>
      </c>
      <c r="BD2958" s="4">
        <v>43283.227777777778</v>
      </c>
      <c r="BE2958" s="4">
        <v>43283.250937500001</v>
      </c>
      <c r="BF2958" s="4">
        <v>43283.250937500001</v>
      </c>
      <c r="BG2958" t="s">
        <v>83</v>
      </c>
      <c r="BH2958" t="s">
        <v>84</v>
      </c>
      <c r="BI2958" t="s">
        <v>85</v>
      </c>
    </row>
    <row r="2959" spans="1:61" x14ac:dyDescent="0.3">
      <c r="A2959" t="str">
        <f>"200482E0200"</f>
        <v>200482E0200</v>
      </c>
      <c r="B2959" s="2" t="s">
        <v>6019</v>
      </c>
      <c r="C2959">
        <v>20</v>
      </c>
      <c r="D2959" t="s">
        <v>79</v>
      </c>
      <c r="E2959">
        <v>14</v>
      </c>
      <c r="F2959" t="s">
        <v>5455</v>
      </c>
      <c r="G2959">
        <v>482</v>
      </c>
      <c r="H2959">
        <v>2</v>
      </c>
      <c r="I2959" t="s">
        <v>145</v>
      </c>
      <c r="J2959">
        <v>0</v>
      </c>
      <c r="K2959">
        <v>1</v>
      </c>
      <c r="L2959">
        <v>2</v>
      </c>
      <c r="M2959">
        <v>195</v>
      </c>
      <c r="N2959">
        <v>309</v>
      </c>
      <c r="O2959">
        <v>7</v>
      </c>
      <c r="P2959">
        <v>305</v>
      </c>
      <c r="Q2959">
        <v>38</v>
      </c>
      <c r="R2959">
        <v>36</v>
      </c>
      <c r="S2959">
        <v>6</v>
      </c>
      <c r="T2959">
        <v>18</v>
      </c>
      <c r="U2959">
        <v>12</v>
      </c>
      <c r="V2959">
        <v>4</v>
      </c>
      <c r="W2959">
        <v>6</v>
      </c>
      <c r="X2959">
        <v>3</v>
      </c>
      <c r="Y2959">
        <v>144</v>
      </c>
      <c r="Z2959">
        <v>7</v>
      </c>
      <c r="AA2959">
        <v>3</v>
      </c>
      <c r="AB2959">
        <v>5</v>
      </c>
      <c r="AC2959">
        <v>2</v>
      </c>
      <c r="AD2959">
        <v>1</v>
      </c>
      <c r="AE2959">
        <v>0</v>
      </c>
      <c r="AF2959">
        <v>0</v>
      </c>
      <c r="AK2959">
        <v>1</v>
      </c>
      <c r="AL2959">
        <v>1</v>
      </c>
      <c r="AM2959">
        <v>1</v>
      </c>
      <c r="AN2959">
        <v>1</v>
      </c>
      <c r="AT2959" t="s">
        <v>100</v>
      </c>
      <c r="AU2959">
        <v>16</v>
      </c>
      <c r="AV2959">
        <v>305</v>
      </c>
      <c r="AW2959">
        <v>305</v>
      </c>
      <c r="AX2959">
        <v>503</v>
      </c>
      <c r="AZ2959" t="s">
        <v>101</v>
      </c>
      <c r="BA2959">
        <v>1</v>
      </c>
      <c r="BC2959" t="s">
        <v>6020</v>
      </c>
      <c r="BD2959" s="4">
        <v>43283.268055555556</v>
      </c>
      <c r="BE2959" s="4">
        <v>43283.294421296298</v>
      </c>
      <c r="BF2959" s="4">
        <v>43283.294421296298</v>
      </c>
      <c r="BG2959" t="s">
        <v>83</v>
      </c>
      <c r="BH2959" t="s">
        <v>84</v>
      </c>
      <c r="BI2959" t="s">
        <v>85</v>
      </c>
    </row>
    <row r="2960" spans="1:61" x14ac:dyDescent="0.3">
      <c r="A2960" t="str">
        <f>"200482E0201"</f>
        <v>200482E0201</v>
      </c>
      <c r="B2960" s="2" t="s">
        <v>6021</v>
      </c>
      <c r="C2960">
        <v>20</v>
      </c>
      <c r="D2960" t="s">
        <v>79</v>
      </c>
      <c r="E2960">
        <v>14</v>
      </c>
      <c r="F2960" t="s">
        <v>5455</v>
      </c>
      <c r="G2960">
        <v>482</v>
      </c>
      <c r="H2960">
        <v>2</v>
      </c>
      <c r="I2960" t="s">
        <v>145</v>
      </c>
      <c r="J2960">
        <v>1</v>
      </c>
      <c r="K2960">
        <v>1</v>
      </c>
      <c r="L2960">
        <v>2</v>
      </c>
      <c r="M2960">
        <v>223</v>
      </c>
      <c r="N2960">
        <v>302</v>
      </c>
      <c r="O2960">
        <v>8</v>
      </c>
      <c r="P2960">
        <v>302</v>
      </c>
      <c r="Q2960">
        <v>26</v>
      </c>
      <c r="R2960">
        <v>40</v>
      </c>
      <c r="S2960">
        <v>9</v>
      </c>
      <c r="T2960">
        <v>11</v>
      </c>
      <c r="U2960">
        <v>22</v>
      </c>
      <c r="V2960">
        <v>5</v>
      </c>
      <c r="W2960">
        <v>12</v>
      </c>
      <c r="X2960">
        <v>2</v>
      </c>
      <c r="Y2960">
        <v>133</v>
      </c>
      <c r="Z2960">
        <v>3</v>
      </c>
      <c r="AA2960">
        <v>0</v>
      </c>
      <c r="AB2960">
        <v>9</v>
      </c>
      <c r="AC2960">
        <v>2</v>
      </c>
      <c r="AD2960">
        <v>0</v>
      </c>
      <c r="AE2960">
        <v>0</v>
      </c>
      <c r="AF2960">
        <v>0</v>
      </c>
      <c r="AK2960">
        <v>4</v>
      </c>
      <c r="AL2960">
        <v>1</v>
      </c>
      <c r="AM2960">
        <v>0</v>
      </c>
      <c r="AN2960">
        <v>0</v>
      </c>
      <c r="AT2960">
        <v>0</v>
      </c>
      <c r="AU2960">
        <v>23</v>
      </c>
      <c r="AV2960">
        <v>302</v>
      </c>
      <c r="AW2960">
        <v>302</v>
      </c>
      <c r="AX2960">
        <v>503</v>
      </c>
      <c r="BA2960">
        <v>1</v>
      </c>
      <c r="BC2960" t="s">
        <v>6022</v>
      </c>
      <c r="BD2960" s="4">
        <v>43283.256944444445</v>
      </c>
      <c r="BE2960" s="4">
        <v>43283.283495370371</v>
      </c>
      <c r="BF2960" s="4">
        <v>43283.283495370371</v>
      </c>
      <c r="BG2960" t="s">
        <v>83</v>
      </c>
      <c r="BH2960" t="s">
        <v>84</v>
      </c>
      <c r="BI2960" t="s">
        <v>85</v>
      </c>
    </row>
    <row r="2961" spans="1:61" x14ac:dyDescent="0.3">
      <c r="A2961" t="str">
        <f>"200482E0202"</f>
        <v>200482E0202</v>
      </c>
      <c r="B2961" s="2" t="s">
        <v>6023</v>
      </c>
      <c r="C2961">
        <v>20</v>
      </c>
      <c r="D2961" t="s">
        <v>79</v>
      </c>
      <c r="E2961">
        <v>14</v>
      </c>
      <c r="F2961" t="s">
        <v>5455</v>
      </c>
      <c r="G2961">
        <v>482</v>
      </c>
      <c r="H2961">
        <v>2</v>
      </c>
      <c r="I2961" t="s">
        <v>145</v>
      </c>
      <c r="J2961">
        <v>2</v>
      </c>
      <c r="K2961">
        <v>1</v>
      </c>
      <c r="L2961">
        <v>2</v>
      </c>
      <c r="M2961">
        <v>201</v>
      </c>
      <c r="N2961">
        <v>322</v>
      </c>
      <c r="O2961">
        <v>4</v>
      </c>
      <c r="P2961">
        <v>327</v>
      </c>
      <c r="Q2961">
        <v>43</v>
      </c>
      <c r="R2961">
        <v>30</v>
      </c>
      <c r="S2961">
        <v>11</v>
      </c>
      <c r="T2961">
        <v>18</v>
      </c>
      <c r="U2961">
        <v>18</v>
      </c>
      <c r="V2961">
        <v>8</v>
      </c>
      <c r="W2961">
        <v>4</v>
      </c>
      <c r="X2961">
        <v>1</v>
      </c>
      <c r="Y2961">
        <v>151</v>
      </c>
      <c r="Z2961">
        <v>11</v>
      </c>
      <c r="AA2961">
        <v>3</v>
      </c>
      <c r="AB2961">
        <v>3</v>
      </c>
      <c r="AC2961">
        <v>0</v>
      </c>
      <c r="AD2961">
        <v>1</v>
      </c>
      <c r="AE2961">
        <v>1</v>
      </c>
      <c r="AF2961">
        <v>0</v>
      </c>
      <c r="AK2961">
        <v>7</v>
      </c>
      <c r="AL2961">
        <v>4</v>
      </c>
      <c r="AM2961">
        <v>0</v>
      </c>
      <c r="AN2961">
        <v>2</v>
      </c>
      <c r="AT2961">
        <v>0</v>
      </c>
      <c r="AU2961">
        <v>11</v>
      </c>
      <c r="AV2961">
        <v>327</v>
      </c>
      <c r="AW2961">
        <v>327</v>
      </c>
      <c r="AX2961">
        <v>502</v>
      </c>
      <c r="BA2961">
        <v>1</v>
      </c>
      <c r="BC2961" t="s">
        <v>6024</v>
      </c>
      <c r="BD2961" s="4">
        <v>43283.234722222223</v>
      </c>
      <c r="BE2961" s="4">
        <v>43283.257974537039</v>
      </c>
      <c r="BF2961" s="4">
        <v>43283.257974537039</v>
      </c>
      <c r="BG2961" t="s">
        <v>83</v>
      </c>
      <c r="BH2961" t="s">
        <v>84</v>
      </c>
      <c r="BI2961" t="s">
        <v>85</v>
      </c>
    </row>
    <row r="2962" spans="1:61" x14ac:dyDescent="0.3">
      <c r="A2962" t="str">
        <f>"200483B0100"</f>
        <v>200483B0100</v>
      </c>
      <c r="B2962" t="s">
        <v>6025</v>
      </c>
      <c r="C2962">
        <v>20</v>
      </c>
      <c r="D2962" t="s">
        <v>79</v>
      </c>
      <c r="E2962">
        <v>14</v>
      </c>
      <c r="F2962" t="s">
        <v>5455</v>
      </c>
      <c r="G2962">
        <v>483</v>
      </c>
      <c r="H2962">
        <v>1</v>
      </c>
      <c r="I2962" t="s">
        <v>81</v>
      </c>
      <c r="J2962">
        <v>0</v>
      </c>
      <c r="K2962">
        <v>1</v>
      </c>
      <c r="L2962">
        <v>2</v>
      </c>
      <c r="M2962">
        <v>202</v>
      </c>
      <c r="N2962">
        <v>368</v>
      </c>
      <c r="O2962">
        <v>6</v>
      </c>
      <c r="P2962">
        <v>368</v>
      </c>
      <c r="Q2962">
        <v>49</v>
      </c>
      <c r="R2962">
        <v>43</v>
      </c>
      <c r="S2962">
        <v>9</v>
      </c>
      <c r="T2962">
        <v>8</v>
      </c>
      <c r="U2962">
        <v>12</v>
      </c>
      <c r="V2962">
        <v>3</v>
      </c>
      <c r="W2962">
        <v>10</v>
      </c>
      <c r="X2962">
        <v>7</v>
      </c>
      <c r="Y2962">
        <v>201</v>
      </c>
      <c r="Z2962">
        <v>6</v>
      </c>
      <c r="AA2962">
        <v>1</v>
      </c>
      <c r="AB2962">
        <v>8</v>
      </c>
      <c r="AC2962">
        <v>2</v>
      </c>
      <c r="AD2962">
        <v>0</v>
      </c>
      <c r="AE2962">
        <v>0</v>
      </c>
      <c r="AF2962">
        <v>0</v>
      </c>
      <c r="AK2962">
        <v>4</v>
      </c>
      <c r="AL2962">
        <v>0</v>
      </c>
      <c r="AM2962">
        <v>0</v>
      </c>
      <c r="AN2962">
        <v>0</v>
      </c>
      <c r="AT2962">
        <v>0</v>
      </c>
      <c r="AU2962">
        <v>5</v>
      </c>
      <c r="AV2962">
        <v>368</v>
      </c>
      <c r="AW2962">
        <v>368</v>
      </c>
      <c r="AX2962">
        <v>549</v>
      </c>
      <c r="BA2962">
        <v>1</v>
      </c>
      <c r="BC2962" t="s">
        <v>6026</v>
      </c>
      <c r="BD2962" s="4">
        <v>43283.27847222222</v>
      </c>
      <c r="BE2962" s="4">
        <v>43283.309305555558</v>
      </c>
      <c r="BF2962" s="4">
        <v>43283.309305555558</v>
      </c>
      <c r="BG2962" t="s">
        <v>83</v>
      </c>
      <c r="BH2962" t="s">
        <v>84</v>
      </c>
      <c r="BI2962" t="s">
        <v>548</v>
      </c>
    </row>
    <row r="2963" spans="1:61" x14ac:dyDescent="0.3">
      <c r="A2963" t="str">
        <f>"200483C0100"</f>
        <v>200483C0100</v>
      </c>
      <c r="B2963" t="s">
        <v>6027</v>
      </c>
      <c r="C2963">
        <v>20</v>
      </c>
      <c r="D2963" t="s">
        <v>79</v>
      </c>
      <c r="E2963">
        <v>14</v>
      </c>
      <c r="F2963" t="s">
        <v>5455</v>
      </c>
      <c r="G2963">
        <v>483</v>
      </c>
      <c r="H2963">
        <v>1</v>
      </c>
      <c r="I2963" t="s">
        <v>89</v>
      </c>
      <c r="J2963">
        <v>0</v>
      </c>
      <c r="K2963">
        <v>1</v>
      </c>
      <c r="L2963">
        <v>2</v>
      </c>
      <c r="M2963">
        <v>184</v>
      </c>
      <c r="N2963">
        <v>387</v>
      </c>
      <c r="O2963">
        <v>8</v>
      </c>
      <c r="P2963">
        <v>387</v>
      </c>
      <c r="Q2963">
        <v>33</v>
      </c>
      <c r="R2963">
        <v>46</v>
      </c>
      <c r="S2963">
        <v>11</v>
      </c>
      <c r="T2963">
        <v>18</v>
      </c>
      <c r="U2963">
        <v>10</v>
      </c>
      <c r="V2963">
        <v>7</v>
      </c>
      <c r="W2963">
        <v>6</v>
      </c>
      <c r="X2963">
        <v>3</v>
      </c>
      <c r="Y2963">
        <v>214</v>
      </c>
      <c r="Z2963">
        <v>7</v>
      </c>
      <c r="AA2963">
        <v>2</v>
      </c>
      <c r="AB2963">
        <v>9</v>
      </c>
      <c r="AC2963">
        <v>0</v>
      </c>
      <c r="AD2963">
        <v>0</v>
      </c>
      <c r="AE2963">
        <v>0</v>
      </c>
      <c r="AF2963">
        <v>0</v>
      </c>
      <c r="AK2963">
        <v>3</v>
      </c>
      <c r="AL2963">
        <v>1</v>
      </c>
      <c r="AM2963">
        <v>0</v>
      </c>
      <c r="AN2963">
        <v>2</v>
      </c>
      <c r="AT2963">
        <v>0</v>
      </c>
      <c r="AU2963">
        <v>15</v>
      </c>
      <c r="AV2963">
        <v>387</v>
      </c>
      <c r="AW2963">
        <v>387</v>
      </c>
      <c r="AX2963">
        <v>549</v>
      </c>
      <c r="BA2963">
        <v>1</v>
      </c>
      <c r="BC2963" t="s">
        <v>6028</v>
      </c>
      <c r="BD2963" s="4">
        <v>43283.201388888891</v>
      </c>
      <c r="BE2963" s="4">
        <v>43283.220451388886</v>
      </c>
      <c r="BF2963" s="4">
        <v>43283.220451388886</v>
      </c>
      <c r="BG2963" t="s">
        <v>83</v>
      </c>
      <c r="BH2963" t="s">
        <v>84</v>
      </c>
      <c r="BI2963" t="s">
        <v>85</v>
      </c>
    </row>
    <row r="2964" spans="1:61" x14ac:dyDescent="0.3">
      <c r="A2964" t="str">
        <f>"200483C0200"</f>
        <v>200483C0200</v>
      </c>
      <c r="B2964" t="s">
        <v>6029</v>
      </c>
      <c r="C2964">
        <v>20</v>
      </c>
      <c r="D2964" t="s">
        <v>79</v>
      </c>
      <c r="E2964">
        <v>14</v>
      </c>
      <c r="F2964" t="s">
        <v>5455</v>
      </c>
      <c r="G2964">
        <v>483</v>
      </c>
      <c r="H2964">
        <v>2</v>
      </c>
      <c r="I2964" t="s">
        <v>89</v>
      </c>
      <c r="J2964">
        <v>0</v>
      </c>
      <c r="K2964">
        <v>1</v>
      </c>
      <c r="L2964">
        <v>2</v>
      </c>
      <c r="M2964">
        <v>211</v>
      </c>
      <c r="N2964">
        <v>360</v>
      </c>
      <c r="O2964">
        <v>6</v>
      </c>
      <c r="P2964">
        <v>360</v>
      </c>
      <c r="Q2964">
        <v>39</v>
      </c>
      <c r="R2964">
        <v>67</v>
      </c>
      <c r="S2964">
        <v>2</v>
      </c>
      <c r="T2964">
        <v>14</v>
      </c>
      <c r="U2964">
        <v>5</v>
      </c>
      <c r="V2964">
        <v>2</v>
      </c>
      <c r="W2964">
        <v>3</v>
      </c>
      <c r="X2964">
        <v>2</v>
      </c>
      <c r="Y2964">
        <v>182</v>
      </c>
      <c r="Z2964">
        <v>9</v>
      </c>
      <c r="AA2964">
        <v>6</v>
      </c>
      <c r="AB2964">
        <v>9</v>
      </c>
      <c r="AC2964">
        <v>1</v>
      </c>
      <c r="AD2964">
        <v>1</v>
      </c>
      <c r="AE2964">
        <v>0</v>
      </c>
      <c r="AF2964">
        <v>0</v>
      </c>
      <c r="AK2964">
        <v>4</v>
      </c>
      <c r="AL2964">
        <v>1</v>
      </c>
      <c r="AM2964">
        <v>0</v>
      </c>
      <c r="AN2964">
        <v>1</v>
      </c>
      <c r="AT2964">
        <v>0</v>
      </c>
      <c r="AU2964">
        <v>12</v>
      </c>
      <c r="AV2964">
        <v>360</v>
      </c>
      <c r="AW2964">
        <v>360</v>
      </c>
      <c r="AX2964">
        <v>549</v>
      </c>
      <c r="BA2964">
        <v>1</v>
      </c>
      <c r="BC2964" t="s">
        <v>6030</v>
      </c>
      <c r="BD2964" s="4">
        <v>43283.222222222219</v>
      </c>
      <c r="BE2964" s="4">
        <v>43283.248333333337</v>
      </c>
      <c r="BF2964" s="4">
        <v>43283.248333333337</v>
      </c>
      <c r="BG2964" t="s">
        <v>83</v>
      </c>
      <c r="BH2964" t="s">
        <v>84</v>
      </c>
      <c r="BI2964" t="s">
        <v>85</v>
      </c>
    </row>
    <row r="2965" spans="1:61" x14ac:dyDescent="0.3">
      <c r="A2965" t="str">
        <f>"200485B0100"</f>
        <v>200485B0100</v>
      </c>
      <c r="B2965" t="s">
        <v>6031</v>
      </c>
      <c r="C2965">
        <v>20</v>
      </c>
      <c r="D2965" t="s">
        <v>79</v>
      </c>
      <c r="E2965">
        <v>14</v>
      </c>
      <c r="F2965" t="s">
        <v>5455</v>
      </c>
      <c r="G2965">
        <v>485</v>
      </c>
      <c r="H2965">
        <v>1</v>
      </c>
      <c r="I2965" t="s">
        <v>81</v>
      </c>
      <c r="J2965">
        <v>0</v>
      </c>
      <c r="K2965">
        <v>1</v>
      </c>
      <c r="L2965">
        <v>2</v>
      </c>
      <c r="M2965">
        <v>197</v>
      </c>
      <c r="N2965">
        <v>485</v>
      </c>
      <c r="O2965">
        <v>12</v>
      </c>
      <c r="P2965">
        <v>484</v>
      </c>
      <c r="Q2965">
        <v>65</v>
      </c>
      <c r="R2965">
        <v>58</v>
      </c>
      <c r="S2965">
        <v>9</v>
      </c>
      <c r="T2965">
        <v>27</v>
      </c>
      <c r="U2965">
        <v>24</v>
      </c>
      <c r="V2965">
        <v>10</v>
      </c>
      <c r="W2965">
        <v>14</v>
      </c>
      <c r="X2965">
        <v>3</v>
      </c>
      <c r="Y2965">
        <v>231</v>
      </c>
      <c r="Z2965">
        <v>11</v>
      </c>
      <c r="AA2965">
        <v>2</v>
      </c>
      <c r="AB2965">
        <v>11</v>
      </c>
      <c r="AC2965">
        <v>0</v>
      </c>
      <c r="AD2965">
        <v>2</v>
      </c>
      <c r="AE2965">
        <v>0</v>
      </c>
      <c r="AF2965">
        <v>0</v>
      </c>
      <c r="AK2965">
        <v>2</v>
      </c>
      <c r="AL2965">
        <v>3</v>
      </c>
      <c r="AM2965">
        <v>0</v>
      </c>
      <c r="AN2965">
        <v>0</v>
      </c>
      <c r="AT2965">
        <v>0</v>
      </c>
      <c r="AU2965">
        <v>12</v>
      </c>
      <c r="AV2965">
        <v>484</v>
      </c>
      <c r="AW2965">
        <v>484</v>
      </c>
      <c r="AX2965">
        <v>660</v>
      </c>
      <c r="BA2965">
        <v>1</v>
      </c>
      <c r="BC2965" t="s">
        <v>6032</v>
      </c>
      <c r="BD2965" s="4">
        <v>43283.190972222219</v>
      </c>
      <c r="BE2965" s="4">
        <v>43283.209733796299</v>
      </c>
      <c r="BF2965" s="4">
        <v>43283.209733796299</v>
      </c>
      <c r="BG2965" t="s">
        <v>83</v>
      </c>
      <c r="BH2965" t="s">
        <v>84</v>
      </c>
      <c r="BI2965" t="s">
        <v>85</v>
      </c>
    </row>
    <row r="2966" spans="1:61" x14ac:dyDescent="0.3">
      <c r="A2966" t="str">
        <f>"200485C0100"</f>
        <v>200485C0100</v>
      </c>
      <c r="B2966" t="s">
        <v>6033</v>
      </c>
      <c r="C2966">
        <v>20</v>
      </c>
      <c r="D2966" t="s">
        <v>79</v>
      </c>
      <c r="E2966">
        <v>14</v>
      </c>
      <c r="F2966" t="s">
        <v>5455</v>
      </c>
      <c r="G2966">
        <v>485</v>
      </c>
      <c r="H2966">
        <v>1</v>
      </c>
      <c r="I2966" t="s">
        <v>89</v>
      </c>
      <c r="J2966">
        <v>0</v>
      </c>
      <c r="K2966">
        <v>1</v>
      </c>
      <c r="L2966">
        <v>2</v>
      </c>
      <c r="M2966">
        <v>192</v>
      </c>
      <c r="N2966">
        <v>489</v>
      </c>
      <c r="O2966">
        <v>12</v>
      </c>
      <c r="P2966">
        <v>490</v>
      </c>
      <c r="Q2966">
        <v>57</v>
      </c>
      <c r="R2966">
        <v>63</v>
      </c>
      <c r="S2966">
        <v>13</v>
      </c>
      <c r="T2966">
        <v>29</v>
      </c>
      <c r="U2966">
        <v>15</v>
      </c>
      <c r="V2966">
        <v>9</v>
      </c>
      <c r="W2966">
        <v>5</v>
      </c>
      <c r="X2966">
        <v>6</v>
      </c>
      <c r="Y2966">
        <v>244</v>
      </c>
      <c r="Z2966">
        <v>7</v>
      </c>
      <c r="AA2966">
        <v>1</v>
      </c>
      <c r="AB2966">
        <v>13</v>
      </c>
      <c r="AC2966">
        <v>1</v>
      </c>
      <c r="AD2966">
        <v>0</v>
      </c>
      <c r="AE2966">
        <v>0</v>
      </c>
      <c r="AF2966">
        <v>0</v>
      </c>
      <c r="AK2966">
        <v>4</v>
      </c>
      <c r="AL2966">
        <v>0</v>
      </c>
      <c r="AM2966">
        <v>1</v>
      </c>
      <c r="AN2966">
        <v>2</v>
      </c>
      <c r="AT2966">
        <v>1</v>
      </c>
      <c r="AU2966">
        <v>19</v>
      </c>
      <c r="AV2966">
        <v>490</v>
      </c>
      <c r="AW2966">
        <v>490</v>
      </c>
      <c r="AX2966">
        <v>659</v>
      </c>
      <c r="BA2966">
        <v>1</v>
      </c>
      <c r="BC2966" t="s">
        <v>6034</v>
      </c>
      <c r="BD2966" s="4">
        <v>43283.211111111108</v>
      </c>
      <c r="BE2966" s="4">
        <v>43283.232974537037</v>
      </c>
      <c r="BF2966" s="4">
        <v>43283.232974537037</v>
      </c>
      <c r="BG2966" t="s">
        <v>83</v>
      </c>
      <c r="BH2966" t="s">
        <v>84</v>
      </c>
      <c r="BI2966" t="s">
        <v>85</v>
      </c>
    </row>
    <row r="2967" spans="1:61" x14ac:dyDescent="0.3">
      <c r="A2967" t="str">
        <f>"200486B0100"</f>
        <v>200486B0100</v>
      </c>
      <c r="B2967" t="s">
        <v>6035</v>
      </c>
      <c r="C2967">
        <v>20</v>
      </c>
      <c r="D2967" t="s">
        <v>79</v>
      </c>
      <c r="E2967">
        <v>14</v>
      </c>
      <c r="F2967" t="s">
        <v>5455</v>
      </c>
      <c r="G2967">
        <v>486</v>
      </c>
      <c r="H2967">
        <v>1</v>
      </c>
      <c r="I2967" t="s">
        <v>81</v>
      </c>
      <c r="J2967">
        <v>0</v>
      </c>
      <c r="K2967">
        <v>1</v>
      </c>
      <c r="L2967">
        <v>2</v>
      </c>
      <c r="M2967">
        <v>208</v>
      </c>
      <c r="N2967">
        <v>416</v>
      </c>
      <c r="O2967">
        <v>0</v>
      </c>
      <c r="P2967">
        <v>422</v>
      </c>
      <c r="Q2967">
        <v>47</v>
      </c>
      <c r="R2967">
        <v>50</v>
      </c>
      <c r="S2967">
        <v>7</v>
      </c>
      <c r="T2967">
        <v>18</v>
      </c>
      <c r="U2967">
        <v>17</v>
      </c>
      <c r="V2967">
        <v>9</v>
      </c>
      <c r="W2967">
        <v>6</v>
      </c>
      <c r="X2967">
        <v>6</v>
      </c>
      <c r="Y2967">
        <v>203</v>
      </c>
      <c r="Z2967">
        <v>5</v>
      </c>
      <c r="AA2967">
        <v>1</v>
      </c>
      <c r="AB2967">
        <v>11</v>
      </c>
      <c r="AC2967">
        <v>3</v>
      </c>
      <c r="AD2967">
        <v>1</v>
      </c>
      <c r="AE2967">
        <v>0</v>
      </c>
      <c r="AF2967">
        <v>0</v>
      </c>
      <c r="AK2967">
        <v>16</v>
      </c>
      <c r="AL2967">
        <v>2</v>
      </c>
      <c r="AM2967">
        <v>1</v>
      </c>
      <c r="AN2967">
        <v>0</v>
      </c>
      <c r="AT2967">
        <v>0</v>
      </c>
      <c r="AU2967">
        <v>19</v>
      </c>
      <c r="AV2967">
        <v>422</v>
      </c>
      <c r="AW2967">
        <v>422</v>
      </c>
      <c r="AX2967">
        <v>609</v>
      </c>
      <c r="BA2967">
        <v>1</v>
      </c>
      <c r="BC2967" t="s">
        <v>6036</v>
      </c>
      <c r="BD2967" s="4">
        <v>43283.166666666664</v>
      </c>
      <c r="BE2967" s="4">
        <v>43283.180081018516</v>
      </c>
      <c r="BF2967" s="4">
        <v>43283.180081018516</v>
      </c>
      <c r="BG2967" t="s">
        <v>83</v>
      </c>
      <c r="BH2967" t="s">
        <v>84</v>
      </c>
      <c r="BI2967" t="s">
        <v>85</v>
      </c>
    </row>
    <row r="2968" spans="1:61" x14ac:dyDescent="0.3">
      <c r="A2968" t="str">
        <f>"200486C0100"</f>
        <v>200486C0100</v>
      </c>
      <c r="B2968" t="s">
        <v>6037</v>
      </c>
      <c r="C2968">
        <v>20</v>
      </c>
      <c r="D2968" t="s">
        <v>79</v>
      </c>
      <c r="E2968">
        <v>14</v>
      </c>
      <c r="F2968" t="s">
        <v>5455</v>
      </c>
      <c r="G2968">
        <v>486</v>
      </c>
      <c r="H2968">
        <v>1</v>
      </c>
      <c r="I2968" t="s">
        <v>89</v>
      </c>
      <c r="J2968">
        <v>0</v>
      </c>
      <c r="K2968">
        <v>1</v>
      </c>
      <c r="L2968">
        <v>2</v>
      </c>
      <c r="M2968">
        <v>218</v>
      </c>
      <c r="N2968">
        <v>414</v>
      </c>
      <c r="O2968">
        <v>7</v>
      </c>
      <c r="P2968">
        <v>401</v>
      </c>
      <c r="Q2968">
        <v>39</v>
      </c>
      <c r="R2968">
        <v>56</v>
      </c>
      <c r="S2968">
        <v>10</v>
      </c>
      <c r="T2968">
        <v>12</v>
      </c>
      <c r="U2968">
        <v>25</v>
      </c>
      <c r="V2968">
        <v>5</v>
      </c>
      <c r="W2968">
        <v>5</v>
      </c>
      <c r="X2968">
        <v>4</v>
      </c>
      <c r="Y2968">
        <v>203</v>
      </c>
      <c r="Z2968">
        <v>10</v>
      </c>
      <c r="AA2968">
        <v>2</v>
      </c>
      <c r="AB2968">
        <v>12</v>
      </c>
      <c r="AC2968">
        <v>2</v>
      </c>
      <c r="AD2968">
        <v>2</v>
      </c>
      <c r="AE2968">
        <v>0</v>
      </c>
      <c r="AF2968">
        <v>0</v>
      </c>
      <c r="AK2968">
        <v>6</v>
      </c>
      <c r="AL2968">
        <v>0</v>
      </c>
      <c r="AM2968">
        <v>0</v>
      </c>
      <c r="AN2968">
        <v>2</v>
      </c>
      <c r="AT2968">
        <v>0</v>
      </c>
      <c r="AU2968">
        <v>18</v>
      </c>
      <c r="AV2968">
        <v>413</v>
      </c>
      <c r="AW2968">
        <v>413</v>
      </c>
      <c r="AX2968">
        <v>609</v>
      </c>
      <c r="BA2968">
        <v>1</v>
      </c>
      <c r="BC2968" t="s">
        <v>6038</v>
      </c>
      <c r="BD2968" s="4">
        <v>43283.263194444444</v>
      </c>
      <c r="BE2968" s="4">
        <v>43283.29315972222</v>
      </c>
      <c r="BF2968" s="4">
        <v>43283.29315972222</v>
      </c>
      <c r="BG2968" t="s">
        <v>83</v>
      </c>
      <c r="BH2968" t="s">
        <v>84</v>
      </c>
      <c r="BI2968" t="s">
        <v>85</v>
      </c>
    </row>
    <row r="2969" spans="1:61" x14ac:dyDescent="0.3">
      <c r="A2969" t="str">
        <f>"200487B0100"</f>
        <v>200487B0100</v>
      </c>
      <c r="B2969" t="s">
        <v>6039</v>
      </c>
      <c r="C2969">
        <v>20</v>
      </c>
      <c r="D2969" t="s">
        <v>79</v>
      </c>
      <c r="E2969">
        <v>14</v>
      </c>
      <c r="F2969" t="s">
        <v>5455</v>
      </c>
      <c r="G2969">
        <v>487</v>
      </c>
      <c r="H2969">
        <v>1</v>
      </c>
      <c r="I2969" t="s">
        <v>81</v>
      </c>
      <c r="J2969">
        <v>0</v>
      </c>
      <c r="K2969">
        <v>1</v>
      </c>
      <c r="L2969">
        <v>2</v>
      </c>
      <c r="M2969">
        <v>279</v>
      </c>
      <c r="N2969">
        <v>378</v>
      </c>
      <c r="O2969">
        <v>0</v>
      </c>
      <c r="P2969">
        <v>6</v>
      </c>
      <c r="Q2969">
        <v>54</v>
      </c>
      <c r="R2969">
        <v>50</v>
      </c>
      <c r="S2969">
        <v>10</v>
      </c>
      <c r="T2969">
        <v>26</v>
      </c>
      <c r="U2969">
        <v>16</v>
      </c>
      <c r="V2969">
        <v>11</v>
      </c>
      <c r="W2969">
        <v>5</v>
      </c>
      <c r="X2969">
        <v>5</v>
      </c>
      <c r="Y2969">
        <v>155</v>
      </c>
      <c r="Z2969">
        <v>6</v>
      </c>
      <c r="AA2969">
        <v>6</v>
      </c>
      <c r="AB2969">
        <v>10</v>
      </c>
      <c r="AC2969">
        <v>2</v>
      </c>
      <c r="AD2969">
        <v>1</v>
      </c>
      <c r="AE2969">
        <v>0</v>
      </c>
      <c r="AF2969">
        <v>0</v>
      </c>
      <c r="AK2969">
        <v>5</v>
      </c>
      <c r="AL2969">
        <v>0</v>
      </c>
      <c r="AM2969">
        <v>0</v>
      </c>
      <c r="AN2969">
        <v>1</v>
      </c>
      <c r="AT2969">
        <v>0</v>
      </c>
      <c r="AU2969">
        <v>15</v>
      </c>
      <c r="AV2969">
        <v>24</v>
      </c>
      <c r="AW2969">
        <v>378</v>
      </c>
      <c r="AX2969">
        <v>625</v>
      </c>
      <c r="BA2969">
        <v>1</v>
      </c>
      <c r="BC2969" t="s">
        <v>6040</v>
      </c>
      <c r="BD2969" s="4">
        <v>43283.162499999999</v>
      </c>
      <c r="BE2969" s="4">
        <v>43283.175023148149</v>
      </c>
      <c r="BF2969" s="4">
        <v>43283.175023148149</v>
      </c>
      <c r="BG2969" t="s">
        <v>83</v>
      </c>
      <c r="BH2969" t="s">
        <v>84</v>
      </c>
      <c r="BI2969" t="s">
        <v>85</v>
      </c>
    </row>
    <row r="2970" spans="1:61" x14ac:dyDescent="0.3">
      <c r="A2970" t="str">
        <f>"200487C0100"</f>
        <v>200487C0100</v>
      </c>
      <c r="B2970" t="s">
        <v>6041</v>
      </c>
      <c r="C2970">
        <v>20</v>
      </c>
      <c r="D2970" t="s">
        <v>79</v>
      </c>
      <c r="E2970">
        <v>14</v>
      </c>
      <c r="F2970" t="s">
        <v>5455</v>
      </c>
      <c r="G2970">
        <v>487</v>
      </c>
      <c r="H2970">
        <v>1</v>
      </c>
      <c r="I2970" t="s">
        <v>89</v>
      </c>
      <c r="J2970">
        <v>0</v>
      </c>
      <c r="K2970">
        <v>1</v>
      </c>
      <c r="L2970">
        <v>2</v>
      </c>
      <c r="M2970">
        <v>291</v>
      </c>
      <c r="N2970">
        <v>355</v>
      </c>
      <c r="O2970">
        <v>3</v>
      </c>
      <c r="P2970">
        <v>356</v>
      </c>
      <c r="Q2970">
        <v>44</v>
      </c>
      <c r="R2970">
        <v>40</v>
      </c>
      <c r="S2970">
        <v>6</v>
      </c>
      <c r="T2970">
        <v>31</v>
      </c>
      <c r="U2970">
        <v>15</v>
      </c>
      <c r="V2970">
        <v>11</v>
      </c>
      <c r="W2970">
        <v>4</v>
      </c>
      <c r="X2970">
        <v>7</v>
      </c>
      <c r="Y2970">
        <v>168</v>
      </c>
      <c r="Z2970">
        <v>1</v>
      </c>
      <c r="AA2970">
        <v>3</v>
      </c>
      <c r="AB2970">
        <v>7</v>
      </c>
      <c r="AC2970">
        <v>5</v>
      </c>
      <c r="AD2970">
        <v>0</v>
      </c>
      <c r="AE2970">
        <v>0</v>
      </c>
      <c r="AF2970">
        <v>0</v>
      </c>
      <c r="AK2970">
        <v>2</v>
      </c>
      <c r="AL2970">
        <v>2</v>
      </c>
      <c r="AM2970">
        <v>0</v>
      </c>
      <c r="AN2970">
        <v>1</v>
      </c>
      <c r="AT2970">
        <v>0</v>
      </c>
      <c r="AU2970">
        <v>9</v>
      </c>
      <c r="AV2970">
        <v>356</v>
      </c>
      <c r="AW2970">
        <v>356</v>
      </c>
      <c r="AX2970">
        <v>624</v>
      </c>
      <c r="BA2970">
        <v>1</v>
      </c>
      <c r="BC2970" t="s">
        <v>6042</v>
      </c>
      <c r="BD2970" s="4">
        <v>43283.170138888891</v>
      </c>
      <c r="BE2970" s="4">
        <v>43283.183125000003</v>
      </c>
      <c r="BF2970" s="4">
        <v>43283.183125000003</v>
      </c>
      <c r="BG2970" t="s">
        <v>83</v>
      </c>
      <c r="BH2970" t="s">
        <v>84</v>
      </c>
      <c r="BI2970" t="s">
        <v>85</v>
      </c>
    </row>
    <row r="2971" spans="1:61" x14ac:dyDescent="0.3">
      <c r="A2971" t="str">
        <f>"200487C0200"</f>
        <v>200487C0200</v>
      </c>
      <c r="B2971" t="s">
        <v>6043</v>
      </c>
      <c r="C2971">
        <v>20</v>
      </c>
      <c r="D2971" t="s">
        <v>79</v>
      </c>
      <c r="E2971">
        <v>14</v>
      </c>
      <c r="F2971" t="s">
        <v>5455</v>
      </c>
      <c r="G2971">
        <v>487</v>
      </c>
      <c r="H2971">
        <v>2</v>
      </c>
      <c r="I2971" t="s">
        <v>89</v>
      </c>
      <c r="J2971">
        <v>0</v>
      </c>
      <c r="K2971">
        <v>1</v>
      </c>
      <c r="L2971">
        <v>2</v>
      </c>
      <c r="M2971">
        <v>264</v>
      </c>
      <c r="N2971" t="s">
        <v>100</v>
      </c>
      <c r="O2971">
        <v>3</v>
      </c>
      <c r="P2971" t="s">
        <v>100</v>
      </c>
      <c r="Q2971">
        <v>57</v>
      </c>
      <c r="R2971">
        <v>33</v>
      </c>
      <c r="S2971">
        <v>5</v>
      </c>
      <c r="T2971">
        <v>31</v>
      </c>
      <c r="U2971">
        <v>19</v>
      </c>
      <c r="V2971">
        <v>2</v>
      </c>
      <c r="W2971">
        <v>4</v>
      </c>
      <c r="X2971">
        <v>7</v>
      </c>
      <c r="Y2971">
        <v>184</v>
      </c>
      <c r="Z2971">
        <v>7</v>
      </c>
      <c r="AA2971">
        <v>2</v>
      </c>
      <c r="AB2971">
        <v>7</v>
      </c>
      <c r="AC2971">
        <v>0</v>
      </c>
      <c r="AD2971">
        <v>0</v>
      </c>
      <c r="AE2971">
        <v>0</v>
      </c>
      <c r="AF2971">
        <v>0</v>
      </c>
      <c r="AK2971">
        <v>4</v>
      </c>
      <c r="AL2971">
        <v>1</v>
      </c>
      <c r="AM2971">
        <v>0</v>
      </c>
      <c r="AN2971">
        <v>0</v>
      </c>
      <c r="AT2971">
        <v>0</v>
      </c>
      <c r="AU2971">
        <v>20</v>
      </c>
      <c r="AV2971">
        <v>383</v>
      </c>
      <c r="AW2971">
        <v>383</v>
      </c>
      <c r="AX2971">
        <v>624</v>
      </c>
      <c r="BA2971">
        <v>1</v>
      </c>
      <c r="BC2971" t="s">
        <v>6044</v>
      </c>
      <c r="BD2971" s="4">
        <v>43283.254861111112</v>
      </c>
      <c r="BE2971" s="4">
        <v>43283.283148148148</v>
      </c>
      <c r="BF2971" s="4">
        <v>43283.283148148148</v>
      </c>
      <c r="BG2971" t="s">
        <v>83</v>
      </c>
      <c r="BH2971" t="s">
        <v>84</v>
      </c>
      <c r="BI2971" t="s">
        <v>85</v>
      </c>
    </row>
    <row r="2972" spans="1:61" x14ac:dyDescent="0.3">
      <c r="A2972" t="str">
        <f>"200488B0100"</f>
        <v>200488B0100</v>
      </c>
      <c r="B2972" t="s">
        <v>6045</v>
      </c>
      <c r="C2972">
        <v>20</v>
      </c>
      <c r="D2972" t="s">
        <v>79</v>
      </c>
      <c r="E2972">
        <v>14</v>
      </c>
      <c r="F2972" t="s">
        <v>5455</v>
      </c>
      <c r="G2972">
        <v>488</v>
      </c>
      <c r="H2972">
        <v>1</v>
      </c>
      <c r="I2972" t="s">
        <v>81</v>
      </c>
      <c r="J2972">
        <v>0</v>
      </c>
      <c r="K2972">
        <v>1</v>
      </c>
      <c r="L2972">
        <v>2</v>
      </c>
      <c r="M2972">
        <v>172</v>
      </c>
      <c r="N2972">
        <v>352</v>
      </c>
      <c r="O2972">
        <v>2</v>
      </c>
      <c r="P2972">
        <v>345</v>
      </c>
      <c r="Q2972">
        <v>52</v>
      </c>
      <c r="R2972">
        <v>42</v>
      </c>
      <c r="S2972">
        <v>6</v>
      </c>
      <c r="T2972">
        <v>9</v>
      </c>
      <c r="U2972">
        <v>13</v>
      </c>
      <c r="V2972">
        <v>6</v>
      </c>
      <c r="W2972">
        <v>10</v>
      </c>
      <c r="X2972">
        <v>5</v>
      </c>
      <c r="Y2972">
        <v>173</v>
      </c>
      <c r="Z2972">
        <v>3</v>
      </c>
      <c r="AA2972">
        <v>0</v>
      </c>
      <c r="AB2972">
        <v>8</v>
      </c>
      <c r="AC2972">
        <v>3</v>
      </c>
      <c r="AD2972">
        <v>1</v>
      </c>
      <c r="AE2972">
        <v>0</v>
      </c>
      <c r="AF2972">
        <v>0</v>
      </c>
      <c r="AK2972">
        <v>2</v>
      </c>
      <c r="AL2972">
        <v>0</v>
      </c>
      <c r="AM2972">
        <v>0</v>
      </c>
      <c r="AN2972">
        <v>0</v>
      </c>
      <c r="AT2972">
        <v>0</v>
      </c>
      <c r="AU2972">
        <v>12</v>
      </c>
      <c r="AV2972">
        <v>345</v>
      </c>
      <c r="AW2972">
        <v>345</v>
      </c>
      <c r="AX2972">
        <v>508</v>
      </c>
      <c r="BA2972">
        <v>1</v>
      </c>
      <c r="BC2972" s="2" t="s">
        <v>6046</v>
      </c>
      <c r="BD2972" s="4">
        <v>43283.252083333333</v>
      </c>
      <c r="BE2972" s="4">
        <v>43283.292291666665</v>
      </c>
      <c r="BF2972" s="4">
        <v>43283.292291666665</v>
      </c>
      <c r="BG2972" t="s">
        <v>83</v>
      </c>
      <c r="BH2972" t="s">
        <v>84</v>
      </c>
      <c r="BI2972" t="s">
        <v>85</v>
      </c>
    </row>
    <row r="2973" spans="1:61" x14ac:dyDescent="0.3">
      <c r="A2973" t="str">
        <f>"200488C0100"</f>
        <v>200488C0100</v>
      </c>
      <c r="B2973" t="s">
        <v>6047</v>
      </c>
      <c r="C2973">
        <v>20</v>
      </c>
      <c r="D2973" t="s">
        <v>79</v>
      </c>
      <c r="E2973">
        <v>14</v>
      </c>
      <c r="F2973" t="s">
        <v>5455</v>
      </c>
      <c r="G2973">
        <v>488</v>
      </c>
      <c r="H2973">
        <v>1</v>
      </c>
      <c r="I2973" t="s">
        <v>89</v>
      </c>
      <c r="J2973">
        <v>0</v>
      </c>
      <c r="K2973">
        <v>1</v>
      </c>
      <c r="L2973">
        <v>2</v>
      </c>
      <c r="M2973">
        <v>193</v>
      </c>
      <c r="N2973">
        <v>337</v>
      </c>
      <c r="O2973">
        <v>5</v>
      </c>
      <c r="P2973">
        <v>337</v>
      </c>
      <c r="Q2973">
        <v>61</v>
      </c>
      <c r="R2973">
        <v>43</v>
      </c>
      <c r="S2973">
        <v>6</v>
      </c>
      <c r="T2973">
        <v>12</v>
      </c>
      <c r="U2973">
        <v>16</v>
      </c>
      <c r="V2973">
        <v>3</v>
      </c>
      <c r="W2973">
        <v>7</v>
      </c>
      <c r="X2973">
        <v>4</v>
      </c>
      <c r="Y2973">
        <v>152</v>
      </c>
      <c r="Z2973">
        <v>4</v>
      </c>
      <c r="AA2973">
        <v>2</v>
      </c>
      <c r="AB2973">
        <v>10</v>
      </c>
      <c r="AC2973">
        <v>2</v>
      </c>
      <c r="AD2973">
        <v>0</v>
      </c>
      <c r="AE2973">
        <v>0</v>
      </c>
      <c r="AF2973">
        <v>0</v>
      </c>
      <c r="AK2973">
        <v>5</v>
      </c>
      <c r="AL2973">
        <v>0</v>
      </c>
      <c r="AM2973">
        <v>0</v>
      </c>
      <c r="AN2973">
        <v>1</v>
      </c>
      <c r="AT2973">
        <v>0</v>
      </c>
      <c r="AU2973">
        <v>9</v>
      </c>
      <c r="AV2973">
        <v>337</v>
      </c>
      <c r="AW2973">
        <v>337</v>
      </c>
      <c r="AX2973">
        <v>508</v>
      </c>
      <c r="BA2973">
        <v>1</v>
      </c>
      <c r="BC2973" t="s">
        <v>6048</v>
      </c>
      <c r="BD2973" s="4">
        <v>43283.222916666666</v>
      </c>
      <c r="BE2973" s="4">
        <v>43283.24695601852</v>
      </c>
      <c r="BF2973" s="4">
        <v>43283.24695601852</v>
      </c>
      <c r="BG2973" t="s">
        <v>83</v>
      </c>
      <c r="BH2973" t="s">
        <v>84</v>
      </c>
      <c r="BI2973" t="s">
        <v>85</v>
      </c>
    </row>
    <row r="2974" spans="1:61" x14ac:dyDescent="0.3">
      <c r="A2974" t="str">
        <f>"200488C0200"</f>
        <v>200488C0200</v>
      </c>
      <c r="B2974" t="s">
        <v>6049</v>
      </c>
      <c r="C2974">
        <v>20</v>
      </c>
      <c r="D2974" t="s">
        <v>79</v>
      </c>
      <c r="E2974">
        <v>14</v>
      </c>
      <c r="F2974" t="s">
        <v>5455</v>
      </c>
      <c r="G2974">
        <v>488</v>
      </c>
      <c r="H2974">
        <v>2</v>
      </c>
      <c r="I2974" t="s">
        <v>89</v>
      </c>
      <c r="J2974">
        <v>0</v>
      </c>
      <c r="K2974">
        <v>1</v>
      </c>
      <c r="L2974">
        <v>2</v>
      </c>
      <c r="M2974">
        <v>172</v>
      </c>
      <c r="N2974">
        <v>357</v>
      </c>
      <c r="O2974">
        <v>3</v>
      </c>
      <c r="P2974">
        <v>357</v>
      </c>
      <c r="Q2974">
        <v>53</v>
      </c>
      <c r="R2974">
        <v>49</v>
      </c>
      <c r="S2974">
        <v>1</v>
      </c>
      <c r="T2974">
        <v>13</v>
      </c>
      <c r="U2974">
        <v>27</v>
      </c>
      <c r="V2974">
        <v>5</v>
      </c>
      <c r="W2974">
        <v>9</v>
      </c>
      <c r="X2974">
        <v>8</v>
      </c>
      <c r="Y2974">
        <v>149</v>
      </c>
      <c r="Z2974">
        <v>6</v>
      </c>
      <c r="AA2974">
        <v>1</v>
      </c>
      <c r="AB2974">
        <v>4</v>
      </c>
      <c r="AC2974">
        <v>0</v>
      </c>
      <c r="AD2974">
        <v>1</v>
      </c>
      <c r="AE2974">
        <v>0</v>
      </c>
      <c r="AF2974">
        <v>0</v>
      </c>
      <c r="AK2974">
        <v>5</v>
      </c>
      <c r="AL2974">
        <v>0</v>
      </c>
      <c r="AM2974">
        <v>0</v>
      </c>
      <c r="AN2974">
        <v>0</v>
      </c>
      <c r="AT2974">
        <v>0</v>
      </c>
      <c r="AU2974">
        <v>26</v>
      </c>
      <c r="AV2974">
        <v>357</v>
      </c>
      <c r="AW2974">
        <v>357</v>
      </c>
      <c r="AX2974">
        <v>507</v>
      </c>
      <c r="BA2974">
        <v>1</v>
      </c>
      <c r="BC2974" t="s">
        <v>6050</v>
      </c>
      <c r="BD2974" s="4">
        <v>43283.206250000003</v>
      </c>
      <c r="BE2974" s="4">
        <v>43283.229386574072</v>
      </c>
      <c r="BF2974" s="4">
        <v>43283.229386574072</v>
      </c>
      <c r="BG2974" t="s">
        <v>83</v>
      </c>
      <c r="BH2974" t="s">
        <v>84</v>
      </c>
      <c r="BI2974" t="s">
        <v>85</v>
      </c>
    </row>
    <row r="2975" spans="1:61" x14ac:dyDescent="0.3">
      <c r="A2975" t="str">
        <f>"200489B0100"</f>
        <v>200489B0100</v>
      </c>
      <c r="B2975" t="s">
        <v>6051</v>
      </c>
      <c r="C2975">
        <v>20</v>
      </c>
      <c r="D2975" t="s">
        <v>79</v>
      </c>
      <c r="E2975">
        <v>14</v>
      </c>
      <c r="F2975" t="s">
        <v>5455</v>
      </c>
      <c r="G2975">
        <v>489</v>
      </c>
      <c r="H2975">
        <v>1</v>
      </c>
      <c r="I2975" t="s">
        <v>81</v>
      </c>
      <c r="J2975">
        <v>0</v>
      </c>
      <c r="K2975">
        <v>1</v>
      </c>
      <c r="L2975">
        <v>2</v>
      </c>
      <c r="M2975">
        <v>148</v>
      </c>
      <c r="N2975">
        <v>391</v>
      </c>
      <c r="O2975">
        <v>2</v>
      </c>
      <c r="P2975">
        <v>385</v>
      </c>
      <c r="Q2975">
        <v>97</v>
      </c>
      <c r="R2975">
        <v>70</v>
      </c>
      <c r="S2975">
        <v>10</v>
      </c>
      <c r="T2975">
        <v>20</v>
      </c>
      <c r="U2975">
        <v>14</v>
      </c>
      <c r="V2975">
        <v>3</v>
      </c>
      <c r="W2975">
        <v>8</v>
      </c>
      <c r="X2975">
        <v>5</v>
      </c>
      <c r="Y2975">
        <v>116</v>
      </c>
      <c r="Z2975">
        <v>3</v>
      </c>
      <c r="AA2975">
        <v>4</v>
      </c>
      <c r="AB2975">
        <v>6</v>
      </c>
      <c r="AC2975">
        <v>1</v>
      </c>
      <c r="AD2975">
        <v>2</v>
      </c>
      <c r="AE2975">
        <v>0</v>
      </c>
      <c r="AF2975">
        <v>0</v>
      </c>
      <c r="AK2975">
        <v>4</v>
      </c>
      <c r="AL2975">
        <v>0</v>
      </c>
      <c r="AM2975">
        <v>0</v>
      </c>
      <c r="AN2975">
        <v>0</v>
      </c>
      <c r="AT2975">
        <v>0</v>
      </c>
      <c r="AU2975">
        <v>22</v>
      </c>
      <c r="AV2975" t="s">
        <v>100</v>
      </c>
      <c r="AW2975">
        <v>385</v>
      </c>
      <c r="AX2975">
        <v>517</v>
      </c>
      <c r="BA2975">
        <v>1</v>
      </c>
      <c r="BC2975" t="s">
        <v>6052</v>
      </c>
      <c r="BD2975" s="4">
        <v>43283.068055555559</v>
      </c>
      <c r="BE2975" s="4">
        <v>43283.072939814818</v>
      </c>
      <c r="BF2975" s="4">
        <v>43283.072939814818</v>
      </c>
      <c r="BG2975" t="s">
        <v>83</v>
      </c>
      <c r="BH2975" t="s">
        <v>84</v>
      </c>
      <c r="BI2975" t="s">
        <v>85</v>
      </c>
    </row>
    <row r="2976" spans="1:61" x14ac:dyDescent="0.3">
      <c r="A2976" t="str">
        <f>"200489C0100"</f>
        <v>200489C0100</v>
      </c>
      <c r="B2976" t="s">
        <v>6053</v>
      </c>
      <c r="C2976">
        <v>20</v>
      </c>
      <c r="D2976" t="s">
        <v>79</v>
      </c>
      <c r="E2976">
        <v>14</v>
      </c>
      <c r="F2976" t="s">
        <v>5455</v>
      </c>
      <c r="G2976">
        <v>489</v>
      </c>
      <c r="H2976">
        <v>1</v>
      </c>
      <c r="I2976" t="s">
        <v>89</v>
      </c>
      <c r="J2976">
        <v>0</v>
      </c>
      <c r="K2976">
        <v>1</v>
      </c>
      <c r="L2976">
        <v>2</v>
      </c>
      <c r="M2976">
        <v>175</v>
      </c>
      <c r="N2976">
        <v>365</v>
      </c>
      <c r="O2976">
        <v>7</v>
      </c>
      <c r="P2976">
        <v>350</v>
      </c>
      <c r="Q2976">
        <v>82</v>
      </c>
      <c r="R2976">
        <v>82</v>
      </c>
      <c r="S2976">
        <v>4</v>
      </c>
      <c r="T2976">
        <v>12</v>
      </c>
      <c r="U2976">
        <v>12</v>
      </c>
      <c r="V2976">
        <v>3</v>
      </c>
      <c r="W2976">
        <v>3</v>
      </c>
      <c r="X2976">
        <v>7</v>
      </c>
      <c r="Y2976">
        <v>122</v>
      </c>
      <c r="Z2976">
        <v>4</v>
      </c>
      <c r="AA2976">
        <v>1</v>
      </c>
      <c r="AB2976">
        <v>11</v>
      </c>
      <c r="AC2976">
        <v>1</v>
      </c>
      <c r="AD2976">
        <v>0</v>
      </c>
      <c r="AE2976">
        <v>0</v>
      </c>
      <c r="AF2976">
        <v>0</v>
      </c>
      <c r="AK2976">
        <v>4</v>
      </c>
      <c r="AL2976">
        <v>0</v>
      </c>
      <c r="AM2976">
        <v>0</v>
      </c>
      <c r="AN2976">
        <v>0</v>
      </c>
      <c r="AT2976">
        <v>0</v>
      </c>
      <c r="AU2976">
        <v>16</v>
      </c>
      <c r="AV2976">
        <v>350</v>
      </c>
      <c r="AW2976">
        <v>364</v>
      </c>
      <c r="AX2976">
        <v>517</v>
      </c>
      <c r="BA2976">
        <v>1</v>
      </c>
      <c r="BC2976" t="s">
        <v>6054</v>
      </c>
      <c r="BD2976" s="4">
        <v>43283.243750000001</v>
      </c>
      <c r="BE2976" s="4">
        <v>43283.267094907409</v>
      </c>
      <c r="BF2976" s="4">
        <v>43283.267094907409</v>
      </c>
      <c r="BG2976" t="s">
        <v>83</v>
      </c>
      <c r="BH2976" t="s">
        <v>84</v>
      </c>
      <c r="BI2976" t="s">
        <v>85</v>
      </c>
    </row>
    <row r="2977" spans="1:61" x14ac:dyDescent="0.3">
      <c r="A2977" t="str">
        <f>"200489C0200"</f>
        <v>200489C0200</v>
      </c>
      <c r="B2977" t="s">
        <v>6055</v>
      </c>
      <c r="C2977">
        <v>20</v>
      </c>
      <c r="D2977" t="s">
        <v>79</v>
      </c>
      <c r="E2977">
        <v>14</v>
      </c>
      <c r="F2977" t="s">
        <v>5455</v>
      </c>
      <c r="G2977">
        <v>489</v>
      </c>
      <c r="H2977">
        <v>2</v>
      </c>
      <c r="I2977" t="s">
        <v>89</v>
      </c>
      <c r="J2977">
        <v>0</v>
      </c>
      <c r="K2977">
        <v>1</v>
      </c>
      <c r="L2977">
        <v>2</v>
      </c>
      <c r="M2977">
        <v>164</v>
      </c>
      <c r="N2977">
        <v>375</v>
      </c>
      <c r="O2977">
        <v>4</v>
      </c>
      <c r="P2977">
        <v>380</v>
      </c>
      <c r="Q2977">
        <v>93</v>
      </c>
      <c r="R2977">
        <v>76</v>
      </c>
      <c r="S2977">
        <v>5</v>
      </c>
      <c r="T2977">
        <v>12</v>
      </c>
      <c r="U2977">
        <v>8</v>
      </c>
      <c r="V2977">
        <v>7</v>
      </c>
      <c r="W2977">
        <v>5</v>
      </c>
      <c r="X2977">
        <v>7</v>
      </c>
      <c r="Y2977">
        <v>131</v>
      </c>
      <c r="Z2977">
        <v>5</v>
      </c>
      <c r="AA2977">
        <v>4</v>
      </c>
      <c r="AB2977">
        <v>9</v>
      </c>
      <c r="AC2977">
        <v>2</v>
      </c>
      <c r="AD2977">
        <v>0</v>
      </c>
      <c r="AE2977">
        <v>0</v>
      </c>
      <c r="AF2977">
        <v>0</v>
      </c>
      <c r="AK2977">
        <v>1</v>
      </c>
      <c r="AL2977">
        <v>0</v>
      </c>
      <c r="AM2977">
        <v>0</v>
      </c>
      <c r="AN2977">
        <v>0</v>
      </c>
      <c r="AT2977">
        <v>0</v>
      </c>
      <c r="AU2977">
        <v>15</v>
      </c>
      <c r="AV2977">
        <v>380</v>
      </c>
      <c r="AW2977">
        <v>380</v>
      </c>
      <c r="AX2977">
        <v>517</v>
      </c>
      <c r="BA2977">
        <v>1</v>
      </c>
      <c r="BC2977" t="s">
        <v>6056</v>
      </c>
      <c r="BD2977" s="4">
        <v>43283.063888888886</v>
      </c>
      <c r="BE2977" s="4">
        <v>43283.068958333337</v>
      </c>
      <c r="BF2977" s="4">
        <v>43283.068958333337</v>
      </c>
      <c r="BG2977" t="s">
        <v>83</v>
      </c>
      <c r="BH2977" t="s">
        <v>84</v>
      </c>
      <c r="BI2977" t="s">
        <v>85</v>
      </c>
    </row>
    <row r="2978" spans="1:61" x14ac:dyDescent="0.3">
      <c r="A2978" t="str">
        <f>"200490B0100"</f>
        <v>200490B0100</v>
      </c>
      <c r="B2978" t="s">
        <v>6057</v>
      </c>
      <c r="C2978">
        <v>20</v>
      </c>
      <c r="D2978" t="s">
        <v>79</v>
      </c>
      <c r="E2978">
        <v>14</v>
      </c>
      <c r="F2978" t="s">
        <v>5455</v>
      </c>
      <c r="G2978">
        <v>490</v>
      </c>
      <c r="H2978">
        <v>1</v>
      </c>
      <c r="I2978" t="s">
        <v>81</v>
      </c>
      <c r="J2978">
        <v>0</v>
      </c>
      <c r="K2978">
        <v>1</v>
      </c>
      <c r="L2978">
        <v>2</v>
      </c>
      <c r="M2978">
        <v>253</v>
      </c>
      <c r="N2978">
        <v>488</v>
      </c>
      <c r="O2978">
        <v>5</v>
      </c>
      <c r="P2978">
        <v>488</v>
      </c>
      <c r="Q2978">
        <v>92</v>
      </c>
      <c r="R2978">
        <v>81</v>
      </c>
      <c r="S2978">
        <v>15</v>
      </c>
      <c r="T2978">
        <v>19</v>
      </c>
      <c r="U2978">
        <v>8</v>
      </c>
      <c r="V2978">
        <v>5</v>
      </c>
      <c r="W2978">
        <v>9</v>
      </c>
      <c r="X2978">
        <v>5</v>
      </c>
      <c r="Y2978">
        <v>185</v>
      </c>
      <c r="Z2978">
        <v>6</v>
      </c>
      <c r="AA2978">
        <v>6</v>
      </c>
      <c r="AB2978">
        <v>14</v>
      </c>
      <c r="AC2978">
        <v>4</v>
      </c>
      <c r="AD2978">
        <v>2</v>
      </c>
      <c r="AE2978">
        <v>0</v>
      </c>
      <c r="AF2978">
        <v>0</v>
      </c>
      <c r="AK2978">
        <v>2</v>
      </c>
      <c r="AL2978">
        <v>1</v>
      </c>
      <c r="AM2978">
        <v>0</v>
      </c>
      <c r="AN2978">
        <v>1</v>
      </c>
      <c r="AT2978">
        <v>0</v>
      </c>
      <c r="AU2978">
        <v>19</v>
      </c>
      <c r="AV2978">
        <v>474</v>
      </c>
      <c r="AW2978">
        <v>474</v>
      </c>
      <c r="AX2978">
        <v>720</v>
      </c>
      <c r="BA2978">
        <v>1</v>
      </c>
      <c r="BC2978" t="s">
        <v>6058</v>
      </c>
      <c r="BD2978" s="4">
        <v>43283.081944444442</v>
      </c>
      <c r="BE2978" s="4">
        <v>43283.087314814817</v>
      </c>
      <c r="BF2978" s="4">
        <v>43283.087314814817</v>
      </c>
      <c r="BG2978" t="s">
        <v>83</v>
      </c>
      <c r="BH2978" t="s">
        <v>84</v>
      </c>
      <c r="BI2978" t="s">
        <v>85</v>
      </c>
    </row>
    <row r="2979" spans="1:61" x14ac:dyDescent="0.3">
      <c r="A2979" t="str">
        <f>"200490C0100"</f>
        <v>200490C0100</v>
      </c>
      <c r="B2979" t="s">
        <v>6059</v>
      </c>
      <c r="C2979">
        <v>20</v>
      </c>
      <c r="D2979" t="s">
        <v>79</v>
      </c>
      <c r="E2979">
        <v>14</v>
      </c>
      <c r="F2979" t="s">
        <v>5455</v>
      </c>
      <c r="G2979">
        <v>490</v>
      </c>
      <c r="H2979">
        <v>1</v>
      </c>
      <c r="I2979" t="s">
        <v>89</v>
      </c>
      <c r="J2979">
        <v>0</v>
      </c>
      <c r="K2979">
        <v>1</v>
      </c>
      <c r="L2979">
        <v>2</v>
      </c>
      <c r="M2979">
        <v>265</v>
      </c>
      <c r="N2979">
        <v>477</v>
      </c>
      <c r="O2979">
        <v>4</v>
      </c>
      <c r="P2979">
        <v>477</v>
      </c>
      <c r="Q2979">
        <v>79</v>
      </c>
      <c r="R2979">
        <v>90</v>
      </c>
      <c r="S2979">
        <v>5</v>
      </c>
      <c r="T2979">
        <v>18</v>
      </c>
      <c r="U2979">
        <v>14</v>
      </c>
      <c r="V2979">
        <v>10</v>
      </c>
      <c r="W2979">
        <v>12</v>
      </c>
      <c r="X2979">
        <v>14</v>
      </c>
      <c r="Y2979">
        <v>191</v>
      </c>
      <c r="Z2979">
        <v>6</v>
      </c>
      <c r="AA2979">
        <v>5</v>
      </c>
      <c r="AB2979">
        <v>13</v>
      </c>
      <c r="AC2979">
        <v>1</v>
      </c>
      <c r="AD2979">
        <v>2</v>
      </c>
      <c r="AE2979">
        <v>0</v>
      </c>
      <c r="AF2979">
        <v>0</v>
      </c>
      <c r="AK2979">
        <v>4</v>
      </c>
      <c r="AL2979">
        <v>1</v>
      </c>
      <c r="AM2979">
        <v>0</v>
      </c>
      <c r="AN2979">
        <v>0</v>
      </c>
      <c r="AT2979">
        <v>0</v>
      </c>
      <c r="AU2979">
        <v>23</v>
      </c>
      <c r="AV2979">
        <v>488</v>
      </c>
      <c r="AW2979">
        <v>488</v>
      </c>
      <c r="AX2979">
        <v>720</v>
      </c>
      <c r="BA2979">
        <v>1</v>
      </c>
      <c r="BC2979" t="s">
        <v>6060</v>
      </c>
      <c r="BD2979" s="4">
        <v>43283.084027777775</v>
      </c>
      <c r="BE2979" s="4">
        <v>43283.089386574073</v>
      </c>
      <c r="BF2979" s="4">
        <v>43283.089386574073</v>
      </c>
      <c r="BG2979" t="s">
        <v>83</v>
      </c>
      <c r="BH2979" t="s">
        <v>84</v>
      </c>
      <c r="BI2979" t="s">
        <v>85</v>
      </c>
    </row>
    <row r="2980" spans="1:61" x14ac:dyDescent="0.3">
      <c r="A2980" t="str">
        <f>"200491B0100"</f>
        <v>200491B0100</v>
      </c>
      <c r="B2980" t="s">
        <v>6061</v>
      </c>
      <c r="C2980">
        <v>20</v>
      </c>
      <c r="D2980" t="s">
        <v>79</v>
      </c>
      <c r="E2980">
        <v>14</v>
      </c>
      <c r="F2980" t="s">
        <v>5455</v>
      </c>
      <c r="G2980">
        <v>491</v>
      </c>
      <c r="H2980">
        <v>1</v>
      </c>
      <c r="I2980" t="s">
        <v>81</v>
      </c>
      <c r="J2980">
        <v>0</v>
      </c>
      <c r="K2980">
        <v>1</v>
      </c>
      <c r="L2980">
        <v>2</v>
      </c>
      <c r="M2980">
        <v>262</v>
      </c>
      <c r="N2980">
        <v>478</v>
      </c>
      <c r="O2980">
        <v>9</v>
      </c>
      <c r="P2980">
        <v>482</v>
      </c>
      <c r="Q2980">
        <v>51</v>
      </c>
      <c r="R2980">
        <v>85</v>
      </c>
      <c r="S2980">
        <v>15</v>
      </c>
      <c r="T2980">
        <v>13</v>
      </c>
      <c r="U2980">
        <v>18</v>
      </c>
      <c r="V2980">
        <v>11</v>
      </c>
      <c r="W2980">
        <v>6</v>
      </c>
      <c r="X2980">
        <v>6</v>
      </c>
      <c r="Y2980">
        <v>223</v>
      </c>
      <c r="Z2980">
        <v>9</v>
      </c>
      <c r="AA2980">
        <v>2</v>
      </c>
      <c r="AB2980">
        <v>8</v>
      </c>
      <c r="AC2980">
        <v>2</v>
      </c>
      <c r="AD2980">
        <v>0</v>
      </c>
      <c r="AE2980">
        <v>0</v>
      </c>
      <c r="AF2980">
        <v>0</v>
      </c>
      <c r="AK2980">
        <v>6</v>
      </c>
      <c r="AL2980">
        <v>4</v>
      </c>
      <c r="AM2980">
        <v>0</v>
      </c>
      <c r="AN2980">
        <v>0</v>
      </c>
      <c r="AT2980">
        <v>0</v>
      </c>
      <c r="AU2980">
        <v>23</v>
      </c>
      <c r="AV2980">
        <v>482</v>
      </c>
      <c r="AW2980">
        <v>482</v>
      </c>
      <c r="AX2980">
        <v>718</v>
      </c>
      <c r="BA2980">
        <v>1</v>
      </c>
      <c r="BC2980" t="s">
        <v>6062</v>
      </c>
      <c r="BD2980" s="4">
        <v>43283.026388888888</v>
      </c>
      <c r="BE2980" s="4">
        <v>43283.031759259262</v>
      </c>
      <c r="BF2980" s="4">
        <v>43283.031759259262</v>
      </c>
      <c r="BG2980" t="s">
        <v>83</v>
      </c>
      <c r="BH2980" t="s">
        <v>84</v>
      </c>
      <c r="BI2980" t="s">
        <v>85</v>
      </c>
    </row>
    <row r="2981" spans="1:61" x14ac:dyDescent="0.3">
      <c r="A2981" t="str">
        <f>"200491C0100"</f>
        <v>200491C0100</v>
      </c>
      <c r="B2981" t="s">
        <v>6063</v>
      </c>
      <c r="C2981">
        <v>20</v>
      </c>
      <c r="D2981" t="s">
        <v>79</v>
      </c>
      <c r="E2981">
        <v>14</v>
      </c>
      <c r="F2981" t="s">
        <v>5455</v>
      </c>
      <c r="G2981">
        <v>491</v>
      </c>
      <c r="H2981">
        <v>1</v>
      </c>
      <c r="I2981" t="s">
        <v>89</v>
      </c>
      <c r="J2981">
        <v>0</v>
      </c>
      <c r="K2981">
        <v>1</v>
      </c>
      <c r="L2981">
        <v>2</v>
      </c>
      <c r="M2981">
        <v>217</v>
      </c>
      <c r="N2981">
        <v>523</v>
      </c>
      <c r="O2981">
        <v>8</v>
      </c>
      <c r="P2981" t="s">
        <v>100</v>
      </c>
      <c r="Q2981">
        <v>67</v>
      </c>
      <c r="R2981">
        <v>61</v>
      </c>
      <c r="S2981">
        <v>11</v>
      </c>
      <c r="T2981">
        <v>15</v>
      </c>
      <c r="U2981">
        <v>26</v>
      </c>
      <c r="V2981">
        <v>6</v>
      </c>
      <c r="W2981">
        <v>14</v>
      </c>
      <c r="X2981">
        <v>12</v>
      </c>
      <c r="Y2981">
        <v>237</v>
      </c>
      <c r="Z2981">
        <v>9</v>
      </c>
      <c r="AA2981">
        <v>3</v>
      </c>
      <c r="AB2981">
        <v>16</v>
      </c>
      <c r="AC2981">
        <v>1</v>
      </c>
      <c r="AD2981">
        <v>0</v>
      </c>
      <c r="AE2981">
        <v>0</v>
      </c>
      <c r="AF2981">
        <v>0</v>
      </c>
      <c r="AK2981">
        <v>10</v>
      </c>
      <c r="AL2981">
        <v>3</v>
      </c>
      <c r="AM2981">
        <v>0</v>
      </c>
      <c r="AN2981">
        <v>1</v>
      </c>
      <c r="AT2981">
        <v>0</v>
      </c>
      <c r="AU2981">
        <v>28</v>
      </c>
      <c r="AV2981">
        <v>520</v>
      </c>
      <c r="AW2981">
        <v>520</v>
      </c>
      <c r="AX2981">
        <v>718</v>
      </c>
      <c r="BA2981">
        <v>1</v>
      </c>
      <c r="BC2981" t="s">
        <v>6064</v>
      </c>
      <c r="BD2981" s="4">
        <v>43283.042361111111</v>
      </c>
      <c r="BE2981" s="4">
        <v>43283.046273148146</v>
      </c>
      <c r="BF2981" s="4">
        <v>43283.046273148146</v>
      </c>
      <c r="BG2981" t="s">
        <v>83</v>
      </c>
      <c r="BH2981" t="s">
        <v>84</v>
      </c>
      <c r="BI2981" t="s">
        <v>85</v>
      </c>
    </row>
    <row r="2982" spans="1:61" x14ac:dyDescent="0.3">
      <c r="A2982" t="str">
        <f>"200492B0100"</f>
        <v>200492B0100</v>
      </c>
      <c r="B2982" t="s">
        <v>6065</v>
      </c>
      <c r="C2982">
        <v>20</v>
      </c>
      <c r="D2982" t="s">
        <v>79</v>
      </c>
      <c r="E2982">
        <v>14</v>
      </c>
      <c r="F2982" t="s">
        <v>5455</v>
      </c>
      <c r="G2982">
        <v>492</v>
      </c>
      <c r="H2982">
        <v>1</v>
      </c>
      <c r="I2982" t="s">
        <v>81</v>
      </c>
      <c r="J2982">
        <v>0</v>
      </c>
      <c r="K2982">
        <v>1</v>
      </c>
      <c r="L2982">
        <v>2</v>
      </c>
      <c r="M2982">
        <v>224</v>
      </c>
      <c r="N2982">
        <v>339</v>
      </c>
      <c r="O2982">
        <v>339</v>
      </c>
      <c r="P2982" t="s">
        <v>100</v>
      </c>
      <c r="Q2982">
        <v>40</v>
      </c>
      <c r="R2982">
        <v>43</v>
      </c>
      <c r="S2982">
        <v>4</v>
      </c>
      <c r="T2982">
        <v>13</v>
      </c>
      <c r="U2982">
        <v>11</v>
      </c>
      <c r="V2982">
        <v>6</v>
      </c>
      <c r="W2982">
        <v>11</v>
      </c>
      <c r="X2982">
        <v>4</v>
      </c>
      <c r="Y2982">
        <v>161</v>
      </c>
      <c r="Z2982">
        <v>5</v>
      </c>
      <c r="AA2982">
        <v>1</v>
      </c>
      <c r="AB2982">
        <v>12</v>
      </c>
      <c r="AC2982">
        <v>1</v>
      </c>
      <c r="AD2982">
        <v>1</v>
      </c>
      <c r="AE2982">
        <v>0</v>
      </c>
      <c r="AF2982">
        <v>0</v>
      </c>
      <c r="AK2982">
        <v>7</v>
      </c>
      <c r="AL2982">
        <v>1</v>
      </c>
      <c r="AM2982">
        <v>0</v>
      </c>
      <c r="AN2982">
        <v>1</v>
      </c>
      <c r="AT2982">
        <v>0</v>
      </c>
      <c r="AU2982">
        <v>7</v>
      </c>
      <c r="AV2982">
        <v>339</v>
      </c>
      <c r="AW2982">
        <v>329</v>
      </c>
      <c r="AX2982">
        <v>541</v>
      </c>
      <c r="BA2982">
        <v>1</v>
      </c>
      <c r="BC2982" t="s">
        <v>6066</v>
      </c>
      <c r="BD2982" s="4">
        <v>43283.180555555555</v>
      </c>
      <c r="BE2982" s="4">
        <v>43283.198900462965</v>
      </c>
      <c r="BF2982" s="4">
        <v>43283.198900462965</v>
      </c>
      <c r="BG2982" t="s">
        <v>83</v>
      </c>
      <c r="BH2982" t="s">
        <v>84</v>
      </c>
      <c r="BI2982" t="s">
        <v>85</v>
      </c>
    </row>
    <row r="2983" spans="1:61" x14ac:dyDescent="0.3">
      <c r="A2983" t="str">
        <f>"200492C0100"</f>
        <v>200492C0100</v>
      </c>
      <c r="B2983" t="s">
        <v>6067</v>
      </c>
      <c r="C2983">
        <v>20</v>
      </c>
      <c r="D2983" t="s">
        <v>79</v>
      </c>
      <c r="E2983">
        <v>14</v>
      </c>
      <c r="F2983" t="s">
        <v>5455</v>
      </c>
      <c r="G2983">
        <v>492</v>
      </c>
      <c r="H2983">
        <v>1</v>
      </c>
      <c r="I2983" t="s">
        <v>89</v>
      </c>
      <c r="J2983">
        <v>0</v>
      </c>
      <c r="K2983">
        <v>1</v>
      </c>
      <c r="L2983">
        <v>2</v>
      </c>
      <c r="M2983">
        <v>208</v>
      </c>
      <c r="N2983" t="s">
        <v>315</v>
      </c>
      <c r="O2983">
        <v>5</v>
      </c>
      <c r="P2983">
        <v>355</v>
      </c>
      <c r="Q2983">
        <v>29</v>
      </c>
      <c r="R2983">
        <v>26</v>
      </c>
      <c r="S2983">
        <v>12</v>
      </c>
      <c r="T2983">
        <v>7</v>
      </c>
      <c r="U2983">
        <v>21</v>
      </c>
      <c r="V2983">
        <v>8</v>
      </c>
      <c r="W2983">
        <v>7</v>
      </c>
      <c r="X2983">
        <v>3</v>
      </c>
      <c r="Y2983">
        <v>198</v>
      </c>
      <c r="Z2983">
        <v>8</v>
      </c>
      <c r="AA2983">
        <v>1</v>
      </c>
      <c r="AB2983">
        <v>16</v>
      </c>
      <c r="AC2983">
        <v>1</v>
      </c>
      <c r="AD2983">
        <v>1</v>
      </c>
      <c r="AE2983">
        <v>0</v>
      </c>
      <c r="AF2983">
        <v>0</v>
      </c>
      <c r="AK2983">
        <v>4</v>
      </c>
      <c r="AL2983">
        <v>0</v>
      </c>
      <c r="AM2983">
        <v>0</v>
      </c>
      <c r="AN2983">
        <v>2</v>
      </c>
      <c r="AT2983">
        <v>0</v>
      </c>
      <c r="AU2983">
        <v>11</v>
      </c>
      <c r="AV2983">
        <v>355</v>
      </c>
      <c r="AW2983">
        <v>355</v>
      </c>
      <c r="AX2983">
        <v>540</v>
      </c>
      <c r="BA2983">
        <v>1</v>
      </c>
      <c r="BC2983" t="s">
        <v>6068</v>
      </c>
      <c r="BD2983" s="4">
        <v>43283.168749999997</v>
      </c>
      <c r="BE2983" s="4">
        <v>43283.185844907406</v>
      </c>
      <c r="BF2983" s="4">
        <v>43283.185844907406</v>
      </c>
      <c r="BG2983" t="s">
        <v>83</v>
      </c>
      <c r="BH2983" t="s">
        <v>84</v>
      </c>
      <c r="BI2983" t="s">
        <v>85</v>
      </c>
    </row>
    <row r="2984" spans="1:61" x14ac:dyDescent="0.3">
      <c r="A2984" t="str">
        <f>"200492C0200"</f>
        <v>200492C0200</v>
      </c>
      <c r="B2984" t="s">
        <v>6069</v>
      </c>
      <c r="C2984">
        <v>20</v>
      </c>
      <c r="D2984" t="s">
        <v>79</v>
      </c>
      <c r="E2984">
        <v>14</v>
      </c>
      <c r="F2984" t="s">
        <v>5455</v>
      </c>
      <c r="G2984">
        <v>492</v>
      </c>
      <c r="H2984">
        <v>2</v>
      </c>
      <c r="I2984" t="s">
        <v>89</v>
      </c>
      <c r="J2984">
        <v>0</v>
      </c>
      <c r="K2984">
        <v>1</v>
      </c>
      <c r="L2984">
        <v>2</v>
      </c>
      <c r="M2984">
        <v>231</v>
      </c>
      <c r="N2984">
        <v>331</v>
      </c>
      <c r="O2984">
        <v>7</v>
      </c>
      <c r="P2984">
        <v>329</v>
      </c>
      <c r="Q2984">
        <v>30</v>
      </c>
      <c r="R2984">
        <v>38</v>
      </c>
      <c r="S2984">
        <v>16</v>
      </c>
      <c r="T2984">
        <v>11</v>
      </c>
      <c r="U2984">
        <v>9</v>
      </c>
      <c r="V2984">
        <v>3</v>
      </c>
      <c r="W2984">
        <v>14</v>
      </c>
      <c r="X2984">
        <v>6</v>
      </c>
      <c r="Y2984">
        <v>159</v>
      </c>
      <c r="Z2984">
        <v>11</v>
      </c>
      <c r="AA2984">
        <v>0</v>
      </c>
      <c r="AB2984">
        <v>13</v>
      </c>
      <c r="AC2984">
        <v>1</v>
      </c>
      <c r="AD2984">
        <v>0</v>
      </c>
      <c r="AE2984">
        <v>0</v>
      </c>
      <c r="AF2984">
        <v>0</v>
      </c>
      <c r="AK2984">
        <v>0</v>
      </c>
      <c r="AL2984">
        <v>2</v>
      </c>
      <c r="AM2984">
        <v>0</v>
      </c>
      <c r="AN2984">
        <v>6</v>
      </c>
      <c r="AT2984">
        <v>0</v>
      </c>
      <c r="AU2984">
        <v>10</v>
      </c>
      <c r="AV2984">
        <v>329</v>
      </c>
      <c r="AW2984">
        <v>329</v>
      </c>
      <c r="AX2984">
        <v>540</v>
      </c>
      <c r="BA2984">
        <v>1</v>
      </c>
      <c r="BC2984" t="s">
        <v>6070</v>
      </c>
      <c r="BD2984" s="4">
        <v>43283.260416666664</v>
      </c>
      <c r="BE2984" s="4">
        <v>43283.286574074074</v>
      </c>
      <c r="BF2984" s="4">
        <v>43283.286574074074</v>
      </c>
      <c r="BG2984" t="s">
        <v>83</v>
      </c>
      <c r="BH2984" t="s">
        <v>84</v>
      </c>
      <c r="BI2984" t="s">
        <v>85</v>
      </c>
    </row>
    <row r="2985" spans="1:61" x14ac:dyDescent="0.3">
      <c r="A2985" t="str">
        <f>"200493B0100"</f>
        <v>200493B0100</v>
      </c>
      <c r="B2985" t="s">
        <v>6071</v>
      </c>
      <c r="C2985">
        <v>20</v>
      </c>
      <c r="D2985" t="s">
        <v>79</v>
      </c>
      <c r="E2985">
        <v>14</v>
      </c>
      <c r="F2985" t="s">
        <v>5455</v>
      </c>
      <c r="G2985">
        <v>493</v>
      </c>
      <c r="H2985">
        <v>1</v>
      </c>
      <c r="I2985" t="s">
        <v>81</v>
      </c>
      <c r="J2985">
        <v>0</v>
      </c>
      <c r="K2985">
        <v>1</v>
      </c>
      <c r="L2985">
        <v>2</v>
      </c>
      <c r="M2985">
        <v>262</v>
      </c>
      <c r="N2985">
        <v>396</v>
      </c>
      <c r="O2985">
        <v>0</v>
      </c>
      <c r="P2985">
        <v>400</v>
      </c>
      <c r="Q2985">
        <v>55</v>
      </c>
      <c r="R2985">
        <v>39</v>
      </c>
      <c r="S2985">
        <v>8</v>
      </c>
      <c r="T2985">
        <v>16</v>
      </c>
      <c r="U2985">
        <v>22</v>
      </c>
      <c r="V2985">
        <v>5</v>
      </c>
      <c r="W2985">
        <v>7</v>
      </c>
      <c r="X2985">
        <v>6</v>
      </c>
      <c r="Y2985">
        <v>215</v>
      </c>
      <c r="Z2985">
        <v>4</v>
      </c>
      <c r="AA2985">
        <v>0</v>
      </c>
      <c r="AB2985">
        <v>7</v>
      </c>
      <c r="AC2985">
        <v>1</v>
      </c>
      <c r="AD2985">
        <v>0</v>
      </c>
      <c r="AE2985">
        <v>0</v>
      </c>
      <c r="AF2985">
        <v>0</v>
      </c>
      <c r="AK2985">
        <v>9</v>
      </c>
      <c r="AL2985">
        <v>0</v>
      </c>
      <c r="AM2985">
        <v>0</v>
      </c>
      <c r="AN2985">
        <v>0</v>
      </c>
      <c r="AT2985">
        <v>0</v>
      </c>
      <c r="AU2985">
        <v>6</v>
      </c>
      <c r="AV2985" t="s">
        <v>100</v>
      </c>
      <c r="AW2985">
        <v>400</v>
      </c>
      <c r="AX2985">
        <v>636</v>
      </c>
      <c r="BA2985">
        <v>1</v>
      </c>
      <c r="BC2985" t="s">
        <v>6072</v>
      </c>
      <c r="BD2985" s="4">
        <v>43283.183333333334</v>
      </c>
      <c r="BE2985" s="4">
        <v>43283.201157407406</v>
      </c>
      <c r="BF2985" s="4">
        <v>43283.201157407406</v>
      </c>
      <c r="BG2985" t="s">
        <v>83</v>
      </c>
      <c r="BH2985" t="s">
        <v>84</v>
      </c>
      <c r="BI2985" t="s">
        <v>85</v>
      </c>
    </row>
    <row r="2986" spans="1:61" x14ac:dyDescent="0.3">
      <c r="A2986" t="str">
        <f>"200493C0100"</f>
        <v>200493C0100</v>
      </c>
      <c r="B2986" t="s">
        <v>6073</v>
      </c>
      <c r="C2986">
        <v>20</v>
      </c>
      <c r="D2986" t="s">
        <v>79</v>
      </c>
      <c r="E2986">
        <v>14</v>
      </c>
      <c r="F2986" t="s">
        <v>5455</v>
      </c>
      <c r="G2986">
        <v>493</v>
      </c>
      <c r="H2986">
        <v>1</v>
      </c>
      <c r="I2986" t="s">
        <v>89</v>
      </c>
      <c r="J2986">
        <v>0</v>
      </c>
      <c r="K2986">
        <v>1</v>
      </c>
      <c r="L2986">
        <v>2</v>
      </c>
      <c r="M2986">
        <v>254</v>
      </c>
      <c r="N2986">
        <v>403</v>
      </c>
      <c r="O2986">
        <v>4</v>
      </c>
      <c r="P2986">
        <v>398</v>
      </c>
      <c r="Q2986">
        <v>45</v>
      </c>
      <c r="R2986">
        <v>39</v>
      </c>
      <c r="S2986">
        <v>10</v>
      </c>
      <c r="T2986">
        <v>12</v>
      </c>
      <c r="U2986">
        <v>22</v>
      </c>
      <c r="V2986">
        <v>7</v>
      </c>
      <c r="W2986">
        <v>4</v>
      </c>
      <c r="X2986">
        <v>4</v>
      </c>
      <c r="Y2986">
        <v>207</v>
      </c>
      <c r="Z2986">
        <v>10</v>
      </c>
      <c r="AA2986">
        <v>4</v>
      </c>
      <c r="AB2986">
        <v>9</v>
      </c>
      <c r="AC2986">
        <v>1</v>
      </c>
      <c r="AD2986">
        <v>0</v>
      </c>
      <c r="AE2986">
        <v>0</v>
      </c>
      <c r="AF2986">
        <v>0</v>
      </c>
      <c r="AK2986">
        <v>6</v>
      </c>
      <c r="AL2986">
        <v>2</v>
      </c>
      <c r="AM2986">
        <v>0</v>
      </c>
      <c r="AN2986">
        <v>0</v>
      </c>
      <c r="AT2986">
        <v>0</v>
      </c>
      <c r="AU2986">
        <v>16</v>
      </c>
      <c r="AV2986">
        <v>398</v>
      </c>
      <c r="AW2986">
        <v>398</v>
      </c>
      <c r="AX2986">
        <v>636</v>
      </c>
      <c r="BA2986">
        <v>1</v>
      </c>
      <c r="BC2986" t="s">
        <v>6074</v>
      </c>
      <c r="BD2986" s="4">
        <v>43283.17291666667</v>
      </c>
      <c r="BE2986" s="4">
        <v>43283.186840277776</v>
      </c>
      <c r="BF2986" s="4">
        <v>43283.186840277776</v>
      </c>
      <c r="BG2986" t="s">
        <v>83</v>
      </c>
      <c r="BH2986" t="s">
        <v>84</v>
      </c>
      <c r="BI2986" t="s">
        <v>85</v>
      </c>
    </row>
    <row r="2987" spans="1:61" x14ac:dyDescent="0.3">
      <c r="A2987" t="str">
        <f>"200493C0200"</f>
        <v>200493C0200</v>
      </c>
      <c r="B2987" t="s">
        <v>6075</v>
      </c>
      <c r="C2987">
        <v>20</v>
      </c>
      <c r="D2987" t="s">
        <v>79</v>
      </c>
      <c r="E2987">
        <v>14</v>
      </c>
      <c r="F2987" t="s">
        <v>5455</v>
      </c>
      <c r="G2987">
        <v>493</v>
      </c>
      <c r="H2987">
        <v>2</v>
      </c>
      <c r="I2987" t="s">
        <v>89</v>
      </c>
      <c r="J2987">
        <v>0</v>
      </c>
      <c r="K2987">
        <v>1</v>
      </c>
      <c r="L2987">
        <v>2</v>
      </c>
      <c r="M2987">
        <v>247</v>
      </c>
      <c r="N2987">
        <v>411</v>
      </c>
      <c r="O2987">
        <v>5</v>
      </c>
      <c r="P2987">
        <v>410</v>
      </c>
      <c r="Q2987">
        <v>41</v>
      </c>
      <c r="R2987">
        <v>36</v>
      </c>
      <c r="S2987">
        <v>3</v>
      </c>
      <c r="T2987">
        <v>14</v>
      </c>
      <c r="U2987">
        <v>24</v>
      </c>
      <c r="V2987">
        <v>7</v>
      </c>
      <c r="W2987">
        <v>10</v>
      </c>
      <c r="X2987">
        <v>8</v>
      </c>
      <c r="Y2987">
        <v>224</v>
      </c>
      <c r="Z2987">
        <v>5</v>
      </c>
      <c r="AA2987">
        <v>4</v>
      </c>
      <c r="AB2987">
        <v>13</v>
      </c>
      <c r="AC2987">
        <v>1</v>
      </c>
      <c r="AD2987">
        <v>0</v>
      </c>
      <c r="AE2987">
        <v>0</v>
      </c>
      <c r="AF2987">
        <v>0</v>
      </c>
      <c r="AK2987">
        <v>7</v>
      </c>
      <c r="AL2987">
        <v>3</v>
      </c>
      <c r="AM2987">
        <v>0</v>
      </c>
      <c r="AN2987">
        <v>1</v>
      </c>
      <c r="AT2987">
        <v>0</v>
      </c>
      <c r="AU2987">
        <v>9</v>
      </c>
      <c r="AV2987">
        <v>410</v>
      </c>
      <c r="AW2987">
        <v>410</v>
      </c>
      <c r="AX2987">
        <v>636</v>
      </c>
      <c r="BA2987">
        <v>1</v>
      </c>
      <c r="BC2987" t="s">
        <v>6076</v>
      </c>
      <c r="BD2987" s="4">
        <v>43283.26666666667</v>
      </c>
      <c r="BE2987" s="4">
        <v>43283.293229166666</v>
      </c>
      <c r="BF2987" s="4">
        <v>43283.293229166666</v>
      </c>
      <c r="BG2987" t="s">
        <v>83</v>
      </c>
      <c r="BH2987" t="s">
        <v>84</v>
      </c>
      <c r="BI2987" t="s">
        <v>548</v>
      </c>
    </row>
    <row r="2988" spans="1:61" x14ac:dyDescent="0.3">
      <c r="A2988" t="str">
        <f>"200493C0300"</f>
        <v>200493C0300</v>
      </c>
      <c r="B2988" t="s">
        <v>6077</v>
      </c>
      <c r="C2988">
        <v>20</v>
      </c>
      <c r="D2988" t="s">
        <v>79</v>
      </c>
      <c r="E2988">
        <v>14</v>
      </c>
      <c r="F2988" t="s">
        <v>5455</v>
      </c>
      <c r="G2988">
        <v>493</v>
      </c>
      <c r="H2988">
        <v>3</v>
      </c>
      <c r="I2988" t="s">
        <v>89</v>
      </c>
      <c r="J2988">
        <v>0</v>
      </c>
      <c r="K2988">
        <v>1</v>
      </c>
      <c r="L2988">
        <v>2</v>
      </c>
      <c r="M2988">
        <v>251</v>
      </c>
      <c r="N2988">
        <v>3</v>
      </c>
      <c r="O2988">
        <v>3</v>
      </c>
      <c r="P2988">
        <v>407</v>
      </c>
      <c r="Q2988">
        <v>46</v>
      </c>
      <c r="R2988">
        <v>45</v>
      </c>
      <c r="S2988">
        <v>7</v>
      </c>
      <c r="T2988">
        <v>9</v>
      </c>
      <c r="U2988">
        <v>29</v>
      </c>
      <c r="V2988">
        <v>4</v>
      </c>
      <c r="W2988">
        <v>5</v>
      </c>
      <c r="X2988">
        <v>8</v>
      </c>
      <c r="Y2988">
        <v>217</v>
      </c>
      <c r="Z2988">
        <v>5</v>
      </c>
      <c r="AA2988">
        <v>3</v>
      </c>
      <c r="AB2988">
        <v>11</v>
      </c>
      <c r="AC2988">
        <v>0</v>
      </c>
      <c r="AD2988">
        <v>0</v>
      </c>
      <c r="AE2988">
        <v>0</v>
      </c>
      <c r="AF2988">
        <v>0</v>
      </c>
      <c r="AK2988">
        <v>4</v>
      </c>
      <c r="AL2988">
        <v>1</v>
      </c>
      <c r="AM2988">
        <v>1</v>
      </c>
      <c r="AN2988">
        <v>2</v>
      </c>
      <c r="AT2988">
        <v>0</v>
      </c>
      <c r="AU2988">
        <v>10</v>
      </c>
      <c r="AV2988" t="s">
        <v>100</v>
      </c>
      <c r="AW2988">
        <v>407</v>
      </c>
      <c r="AX2988">
        <v>636</v>
      </c>
      <c r="BA2988">
        <v>1</v>
      </c>
      <c r="BC2988" t="s">
        <v>6078</v>
      </c>
      <c r="BD2988" s="4">
        <v>43283.17291666667</v>
      </c>
      <c r="BE2988" s="4">
        <v>43283.189236111109</v>
      </c>
      <c r="BF2988" s="4">
        <v>43283.189236111109</v>
      </c>
      <c r="BG2988" t="s">
        <v>83</v>
      </c>
      <c r="BH2988" t="s">
        <v>84</v>
      </c>
      <c r="BI2988" t="s">
        <v>85</v>
      </c>
    </row>
    <row r="2989" spans="1:61" x14ac:dyDescent="0.3">
      <c r="A2989" t="str">
        <f>"200493C0400"</f>
        <v>200493C0400</v>
      </c>
      <c r="B2989" t="s">
        <v>6079</v>
      </c>
      <c r="C2989">
        <v>20</v>
      </c>
      <c r="D2989" t="s">
        <v>79</v>
      </c>
      <c r="E2989">
        <v>14</v>
      </c>
      <c r="F2989" t="s">
        <v>5455</v>
      </c>
      <c r="G2989">
        <v>493</v>
      </c>
      <c r="H2989">
        <v>4</v>
      </c>
      <c r="I2989" t="s">
        <v>89</v>
      </c>
      <c r="J2989">
        <v>0</v>
      </c>
      <c r="K2989">
        <v>1</v>
      </c>
      <c r="L2989">
        <v>2</v>
      </c>
      <c r="M2989">
        <v>271</v>
      </c>
      <c r="N2989">
        <v>387</v>
      </c>
      <c r="O2989">
        <v>4</v>
      </c>
      <c r="P2989">
        <v>385</v>
      </c>
      <c r="Q2989">
        <v>28</v>
      </c>
      <c r="R2989">
        <v>44</v>
      </c>
      <c r="S2989">
        <v>12</v>
      </c>
      <c r="T2989">
        <v>19</v>
      </c>
      <c r="U2989">
        <v>24</v>
      </c>
      <c r="V2989">
        <v>6</v>
      </c>
      <c r="W2989">
        <v>7</v>
      </c>
      <c r="X2989">
        <v>9</v>
      </c>
      <c r="Y2989">
        <v>195</v>
      </c>
      <c r="Z2989">
        <v>8</v>
      </c>
      <c r="AA2989">
        <v>3</v>
      </c>
      <c r="AB2989">
        <v>9</v>
      </c>
      <c r="AC2989">
        <v>1</v>
      </c>
      <c r="AD2989">
        <v>0</v>
      </c>
      <c r="AE2989">
        <v>0</v>
      </c>
      <c r="AF2989">
        <v>0</v>
      </c>
      <c r="AK2989">
        <v>3</v>
      </c>
      <c r="AL2989">
        <v>4</v>
      </c>
      <c r="AM2989">
        <v>0</v>
      </c>
      <c r="AN2989">
        <v>5</v>
      </c>
      <c r="AT2989">
        <v>0</v>
      </c>
      <c r="AU2989">
        <v>8</v>
      </c>
      <c r="AV2989">
        <v>385</v>
      </c>
      <c r="AW2989">
        <v>385</v>
      </c>
      <c r="AX2989">
        <v>635</v>
      </c>
      <c r="BA2989">
        <v>1</v>
      </c>
      <c r="BC2989" t="s">
        <v>6080</v>
      </c>
      <c r="BD2989" s="4">
        <v>43283.175694444442</v>
      </c>
      <c r="BE2989" s="4">
        <v>43283.190960648149</v>
      </c>
      <c r="BF2989" s="4">
        <v>43283.190960648149</v>
      </c>
      <c r="BG2989" t="s">
        <v>83</v>
      </c>
      <c r="BH2989" t="s">
        <v>84</v>
      </c>
      <c r="BI2989" t="s">
        <v>85</v>
      </c>
    </row>
    <row r="2990" spans="1:61" x14ac:dyDescent="0.3">
      <c r="A2990" t="str">
        <f>"200493C0500"</f>
        <v>200493C0500</v>
      </c>
      <c r="B2990" t="s">
        <v>6081</v>
      </c>
      <c r="C2990">
        <v>20</v>
      </c>
      <c r="D2990" t="s">
        <v>79</v>
      </c>
      <c r="E2990">
        <v>14</v>
      </c>
      <c r="F2990" t="s">
        <v>5455</v>
      </c>
      <c r="G2990">
        <v>493</v>
      </c>
      <c r="H2990">
        <v>5</v>
      </c>
      <c r="I2990" t="s">
        <v>89</v>
      </c>
      <c r="J2990">
        <v>0</v>
      </c>
      <c r="K2990">
        <v>1</v>
      </c>
      <c r="L2990">
        <v>2</v>
      </c>
      <c r="M2990">
        <v>243</v>
      </c>
      <c r="N2990">
        <v>415</v>
      </c>
      <c r="O2990">
        <v>2</v>
      </c>
      <c r="P2990">
        <v>415</v>
      </c>
      <c r="Q2990">
        <v>31</v>
      </c>
      <c r="R2990">
        <v>39</v>
      </c>
      <c r="S2990">
        <v>15</v>
      </c>
      <c r="T2990">
        <v>11</v>
      </c>
      <c r="U2990">
        <v>26</v>
      </c>
      <c r="V2990">
        <v>3</v>
      </c>
      <c r="W2990">
        <v>10</v>
      </c>
      <c r="X2990">
        <v>2</v>
      </c>
      <c r="Y2990">
        <v>236</v>
      </c>
      <c r="Z2990">
        <v>5</v>
      </c>
      <c r="AA2990">
        <v>1</v>
      </c>
      <c r="AB2990">
        <v>14</v>
      </c>
      <c r="AC2990">
        <v>0</v>
      </c>
      <c r="AD2990">
        <v>0</v>
      </c>
      <c r="AE2990">
        <v>0</v>
      </c>
      <c r="AF2990">
        <v>0</v>
      </c>
      <c r="AK2990">
        <v>0</v>
      </c>
      <c r="AL2990">
        <v>0</v>
      </c>
      <c r="AM2990">
        <v>0</v>
      </c>
      <c r="AN2990">
        <v>0</v>
      </c>
      <c r="AT2990">
        <v>0</v>
      </c>
      <c r="AU2990">
        <v>20</v>
      </c>
      <c r="AV2990">
        <v>415</v>
      </c>
      <c r="AW2990">
        <v>413</v>
      </c>
      <c r="AX2990">
        <v>635</v>
      </c>
      <c r="BA2990">
        <v>1</v>
      </c>
      <c r="BC2990" t="s">
        <v>6082</v>
      </c>
      <c r="BD2990" s="4">
        <v>43283.058333333334</v>
      </c>
      <c r="BE2990" s="4">
        <v>43283.063217592593</v>
      </c>
      <c r="BF2990" s="4">
        <v>43283.063217592593</v>
      </c>
      <c r="BG2990" t="s">
        <v>83</v>
      </c>
      <c r="BH2990" t="s">
        <v>84</v>
      </c>
      <c r="BI2990" t="s">
        <v>85</v>
      </c>
    </row>
    <row r="2991" spans="1:61" x14ac:dyDescent="0.3">
      <c r="A2991" t="str">
        <f>"200494B0100"</f>
        <v>200494B0100</v>
      </c>
      <c r="B2991" t="s">
        <v>6083</v>
      </c>
      <c r="C2991">
        <v>20</v>
      </c>
      <c r="D2991" t="s">
        <v>79</v>
      </c>
      <c r="E2991">
        <v>14</v>
      </c>
      <c r="F2991" t="s">
        <v>5455</v>
      </c>
      <c r="G2991">
        <v>494</v>
      </c>
      <c r="H2991">
        <v>1</v>
      </c>
      <c r="I2991" t="s">
        <v>81</v>
      </c>
      <c r="J2991">
        <v>0</v>
      </c>
      <c r="K2991">
        <v>1</v>
      </c>
      <c r="L2991">
        <v>2</v>
      </c>
      <c r="AX2991">
        <v>665</v>
      </c>
      <c r="AZ2991" t="s">
        <v>156</v>
      </c>
      <c r="BA2991">
        <v>0</v>
      </c>
      <c r="BC2991" t="s">
        <v>6084</v>
      </c>
      <c r="BD2991" s="4">
        <v>43283.786111111112</v>
      </c>
      <c r="BE2991" s="4">
        <v>43283.79246527778</v>
      </c>
      <c r="BF2991" s="4">
        <v>43283.79246527778</v>
      </c>
      <c r="BG2991" t="s">
        <v>83</v>
      </c>
      <c r="BH2991" t="s">
        <v>84</v>
      </c>
      <c r="BI2991" t="s">
        <v>85</v>
      </c>
    </row>
    <row r="2992" spans="1:61" x14ac:dyDescent="0.3">
      <c r="A2992" t="str">
        <f>"200494C0100"</f>
        <v>200494C0100</v>
      </c>
      <c r="B2992" t="s">
        <v>6085</v>
      </c>
      <c r="C2992">
        <v>20</v>
      </c>
      <c r="D2992" t="s">
        <v>79</v>
      </c>
      <c r="E2992">
        <v>14</v>
      </c>
      <c r="F2992" t="s">
        <v>5455</v>
      </c>
      <c r="G2992">
        <v>494</v>
      </c>
      <c r="H2992">
        <v>1</v>
      </c>
      <c r="I2992" t="s">
        <v>89</v>
      </c>
      <c r="J2992">
        <v>0</v>
      </c>
      <c r="K2992">
        <v>1</v>
      </c>
      <c r="L2992">
        <v>2</v>
      </c>
      <c r="M2992">
        <v>250</v>
      </c>
      <c r="N2992">
        <v>436</v>
      </c>
      <c r="O2992">
        <v>3</v>
      </c>
      <c r="P2992">
        <v>436</v>
      </c>
      <c r="Q2992">
        <v>37</v>
      </c>
      <c r="R2992">
        <v>53</v>
      </c>
      <c r="S2992">
        <v>5</v>
      </c>
      <c r="T2992">
        <v>13</v>
      </c>
      <c r="U2992">
        <v>27</v>
      </c>
      <c r="V2992">
        <v>5</v>
      </c>
      <c r="W2992">
        <v>4</v>
      </c>
      <c r="X2992">
        <v>7</v>
      </c>
      <c r="Y2992">
        <v>240</v>
      </c>
      <c r="Z2992">
        <v>4</v>
      </c>
      <c r="AA2992">
        <v>5</v>
      </c>
      <c r="AB2992">
        <v>6</v>
      </c>
      <c r="AC2992">
        <v>0</v>
      </c>
      <c r="AD2992">
        <v>1</v>
      </c>
      <c r="AE2992">
        <v>0</v>
      </c>
      <c r="AF2992">
        <v>0</v>
      </c>
      <c r="AK2992">
        <v>9</v>
      </c>
      <c r="AL2992">
        <v>2</v>
      </c>
      <c r="AM2992">
        <v>0</v>
      </c>
      <c r="AN2992">
        <v>0</v>
      </c>
      <c r="AT2992">
        <v>0</v>
      </c>
      <c r="AU2992">
        <v>18</v>
      </c>
      <c r="AV2992">
        <v>436</v>
      </c>
      <c r="AW2992">
        <v>436</v>
      </c>
      <c r="AX2992">
        <v>664</v>
      </c>
      <c r="BA2992">
        <v>1</v>
      </c>
      <c r="BC2992" t="s">
        <v>6086</v>
      </c>
      <c r="BD2992" s="4">
        <v>43283.181944444441</v>
      </c>
      <c r="BE2992" s="4">
        <v>43283.200254629628</v>
      </c>
      <c r="BF2992" s="4">
        <v>43283.200254629628</v>
      </c>
      <c r="BG2992" t="s">
        <v>83</v>
      </c>
      <c r="BH2992" t="s">
        <v>84</v>
      </c>
      <c r="BI2992" t="s">
        <v>85</v>
      </c>
    </row>
    <row r="2993" spans="1:61" x14ac:dyDescent="0.3">
      <c r="A2993" t="str">
        <f>"200494C0200"</f>
        <v>200494C0200</v>
      </c>
      <c r="B2993" t="s">
        <v>6087</v>
      </c>
      <c r="C2993">
        <v>20</v>
      </c>
      <c r="D2993" t="s">
        <v>79</v>
      </c>
      <c r="E2993">
        <v>14</v>
      </c>
      <c r="F2993" t="s">
        <v>5455</v>
      </c>
      <c r="G2993">
        <v>494</v>
      </c>
      <c r="H2993">
        <v>2</v>
      </c>
      <c r="I2993" t="s">
        <v>89</v>
      </c>
      <c r="J2993">
        <v>0</v>
      </c>
      <c r="K2993">
        <v>1</v>
      </c>
      <c r="L2993">
        <v>2</v>
      </c>
      <c r="M2993">
        <v>233</v>
      </c>
      <c r="N2993">
        <v>453</v>
      </c>
      <c r="O2993">
        <v>6</v>
      </c>
      <c r="P2993">
        <v>453</v>
      </c>
      <c r="Q2993">
        <v>42</v>
      </c>
      <c r="R2993">
        <v>60</v>
      </c>
      <c r="S2993">
        <v>2</v>
      </c>
      <c r="T2993">
        <v>23</v>
      </c>
      <c r="U2993">
        <v>35</v>
      </c>
      <c r="V2993">
        <v>3</v>
      </c>
      <c r="W2993">
        <v>13</v>
      </c>
      <c r="X2993">
        <v>11</v>
      </c>
      <c r="Y2993">
        <v>224</v>
      </c>
      <c r="Z2993">
        <v>9</v>
      </c>
      <c r="AA2993">
        <v>3</v>
      </c>
      <c r="AB2993">
        <v>12</v>
      </c>
      <c r="AC2993">
        <v>0</v>
      </c>
      <c r="AD2993">
        <v>0</v>
      </c>
      <c r="AE2993">
        <v>0</v>
      </c>
      <c r="AF2993">
        <v>0</v>
      </c>
      <c r="AK2993">
        <v>2</v>
      </c>
      <c r="AL2993">
        <v>1</v>
      </c>
      <c r="AM2993">
        <v>0</v>
      </c>
      <c r="AN2993">
        <v>0</v>
      </c>
      <c r="AT2993">
        <v>0</v>
      </c>
      <c r="AU2993">
        <v>12</v>
      </c>
      <c r="AV2993">
        <v>453</v>
      </c>
      <c r="AW2993">
        <v>452</v>
      </c>
      <c r="AX2993">
        <v>664</v>
      </c>
      <c r="BA2993">
        <v>1</v>
      </c>
      <c r="BC2993" t="s">
        <v>6088</v>
      </c>
      <c r="BD2993" s="4">
        <v>43283.174305555556</v>
      </c>
      <c r="BE2993" s="4">
        <v>43283.192870370367</v>
      </c>
      <c r="BF2993" s="4">
        <v>43283.192870370367</v>
      </c>
      <c r="BG2993" t="s">
        <v>83</v>
      </c>
      <c r="BH2993" t="s">
        <v>84</v>
      </c>
      <c r="BI2993" t="s">
        <v>85</v>
      </c>
    </row>
    <row r="2994" spans="1:61" x14ac:dyDescent="0.3">
      <c r="A2994" t="str">
        <f>"200495B0100"</f>
        <v>200495B0100</v>
      </c>
      <c r="B2994" t="s">
        <v>6089</v>
      </c>
      <c r="C2994">
        <v>20</v>
      </c>
      <c r="D2994" t="s">
        <v>79</v>
      </c>
      <c r="E2994">
        <v>14</v>
      </c>
      <c r="F2994" t="s">
        <v>5455</v>
      </c>
      <c r="G2994">
        <v>495</v>
      </c>
      <c r="H2994">
        <v>1</v>
      </c>
      <c r="I2994" t="s">
        <v>81</v>
      </c>
      <c r="J2994">
        <v>0</v>
      </c>
      <c r="K2994">
        <v>1</v>
      </c>
      <c r="L2994">
        <v>2</v>
      </c>
      <c r="M2994">
        <v>216</v>
      </c>
      <c r="N2994">
        <v>399</v>
      </c>
      <c r="O2994">
        <v>9</v>
      </c>
      <c r="P2994">
        <v>399</v>
      </c>
      <c r="Q2994">
        <v>30</v>
      </c>
      <c r="R2994">
        <v>52</v>
      </c>
      <c r="S2994">
        <v>4</v>
      </c>
      <c r="T2994">
        <v>12</v>
      </c>
      <c r="U2994">
        <v>15</v>
      </c>
      <c r="V2994">
        <v>2</v>
      </c>
      <c r="W2994">
        <v>10</v>
      </c>
      <c r="X2994">
        <v>7</v>
      </c>
      <c r="Y2994">
        <v>221</v>
      </c>
      <c r="Z2994">
        <v>5</v>
      </c>
      <c r="AA2994">
        <v>5</v>
      </c>
      <c r="AB2994">
        <v>11</v>
      </c>
      <c r="AC2994">
        <v>1</v>
      </c>
      <c r="AD2994">
        <v>0</v>
      </c>
      <c r="AE2994">
        <v>0</v>
      </c>
      <c r="AF2994">
        <v>0</v>
      </c>
      <c r="AK2994">
        <v>3</v>
      </c>
      <c r="AL2994">
        <v>2</v>
      </c>
      <c r="AM2994">
        <v>1</v>
      </c>
      <c r="AN2994">
        <v>2</v>
      </c>
      <c r="AT2994">
        <v>0</v>
      </c>
      <c r="AU2994">
        <v>16</v>
      </c>
      <c r="AV2994">
        <v>399</v>
      </c>
      <c r="AW2994">
        <v>399</v>
      </c>
      <c r="AX2994">
        <v>593</v>
      </c>
      <c r="BA2994">
        <v>1</v>
      </c>
      <c r="BC2994" t="s">
        <v>6090</v>
      </c>
      <c r="BD2994" s="4">
        <v>43283.05972222222</v>
      </c>
      <c r="BE2994" s="4">
        <v>43283.063460648147</v>
      </c>
      <c r="BF2994" s="4">
        <v>43283.063460648147</v>
      </c>
      <c r="BG2994" t="s">
        <v>83</v>
      </c>
      <c r="BH2994" t="s">
        <v>84</v>
      </c>
      <c r="BI2994" t="s">
        <v>85</v>
      </c>
    </row>
    <row r="2995" spans="1:61" x14ac:dyDescent="0.3">
      <c r="A2995" t="str">
        <f>"200495C0100"</f>
        <v>200495C0100</v>
      </c>
      <c r="B2995" t="s">
        <v>6091</v>
      </c>
      <c r="C2995">
        <v>20</v>
      </c>
      <c r="D2995" t="s">
        <v>79</v>
      </c>
      <c r="E2995">
        <v>14</v>
      </c>
      <c r="F2995" t="s">
        <v>5455</v>
      </c>
      <c r="G2995">
        <v>495</v>
      </c>
      <c r="H2995">
        <v>1</v>
      </c>
      <c r="I2995" t="s">
        <v>89</v>
      </c>
      <c r="J2995">
        <v>0</v>
      </c>
      <c r="K2995">
        <v>1</v>
      </c>
      <c r="L2995">
        <v>2</v>
      </c>
      <c r="M2995">
        <v>201</v>
      </c>
      <c r="N2995">
        <v>414</v>
      </c>
      <c r="O2995">
        <v>7</v>
      </c>
      <c r="P2995">
        <v>414</v>
      </c>
      <c r="Q2995">
        <v>32</v>
      </c>
      <c r="R2995">
        <v>79</v>
      </c>
      <c r="S2995">
        <v>4</v>
      </c>
      <c r="T2995">
        <v>10</v>
      </c>
      <c r="U2995">
        <v>20</v>
      </c>
      <c r="V2995">
        <v>6</v>
      </c>
      <c r="W2995">
        <v>12</v>
      </c>
      <c r="X2995">
        <v>3</v>
      </c>
      <c r="Y2995">
        <v>198</v>
      </c>
      <c r="Z2995">
        <v>9</v>
      </c>
      <c r="AA2995">
        <v>2</v>
      </c>
      <c r="AB2995">
        <v>11</v>
      </c>
      <c r="AC2995">
        <v>1</v>
      </c>
      <c r="AD2995">
        <v>1</v>
      </c>
      <c r="AE2995">
        <v>0</v>
      </c>
      <c r="AF2995">
        <v>0</v>
      </c>
      <c r="AK2995">
        <v>9</v>
      </c>
      <c r="AL2995">
        <v>2</v>
      </c>
      <c r="AM2995">
        <v>0</v>
      </c>
      <c r="AN2995">
        <v>0</v>
      </c>
      <c r="AT2995">
        <v>0</v>
      </c>
      <c r="AU2995">
        <v>15</v>
      </c>
      <c r="AV2995">
        <v>414</v>
      </c>
      <c r="AW2995">
        <v>414</v>
      </c>
      <c r="AX2995">
        <v>593</v>
      </c>
      <c r="BA2995">
        <v>1</v>
      </c>
      <c r="BC2995" t="s">
        <v>6092</v>
      </c>
      <c r="BD2995" s="4">
        <v>43283.186111111114</v>
      </c>
      <c r="BE2995" s="4">
        <v>43283.204293981478</v>
      </c>
      <c r="BF2995" s="4">
        <v>43283.204293981478</v>
      </c>
      <c r="BG2995" t="s">
        <v>83</v>
      </c>
      <c r="BH2995" t="s">
        <v>84</v>
      </c>
      <c r="BI2995" t="s">
        <v>85</v>
      </c>
    </row>
    <row r="2996" spans="1:61" x14ac:dyDescent="0.3">
      <c r="A2996" t="str">
        <f>"200495C0200"</f>
        <v>200495C0200</v>
      </c>
      <c r="B2996" t="s">
        <v>6093</v>
      </c>
      <c r="C2996">
        <v>20</v>
      </c>
      <c r="D2996" t="s">
        <v>79</v>
      </c>
      <c r="E2996">
        <v>14</v>
      </c>
      <c r="F2996" t="s">
        <v>5455</v>
      </c>
      <c r="G2996">
        <v>495</v>
      </c>
      <c r="H2996">
        <v>2</v>
      </c>
      <c r="I2996" t="s">
        <v>89</v>
      </c>
      <c r="J2996">
        <v>0</v>
      </c>
      <c r="K2996">
        <v>1</v>
      </c>
      <c r="L2996">
        <v>2</v>
      </c>
      <c r="M2996">
        <v>207</v>
      </c>
      <c r="N2996">
        <v>408</v>
      </c>
      <c r="O2996">
        <v>3</v>
      </c>
      <c r="P2996" t="s">
        <v>100</v>
      </c>
      <c r="Q2996">
        <v>36</v>
      </c>
      <c r="R2996">
        <v>55</v>
      </c>
      <c r="S2996">
        <v>6</v>
      </c>
      <c r="T2996">
        <v>20</v>
      </c>
      <c r="U2996">
        <v>13</v>
      </c>
      <c r="V2996">
        <v>8</v>
      </c>
      <c r="W2996">
        <v>5</v>
      </c>
      <c r="X2996">
        <v>2</v>
      </c>
      <c r="Y2996">
        <v>213</v>
      </c>
      <c r="Z2996">
        <v>8</v>
      </c>
      <c r="AA2996">
        <v>0</v>
      </c>
      <c r="AB2996">
        <v>17</v>
      </c>
      <c r="AC2996">
        <v>0</v>
      </c>
      <c r="AD2996">
        <v>0</v>
      </c>
      <c r="AE2996">
        <v>0</v>
      </c>
      <c r="AF2996">
        <v>0</v>
      </c>
      <c r="AK2996">
        <v>3</v>
      </c>
      <c r="AL2996">
        <v>0</v>
      </c>
      <c r="AM2996">
        <v>0</v>
      </c>
      <c r="AN2996">
        <v>0</v>
      </c>
      <c r="AT2996">
        <v>0</v>
      </c>
      <c r="AU2996">
        <v>19</v>
      </c>
      <c r="AV2996">
        <v>405</v>
      </c>
      <c r="AW2996">
        <v>405</v>
      </c>
      <c r="AX2996">
        <v>593</v>
      </c>
      <c r="BA2996">
        <v>1</v>
      </c>
      <c r="BC2996" t="s">
        <v>6094</v>
      </c>
      <c r="BD2996" s="4">
        <v>43283.202777777777</v>
      </c>
      <c r="BE2996" s="4">
        <v>43283.221192129633</v>
      </c>
      <c r="BF2996" s="4">
        <v>43283.221192129633</v>
      </c>
      <c r="BG2996" t="s">
        <v>83</v>
      </c>
      <c r="BH2996" t="s">
        <v>84</v>
      </c>
      <c r="BI2996" t="s">
        <v>85</v>
      </c>
    </row>
    <row r="2997" spans="1:61" x14ac:dyDescent="0.3">
      <c r="A2997" t="str">
        <f>"200496B0100"</f>
        <v>200496B0100</v>
      </c>
      <c r="B2997" t="s">
        <v>6095</v>
      </c>
      <c r="C2997">
        <v>20</v>
      </c>
      <c r="D2997" t="s">
        <v>79</v>
      </c>
      <c r="E2997">
        <v>14</v>
      </c>
      <c r="F2997" t="s">
        <v>5455</v>
      </c>
      <c r="G2997">
        <v>496</v>
      </c>
      <c r="H2997">
        <v>1</v>
      </c>
      <c r="I2997" t="s">
        <v>81</v>
      </c>
      <c r="J2997">
        <v>0</v>
      </c>
      <c r="K2997">
        <v>1</v>
      </c>
      <c r="L2997">
        <v>2</v>
      </c>
      <c r="M2997">
        <v>216</v>
      </c>
      <c r="N2997">
        <v>463</v>
      </c>
      <c r="O2997">
        <v>4</v>
      </c>
      <c r="P2997">
        <v>463</v>
      </c>
      <c r="Q2997">
        <v>34</v>
      </c>
      <c r="R2997">
        <v>57</v>
      </c>
      <c r="S2997">
        <v>7</v>
      </c>
      <c r="T2997">
        <v>6</v>
      </c>
      <c r="U2997">
        <v>21</v>
      </c>
      <c r="V2997">
        <v>7</v>
      </c>
      <c r="W2997">
        <v>10</v>
      </c>
      <c r="X2997">
        <v>6</v>
      </c>
      <c r="Y2997">
        <v>260</v>
      </c>
      <c r="Z2997">
        <v>8</v>
      </c>
      <c r="AA2997">
        <v>1</v>
      </c>
      <c r="AB2997">
        <v>10</v>
      </c>
      <c r="AC2997">
        <v>0</v>
      </c>
      <c r="AD2997">
        <v>0</v>
      </c>
      <c r="AE2997">
        <v>0</v>
      </c>
      <c r="AF2997">
        <v>0</v>
      </c>
      <c r="AK2997">
        <v>10</v>
      </c>
      <c r="AL2997">
        <v>2</v>
      </c>
      <c r="AM2997">
        <v>0</v>
      </c>
      <c r="AN2997">
        <v>3</v>
      </c>
      <c r="AT2997">
        <v>0</v>
      </c>
      <c r="AU2997">
        <v>21</v>
      </c>
      <c r="AV2997">
        <v>463</v>
      </c>
      <c r="AW2997">
        <v>463</v>
      </c>
      <c r="AX2997">
        <v>657</v>
      </c>
      <c r="BA2997">
        <v>1</v>
      </c>
      <c r="BC2997" t="s">
        <v>6096</v>
      </c>
      <c r="BD2997" s="4">
        <v>43283.21597222222</v>
      </c>
      <c r="BE2997" s="4">
        <v>43283.237175925926</v>
      </c>
      <c r="BF2997" s="4">
        <v>43283.237175925926</v>
      </c>
      <c r="BG2997" t="s">
        <v>83</v>
      </c>
      <c r="BH2997" t="s">
        <v>84</v>
      </c>
      <c r="BI2997" t="s">
        <v>85</v>
      </c>
    </row>
    <row r="2998" spans="1:61" x14ac:dyDescent="0.3">
      <c r="A2998" t="str">
        <f>"200496C0100"</f>
        <v>200496C0100</v>
      </c>
      <c r="B2998" t="s">
        <v>6097</v>
      </c>
      <c r="C2998">
        <v>20</v>
      </c>
      <c r="D2998" t="s">
        <v>79</v>
      </c>
      <c r="E2998">
        <v>14</v>
      </c>
      <c r="F2998" t="s">
        <v>5455</v>
      </c>
      <c r="G2998">
        <v>496</v>
      </c>
      <c r="H2998">
        <v>1</v>
      </c>
      <c r="I2998" t="s">
        <v>89</v>
      </c>
      <c r="J2998">
        <v>0</v>
      </c>
      <c r="K2998">
        <v>1</v>
      </c>
      <c r="L2998">
        <v>2</v>
      </c>
      <c r="M2998">
        <v>224</v>
      </c>
      <c r="N2998">
        <v>454</v>
      </c>
      <c r="O2998">
        <v>9</v>
      </c>
      <c r="P2998">
        <v>454</v>
      </c>
      <c r="Q2998">
        <v>62</v>
      </c>
      <c r="R2998">
        <v>46</v>
      </c>
      <c r="S2998">
        <v>10</v>
      </c>
      <c r="T2998">
        <v>10</v>
      </c>
      <c r="U2998">
        <v>24</v>
      </c>
      <c r="V2998">
        <v>8</v>
      </c>
      <c r="W2998">
        <v>4</v>
      </c>
      <c r="X2998">
        <v>9</v>
      </c>
      <c r="Y2998">
        <v>240</v>
      </c>
      <c r="Z2998">
        <v>7</v>
      </c>
      <c r="AA2998">
        <v>4</v>
      </c>
      <c r="AB2998">
        <v>8</v>
      </c>
      <c r="AC2998">
        <v>2</v>
      </c>
      <c r="AD2998">
        <v>1</v>
      </c>
      <c r="AE2998">
        <v>0</v>
      </c>
      <c r="AF2998">
        <v>0</v>
      </c>
      <c r="AK2998">
        <v>6</v>
      </c>
      <c r="AL2998">
        <v>4</v>
      </c>
      <c r="AM2998">
        <v>0</v>
      </c>
      <c r="AN2998">
        <v>2</v>
      </c>
      <c r="AT2998">
        <v>0</v>
      </c>
      <c r="AU2998">
        <v>7</v>
      </c>
      <c r="AV2998">
        <v>454</v>
      </c>
      <c r="AW2998">
        <v>454</v>
      </c>
      <c r="AX2998">
        <v>656</v>
      </c>
      <c r="BA2998">
        <v>1</v>
      </c>
      <c r="BC2998" t="s">
        <v>6098</v>
      </c>
      <c r="BD2998" s="4">
        <v>43283.188194444447</v>
      </c>
      <c r="BE2998" s="4">
        <v>43283.207048611112</v>
      </c>
      <c r="BF2998" s="4">
        <v>43283.207048611112</v>
      </c>
      <c r="BG2998" t="s">
        <v>83</v>
      </c>
      <c r="BH2998" t="s">
        <v>84</v>
      </c>
      <c r="BI2998" t="s">
        <v>85</v>
      </c>
    </row>
    <row r="2999" spans="1:61" x14ac:dyDescent="0.3">
      <c r="A2999" t="str">
        <f>"200497B0100"</f>
        <v>200497B0100</v>
      </c>
      <c r="B2999" t="s">
        <v>6099</v>
      </c>
      <c r="C2999">
        <v>20</v>
      </c>
      <c r="D2999" t="s">
        <v>79</v>
      </c>
      <c r="E2999">
        <v>14</v>
      </c>
      <c r="F2999" t="s">
        <v>5455</v>
      </c>
      <c r="G2999">
        <v>497</v>
      </c>
      <c r="H2999">
        <v>1</v>
      </c>
      <c r="I2999" t="s">
        <v>81</v>
      </c>
      <c r="J2999">
        <v>0</v>
      </c>
      <c r="K2999">
        <v>1</v>
      </c>
      <c r="L2999">
        <v>2</v>
      </c>
      <c r="M2999">
        <v>203</v>
      </c>
      <c r="N2999">
        <v>462</v>
      </c>
      <c r="O2999">
        <v>8</v>
      </c>
      <c r="P2999" t="s">
        <v>100</v>
      </c>
      <c r="Q2999">
        <v>54</v>
      </c>
      <c r="R2999">
        <v>64</v>
      </c>
      <c r="S2999">
        <v>5</v>
      </c>
      <c r="T2999">
        <v>14</v>
      </c>
      <c r="U2999">
        <v>11</v>
      </c>
      <c r="V2999">
        <v>5</v>
      </c>
      <c r="W2999">
        <v>7</v>
      </c>
      <c r="X2999">
        <v>4</v>
      </c>
      <c r="Y2999">
        <v>255</v>
      </c>
      <c r="Z2999">
        <v>3</v>
      </c>
      <c r="AA2999">
        <v>3</v>
      </c>
      <c r="AB2999">
        <v>10</v>
      </c>
      <c r="AC2999">
        <v>2</v>
      </c>
      <c r="AD2999">
        <v>0</v>
      </c>
      <c r="AE2999">
        <v>0</v>
      </c>
      <c r="AF2999">
        <v>0</v>
      </c>
      <c r="AK2999">
        <v>6</v>
      </c>
      <c r="AL2999">
        <v>0</v>
      </c>
      <c r="AM2999">
        <v>0</v>
      </c>
      <c r="AN2999">
        <v>0</v>
      </c>
      <c r="AT2999">
        <v>0</v>
      </c>
      <c r="AU2999">
        <v>25</v>
      </c>
      <c r="AV2999">
        <v>474</v>
      </c>
      <c r="AW2999">
        <v>468</v>
      </c>
      <c r="AX2999">
        <v>644</v>
      </c>
      <c r="BA2999">
        <v>1</v>
      </c>
      <c r="BC2999" t="s">
        <v>6100</v>
      </c>
      <c r="BD2999" s="4">
        <v>43283.268750000003</v>
      </c>
      <c r="BE2999" s="4">
        <v>43283.29650462963</v>
      </c>
      <c r="BF2999" s="4">
        <v>43283.29650462963</v>
      </c>
      <c r="BG2999" t="s">
        <v>83</v>
      </c>
      <c r="BH2999" t="s">
        <v>84</v>
      </c>
      <c r="BI2999" t="s">
        <v>85</v>
      </c>
    </row>
    <row r="3000" spans="1:61" x14ac:dyDescent="0.3">
      <c r="A3000" t="str">
        <f>"200497C0100"</f>
        <v>200497C0100</v>
      </c>
      <c r="B3000" t="s">
        <v>6101</v>
      </c>
      <c r="C3000">
        <v>20</v>
      </c>
      <c r="D3000" t="s">
        <v>79</v>
      </c>
      <c r="E3000">
        <v>14</v>
      </c>
      <c r="F3000" t="s">
        <v>5455</v>
      </c>
      <c r="G3000">
        <v>497</v>
      </c>
      <c r="H3000">
        <v>1</v>
      </c>
      <c r="I3000" t="s">
        <v>89</v>
      </c>
      <c r="J3000">
        <v>0</v>
      </c>
      <c r="K3000">
        <v>1</v>
      </c>
      <c r="L3000">
        <v>2</v>
      </c>
      <c r="M3000">
        <v>217</v>
      </c>
      <c r="N3000">
        <v>448</v>
      </c>
      <c r="O3000">
        <v>3</v>
      </c>
      <c r="P3000">
        <v>446</v>
      </c>
      <c r="Q3000">
        <v>52</v>
      </c>
      <c r="R3000">
        <v>54</v>
      </c>
      <c r="S3000">
        <v>10</v>
      </c>
      <c r="T3000">
        <v>11</v>
      </c>
      <c r="U3000">
        <v>23</v>
      </c>
      <c r="V3000">
        <v>6</v>
      </c>
      <c r="W3000">
        <v>4</v>
      </c>
      <c r="X3000">
        <v>8</v>
      </c>
      <c r="Y3000">
        <v>228</v>
      </c>
      <c r="Z3000">
        <v>8</v>
      </c>
      <c r="AA3000">
        <v>1</v>
      </c>
      <c r="AB3000">
        <v>11</v>
      </c>
      <c r="AC3000">
        <v>0</v>
      </c>
      <c r="AD3000">
        <v>0</v>
      </c>
      <c r="AE3000">
        <v>1</v>
      </c>
      <c r="AF3000">
        <v>0</v>
      </c>
      <c r="AK3000">
        <v>4</v>
      </c>
      <c r="AL3000">
        <v>1</v>
      </c>
      <c r="AM3000">
        <v>0</v>
      </c>
      <c r="AN3000">
        <v>0</v>
      </c>
      <c r="AT3000">
        <v>0</v>
      </c>
      <c r="AU3000">
        <v>24</v>
      </c>
      <c r="AV3000">
        <v>446</v>
      </c>
      <c r="AW3000">
        <v>446</v>
      </c>
      <c r="AX3000">
        <v>643</v>
      </c>
      <c r="BA3000">
        <v>1</v>
      </c>
      <c r="BC3000" t="s">
        <v>6102</v>
      </c>
      <c r="BD3000" s="4">
        <v>43283.019444444442</v>
      </c>
      <c r="BE3000" s="4">
        <v>43283.025081018517</v>
      </c>
      <c r="BF3000" s="4">
        <v>43283.025081018517</v>
      </c>
      <c r="BG3000" t="s">
        <v>83</v>
      </c>
      <c r="BH3000" t="s">
        <v>84</v>
      </c>
      <c r="BI3000" t="s">
        <v>85</v>
      </c>
    </row>
    <row r="3001" spans="1:61" x14ac:dyDescent="0.3">
      <c r="A3001" t="str">
        <f>"200498B0100"</f>
        <v>200498B0100</v>
      </c>
      <c r="B3001" t="s">
        <v>6103</v>
      </c>
      <c r="C3001">
        <v>20</v>
      </c>
      <c r="D3001" t="s">
        <v>79</v>
      </c>
      <c r="E3001">
        <v>14</v>
      </c>
      <c r="F3001" t="s">
        <v>5455</v>
      </c>
      <c r="G3001">
        <v>498</v>
      </c>
      <c r="H3001">
        <v>1</v>
      </c>
      <c r="I3001" t="s">
        <v>81</v>
      </c>
      <c r="J3001">
        <v>0</v>
      </c>
      <c r="K3001">
        <v>1</v>
      </c>
      <c r="L3001">
        <v>2</v>
      </c>
      <c r="M3001">
        <v>186</v>
      </c>
      <c r="N3001">
        <v>470</v>
      </c>
      <c r="O3001">
        <v>7</v>
      </c>
      <c r="P3001">
        <v>0</v>
      </c>
      <c r="Q3001">
        <v>83</v>
      </c>
      <c r="R3001">
        <v>80</v>
      </c>
      <c r="S3001">
        <v>8</v>
      </c>
      <c r="T3001">
        <v>22</v>
      </c>
      <c r="U3001">
        <v>10</v>
      </c>
      <c r="V3001">
        <v>11</v>
      </c>
      <c r="W3001">
        <v>5</v>
      </c>
      <c r="X3001">
        <v>11</v>
      </c>
      <c r="Y3001">
        <v>184</v>
      </c>
      <c r="Z3001">
        <v>14</v>
      </c>
      <c r="AA3001">
        <v>3</v>
      </c>
      <c r="AB3001">
        <v>19</v>
      </c>
      <c r="AC3001">
        <v>0</v>
      </c>
      <c r="AD3001">
        <v>0</v>
      </c>
      <c r="AE3001">
        <v>0</v>
      </c>
      <c r="AF3001">
        <v>0</v>
      </c>
      <c r="AK3001">
        <v>0</v>
      </c>
      <c r="AL3001">
        <v>2</v>
      </c>
      <c r="AM3001">
        <v>0</v>
      </c>
      <c r="AN3001">
        <v>1</v>
      </c>
      <c r="AT3001">
        <v>0</v>
      </c>
      <c r="AU3001">
        <v>20</v>
      </c>
      <c r="AV3001">
        <v>473</v>
      </c>
      <c r="AW3001">
        <v>473</v>
      </c>
      <c r="AX3001">
        <v>634</v>
      </c>
      <c r="BA3001">
        <v>1</v>
      </c>
      <c r="BC3001" s="2" t="s">
        <v>6104</v>
      </c>
      <c r="BD3001" s="4">
        <v>43283.009027777778</v>
      </c>
      <c r="BE3001" s="4">
        <v>43283.013935185183</v>
      </c>
      <c r="BF3001" s="4">
        <v>43283.013935185183</v>
      </c>
      <c r="BG3001" t="s">
        <v>83</v>
      </c>
      <c r="BH3001" t="s">
        <v>84</v>
      </c>
      <c r="BI3001" t="s">
        <v>85</v>
      </c>
    </row>
    <row r="3002" spans="1:61" x14ac:dyDescent="0.3">
      <c r="A3002" t="str">
        <f>"200498C0100"</f>
        <v>200498C0100</v>
      </c>
      <c r="B3002" t="s">
        <v>6105</v>
      </c>
      <c r="C3002">
        <v>20</v>
      </c>
      <c r="D3002" t="s">
        <v>79</v>
      </c>
      <c r="E3002">
        <v>14</v>
      </c>
      <c r="F3002" t="s">
        <v>5455</v>
      </c>
      <c r="G3002">
        <v>498</v>
      </c>
      <c r="H3002">
        <v>1</v>
      </c>
      <c r="I3002" t="s">
        <v>89</v>
      </c>
      <c r="J3002">
        <v>0</v>
      </c>
      <c r="K3002">
        <v>1</v>
      </c>
      <c r="L3002">
        <v>2</v>
      </c>
      <c r="M3002">
        <v>186</v>
      </c>
      <c r="N3002">
        <v>468</v>
      </c>
      <c r="O3002">
        <v>7</v>
      </c>
      <c r="P3002" t="s">
        <v>100</v>
      </c>
      <c r="Q3002">
        <v>61</v>
      </c>
      <c r="R3002">
        <v>83</v>
      </c>
      <c r="S3002">
        <v>6</v>
      </c>
      <c r="T3002">
        <v>24</v>
      </c>
      <c r="U3002">
        <v>11</v>
      </c>
      <c r="V3002">
        <v>6</v>
      </c>
      <c r="W3002">
        <v>9</v>
      </c>
      <c r="X3002">
        <v>9</v>
      </c>
      <c r="Y3002">
        <v>187</v>
      </c>
      <c r="Z3002">
        <v>7</v>
      </c>
      <c r="AA3002">
        <v>4</v>
      </c>
      <c r="AB3002">
        <v>22</v>
      </c>
      <c r="AC3002">
        <v>5</v>
      </c>
      <c r="AD3002">
        <v>1</v>
      </c>
      <c r="AE3002" t="s">
        <v>100</v>
      </c>
      <c r="AF3002" t="s">
        <v>100</v>
      </c>
      <c r="AK3002">
        <v>6</v>
      </c>
      <c r="AL3002" t="s">
        <v>100</v>
      </c>
      <c r="AM3002" t="s">
        <v>100</v>
      </c>
      <c r="AN3002" t="s">
        <v>100</v>
      </c>
      <c r="AT3002">
        <v>1</v>
      </c>
      <c r="AU3002">
        <v>24</v>
      </c>
      <c r="AV3002" t="s">
        <v>100</v>
      </c>
      <c r="AW3002">
        <v>466</v>
      </c>
      <c r="AX3002">
        <v>633</v>
      </c>
      <c r="AZ3002" t="s">
        <v>101</v>
      </c>
      <c r="BA3002">
        <v>1</v>
      </c>
      <c r="BC3002" t="s">
        <v>6106</v>
      </c>
      <c r="BD3002" s="4">
        <v>43283.011111111111</v>
      </c>
      <c r="BE3002" s="4">
        <v>43283.016539351855</v>
      </c>
      <c r="BF3002" s="4">
        <v>43283.016539351855</v>
      </c>
      <c r="BG3002" t="s">
        <v>83</v>
      </c>
      <c r="BH3002" t="s">
        <v>84</v>
      </c>
      <c r="BI3002" t="s">
        <v>85</v>
      </c>
    </row>
    <row r="3003" spans="1:61" x14ac:dyDescent="0.3">
      <c r="A3003" t="str">
        <f>"200499B0100"</f>
        <v>200499B0100</v>
      </c>
      <c r="B3003" t="s">
        <v>6107</v>
      </c>
      <c r="C3003">
        <v>20</v>
      </c>
      <c r="D3003" t="s">
        <v>79</v>
      </c>
      <c r="E3003">
        <v>14</v>
      </c>
      <c r="F3003" t="s">
        <v>5455</v>
      </c>
      <c r="G3003">
        <v>499</v>
      </c>
      <c r="H3003">
        <v>1</v>
      </c>
      <c r="I3003" t="s">
        <v>81</v>
      </c>
      <c r="J3003">
        <v>0</v>
      </c>
      <c r="K3003">
        <v>1</v>
      </c>
      <c r="L3003">
        <v>2</v>
      </c>
      <c r="M3003">
        <v>186</v>
      </c>
      <c r="N3003">
        <v>502</v>
      </c>
      <c r="O3003">
        <v>6</v>
      </c>
      <c r="P3003">
        <v>491</v>
      </c>
      <c r="Q3003">
        <v>63</v>
      </c>
      <c r="R3003">
        <v>127</v>
      </c>
      <c r="S3003">
        <v>14</v>
      </c>
      <c r="T3003">
        <v>20</v>
      </c>
      <c r="U3003">
        <v>22</v>
      </c>
      <c r="V3003">
        <v>11</v>
      </c>
      <c r="W3003">
        <v>7</v>
      </c>
      <c r="X3003">
        <v>10</v>
      </c>
      <c r="Y3003">
        <v>152</v>
      </c>
      <c r="Z3003">
        <v>7</v>
      </c>
      <c r="AA3003">
        <v>5</v>
      </c>
      <c r="AB3003">
        <v>18</v>
      </c>
      <c r="AC3003">
        <v>4</v>
      </c>
      <c r="AD3003">
        <v>0</v>
      </c>
      <c r="AE3003">
        <v>0</v>
      </c>
      <c r="AF3003">
        <v>0</v>
      </c>
      <c r="AK3003">
        <v>6</v>
      </c>
      <c r="AL3003">
        <v>0</v>
      </c>
      <c r="AM3003">
        <v>0</v>
      </c>
      <c r="AN3003">
        <v>3</v>
      </c>
      <c r="AT3003">
        <v>1</v>
      </c>
      <c r="AU3003">
        <v>26</v>
      </c>
      <c r="AV3003">
        <v>496</v>
      </c>
      <c r="AW3003">
        <v>496</v>
      </c>
      <c r="AX3003">
        <v>660</v>
      </c>
      <c r="BA3003">
        <v>1</v>
      </c>
      <c r="BC3003" t="s">
        <v>6108</v>
      </c>
      <c r="BD3003" s="4">
        <v>43283.002083333333</v>
      </c>
      <c r="BE3003" s="4">
        <v>43283.006562499999</v>
      </c>
      <c r="BF3003" s="4">
        <v>43283.006562499999</v>
      </c>
      <c r="BG3003" t="s">
        <v>83</v>
      </c>
      <c r="BH3003" t="s">
        <v>84</v>
      </c>
      <c r="BI3003" t="s">
        <v>85</v>
      </c>
    </row>
    <row r="3004" spans="1:61" x14ac:dyDescent="0.3">
      <c r="A3004" t="str">
        <f>"200499C0100"</f>
        <v>200499C0100</v>
      </c>
      <c r="B3004" t="s">
        <v>6109</v>
      </c>
      <c r="C3004">
        <v>20</v>
      </c>
      <c r="D3004" t="s">
        <v>79</v>
      </c>
      <c r="E3004">
        <v>14</v>
      </c>
      <c r="F3004" t="s">
        <v>5455</v>
      </c>
      <c r="G3004">
        <v>499</v>
      </c>
      <c r="H3004">
        <v>1</v>
      </c>
      <c r="I3004" t="s">
        <v>89</v>
      </c>
      <c r="J3004">
        <v>0</v>
      </c>
      <c r="K3004">
        <v>1</v>
      </c>
      <c r="L3004">
        <v>2</v>
      </c>
      <c r="M3004">
        <v>175</v>
      </c>
      <c r="N3004">
        <v>507</v>
      </c>
      <c r="O3004">
        <v>4</v>
      </c>
      <c r="P3004">
        <v>507</v>
      </c>
      <c r="Q3004">
        <v>75</v>
      </c>
      <c r="R3004">
        <v>129</v>
      </c>
      <c r="S3004">
        <v>8</v>
      </c>
      <c r="T3004">
        <v>16</v>
      </c>
      <c r="U3004">
        <v>12</v>
      </c>
      <c r="V3004">
        <v>7</v>
      </c>
      <c r="W3004">
        <v>9</v>
      </c>
      <c r="X3004">
        <v>8</v>
      </c>
      <c r="Y3004">
        <v>183</v>
      </c>
      <c r="Z3004">
        <v>4</v>
      </c>
      <c r="AA3004">
        <v>5</v>
      </c>
      <c r="AB3004">
        <v>15</v>
      </c>
      <c r="AC3004">
        <v>1</v>
      </c>
      <c r="AD3004">
        <v>1</v>
      </c>
      <c r="AE3004">
        <v>0</v>
      </c>
      <c r="AF3004">
        <v>0</v>
      </c>
      <c r="AK3004">
        <v>3</v>
      </c>
      <c r="AL3004">
        <v>2</v>
      </c>
      <c r="AM3004">
        <v>0</v>
      </c>
      <c r="AN3004">
        <v>1</v>
      </c>
      <c r="AT3004">
        <v>0</v>
      </c>
      <c r="AU3004">
        <v>28</v>
      </c>
      <c r="AV3004">
        <v>507</v>
      </c>
      <c r="AW3004">
        <v>507</v>
      </c>
      <c r="AX3004">
        <v>660</v>
      </c>
      <c r="BA3004">
        <v>1</v>
      </c>
      <c r="BC3004" t="s">
        <v>6110</v>
      </c>
      <c r="BD3004" s="4">
        <v>43283.004861111112</v>
      </c>
      <c r="BE3004" s="4">
        <v>43283.009664351855</v>
      </c>
      <c r="BF3004" s="4">
        <v>43283.009664351855</v>
      </c>
      <c r="BG3004" t="s">
        <v>83</v>
      </c>
      <c r="BH3004" t="s">
        <v>84</v>
      </c>
      <c r="BI3004" t="s">
        <v>85</v>
      </c>
    </row>
    <row r="3005" spans="1:61" x14ac:dyDescent="0.3">
      <c r="A3005" t="str">
        <f>"200500B0100"</f>
        <v>200500B0100</v>
      </c>
      <c r="B3005" t="s">
        <v>6111</v>
      </c>
      <c r="C3005">
        <v>20</v>
      </c>
      <c r="D3005" t="s">
        <v>79</v>
      </c>
      <c r="E3005">
        <v>14</v>
      </c>
      <c r="F3005" t="s">
        <v>5455</v>
      </c>
      <c r="G3005">
        <v>500</v>
      </c>
      <c r="H3005">
        <v>1</v>
      </c>
      <c r="I3005" t="s">
        <v>81</v>
      </c>
      <c r="J3005">
        <v>0</v>
      </c>
      <c r="K3005">
        <v>1</v>
      </c>
      <c r="L3005">
        <v>2</v>
      </c>
      <c r="M3005">
        <v>245</v>
      </c>
      <c r="N3005">
        <v>667</v>
      </c>
      <c r="O3005">
        <v>8</v>
      </c>
      <c r="P3005">
        <v>422</v>
      </c>
      <c r="Q3005">
        <v>66</v>
      </c>
      <c r="R3005">
        <v>52</v>
      </c>
      <c r="S3005">
        <v>6</v>
      </c>
      <c r="T3005">
        <v>17</v>
      </c>
      <c r="U3005">
        <v>18</v>
      </c>
      <c r="V3005">
        <v>6</v>
      </c>
      <c r="W3005">
        <v>11</v>
      </c>
      <c r="X3005">
        <v>4</v>
      </c>
      <c r="Y3005">
        <v>210</v>
      </c>
      <c r="Z3005">
        <v>8</v>
      </c>
      <c r="AA3005">
        <v>1</v>
      </c>
      <c r="AB3005">
        <v>6</v>
      </c>
      <c r="AC3005">
        <v>2</v>
      </c>
      <c r="AD3005">
        <v>0</v>
      </c>
      <c r="AE3005">
        <v>2</v>
      </c>
      <c r="AF3005">
        <v>0</v>
      </c>
      <c r="AK3005">
        <v>3</v>
      </c>
      <c r="AL3005">
        <v>0</v>
      </c>
      <c r="AM3005">
        <v>0</v>
      </c>
      <c r="AN3005">
        <v>0</v>
      </c>
      <c r="AT3005">
        <v>0</v>
      </c>
      <c r="AU3005">
        <v>10</v>
      </c>
      <c r="AV3005">
        <v>422</v>
      </c>
      <c r="AW3005">
        <v>422</v>
      </c>
      <c r="AX3005">
        <v>645</v>
      </c>
      <c r="BA3005">
        <v>1</v>
      </c>
      <c r="BC3005" t="s">
        <v>6112</v>
      </c>
      <c r="BD3005" s="4">
        <v>43282.929780092592</v>
      </c>
      <c r="BE3005" s="4">
        <v>43282.933032407411</v>
      </c>
      <c r="BF3005" s="4">
        <v>43282.933032407411</v>
      </c>
      <c r="BG3005" t="s">
        <v>373</v>
      </c>
      <c r="BH3005" t="s">
        <v>374</v>
      </c>
      <c r="BI3005" t="s">
        <v>85</v>
      </c>
    </row>
    <row r="3006" spans="1:61" x14ac:dyDescent="0.3">
      <c r="A3006" t="str">
        <f>"200500C0100"</f>
        <v>200500C0100</v>
      </c>
      <c r="B3006" t="s">
        <v>6113</v>
      </c>
      <c r="C3006">
        <v>20</v>
      </c>
      <c r="D3006" t="s">
        <v>79</v>
      </c>
      <c r="E3006">
        <v>14</v>
      </c>
      <c r="F3006" t="s">
        <v>5455</v>
      </c>
      <c r="G3006">
        <v>500</v>
      </c>
      <c r="H3006">
        <v>1</v>
      </c>
      <c r="I3006" t="s">
        <v>89</v>
      </c>
      <c r="J3006">
        <v>0</v>
      </c>
      <c r="K3006">
        <v>1</v>
      </c>
      <c r="L3006">
        <v>2</v>
      </c>
      <c r="M3006">
        <v>269</v>
      </c>
      <c r="N3006">
        <v>398</v>
      </c>
      <c r="O3006">
        <v>3</v>
      </c>
      <c r="P3006">
        <v>396</v>
      </c>
      <c r="Q3006">
        <v>6</v>
      </c>
      <c r="R3006">
        <v>41</v>
      </c>
      <c r="S3006">
        <v>15</v>
      </c>
      <c r="T3006">
        <v>13</v>
      </c>
      <c r="U3006">
        <v>17</v>
      </c>
      <c r="V3006">
        <v>8</v>
      </c>
      <c r="W3006">
        <v>4</v>
      </c>
      <c r="X3006">
        <v>9</v>
      </c>
      <c r="Y3006">
        <v>184</v>
      </c>
      <c r="Z3006">
        <v>5</v>
      </c>
      <c r="AA3006">
        <v>0</v>
      </c>
      <c r="AB3006">
        <v>3</v>
      </c>
      <c r="AC3006">
        <v>3</v>
      </c>
      <c r="AD3006">
        <v>0</v>
      </c>
      <c r="AE3006">
        <v>0</v>
      </c>
      <c r="AF3006">
        <v>0</v>
      </c>
      <c r="AK3006">
        <v>0</v>
      </c>
      <c r="AL3006">
        <v>0</v>
      </c>
      <c r="AM3006">
        <v>0</v>
      </c>
      <c r="AN3006">
        <v>0</v>
      </c>
      <c r="AT3006">
        <v>0</v>
      </c>
      <c r="AU3006">
        <v>19</v>
      </c>
      <c r="AV3006">
        <v>396</v>
      </c>
      <c r="AW3006">
        <v>327</v>
      </c>
      <c r="AX3006">
        <v>645</v>
      </c>
      <c r="BA3006">
        <v>1</v>
      </c>
      <c r="BC3006" t="s">
        <v>6114</v>
      </c>
      <c r="BD3006" s="4">
        <v>43282.988819444443</v>
      </c>
      <c r="BE3006" s="4">
        <v>43282.992858796293</v>
      </c>
      <c r="BF3006" s="4">
        <v>43282.992858796293</v>
      </c>
      <c r="BG3006" t="s">
        <v>373</v>
      </c>
      <c r="BH3006" t="s">
        <v>374</v>
      </c>
      <c r="BI3006" t="s">
        <v>85</v>
      </c>
    </row>
    <row r="3007" spans="1:61" x14ac:dyDescent="0.3">
      <c r="A3007" t="str">
        <f>"200500C0200"</f>
        <v>200500C0200</v>
      </c>
      <c r="B3007" t="s">
        <v>6115</v>
      </c>
      <c r="C3007">
        <v>20</v>
      </c>
      <c r="D3007" t="s">
        <v>79</v>
      </c>
      <c r="E3007">
        <v>14</v>
      </c>
      <c r="F3007" t="s">
        <v>5455</v>
      </c>
      <c r="G3007">
        <v>500</v>
      </c>
      <c r="H3007">
        <v>2</v>
      </c>
      <c r="I3007" t="s">
        <v>89</v>
      </c>
      <c r="J3007">
        <v>0</v>
      </c>
      <c r="K3007">
        <v>1</v>
      </c>
      <c r="L3007">
        <v>2</v>
      </c>
      <c r="M3007">
        <v>259</v>
      </c>
      <c r="N3007">
        <v>408</v>
      </c>
      <c r="O3007">
        <v>2</v>
      </c>
      <c r="P3007">
        <v>408</v>
      </c>
      <c r="Q3007">
        <v>76</v>
      </c>
      <c r="R3007">
        <v>45</v>
      </c>
      <c r="S3007">
        <v>10</v>
      </c>
      <c r="T3007">
        <v>23</v>
      </c>
      <c r="U3007">
        <v>15</v>
      </c>
      <c r="V3007">
        <v>7</v>
      </c>
      <c r="W3007">
        <v>11</v>
      </c>
      <c r="X3007">
        <v>4</v>
      </c>
      <c r="Y3007">
        <v>167</v>
      </c>
      <c r="Z3007">
        <v>7</v>
      </c>
      <c r="AA3007">
        <v>1</v>
      </c>
      <c r="AB3007">
        <v>9</v>
      </c>
      <c r="AC3007">
        <v>3</v>
      </c>
      <c r="AD3007">
        <v>0</v>
      </c>
      <c r="AE3007">
        <v>0</v>
      </c>
      <c r="AF3007">
        <v>0</v>
      </c>
      <c r="AK3007">
        <v>4</v>
      </c>
      <c r="AL3007">
        <v>2</v>
      </c>
      <c r="AM3007">
        <v>4</v>
      </c>
      <c r="AN3007">
        <v>4</v>
      </c>
      <c r="AT3007">
        <v>0</v>
      </c>
      <c r="AU3007">
        <v>16</v>
      </c>
      <c r="AV3007">
        <v>408</v>
      </c>
      <c r="AW3007">
        <v>408</v>
      </c>
      <c r="AX3007">
        <v>645</v>
      </c>
      <c r="BA3007">
        <v>1</v>
      </c>
      <c r="BC3007" t="s">
        <v>6116</v>
      </c>
      <c r="BD3007" s="4">
        <v>43282.956863425927</v>
      </c>
      <c r="BE3007" s="4">
        <v>43282.960578703707</v>
      </c>
      <c r="BF3007" s="4">
        <v>43282.960578703707</v>
      </c>
      <c r="BG3007" t="s">
        <v>373</v>
      </c>
      <c r="BH3007" t="s">
        <v>374</v>
      </c>
      <c r="BI3007" t="s">
        <v>85</v>
      </c>
    </row>
    <row r="3008" spans="1:61" x14ac:dyDescent="0.3">
      <c r="A3008" t="str">
        <f>"200500C0300"</f>
        <v>200500C0300</v>
      </c>
      <c r="B3008" t="s">
        <v>6117</v>
      </c>
      <c r="C3008">
        <v>20</v>
      </c>
      <c r="D3008" t="s">
        <v>79</v>
      </c>
      <c r="E3008">
        <v>14</v>
      </c>
      <c r="F3008" t="s">
        <v>5455</v>
      </c>
      <c r="G3008">
        <v>500</v>
      </c>
      <c r="H3008">
        <v>3</v>
      </c>
      <c r="I3008" t="s">
        <v>89</v>
      </c>
      <c r="J3008">
        <v>0</v>
      </c>
      <c r="K3008">
        <v>1</v>
      </c>
      <c r="L3008">
        <v>2</v>
      </c>
      <c r="M3008">
        <v>249</v>
      </c>
      <c r="N3008">
        <v>415</v>
      </c>
      <c r="O3008">
        <v>5</v>
      </c>
      <c r="P3008">
        <v>406</v>
      </c>
      <c r="Q3008">
        <v>73</v>
      </c>
      <c r="R3008">
        <v>56</v>
      </c>
      <c r="S3008">
        <v>13</v>
      </c>
      <c r="T3008">
        <v>18</v>
      </c>
      <c r="U3008">
        <v>19</v>
      </c>
      <c r="V3008">
        <v>14</v>
      </c>
      <c r="W3008">
        <v>6</v>
      </c>
      <c r="X3008">
        <v>1</v>
      </c>
      <c r="Y3008">
        <v>171</v>
      </c>
      <c r="Z3008">
        <v>12</v>
      </c>
      <c r="AA3008">
        <v>2</v>
      </c>
      <c r="AB3008">
        <v>6</v>
      </c>
      <c r="AC3008">
        <v>0</v>
      </c>
      <c r="AD3008">
        <v>0</v>
      </c>
      <c r="AE3008">
        <v>0</v>
      </c>
      <c r="AF3008">
        <v>1</v>
      </c>
      <c r="AK3008">
        <v>5</v>
      </c>
      <c r="AL3008">
        <v>0</v>
      </c>
      <c r="AM3008">
        <v>0</v>
      </c>
      <c r="AN3008">
        <v>1</v>
      </c>
      <c r="AT3008">
        <v>0</v>
      </c>
      <c r="AU3008">
        <v>14</v>
      </c>
      <c r="AV3008">
        <v>412</v>
      </c>
      <c r="AW3008">
        <v>412</v>
      </c>
      <c r="AX3008">
        <v>644</v>
      </c>
      <c r="BA3008">
        <v>1</v>
      </c>
      <c r="BC3008" t="s">
        <v>6118</v>
      </c>
      <c r="BD3008" s="4">
        <v>43282.976770833331</v>
      </c>
      <c r="BE3008" s="4">
        <v>43282.980023148149</v>
      </c>
      <c r="BF3008" s="4">
        <v>43282.980023148149</v>
      </c>
      <c r="BG3008" t="s">
        <v>373</v>
      </c>
      <c r="BH3008" t="s">
        <v>374</v>
      </c>
      <c r="BI3008" t="s">
        <v>85</v>
      </c>
    </row>
    <row r="3009" spans="1:61" x14ac:dyDescent="0.3">
      <c r="A3009" t="str">
        <f>"200500C0400"</f>
        <v>200500C0400</v>
      </c>
      <c r="B3009" t="s">
        <v>6119</v>
      </c>
      <c r="C3009">
        <v>20</v>
      </c>
      <c r="D3009" t="s">
        <v>79</v>
      </c>
      <c r="E3009">
        <v>14</v>
      </c>
      <c r="F3009" t="s">
        <v>5455</v>
      </c>
      <c r="G3009">
        <v>500</v>
      </c>
      <c r="H3009">
        <v>4</v>
      </c>
      <c r="I3009" t="s">
        <v>89</v>
      </c>
      <c r="J3009">
        <v>0</v>
      </c>
      <c r="K3009">
        <v>1</v>
      </c>
      <c r="L3009">
        <v>2</v>
      </c>
      <c r="M3009">
        <v>274</v>
      </c>
      <c r="N3009">
        <v>390</v>
      </c>
      <c r="O3009">
        <v>0</v>
      </c>
      <c r="P3009">
        <v>390</v>
      </c>
      <c r="Q3009">
        <v>57</v>
      </c>
      <c r="R3009">
        <v>57</v>
      </c>
      <c r="S3009">
        <v>8</v>
      </c>
      <c r="T3009">
        <v>19</v>
      </c>
      <c r="U3009">
        <v>17</v>
      </c>
      <c r="V3009">
        <v>6</v>
      </c>
      <c r="W3009">
        <v>10</v>
      </c>
      <c r="X3009">
        <v>5</v>
      </c>
      <c r="Y3009">
        <v>165</v>
      </c>
      <c r="Z3009">
        <v>5</v>
      </c>
      <c r="AA3009">
        <v>3</v>
      </c>
      <c r="AB3009">
        <v>4</v>
      </c>
      <c r="AC3009">
        <v>4</v>
      </c>
      <c r="AD3009">
        <v>0</v>
      </c>
      <c r="AE3009">
        <v>0</v>
      </c>
      <c r="AF3009">
        <v>0</v>
      </c>
      <c r="AK3009">
        <v>5</v>
      </c>
      <c r="AL3009">
        <v>0</v>
      </c>
      <c r="AM3009">
        <v>0</v>
      </c>
      <c r="AN3009">
        <v>0</v>
      </c>
      <c r="AT3009">
        <v>1</v>
      </c>
      <c r="AU3009">
        <v>23</v>
      </c>
      <c r="AV3009">
        <v>390</v>
      </c>
      <c r="AW3009">
        <v>389</v>
      </c>
      <c r="AX3009">
        <v>644</v>
      </c>
      <c r="BA3009">
        <v>1</v>
      </c>
      <c r="BC3009" t="s">
        <v>6120</v>
      </c>
      <c r="BD3009" s="4">
        <v>43282.980231481481</v>
      </c>
      <c r="BE3009" s="4">
        <v>43282.983078703706</v>
      </c>
      <c r="BF3009" s="4">
        <v>43282.983078703706</v>
      </c>
      <c r="BG3009" t="s">
        <v>373</v>
      </c>
      <c r="BH3009" t="s">
        <v>374</v>
      </c>
      <c r="BI3009" t="s">
        <v>85</v>
      </c>
    </row>
    <row r="3010" spans="1:61" x14ac:dyDescent="0.3">
      <c r="A3010" t="str">
        <f>"200500C0500"</f>
        <v>200500C0500</v>
      </c>
      <c r="B3010" t="s">
        <v>6121</v>
      </c>
      <c r="C3010">
        <v>20</v>
      </c>
      <c r="D3010" t="s">
        <v>79</v>
      </c>
      <c r="E3010">
        <v>14</v>
      </c>
      <c r="F3010" t="s">
        <v>5455</v>
      </c>
      <c r="G3010">
        <v>500</v>
      </c>
      <c r="H3010">
        <v>5</v>
      </c>
      <c r="I3010" t="s">
        <v>89</v>
      </c>
      <c r="J3010">
        <v>0</v>
      </c>
      <c r="K3010">
        <v>1</v>
      </c>
      <c r="L3010">
        <v>2</v>
      </c>
      <c r="M3010">
        <v>229</v>
      </c>
      <c r="N3010">
        <v>435</v>
      </c>
      <c r="O3010">
        <v>4</v>
      </c>
      <c r="P3010">
        <v>439</v>
      </c>
      <c r="Q3010">
        <v>71</v>
      </c>
      <c r="R3010">
        <v>63</v>
      </c>
      <c r="S3010">
        <v>14</v>
      </c>
      <c r="T3010">
        <v>16</v>
      </c>
      <c r="U3010">
        <v>25</v>
      </c>
      <c r="V3010">
        <v>9</v>
      </c>
      <c r="W3010">
        <v>7</v>
      </c>
      <c r="X3010">
        <v>4</v>
      </c>
      <c r="Y3010">
        <v>186</v>
      </c>
      <c r="Z3010">
        <v>4</v>
      </c>
      <c r="AA3010">
        <v>4</v>
      </c>
      <c r="AB3010">
        <v>8</v>
      </c>
      <c r="AC3010">
        <v>3</v>
      </c>
      <c r="AD3010">
        <v>0</v>
      </c>
      <c r="AE3010">
        <v>0</v>
      </c>
      <c r="AF3010">
        <v>0</v>
      </c>
      <c r="AK3010">
        <v>6</v>
      </c>
      <c r="AL3010">
        <v>0</v>
      </c>
      <c r="AM3010">
        <v>1</v>
      </c>
      <c r="AN3010">
        <v>0</v>
      </c>
      <c r="AT3010">
        <v>0</v>
      </c>
      <c r="AU3010">
        <v>18</v>
      </c>
      <c r="AV3010">
        <v>439</v>
      </c>
      <c r="AW3010">
        <v>439</v>
      </c>
      <c r="AX3010">
        <v>644</v>
      </c>
      <c r="BA3010">
        <v>1</v>
      </c>
      <c r="BC3010" t="s">
        <v>6122</v>
      </c>
      <c r="BD3010" s="4">
        <v>43282.974340277775</v>
      </c>
      <c r="BE3010" s="4">
        <v>43282.978159722225</v>
      </c>
      <c r="BF3010" s="4">
        <v>43282.978159722225</v>
      </c>
      <c r="BG3010" t="s">
        <v>373</v>
      </c>
      <c r="BH3010" t="s">
        <v>374</v>
      </c>
      <c r="BI3010" t="s">
        <v>85</v>
      </c>
    </row>
    <row r="3011" spans="1:61" x14ac:dyDescent="0.3">
      <c r="A3011" t="str">
        <f>"200501B0100"</f>
        <v>200501B0100</v>
      </c>
      <c r="B3011" t="s">
        <v>6123</v>
      </c>
      <c r="C3011">
        <v>20</v>
      </c>
      <c r="D3011" t="s">
        <v>79</v>
      </c>
      <c r="E3011">
        <v>14</v>
      </c>
      <c r="F3011" t="s">
        <v>5455</v>
      </c>
      <c r="G3011">
        <v>501</v>
      </c>
      <c r="H3011">
        <v>1</v>
      </c>
      <c r="I3011" t="s">
        <v>81</v>
      </c>
      <c r="J3011">
        <v>0</v>
      </c>
      <c r="K3011">
        <v>1</v>
      </c>
      <c r="L3011">
        <v>2</v>
      </c>
      <c r="M3011">
        <v>228</v>
      </c>
      <c r="N3011">
        <v>353</v>
      </c>
      <c r="O3011">
        <v>9</v>
      </c>
      <c r="P3011">
        <v>364</v>
      </c>
      <c r="Q3011">
        <v>63</v>
      </c>
      <c r="R3011">
        <v>46</v>
      </c>
      <c r="S3011">
        <v>8</v>
      </c>
      <c r="T3011">
        <v>10</v>
      </c>
      <c r="U3011">
        <v>10</v>
      </c>
      <c r="V3011">
        <v>8</v>
      </c>
      <c r="W3011">
        <v>9</v>
      </c>
      <c r="X3011">
        <v>4</v>
      </c>
      <c r="Y3011">
        <v>173</v>
      </c>
      <c r="Z3011">
        <v>4</v>
      </c>
      <c r="AA3011">
        <v>1</v>
      </c>
      <c r="AB3011">
        <v>9</v>
      </c>
      <c r="AC3011">
        <v>0</v>
      </c>
      <c r="AD3011">
        <v>1</v>
      </c>
      <c r="AE3011">
        <v>0</v>
      </c>
      <c r="AF3011">
        <v>0</v>
      </c>
      <c r="AK3011">
        <v>7</v>
      </c>
      <c r="AL3011">
        <v>0</v>
      </c>
      <c r="AM3011">
        <v>0</v>
      </c>
      <c r="AN3011">
        <v>3</v>
      </c>
      <c r="AT3011">
        <v>1</v>
      </c>
      <c r="AU3011">
        <v>7</v>
      </c>
      <c r="AV3011">
        <v>364</v>
      </c>
      <c r="AW3011">
        <v>364</v>
      </c>
      <c r="AX3011">
        <v>559</v>
      </c>
      <c r="BA3011">
        <v>1</v>
      </c>
      <c r="BC3011" t="s">
        <v>6124</v>
      </c>
      <c r="BD3011" s="4">
        <v>43283.203472222223</v>
      </c>
      <c r="BE3011" s="4">
        <v>43283.220648148148</v>
      </c>
      <c r="BF3011" s="4">
        <v>43283.220648148148</v>
      </c>
      <c r="BG3011" t="s">
        <v>83</v>
      </c>
      <c r="BH3011" t="s">
        <v>84</v>
      </c>
      <c r="BI3011" t="s">
        <v>85</v>
      </c>
    </row>
    <row r="3012" spans="1:61" x14ac:dyDescent="0.3">
      <c r="A3012" t="str">
        <f>"200501C0100"</f>
        <v>200501C0100</v>
      </c>
      <c r="B3012" t="s">
        <v>6125</v>
      </c>
      <c r="C3012">
        <v>20</v>
      </c>
      <c r="D3012" t="s">
        <v>79</v>
      </c>
      <c r="E3012">
        <v>14</v>
      </c>
      <c r="F3012" t="s">
        <v>5455</v>
      </c>
      <c r="G3012">
        <v>501</v>
      </c>
      <c r="H3012">
        <v>1</v>
      </c>
      <c r="I3012" t="s">
        <v>89</v>
      </c>
      <c r="J3012">
        <v>0</v>
      </c>
      <c r="K3012">
        <v>1</v>
      </c>
      <c r="L3012">
        <v>2</v>
      </c>
      <c r="M3012">
        <v>237</v>
      </c>
      <c r="N3012">
        <v>344</v>
      </c>
      <c r="O3012">
        <v>10</v>
      </c>
      <c r="P3012">
        <v>333</v>
      </c>
      <c r="Q3012">
        <v>35</v>
      </c>
      <c r="R3012">
        <v>53</v>
      </c>
      <c r="S3012">
        <v>5</v>
      </c>
      <c r="T3012">
        <v>16</v>
      </c>
      <c r="U3012">
        <v>15</v>
      </c>
      <c r="V3012">
        <v>3</v>
      </c>
      <c r="W3012">
        <v>12</v>
      </c>
      <c r="X3012">
        <v>3</v>
      </c>
      <c r="Y3012">
        <v>159</v>
      </c>
      <c r="Z3012">
        <v>6</v>
      </c>
      <c r="AA3012">
        <v>3</v>
      </c>
      <c r="AB3012">
        <v>5</v>
      </c>
      <c r="AC3012">
        <v>0</v>
      </c>
      <c r="AD3012">
        <v>0</v>
      </c>
      <c r="AE3012">
        <v>0</v>
      </c>
      <c r="AF3012">
        <v>0</v>
      </c>
      <c r="AK3012">
        <v>4</v>
      </c>
      <c r="AL3012">
        <v>0</v>
      </c>
      <c r="AM3012">
        <v>1</v>
      </c>
      <c r="AN3012">
        <v>0</v>
      </c>
      <c r="AT3012">
        <v>0</v>
      </c>
      <c r="AU3012">
        <v>13</v>
      </c>
      <c r="AV3012">
        <v>333</v>
      </c>
      <c r="AW3012">
        <v>333</v>
      </c>
      <c r="AX3012">
        <v>559</v>
      </c>
      <c r="BA3012">
        <v>1</v>
      </c>
      <c r="BC3012" t="s">
        <v>6126</v>
      </c>
      <c r="BD3012" s="4">
        <v>43283.211111111108</v>
      </c>
      <c r="BE3012" s="4">
        <v>43283.232141203705</v>
      </c>
      <c r="BF3012" s="4">
        <v>43283.232141203705</v>
      </c>
      <c r="BG3012" t="s">
        <v>83</v>
      </c>
      <c r="BH3012" t="s">
        <v>84</v>
      </c>
      <c r="BI3012" t="s">
        <v>85</v>
      </c>
    </row>
    <row r="3013" spans="1:61" x14ac:dyDescent="0.3">
      <c r="A3013" t="str">
        <f>"200501C0200"</f>
        <v>200501C0200</v>
      </c>
      <c r="B3013" t="s">
        <v>6127</v>
      </c>
      <c r="C3013">
        <v>20</v>
      </c>
      <c r="D3013" t="s">
        <v>79</v>
      </c>
      <c r="E3013">
        <v>14</v>
      </c>
      <c r="F3013" t="s">
        <v>5455</v>
      </c>
      <c r="G3013">
        <v>501</v>
      </c>
      <c r="H3013">
        <v>2</v>
      </c>
      <c r="I3013" t="s">
        <v>89</v>
      </c>
      <c r="J3013">
        <v>0</v>
      </c>
      <c r="K3013">
        <v>1</v>
      </c>
      <c r="L3013">
        <v>2</v>
      </c>
      <c r="M3013">
        <v>213</v>
      </c>
      <c r="N3013">
        <v>367</v>
      </c>
      <c r="O3013">
        <v>7</v>
      </c>
      <c r="P3013">
        <v>367</v>
      </c>
      <c r="Q3013">
        <v>41</v>
      </c>
      <c r="R3013">
        <v>49</v>
      </c>
      <c r="S3013">
        <v>5</v>
      </c>
      <c r="T3013">
        <v>13</v>
      </c>
      <c r="U3013">
        <v>24</v>
      </c>
      <c r="V3013">
        <v>7</v>
      </c>
      <c r="W3013">
        <v>6</v>
      </c>
      <c r="X3013">
        <v>5</v>
      </c>
      <c r="Y3013">
        <v>179</v>
      </c>
      <c r="Z3013">
        <v>8</v>
      </c>
      <c r="AA3013">
        <v>2</v>
      </c>
      <c r="AB3013">
        <v>4</v>
      </c>
      <c r="AC3013">
        <v>1</v>
      </c>
      <c r="AD3013">
        <v>0</v>
      </c>
      <c r="AE3013">
        <v>1</v>
      </c>
      <c r="AF3013">
        <v>1</v>
      </c>
      <c r="AK3013">
        <v>6</v>
      </c>
      <c r="AL3013">
        <v>0</v>
      </c>
      <c r="AM3013">
        <v>0</v>
      </c>
      <c r="AN3013">
        <v>2</v>
      </c>
      <c r="AT3013">
        <v>0</v>
      </c>
      <c r="AU3013">
        <v>12</v>
      </c>
      <c r="AV3013">
        <v>366</v>
      </c>
      <c r="AW3013">
        <v>366</v>
      </c>
      <c r="AX3013">
        <v>558</v>
      </c>
      <c r="BA3013">
        <v>1</v>
      </c>
      <c r="BC3013" t="s">
        <v>6128</v>
      </c>
      <c r="BD3013" s="4">
        <v>43283.206250000003</v>
      </c>
      <c r="BE3013" s="4">
        <v>43283.226678240739</v>
      </c>
      <c r="BF3013" s="4">
        <v>43283.226678240739</v>
      </c>
      <c r="BG3013" t="s">
        <v>83</v>
      </c>
      <c r="BH3013" t="s">
        <v>84</v>
      </c>
      <c r="BI3013" t="s">
        <v>85</v>
      </c>
    </row>
    <row r="3014" spans="1:61" x14ac:dyDescent="0.3">
      <c r="A3014" t="str">
        <f>"200502B0100"</f>
        <v>200502B0100</v>
      </c>
      <c r="B3014" t="s">
        <v>6129</v>
      </c>
      <c r="C3014">
        <v>20</v>
      </c>
      <c r="D3014" t="s">
        <v>79</v>
      </c>
      <c r="E3014">
        <v>14</v>
      </c>
      <c r="F3014" t="s">
        <v>5455</v>
      </c>
      <c r="G3014">
        <v>502</v>
      </c>
      <c r="H3014">
        <v>1</v>
      </c>
      <c r="I3014" t="s">
        <v>81</v>
      </c>
      <c r="J3014">
        <v>0</v>
      </c>
      <c r="K3014">
        <v>1</v>
      </c>
      <c r="L3014">
        <v>2</v>
      </c>
      <c r="M3014">
        <v>254</v>
      </c>
      <c r="N3014">
        <v>371</v>
      </c>
      <c r="O3014">
        <v>0</v>
      </c>
      <c r="P3014">
        <v>372</v>
      </c>
      <c r="Q3014">
        <v>29</v>
      </c>
      <c r="R3014">
        <v>56</v>
      </c>
      <c r="S3014">
        <v>3</v>
      </c>
      <c r="T3014">
        <v>31</v>
      </c>
      <c r="U3014">
        <v>23</v>
      </c>
      <c r="V3014">
        <v>8</v>
      </c>
      <c r="W3014">
        <v>9</v>
      </c>
      <c r="X3014">
        <v>2</v>
      </c>
      <c r="Y3014">
        <v>177</v>
      </c>
      <c r="Z3014">
        <v>5</v>
      </c>
      <c r="AA3014">
        <v>3</v>
      </c>
      <c r="AB3014">
        <v>5</v>
      </c>
      <c r="AC3014">
        <v>1</v>
      </c>
      <c r="AD3014">
        <v>0</v>
      </c>
      <c r="AE3014">
        <v>1</v>
      </c>
      <c r="AF3014">
        <v>0</v>
      </c>
      <c r="AK3014">
        <v>3</v>
      </c>
      <c r="AL3014">
        <v>1</v>
      </c>
      <c r="AM3014">
        <v>0</v>
      </c>
      <c r="AN3014">
        <v>2</v>
      </c>
      <c r="AT3014">
        <v>0</v>
      </c>
      <c r="AU3014">
        <v>13</v>
      </c>
      <c r="AV3014">
        <v>372</v>
      </c>
      <c r="AW3014">
        <v>372</v>
      </c>
      <c r="AX3014">
        <v>602</v>
      </c>
      <c r="BA3014">
        <v>1</v>
      </c>
      <c r="BC3014" t="s">
        <v>6130</v>
      </c>
      <c r="BD3014" s="4">
        <v>43283.229861111111</v>
      </c>
      <c r="BE3014" s="4">
        <v>43283.254340277781</v>
      </c>
      <c r="BF3014" s="4">
        <v>43283.254340277781</v>
      </c>
      <c r="BG3014" t="s">
        <v>83</v>
      </c>
      <c r="BH3014" t="s">
        <v>84</v>
      </c>
      <c r="BI3014" t="s">
        <v>85</v>
      </c>
    </row>
    <row r="3015" spans="1:61" x14ac:dyDescent="0.3">
      <c r="A3015" t="str">
        <f>"200502C0100"</f>
        <v>200502C0100</v>
      </c>
      <c r="B3015" t="s">
        <v>6131</v>
      </c>
      <c r="C3015">
        <v>20</v>
      </c>
      <c r="D3015" t="s">
        <v>79</v>
      </c>
      <c r="E3015">
        <v>14</v>
      </c>
      <c r="F3015" t="s">
        <v>5455</v>
      </c>
      <c r="G3015">
        <v>502</v>
      </c>
      <c r="H3015">
        <v>1</v>
      </c>
      <c r="I3015" t="s">
        <v>89</v>
      </c>
      <c r="J3015">
        <v>0</v>
      </c>
      <c r="K3015">
        <v>1</v>
      </c>
      <c r="L3015">
        <v>2</v>
      </c>
      <c r="M3015">
        <v>236</v>
      </c>
      <c r="N3015">
        <v>387</v>
      </c>
      <c r="O3015">
        <v>7</v>
      </c>
      <c r="P3015">
        <v>386</v>
      </c>
      <c r="Q3015">
        <v>42</v>
      </c>
      <c r="R3015">
        <v>40</v>
      </c>
      <c r="S3015">
        <v>9</v>
      </c>
      <c r="T3015">
        <v>25</v>
      </c>
      <c r="U3015">
        <v>10</v>
      </c>
      <c r="V3015">
        <v>4</v>
      </c>
      <c r="W3015">
        <v>8</v>
      </c>
      <c r="X3015">
        <v>6</v>
      </c>
      <c r="Y3015">
        <v>197</v>
      </c>
      <c r="Z3015">
        <v>10</v>
      </c>
      <c r="AA3015">
        <v>1</v>
      </c>
      <c r="AB3015">
        <v>8</v>
      </c>
      <c r="AC3015">
        <v>1</v>
      </c>
      <c r="AD3015">
        <v>0</v>
      </c>
      <c r="AE3015">
        <v>1</v>
      </c>
      <c r="AF3015">
        <v>0</v>
      </c>
      <c r="AK3015">
        <v>3</v>
      </c>
      <c r="AL3015">
        <v>1</v>
      </c>
      <c r="AM3015">
        <v>0</v>
      </c>
      <c r="AN3015">
        <v>3</v>
      </c>
      <c r="AT3015">
        <v>0</v>
      </c>
      <c r="AU3015">
        <v>17</v>
      </c>
      <c r="AV3015">
        <v>386</v>
      </c>
      <c r="AW3015">
        <v>386</v>
      </c>
      <c r="AX3015">
        <v>601</v>
      </c>
      <c r="BA3015">
        <v>1</v>
      </c>
      <c r="BC3015" t="s">
        <v>6132</v>
      </c>
      <c r="BD3015" s="4">
        <v>43283.256249999999</v>
      </c>
      <c r="BE3015" s="4">
        <v>43283.287118055552</v>
      </c>
      <c r="BF3015" s="4">
        <v>43283.287118055552</v>
      </c>
      <c r="BG3015" t="s">
        <v>83</v>
      </c>
      <c r="BH3015" t="s">
        <v>84</v>
      </c>
      <c r="BI3015" t="s">
        <v>85</v>
      </c>
    </row>
    <row r="3016" spans="1:61" x14ac:dyDescent="0.3">
      <c r="A3016" t="str">
        <f>"200502C0200"</f>
        <v>200502C0200</v>
      </c>
      <c r="B3016" t="s">
        <v>6133</v>
      </c>
      <c r="C3016">
        <v>20</v>
      </c>
      <c r="D3016" t="s">
        <v>79</v>
      </c>
      <c r="E3016">
        <v>14</v>
      </c>
      <c r="F3016" t="s">
        <v>5455</v>
      </c>
      <c r="G3016">
        <v>502</v>
      </c>
      <c r="H3016">
        <v>2</v>
      </c>
      <c r="I3016" t="s">
        <v>89</v>
      </c>
      <c r="J3016">
        <v>0</v>
      </c>
      <c r="K3016">
        <v>1</v>
      </c>
      <c r="L3016">
        <v>2</v>
      </c>
      <c r="M3016">
        <v>245</v>
      </c>
      <c r="N3016">
        <v>379</v>
      </c>
      <c r="O3016">
        <v>6</v>
      </c>
      <c r="P3016">
        <v>378</v>
      </c>
      <c r="Q3016">
        <v>41</v>
      </c>
      <c r="R3016">
        <v>47</v>
      </c>
      <c r="S3016">
        <v>17</v>
      </c>
      <c r="T3016">
        <v>20</v>
      </c>
      <c r="U3016">
        <v>17</v>
      </c>
      <c r="V3016">
        <v>5</v>
      </c>
      <c r="W3016">
        <v>3</v>
      </c>
      <c r="X3016">
        <v>1</v>
      </c>
      <c r="Y3016">
        <v>204</v>
      </c>
      <c r="Z3016">
        <v>2</v>
      </c>
      <c r="AA3016">
        <v>3</v>
      </c>
      <c r="AB3016">
        <v>8</v>
      </c>
      <c r="AC3016">
        <v>0</v>
      </c>
      <c r="AD3016">
        <v>0</v>
      </c>
      <c r="AE3016">
        <v>0</v>
      </c>
      <c r="AF3016">
        <v>0</v>
      </c>
      <c r="AK3016">
        <v>6</v>
      </c>
      <c r="AL3016">
        <v>1</v>
      </c>
      <c r="AM3016">
        <v>1</v>
      </c>
      <c r="AN3016">
        <v>1</v>
      </c>
      <c r="AT3016">
        <v>0</v>
      </c>
      <c r="AU3016">
        <v>4</v>
      </c>
      <c r="AV3016">
        <v>381</v>
      </c>
      <c r="AW3016">
        <v>381</v>
      </c>
      <c r="AX3016">
        <v>601</v>
      </c>
      <c r="BA3016">
        <v>1</v>
      </c>
      <c r="BC3016" t="s">
        <v>6134</v>
      </c>
      <c r="BD3016" s="4">
        <v>43283.204861111109</v>
      </c>
      <c r="BE3016" s="4">
        <v>43283.222673611112</v>
      </c>
      <c r="BF3016" s="4">
        <v>43283.222673611112</v>
      </c>
      <c r="BG3016" t="s">
        <v>83</v>
      </c>
      <c r="BH3016" t="s">
        <v>84</v>
      </c>
      <c r="BI3016" t="s">
        <v>85</v>
      </c>
    </row>
    <row r="3017" spans="1:61" x14ac:dyDescent="0.3">
      <c r="A3017" t="str">
        <f>"200502C0300"</f>
        <v>200502C0300</v>
      </c>
      <c r="B3017" t="s">
        <v>6135</v>
      </c>
      <c r="C3017">
        <v>20</v>
      </c>
      <c r="D3017" t="s">
        <v>79</v>
      </c>
      <c r="E3017">
        <v>14</v>
      </c>
      <c r="F3017" t="s">
        <v>5455</v>
      </c>
      <c r="G3017">
        <v>502</v>
      </c>
      <c r="H3017">
        <v>3</v>
      </c>
      <c r="I3017" t="s">
        <v>89</v>
      </c>
      <c r="J3017">
        <v>0</v>
      </c>
      <c r="K3017">
        <v>1</v>
      </c>
      <c r="L3017">
        <v>2</v>
      </c>
      <c r="M3017">
        <v>232</v>
      </c>
      <c r="N3017">
        <v>397</v>
      </c>
      <c r="O3017">
        <v>5</v>
      </c>
      <c r="P3017">
        <v>392</v>
      </c>
      <c r="Q3017">
        <v>37</v>
      </c>
      <c r="R3017">
        <v>44</v>
      </c>
      <c r="S3017">
        <v>9</v>
      </c>
      <c r="T3017">
        <v>23</v>
      </c>
      <c r="U3017">
        <v>19</v>
      </c>
      <c r="V3017">
        <v>14</v>
      </c>
      <c r="W3017">
        <v>5</v>
      </c>
      <c r="X3017">
        <v>7</v>
      </c>
      <c r="Y3017">
        <v>194</v>
      </c>
      <c r="Z3017">
        <v>6</v>
      </c>
      <c r="AA3017">
        <v>3</v>
      </c>
      <c r="AB3017">
        <v>7</v>
      </c>
      <c r="AC3017">
        <v>1</v>
      </c>
      <c r="AD3017">
        <v>0</v>
      </c>
      <c r="AE3017">
        <v>0</v>
      </c>
      <c r="AF3017">
        <v>0</v>
      </c>
      <c r="AK3017">
        <v>5</v>
      </c>
      <c r="AL3017">
        <v>1</v>
      </c>
      <c r="AM3017">
        <v>0</v>
      </c>
      <c r="AN3017">
        <v>0</v>
      </c>
      <c r="AT3017">
        <v>0</v>
      </c>
      <c r="AU3017">
        <v>17</v>
      </c>
      <c r="AV3017" t="s">
        <v>100</v>
      </c>
      <c r="AW3017">
        <v>392</v>
      </c>
      <c r="AX3017">
        <v>601</v>
      </c>
      <c r="BA3017">
        <v>1</v>
      </c>
      <c r="BC3017" t="s">
        <v>6136</v>
      </c>
      <c r="BD3017" s="4">
        <v>43283.220138888886</v>
      </c>
      <c r="BE3017" s="4">
        <v>43283.251435185186</v>
      </c>
      <c r="BF3017" s="4">
        <v>43283.251435185186</v>
      </c>
      <c r="BG3017" t="s">
        <v>83</v>
      </c>
      <c r="BH3017" t="s">
        <v>84</v>
      </c>
      <c r="BI3017" t="s">
        <v>85</v>
      </c>
    </row>
    <row r="3018" spans="1:61" x14ac:dyDescent="0.3">
      <c r="A3018" t="str">
        <f>"200503B0100"</f>
        <v>200503B0100</v>
      </c>
      <c r="B3018" t="s">
        <v>6137</v>
      </c>
      <c r="C3018">
        <v>20</v>
      </c>
      <c r="D3018" t="s">
        <v>79</v>
      </c>
      <c r="E3018">
        <v>14</v>
      </c>
      <c r="F3018" t="s">
        <v>5455</v>
      </c>
      <c r="G3018">
        <v>503</v>
      </c>
      <c r="H3018">
        <v>1</v>
      </c>
      <c r="I3018" t="s">
        <v>81</v>
      </c>
      <c r="J3018">
        <v>0</v>
      </c>
      <c r="K3018">
        <v>1</v>
      </c>
      <c r="L3018">
        <v>2</v>
      </c>
      <c r="M3018">
        <v>156</v>
      </c>
      <c r="N3018">
        <v>523</v>
      </c>
      <c r="O3018">
        <v>10</v>
      </c>
      <c r="P3018">
        <v>360</v>
      </c>
      <c r="Q3018">
        <v>39</v>
      </c>
      <c r="R3018">
        <v>47</v>
      </c>
      <c r="S3018">
        <v>2</v>
      </c>
      <c r="T3018">
        <v>17</v>
      </c>
      <c r="U3018">
        <v>7</v>
      </c>
      <c r="V3018">
        <v>6</v>
      </c>
      <c r="W3018">
        <v>8</v>
      </c>
      <c r="X3018">
        <v>5</v>
      </c>
      <c r="Y3018">
        <v>205</v>
      </c>
      <c r="Z3018">
        <v>7</v>
      </c>
      <c r="AA3018">
        <v>4</v>
      </c>
      <c r="AB3018">
        <v>3</v>
      </c>
      <c r="AC3018" t="s">
        <v>100</v>
      </c>
      <c r="AD3018" t="s">
        <v>100</v>
      </c>
      <c r="AE3018" t="s">
        <v>100</v>
      </c>
      <c r="AF3018" t="s">
        <v>100</v>
      </c>
      <c r="AK3018" t="s">
        <v>100</v>
      </c>
      <c r="AL3018" t="s">
        <v>100</v>
      </c>
      <c r="AM3018" t="s">
        <v>100</v>
      </c>
      <c r="AN3018" t="s">
        <v>100</v>
      </c>
      <c r="AT3018" t="s">
        <v>100</v>
      </c>
      <c r="AU3018">
        <v>10</v>
      </c>
      <c r="AV3018" t="s">
        <v>100</v>
      </c>
      <c r="AW3018">
        <v>360</v>
      </c>
      <c r="AX3018">
        <v>501</v>
      </c>
      <c r="AZ3018" t="s">
        <v>101</v>
      </c>
      <c r="BA3018">
        <v>1</v>
      </c>
      <c r="BC3018" t="s">
        <v>6138</v>
      </c>
      <c r="BD3018" s="4">
        <v>43283.025000000001</v>
      </c>
      <c r="BE3018" s="4">
        <v>43283.031273148146</v>
      </c>
      <c r="BF3018" s="4">
        <v>43283.031273148146</v>
      </c>
      <c r="BG3018" t="s">
        <v>83</v>
      </c>
      <c r="BH3018" t="s">
        <v>84</v>
      </c>
      <c r="BI3018" t="s">
        <v>85</v>
      </c>
    </row>
    <row r="3019" spans="1:61" x14ac:dyDescent="0.3">
      <c r="A3019" t="str">
        <f>"200503C0100"</f>
        <v>200503C0100</v>
      </c>
      <c r="B3019" t="s">
        <v>6139</v>
      </c>
      <c r="C3019">
        <v>20</v>
      </c>
      <c r="D3019" t="s">
        <v>79</v>
      </c>
      <c r="E3019">
        <v>14</v>
      </c>
      <c r="F3019" t="s">
        <v>5455</v>
      </c>
      <c r="G3019">
        <v>503</v>
      </c>
      <c r="H3019">
        <v>1</v>
      </c>
      <c r="I3019" t="s">
        <v>89</v>
      </c>
      <c r="J3019">
        <v>0</v>
      </c>
      <c r="K3019">
        <v>1</v>
      </c>
      <c r="L3019">
        <v>2</v>
      </c>
      <c r="M3019">
        <v>159</v>
      </c>
      <c r="N3019">
        <v>366</v>
      </c>
      <c r="O3019">
        <v>11</v>
      </c>
      <c r="P3019">
        <v>364</v>
      </c>
      <c r="Q3019">
        <v>40</v>
      </c>
      <c r="R3019">
        <v>45</v>
      </c>
      <c r="S3019">
        <v>5</v>
      </c>
      <c r="T3019">
        <v>11</v>
      </c>
      <c r="U3019">
        <v>11</v>
      </c>
      <c r="V3019">
        <v>6</v>
      </c>
      <c r="W3019">
        <v>9</v>
      </c>
      <c r="X3019">
        <v>6</v>
      </c>
      <c r="Y3019">
        <v>188</v>
      </c>
      <c r="Z3019">
        <v>5</v>
      </c>
      <c r="AA3019">
        <v>4</v>
      </c>
      <c r="AB3019">
        <v>6</v>
      </c>
      <c r="AC3019">
        <v>2</v>
      </c>
      <c r="AD3019">
        <v>0</v>
      </c>
      <c r="AE3019">
        <v>0</v>
      </c>
      <c r="AF3019">
        <v>0</v>
      </c>
      <c r="AK3019">
        <v>2</v>
      </c>
      <c r="AL3019">
        <v>1</v>
      </c>
      <c r="AM3019">
        <v>1</v>
      </c>
      <c r="AN3019">
        <v>1</v>
      </c>
      <c r="AT3019">
        <v>2</v>
      </c>
      <c r="AU3019">
        <v>19</v>
      </c>
      <c r="AV3019">
        <v>364</v>
      </c>
      <c r="AW3019">
        <v>364</v>
      </c>
      <c r="AX3019">
        <v>500</v>
      </c>
      <c r="BA3019">
        <v>1</v>
      </c>
      <c r="BC3019" t="s">
        <v>6140</v>
      </c>
      <c r="BD3019" s="4">
        <v>43283.021527777775</v>
      </c>
      <c r="BE3019" s="4">
        <v>43283.026076388887</v>
      </c>
      <c r="BF3019" s="4">
        <v>43283.026076388887</v>
      </c>
      <c r="BG3019" t="s">
        <v>83</v>
      </c>
      <c r="BH3019" t="s">
        <v>84</v>
      </c>
      <c r="BI3019" t="s">
        <v>85</v>
      </c>
    </row>
    <row r="3020" spans="1:61" x14ac:dyDescent="0.3">
      <c r="A3020" t="str">
        <f>"200506B0100"</f>
        <v>200506B0100</v>
      </c>
      <c r="B3020" t="s">
        <v>6141</v>
      </c>
      <c r="C3020">
        <v>20</v>
      </c>
      <c r="D3020" t="s">
        <v>79</v>
      </c>
      <c r="E3020">
        <v>14</v>
      </c>
      <c r="F3020" t="s">
        <v>5455</v>
      </c>
      <c r="G3020">
        <v>506</v>
      </c>
      <c r="H3020">
        <v>1</v>
      </c>
      <c r="I3020" t="s">
        <v>81</v>
      </c>
      <c r="J3020">
        <v>0</v>
      </c>
      <c r="K3020">
        <v>1</v>
      </c>
      <c r="L3020">
        <v>2</v>
      </c>
      <c r="M3020">
        <v>183</v>
      </c>
      <c r="N3020">
        <v>348</v>
      </c>
      <c r="O3020">
        <v>8</v>
      </c>
      <c r="P3020">
        <v>356</v>
      </c>
      <c r="Q3020">
        <v>35</v>
      </c>
      <c r="R3020">
        <v>32</v>
      </c>
      <c r="S3020">
        <v>5</v>
      </c>
      <c r="T3020">
        <v>13</v>
      </c>
      <c r="U3020">
        <v>17</v>
      </c>
      <c r="V3020">
        <v>8</v>
      </c>
      <c r="W3020">
        <v>9</v>
      </c>
      <c r="X3020">
        <v>3</v>
      </c>
      <c r="Y3020">
        <v>202</v>
      </c>
      <c r="Z3020">
        <v>8</v>
      </c>
      <c r="AA3020">
        <v>3</v>
      </c>
      <c r="AB3020">
        <v>5</v>
      </c>
      <c r="AC3020">
        <v>0</v>
      </c>
      <c r="AD3020">
        <v>0</v>
      </c>
      <c r="AE3020">
        <v>0</v>
      </c>
      <c r="AF3020">
        <v>0</v>
      </c>
      <c r="AK3020">
        <v>8</v>
      </c>
      <c r="AL3020">
        <v>0</v>
      </c>
      <c r="AM3020">
        <v>0</v>
      </c>
      <c r="AN3020">
        <v>0</v>
      </c>
      <c r="AT3020">
        <v>0</v>
      </c>
      <c r="AU3020">
        <v>7</v>
      </c>
      <c r="AV3020">
        <v>356</v>
      </c>
      <c r="AW3020">
        <v>355</v>
      </c>
      <c r="AX3020">
        <v>518</v>
      </c>
      <c r="BA3020">
        <v>1</v>
      </c>
      <c r="BC3020" t="s">
        <v>6142</v>
      </c>
      <c r="BD3020" s="4">
        <v>43283.006249999999</v>
      </c>
      <c r="BE3020" s="4">
        <v>43283.01425925926</v>
      </c>
      <c r="BF3020" s="4">
        <v>43283.01425925926</v>
      </c>
      <c r="BG3020" t="s">
        <v>83</v>
      </c>
      <c r="BH3020" t="s">
        <v>84</v>
      </c>
      <c r="BI3020" t="s">
        <v>85</v>
      </c>
    </row>
    <row r="3021" spans="1:61" x14ac:dyDescent="0.3">
      <c r="A3021" t="str">
        <f>"200506C0100"</f>
        <v>200506C0100</v>
      </c>
      <c r="B3021" t="s">
        <v>6143</v>
      </c>
      <c r="C3021">
        <v>20</v>
      </c>
      <c r="D3021" t="s">
        <v>79</v>
      </c>
      <c r="E3021">
        <v>14</v>
      </c>
      <c r="F3021" t="s">
        <v>5455</v>
      </c>
      <c r="G3021">
        <v>506</v>
      </c>
      <c r="H3021">
        <v>1</v>
      </c>
      <c r="I3021" t="s">
        <v>89</v>
      </c>
      <c r="J3021">
        <v>0</v>
      </c>
      <c r="K3021">
        <v>1</v>
      </c>
      <c r="L3021">
        <v>2</v>
      </c>
      <c r="M3021">
        <v>173</v>
      </c>
      <c r="N3021" t="s">
        <v>100</v>
      </c>
      <c r="O3021" t="s">
        <v>100</v>
      </c>
      <c r="P3021" t="s">
        <v>100</v>
      </c>
      <c r="Q3021">
        <v>29</v>
      </c>
      <c r="R3021">
        <v>52</v>
      </c>
      <c r="S3021">
        <v>7</v>
      </c>
      <c r="T3021">
        <v>15</v>
      </c>
      <c r="U3021">
        <v>23</v>
      </c>
      <c r="V3021">
        <v>4</v>
      </c>
      <c r="W3021">
        <v>10</v>
      </c>
      <c r="X3021">
        <v>3</v>
      </c>
      <c r="Y3021">
        <v>182</v>
      </c>
      <c r="Z3021">
        <v>6</v>
      </c>
      <c r="AA3021">
        <v>2</v>
      </c>
      <c r="AB3021">
        <v>12</v>
      </c>
      <c r="AC3021">
        <v>1</v>
      </c>
      <c r="AD3021" t="s">
        <v>100</v>
      </c>
      <c r="AE3021" t="s">
        <v>100</v>
      </c>
      <c r="AF3021" t="s">
        <v>100</v>
      </c>
      <c r="AK3021">
        <v>3</v>
      </c>
      <c r="AL3021">
        <v>2</v>
      </c>
      <c r="AM3021" t="s">
        <v>100</v>
      </c>
      <c r="AN3021" t="s">
        <v>100</v>
      </c>
      <c r="AT3021" t="s">
        <v>100</v>
      </c>
      <c r="AU3021">
        <v>16</v>
      </c>
      <c r="AV3021">
        <v>367</v>
      </c>
      <c r="AW3021">
        <v>367</v>
      </c>
      <c r="AX3021">
        <v>518</v>
      </c>
      <c r="AZ3021" t="s">
        <v>101</v>
      </c>
      <c r="BA3021">
        <v>1</v>
      </c>
      <c r="BC3021" t="s">
        <v>6144</v>
      </c>
      <c r="BD3021" s="4">
        <v>43283.009722222225</v>
      </c>
      <c r="BE3021" s="4">
        <v>43283.01390046296</v>
      </c>
      <c r="BF3021" s="4">
        <v>43283.01390046296</v>
      </c>
      <c r="BG3021" t="s">
        <v>83</v>
      </c>
      <c r="BH3021" t="s">
        <v>84</v>
      </c>
      <c r="BI3021" t="s">
        <v>85</v>
      </c>
    </row>
    <row r="3022" spans="1:61" x14ac:dyDescent="0.3">
      <c r="A3022" t="str">
        <f>"200507B0100"</f>
        <v>200507B0100</v>
      </c>
      <c r="B3022" t="s">
        <v>6145</v>
      </c>
      <c r="C3022">
        <v>20</v>
      </c>
      <c r="D3022" t="s">
        <v>79</v>
      </c>
      <c r="E3022">
        <v>14</v>
      </c>
      <c r="F3022" t="s">
        <v>5455</v>
      </c>
      <c r="G3022">
        <v>507</v>
      </c>
      <c r="H3022">
        <v>1</v>
      </c>
      <c r="I3022" t="s">
        <v>81</v>
      </c>
      <c r="J3022">
        <v>0</v>
      </c>
      <c r="K3022">
        <v>1</v>
      </c>
      <c r="L3022">
        <v>2</v>
      </c>
      <c r="AX3022">
        <v>544</v>
      </c>
      <c r="AZ3022" t="s">
        <v>156</v>
      </c>
      <c r="BA3022">
        <v>0</v>
      </c>
      <c r="BC3022" t="s">
        <v>6146</v>
      </c>
      <c r="BD3022" s="4">
        <v>43283.794444444444</v>
      </c>
      <c r="BE3022" s="4">
        <v>43283.798587962963</v>
      </c>
      <c r="BF3022" s="4">
        <v>43283.798587962963</v>
      </c>
      <c r="BG3022" t="s">
        <v>83</v>
      </c>
      <c r="BH3022" t="s">
        <v>84</v>
      </c>
      <c r="BI3022" t="s">
        <v>85</v>
      </c>
    </row>
    <row r="3023" spans="1:61" x14ac:dyDescent="0.3">
      <c r="A3023" t="str">
        <f>"200507C0100"</f>
        <v>200507C0100</v>
      </c>
      <c r="B3023" t="s">
        <v>6147</v>
      </c>
      <c r="C3023">
        <v>20</v>
      </c>
      <c r="D3023" t="s">
        <v>79</v>
      </c>
      <c r="E3023">
        <v>14</v>
      </c>
      <c r="F3023" t="s">
        <v>5455</v>
      </c>
      <c r="G3023">
        <v>507</v>
      </c>
      <c r="H3023">
        <v>1</v>
      </c>
      <c r="I3023" t="s">
        <v>89</v>
      </c>
      <c r="J3023">
        <v>0</v>
      </c>
      <c r="K3023">
        <v>1</v>
      </c>
      <c r="L3023">
        <v>2</v>
      </c>
      <c r="AX3023">
        <v>543</v>
      </c>
      <c r="AZ3023" t="s">
        <v>156</v>
      </c>
      <c r="BA3023">
        <v>0</v>
      </c>
      <c r="BC3023" t="s">
        <v>6148</v>
      </c>
      <c r="BD3023" s="4">
        <v>43283.786111111112</v>
      </c>
      <c r="BE3023" s="4">
        <v>43283.792627314811</v>
      </c>
      <c r="BF3023" s="4">
        <v>43283.792627314811</v>
      </c>
      <c r="BG3023" t="s">
        <v>83</v>
      </c>
      <c r="BH3023" t="s">
        <v>84</v>
      </c>
      <c r="BI3023" t="s">
        <v>85</v>
      </c>
    </row>
    <row r="3024" spans="1:61" x14ac:dyDescent="0.3">
      <c r="A3024" t="str">
        <f>"200507C0200"</f>
        <v>200507C0200</v>
      </c>
      <c r="B3024" t="s">
        <v>6149</v>
      </c>
      <c r="C3024">
        <v>20</v>
      </c>
      <c r="D3024" t="s">
        <v>79</v>
      </c>
      <c r="E3024">
        <v>14</v>
      </c>
      <c r="F3024" t="s">
        <v>5455</v>
      </c>
      <c r="G3024">
        <v>507</v>
      </c>
      <c r="H3024">
        <v>2</v>
      </c>
      <c r="I3024" t="s">
        <v>89</v>
      </c>
      <c r="J3024">
        <v>0</v>
      </c>
      <c r="K3024">
        <v>1</v>
      </c>
      <c r="L3024">
        <v>2</v>
      </c>
      <c r="M3024">
        <v>165</v>
      </c>
      <c r="N3024">
        <v>398</v>
      </c>
      <c r="O3024">
        <v>4</v>
      </c>
      <c r="P3024">
        <v>398</v>
      </c>
      <c r="Q3024">
        <v>64</v>
      </c>
      <c r="R3024">
        <v>70</v>
      </c>
      <c r="S3024">
        <v>4</v>
      </c>
      <c r="T3024">
        <v>23</v>
      </c>
      <c r="U3024">
        <v>14</v>
      </c>
      <c r="V3024">
        <v>7</v>
      </c>
      <c r="W3024">
        <v>3</v>
      </c>
      <c r="X3024">
        <v>5</v>
      </c>
      <c r="Y3024">
        <v>163</v>
      </c>
      <c r="Z3024">
        <v>6</v>
      </c>
      <c r="AA3024">
        <v>2</v>
      </c>
      <c r="AB3024">
        <v>11</v>
      </c>
      <c r="AC3024">
        <v>4</v>
      </c>
      <c r="AD3024">
        <v>0</v>
      </c>
      <c r="AE3024">
        <v>0</v>
      </c>
      <c r="AF3024">
        <v>0</v>
      </c>
      <c r="AK3024">
        <v>9</v>
      </c>
      <c r="AL3024">
        <v>0</v>
      </c>
      <c r="AM3024">
        <v>0</v>
      </c>
      <c r="AN3024">
        <v>0</v>
      </c>
      <c r="AT3024">
        <v>0</v>
      </c>
      <c r="AU3024">
        <v>13</v>
      </c>
      <c r="AV3024">
        <v>398</v>
      </c>
      <c r="AW3024">
        <v>398</v>
      </c>
      <c r="AX3024">
        <v>543</v>
      </c>
      <c r="BA3024">
        <v>1</v>
      </c>
      <c r="BC3024" t="s">
        <v>6150</v>
      </c>
      <c r="BD3024" s="4">
        <v>43283.165277777778</v>
      </c>
      <c r="BE3024" s="4">
        <v>43283.177916666667</v>
      </c>
      <c r="BF3024" s="4">
        <v>43283.177916666667</v>
      </c>
      <c r="BG3024" t="s">
        <v>83</v>
      </c>
      <c r="BH3024" t="s">
        <v>84</v>
      </c>
      <c r="BI3024" t="s">
        <v>85</v>
      </c>
    </row>
    <row r="3025" spans="1:61" x14ac:dyDescent="0.3">
      <c r="A3025" t="str">
        <f>"200508B0100"</f>
        <v>200508B0100</v>
      </c>
      <c r="B3025" t="s">
        <v>6151</v>
      </c>
      <c r="C3025">
        <v>20</v>
      </c>
      <c r="D3025" t="s">
        <v>79</v>
      </c>
      <c r="E3025">
        <v>14</v>
      </c>
      <c r="F3025" t="s">
        <v>5455</v>
      </c>
      <c r="G3025">
        <v>508</v>
      </c>
      <c r="H3025">
        <v>1</v>
      </c>
      <c r="I3025" t="s">
        <v>81</v>
      </c>
      <c r="J3025">
        <v>0</v>
      </c>
      <c r="K3025">
        <v>1</v>
      </c>
      <c r="L3025">
        <v>2</v>
      </c>
      <c r="M3025">
        <v>195</v>
      </c>
      <c r="N3025">
        <v>418</v>
      </c>
      <c r="O3025">
        <v>5</v>
      </c>
      <c r="P3025">
        <v>419</v>
      </c>
      <c r="Q3025">
        <v>79</v>
      </c>
      <c r="R3025">
        <v>80</v>
      </c>
      <c r="S3025">
        <v>7</v>
      </c>
      <c r="T3025">
        <v>19</v>
      </c>
      <c r="U3025">
        <v>6</v>
      </c>
      <c r="V3025">
        <v>3</v>
      </c>
      <c r="W3025">
        <v>5</v>
      </c>
      <c r="X3025">
        <v>8</v>
      </c>
      <c r="Y3025">
        <v>171</v>
      </c>
      <c r="Z3025">
        <v>3</v>
      </c>
      <c r="AA3025">
        <v>2</v>
      </c>
      <c r="AB3025">
        <v>12</v>
      </c>
      <c r="AC3025">
        <v>5</v>
      </c>
      <c r="AD3025">
        <v>0</v>
      </c>
      <c r="AE3025">
        <v>0</v>
      </c>
      <c r="AF3025">
        <v>0</v>
      </c>
      <c r="AK3025">
        <v>4</v>
      </c>
      <c r="AL3025">
        <v>4</v>
      </c>
      <c r="AM3025">
        <v>0</v>
      </c>
      <c r="AN3025">
        <v>0</v>
      </c>
      <c r="AT3025">
        <v>0</v>
      </c>
      <c r="AU3025">
        <v>11</v>
      </c>
      <c r="AV3025">
        <v>419</v>
      </c>
      <c r="AW3025">
        <v>419</v>
      </c>
      <c r="AX3025">
        <v>592</v>
      </c>
      <c r="BA3025">
        <v>1</v>
      </c>
      <c r="BC3025" t="s">
        <v>6152</v>
      </c>
      <c r="BD3025" s="4">
        <v>43283.172222222223</v>
      </c>
      <c r="BE3025" s="4">
        <v>43283.186874999999</v>
      </c>
      <c r="BF3025" s="4">
        <v>43283.186874999999</v>
      </c>
      <c r="BG3025" t="s">
        <v>83</v>
      </c>
      <c r="BH3025" t="s">
        <v>84</v>
      </c>
      <c r="BI3025" t="s">
        <v>85</v>
      </c>
    </row>
    <row r="3026" spans="1:61" x14ac:dyDescent="0.3">
      <c r="A3026" t="str">
        <f>"200508C0100"</f>
        <v>200508C0100</v>
      </c>
      <c r="B3026" t="s">
        <v>6153</v>
      </c>
      <c r="C3026">
        <v>20</v>
      </c>
      <c r="D3026" t="s">
        <v>79</v>
      </c>
      <c r="E3026">
        <v>14</v>
      </c>
      <c r="F3026" t="s">
        <v>5455</v>
      </c>
      <c r="G3026">
        <v>508</v>
      </c>
      <c r="H3026">
        <v>1</v>
      </c>
      <c r="I3026" t="s">
        <v>89</v>
      </c>
      <c r="J3026">
        <v>0</v>
      </c>
      <c r="K3026">
        <v>1</v>
      </c>
      <c r="L3026">
        <v>2</v>
      </c>
      <c r="AX3026">
        <v>591</v>
      </c>
      <c r="AZ3026" t="s">
        <v>156</v>
      </c>
      <c r="BA3026">
        <v>0</v>
      </c>
      <c r="BC3026" t="s">
        <v>6154</v>
      </c>
      <c r="BD3026" s="4">
        <v>43283.795138888891</v>
      </c>
      <c r="BE3026" s="4">
        <v>43283.799814814818</v>
      </c>
      <c r="BF3026" s="4">
        <v>43283.799814814818</v>
      </c>
      <c r="BG3026" t="s">
        <v>83</v>
      </c>
      <c r="BH3026" t="s">
        <v>84</v>
      </c>
      <c r="BI3026" t="s">
        <v>85</v>
      </c>
    </row>
    <row r="3027" spans="1:61" x14ac:dyDescent="0.3">
      <c r="A3027" t="str">
        <f>"200509B0100"</f>
        <v>200509B0100</v>
      </c>
      <c r="B3027" t="s">
        <v>6155</v>
      </c>
      <c r="C3027">
        <v>20</v>
      </c>
      <c r="D3027" t="s">
        <v>79</v>
      </c>
      <c r="E3027">
        <v>14</v>
      </c>
      <c r="F3027" t="s">
        <v>5455</v>
      </c>
      <c r="G3027">
        <v>509</v>
      </c>
      <c r="H3027">
        <v>1</v>
      </c>
      <c r="I3027" t="s">
        <v>81</v>
      </c>
      <c r="J3027">
        <v>0</v>
      </c>
      <c r="K3027">
        <v>1</v>
      </c>
      <c r="L3027">
        <v>2</v>
      </c>
      <c r="M3027">
        <v>206</v>
      </c>
      <c r="N3027">
        <v>490</v>
      </c>
      <c r="O3027">
        <v>8</v>
      </c>
      <c r="P3027">
        <v>488</v>
      </c>
      <c r="Q3027">
        <v>77</v>
      </c>
      <c r="R3027">
        <v>89</v>
      </c>
      <c r="S3027">
        <v>12</v>
      </c>
      <c r="T3027">
        <v>26</v>
      </c>
      <c r="U3027">
        <v>4</v>
      </c>
      <c r="V3027">
        <v>11</v>
      </c>
      <c r="W3027">
        <v>7</v>
      </c>
      <c r="X3027">
        <v>5</v>
      </c>
      <c r="Y3027">
        <v>195</v>
      </c>
      <c r="Z3027">
        <v>10</v>
      </c>
      <c r="AA3027">
        <v>2</v>
      </c>
      <c r="AB3027">
        <v>17</v>
      </c>
      <c r="AC3027">
        <v>2</v>
      </c>
      <c r="AD3027">
        <v>0</v>
      </c>
      <c r="AE3027">
        <v>1</v>
      </c>
      <c r="AF3027">
        <v>0</v>
      </c>
      <c r="AK3027">
        <v>5</v>
      </c>
      <c r="AL3027">
        <v>2</v>
      </c>
      <c r="AM3027">
        <v>0</v>
      </c>
      <c r="AN3027">
        <v>2</v>
      </c>
      <c r="AT3027">
        <v>1</v>
      </c>
      <c r="AU3027">
        <v>20</v>
      </c>
      <c r="AV3027">
        <v>488</v>
      </c>
      <c r="AW3027">
        <v>488</v>
      </c>
      <c r="AX3027">
        <v>674</v>
      </c>
      <c r="BA3027">
        <v>1</v>
      </c>
      <c r="BC3027" t="s">
        <v>6156</v>
      </c>
      <c r="BD3027" s="4">
        <v>43283.272916666669</v>
      </c>
      <c r="BE3027" s="4">
        <v>43283.299687500003</v>
      </c>
      <c r="BF3027" s="4">
        <v>43283.299687500003</v>
      </c>
      <c r="BG3027" t="s">
        <v>83</v>
      </c>
      <c r="BH3027" t="s">
        <v>84</v>
      </c>
      <c r="BI3027" t="s">
        <v>85</v>
      </c>
    </row>
    <row r="3028" spans="1:61" x14ac:dyDescent="0.3">
      <c r="A3028" t="str">
        <f>"200509C0100"</f>
        <v>200509C0100</v>
      </c>
      <c r="B3028" t="s">
        <v>6157</v>
      </c>
      <c r="C3028">
        <v>20</v>
      </c>
      <c r="D3028" t="s">
        <v>79</v>
      </c>
      <c r="E3028">
        <v>14</v>
      </c>
      <c r="F3028" t="s">
        <v>5455</v>
      </c>
      <c r="G3028">
        <v>509</v>
      </c>
      <c r="H3028">
        <v>1</v>
      </c>
      <c r="I3028" t="s">
        <v>89</v>
      </c>
      <c r="J3028">
        <v>0</v>
      </c>
      <c r="K3028">
        <v>1</v>
      </c>
      <c r="L3028">
        <v>2</v>
      </c>
      <c r="M3028">
        <v>217</v>
      </c>
      <c r="N3028">
        <v>479</v>
      </c>
      <c r="O3028">
        <v>9</v>
      </c>
      <c r="P3028">
        <v>481</v>
      </c>
      <c r="Q3028">
        <v>84</v>
      </c>
      <c r="R3028">
        <v>83</v>
      </c>
      <c r="S3028">
        <v>7</v>
      </c>
      <c r="T3028">
        <v>15</v>
      </c>
      <c r="U3028">
        <v>14</v>
      </c>
      <c r="V3028">
        <v>8</v>
      </c>
      <c r="W3028">
        <v>7</v>
      </c>
      <c r="X3028">
        <v>13</v>
      </c>
      <c r="Y3028">
        <v>200</v>
      </c>
      <c r="Z3028">
        <v>6</v>
      </c>
      <c r="AA3028">
        <v>3</v>
      </c>
      <c r="AB3028">
        <v>16</v>
      </c>
      <c r="AC3028">
        <v>1</v>
      </c>
      <c r="AD3028">
        <v>1</v>
      </c>
      <c r="AE3028">
        <v>0</v>
      </c>
      <c r="AF3028">
        <v>0</v>
      </c>
      <c r="AK3028">
        <v>5</v>
      </c>
      <c r="AL3028">
        <v>1</v>
      </c>
      <c r="AM3028">
        <v>0</v>
      </c>
      <c r="AN3028">
        <v>0</v>
      </c>
      <c r="AT3028">
        <v>2</v>
      </c>
      <c r="AU3028">
        <v>14</v>
      </c>
      <c r="AV3028">
        <v>479</v>
      </c>
      <c r="AW3028">
        <v>480</v>
      </c>
      <c r="AX3028">
        <v>673</v>
      </c>
      <c r="BA3028">
        <v>1</v>
      </c>
      <c r="BC3028" t="s">
        <v>6158</v>
      </c>
      <c r="BD3028" s="4">
        <v>43283.43472222222</v>
      </c>
      <c r="BE3028" s="4">
        <v>43283.438379629632</v>
      </c>
      <c r="BF3028" s="4">
        <v>43283.438379629632</v>
      </c>
      <c r="BG3028" t="s">
        <v>83</v>
      </c>
      <c r="BH3028" t="s">
        <v>84</v>
      </c>
      <c r="BI3028" t="s">
        <v>85</v>
      </c>
    </row>
    <row r="3029" spans="1:61" x14ac:dyDescent="0.3">
      <c r="A3029" t="str">
        <f>"200509S0100"</f>
        <v>200509S0100</v>
      </c>
      <c r="B3029" t="s">
        <v>6159</v>
      </c>
      <c r="C3029">
        <v>20</v>
      </c>
      <c r="D3029" t="s">
        <v>79</v>
      </c>
      <c r="E3029">
        <v>14</v>
      </c>
      <c r="F3029" t="s">
        <v>5455</v>
      </c>
      <c r="G3029">
        <v>509</v>
      </c>
      <c r="H3029">
        <v>1</v>
      </c>
      <c r="I3029" t="s">
        <v>104</v>
      </c>
      <c r="J3029">
        <v>0</v>
      </c>
      <c r="K3029">
        <v>1</v>
      </c>
      <c r="L3029">
        <v>3</v>
      </c>
      <c r="M3029">
        <v>402</v>
      </c>
      <c r="N3029">
        <v>10</v>
      </c>
      <c r="O3029">
        <v>0</v>
      </c>
      <c r="P3029">
        <v>10</v>
      </c>
      <c r="Q3029">
        <v>0</v>
      </c>
      <c r="R3029">
        <v>4</v>
      </c>
      <c r="S3029">
        <v>0</v>
      </c>
      <c r="T3029">
        <v>1</v>
      </c>
      <c r="U3029">
        <v>0</v>
      </c>
      <c r="V3029">
        <v>0</v>
      </c>
      <c r="W3029">
        <v>0</v>
      </c>
      <c r="X3029">
        <v>0</v>
      </c>
      <c r="Y3029">
        <v>5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K3029">
        <v>0</v>
      </c>
      <c r="AL3029">
        <v>0</v>
      </c>
      <c r="AM3029">
        <v>0</v>
      </c>
      <c r="AN3029">
        <v>0</v>
      </c>
      <c r="AT3029">
        <v>0</v>
      </c>
      <c r="AU3029">
        <v>0</v>
      </c>
      <c r="AV3029">
        <v>10</v>
      </c>
      <c r="AW3029">
        <v>10</v>
      </c>
      <c r="AX3029">
        <v>0</v>
      </c>
      <c r="BA3029">
        <v>1</v>
      </c>
      <c r="BC3029" t="s">
        <v>6160</v>
      </c>
      <c r="BD3029" s="4">
        <v>43283.275694444441</v>
      </c>
      <c r="BE3029" s="4">
        <v>43283.303437499999</v>
      </c>
      <c r="BF3029" s="4">
        <v>43283.303437499999</v>
      </c>
      <c r="BG3029" t="s">
        <v>83</v>
      </c>
      <c r="BH3029" t="s">
        <v>84</v>
      </c>
      <c r="BI3029" t="s">
        <v>85</v>
      </c>
    </row>
    <row r="3030" spans="1:61" x14ac:dyDescent="0.3">
      <c r="A3030" t="str">
        <f>"200509S0200"</f>
        <v>200509S0200</v>
      </c>
      <c r="B3030" t="s">
        <v>6161</v>
      </c>
      <c r="C3030">
        <v>20</v>
      </c>
      <c r="D3030" t="s">
        <v>79</v>
      </c>
      <c r="E3030">
        <v>14</v>
      </c>
      <c r="F3030" t="s">
        <v>5455</v>
      </c>
      <c r="G3030">
        <v>509</v>
      </c>
      <c r="H3030">
        <v>2</v>
      </c>
      <c r="I3030" t="s">
        <v>104</v>
      </c>
      <c r="J3030">
        <v>0</v>
      </c>
      <c r="K3030">
        <v>1</v>
      </c>
      <c r="L3030">
        <v>3</v>
      </c>
      <c r="M3030">
        <v>198</v>
      </c>
      <c r="N3030">
        <v>77</v>
      </c>
      <c r="O3030">
        <v>0</v>
      </c>
      <c r="P3030">
        <v>77</v>
      </c>
      <c r="Q3030">
        <v>11</v>
      </c>
      <c r="R3030">
        <v>14</v>
      </c>
      <c r="S3030">
        <v>1</v>
      </c>
      <c r="T3030">
        <v>2</v>
      </c>
      <c r="U3030">
        <v>4</v>
      </c>
      <c r="V3030">
        <v>0</v>
      </c>
      <c r="W3030">
        <v>1</v>
      </c>
      <c r="X3030">
        <v>2</v>
      </c>
      <c r="Y3030">
        <v>34</v>
      </c>
      <c r="Z3030">
        <v>1</v>
      </c>
      <c r="AA3030">
        <v>0</v>
      </c>
      <c r="AB3030">
        <v>2</v>
      </c>
      <c r="AC3030">
        <v>1</v>
      </c>
      <c r="AD3030">
        <v>0</v>
      </c>
      <c r="AE3030">
        <v>0</v>
      </c>
      <c r="AF3030">
        <v>0</v>
      </c>
      <c r="AK3030">
        <v>1</v>
      </c>
      <c r="AL3030">
        <v>0</v>
      </c>
      <c r="AM3030">
        <v>0</v>
      </c>
      <c r="AN3030">
        <v>0</v>
      </c>
      <c r="AT3030">
        <v>0</v>
      </c>
      <c r="AU3030">
        <v>3</v>
      </c>
      <c r="AV3030">
        <v>77</v>
      </c>
      <c r="AW3030">
        <v>77</v>
      </c>
      <c r="AX3030">
        <v>0</v>
      </c>
      <c r="BA3030">
        <v>1</v>
      </c>
      <c r="BC3030" t="s">
        <v>6162</v>
      </c>
      <c r="BD3030" s="4">
        <v>43283.292361111111</v>
      </c>
      <c r="BE3030" s="4">
        <v>43283.339733796296</v>
      </c>
      <c r="BF3030" s="4">
        <v>43283.339733796296</v>
      </c>
      <c r="BG3030" t="s">
        <v>83</v>
      </c>
      <c r="BH3030" t="s">
        <v>84</v>
      </c>
      <c r="BI3030" t="s">
        <v>85</v>
      </c>
    </row>
    <row r="3031" spans="1:61" x14ac:dyDescent="0.3">
      <c r="A3031" t="str">
        <f>"200510B0100"</f>
        <v>200510B0100</v>
      </c>
      <c r="B3031" t="s">
        <v>6163</v>
      </c>
      <c r="C3031">
        <v>20</v>
      </c>
      <c r="D3031" t="s">
        <v>79</v>
      </c>
      <c r="E3031">
        <v>14</v>
      </c>
      <c r="F3031" t="s">
        <v>5455</v>
      </c>
      <c r="G3031">
        <v>510</v>
      </c>
      <c r="H3031">
        <v>1</v>
      </c>
      <c r="I3031" t="s">
        <v>81</v>
      </c>
      <c r="J3031">
        <v>0</v>
      </c>
      <c r="K3031">
        <v>1</v>
      </c>
      <c r="L3031">
        <v>2</v>
      </c>
      <c r="M3031">
        <v>191</v>
      </c>
      <c r="N3031">
        <v>490</v>
      </c>
      <c r="O3031">
        <v>10</v>
      </c>
      <c r="P3031">
        <v>490</v>
      </c>
      <c r="Q3031">
        <v>90</v>
      </c>
      <c r="R3031">
        <v>98</v>
      </c>
      <c r="S3031">
        <v>9</v>
      </c>
      <c r="T3031">
        <v>19</v>
      </c>
      <c r="U3031">
        <v>15</v>
      </c>
      <c r="V3031">
        <v>8</v>
      </c>
      <c r="W3031">
        <v>12</v>
      </c>
      <c r="X3031">
        <v>9</v>
      </c>
      <c r="Y3031">
        <v>177</v>
      </c>
      <c r="Z3031">
        <v>7</v>
      </c>
      <c r="AA3031">
        <v>4</v>
      </c>
      <c r="AB3031">
        <v>12</v>
      </c>
      <c r="AC3031">
        <v>1</v>
      </c>
      <c r="AD3031">
        <v>3</v>
      </c>
      <c r="AE3031">
        <v>1</v>
      </c>
      <c r="AF3031">
        <v>0</v>
      </c>
      <c r="AK3031">
        <v>1</v>
      </c>
      <c r="AL3031">
        <v>2</v>
      </c>
      <c r="AM3031">
        <v>0</v>
      </c>
      <c r="AN3031">
        <v>0</v>
      </c>
      <c r="AT3031">
        <v>1</v>
      </c>
      <c r="AU3031">
        <v>21</v>
      </c>
      <c r="AV3031">
        <v>490</v>
      </c>
      <c r="AW3031">
        <v>490</v>
      </c>
      <c r="AX3031">
        <v>660</v>
      </c>
      <c r="BA3031">
        <v>1</v>
      </c>
      <c r="BC3031" t="s">
        <v>6164</v>
      </c>
      <c r="BD3031" s="4">
        <v>43283.11041666667</v>
      </c>
      <c r="BE3031" s="4">
        <v>43283.117662037039</v>
      </c>
      <c r="BF3031" s="4">
        <v>43283.117662037039</v>
      </c>
      <c r="BG3031" t="s">
        <v>83</v>
      </c>
      <c r="BH3031" t="s">
        <v>84</v>
      </c>
      <c r="BI3031" t="s">
        <v>85</v>
      </c>
    </row>
    <row r="3032" spans="1:61" x14ac:dyDescent="0.3">
      <c r="A3032" t="str">
        <f>"200510C0100"</f>
        <v>200510C0100</v>
      </c>
      <c r="B3032" t="s">
        <v>6165</v>
      </c>
      <c r="C3032">
        <v>20</v>
      </c>
      <c r="D3032" t="s">
        <v>79</v>
      </c>
      <c r="E3032">
        <v>14</v>
      </c>
      <c r="F3032" t="s">
        <v>5455</v>
      </c>
      <c r="G3032">
        <v>510</v>
      </c>
      <c r="H3032">
        <v>1</v>
      </c>
      <c r="I3032" t="s">
        <v>89</v>
      </c>
      <c r="J3032">
        <v>0</v>
      </c>
      <c r="K3032">
        <v>1</v>
      </c>
      <c r="L3032">
        <v>2</v>
      </c>
      <c r="M3032" t="s">
        <v>315</v>
      </c>
      <c r="N3032" t="s">
        <v>315</v>
      </c>
      <c r="O3032" t="s">
        <v>315</v>
      </c>
      <c r="P3032">
        <v>527</v>
      </c>
      <c r="Q3032">
        <v>80</v>
      </c>
      <c r="R3032">
        <v>103</v>
      </c>
      <c r="S3032">
        <v>5</v>
      </c>
      <c r="T3032">
        <v>19</v>
      </c>
      <c r="U3032">
        <v>13</v>
      </c>
      <c r="V3032">
        <v>5</v>
      </c>
      <c r="W3032">
        <v>13</v>
      </c>
      <c r="X3032">
        <v>12</v>
      </c>
      <c r="Y3032">
        <v>215</v>
      </c>
      <c r="Z3032">
        <v>9</v>
      </c>
      <c r="AA3032">
        <v>6</v>
      </c>
      <c r="AB3032">
        <v>10</v>
      </c>
      <c r="AC3032" t="s">
        <v>100</v>
      </c>
      <c r="AD3032" t="s">
        <v>100</v>
      </c>
      <c r="AE3032">
        <v>3</v>
      </c>
      <c r="AF3032" t="s">
        <v>100</v>
      </c>
      <c r="AK3032">
        <v>2</v>
      </c>
      <c r="AL3032" t="s">
        <v>100</v>
      </c>
      <c r="AM3032" t="s">
        <v>100</v>
      </c>
      <c r="AN3032" t="s">
        <v>100</v>
      </c>
      <c r="AT3032" t="s">
        <v>100</v>
      </c>
      <c r="AU3032">
        <v>25</v>
      </c>
      <c r="AV3032">
        <v>495</v>
      </c>
      <c r="AW3032">
        <v>520</v>
      </c>
      <c r="AX3032">
        <v>659</v>
      </c>
      <c r="AZ3032" t="s">
        <v>101</v>
      </c>
      <c r="BA3032">
        <v>1</v>
      </c>
      <c r="BC3032" t="s">
        <v>6166</v>
      </c>
      <c r="BD3032" s="4">
        <v>43283.115277777775</v>
      </c>
      <c r="BE3032" s="4">
        <v>43283.122361111113</v>
      </c>
      <c r="BF3032" s="4">
        <v>43283.122361111113</v>
      </c>
      <c r="BG3032" t="s">
        <v>83</v>
      </c>
      <c r="BH3032" t="s">
        <v>84</v>
      </c>
      <c r="BI3032" t="s">
        <v>85</v>
      </c>
    </row>
    <row r="3033" spans="1:61" x14ac:dyDescent="0.3">
      <c r="A3033" t="str">
        <f>"200511B0100"</f>
        <v>200511B0100</v>
      </c>
      <c r="B3033" t="s">
        <v>6167</v>
      </c>
      <c r="C3033">
        <v>20</v>
      </c>
      <c r="D3033" t="s">
        <v>79</v>
      </c>
      <c r="E3033">
        <v>14</v>
      </c>
      <c r="F3033" t="s">
        <v>5455</v>
      </c>
      <c r="G3033">
        <v>511</v>
      </c>
      <c r="H3033">
        <v>1</v>
      </c>
      <c r="I3033" t="s">
        <v>81</v>
      </c>
      <c r="J3033">
        <v>0</v>
      </c>
      <c r="K3033">
        <v>1</v>
      </c>
      <c r="L3033">
        <v>2</v>
      </c>
      <c r="M3033">
        <v>146</v>
      </c>
      <c r="N3033">
        <v>384</v>
      </c>
      <c r="O3033">
        <v>4</v>
      </c>
      <c r="P3033">
        <v>380</v>
      </c>
      <c r="Q3033">
        <v>67</v>
      </c>
      <c r="R3033">
        <v>82</v>
      </c>
      <c r="S3033">
        <v>8</v>
      </c>
      <c r="T3033">
        <v>8</v>
      </c>
      <c r="U3033">
        <v>11</v>
      </c>
      <c r="V3033">
        <v>7</v>
      </c>
      <c r="W3033">
        <v>5</v>
      </c>
      <c r="X3033">
        <v>13</v>
      </c>
      <c r="Y3033">
        <v>143</v>
      </c>
      <c r="Z3033">
        <v>6</v>
      </c>
      <c r="AA3033">
        <v>2</v>
      </c>
      <c r="AB3033">
        <v>9</v>
      </c>
      <c r="AC3033">
        <v>1</v>
      </c>
      <c r="AD3033">
        <v>0</v>
      </c>
      <c r="AE3033">
        <v>1</v>
      </c>
      <c r="AF3033">
        <v>0</v>
      </c>
      <c r="AK3033">
        <v>2</v>
      </c>
      <c r="AL3033">
        <v>0</v>
      </c>
      <c r="AM3033">
        <v>0</v>
      </c>
      <c r="AN3033">
        <v>0</v>
      </c>
      <c r="AT3033">
        <v>0</v>
      </c>
      <c r="AU3033">
        <v>15</v>
      </c>
      <c r="AV3033">
        <v>380</v>
      </c>
      <c r="AW3033">
        <v>380</v>
      </c>
      <c r="AX3033">
        <v>508</v>
      </c>
      <c r="BA3033">
        <v>1</v>
      </c>
      <c r="BC3033" t="s">
        <v>6168</v>
      </c>
      <c r="BD3033" s="4">
        <v>43282.995833333334</v>
      </c>
      <c r="BE3033" s="4">
        <v>43283.004282407404</v>
      </c>
      <c r="BF3033" s="4">
        <v>43283.004282407404</v>
      </c>
      <c r="BG3033" t="s">
        <v>83</v>
      </c>
      <c r="BH3033" t="s">
        <v>84</v>
      </c>
      <c r="BI3033" t="s">
        <v>85</v>
      </c>
    </row>
    <row r="3034" spans="1:61" x14ac:dyDescent="0.3">
      <c r="A3034" t="str">
        <f>"200511C0100"</f>
        <v>200511C0100</v>
      </c>
      <c r="B3034" t="s">
        <v>6169</v>
      </c>
      <c r="C3034">
        <v>20</v>
      </c>
      <c r="D3034" t="s">
        <v>79</v>
      </c>
      <c r="E3034">
        <v>14</v>
      </c>
      <c r="F3034" t="s">
        <v>5455</v>
      </c>
      <c r="G3034">
        <v>511</v>
      </c>
      <c r="H3034">
        <v>1</v>
      </c>
      <c r="I3034" t="s">
        <v>89</v>
      </c>
      <c r="J3034">
        <v>0</v>
      </c>
      <c r="K3034">
        <v>1</v>
      </c>
      <c r="L3034">
        <v>2</v>
      </c>
      <c r="M3034">
        <v>149</v>
      </c>
      <c r="N3034" t="s">
        <v>100</v>
      </c>
      <c r="O3034">
        <v>7</v>
      </c>
      <c r="P3034">
        <v>530</v>
      </c>
      <c r="Q3034">
        <v>73</v>
      </c>
      <c r="R3034">
        <v>67</v>
      </c>
      <c r="S3034">
        <v>6</v>
      </c>
      <c r="T3034">
        <v>11</v>
      </c>
      <c r="U3034">
        <v>25</v>
      </c>
      <c r="V3034">
        <v>4</v>
      </c>
      <c r="W3034">
        <v>4</v>
      </c>
      <c r="X3034">
        <v>11</v>
      </c>
      <c r="Y3034">
        <v>135</v>
      </c>
      <c r="Z3034">
        <v>5</v>
      </c>
      <c r="AA3034">
        <v>4</v>
      </c>
      <c r="AB3034">
        <v>17</v>
      </c>
      <c r="AC3034">
        <v>1</v>
      </c>
      <c r="AD3034">
        <v>3</v>
      </c>
      <c r="AE3034">
        <v>0</v>
      </c>
      <c r="AF3034">
        <v>0</v>
      </c>
      <c r="AK3034">
        <v>1</v>
      </c>
      <c r="AL3034">
        <v>0</v>
      </c>
      <c r="AM3034">
        <v>0</v>
      </c>
      <c r="AN3034">
        <v>1</v>
      </c>
      <c r="AT3034">
        <v>1</v>
      </c>
      <c r="AU3034">
        <v>13</v>
      </c>
      <c r="AV3034">
        <v>381</v>
      </c>
      <c r="AW3034">
        <v>382</v>
      </c>
      <c r="AX3034">
        <v>508</v>
      </c>
      <c r="BA3034">
        <v>1</v>
      </c>
      <c r="BC3034" t="s">
        <v>6170</v>
      </c>
      <c r="BD3034" s="4">
        <v>43282.997916666667</v>
      </c>
      <c r="BE3034" s="4">
        <v>43283.005196759259</v>
      </c>
      <c r="BF3034" s="4">
        <v>43283.005196759259</v>
      </c>
      <c r="BG3034" t="s">
        <v>83</v>
      </c>
      <c r="BH3034" t="s">
        <v>84</v>
      </c>
      <c r="BI3034" t="s">
        <v>85</v>
      </c>
    </row>
    <row r="3035" spans="1:61" x14ac:dyDescent="0.3">
      <c r="A3035" t="str">
        <f>"200511C0200"</f>
        <v>200511C0200</v>
      </c>
      <c r="B3035" t="s">
        <v>6171</v>
      </c>
      <c r="C3035">
        <v>20</v>
      </c>
      <c r="D3035" t="s">
        <v>79</v>
      </c>
      <c r="E3035">
        <v>14</v>
      </c>
      <c r="F3035" t="s">
        <v>5455</v>
      </c>
      <c r="G3035">
        <v>511</v>
      </c>
      <c r="H3035">
        <v>2</v>
      </c>
      <c r="I3035" t="s">
        <v>89</v>
      </c>
      <c r="J3035">
        <v>0</v>
      </c>
      <c r="K3035">
        <v>1</v>
      </c>
      <c r="L3035">
        <v>2</v>
      </c>
      <c r="M3035">
        <v>148</v>
      </c>
      <c r="N3035">
        <v>381</v>
      </c>
      <c r="O3035" t="s">
        <v>315</v>
      </c>
      <c r="P3035" t="s">
        <v>100</v>
      </c>
      <c r="Q3035">
        <v>63</v>
      </c>
      <c r="R3035">
        <v>80</v>
      </c>
      <c r="S3035">
        <v>7</v>
      </c>
      <c r="T3035">
        <v>12</v>
      </c>
      <c r="U3035">
        <v>12</v>
      </c>
      <c r="V3035">
        <v>11</v>
      </c>
      <c r="W3035">
        <v>3</v>
      </c>
      <c r="X3035">
        <v>2</v>
      </c>
      <c r="Y3035">
        <v>149</v>
      </c>
      <c r="Z3035">
        <v>6</v>
      </c>
      <c r="AA3035">
        <v>4</v>
      </c>
      <c r="AB3035">
        <v>10</v>
      </c>
      <c r="AC3035">
        <v>1</v>
      </c>
      <c r="AD3035">
        <v>0</v>
      </c>
      <c r="AE3035">
        <v>0</v>
      </c>
      <c r="AF3035">
        <v>0</v>
      </c>
      <c r="AK3035">
        <v>4</v>
      </c>
      <c r="AL3035">
        <v>0</v>
      </c>
      <c r="AM3035">
        <v>0</v>
      </c>
      <c r="AN3035">
        <v>0</v>
      </c>
      <c r="AT3035">
        <v>0</v>
      </c>
      <c r="AU3035">
        <v>18</v>
      </c>
      <c r="AV3035">
        <v>382</v>
      </c>
      <c r="AW3035">
        <v>382</v>
      </c>
      <c r="AX3035">
        <v>508</v>
      </c>
      <c r="BA3035">
        <v>1</v>
      </c>
      <c r="BC3035" t="s">
        <v>6172</v>
      </c>
      <c r="BD3035" s="4">
        <v>43282.992361111108</v>
      </c>
      <c r="BE3035" s="4">
        <v>43282.997256944444</v>
      </c>
      <c r="BF3035" s="4">
        <v>43282.997256944444</v>
      </c>
      <c r="BG3035" t="s">
        <v>83</v>
      </c>
      <c r="BH3035" t="s">
        <v>84</v>
      </c>
      <c r="BI3035" t="s">
        <v>85</v>
      </c>
    </row>
    <row r="3036" spans="1:61" x14ac:dyDescent="0.3">
      <c r="A3036" t="str">
        <f>"200512B0100"</f>
        <v>200512B0100</v>
      </c>
      <c r="B3036" t="s">
        <v>6173</v>
      </c>
      <c r="C3036">
        <v>20</v>
      </c>
      <c r="D3036" t="s">
        <v>79</v>
      </c>
      <c r="E3036">
        <v>14</v>
      </c>
      <c r="F3036" t="s">
        <v>5455</v>
      </c>
      <c r="G3036">
        <v>512</v>
      </c>
      <c r="H3036">
        <v>1</v>
      </c>
      <c r="I3036" t="s">
        <v>81</v>
      </c>
      <c r="J3036">
        <v>0</v>
      </c>
      <c r="K3036">
        <v>1</v>
      </c>
      <c r="L3036">
        <v>2</v>
      </c>
      <c r="M3036">
        <v>190</v>
      </c>
      <c r="N3036">
        <v>443</v>
      </c>
      <c r="O3036">
        <v>8</v>
      </c>
      <c r="P3036">
        <v>447</v>
      </c>
      <c r="Q3036">
        <v>72</v>
      </c>
      <c r="R3036">
        <v>82</v>
      </c>
      <c r="S3036">
        <v>9</v>
      </c>
      <c r="T3036">
        <v>12</v>
      </c>
      <c r="U3036">
        <v>19</v>
      </c>
      <c r="V3036">
        <v>5</v>
      </c>
      <c r="W3036">
        <v>8</v>
      </c>
      <c r="X3036">
        <v>10</v>
      </c>
      <c r="Y3036">
        <v>177</v>
      </c>
      <c r="Z3036">
        <v>6</v>
      </c>
      <c r="AA3036">
        <v>5</v>
      </c>
      <c r="AB3036">
        <v>13</v>
      </c>
      <c r="AC3036">
        <v>1</v>
      </c>
      <c r="AD3036">
        <v>1</v>
      </c>
      <c r="AE3036">
        <v>1</v>
      </c>
      <c r="AF3036">
        <v>0</v>
      </c>
      <c r="AK3036">
        <v>2</v>
      </c>
      <c r="AL3036">
        <v>1</v>
      </c>
      <c r="AM3036">
        <v>0</v>
      </c>
      <c r="AN3036">
        <v>0</v>
      </c>
      <c r="AT3036" t="s">
        <v>100</v>
      </c>
      <c r="AU3036">
        <v>23</v>
      </c>
      <c r="AV3036">
        <v>447</v>
      </c>
      <c r="AW3036">
        <v>447</v>
      </c>
      <c r="AX3036">
        <v>612</v>
      </c>
      <c r="AZ3036" t="s">
        <v>101</v>
      </c>
      <c r="BA3036">
        <v>1</v>
      </c>
      <c r="BC3036" t="s">
        <v>6174</v>
      </c>
      <c r="BD3036" s="4">
        <v>43283.05</v>
      </c>
      <c r="BE3036" s="4">
        <v>43283.0547337963</v>
      </c>
      <c r="BF3036" s="4">
        <v>43283.0547337963</v>
      </c>
      <c r="BG3036" t="s">
        <v>83</v>
      </c>
      <c r="BH3036" t="s">
        <v>84</v>
      </c>
      <c r="BI3036" t="s">
        <v>85</v>
      </c>
    </row>
    <row r="3037" spans="1:61" x14ac:dyDescent="0.3">
      <c r="A3037" t="str">
        <f>"200512C0100"</f>
        <v>200512C0100</v>
      </c>
      <c r="B3037" t="s">
        <v>6175</v>
      </c>
      <c r="C3037">
        <v>20</v>
      </c>
      <c r="D3037" t="s">
        <v>79</v>
      </c>
      <c r="E3037">
        <v>14</v>
      </c>
      <c r="F3037" t="s">
        <v>5455</v>
      </c>
      <c r="G3037">
        <v>512</v>
      </c>
      <c r="H3037">
        <v>1</v>
      </c>
      <c r="I3037" t="s">
        <v>89</v>
      </c>
      <c r="J3037">
        <v>0</v>
      </c>
      <c r="K3037">
        <v>1</v>
      </c>
      <c r="L3037">
        <v>2</v>
      </c>
      <c r="M3037">
        <v>193</v>
      </c>
      <c r="N3037">
        <v>440</v>
      </c>
      <c r="O3037">
        <v>3</v>
      </c>
      <c r="P3037">
        <v>436</v>
      </c>
      <c r="Q3037">
        <v>62</v>
      </c>
      <c r="R3037">
        <v>85</v>
      </c>
      <c r="S3037">
        <v>3</v>
      </c>
      <c r="T3037">
        <v>26</v>
      </c>
      <c r="U3037">
        <v>23</v>
      </c>
      <c r="V3037">
        <v>6</v>
      </c>
      <c r="W3037">
        <v>10</v>
      </c>
      <c r="X3037">
        <v>9</v>
      </c>
      <c r="Y3037">
        <v>161</v>
      </c>
      <c r="Z3037">
        <v>5</v>
      </c>
      <c r="AA3037">
        <v>5</v>
      </c>
      <c r="AB3037">
        <v>13</v>
      </c>
      <c r="AC3037">
        <v>1</v>
      </c>
      <c r="AD3037">
        <v>1</v>
      </c>
      <c r="AE3037">
        <v>0</v>
      </c>
      <c r="AF3037">
        <v>0</v>
      </c>
      <c r="AK3037">
        <v>5</v>
      </c>
      <c r="AL3037">
        <v>1</v>
      </c>
      <c r="AM3037">
        <v>0</v>
      </c>
      <c r="AN3037">
        <v>0</v>
      </c>
      <c r="AT3037">
        <v>0</v>
      </c>
      <c r="AU3037">
        <v>20</v>
      </c>
      <c r="AV3037">
        <v>436</v>
      </c>
      <c r="AW3037">
        <v>436</v>
      </c>
      <c r="AX3037">
        <v>611</v>
      </c>
      <c r="BA3037">
        <v>1</v>
      </c>
      <c r="BC3037" t="s">
        <v>6176</v>
      </c>
      <c r="BD3037" s="4">
        <v>43283.04583333333</v>
      </c>
      <c r="BE3037" s="4">
        <v>43283.051701388889</v>
      </c>
      <c r="BF3037" s="4">
        <v>43283.051701388889</v>
      </c>
      <c r="BG3037" t="s">
        <v>83</v>
      </c>
      <c r="BH3037" t="s">
        <v>84</v>
      </c>
      <c r="BI3037" t="s">
        <v>85</v>
      </c>
    </row>
    <row r="3038" spans="1:61" x14ac:dyDescent="0.3">
      <c r="A3038" t="str">
        <f>"200513B0100"</f>
        <v>200513B0100</v>
      </c>
      <c r="B3038" t="s">
        <v>6177</v>
      </c>
      <c r="C3038">
        <v>20</v>
      </c>
      <c r="D3038" t="s">
        <v>79</v>
      </c>
      <c r="E3038">
        <v>14</v>
      </c>
      <c r="F3038" t="s">
        <v>5455</v>
      </c>
      <c r="G3038">
        <v>513</v>
      </c>
      <c r="H3038">
        <v>1</v>
      </c>
      <c r="I3038" t="s">
        <v>81</v>
      </c>
      <c r="J3038">
        <v>0</v>
      </c>
      <c r="K3038">
        <v>1</v>
      </c>
      <c r="L3038">
        <v>2</v>
      </c>
      <c r="M3038">
        <v>230</v>
      </c>
      <c r="N3038">
        <v>447</v>
      </c>
      <c r="O3038">
        <v>4</v>
      </c>
      <c r="P3038">
        <v>445</v>
      </c>
      <c r="Q3038">
        <v>44</v>
      </c>
      <c r="R3038">
        <v>78</v>
      </c>
      <c r="S3038">
        <v>4</v>
      </c>
      <c r="T3038">
        <v>23</v>
      </c>
      <c r="U3038">
        <v>17</v>
      </c>
      <c r="V3038">
        <v>10</v>
      </c>
      <c r="W3038">
        <v>9</v>
      </c>
      <c r="X3038">
        <v>14</v>
      </c>
      <c r="Y3038">
        <v>197</v>
      </c>
      <c r="Z3038">
        <v>9</v>
      </c>
      <c r="AA3038">
        <v>4</v>
      </c>
      <c r="AB3038">
        <v>11</v>
      </c>
      <c r="AC3038">
        <v>0</v>
      </c>
      <c r="AD3038">
        <v>0</v>
      </c>
      <c r="AE3038">
        <v>0</v>
      </c>
      <c r="AF3038">
        <v>0</v>
      </c>
      <c r="AK3038">
        <v>7</v>
      </c>
      <c r="AL3038">
        <v>3</v>
      </c>
      <c r="AM3038">
        <v>0</v>
      </c>
      <c r="AN3038">
        <v>3</v>
      </c>
      <c r="AT3038">
        <v>0</v>
      </c>
      <c r="AU3038">
        <v>12</v>
      </c>
      <c r="AV3038">
        <v>445</v>
      </c>
      <c r="AW3038">
        <v>445</v>
      </c>
      <c r="AX3038">
        <v>655</v>
      </c>
      <c r="BA3038">
        <v>1</v>
      </c>
      <c r="BC3038" t="s">
        <v>6178</v>
      </c>
      <c r="BD3038" s="4">
        <v>43283.179861111108</v>
      </c>
      <c r="BE3038" s="4">
        <v>43283.197511574072</v>
      </c>
      <c r="BF3038" s="4">
        <v>43283.197511574072</v>
      </c>
      <c r="BG3038" t="s">
        <v>83</v>
      </c>
      <c r="BH3038" t="s">
        <v>84</v>
      </c>
      <c r="BI3038" t="s">
        <v>85</v>
      </c>
    </row>
    <row r="3039" spans="1:61" x14ac:dyDescent="0.3">
      <c r="A3039" t="str">
        <f>"200513C0100"</f>
        <v>200513C0100</v>
      </c>
      <c r="B3039" t="s">
        <v>6179</v>
      </c>
      <c r="C3039">
        <v>20</v>
      </c>
      <c r="D3039" t="s">
        <v>79</v>
      </c>
      <c r="E3039">
        <v>14</v>
      </c>
      <c r="F3039" t="s">
        <v>5455</v>
      </c>
      <c r="G3039">
        <v>513</v>
      </c>
      <c r="H3039">
        <v>1</v>
      </c>
      <c r="I3039" t="s">
        <v>89</v>
      </c>
      <c r="J3039">
        <v>0</v>
      </c>
      <c r="K3039">
        <v>1</v>
      </c>
      <c r="L3039">
        <v>2</v>
      </c>
      <c r="M3039">
        <v>206</v>
      </c>
      <c r="N3039">
        <v>471</v>
      </c>
      <c r="O3039">
        <v>2</v>
      </c>
      <c r="P3039">
        <v>473</v>
      </c>
      <c r="Q3039">
        <v>50</v>
      </c>
      <c r="R3039">
        <v>74</v>
      </c>
      <c r="S3039">
        <v>10</v>
      </c>
      <c r="T3039">
        <v>19</v>
      </c>
      <c r="U3039">
        <v>19</v>
      </c>
      <c r="V3039">
        <v>6</v>
      </c>
      <c r="W3039">
        <v>6</v>
      </c>
      <c r="X3039">
        <v>8</v>
      </c>
      <c r="Y3039">
        <v>237</v>
      </c>
      <c r="Z3039">
        <v>6</v>
      </c>
      <c r="AA3039">
        <v>4</v>
      </c>
      <c r="AB3039">
        <v>8</v>
      </c>
      <c r="AC3039">
        <v>2</v>
      </c>
      <c r="AD3039">
        <v>2</v>
      </c>
      <c r="AE3039">
        <v>0</v>
      </c>
      <c r="AF3039">
        <v>1</v>
      </c>
      <c r="AK3039">
        <v>5</v>
      </c>
      <c r="AL3039">
        <v>2</v>
      </c>
      <c r="AM3039">
        <v>0</v>
      </c>
      <c r="AN3039">
        <v>0</v>
      </c>
      <c r="AT3039">
        <v>0</v>
      </c>
      <c r="AU3039">
        <v>14</v>
      </c>
      <c r="AV3039">
        <v>473</v>
      </c>
      <c r="AW3039">
        <v>473</v>
      </c>
      <c r="AX3039">
        <v>655</v>
      </c>
      <c r="BA3039">
        <v>1</v>
      </c>
      <c r="BC3039" t="s">
        <v>6180</v>
      </c>
      <c r="BD3039" s="4">
        <v>43283.182638888888</v>
      </c>
      <c r="BE3039" s="4">
        <v>43283.201342592591</v>
      </c>
      <c r="BF3039" s="4">
        <v>43283.201342592591</v>
      </c>
      <c r="BG3039" t="s">
        <v>83</v>
      </c>
      <c r="BH3039" t="s">
        <v>84</v>
      </c>
      <c r="BI3039" t="s">
        <v>85</v>
      </c>
    </row>
    <row r="3040" spans="1:61" x14ac:dyDescent="0.3">
      <c r="A3040" t="str">
        <f>"200514B0100"</f>
        <v>200514B0100</v>
      </c>
      <c r="B3040" t="s">
        <v>6181</v>
      </c>
      <c r="C3040">
        <v>20</v>
      </c>
      <c r="D3040" t="s">
        <v>79</v>
      </c>
      <c r="E3040">
        <v>14</v>
      </c>
      <c r="F3040" t="s">
        <v>5455</v>
      </c>
      <c r="G3040">
        <v>514</v>
      </c>
      <c r="H3040">
        <v>1</v>
      </c>
      <c r="I3040" t="s">
        <v>81</v>
      </c>
      <c r="J3040">
        <v>0</v>
      </c>
      <c r="K3040">
        <v>1</v>
      </c>
      <c r="L3040">
        <v>2</v>
      </c>
      <c r="M3040">
        <v>243</v>
      </c>
      <c r="N3040">
        <v>517</v>
      </c>
      <c r="O3040">
        <v>2</v>
      </c>
      <c r="P3040">
        <v>517</v>
      </c>
      <c r="Q3040">
        <v>56</v>
      </c>
      <c r="R3040">
        <v>93</v>
      </c>
      <c r="S3040">
        <v>5</v>
      </c>
      <c r="T3040">
        <v>21</v>
      </c>
      <c r="U3040">
        <v>19</v>
      </c>
      <c r="V3040">
        <v>8</v>
      </c>
      <c r="W3040">
        <v>7</v>
      </c>
      <c r="X3040">
        <v>6</v>
      </c>
      <c r="Y3040">
        <v>263</v>
      </c>
      <c r="Z3040">
        <v>3</v>
      </c>
      <c r="AA3040">
        <v>2</v>
      </c>
      <c r="AB3040">
        <v>11</v>
      </c>
      <c r="AC3040">
        <v>1</v>
      </c>
      <c r="AD3040">
        <v>1</v>
      </c>
      <c r="AE3040">
        <v>0</v>
      </c>
      <c r="AF3040">
        <v>0</v>
      </c>
      <c r="AK3040">
        <v>1</v>
      </c>
      <c r="AL3040">
        <v>1</v>
      </c>
      <c r="AM3040">
        <v>0</v>
      </c>
      <c r="AN3040">
        <v>3</v>
      </c>
      <c r="AT3040">
        <v>0</v>
      </c>
      <c r="AU3040" t="s">
        <v>315</v>
      </c>
      <c r="AV3040">
        <v>517</v>
      </c>
      <c r="AW3040">
        <v>501</v>
      </c>
      <c r="AX3040">
        <v>739</v>
      </c>
      <c r="AZ3040" t="s">
        <v>101</v>
      </c>
      <c r="BA3040">
        <v>1</v>
      </c>
      <c r="BC3040" t="s">
        <v>6182</v>
      </c>
      <c r="BD3040" s="4">
        <v>43283.199999999997</v>
      </c>
      <c r="BE3040" s="4">
        <v>43283.221134259256</v>
      </c>
      <c r="BF3040" s="4">
        <v>43283.221134259256</v>
      </c>
      <c r="BG3040" t="s">
        <v>83</v>
      </c>
      <c r="BH3040" t="s">
        <v>84</v>
      </c>
      <c r="BI3040" t="s">
        <v>85</v>
      </c>
    </row>
    <row r="3041" spans="1:61" x14ac:dyDescent="0.3">
      <c r="A3041" t="str">
        <f>"200514C0100"</f>
        <v>200514C0100</v>
      </c>
      <c r="B3041" t="s">
        <v>6183</v>
      </c>
      <c r="C3041">
        <v>20</v>
      </c>
      <c r="D3041" t="s">
        <v>79</v>
      </c>
      <c r="E3041">
        <v>14</v>
      </c>
      <c r="F3041" t="s">
        <v>5455</v>
      </c>
      <c r="G3041">
        <v>514</v>
      </c>
      <c r="H3041">
        <v>1</v>
      </c>
      <c r="I3041" t="s">
        <v>89</v>
      </c>
      <c r="J3041">
        <v>0</v>
      </c>
      <c r="K3041">
        <v>1</v>
      </c>
      <c r="L3041">
        <v>2</v>
      </c>
      <c r="AX3041">
        <v>739</v>
      </c>
      <c r="AZ3041" t="s">
        <v>156</v>
      </c>
      <c r="BA3041">
        <v>0</v>
      </c>
      <c r="BC3041" t="s">
        <v>6184</v>
      </c>
      <c r="BD3041" s="4">
        <v>43283.804166666669</v>
      </c>
      <c r="BE3041" s="4">
        <v>43283.806134259263</v>
      </c>
      <c r="BF3041" s="4">
        <v>43283.806134259263</v>
      </c>
      <c r="BG3041" t="s">
        <v>83</v>
      </c>
      <c r="BH3041" t="s">
        <v>84</v>
      </c>
      <c r="BI3041" t="s">
        <v>85</v>
      </c>
    </row>
    <row r="3042" spans="1:61" x14ac:dyDescent="0.3">
      <c r="A3042" t="str">
        <f>"200515B0100"</f>
        <v>200515B0100</v>
      </c>
      <c r="B3042" t="s">
        <v>6185</v>
      </c>
      <c r="C3042">
        <v>20</v>
      </c>
      <c r="D3042" t="s">
        <v>79</v>
      </c>
      <c r="E3042">
        <v>14</v>
      </c>
      <c r="F3042" t="s">
        <v>5455</v>
      </c>
      <c r="G3042">
        <v>515</v>
      </c>
      <c r="H3042">
        <v>1</v>
      </c>
      <c r="I3042" t="s">
        <v>81</v>
      </c>
      <c r="J3042">
        <v>0</v>
      </c>
      <c r="K3042">
        <v>1</v>
      </c>
      <c r="L3042">
        <v>2</v>
      </c>
      <c r="M3042" t="s">
        <v>100</v>
      </c>
      <c r="N3042">
        <v>302</v>
      </c>
      <c r="O3042">
        <v>0</v>
      </c>
      <c r="P3042">
        <v>302</v>
      </c>
      <c r="Q3042">
        <v>28</v>
      </c>
      <c r="R3042">
        <v>62</v>
      </c>
      <c r="S3042">
        <v>4</v>
      </c>
      <c r="T3042">
        <v>9</v>
      </c>
      <c r="U3042">
        <v>13</v>
      </c>
      <c r="V3042">
        <v>3</v>
      </c>
      <c r="W3042">
        <v>9</v>
      </c>
      <c r="X3042">
        <v>8</v>
      </c>
      <c r="Y3042">
        <v>142</v>
      </c>
      <c r="Z3042">
        <v>8</v>
      </c>
      <c r="AA3042">
        <v>2</v>
      </c>
      <c r="AB3042">
        <v>11</v>
      </c>
      <c r="AC3042">
        <v>0</v>
      </c>
      <c r="AD3042">
        <v>0</v>
      </c>
      <c r="AE3042">
        <v>0</v>
      </c>
      <c r="AF3042">
        <v>0</v>
      </c>
      <c r="AK3042">
        <v>3</v>
      </c>
      <c r="AL3042">
        <v>0</v>
      </c>
      <c r="AM3042">
        <v>0</v>
      </c>
      <c r="AN3042">
        <v>0</v>
      </c>
      <c r="AT3042">
        <v>0</v>
      </c>
      <c r="AU3042">
        <v>0</v>
      </c>
      <c r="AV3042">
        <v>302</v>
      </c>
      <c r="AW3042">
        <v>302</v>
      </c>
      <c r="AX3042">
        <v>440</v>
      </c>
      <c r="BA3042">
        <v>1</v>
      </c>
      <c r="BC3042" t="s">
        <v>6186</v>
      </c>
      <c r="BD3042" s="4">
        <v>43283.09652777778</v>
      </c>
      <c r="BE3042" s="4">
        <v>43283.102719907409</v>
      </c>
      <c r="BF3042" s="4">
        <v>43283.102719907409</v>
      </c>
      <c r="BG3042" t="s">
        <v>83</v>
      </c>
      <c r="BH3042" t="s">
        <v>84</v>
      </c>
      <c r="BI3042" t="s">
        <v>85</v>
      </c>
    </row>
    <row r="3043" spans="1:61" x14ac:dyDescent="0.3">
      <c r="A3043" t="str">
        <f>"200515C0100"</f>
        <v>200515C0100</v>
      </c>
      <c r="B3043" t="s">
        <v>6187</v>
      </c>
      <c r="C3043">
        <v>20</v>
      </c>
      <c r="D3043" t="s">
        <v>79</v>
      </c>
      <c r="E3043">
        <v>14</v>
      </c>
      <c r="F3043" t="s">
        <v>5455</v>
      </c>
      <c r="G3043">
        <v>515</v>
      </c>
      <c r="H3043">
        <v>1</v>
      </c>
      <c r="I3043" t="s">
        <v>89</v>
      </c>
      <c r="J3043">
        <v>0</v>
      </c>
      <c r="K3043">
        <v>1</v>
      </c>
      <c r="L3043">
        <v>2</v>
      </c>
      <c r="M3043">
        <v>137</v>
      </c>
      <c r="N3043">
        <v>324</v>
      </c>
      <c r="O3043">
        <v>6</v>
      </c>
      <c r="P3043">
        <v>324</v>
      </c>
      <c r="Q3043">
        <v>42</v>
      </c>
      <c r="R3043">
        <v>65</v>
      </c>
      <c r="S3043">
        <v>5</v>
      </c>
      <c r="T3043">
        <v>12</v>
      </c>
      <c r="U3043">
        <v>11</v>
      </c>
      <c r="V3043">
        <v>3</v>
      </c>
      <c r="W3043">
        <v>3</v>
      </c>
      <c r="X3043">
        <v>4</v>
      </c>
      <c r="Y3043">
        <v>144</v>
      </c>
      <c r="Z3043">
        <v>4</v>
      </c>
      <c r="AA3043">
        <v>0</v>
      </c>
      <c r="AB3043">
        <v>12</v>
      </c>
      <c r="AC3043">
        <v>0</v>
      </c>
      <c r="AD3043">
        <v>0</v>
      </c>
      <c r="AE3043">
        <v>0</v>
      </c>
      <c r="AF3043">
        <v>0</v>
      </c>
      <c r="AK3043">
        <v>7</v>
      </c>
      <c r="AL3043">
        <v>1</v>
      </c>
      <c r="AM3043">
        <v>0</v>
      </c>
      <c r="AN3043">
        <v>0</v>
      </c>
      <c r="AT3043">
        <v>0</v>
      </c>
      <c r="AU3043">
        <v>11</v>
      </c>
      <c r="AV3043">
        <v>324</v>
      </c>
      <c r="AW3043">
        <v>324</v>
      </c>
      <c r="AX3043">
        <v>439</v>
      </c>
      <c r="BA3043">
        <v>1</v>
      </c>
      <c r="BC3043" t="s">
        <v>6188</v>
      </c>
      <c r="BD3043" s="4">
        <v>43283.10833333333</v>
      </c>
      <c r="BE3043" s="4">
        <v>43283.113645833335</v>
      </c>
      <c r="BF3043" s="4">
        <v>43283.113645833335</v>
      </c>
      <c r="BG3043" t="s">
        <v>83</v>
      </c>
      <c r="BH3043" t="s">
        <v>84</v>
      </c>
      <c r="BI3043" t="s">
        <v>85</v>
      </c>
    </row>
    <row r="3044" spans="1:61" x14ac:dyDescent="0.3">
      <c r="A3044" t="str">
        <f>"200516B0100"</f>
        <v>200516B0100</v>
      </c>
      <c r="B3044" t="s">
        <v>6189</v>
      </c>
      <c r="C3044">
        <v>20</v>
      </c>
      <c r="D3044" t="s">
        <v>79</v>
      </c>
      <c r="E3044">
        <v>14</v>
      </c>
      <c r="F3044" t="s">
        <v>5455</v>
      </c>
      <c r="G3044">
        <v>516</v>
      </c>
      <c r="H3044">
        <v>1</v>
      </c>
      <c r="I3044" t="s">
        <v>81</v>
      </c>
      <c r="J3044">
        <v>0</v>
      </c>
      <c r="K3044">
        <v>1</v>
      </c>
      <c r="L3044">
        <v>2</v>
      </c>
      <c r="M3044">
        <v>160</v>
      </c>
      <c r="N3044">
        <v>348</v>
      </c>
      <c r="O3044">
        <v>7</v>
      </c>
      <c r="P3044">
        <v>348</v>
      </c>
      <c r="Q3044">
        <v>39</v>
      </c>
      <c r="R3044">
        <v>75</v>
      </c>
      <c r="S3044">
        <v>10</v>
      </c>
      <c r="T3044">
        <v>13</v>
      </c>
      <c r="U3044">
        <v>12</v>
      </c>
      <c r="V3044">
        <v>8</v>
      </c>
      <c r="W3044">
        <v>6</v>
      </c>
      <c r="X3044">
        <v>10</v>
      </c>
      <c r="Y3044">
        <v>141</v>
      </c>
      <c r="Z3044">
        <v>5</v>
      </c>
      <c r="AA3044">
        <v>3</v>
      </c>
      <c r="AB3044">
        <v>14</v>
      </c>
      <c r="AC3044" t="s">
        <v>100</v>
      </c>
      <c r="AD3044" t="s">
        <v>100</v>
      </c>
      <c r="AE3044" t="s">
        <v>100</v>
      </c>
      <c r="AF3044" t="s">
        <v>100</v>
      </c>
      <c r="AK3044">
        <v>2</v>
      </c>
      <c r="AL3044" t="s">
        <v>100</v>
      </c>
      <c r="AM3044" t="s">
        <v>100</v>
      </c>
      <c r="AN3044" t="s">
        <v>100</v>
      </c>
      <c r="AT3044" t="s">
        <v>100</v>
      </c>
      <c r="AU3044">
        <v>9</v>
      </c>
      <c r="AV3044">
        <v>348</v>
      </c>
      <c r="AW3044">
        <v>347</v>
      </c>
      <c r="AX3044">
        <v>486</v>
      </c>
      <c r="AZ3044" t="s">
        <v>101</v>
      </c>
      <c r="BA3044">
        <v>1</v>
      </c>
      <c r="BC3044" t="s">
        <v>6190</v>
      </c>
      <c r="BD3044" s="4">
        <v>43283.120138888888</v>
      </c>
      <c r="BE3044" s="4">
        <v>43283.125763888886</v>
      </c>
      <c r="BF3044" s="4">
        <v>43283.125763888886</v>
      </c>
      <c r="BG3044" t="s">
        <v>83</v>
      </c>
      <c r="BH3044" t="s">
        <v>84</v>
      </c>
      <c r="BI3044" t="s">
        <v>85</v>
      </c>
    </row>
    <row r="3045" spans="1:61" x14ac:dyDescent="0.3">
      <c r="A3045" t="str">
        <f>"200516C0100"</f>
        <v>200516C0100</v>
      </c>
      <c r="B3045" t="s">
        <v>6191</v>
      </c>
      <c r="C3045">
        <v>20</v>
      </c>
      <c r="D3045" t="s">
        <v>79</v>
      </c>
      <c r="E3045">
        <v>14</v>
      </c>
      <c r="F3045" t="s">
        <v>5455</v>
      </c>
      <c r="G3045">
        <v>516</v>
      </c>
      <c r="H3045">
        <v>1</v>
      </c>
      <c r="I3045" t="s">
        <v>89</v>
      </c>
      <c r="J3045">
        <v>0</v>
      </c>
      <c r="K3045">
        <v>1</v>
      </c>
      <c r="L3045">
        <v>2</v>
      </c>
      <c r="M3045">
        <v>153</v>
      </c>
      <c r="N3045">
        <v>355</v>
      </c>
      <c r="O3045">
        <v>4</v>
      </c>
      <c r="P3045">
        <v>355</v>
      </c>
      <c r="Q3045">
        <v>38</v>
      </c>
      <c r="R3045">
        <v>74</v>
      </c>
      <c r="S3045">
        <v>3</v>
      </c>
      <c r="T3045">
        <v>9</v>
      </c>
      <c r="U3045">
        <v>16</v>
      </c>
      <c r="V3045">
        <v>4</v>
      </c>
      <c r="W3045">
        <v>4</v>
      </c>
      <c r="X3045">
        <v>6</v>
      </c>
      <c r="Y3045">
        <v>157</v>
      </c>
      <c r="Z3045">
        <v>0</v>
      </c>
      <c r="AA3045">
        <v>1</v>
      </c>
      <c r="AB3045">
        <v>12</v>
      </c>
      <c r="AC3045">
        <v>1</v>
      </c>
      <c r="AD3045">
        <v>0</v>
      </c>
      <c r="AE3045">
        <v>0</v>
      </c>
      <c r="AF3045">
        <v>0</v>
      </c>
      <c r="AK3045">
        <v>4</v>
      </c>
      <c r="AL3045">
        <v>2</v>
      </c>
      <c r="AM3045">
        <v>1</v>
      </c>
      <c r="AN3045">
        <v>0</v>
      </c>
      <c r="AT3045">
        <v>0</v>
      </c>
      <c r="AU3045">
        <v>23</v>
      </c>
      <c r="AV3045">
        <v>355</v>
      </c>
      <c r="AW3045">
        <v>355</v>
      </c>
      <c r="AX3045">
        <v>486</v>
      </c>
      <c r="BA3045">
        <v>1</v>
      </c>
      <c r="BC3045" t="s">
        <v>6192</v>
      </c>
      <c r="BD3045" s="4">
        <v>43283.143055555556</v>
      </c>
      <c r="BE3045" s="4">
        <v>43283.150104166663</v>
      </c>
      <c r="BF3045" s="4">
        <v>43283.150104166663</v>
      </c>
      <c r="BG3045" t="s">
        <v>83</v>
      </c>
      <c r="BH3045" t="s">
        <v>84</v>
      </c>
      <c r="BI3045" t="s">
        <v>85</v>
      </c>
    </row>
    <row r="3046" spans="1:61" x14ac:dyDescent="0.3">
      <c r="A3046" t="str">
        <f>"200517B0100"</f>
        <v>200517B0100</v>
      </c>
      <c r="B3046" t="s">
        <v>6193</v>
      </c>
      <c r="C3046">
        <v>20</v>
      </c>
      <c r="D3046" t="s">
        <v>79</v>
      </c>
      <c r="E3046">
        <v>14</v>
      </c>
      <c r="F3046" t="s">
        <v>5455</v>
      </c>
      <c r="G3046">
        <v>517</v>
      </c>
      <c r="H3046">
        <v>1</v>
      </c>
      <c r="I3046" t="s">
        <v>81</v>
      </c>
      <c r="J3046">
        <v>0</v>
      </c>
      <c r="K3046">
        <v>1</v>
      </c>
      <c r="L3046">
        <v>2</v>
      </c>
      <c r="M3046">
        <v>201</v>
      </c>
      <c r="N3046">
        <v>410</v>
      </c>
      <c r="O3046">
        <v>3</v>
      </c>
      <c r="P3046">
        <v>410</v>
      </c>
      <c r="Q3046">
        <v>38</v>
      </c>
      <c r="R3046">
        <v>62</v>
      </c>
      <c r="S3046">
        <v>7</v>
      </c>
      <c r="T3046">
        <v>24</v>
      </c>
      <c r="U3046">
        <v>19</v>
      </c>
      <c r="V3046">
        <v>10</v>
      </c>
      <c r="W3046">
        <v>9</v>
      </c>
      <c r="X3046">
        <v>6</v>
      </c>
      <c r="Y3046">
        <v>173</v>
      </c>
      <c r="Z3046">
        <v>11</v>
      </c>
      <c r="AA3046">
        <v>6</v>
      </c>
      <c r="AB3046">
        <v>19</v>
      </c>
      <c r="AC3046">
        <v>1</v>
      </c>
      <c r="AD3046">
        <v>0</v>
      </c>
      <c r="AE3046">
        <v>0</v>
      </c>
      <c r="AF3046">
        <v>0</v>
      </c>
      <c r="AK3046">
        <v>5</v>
      </c>
      <c r="AL3046">
        <v>1</v>
      </c>
      <c r="AM3046">
        <v>0</v>
      </c>
      <c r="AN3046">
        <v>3</v>
      </c>
      <c r="AT3046">
        <v>0</v>
      </c>
      <c r="AU3046">
        <v>16</v>
      </c>
      <c r="AV3046">
        <v>410</v>
      </c>
      <c r="AW3046">
        <v>410</v>
      </c>
      <c r="AX3046">
        <v>589</v>
      </c>
      <c r="BA3046">
        <v>1</v>
      </c>
      <c r="BC3046" t="s">
        <v>6194</v>
      </c>
      <c r="BD3046" s="4">
        <v>43283.077777777777</v>
      </c>
      <c r="BE3046" s="4">
        <v>43283.082187499997</v>
      </c>
      <c r="BF3046" s="4">
        <v>43283.082187499997</v>
      </c>
      <c r="BG3046" t="s">
        <v>83</v>
      </c>
      <c r="BH3046" t="s">
        <v>84</v>
      </c>
      <c r="BI3046" t="s">
        <v>85</v>
      </c>
    </row>
    <row r="3047" spans="1:61" x14ac:dyDescent="0.3">
      <c r="A3047" t="str">
        <f>"200517C0100"</f>
        <v>200517C0100</v>
      </c>
      <c r="B3047" t="s">
        <v>6195</v>
      </c>
      <c r="C3047">
        <v>20</v>
      </c>
      <c r="D3047" t="s">
        <v>79</v>
      </c>
      <c r="E3047">
        <v>14</v>
      </c>
      <c r="F3047" t="s">
        <v>5455</v>
      </c>
      <c r="G3047">
        <v>517</v>
      </c>
      <c r="H3047">
        <v>1</v>
      </c>
      <c r="I3047" t="s">
        <v>89</v>
      </c>
      <c r="J3047">
        <v>0</v>
      </c>
      <c r="K3047">
        <v>1</v>
      </c>
      <c r="L3047">
        <v>2</v>
      </c>
      <c r="M3047">
        <v>171</v>
      </c>
      <c r="N3047">
        <v>439</v>
      </c>
      <c r="O3047">
        <v>5</v>
      </c>
      <c r="P3047">
        <v>439</v>
      </c>
      <c r="Q3047">
        <v>46</v>
      </c>
      <c r="R3047">
        <v>77</v>
      </c>
      <c r="S3047">
        <v>4</v>
      </c>
      <c r="T3047">
        <v>22</v>
      </c>
      <c r="U3047">
        <v>26</v>
      </c>
      <c r="V3047">
        <v>7</v>
      </c>
      <c r="W3047">
        <v>10</v>
      </c>
      <c r="X3047">
        <v>9</v>
      </c>
      <c r="Y3047">
        <v>192</v>
      </c>
      <c r="Z3047">
        <v>10</v>
      </c>
      <c r="AA3047">
        <v>4</v>
      </c>
      <c r="AB3047">
        <v>9</v>
      </c>
      <c r="AC3047">
        <v>0</v>
      </c>
      <c r="AD3047">
        <v>0</v>
      </c>
      <c r="AE3047">
        <v>1</v>
      </c>
      <c r="AF3047">
        <v>1</v>
      </c>
      <c r="AK3047">
        <v>1</v>
      </c>
      <c r="AL3047">
        <v>0</v>
      </c>
      <c r="AM3047">
        <v>0</v>
      </c>
      <c r="AN3047">
        <v>2</v>
      </c>
      <c r="AT3047">
        <v>0</v>
      </c>
      <c r="AU3047">
        <v>18</v>
      </c>
      <c r="AV3047">
        <v>439</v>
      </c>
      <c r="AW3047">
        <v>439</v>
      </c>
      <c r="AX3047">
        <v>588</v>
      </c>
      <c r="BA3047">
        <v>1</v>
      </c>
      <c r="BC3047" t="s">
        <v>6196</v>
      </c>
      <c r="BD3047" s="4">
        <v>43283.089583333334</v>
      </c>
      <c r="BE3047" s="4">
        <v>43283.093865740739</v>
      </c>
      <c r="BF3047" s="4">
        <v>43283.093865740739</v>
      </c>
      <c r="BG3047" t="s">
        <v>83</v>
      </c>
      <c r="BH3047" t="s">
        <v>84</v>
      </c>
      <c r="BI3047" t="s">
        <v>85</v>
      </c>
    </row>
    <row r="3048" spans="1:61" x14ac:dyDescent="0.3">
      <c r="A3048" t="str">
        <f>"200518B0100"</f>
        <v>200518B0100</v>
      </c>
      <c r="B3048" t="s">
        <v>6197</v>
      </c>
      <c r="C3048">
        <v>20</v>
      </c>
      <c r="D3048" t="s">
        <v>79</v>
      </c>
      <c r="E3048">
        <v>14</v>
      </c>
      <c r="F3048" t="s">
        <v>5455</v>
      </c>
      <c r="G3048">
        <v>518</v>
      </c>
      <c r="H3048">
        <v>1</v>
      </c>
      <c r="I3048" t="s">
        <v>81</v>
      </c>
      <c r="J3048">
        <v>0</v>
      </c>
      <c r="K3048">
        <v>1</v>
      </c>
      <c r="L3048">
        <v>2</v>
      </c>
      <c r="AX3048">
        <v>474</v>
      </c>
      <c r="AZ3048" t="s">
        <v>1868</v>
      </c>
      <c r="BA3048">
        <v>0</v>
      </c>
      <c r="BC3048" t="s">
        <v>6198</v>
      </c>
      <c r="BD3048" s="4">
        <v>43283.06527777778</v>
      </c>
      <c r="BE3048" s="4">
        <v>43283.072314814817</v>
      </c>
      <c r="BF3048" s="4">
        <v>43283.072314814817</v>
      </c>
      <c r="BG3048" t="s">
        <v>83</v>
      </c>
      <c r="BH3048" t="s">
        <v>84</v>
      </c>
      <c r="BI3048" t="s">
        <v>85</v>
      </c>
    </row>
    <row r="3049" spans="1:61" x14ac:dyDescent="0.3">
      <c r="A3049" t="str">
        <f>"200518C0100"</f>
        <v>200518C0100</v>
      </c>
      <c r="B3049" t="s">
        <v>6199</v>
      </c>
      <c r="C3049">
        <v>20</v>
      </c>
      <c r="D3049" t="s">
        <v>79</v>
      </c>
      <c r="E3049">
        <v>14</v>
      </c>
      <c r="F3049" t="s">
        <v>5455</v>
      </c>
      <c r="G3049">
        <v>518</v>
      </c>
      <c r="H3049">
        <v>1</v>
      </c>
      <c r="I3049" t="s">
        <v>89</v>
      </c>
      <c r="J3049">
        <v>0</v>
      </c>
      <c r="K3049">
        <v>1</v>
      </c>
      <c r="L3049">
        <v>2</v>
      </c>
      <c r="M3049">
        <v>152</v>
      </c>
      <c r="N3049">
        <v>343</v>
      </c>
      <c r="O3049">
        <v>6</v>
      </c>
      <c r="P3049">
        <v>343</v>
      </c>
      <c r="Q3049">
        <v>35</v>
      </c>
      <c r="R3049">
        <v>68</v>
      </c>
      <c r="S3049">
        <v>7</v>
      </c>
      <c r="T3049">
        <v>12</v>
      </c>
      <c r="U3049">
        <v>7</v>
      </c>
      <c r="V3049">
        <v>4</v>
      </c>
      <c r="W3049">
        <v>9</v>
      </c>
      <c r="X3049">
        <v>8</v>
      </c>
      <c r="Y3049">
        <v>154</v>
      </c>
      <c r="Z3049">
        <v>6</v>
      </c>
      <c r="AA3049">
        <v>4</v>
      </c>
      <c r="AB3049">
        <v>6</v>
      </c>
      <c r="AC3049">
        <v>0</v>
      </c>
      <c r="AD3049">
        <v>0</v>
      </c>
      <c r="AE3049">
        <v>0</v>
      </c>
      <c r="AF3049">
        <v>1</v>
      </c>
      <c r="AK3049">
        <v>6</v>
      </c>
      <c r="AL3049">
        <v>0</v>
      </c>
      <c r="AM3049">
        <v>0</v>
      </c>
      <c r="AN3049">
        <v>0</v>
      </c>
      <c r="AT3049">
        <v>0</v>
      </c>
      <c r="AU3049">
        <v>17</v>
      </c>
      <c r="AV3049">
        <v>344</v>
      </c>
      <c r="AW3049">
        <v>344</v>
      </c>
      <c r="AX3049">
        <v>473</v>
      </c>
      <c r="BA3049">
        <v>1</v>
      </c>
      <c r="BC3049" t="s">
        <v>6200</v>
      </c>
      <c r="BD3049" s="4">
        <v>43283.074305555558</v>
      </c>
      <c r="BE3049" s="4">
        <v>43283.079826388886</v>
      </c>
      <c r="BF3049" s="4">
        <v>43283.079826388886</v>
      </c>
      <c r="BG3049" t="s">
        <v>83</v>
      </c>
      <c r="BH3049" t="s">
        <v>84</v>
      </c>
      <c r="BI3049" t="s">
        <v>85</v>
      </c>
    </row>
    <row r="3050" spans="1:61" x14ac:dyDescent="0.3">
      <c r="A3050" t="str">
        <f>"200519B0100"</f>
        <v>200519B0100</v>
      </c>
      <c r="B3050" t="s">
        <v>6201</v>
      </c>
      <c r="C3050">
        <v>20</v>
      </c>
      <c r="D3050" t="s">
        <v>79</v>
      </c>
      <c r="E3050">
        <v>14</v>
      </c>
      <c r="F3050" t="s">
        <v>5455</v>
      </c>
      <c r="G3050">
        <v>519</v>
      </c>
      <c r="H3050">
        <v>1</v>
      </c>
      <c r="I3050" t="s">
        <v>81</v>
      </c>
      <c r="J3050">
        <v>0</v>
      </c>
      <c r="K3050">
        <v>1</v>
      </c>
      <c r="L3050">
        <v>2</v>
      </c>
      <c r="M3050">
        <v>198</v>
      </c>
      <c r="N3050">
        <v>442</v>
      </c>
      <c r="O3050">
        <v>4</v>
      </c>
      <c r="P3050">
        <v>440</v>
      </c>
      <c r="Q3050">
        <v>59</v>
      </c>
      <c r="R3050">
        <v>69</v>
      </c>
      <c r="S3050">
        <v>11</v>
      </c>
      <c r="T3050">
        <v>18</v>
      </c>
      <c r="U3050">
        <v>16</v>
      </c>
      <c r="V3050">
        <v>7</v>
      </c>
      <c r="W3050">
        <v>5</v>
      </c>
      <c r="X3050">
        <v>6</v>
      </c>
      <c r="Y3050">
        <v>206</v>
      </c>
      <c r="Z3050">
        <v>6</v>
      </c>
      <c r="AA3050">
        <v>4</v>
      </c>
      <c r="AB3050">
        <v>11</v>
      </c>
      <c r="AC3050">
        <v>2</v>
      </c>
      <c r="AD3050">
        <v>1</v>
      </c>
      <c r="AE3050">
        <v>1</v>
      </c>
      <c r="AF3050">
        <v>0</v>
      </c>
      <c r="AK3050">
        <v>2</v>
      </c>
      <c r="AL3050">
        <v>0</v>
      </c>
      <c r="AM3050">
        <v>0</v>
      </c>
      <c r="AN3050">
        <v>0</v>
      </c>
      <c r="AT3050">
        <v>1</v>
      </c>
      <c r="AU3050">
        <v>15</v>
      </c>
      <c r="AV3050">
        <v>440</v>
      </c>
      <c r="AW3050">
        <v>440</v>
      </c>
      <c r="AX3050">
        <v>618</v>
      </c>
      <c r="BA3050">
        <v>1</v>
      </c>
      <c r="BC3050" t="s">
        <v>6202</v>
      </c>
      <c r="BD3050" s="4">
        <v>43283.268055555556</v>
      </c>
      <c r="BE3050" s="4">
        <v>43283.294710648152</v>
      </c>
      <c r="BF3050" s="4">
        <v>43283.294710648152</v>
      </c>
      <c r="BG3050" t="s">
        <v>83</v>
      </c>
      <c r="BH3050" t="s">
        <v>84</v>
      </c>
      <c r="BI3050" t="s">
        <v>85</v>
      </c>
    </row>
    <row r="3051" spans="1:61" x14ac:dyDescent="0.3">
      <c r="A3051" t="str">
        <f>"200519C0100"</f>
        <v>200519C0100</v>
      </c>
      <c r="B3051" t="s">
        <v>6203</v>
      </c>
      <c r="C3051">
        <v>20</v>
      </c>
      <c r="D3051" t="s">
        <v>79</v>
      </c>
      <c r="E3051">
        <v>14</v>
      </c>
      <c r="F3051" t="s">
        <v>5455</v>
      </c>
      <c r="G3051">
        <v>519</v>
      </c>
      <c r="H3051">
        <v>1</v>
      </c>
      <c r="I3051" t="s">
        <v>89</v>
      </c>
      <c r="J3051">
        <v>0</v>
      </c>
      <c r="K3051">
        <v>1</v>
      </c>
      <c r="L3051">
        <v>2</v>
      </c>
      <c r="M3051">
        <v>195</v>
      </c>
      <c r="N3051">
        <v>444</v>
      </c>
      <c r="O3051">
        <v>9</v>
      </c>
      <c r="P3051">
        <v>499</v>
      </c>
      <c r="Q3051">
        <v>54</v>
      </c>
      <c r="R3051">
        <v>74</v>
      </c>
      <c r="S3051">
        <v>6</v>
      </c>
      <c r="T3051">
        <v>19</v>
      </c>
      <c r="U3051">
        <v>23</v>
      </c>
      <c r="V3051">
        <v>10</v>
      </c>
      <c r="W3051">
        <v>4</v>
      </c>
      <c r="X3051">
        <v>4</v>
      </c>
      <c r="Y3051">
        <v>198</v>
      </c>
      <c r="Z3051">
        <v>9</v>
      </c>
      <c r="AA3051">
        <v>6</v>
      </c>
      <c r="AB3051">
        <v>14</v>
      </c>
      <c r="AC3051">
        <v>1</v>
      </c>
      <c r="AD3051">
        <v>53</v>
      </c>
      <c r="AE3051">
        <v>0</v>
      </c>
      <c r="AF3051">
        <v>0</v>
      </c>
      <c r="AK3051">
        <v>4</v>
      </c>
      <c r="AL3051">
        <v>1</v>
      </c>
      <c r="AM3051">
        <v>0</v>
      </c>
      <c r="AN3051">
        <v>0</v>
      </c>
      <c r="AT3051">
        <v>2</v>
      </c>
      <c r="AU3051">
        <v>17</v>
      </c>
      <c r="AV3051">
        <v>499</v>
      </c>
      <c r="AW3051">
        <v>499</v>
      </c>
      <c r="AX3051">
        <v>618</v>
      </c>
      <c r="BA3051">
        <v>1</v>
      </c>
      <c r="BC3051" t="s">
        <v>6204</v>
      </c>
      <c r="BD3051" s="4">
        <v>43283.165277777778</v>
      </c>
      <c r="BE3051" s="4">
        <v>43283.178807870368</v>
      </c>
      <c r="BF3051" s="4">
        <v>43283.178807870368</v>
      </c>
      <c r="BG3051" t="s">
        <v>83</v>
      </c>
      <c r="BH3051" t="s">
        <v>84</v>
      </c>
      <c r="BI3051" t="s">
        <v>85</v>
      </c>
    </row>
    <row r="3052" spans="1:61" x14ac:dyDescent="0.3">
      <c r="A3052" t="str">
        <f>"200520B0100"</f>
        <v>200520B0100</v>
      </c>
      <c r="B3052" t="s">
        <v>6205</v>
      </c>
      <c r="C3052">
        <v>20</v>
      </c>
      <c r="D3052" t="s">
        <v>79</v>
      </c>
      <c r="E3052">
        <v>14</v>
      </c>
      <c r="F3052" t="s">
        <v>5455</v>
      </c>
      <c r="G3052">
        <v>520</v>
      </c>
      <c r="H3052">
        <v>1</v>
      </c>
      <c r="I3052" t="s">
        <v>81</v>
      </c>
      <c r="J3052">
        <v>0</v>
      </c>
      <c r="K3052">
        <v>1</v>
      </c>
      <c r="L3052">
        <v>2</v>
      </c>
      <c r="M3052" t="s">
        <v>100</v>
      </c>
      <c r="N3052" t="s">
        <v>100</v>
      </c>
      <c r="O3052" t="s">
        <v>100</v>
      </c>
      <c r="P3052" t="s">
        <v>100</v>
      </c>
      <c r="Q3052" t="s">
        <v>100</v>
      </c>
      <c r="R3052" t="s">
        <v>100</v>
      </c>
      <c r="S3052" t="s">
        <v>100</v>
      </c>
      <c r="T3052" t="s">
        <v>100</v>
      </c>
      <c r="U3052" t="s">
        <v>100</v>
      </c>
      <c r="V3052" t="s">
        <v>100</v>
      </c>
      <c r="W3052" t="s">
        <v>100</v>
      </c>
      <c r="X3052" t="s">
        <v>100</v>
      </c>
      <c r="Y3052" t="s">
        <v>100</v>
      </c>
      <c r="Z3052" t="s">
        <v>100</v>
      </c>
      <c r="AA3052" t="s">
        <v>100</v>
      </c>
      <c r="AB3052" t="s">
        <v>100</v>
      </c>
      <c r="AC3052" t="s">
        <v>100</v>
      </c>
      <c r="AD3052" t="s">
        <v>100</v>
      </c>
      <c r="AE3052" t="s">
        <v>100</v>
      </c>
      <c r="AF3052" t="s">
        <v>100</v>
      </c>
      <c r="AK3052" t="s">
        <v>100</v>
      </c>
      <c r="AL3052" t="s">
        <v>100</v>
      </c>
      <c r="AM3052" t="s">
        <v>100</v>
      </c>
      <c r="AN3052" t="s">
        <v>100</v>
      </c>
      <c r="AT3052" t="s">
        <v>100</v>
      </c>
      <c r="AU3052" t="s">
        <v>100</v>
      </c>
      <c r="AX3052">
        <v>502</v>
      </c>
      <c r="AZ3052" t="s">
        <v>794</v>
      </c>
      <c r="BA3052">
        <v>0</v>
      </c>
      <c r="BC3052" t="s">
        <v>6206</v>
      </c>
      <c r="BD3052" s="4">
        <v>43283.176388888889</v>
      </c>
      <c r="BE3052" s="4">
        <v>43283.193449074075</v>
      </c>
      <c r="BF3052" s="4">
        <v>43283.193449074075</v>
      </c>
      <c r="BG3052" t="s">
        <v>83</v>
      </c>
      <c r="BH3052" t="s">
        <v>84</v>
      </c>
      <c r="BI3052" t="s">
        <v>85</v>
      </c>
    </row>
    <row r="3053" spans="1:61" x14ac:dyDescent="0.3">
      <c r="A3053" t="str">
        <f>"200520C0100"</f>
        <v>200520C0100</v>
      </c>
      <c r="B3053" t="s">
        <v>6207</v>
      </c>
      <c r="C3053">
        <v>20</v>
      </c>
      <c r="D3053" t="s">
        <v>79</v>
      </c>
      <c r="E3053">
        <v>14</v>
      </c>
      <c r="F3053" t="s">
        <v>5455</v>
      </c>
      <c r="G3053">
        <v>520</v>
      </c>
      <c r="H3053">
        <v>1</v>
      </c>
      <c r="I3053" t="s">
        <v>89</v>
      </c>
      <c r="J3053">
        <v>0</v>
      </c>
      <c r="K3053">
        <v>1</v>
      </c>
      <c r="L3053">
        <v>2</v>
      </c>
      <c r="M3053">
        <v>150</v>
      </c>
      <c r="N3053">
        <v>374</v>
      </c>
      <c r="O3053">
        <v>7</v>
      </c>
      <c r="P3053">
        <v>374</v>
      </c>
      <c r="Q3053">
        <v>71</v>
      </c>
      <c r="R3053">
        <v>76</v>
      </c>
      <c r="S3053">
        <v>8</v>
      </c>
      <c r="T3053">
        <v>14</v>
      </c>
      <c r="U3053">
        <v>13</v>
      </c>
      <c r="V3053">
        <v>6</v>
      </c>
      <c r="W3053">
        <v>3</v>
      </c>
      <c r="X3053">
        <v>6</v>
      </c>
      <c r="Y3053">
        <v>140</v>
      </c>
      <c r="Z3053">
        <v>5</v>
      </c>
      <c r="AA3053">
        <v>2</v>
      </c>
      <c r="AB3053">
        <v>11</v>
      </c>
      <c r="AC3053">
        <v>0</v>
      </c>
      <c r="AD3053">
        <v>0</v>
      </c>
      <c r="AE3053">
        <v>0</v>
      </c>
      <c r="AF3053">
        <v>0</v>
      </c>
      <c r="AK3053">
        <v>2</v>
      </c>
      <c r="AL3053">
        <v>0</v>
      </c>
      <c r="AM3053">
        <v>0</v>
      </c>
      <c r="AN3053">
        <v>0</v>
      </c>
      <c r="AT3053">
        <v>0</v>
      </c>
      <c r="AU3053">
        <v>17</v>
      </c>
      <c r="AV3053">
        <v>374</v>
      </c>
      <c r="AW3053">
        <v>374</v>
      </c>
      <c r="AX3053">
        <v>502</v>
      </c>
      <c r="BA3053">
        <v>1</v>
      </c>
      <c r="BC3053" t="s">
        <v>6208</v>
      </c>
      <c r="BD3053" s="4">
        <v>43283.179166666669</v>
      </c>
      <c r="BE3053" s="4">
        <v>43283.196064814816</v>
      </c>
      <c r="BF3053" s="4">
        <v>43283.196064814816</v>
      </c>
      <c r="BG3053" t="s">
        <v>83</v>
      </c>
      <c r="BH3053" t="s">
        <v>84</v>
      </c>
      <c r="BI3053" t="s">
        <v>85</v>
      </c>
    </row>
    <row r="3054" spans="1:61" x14ac:dyDescent="0.3">
      <c r="A3054" t="str">
        <f>"200521B0100"</f>
        <v>200521B0100</v>
      </c>
      <c r="B3054" t="s">
        <v>6209</v>
      </c>
      <c r="C3054">
        <v>20</v>
      </c>
      <c r="D3054" t="s">
        <v>79</v>
      </c>
      <c r="E3054">
        <v>14</v>
      </c>
      <c r="F3054" t="s">
        <v>5455</v>
      </c>
      <c r="G3054">
        <v>521</v>
      </c>
      <c r="H3054">
        <v>1</v>
      </c>
      <c r="I3054" t="s">
        <v>81</v>
      </c>
      <c r="J3054">
        <v>0</v>
      </c>
      <c r="K3054">
        <v>1</v>
      </c>
      <c r="L3054">
        <v>2</v>
      </c>
      <c r="M3054">
        <v>220</v>
      </c>
      <c r="N3054">
        <v>397</v>
      </c>
      <c r="O3054">
        <v>3</v>
      </c>
      <c r="P3054">
        <v>397</v>
      </c>
      <c r="Q3054">
        <v>51</v>
      </c>
      <c r="R3054">
        <v>41</v>
      </c>
      <c r="S3054">
        <v>4</v>
      </c>
      <c r="T3054">
        <v>17</v>
      </c>
      <c r="U3054">
        <v>24</v>
      </c>
      <c r="V3054">
        <v>5</v>
      </c>
      <c r="W3054">
        <v>5</v>
      </c>
      <c r="X3054">
        <v>4</v>
      </c>
      <c r="Y3054">
        <v>202</v>
      </c>
      <c r="Z3054">
        <v>5</v>
      </c>
      <c r="AA3054">
        <v>4</v>
      </c>
      <c r="AB3054">
        <v>12</v>
      </c>
      <c r="AC3054">
        <v>0</v>
      </c>
      <c r="AD3054">
        <v>0</v>
      </c>
      <c r="AE3054">
        <v>0</v>
      </c>
      <c r="AF3054">
        <v>0</v>
      </c>
      <c r="AK3054">
        <v>4</v>
      </c>
      <c r="AL3054">
        <v>3</v>
      </c>
      <c r="AM3054">
        <v>0</v>
      </c>
      <c r="AN3054">
        <v>0</v>
      </c>
      <c r="AT3054">
        <v>0</v>
      </c>
      <c r="AU3054">
        <v>16</v>
      </c>
      <c r="AV3054">
        <v>397</v>
      </c>
      <c r="AW3054">
        <v>397</v>
      </c>
      <c r="AX3054">
        <v>595</v>
      </c>
      <c r="BA3054">
        <v>1</v>
      </c>
      <c r="BC3054" t="s">
        <v>6210</v>
      </c>
      <c r="BD3054" s="4">
        <v>43282.996249999997</v>
      </c>
      <c r="BE3054" s="4">
        <v>43282.999907407408</v>
      </c>
      <c r="BF3054" s="4">
        <v>43282.999907407408</v>
      </c>
      <c r="BG3054" t="s">
        <v>373</v>
      </c>
      <c r="BH3054" t="s">
        <v>374</v>
      </c>
      <c r="BI3054" t="s">
        <v>85</v>
      </c>
    </row>
    <row r="3055" spans="1:61" x14ac:dyDescent="0.3">
      <c r="A3055" t="str">
        <f>"200521C0100"</f>
        <v>200521C0100</v>
      </c>
      <c r="B3055" t="s">
        <v>6211</v>
      </c>
      <c r="C3055">
        <v>20</v>
      </c>
      <c r="D3055" t="s">
        <v>79</v>
      </c>
      <c r="E3055">
        <v>14</v>
      </c>
      <c r="F3055" t="s">
        <v>5455</v>
      </c>
      <c r="G3055">
        <v>521</v>
      </c>
      <c r="H3055">
        <v>1</v>
      </c>
      <c r="I3055" t="s">
        <v>89</v>
      </c>
      <c r="J3055">
        <v>0</v>
      </c>
      <c r="K3055">
        <v>1</v>
      </c>
      <c r="L3055">
        <v>2</v>
      </c>
      <c r="M3055">
        <v>230</v>
      </c>
      <c r="N3055">
        <v>387</v>
      </c>
      <c r="O3055">
        <v>4</v>
      </c>
      <c r="P3055">
        <v>387</v>
      </c>
      <c r="Q3055">
        <v>64</v>
      </c>
      <c r="R3055">
        <v>58</v>
      </c>
      <c r="S3055">
        <v>3</v>
      </c>
      <c r="T3055">
        <v>19</v>
      </c>
      <c r="U3055">
        <v>16</v>
      </c>
      <c r="V3055">
        <v>10</v>
      </c>
      <c r="W3055">
        <v>4</v>
      </c>
      <c r="X3055">
        <v>4</v>
      </c>
      <c r="Y3055">
        <v>150</v>
      </c>
      <c r="Z3055">
        <v>8</v>
      </c>
      <c r="AA3055">
        <v>5</v>
      </c>
      <c r="AB3055">
        <v>13</v>
      </c>
      <c r="AC3055">
        <v>1</v>
      </c>
      <c r="AD3055">
        <v>0</v>
      </c>
      <c r="AE3055">
        <v>0</v>
      </c>
      <c r="AF3055">
        <v>0</v>
      </c>
      <c r="AK3055">
        <v>5</v>
      </c>
      <c r="AL3055">
        <v>1</v>
      </c>
      <c r="AM3055">
        <v>0</v>
      </c>
      <c r="AN3055">
        <v>2</v>
      </c>
      <c r="AT3055">
        <v>0</v>
      </c>
      <c r="AU3055">
        <v>24</v>
      </c>
      <c r="AV3055">
        <v>387</v>
      </c>
      <c r="AW3055">
        <v>387</v>
      </c>
      <c r="AX3055">
        <v>595</v>
      </c>
      <c r="BA3055">
        <v>1</v>
      </c>
      <c r="BC3055" t="s">
        <v>6212</v>
      </c>
      <c r="BD3055" s="4">
        <v>43282.984201388892</v>
      </c>
      <c r="BE3055" s="4">
        <v>43282.987557870372</v>
      </c>
      <c r="BF3055" s="4">
        <v>43282.987557870372</v>
      </c>
      <c r="BG3055" t="s">
        <v>373</v>
      </c>
      <c r="BH3055" t="s">
        <v>374</v>
      </c>
      <c r="BI3055" t="s">
        <v>85</v>
      </c>
    </row>
    <row r="3056" spans="1:61" x14ac:dyDescent="0.3">
      <c r="A3056" t="str">
        <f>"200521C0200"</f>
        <v>200521C0200</v>
      </c>
      <c r="B3056" t="s">
        <v>6213</v>
      </c>
      <c r="C3056">
        <v>20</v>
      </c>
      <c r="D3056" t="s">
        <v>79</v>
      </c>
      <c r="E3056">
        <v>14</v>
      </c>
      <c r="F3056" t="s">
        <v>5455</v>
      </c>
      <c r="G3056">
        <v>521</v>
      </c>
      <c r="H3056">
        <v>2</v>
      </c>
      <c r="I3056" t="s">
        <v>89</v>
      </c>
      <c r="J3056">
        <v>0</v>
      </c>
      <c r="K3056">
        <v>1</v>
      </c>
      <c r="L3056">
        <v>2</v>
      </c>
      <c r="M3056">
        <v>221</v>
      </c>
      <c r="N3056">
        <v>394</v>
      </c>
      <c r="O3056">
        <v>6</v>
      </c>
      <c r="P3056">
        <v>394</v>
      </c>
      <c r="Q3056">
        <v>46</v>
      </c>
      <c r="R3056">
        <v>42</v>
      </c>
      <c r="S3056">
        <v>3</v>
      </c>
      <c r="T3056">
        <v>20</v>
      </c>
      <c r="U3056">
        <v>31</v>
      </c>
      <c r="V3056">
        <v>6</v>
      </c>
      <c r="W3056">
        <v>5</v>
      </c>
      <c r="X3056">
        <v>4</v>
      </c>
      <c r="Y3056">
        <v>179</v>
      </c>
      <c r="Z3056">
        <v>8</v>
      </c>
      <c r="AA3056">
        <v>6</v>
      </c>
      <c r="AB3056">
        <v>17</v>
      </c>
      <c r="AC3056">
        <v>0</v>
      </c>
      <c r="AD3056">
        <v>1</v>
      </c>
      <c r="AE3056">
        <v>0</v>
      </c>
      <c r="AF3056">
        <v>0</v>
      </c>
      <c r="AK3056">
        <v>2</v>
      </c>
      <c r="AL3056">
        <v>1</v>
      </c>
      <c r="AM3056">
        <v>0</v>
      </c>
      <c r="AN3056">
        <v>2</v>
      </c>
      <c r="AT3056">
        <v>0</v>
      </c>
      <c r="AU3056">
        <v>21</v>
      </c>
      <c r="AV3056" t="s">
        <v>100</v>
      </c>
      <c r="AW3056">
        <v>394</v>
      </c>
      <c r="AX3056">
        <v>594</v>
      </c>
      <c r="BA3056">
        <v>1</v>
      </c>
      <c r="BC3056" t="s">
        <v>6214</v>
      </c>
      <c r="BD3056" s="4">
        <v>43282.991863425923</v>
      </c>
      <c r="BE3056" s="4">
        <v>43283.008935185186</v>
      </c>
      <c r="BF3056" s="4">
        <v>43283.008935185186</v>
      </c>
      <c r="BG3056" t="s">
        <v>373</v>
      </c>
      <c r="BH3056" t="s">
        <v>374</v>
      </c>
      <c r="BI3056" t="s">
        <v>85</v>
      </c>
    </row>
    <row r="3057" spans="1:61" x14ac:dyDescent="0.3">
      <c r="A3057" t="str">
        <f>"200522B0100"</f>
        <v>200522B0100</v>
      </c>
      <c r="B3057" t="s">
        <v>6215</v>
      </c>
      <c r="C3057">
        <v>20</v>
      </c>
      <c r="D3057" t="s">
        <v>79</v>
      </c>
      <c r="E3057">
        <v>14</v>
      </c>
      <c r="F3057" t="s">
        <v>5455</v>
      </c>
      <c r="G3057">
        <v>522</v>
      </c>
      <c r="H3057">
        <v>1</v>
      </c>
      <c r="I3057" t="s">
        <v>81</v>
      </c>
      <c r="J3057">
        <v>0</v>
      </c>
      <c r="K3057">
        <v>1</v>
      </c>
      <c r="L3057">
        <v>2</v>
      </c>
      <c r="M3057">
        <v>221</v>
      </c>
      <c r="N3057" t="s">
        <v>100</v>
      </c>
      <c r="O3057">
        <v>5</v>
      </c>
      <c r="P3057" t="s">
        <v>100</v>
      </c>
      <c r="Q3057">
        <v>60</v>
      </c>
      <c r="R3057">
        <v>48</v>
      </c>
      <c r="S3057">
        <v>19</v>
      </c>
      <c r="T3057">
        <v>4</v>
      </c>
      <c r="U3057">
        <v>16</v>
      </c>
      <c r="V3057">
        <v>12</v>
      </c>
      <c r="W3057">
        <v>6</v>
      </c>
      <c r="X3057">
        <v>6</v>
      </c>
      <c r="Y3057">
        <v>165</v>
      </c>
      <c r="Z3057">
        <v>7</v>
      </c>
      <c r="AA3057">
        <v>6</v>
      </c>
      <c r="AB3057">
        <v>4</v>
      </c>
      <c r="AC3057">
        <v>2</v>
      </c>
      <c r="AD3057">
        <v>2</v>
      </c>
      <c r="AE3057">
        <v>1</v>
      </c>
      <c r="AF3057">
        <v>1</v>
      </c>
      <c r="AK3057">
        <v>5</v>
      </c>
      <c r="AL3057">
        <v>2</v>
      </c>
      <c r="AM3057">
        <v>0</v>
      </c>
      <c r="AN3057">
        <v>1</v>
      </c>
      <c r="AT3057">
        <v>0</v>
      </c>
      <c r="AU3057">
        <v>21</v>
      </c>
      <c r="AV3057">
        <v>389</v>
      </c>
      <c r="AW3057">
        <v>388</v>
      </c>
      <c r="AX3057">
        <v>587</v>
      </c>
      <c r="BA3057">
        <v>1</v>
      </c>
      <c r="BC3057" t="s">
        <v>6216</v>
      </c>
      <c r="BD3057" s="4">
        <v>43283.25277777778</v>
      </c>
      <c r="BE3057" s="4">
        <v>43283.283414351848</v>
      </c>
      <c r="BF3057" s="4">
        <v>43283.283414351848</v>
      </c>
      <c r="BG3057" t="s">
        <v>83</v>
      </c>
      <c r="BH3057" t="s">
        <v>84</v>
      </c>
      <c r="BI3057" t="s">
        <v>85</v>
      </c>
    </row>
    <row r="3058" spans="1:61" x14ac:dyDescent="0.3">
      <c r="A3058" t="str">
        <f>"200522C0100"</f>
        <v>200522C0100</v>
      </c>
      <c r="B3058" t="s">
        <v>6217</v>
      </c>
      <c r="C3058">
        <v>20</v>
      </c>
      <c r="D3058" t="s">
        <v>79</v>
      </c>
      <c r="E3058">
        <v>14</v>
      </c>
      <c r="F3058" t="s">
        <v>5455</v>
      </c>
      <c r="G3058">
        <v>522</v>
      </c>
      <c r="H3058">
        <v>1</v>
      </c>
      <c r="I3058" t="s">
        <v>89</v>
      </c>
      <c r="J3058">
        <v>0</v>
      </c>
      <c r="K3058">
        <v>1</v>
      </c>
      <c r="L3058">
        <v>2</v>
      </c>
      <c r="M3058">
        <v>180</v>
      </c>
      <c r="N3058">
        <v>428</v>
      </c>
      <c r="O3058">
        <v>7</v>
      </c>
      <c r="P3058">
        <v>428</v>
      </c>
      <c r="Q3058">
        <v>43</v>
      </c>
      <c r="R3058">
        <v>52</v>
      </c>
      <c r="S3058">
        <v>9</v>
      </c>
      <c r="T3058">
        <v>18</v>
      </c>
      <c r="U3058">
        <v>16</v>
      </c>
      <c r="V3058">
        <v>5</v>
      </c>
      <c r="W3058">
        <v>9</v>
      </c>
      <c r="X3058">
        <v>5</v>
      </c>
      <c r="Y3058">
        <v>212</v>
      </c>
      <c r="Z3058">
        <v>7</v>
      </c>
      <c r="AA3058">
        <v>2</v>
      </c>
      <c r="AB3058">
        <v>19</v>
      </c>
      <c r="AC3058">
        <v>2</v>
      </c>
      <c r="AD3058">
        <v>1</v>
      </c>
      <c r="AE3058">
        <v>0</v>
      </c>
      <c r="AF3058">
        <v>0</v>
      </c>
      <c r="AK3058">
        <v>6</v>
      </c>
      <c r="AL3058">
        <v>4</v>
      </c>
      <c r="AM3058">
        <v>0</v>
      </c>
      <c r="AN3058">
        <v>0</v>
      </c>
      <c r="AT3058">
        <v>0</v>
      </c>
      <c r="AU3058">
        <v>18</v>
      </c>
      <c r="AV3058">
        <v>428</v>
      </c>
      <c r="AW3058">
        <v>428</v>
      </c>
      <c r="AX3058">
        <v>586</v>
      </c>
      <c r="BA3058">
        <v>1</v>
      </c>
      <c r="BC3058" t="s">
        <v>6218</v>
      </c>
      <c r="BD3058" s="4">
        <v>43283.252083333333</v>
      </c>
      <c r="BE3058" s="4">
        <v>43283.278495370374</v>
      </c>
      <c r="BF3058" s="4">
        <v>43283.278495370374</v>
      </c>
      <c r="BG3058" t="s">
        <v>83</v>
      </c>
      <c r="BH3058" t="s">
        <v>84</v>
      </c>
      <c r="BI3058" t="s">
        <v>85</v>
      </c>
    </row>
    <row r="3059" spans="1:61" x14ac:dyDescent="0.3">
      <c r="A3059" t="str">
        <f>"200523B0100"</f>
        <v>200523B0100</v>
      </c>
      <c r="B3059" t="s">
        <v>6219</v>
      </c>
      <c r="C3059">
        <v>20</v>
      </c>
      <c r="D3059" t="s">
        <v>79</v>
      </c>
      <c r="E3059">
        <v>14</v>
      </c>
      <c r="F3059" t="s">
        <v>5455</v>
      </c>
      <c r="G3059">
        <v>523</v>
      </c>
      <c r="H3059">
        <v>1</v>
      </c>
      <c r="I3059" t="s">
        <v>81</v>
      </c>
      <c r="J3059">
        <v>0</v>
      </c>
      <c r="K3059">
        <v>1</v>
      </c>
      <c r="L3059">
        <v>2</v>
      </c>
      <c r="M3059">
        <v>179</v>
      </c>
      <c r="N3059">
        <v>424</v>
      </c>
      <c r="O3059">
        <v>6</v>
      </c>
      <c r="P3059">
        <v>424</v>
      </c>
      <c r="Q3059">
        <v>29</v>
      </c>
      <c r="R3059">
        <v>77</v>
      </c>
      <c r="S3059">
        <v>4</v>
      </c>
      <c r="T3059">
        <v>16</v>
      </c>
      <c r="U3059">
        <v>7</v>
      </c>
      <c r="V3059">
        <v>10</v>
      </c>
      <c r="W3059">
        <v>8</v>
      </c>
      <c r="X3059">
        <v>7</v>
      </c>
      <c r="Y3059">
        <v>216</v>
      </c>
      <c r="Z3059">
        <v>5</v>
      </c>
      <c r="AA3059">
        <v>2</v>
      </c>
      <c r="AB3059">
        <v>10</v>
      </c>
      <c r="AC3059">
        <v>1</v>
      </c>
      <c r="AD3059">
        <v>0</v>
      </c>
      <c r="AE3059">
        <v>0</v>
      </c>
      <c r="AF3059">
        <v>0</v>
      </c>
      <c r="AK3059">
        <v>5</v>
      </c>
      <c r="AL3059">
        <v>3</v>
      </c>
      <c r="AM3059">
        <v>0</v>
      </c>
      <c r="AN3059">
        <v>2</v>
      </c>
      <c r="AT3059" t="s">
        <v>100</v>
      </c>
      <c r="AU3059">
        <v>22</v>
      </c>
      <c r="AV3059">
        <v>424</v>
      </c>
      <c r="AW3059">
        <v>424</v>
      </c>
      <c r="AX3059">
        <v>581</v>
      </c>
      <c r="AZ3059" t="s">
        <v>101</v>
      </c>
      <c r="BA3059">
        <v>1</v>
      </c>
      <c r="BC3059" t="s">
        <v>6220</v>
      </c>
      <c r="BD3059" s="4">
        <v>43283.197222222225</v>
      </c>
      <c r="BE3059" s="4">
        <v>43283.21466435185</v>
      </c>
      <c r="BF3059" s="4">
        <v>43283.21466435185</v>
      </c>
      <c r="BG3059" t="s">
        <v>83</v>
      </c>
      <c r="BH3059" t="s">
        <v>84</v>
      </c>
      <c r="BI3059" t="s">
        <v>85</v>
      </c>
    </row>
    <row r="3060" spans="1:61" x14ac:dyDescent="0.3">
      <c r="A3060" t="str">
        <f>"200523C0100"</f>
        <v>200523C0100</v>
      </c>
      <c r="B3060" t="s">
        <v>6221</v>
      </c>
      <c r="C3060">
        <v>20</v>
      </c>
      <c r="D3060" t="s">
        <v>79</v>
      </c>
      <c r="E3060">
        <v>14</v>
      </c>
      <c r="F3060" t="s">
        <v>5455</v>
      </c>
      <c r="G3060">
        <v>523</v>
      </c>
      <c r="H3060">
        <v>1</v>
      </c>
      <c r="I3060" t="s">
        <v>89</v>
      </c>
      <c r="J3060">
        <v>0</v>
      </c>
      <c r="K3060">
        <v>1</v>
      </c>
      <c r="L3060">
        <v>2</v>
      </c>
      <c r="M3060">
        <v>181</v>
      </c>
      <c r="N3060">
        <v>421</v>
      </c>
      <c r="O3060">
        <v>11</v>
      </c>
      <c r="P3060">
        <v>422</v>
      </c>
      <c r="Q3060">
        <v>41</v>
      </c>
      <c r="R3060">
        <v>81</v>
      </c>
      <c r="S3060">
        <v>12</v>
      </c>
      <c r="T3060">
        <v>11</v>
      </c>
      <c r="U3060">
        <v>15</v>
      </c>
      <c r="V3060">
        <v>10</v>
      </c>
      <c r="W3060">
        <v>8</v>
      </c>
      <c r="X3060">
        <v>9</v>
      </c>
      <c r="Y3060">
        <v>192</v>
      </c>
      <c r="Z3060">
        <v>11</v>
      </c>
      <c r="AA3060">
        <v>3</v>
      </c>
      <c r="AB3060">
        <v>12</v>
      </c>
      <c r="AC3060">
        <v>1</v>
      </c>
      <c r="AD3060">
        <v>1</v>
      </c>
      <c r="AE3060">
        <v>0</v>
      </c>
      <c r="AF3060">
        <v>0</v>
      </c>
      <c r="AK3060">
        <v>2</v>
      </c>
      <c r="AL3060">
        <v>0</v>
      </c>
      <c r="AM3060">
        <v>0</v>
      </c>
      <c r="AN3060">
        <v>1</v>
      </c>
      <c r="AT3060">
        <v>0</v>
      </c>
      <c r="AU3060">
        <v>11</v>
      </c>
      <c r="AV3060">
        <v>422</v>
      </c>
      <c r="AW3060">
        <v>421</v>
      </c>
      <c r="AX3060">
        <v>581</v>
      </c>
      <c r="BA3060">
        <v>1</v>
      </c>
      <c r="BC3060" t="s">
        <v>6222</v>
      </c>
      <c r="BD3060" s="4">
        <v>43283.200694444444</v>
      </c>
      <c r="BE3060" s="4">
        <v>43283.217812499999</v>
      </c>
      <c r="BF3060" s="4">
        <v>43283.217812499999</v>
      </c>
      <c r="BG3060" t="s">
        <v>83</v>
      </c>
      <c r="BH3060" t="s">
        <v>84</v>
      </c>
      <c r="BI3060" t="s">
        <v>85</v>
      </c>
    </row>
    <row r="3061" spans="1:61" x14ac:dyDescent="0.3">
      <c r="A3061" t="str">
        <f>"200526B0100"</f>
        <v>200526B0100</v>
      </c>
      <c r="B3061" t="s">
        <v>6223</v>
      </c>
      <c r="C3061">
        <v>20</v>
      </c>
      <c r="D3061" t="s">
        <v>79</v>
      </c>
      <c r="E3061">
        <v>14</v>
      </c>
      <c r="F3061" t="s">
        <v>5455</v>
      </c>
      <c r="G3061">
        <v>526</v>
      </c>
      <c r="H3061">
        <v>1</v>
      </c>
      <c r="I3061" t="s">
        <v>81</v>
      </c>
      <c r="J3061">
        <v>0</v>
      </c>
      <c r="K3061">
        <v>1</v>
      </c>
      <c r="L3061">
        <v>2</v>
      </c>
      <c r="M3061">
        <v>204</v>
      </c>
      <c r="N3061">
        <v>325</v>
      </c>
      <c r="O3061">
        <v>5</v>
      </c>
      <c r="P3061">
        <v>325</v>
      </c>
      <c r="Q3061">
        <v>37</v>
      </c>
      <c r="R3061">
        <v>48</v>
      </c>
      <c r="S3061">
        <v>2</v>
      </c>
      <c r="T3061">
        <v>12</v>
      </c>
      <c r="U3061">
        <v>10</v>
      </c>
      <c r="V3061">
        <v>6</v>
      </c>
      <c r="W3061">
        <v>4</v>
      </c>
      <c r="X3061">
        <v>5</v>
      </c>
      <c r="Y3061">
        <v>163</v>
      </c>
      <c r="Z3061">
        <v>3</v>
      </c>
      <c r="AA3061">
        <v>2</v>
      </c>
      <c r="AB3061">
        <v>14</v>
      </c>
      <c r="AC3061">
        <v>1</v>
      </c>
      <c r="AD3061" t="s">
        <v>100</v>
      </c>
      <c r="AE3061" t="s">
        <v>100</v>
      </c>
      <c r="AF3061" t="s">
        <v>100</v>
      </c>
      <c r="AK3061">
        <v>5</v>
      </c>
      <c r="AL3061" t="s">
        <v>100</v>
      </c>
      <c r="AM3061" t="s">
        <v>100</v>
      </c>
      <c r="AN3061" t="s">
        <v>100</v>
      </c>
      <c r="AT3061" t="s">
        <v>100</v>
      </c>
      <c r="AU3061">
        <v>13</v>
      </c>
      <c r="AV3061">
        <v>325</v>
      </c>
      <c r="AW3061">
        <v>325</v>
      </c>
      <c r="AX3061">
        <v>505</v>
      </c>
      <c r="AZ3061" t="s">
        <v>101</v>
      </c>
      <c r="BA3061">
        <v>1</v>
      </c>
      <c r="BC3061" t="s">
        <v>6224</v>
      </c>
      <c r="BD3061" s="4">
        <v>43283.061805555553</v>
      </c>
      <c r="BE3061" s="4">
        <v>43283.066087962965</v>
      </c>
      <c r="BF3061" s="4">
        <v>43283.066087962965</v>
      </c>
      <c r="BG3061" t="s">
        <v>83</v>
      </c>
      <c r="BH3061" t="s">
        <v>84</v>
      </c>
      <c r="BI3061" t="s">
        <v>85</v>
      </c>
    </row>
    <row r="3062" spans="1:61" x14ac:dyDescent="0.3">
      <c r="A3062" t="str">
        <f>"200526C0100"</f>
        <v>200526C0100</v>
      </c>
      <c r="B3062" t="s">
        <v>6225</v>
      </c>
      <c r="C3062">
        <v>20</v>
      </c>
      <c r="D3062" t="s">
        <v>79</v>
      </c>
      <c r="E3062">
        <v>14</v>
      </c>
      <c r="F3062" t="s">
        <v>5455</v>
      </c>
      <c r="G3062">
        <v>526</v>
      </c>
      <c r="H3062">
        <v>1</v>
      </c>
      <c r="I3062" t="s">
        <v>89</v>
      </c>
      <c r="J3062">
        <v>0</v>
      </c>
      <c r="K3062">
        <v>1</v>
      </c>
      <c r="L3062">
        <v>2</v>
      </c>
      <c r="M3062">
        <v>206</v>
      </c>
      <c r="N3062">
        <v>312</v>
      </c>
      <c r="O3062">
        <v>7</v>
      </c>
      <c r="P3062">
        <v>302</v>
      </c>
      <c r="Q3062">
        <v>39</v>
      </c>
      <c r="R3062">
        <v>52</v>
      </c>
      <c r="S3062">
        <v>6</v>
      </c>
      <c r="T3062">
        <v>8</v>
      </c>
      <c r="U3062">
        <v>11</v>
      </c>
      <c r="V3062">
        <v>3</v>
      </c>
      <c r="W3062">
        <v>6</v>
      </c>
      <c r="X3062">
        <v>4</v>
      </c>
      <c r="Y3062">
        <v>152</v>
      </c>
      <c r="Z3062">
        <v>12</v>
      </c>
      <c r="AA3062">
        <v>1</v>
      </c>
      <c r="AB3062">
        <v>4</v>
      </c>
      <c r="AC3062">
        <v>2</v>
      </c>
      <c r="AD3062">
        <v>2</v>
      </c>
      <c r="AE3062" t="s">
        <v>100</v>
      </c>
      <c r="AF3062" t="s">
        <v>100</v>
      </c>
      <c r="AK3062">
        <v>3</v>
      </c>
      <c r="AL3062" t="s">
        <v>100</v>
      </c>
      <c r="AM3062" t="s">
        <v>100</v>
      </c>
      <c r="AN3062" t="s">
        <v>100</v>
      </c>
      <c r="AT3062" t="s">
        <v>100</v>
      </c>
      <c r="AU3062">
        <v>13</v>
      </c>
      <c r="AV3062">
        <v>318</v>
      </c>
      <c r="AW3062">
        <v>318</v>
      </c>
      <c r="AX3062">
        <v>505</v>
      </c>
      <c r="AZ3062" t="s">
        <v>101</v>
      </c>
      <c r="BA3062">
        <v>1</v>
      </c>
      <c r="BC3062" t="s">
        <v>6226</v>
      </c>
      <c r="BD3062" s="4">
        <v>43283.054861111108</v>
      </c>
      <c r="BE3062" s="4">
        <v>43283.061782407407</v>
      </c>
      <c r="BF3062" s="4">
        <v>43283.061782407407</v>
      </c>
      <c r="BG3062" t="s">
        <v>83</v>
      </c>
      <c r="BH3062" t="s">
        <v>84</v>
      </c>
      <c r="BI3062" t="s">
        <v>85</v>
      </c>
    </row>
    <row r="3063" spans="1:61" x14ac:dyDescent="0.3">
      <c r="A3063" t="str">
        <f>"200527B0100"</f>
        <v>200527B0100</v>
      </c>
      <c r="B3063" t="s">
        <v>6227</v>
      </c>
      <c r="C3063">
        <v>20</v>
      </c>
      <c r="D3063" t="s">
        <v>79</v>
      </c>
      <c r="E3063">
        <v>14</v>
      </c>
      <c r="F3063" t="s">
        <v>5455</v>
      </c>
      <c r="G3063">
        <v>527</v>
      </c>
      <c r="H3063">
        <v>1</v>
      </c>
      <c r="I3063" t="s">
        <v>81</v>
      </c>
      <c r="J3063">
        <v>0</v>
      </c>
      <c r="K3063">
        <v>1</v>
      </c>
      <c r="L3063">
        <v>2</v>
      </c>
      <c r="M3063">
        <v>227</v>
      </c>
      <c r="N3063">
        <v>420</v>
      </c>
      <c r="O3063">
        <v>4</v>
      </c>
      <c r="P3063">
        <v>420</v>
      </c>
      <c r="Q3063">
        <v>68</v>
      </c>
      <c r="R3063">
        <v>49</v>
      </c>
      <c r="S3063">
        <v>6</v>
      </c>
      <c r="T3063">
        <v>21</v>
      </c>
      <c r="U3063">
        <v>13</v>
      </c>
      <c r="V3063">
        <v>6</v>
      </c>
      <c r="W3063">
        <v>8</v>
      </c>
      <c r="X3063">
        <v>5</v>
      </c>
      <c r="Y3063">
        <v>199</v>
      </c>
      <c r="Z3063">
        <v>6</v>
      </c>
      <c r="AA3063">
        <v>4</v>
      </c>
      <c r="AB3063">
        <v>9</v>
      </c>
      <c r="AC3063">
        <v>0</v>
      </c>
      <c r="AD3063">
        <v>1</v>
      </c>
      <c r="AE3063">
        <v>0</v>
      </c>
      <c r="AF3063">
        <v>0</v>
      </c>
      <c r="AK3063">
        <v>5</v>
      </c>
      <c r="AL3063">
        <v>1</v>
      </c>
      <c r="AM3063">
        <v>0</v>
      </c>
      <c r="AN3063">
        <v>1</v>
      </c>
      <c r="AT3063">
        <v>0</v>
      </c>
      <c r="AU3063">
        <v>18</v>
      </c>
      <c r="AV3063">
        <v>420</v>
      </c>
      <c r="AW3063">
        <v>420</v>
      </c>
      <c r="AX3063">
        <v>625</v>
      </c>
      <c r="BA3063">
        <v>1</v>
      </c>
      <c r="BC3063" t="s">
        <v>6228</v>
      </c>
      <c r="BD3063" s="4">
        <v>43283.242361111108</v>
      </c>
      <c r="BE3063" s="4">
        <v>43283.267094907409</v>
      </c>
      <c r="BF3063" s="4">
        <v>43283.267094907409</v>
      </c>
      <c r="BG3063" t="s">
        <v>83</v>
      </c>
      <c r="BH3063" t="s">
        <v>84</v>
      </c>
      <c r="BI3063" t="s">
        <v>85</v>
      </c>
    </row>
    <row r="3064" spans="1:61" x14ac:dyDescent="0.3">
      <c r="A3064" t="str">
        <f>"200527C0100"</f>
        <v>200527C0100</v>
      </c>
      <c r="B3064" t="s">
        <v>6229</v>
      </c>
      <c r="C3064">
        <v>20</v>
      </c>
      <c r="D3064" t="s">
        <v>79</v>
      </c>
      <c r="E3064">
        <v>14</v>
      </c>
      <c r="F3064" t="s">
        <v>5455</v>
      </c>
      <c r="G3064">
        <v>527</v>
      </c>
      <c r="H3064">
        <v>1</v>
      </c>
      <c r="I3064" t="s">
        <v>89</v>
      </c>
      <c r="J3064">
        <v>0</v>
      </c>
      <c r="K3064">
        <v>1</v>
      </c>
      <c r="L3064">
        <v>2</v>
      </c>
      <c r="M3064">
        <v>209</v>
      </c>
      <c r="N3064">
        <v>438</v>
      </c>
      <c r="O3064">
        <v>7</v>
      </c>
      <c r="P3064">
        <v>438</v>
      </c>
      <c r="Q3064">
        <v>51</v>
      </c>
      <c r="R3064">
        <v>60</v>
      </c>
      <c r="S3064">
        <v>3</v>
      </c>
      <c r="T3064">
        <v>27</v>
      </c>
      <c r="U3064">
        <v>18</v>
      </c>
      <c r="V3064">
        <v>7</v>
      </c>
      <c r="W3064">
        <v>8</v>
      </c>
      <c r="X3064">
        <v>2</v>
      </c>
      <c r="Y3064">
        <v>204</v>
      </c>
      <c r="Z3064">
        <v>6</v>
      </c>
      <c r="AA3064">
        <v>2</v>
      </c>
      <c r="AB3064">
        <v>13</v>
      </c>
      <c r="AC3064">
        <v>0</v>
      </c>
      <c r="AD3064">
        <v>0</v>
      </c>
      <c r="AE3064">
        <v>0</v>
      </c>
      <c r="AF3064">
        <v>0</v>
      </c>
      <c r="AK3064">
        <v>1</v>
      </c>
      <c r="AL3064">
        <v>3</v>
      </c>
      <c r="AM3064">
        <v>0</v>
      </c>
      <c r="AN3064">
        <v>8</v>
      </c>
      <c r="AT3064">
        <v>0</v>
      </c>
      <c r="AU3064">
        <v>25</v>
      </c>
      <c r="AV3064">
        <v>438</v>
      </c>
      <c r="AW3064">
        <v>438</v>
      </c>
      <c r="AX3064">
        <v>625</v>
      </c>
      <c r="BA3064">
        <v>1</v>
      </c>
      <c r="BC3064" t="s">
        <v>6230</v>
      </c>
      <c r="BD3064" s="4">
        <v>43283.231249999997</v>
      </c>
      <c r="BE3064" s="4">
        <v>43283.254745370374</v>
      </c>
      <c r="BF3064" s="4">
        <v>43283.254745370374</v>
      </c>
      <c r="BG3064" t="s">
        <v>83</v>
      </c>
      <c r="BH3064" t="s">
        <v>84</v>
      </c>
      <c r="BI3064" t="s">
        <v>85</v>
      </c>
    </row>
    <row r="3065" spans="1:61" x14ac:dyDescent="0.3">
      <c r="A3065" t="str">
        <f>"200528B0100"</f>
        <v>200528B0100</v>
      </c>
      <c r="B3065" t="s">
        <v>6231</v>
      </c>
      <c r="C3065">
        <v>20</v>
      </c>
      <c r="D3065" t="s">
        <v>79</v>
      </c>
      <c r="E3065">
        <v>14</v>
      </c>
      <c r="F3065" t="s">
        <v>5455</v>
      </c>
      <c r="G3065">
        <v>528</v>
      </c>
      <c r="H3065">
        <v>1</v>
      </c>
      <c r="I3065" t="s">
        <v>81</v>
      </c>
      <c r="J3065">
        <v>0</v>
      </c>
      <c r="K3065">
        <v>1</v>
      </c>
      <c r="L3065">
        <v>2</v>
      </c>
      <c r="M3065">
        <v>176</v>
      </c>
      <c r="N3065">
        <v>352</v>
      </c>
      <c r="O3065">
        <v>5</v>
      </c>
      <c r="P3065">
        <v>352</v>
      </c>
      <c r="Q3065">
        <v>42</v>
      </c>
      <c r="R3065">
        <v>51</v>
      </c>
      <c r="S3065">
        <v>6</v>
      </c>
      <c r="T3065">
        <v>16</v>
      </c>
      <c r="U3065">
        <v>7</v>
      </c>
      <c r="V3065">
        <v>7</v>
      </c>
      <c r="W3065">
        <v>8</v>
      </c>
      <c r="X3065">
        <v>6</v>
      </c>
      <c r="Y3065">
        <v>184</v>
      </c>
      <c r="Z3065">
        <v>2</v>
      </c>
      <c r="AA3065">
        <v>1</v>
      </c>
      <c r="AB3065">
        <v>9</v>
      </c>
      <c r="AC3065">
        <v>0</v>
      </c>
      <c r="AD3065">
        <v>0</v>
      </c>
      <c r="AE3065">
        <v>0</v>
      </c>
      <c r="AF3065">
        <v>0</v>
      </c>
      <c r="AK3065">
        <v>3</v>
      </c>
      <c r="AL3065">
        <v>1</v>
      </c>
      <c r="AM3065">
        <v>0</v>
      </c>
      <c r="AN3065">
        <v>0</v>
      </c>
      <c r="AT3065">
        <v>0</v>
      </c>
      <c r="AU3065">
        <v>9</v>
      </c>
      <c r="AV3065">
        <v>352</v>
      </c>
      <c r="AW3065">
        <v>352</v>
      </c>
      <c r="AX3065">
        <v>506</v>
      </c>
      <c r="BA3065">
        <v>1</v>
      </c>
      <c r="BC3065" t="s">
        <v>6232</v>
      </c>
      <c r="BD3065" s="4">
        <v>43283.118055555555</v>
      </c>
      <c r="BE3065" s="4">
        <v>43283.124803240738</v>
      </c>
      <c r="BF3065" s="4">
        <v>43283.124803240738</v>
      </c>
      <c r="BG3065" t="s">
        <v>83</v>
      </c>
      <c r="BH3065" t="s">
        <v>84</v>
      </c>
      <c r="BI3065" t="s">
        <v>85</v>
      </c>
    </row>
    <row r="3066" spans="1:61" x14ac:dyDescent="0.3">
      <c r="A3066" t="str">
        <f>"200528C0100"</f>
        <v>200528C0100</v>
      </c>
      <c r="B3066" t="s">
        <v>6233</v>
      </c>
      <c r="C3066">
        <v>20</v>
      </c>
      <c r="D3066" t="s">
        <v>79</v>
      </c>
      <c r="E3066">
        <v>14</v>
      </c>
      <c r="F3066" t="s">
        <v>5455</v>
      </c>
      <c r="G3066">
        <v>528</v>
      </c>
      <c r="H3066">
        <v>1</v>
      </c>
      <c r="I3066" t="s">
        <v>89</v>
      </c>
      <c r="J3066">
        <v>0</v>
      </c>
      <c r="K3066">
        <v>1</v>
      </c>
      <c r="L3066">
        <v>2</v>
      </c>
      <c r="M3066">
        <v>173</v>
      </c>
      <c r="N3066">
        <v>355</v>
      </c>
      <c r="O3066">
        <v>3</v>
      </c>
      <c r="P3066">
        <v>358</v>
      </c>
      <c r="Q3066">
        <v>47</v>
      </c>
      <c r="R3066">
        <v>67</v>
      </c>
      <c r="S3066">
        <v>7</v>
      </c>
      <c r="T3066">
        <v>15</v>
      </c>
      <c r="U3066">
        <v>9</v>
      </c>
      <c r="V3066">
        <v>5</v>
      </c>
      <c r="W3066">
        <v>5</v>
      </c>
      <c r="X3066">
        <v>2</v>
      </c>
      <c r="Y3066">
        <v>165</v>
      </c>
      <c r="Z3066">
        <v>4</v>
      </c>
      <c r="AA3066">
        <v>4</v>
      </c>
      <c r="AB3066">
        <v>13</v>
      </c>
      <c r="AC3066">
        <v>0</v>
      </c>
      <c r="AD3066">
        <v>0</v>
      </c>
      <c r="AE3066">
        <v>0</v>
      </c>
      <c r="AF3066">
        <v>0</v>
      </c>
      <c r="AK3066">
        <v>2</v>
      </c>
      <c r="AL3066">
        <v>0</v>
      </c>
      <c r="AM3066">
        <v>0</v>
      </c>
      <c r="AN3066">
        <v>0</v>
      </c>
      <c r="AT3066">
        <v>0</v>
      </c>
      <c r="AU3066">
        <v>13</v>
      </c>
      <c r="AV3066">
        <v>358</v>
      </c>
      <c r="AW3066">
        <v>358</v>
      </c>
      <c r="AX3066">
        <v>506</v>
      </c>
      <c r="BA3066">
        <v>1</v>
      </c>
      <c r="BC3066" t="s">
        <v>6234</v>
      </c>
      <c r="BD3066" s="4">
        <v>43282.94699074074</v>
      </c>
      <c r="BE3066" s="4">
        <v>43282.951574074075</v>
      </c>
      <c r="BF3066" s="4">
        <v>43282.951574074075</v>
      </c>
      <c r="BG3066" t="s">
        <v>373</v>
      </c>
      <c r="BH3066" t="s">
        <v>374</v>
      </c>
      <c r="BI3066" t="s">
        <v>85</v>
      </c>
    </row>
    <row r="3067" spans="1:61" x14ac:dyDescent="0.3">
      <c r="A3067" t="str">
        <f>"200528C0200"</f>
        <v>200528C0200</v>
      </c>
      <c r="B3067" t="s">
        <v>6235</v>
      </c>
      <c r="C3067">
        <v>20</v>
      </c>
      <c r="D3067" t="s">
        <v>79</v>
      </c>
      <c r="E3067">
        <v>14</v>
      </c>
      <c r="F3067" t="s">
        <v>5455</v>
      </c>
      <c r="G3067">
        <v>528</v>
      </c>
      <c r="H3067">
        <v>2</v>
      </c>
      <c r="I3067" t="s">
        <v>89</v>
      </c>
      <c r="J3067">
        <v>0</v>
      </c>
      <c r="K3067">
        <v>1</v>
      </c>
      <c r="L3067">
        <v>2</v>
      </c>
      <c r="M3067">
        <v>172</v>
      </c>
      <c r="N3067">
        <v>354</v>
      </c>
      <c r="O3067">
        <v>5</v>
      </c>
      <c r="P3067">
        <v>354</v>
      </c>
      <c r="Q3067">
        <v>53</v>
      </c>
      <c r="R3067">
        <v>66</v>
      </c>
      <c r="S3067">
        <v>5</v>
      </c>
      <c r="T3067">
        <v>12</v>
      </c>
      <c r="U3067">
        <v>14</v>
      </c>
      <c r="V3067">
        <v>9</v>
      </c>
      <c r="W3067">
        <v>6</v>
      </c>
      <c r="X3067">
        <v>2</v>
      </c>
      <c r="Y3067">
        <v>155</v>
      </c>
      <c r="Z3067">
        <v>2</v>
      </c>
      <c r="AA3067">
        <v>1</v>
      </c>
      <c r="AB3067">
        <v>14</v>
      </c>
      <c r="AC3067">
        <v>1</v>
      </c>
      <c r="AD3067">
        <v>2</v>
      </c>
      <c r="AE3067">
        <v>0</v>
      </c>
      <c r="AF3067">
        <v>0</v>
      </c>
      <c r="AK3067">
        <v>0</v>
      </c>
      <c r="AL3067">
        <v>0</v>
      </c>
      <c r="AM3067">
        <v>0</v>
      </c>
      <c r="AN3067">
        <v>2</v>
      </c>
      <c r="AT3067">
        <v>1</v>
      </c>
      <c r="AU3067">
        <v>9</v>
      </c>
      <c r="AV3067">
        <v>354</v>
      </c>
      <c r="AW3067">
        <v>354</v>
      </c>
      <c r="AX3067">
        <v>506</v>
      </c>
      <c r="BA3067">
        <v>1</v>
      </c>
      <c r="BC3067" t="s">
        <v>6236</v>
      </c>
      <c r="BD3067" s="4">
        <v>43282.950520833336</v>
      </c>
      <c r="BE3067" s="4">
        <v>43282.953784722224</v>
      </c>
      <c r="BF3067" s="4">
        <v>43282.953784722224</v>
      </c>
      <c r="BG3067" t="s">
        <v>373</v>
      </c>
      <c r="BH3067" t="s">
        <v>374</v>
      </c>
      <c r="BI3067" t="s">
        <v>85</v>
      </c>
    </row>
    <row r="3068" spans="1:61" x14ac:dyDescent="0.3">
      <c r="A3068" t="str">
        <f>"200529B0100"</f>
        <v>200529B0100</v>
      </c>
      <c r="B3068" t="s">
        <v>6237</v>
      </c>
      <c r="C3068">
        <v>20</v>
      </c>
      <c r="D3068" t="s">
        <v>79</v>
      </c>
      <c r="E3068">
        <v>14</v>
      </c>
      <c r="F3068" t="s">
        <v>5455</v>
      </c>
      <c r="G3068">
        <v>529</v>
      </c>
      <c r="H3068">
        <v>1</v>
      </c>
      <c r="I3068" t="s">
        <v>81</v>
      </c>
      <c r="J3068">
        <v>0</v>
      </c>
      <c r="K3068">
        <v>1</v>
      </c>
      <c r="L3068">
        <v>2</v>
      </c>
      <c r="M3068">
        <v>173</v>
      </c>
      <c r="N3068">
        <v>424</v>
      </c>
      <c r="O3068">
        <v>0</v>
      </c>
      <c r="P3068">
        <v>424</v>
      </c>
      <c r="Q3068">
        <v>92</v>
      </c>
      <c r="R3068">
        <v>103</v>
      </c>
      <c r="S3068">
        <v>2</v>
      </c>
      <c r="T3068">
        <v>17</v>
      </c>
      <c r="U3068">
        <v>4</v>
      </c>
      <c r="V3068">
        <v>8</v>
      </c>
      <c r="W3068">
        <v>10</v>
      </c>
      <c r="X3068">
        <v>8</v>
      </c>
      <c r="Y3068">
        <v>137</v>
      </c>
      <c r="Z3068">
        <v>7</v>
      </c>
      <c r="AA3068">
        <v>4</v>
      </c>
      <c r="AB3068">
        <v>11</v>
      </c>
      <c r="AC3068">
        <v>0</v>
      </c>
      <c r="AD3068">
        <v>0</v>
      </c>
      <c r="AE3068">
        <v>0</v>
      </c>
      <c r="AF3068">
        <v>0</v>
      </c>
      <c r="AK3068">
        <v>4</v>
      </c>
      <c r="AL3068">
        <v>2</v>
      </c>
      <c r="AM3068">
        <v>3</v>
      </c>
      <c r="AN3068">
        <v>0</v>
      </c>
      <c r="AT3068">
        <v>0</v>
      </c>
      <c r="AU3068">
        <v>12</v>
      </c>
      <c r="AV3068">
        <v>424</v>
      </c>
      <c r="AW3068">
        <v>424</v>
      </c>
      <c r="AX3068">
        <v>576</v>
      </c>
      <c r="BA3068">
        <v>1</v>
      </c>
      <c r="BC3068" t="s">
        <v>6238</v>
      </c>
      <c r="BD3068" s="4">
        <v>43283.093055555553</v>
      </c>
      <c r="BE3068" s="4">
        <v>43283.098124999997</v>
      </c>
      <c r="BF3068" s="4">
        <v>43283.098124999997</v>
      </c>
      <c r="BG3068" t="s">
        <v>83</v>
      </c>
      <c r="BH3068" t="s">
        <v>84</v>
      </c>
      <c r="BI3068" t="s">
        <v>85</v>
      </c>
    </row>
    <row r="3069" spans="1:61" x14ac:dyDescent="0.3">
      <c r="A3069" t="str">
        <f>"200529C0100"</f>
        <v>200529C0100</v>
      </c>
      <c r="B3069" t="s">
        <v>6239</v>
      </c>
      <c r="C3069">
        <v>20</v>
      </c>
      <c r="D3069" t="s">
        <v>79</v>
      </c>
      <c r="E3069">
        <v>14</v>
      </c>
      <c r="F3069" t="s">
        <v>5455</v>
      </c>
      <c r="G3069">
        <v>529</v>
      </c>
      <c r="H3069">
        <v>1</v>
      </c>
      <c r="I3069" t="s">
        <v>89</v>
      </c>
      <c r="J3069">
        <v>0</v>
      </c>
      <c r="K3069">
        <v>1</v>
      </c>
      <c r="L3069">
        <v>2</v>
      </c>
      <c r="M3069">
        <v>177</v>
      </c>
      <c r="N3069">
        <v>421</v>
      </c>
      <c r="O3069">
        <v>10</v>
      </c>
      <c r="P3069">
        <v>421</v>
      </c>
      <c r="Q3069">
        <v>94</v>
      </c>
      <c r="R3069">
        <v>82</v>
      </c>
      <c r="S3069">
        <v>6</v>
      </c>
      <c r="T3069">
        <v>19</v>
      </c>
      <c r="U3069">
        <v>5</v>
      </c>
      <c r="V3069">
        <v>3</v>
      </c>
      <c r="W3069">
        <v>2</v>
      </c>
      <c r="X3069">
        <v>12</v>
      </c>
      <c r="Y3069">
        <v>152</v>
      </c>
      <c r="Z3069">
        <v>6</v>
      </c>
      <c r="AA3069">
        <v>1</v>
      </c>
      <c r="AB3069">
        <v>11</v>
      </c>
      <c r="AC3069">
        <v>2</v>
      </c>
      <c r="AD3069">
        <v>1</v>
      </c>
      <c r="AE3069">
        <v>1</v>
      </c>
      <c r="AF3069">
        <v>0</v>
      </c>
      <c r="AK3069">
        <v>5</v>
      </c>
      <c r="AL3069">
        <v>1</v>
      </c>
      <c r="AM3069">
        <v>0</v>
      </c>
      <c r="AN3069">
        <v>0</v>
      </c>
      <c r="AT3069">
        <v>0</v>
      </c>
      <c r="AU3069">
        <v>18</v>
      </c>
      <c r="AV3069">
        <v>421</v>
      </c>
      <c r="AW3069">
        <v>421</v>
      </c>
      <c r="AX3069">
        <v>576</v>
      </c>
      <c r="BA3069">
        <v>1</v>
      </c>
      <c r="BC3069" t="s">
        <v>6240</v>
      </c>
      <c r="BD3069" s="4">
        <v>43283.090277777781</v>
      </c>
      <c r="BE3069" s="4">
        <v>43283.094780092593</v>
      </c>
      <c r="BF3069" s="4">
        <v>43283.094780092593</v>
      </c>
      <c r="BG3069" t="s">
        <v>83</v>
      </c>
      <c r="BH3069" t="s">
        <v>84</v>
      </c>
      <c r="BI3069" t="s">
        <v>85</v>
      </c>
    </row>
    <row r="3070" spans="1:61" x14ac:dyDescent="0.3">
      <c r="A3070" t="str">
        <f>"200530B0100"</f>
        <v>200530B0100</v>
      </c>
      <c r="B3070" t="s">
        <v>6241</v>
      </c>
      <c r="C3070">
        <v>20</v>
      </c>
      <c r="D3070" t="s">
        <v>79</v>
      </c>
      <c r="E3070">
        <v>14</v>
      </c>
      <c r="F3070" t="s">
        <v>5455</v>
      </c>
      <c r="G3070">
        <v>530</v>
      </c>
      <c r="H3070">
        <v>1</v>
      </c>
      <c r="I3070" t="s">
        <v>81</v>
      </c>
      <c r="J3070">
        <v>0</v>
      </c>
      <c r="K3070">
        <v>1</v>
      </c>
      <c r="L3070">
        <v>2</v>
      </c>
      <c r="M3070">
        <v>170</v>
      </c>
      <c r="N3070">
        <v>396</v>
      </c>
      <c r="O3070">
        <v>14</v>
      </c>
      <c r="P3070">
        <v>388</v>
      </c>
      <c r="Q3070">
        <v>61</v>
      </c>
      <c r="R3070">
        <v>71</v>
      </c>
      <c r="S3070">
        <v>8</v>
      </c>
      <c r="T3070">
        <v>13</v>
      </c>
      <c r="U3070">
        <v>10</v>
      </c>
      <c r="V3070">
        <v>7</v>
      </c>
      <c r="W3070">
        <v>5</v>
      </c>
      <c r="X3070">
        <v>6</v>
      </c>
      <c r="Y3070">
        <v>171</v>
      </c>
      <c r="Z3070">
        <v>5</v>
      </c>
      <c r="AA3070">
        <v>4</v>
      </c>
      <c r="AB3070">
        <v>8</v>
      </c>
      <c r="AC3070">
        <v>2</v>
      </c>
      <c r="AD3070">
        <v>0</v>
      </c>
      <c r="AE3070">
        <v>0</v>
      </c>
      <c r="AF3070">
        <v>0</v>
      </c>
      <c r="AK3070">
        <v>2</v>
      </c>
      <c r="AL3070">
        <v>2</v>
      </c>
      <c r="AM3070">
        <v>0</v>
      </c>
      <c r="AN3070">
        <v>0</v>
      </c>
      <c r="AT3070">
        <v>0</v>
      </c>
      <c r="AU3070">
        <v>20</v>
      </c>
      <c r="AV3070">
        <v>395</v>
      </c>
      <c r="AW3070">
        <v>395</v>
      </c>
      <c r="AX3070">
        <v>544</v>
      </c>
      <c r="BA3070">
        <v>1</v>
      </c>
      <c r="BC3070" t="s">
        <v>6242</v>
      </c>
      <c r="BD3070" s="4">
        <v>43283.155555555553</v>
      </c>
      <c r="BE3070" s="4">
        <v>43283.166770833333</v>
      </c>
      <c r="BF3070" s="4">
        <v>43283.166770833333</v>
      </c>
      <c r="BG3070" t="s">
        <v>83</v>
      </c>
      <c r="BH3070" t="s">
        <v>84</v>
      </c>
      <c r="BI3070" t="s">
        <v>85</v>
      </c>
    </row>
    <row r="3071" spans="1:61" x14ac:dyDescent="0.3">
      <c r="A3071" t="str">
        <f>"200530C0100"</f>
        <v>200530C0100</v>
      </c>
      <c r="B3071" t="s">
        <v>6243</v>
      </c>
      <c r="C3071">
        <v>20</v>
      </c>
      <c r="D3071" t="s">
        <v>79</v>
      </c>
      <c r="E3071">
        <v>14</v>
      </c>
      <c r="F3071" t="s">
        <v>5455</v>
      </c>
      <c r="G3071">
        <v>530</v>
      </c>
      <c r="H3071">
        <v>1</v>
      </c>
      <c r="I3071" t="s">
        <v>89</v>
      </c>
      <c r="J3071">
        <v>0</v>
      </c>
      <c r="K3071">
        <v>1</v>
      </c>
      <c r="L3071">
        <v>2</v>
      </c>
      <c r="M3071">
        <v>142</v>
      </c>
      <c r="N3071">
        <v>9</v>
      </c>
      <c r="O3071">
        <v>9</v>
      </c>
      <c r="P3071">
        <v>415</v>
      </c>
      <c r="Q3071">
        <v>66</v>
      </c>
      <c r="R3071">
        <v>70</v>
      </c>
      <c r="S3071">
        <v>7</v>
      </c>
      <c r="T3071">
        <v>17</v>
      </c>
      <c r="U3071">
        <v>11</v>
      </c>
      <c r="V3071">
        <v>5</v>
      </c>
      <c r="W3071">
        <v>8</v>
      </c>
      <c r="X3071">
        <v>6</v>
      </c>
      <c r="Y3071">
        <v>189</v>
      </c>
      <c r="Z3071">
        <v>8</v>
      </c>
      <c r="AA3071">
        <v>3</v>
      </c>
      <c r="AB3071">
        <v>15</v>
      </c>
      <c r="AC3071">
        <v>3</v>
      </c>
      <c r="AD3071">
        <v>0</v>
      </c>
      <c r="AE3071">
        <v>0</v>
      </c>
      <c r="AF3071">
        <v>0</v>
      </c>
      <c r="AK3071">
        <v>4</v>
      </c>
      <c r="AL3071">
        <v>1</v>
      </c>
      <c r="AM3071">
        <v>0</v>
      </c>
      <c r="AN3071">
        <v>0</v>
      </c>
      <c r="AT3071">
        <v>2</v>
      </c>
      <c r="AU3071">
        <v>10</v>
      </c>
      <c r="AV3071">
        <v>425</v>
      </c>
      <c r="AW3071">
        <v>425</v>
      </c>
      <c r="AX3071">
        <v>544</v>
      </c>
      <c r="BA3071">
        <v>1</v>
      </c>
      <c r="BC3071" t="s">
        <v>6244</v>
      </c>
      <c r="BD3071" s="4">
        <v>43283.255555555559</v>
      </c>
      <c r="BE3071" s="4">
        <v>43283.282569444447</v>
      </c>
      <c r="BF3071" s="4">
        <v>43283.282569444447</v>
      </c>
      <c r="BG3071" t="s">
        <v>83</v>
      </c>
      <c r="BH3071" t="s">
        <v>84</v>
      </c>
      <c r="BI3071" t="s">
        <v>85</v>
      </c>
    </row>
    <row r="3072" spans="1:61" x14ac:dyDescent="0.3">
      <c r="A3072" t="str">
        <f>"200531B0100"</f>
        <v>200531B0100</v>
      </c>
      <c r="B3072" t="s">
        <v>6245</v>
      </c>
      <c r="C3072">
        <v>20</v>
      </c>
      <c r="D3072" t="s">
        <v>79</v>
      </c>
      <c r="E3072">
        <v>14</v>
      </c>
      <c r="F3072" t="s">
        <v>5455</v>
      </c>
      <c r="G3072">
        <v>531</v>
      </c>
      <c r="H3072">
        <v>1</v>
      </c>
      <c r="I3072" t="s">
        <v>81</v>
      </c>
      <c r="J3072">
        <v>0</v>
      </c>
      <c r="K3072">
        <v>1</v>
      </c>
      <c r="L3072">
        <v>2</v>
      </c>
      <c r="M3072">
        <v>118</v>
      </c>
      <c r="N3072">
        <v>401</v>
      </c>
      <c r="O3072">
        <v>3</v>
      </c>
      <c r="P3072" t="s">
        <v>100</v>
      </c>
      <c r="Q3072">
        <v>52</v>
      </c>
      <c r="R3072">
        <v>57</v>
      </c>
      <c r="S3072">
        <v>3</v>
      </c>
      <c r="T3072">
        <v>6</v>
      </c>
      <c r="U3072">
        <v>8</v>
      </c>
      <c r="V3072">
        <v>3</v>
      </c>
      <c r="W3072">
        <v>2</v>
      </c>
      <c r="X3072">
        <v>4</v>
      </c>
      <c r="Y3072">
        <v>117</v>
      </c>
      <c r="Z3072">
        <v>5</v>
      </c>
      <c r="AA3072">
        <v>2</v>
      </c>
      <c r="AB3072">
        <v>12</v>
      </c>
      <c r="AC3072">
        <v>0</v>
      </c>
      <c r="AD3072">
        <v>0</v>
      </c>
      <c r="AE3072">
        <v>0</v>
      </c>
      <c r="AF3072">
        <v>0</v>
      </c>
      <c r="AK3072">
        <v>3</v>
      </c>
      <c r="AL3072">
        <v>0</v>
      </c>
      <c r="AM3072">
        <v>0</v>
      </c>
      <c r="AN3072">
        <v>0</v>
      </c>
      <c r="AT3072">
        <v>1</v>
      </c>
      <c r="AU3072">
        <v>8</v>
      </c>
      <c r="AV3072">
        <v>283</v>
      </c>
      <c r="AW3072">
        <v>283</v>
      </c>
      <c r="AX3072">
        <v>379</v>
      </c>
      <c r="BA3072">
        <v>1</v>
      </c>
      <c r="BC3072" t="s">
        <v>6246</v>
      </c>
      <c r="BD3072" s="4">
        <v>43283.245833333334</v>
      </c>
      <c r="BE3072" s="4">
        <v>43283.275358796294</v>
      </c>
      <c r="BF3072" s="4">
        <v>43283.275358796294</v>
      </c>
      <c r="BG3072" t="s">
        <v>83</v>
      </c>
      <c r="BH3072" t="s">
        <v>84</v>
      </c>
      <c r="BI3072" t="s">
        <v>85</v>
      </c>
    </row>
    <row r="3073" spans="1:61" x14ac:dyDescent="0.3">
      <c r="A3073" t="str">
        <f>"200531C0100"</f>
        <v>200531C0100</v>
      </c>
      <c r="B3073" t="s">
        <v>6247</v>
      </c>
      <c r="C3073">
        <v>20</v>
      </c>
      <c r="D3073" t="s">
        <v>79</v>
      </c>
      <c r="E3073">
        <v>14</v>
      </c>
      <c r="F3073" t="s">
        <v>5455</v>
      </c>
      <c r="G3073">
        <v>531</v>
      </c>
      <c r="H3073">
        <v>1</v>
      </c>
      <c r="I3073" t="s">
        <v>89</v>
      </c>
      <c r="J3073">
        <v>0</v>
      </c>
      <c r="K3073">
        <v>1</v>
      </c>
      <c r="L3073">
        <v>2</v>
      </c>
      <c r="M3073">
        <v>140</v>
      </c>
      <c r="N3073">
        <v>261</v>
      </c>
      <c r="O3073">
        <v>6</v>
      </c>
      <c r="P3073">
        <v>0</v>
      </c>
      <c r="Q3073">
        <v>50</v>
      </c>
      <c r="R3073">
        <v>36</v>
      </c>
      <c r="S3073">
        <v>5</v>
      </c>
      <c r="T3073">
        <v>6</v>
      </c>
      <c r="U3073">
        <v>1</v>
      </c>
      <c r="V3073">
        <v>7</v>
      </c>
      <c r="W3073">
        <v>6</v>
      </c>
      <c r="X3073">
        <v>4</v>
      </c>
      <c r="Y3073">
        <v>121</v>
      </c>
      <c r="Z3073">
        <v>1</v>
      </c>
      <c r="AA3073">
        <v>3</v>
      </c>
      <c r="AB3073">
        <v>8</v>
      </c>
      <c r="AC3073">
        <v>0</v>
      </c>
      <c r="AD3073">
        <v>0</v>
      </c>
      <c r="AE3073">
        <v>1</v>
      </c>
      <c r="AF3073">
        <v>0</v>
      </c>
      <c r="AK3073">
        <v>0</v>
      </c>
      <c r="AL3073">
        <v>1</v>
      </c>
      <c r="AM3073">
        <v>0</v>
      </c>
      <c r="AN3073">
        <v>3</v>
      </c>
      <c r="AT3073">
        <v>0</v>
      </c>
      <c r="AU3073">
        <v>8</v>
      </c>
      <c r="AV3073">
        <v>261</v>
      </c>
      <c r="AW3073">
        <v>261</v>
      </c>
      <c r="AX3073">
        <v>379</v>
      </c>
      <c r="BA3073">
        <v>1</v>
      </c>
      <c r="BC3073" t="s">
        <v>6248</v>
      </c>
      <c r="BD3073" s="4">
        <v>43283.191666666666</v>
      </c>
      <c r="BE3073" s="4">
        <v>43283.208819444444</v>
      </c>
      <c r="BF3073" s="4">
        <v>43283.208819444444</v>
      </c>
      <c r="BG3073" t="s">
        <v>83</v>
      </c>
      <c r="BH3073" t="s">
        <v>84</v>
      </c>
      <c r="BI3073" t="s">
        <v>85</v>
      </c>
    </row>
    <row r="3074" spans="1:61" x14ac:dyDescent="0.3">
      <c r="A3074" t="str">
        <f>"200532B0100"</f>
        <v>200532B0100</v>
      </c>
      <c r="B3074" t="s">
        <v>6249</v>
      </c>
      <c r="C3074">
        <v>20</v>
      </c>
      <c r="D3074" t="s">
        <v>79</v>
      </c>
      <c r="E3074">
        <v>14</v>
      </c>
      <c r="F3074" t="s">
        <v>5455</v>
      </c>
      <c r="G3074">
        <v>532</v>
      </c>
      <c r="H3074">
        <v>1</v>
      </c>
      <c r="I3074" t="s">
        <v>81</v>
      </c>
      <c r="J3074">
        <v>0</v>
      </c>
      <c r="K3074">
        <v>1</v>
      </c>
      <c r="L3074">
        <v>2</v>
      </c>
      <c r="M3074">
        <v>153</v>
      </c>
      <c r="N3074">
        <v>330</v>
      </c>
      <c r="O3074">
        <v>6</v>
      </c>
      <c r="P3074">
        <v>327</v>
      </c>
      <c r="Q3074">
        <v>64</v>
      </c>
      <c r="R3074">
        <v>60</v>
      </c>
      <c r="S3074">
        <v>10</v>
      </c>
      <c r="T3074">
        <v>16</v>
      </c>
      <c r="U3074">
        <v>10</v>
      </c>
      <c r="V3074">
        <v>2</v>
      </c>
      <c r="W3074">
        <v>2</v>
      </c>
      <c r="X3074">
        <v>5</v>
      </c>
      <c r="Y3074">
        <v>123</v>
      </c>
      <c r="Z3074">
        <v>1</v>
      </c>
      <c r="AA3074">
        <v>2</v>
      </c>
      <c r="AB3074">
        <v>10</v>
      </c>
      <c r="AC3074">
        <v>0</v>
      </c>
      <c r="AD3074">
        <v>0</v>
      </c>
      <c r="AE3074">
        <v>0</v>
      </c>
      <c r="AF3074">
        <v>0</v>
      </c>
      <c r="AK3074">
        <v>1</v>
      </c>
      <c r="AL3074">
        <v>2</v>
      </c>
      <c r="AM3074">
        <v>0</v>
      </c>
      <c r="AN3074">
        <v>0</v>
      </c>
      <c r="AT3074">
        <v>0</v>
      </c>
      <c r="AU3074">
        <v>19</v>
      </c>
      <c r="AV3074">
        <v>327</v>
      </c>
      <c r="AW3074">
        <v>327</v>
      </c>
      <c r="AX3074">
        <v>461</v>
      </c>
      <c r="BA3074">
        <v>1</v>
      </c>
      <c r="BC3074" t="s">
        <v>6250</v>
      </c>
      <c r="BD3074" s="4">
        <v>43283.193055555559</v>
      </c>
      <c r="BE3074" s="4">
        <v>43283.210381944446</v>
      </c>
      <c r="BF3074" s="4">
        <v>43283.210381944446</v>
      </c>
      <c r="BG3074" t="s">
        <v>83</v>
      </c>
      <c r="BH3074" t="s">
        <v>84</v>
      </c>
      <c r="BI3074" t="s">
        <v>85</v>
      </c>
    </row>
    <row r="3075" spans="1:61" x14ac:dyDescent="0.3">
      <c r="A3075" t="str">
        <f>"200532C0100"</f>
        <v>200532C0100</v>
      </c>
      <c r="B3075" t="s">
        <v>6251</v>
      </c>
      <c r="C3075">
        <v>20</v>
      </c>
      <c r="D3075" t="s">
        <v>79</v>
      </c>
      <c r="E3075">
        <v>14</v>
      </c>
      <c r="F3075" t="s">
        <v>5455</v>
      </c>
      <c r="G3075">
        <v>532</v>
      </c>
      <c r="H3075">
        <v>1</v>
      </c>
      <c r="I3075" t="s">
        <v>89</v>
      </c>
      <c r="J3075">
        <v>0</v>
      </c>
      <c r="K3075">
        <v>1</v>
      </c>
      <c r="L3075">
        <v>2</v>
      </c>
      <c r="M3075">
        <v>160</v>
      </c>
      <c r="N3075">
        <v>326</v>
      </c>
      <c r="O3075">
        <v>6</v>
      </c>
      <c r="P3075">
        <v>326</v>
      </c>
      <c r="Q3075">
        <v>61</v>
      </c>
      <c r="R3075">
        <v>68</v>
      </c>
      <c r="S3075">
        <v>11</v>
      </c>
      <c r="T3075">
        <v>12</v>
      </c>
      <c r="U3075">
        <v>3</v>
      </c>
      <c r="V3075">
        <v>4</v>
      </c>
      <c r="W3075">
        <v>6</v>
      </c>
      <c r="X3075">
        <v>11</v>
      </c>
      <c r="Y3075">
        <v>104</v>
      </c>
      <c r="Z3075">
        <v>4</v>
      </c>
      <c r="AA3075">
        <v>5</v>
      </c>
      <c r="AB3075">
        <v>9</v>
      </c>
      <c r="AC3075" t="s">
        <v>100</v>
      </c>
      <c r="AD3075" t="s">
        <v>100</v>
      </c>
      <c r="AE3075" t="s">
        <v>100</v>
      </c>
      <c r="AF3075" t="s">
        <v>100</v>
      </c>
      <c r="AK3075">
        <v>4</v>
      </c>
      <c r="AL3075" t="s">
        <v>100</v>
      </c>
      <c r="AM3075">
        <v>1</v>
      </c>
      <c r="AN3075" t="s">
        <v>100</v>
      </c>
      <c r="AT3075" t="s">
        <v>100</v>
      </c>
      <c r="AU3075">
        <v>23</v>
      </c>
      <c r="AV3075">
        <v>326</v>
      </c>
      <c r="AW3075">
        <v>326</v>
      </c>
      <c r="AX3075">
        <v>461</v>
      </c>
      <c r="AZ3075" t="s">
        <v>101</v>
      </c>
      <c r="BA3075">
        <v>1</v>
      </c>
      <c r="BC3075" t="s">
        <v>6252</v>
      </c>
      <c r="BD3075" s="4">
        <v>43283.22152777778</v>
      </c>
      <c r="BE3075" s="4">
        <v>43283.245162037034</v>
      </c>
      <c r="BF3075" s="4">
        <v>43283.245162037034</v>
      </c>
      <c r="BG3075" t="s">
        <v>83</v>
      </c>
      <c r="BH3075" t="s">
        <v>84</v>
      </c>
      <c r="BI3075" t="s">
        <v>85</v>
      </c>
    </row>
    <row r="3076" spans="1:61" x14ac:dyDescent="0.3">
      <c r="A3076" t="str">
        <f>"200533B0100"</f>
        <v>200533B0100</v>
      </c>
      <c r="B3076" t="s">
        <v>6253</v>
      </c>
      <c r="C3076">
        <v>20</v>
      </c>
      <c r="D3076" t="s">
        <v>79</v>
      </c>
      <c r="E3076">
        <v>14</v>
      </c>
      <c r="F3076" t="s">
        <v>5455</v>
      </c>
      <c r="G3076">
        <v>533</v>
      </c>
      <c r="H3076">
        <v>1</v>
      </c>
      <c r="I3076" t="s">
        <v>81</v>
      </c>
      <c r="J3076">
        <v>0</v>
      </c>
      <c r="K3076">
        <v>1</v>
      </c>
      <c r="L3076">
        <v>2</v>
      </c>
      <c r="M3076">
        <v>149</v>
      </c>
      <c r="N3076">
        <v>388</v>
      </c>
      <c r="O3076">
        <v>8</v>
      </c>
      <c r="P3076">
        <v>387</v>
      </c>
      <c r="Q3076">
        <v>72</v>
      </c>
      <c r="R3076">
        <v>76</v>
      </c>
      <c r="S3076">
        <v>9</v>
      </c>
      <c r="T3076">
        <v>6</v>
      </c>
      <c r="U3076">
        <v>12</v>
      </c>
      <c r="V3076">
        <v>6</v>
      </c>
      <c r="W3076">
        <v>8</v>
      </c>
      <c r="X3076">
        <v>8</v>
      </c>
      <c r="Y3076">
        <v>141</v>
      </c>
      <c r="Z3076">
        <v>7</v>
      </c>
      <c r="AA3076">
        <v>7</v>
      </c>
      <c r="AB3076">
        <v>12</v>
      </c>
      <c r="AC3076">
        <v>0</v>
      </c>
      <c r="AD3076">
        <v>0</v>
      </c>
      <c r="AE3076">
        <v>0</v>
      </c>
      <c r="AF3076">
        <v>0</v>
      </c>
      <c r="AK3076">
        <v>5</v>
      </c>
      <c r="AL3076">
        <v>0</v>
      </c>
      <c r="AM3076">
        <v>0</v>
      </c>
      <c r="AN3076">
        <v>0</v>
      </c>
      <c r="AT3076">
        <v>0</v>
      </c>
      <c r="AU3076">
        <v>19</v>
      </c>
      <c r="AV3076">
        <v>388</v>
      </c>
      <c r="AW3076">
        <v>388</v>
      </c>
      <c r="AX3076">
        <v>515</v>
      </c>
      <c r="BA3076">
        <v>1</v>
      </c>
      <c r="BC3076" t="s">
        <v>6254</v>
      </c>
      <c r="BD3076" s="4">
        <v>43283.246527777781</v>
      </c>
      <c r="BE3076" s="4">
        <v>43283.272511574076</v>
      </c>
      <c r="BF3076" s="4">
        <v>43283.272511574076</v>
      </c>
      <c r="BG3076" t="s">
        <v>83</v>
      </c>
      <c r="BH3076" t="s">
        <v>84</v>
      </c>
      <c r="BI3076" t="s">
        <v>85</v>
      </c>
    </row>
    <row r="3077" spans="1:61" x14ac:dyDescent="0.3">
      <c r="A3077" t="str">
        <f>"200534B0100"</f>
        <v>200534B0100</v>
      </c>
      <c r="B3077" t="s">
        <v>6255</v>
      </c>
      <c r="C3077">
        <v>20</v>
      </c>
      <c r="D3077" t="s">
        <v>79</v>
      </c>
      <c r="E3077">
        <v>14</v>
      </c>
      <c r="F3077" t="s">
        <v>5455</v>
      </c>
      <c r="G3077">
        <v>534</v>
      </c>
      <c r="H3077">
        <v>1</v>
      </c>
      <c r="I3077" t="s">
        <v>81</v>
      </c>
      <c r="J3077">
        <v>0</v>
      </c>
      <c r="K3077">
        <v>1</v>
      </c>
      <c r="L3077">
        <v>2</v>
      </c>
      <c r="M3077">
        <v>154</v>
      </c>
      <c r="N3077">
        <v>405</v>
      </c>
      <c r="O3077">
        <v>9</v>
      </c>
      <c r="P3077">
        <v>397</v>
      </c>
      <c r="Q3077">
        <v>92</v>
      </c>
      <c r="R3077">
        <v>83</v>
      </c>
      <c r="S3077">
        <v>1</v>
      </c>
      <c r="T3077">
        <v>16</v>
      </c>
      <c r="U3077">
        <v>6</v>
      </c>
      <c r="V3077">
        <v>4</v>
      </c>
      <c r="W3077">
        <v>13</v>
      </c>
      <c r="X3077">
        <v>4</v>
      </c>
      <c r="Y3077">
        <v>117</v>
      </c>
      <c r="Z3077">
        <v>4</v>
      </c>
      <c r="AA3077">
        <v>3</v>
      </c>
      <c r="AB3077">
        <v>15</v>
      </c>
      <c r="AC3077">
        <v>1</v>
      </c>
      <c r="AD3077">
        <v>1</v>
      </c>
      <c r="AE3077">
        <v>0</v>
      </c>
      <c r="AF3077">
        <v>1</v>
      </c>
      <c r="AK3077">
        <v>2</v>
      </c>
      <c r="AL3077">
        <v>0</v>
      </c>
      <c r="AM3077">
        <v>0</v>
      </c>
      <c r="AN3077">
        <v>0</v>
      </c>
      <c r="AT3077">
        <v>0</v>
      </c>
      <c r="AU3077">
        <v>34</v>
      </c>
      <c r="AV3077">
        <v>397</v>
      </c>
      <c r="AW3077">
        <v>397</v>
      </c>
      <c r="AX3077">
        <v>537</v>
      </c>
      <c r="BA3077">
        <v>1</v>
      </c>
      <c r="BC3077" t="s">
        <v>6256</v>
      </c>
      <c r="BD3077" s="4">
        <v>43282.975486111114</v>
      </c>
      <c r="BE3077" s="4">
        <v>43282.979525462964</v>
      </c>
      <c r="BF3077" s="4">
        <v>43282.979525462964</v>
      </c>
      <c r="BG3077" t="s">
        <v>373</v>
      </c>
      <c r="BH3077" t="s">
        <v>374</v>
      </c>
      <c r="BI3077" t="s">
        <v>85</v>
      </c>
    </row>
    <row r="3078" spans="1:61" x14ac:dyDescent="0.3">
      <c r="A3078" t="str">
        <f>"200534C0100"</f>
        <v>200534C0100</v>
      </c>
      <c r="B3078" t="s">
        <v>6257</v>
      </c>
      <c r="C3078">
        <v>20</v>
      </c>
      <c r="D3078" t="s">
        <v>79</v>
      </c>
      <c r="E3078">
        <v>14</v>
      </c>
      <c r="F3078" t="s">
        <v>5455</v>
      </c>
      <c r="G3078">
        <v>534</v>
      </c>
      <c r="H3078">
        <v>1</v>
      </c>
      <c r="I3078" t="s">
        <v>89</v>
      </c>
      <c r="J3078">
        <v>0</v>
      </c>
      <c r="K3078">
        <v>1</v>
      </c>
      <c r="L3078">
        <v>2</v>
      </c>
      <c r="M3078">
        <v>154</v>
      </c>
      <c r="N3078">
        <v>7</v>
      </c>
      <c r="O3078">
        <v>7</v>
      </c>
      <c r="P3078">
        <v>413</v>
      </c>
      <c r="Q3078">
        <v>106</v>
      </c>
      <c r="R3078">
        <v>111</v>
      </c>
      <c r="S3078">
        <v>5</v>
      </c>
      <c r="T3078">
        <v>13</v>
      </c>
      <c r="U3078">
        <v>8</v>
      </c>
      <c r="V3078">
        <v>9</v>
      </c>
      <c r="W3078">
        <v>5</v>
      </c>
      <c r="X3078">
        <v>2</v>
      </c>
      <c r="Y3078">
        <v>107</v>
      </c>
      <c r="Z3078">
        <v>9</v>
      </c>
      <c r="AA3078">
        <v>4</v>
      </c>
      <c r="AB3078">
        <v>12</v>
      </c>
      <c r="AC3078">
        <v>1</v>
      </c>
      <c r="AD3078">
        <v>0</v>
      </c>
      <c r="AE3078">
        <v>0</v>
      </c>
      <c r="AF3078">
        <v>0</v>
      </c>
      <c r="AK3078">
        <v>1</v>
      </c>
      <c r="AL3078">
        <v>0</v>
      </c>
      <c r="AM3078">
        <v>0</v>
      </c>
      <c r="AN3078">
        <v>0</v>
      </c>
      <c r="AT3078">
        <v>0</v>
      </c>
      <c r="AU3078">
        <v>19</v>
      </c>
      <c r="AV3078">
        <v>412</v>
      </c>
      <c r="AW3078">
        <v>412</v>
      </c>
      <c r="AX3078">
        <v>537</v>
      </c>
      <c r="BA3078">
        <v>1</v>
      </c>
      <c r="BC3078" t="s">
        <v>6258</v>
      </c>
      <c r="BD3078" s="4">
        <v>43283.190972222219</v>
      </c>
      <c r="BE3078" s="4">
        <v>43283.20826388889</v>
      </c>
      <c r="BF3078" s="4">
        <v>43283.20826388889</v>
      </c>
      <c r="BG3078" t="s">
        <v>83</v>
      </c>
      <c r="BH3078" t="s">
        <v>84</v>
      </c>
      <c r="BI3078" t="s">
        <v>85</v>
      </c>
    </row>
    <row r="3079" spans="1:61" x14ac:dyDescent="0.3">
      <c r="A3079" t="str">
        <f>"200535B0100"</f>
        <v>200535B0100</v>
      </c>
      <c r="B3079" t="s">
        <v>6259</v>
      </c>
      <c r="C3079">
        <v>20</v>
      </c>
      <c r="D3079" t="s">
        <v>79</v>
      </c>
      <c r="E3079">
        <v>14</v>
      </c>
      <c r="F3079" t="s">
        <v>5455</v>
      </c>
      <c r="G3079">
        <v>535</v>
      </c>
      <c r="H3079">
        <v>1</v>
      </c>
      <c r="I3079" t="s">
        <v>81</v>
      </c>
      <c r="J3079">
        <v>0</v>
      </c>
      <c r="K3079">
        <v>1</v>
      </c>
      <c r="L3079">
        <v>2</v>
      </c>
      <c r="M3079">
        <v>186</v>
      </c>
      <c r="N3079">
        <v>484</v>
      </c>
      <c r="O3079">
        <v>7</v>
      </c>
      <c r="P3079">
        <v>485</v>
      </c>
      <c r="Q3079">
        <v>94</v>
      </c>
      <c r="R3079">
        <v>74</v>
      </c>
      <c r="S3079">
        <v>11</v>
      </c>
      <c r="T3079">
        <v>19</v>
      </c>
      <c r="U3079">
        <v>5</v>
      </c>
      <c r="V3079">
        <v>4</v>
      </c>
      <c r="W3079">
        <v>11</v>
      </c>
      <c r="X3079">
        <v>7</v>
      </c>
      <c r="Y3079">
        <v>209</v>
      </c>
      <c r="Z3079">
        <v>11</v>
      </c>
      <c r="AA3079">
        <v>0</v>
      </c>
      <c r="AB3079">
        <v>13</v>
      </c>
      <c r="AC3079">
        <v>1</v>
      </c>
      <c r="AD3079">
        <v>0</v>
      </c>
      <c r="AE3079">
        <v>1</v>
      </c>
      <c r="AF3079">
        <v>0</v>
      </c>
      <c r="AK3079">
        <v>2</v>
      </c>
      <c r="AL3079">
        <v>3</v>
      </c>
      <c r="AM3079">
        <v>0</v>
      </c>
      <c r="AN3079">
        <v>1</v>
      </c>
      <c r="AT3079">
        <v>0</v>
      </c>
      <c r="AU3079">
        <v>19</v>
      </c>
      <c r="AV3079">
        <v>485</v>
      </c>
      <c r="AW3079">
        <v>485</v>
      </c>
      <c r="AX3079">
        <v>649</v>
      </c>
      <c r="BA3079">
        <v>1</v>
      </c>
      <c r="BC3079" t="s">
        <v>6260</v>
      </c>
      <c r="BD3079" s="4">
        <v>43283.197916666664</v>
      </c>
      <c r="BE3079" s="4">
        <v>43283.216053240743</v>
      </c>
      <c r="BF3079" s="4">
        <v>43283.216053240743</v>
      </c>
      <c r="BG3079" t="s">
        <v>83</v>
      </c>
      <c r="BH3079" t="s">
        <v>84</v>
      </c>
      <c r="BI3079" t="s">
        <v>85</v>
      </c>
    </row>
    <row r="3080" spans="1:61" x14ac:dyDescent="0.3">
      <c r="A3080" t="str">
        <f>"200535C0100"</f>
        <v>200535C0100</v>
      </c>
      <c r="B3080" t="s">
        <v>6261</v>
      </c>
      <c r="C3080">
        <v>20</v>
      </c>
      <c r="D3080" t="s">
        <v>79</v>
      </c>
      <c r="E3080">
        <v>14</v>
      </c>
      <c r="F3080" t="s">
        <v>5455</v>
      </c>
      <c r="G3080">
        <v>535</v>
      </c>
      <c r="H3080">
        <v>1</v>
      </c>
      <c r="I3080" t="s">
        <v>89</v>
      </c>
      <c r="J3080">
        <v>0</v>
      </c>
      <c r="K3080">
        <v>1</v>
      </c>
      <c r="L3080">
        <v>2</v>
      </c>
      <c r="M3080">
        <v>204</v>
      </c>
      <c r="N3080">
        <v>466</v>
      </c>
      <c r="O3080">
        <v>5</v>
      </c>
      <c r="P3080">
        <v>466</v>
      </c>
      <c r="Q3080">
        <v>78</v>
      </c>
      <c r="R3080">
        <v>75</v>
      </c>
      <c r="S3080">
        <v>10</v>
      </c>
      <c r="T3080">
        <v>20</v>
      </c>
      <c r="U3080">
        <v>10</v>
      </c>
      <c r="V3080">
        <v>9</v>
      </c>
      <c r="W3080">
        <v>7</v>
      </c>
      <c r="X3080">
        <v>9</v>
      </c>
      <c r="Y3080">
        <v>195</v>
      </c>
      <c r="Z3080">
        <v>8</v>
      </c>
      <c r="AA3080">
        <v>4</v>
      </c>
      <c r="AB3080">
        <v>21</v>
      </c>
      <c r="AC3080">
        <v>0</v>
      </c>
      <c r="AD3080">
        <v>0</v>
      </c>
      <c r="AE3080">
        <v>0</v>
      </c>
      <c r="AF3080">
        <v>0</v>
      </c>
      <c r="AK3080">
        <v>3</v>
      </c>
      <c r="AL3080">
        <v>1</v>
      </c>
      <c r="AM3080">
        <v>0</v>
      </c>
      <c r="AN3080">
        <v>0</v>
      </c>
      <c r="AT3080">
        <v>0</v>
      </c>
      <c r="AU3080">
        <v>16</v>
      </c>
      <c r="AV3080">
        <v>466</v>
      </c>
      <c r="AW3080">
        <v>466</v>
      </c>
      <c r="AX3080">
        <v>648</v>
      </c>
      <c r="BA3080">
        <v>1</v>
      </c>
      <c r="BC3080" t="s">
        <v>6262</v>
      </c>
      <c r="BD3080" s="4">
        <v>43283.198611111111</v>
      </c>
      <c r="BE3080" s="4">
        <v>43283.216180555559</v>
      </c>
      <c r="BF3080" s="4">
        <v>43283.216180555559</v>
      </c>
      <c r="BG3080" t="s">
        <v>83</v>
      </c>
      <c r="BH3080" t="s">
        <v>84</v>
      </c>
      <c r="BI3080" t="s">
        <v>85</v>
      </c>
    </row>
    <row r="3081" spans="1:61" x14ac:dyDescent="0.3">
      <c r="A3081" t="str">
        <f>"200535S0100"</f>
        <v>200535S0100</v>
      </c>
      <c r="B3081" t="s">
        <v>6263</v>
      </c>
      <c r="C3081">
        <v>20</v>
      </c>
      <c r="D3081" t="s">
        <v>79</v>
      </c>
      <c r="E3081">
        <v>14</v>
      </c>
      <c r="F3081" t="s">
        <v>5455</v>
      </c>
      <c r="G3081">
        <v>535</v>
      </c>
      <c r="H3081">
        <v>1</v>
      </c>
      <c r="I3081" t="s">
        <v>104</v>
      </c>
      <c r="J3081">
        <v>0</v>
      </c>
      <c r="K3081">
        <v>1</v>
      </c>
      <c r="L3081">
        <v>3</v>
      </c>
      <c r="M3081">
        <v>386</v>
      </c>
      <c r="N3081">
        <v>386</v>
      </c>
      <c r="O3081">
        <v>0</v>
      </c>
      <c r="P3081">
        <v>11</v>
      </c>
      <c r="Q3081">
        <v>2</v>
      </c>
      <c r="R3081">
        <v>2</v>
      </c>
      <c r="S3081">
        <v>0</v>
      </c>
      <c r="T3081">
        <v>1</v>
      </c>
      <c r="U3081">
        <v>0</v>
      </c>
      <c r="V3081">
        <v>0</v>
      </c>
      <c r="W3081">
        <v>0</v>
      </c>
      <c r="X3081">
        <v>0</v>
      </c>
      <c r="Y3081">
        <v>6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K3081">
        <v>0</v>
      </c>
      <c r="AL3081">
        <v>0</v>
      </c>
      <c r="AM3081">
        <v>0</v>
      </c>
      <c r="AN3081">
        <v>0</v>
      </c>
      <c r="AT3081">
        <v>0</v>
      </c>
      <c r="AU3081">
        <v>0</v>
      </c>
      <c r="AV3081">
        <v>11</v>
      </c>
      <c r="AW3081">
        <v>11</v>
      </c>
      <c r="AX3081">
        <v>0</v>
      </c>
      <c r="BA3081">
        <v>1</v>
      </c>
      <c r="BC3081" t="s">
        <v>6264</v>
      </c>
      <c r="BD3081" s="4">
        <v>43283.208333333336</v>
      </c>
      <c r="BE3081" s="4">
        <v>43283.231180555558</v>
      </c>
      <c r="BF3081" s="4">
        <v>43283.231180555558</v>
      </c>
      <c r="BG3081" t="s">
        <v>83</v>
      </c>
      <c r="BH3081" t="s">
        <v>84</v>
      </c>
      <c r="BI3081" t="s">
        <v>85</v>
      </c>
    </row>
    <row r="3082" spans="1:61" x14ac:dyDescent="0.3">
      <c r="A3082" t="str">
        <f>"200536B0100"</f>
        <v>200536B0100</v>
      </c>
      <c r="B3082" t="s">
        <v>6265</v>
      </c>
      <c r="C3082">
        <v>20</v>
      </c>
      <c r="D3082" t="s">
        <v>79</v>
      </c>
      <c r="E3082">
        <v>14</v>
      </c>
      <c r="F3082" t="s">
        <v>5455</v>
      </c>
      <c r="G3082">
        <v>536</v>
      </c>
      <c r="H3082">
        <v>1</v>
      </c>
      <c r="I3082" t="s">
        <v>81</v>
      </c>
      <c r="J3082">
        <v>0</v>
      </c>
      <c r="K3082">
        <v>1</v>
      </c>
      <c r="L3082">
        <v>2</v>
      </c>
      <c r="M3082">
        <v>237</v>
      </c>
      <c r="N3082">
        <v>494</v>
      </c>
      <c r="O3082">
        <v>10</v>
      </c>
      <c r="P3082">
        <v>491</v>
      </c>
      <c r="Q3082">
        <v>74</v>
      </c>
      <c r="R3082">
        <v>75</v>
      </c>
      <c r="S3082">
        <v>6</v>
      </c>
      <c r="T3082">
        <v>17</v>
      </c>
      <c r="U3082">
        <v>16</v>
      </c>
      <c r="V3082">
        <v>10</v>
      </c>
      <c r="W3082">
        <v>14</v>
      </c>
      <c r="X3082">
        <v>7</v>
      </c>
      <c r="Y3082">
        <v>221</v>
      </c>
      <c r="Z3082">
        <v>8</v>
      </c>
      <c r="AA3082">
        <v>6</v>
      </c>
      <c r="AB3082">
        <v>12</v>
      </c>
      <c r="AC3082">
        <v>0</v>
      </c>
      <c r="AD3082">
        <v>1</v>
      </c>
      <c r="AE3082">
        <v>0</v>
      </c>
      <c r="AF3082">
        <v>0</v>
      </c>
      <c r="AK3082">
        <v>7</v>
      </c>
      <c r="AL3082">
        <v>2</v>
      </c>
      <c r="AM3082">
        <v>1</v>
      </c>
      <c r="AN3082">
        <v>0</v>
      </c>
      <c r="AT3082">
        <v>0</v>
      </c>
      <c r="AU3082">
        <v>14</v>
      </c>
      <c r="AV3082">
        <v>491</v>
      </c>
      <c r="AW3082">
        <v>491</v>
      </c>
      <c r="AX3082">
        <v>707</v>
      </c>
      <c r="BA3082">
        <v>1</v>
      </c>
      <c r="BC3082" t="s">
        <v>6266</v>
      </c>
      <c r="BD3082" s="4">
        <v>43283.237500000003</v>
      </c>
      <c r="BE3082" s="4">
        <v>43283.26190972222</v>
      </c>
      <c r="BF3082" s="4">
        <v>43283.26190972222</v>
      </c>
      <c r="BG3082" t="s">
        <v>83</v>
      </c>
      <c r="BH3082" t="s">
        <v>84</v>
      </c>
      <c r="BI3082" t="s">
        <v>85</v>
      </c>
    </row>
    <row r="3083" spans="1:61" x14ac:dyDescent="0.3">
      <c r="A3083" t="str">
        <f>"200537B0100"</f>
        <v>200537B0100</v>
      </c>
      <c r="B3083" t="s">
        <v>6267</v>
      </c>
      <c r="C3083">
        <v>20</v>
      </c>
      <c r="D3083" t="s">
        <v>79</v>
      </c>
      <c r="E3083">
        <v>14</v>
      </c>
      <c r="F3083" t="s">
        <v>5455</v>
      </c>
      <c r="G3083">
        <v>537</v>
      </c>
      <c r="H3083">
        <v>1</v>
      </c>
      <c r="I3083" t="s">
        <v>81</v>
      </c>
      <c r="J3083">
        <v>0</v>
      </c>
      <c r="K3083">
        <v>1</v>
      </c>
      <c r="L3083">
        <v>2</v>
      </c>
      <c r="M3083">
        <v>181</v>
      </c>
      <c r="N3083">
        <v>390</v>
      </c>
      <c r="O3083">
        <v>5</v>
      </c>
      <c r="P3083">
        <v>387</v>
      </c>
      <c r="Q3083">
        <v>61</v>
      </c>
      <c r="R3083">
        <v>41</v>
      </c>
      <c r="S3083">
        <v>8</v>
      </c>
      <c r="T3083">
        <v>9</v>
      </c>
      <c r="U3083">
        <v>13</v>
      </c>
      <c r="V3083">
        <v>4</v>
      </c>
      <c r="W3083">
        <v>9</v>
      </c>
      <c r="X3083">
        <v>2</v>
      </c>
      <c r="Y3083">
        <v>202</v>
      </c>
      <c r="Z3083">
        <v>6</v>
      </c>
      <c r="AA3083">
        <v>2</v>
      </c>
      <c r="AB3083">
        <v>12</v>
      </c>
      <c r="AC3083">
        <v>0</v>
      </c>
      <c r="AD3083">
        <v>0</v>
      </c>
      <c r="AE3083">
        <v>0</v>
      </c>
      <c r="AF3083">
        <v>0</v>
      </c>
      <c r="AK3083">
        <v>6</v>
      </c>
      <c r="AL3083">
        <v>0</v>
      </c>
      <c r="AM3083">
        <v>0</v>
      </c>
      <c r="AN3083">
        <v>1</v>
      </c>
      <c r="AT3083">
        <v>0</v>
      </c>
      <c r="AU3083">
        <v>11</v>
      </c>
      <c r="AV3083">
        <v>387</v>
      </c>
      <c r="AW3083">
        <v>387</v>
      </c>
      <c r="AX3083">
        <v>548</v>
      </c>
      <c r="BA3083">
        <v>1</v>
      </c>
      <c r="BC3083" s="2" t="s">
        <v>6268</v>
      </c>
      <c r="BD3083" s="4">
        <v>43283.061111111114</v>
      </c>
      <c r="BE3083" s="4">
        <v>43283.06559027778</v>
      </c>
      <c r="BF3083" s="4">
        <v>43283.06559027778</v>
      </c>
      <c r="BG3083" t="s">
        <v>83</v>
      </c>
      <c r="BH3083" t="s">
        <v>84</v>
      </c>
      <c r="BI3083" t="s">
        <v>85</v>
      </c>
    </row>
    <row r="3084" spans="1:61" x14ac:dyDescent="0.3">
      <c r="A3084" t="str">
        <f>"200537C0100"</f>
        <v>200537C0100</v>
      </c>
      <c r="B3084" t="s">
        <v>6269</v>
      </c>
      <c r="C3084">
        <v>20</v>
      </c>
      <c r="D3084" t="s">
        <v>79</v>
      </c>
      <c r="E3084">
        <v>14</v>
      </c>
      <c r="F3084" t="s">
        <v>5455</v>
      </c>
      <c r="G3084">
        <v>537</v>
      </c>
      <c r="H3084">
        <v>1</v>
      </c>
      <c r="I3084" t="s">
        <v>89</v>
      </c>
      <c r="J3084">
        <v>0</v>
      </c>
      <c r="K3084">
        <v>1</v>
      </c>
      <c r="L3084">
        <v>2</v>
      </c>
      <c r="M3084">
        <v>193</v>
      </c>
      <c r="N3084">
        <v>374</v>
      </c>
      <c r="O3084">
        <v>8</v>
      </c>
      <c r="P3084">
        <v>376</v>
      </c>
      <c r="Q3084">
        <v>30</v>
      </c>
      <c r="R3084">
        <v>57</v>
      </c>
      <c r="S3084">
        <v>8</v>
      </c>
      <c r="T3084">
        <v>14</v>
      </c>
      <c r="U3084">
        <v>18</v>
      </c>
      <c r="V3084">
        <v>5</v>
      </c>
      <c r="W3084">
        <v>7</v>
      </c>
      <c r="X3084">
        <v>3</v>
      </c>
      <c r="Y3084">
        <v>191</v>
      </c>
      <c r="Z3084">
        <v>8</v>
      </c>
      <c r="AA3084">
        <v>4</v>
      </c>
      <c r="AB3084">
        <v>7</v>
      </c>
      <c r="AC3084">
        <v>0</v>
      </c>
      <c r="AD3084">
        <v>0</v>
      </c>
      <c r="AE3084">
        <v>1</v>
      </c>
      <c r="AF3084">
        <v>0</v>
      </c>
      <c r="AK3084">
        <v>6</v>
      </c>
      <c r="AL3084">
        <v>2</v>
      </c>
      <c r="AM3084">
        <v>0</v>
      </c>
      <c r="AN3084">
        <v>1</v>
      </c>
      <c r="AT3084">
        <v>0</v>
      </c>
      <c r="AU3084">
        <v>14</v>
      </c>
      <c r="AV3084">
        <v>376</v>
      </c>
      <c r="AW3084">
        <v>376</v>
      </c>
      <c r="AX3084">
        <v>547</v>
      </c>
      <c r="BA3084">
        <v>1</v>
      </c>
      <c r="BC3084" t="s">
        <v>6270</v>
      </c>
      <c r="BD3084" s="4">
        <v>43283.21875</v>
      </c>
      <c r="BE3084" s="4">
        <v>43283.242986111109</v>
      </c>
      <c r="BF3084" s="4">
        <v>43283.242986111109</v>
      </c>
      <c r="BG3084" t="s">
        <v>83</v>
      </c>
      <c r="BH3084" t="s">
        <v>84</v>
      </c>
      <c r="BI3084" t="s">
        <v>85</v>
      </c>
    </row>
    <row r="3085" spans="1:61" x14ac:dyDescent="0.3">
      <c r="A3085" t="str">
        <f>"200538B0100"</f>
        <v>200538B0100</v>
      </c>
      <c r="B3085" t="s">
        <v>6271</v>
      </c>
      <c r="C3085">
        <v>20</v>
      </c>
      <c r="D3085" t="s">
        <v>79</v>
      </c>
      <c r="E3085">
        <v>14</v>
      </c>
      <c r="F3085" t="s">
        <v>5455</v>
      </c>
      <c r="G3085">
        <v>538</v>
      </c>
      <c r="H3085">
        <v>1</v>
      </c>
      <c r="I3085" t="s">
        <v>81</v>
      </c>
      <c r="J3085">
        <v>0</v>
      </c>
      <c r="K3085">
        <v>1</v>
      </c>
      <c r="L3085">
        <v>2</v>
      </c>
      <c r="M3085">
        <v>171</v>
      </c>
      <c r="N3085">
        <v>366</v>
      </c>
      <c r="O3085">
        <v>5</v>
      </c>
      <c r="P3085">
        <v>366</v>
      </c>
      <c r="Q3085">
        <v>26</v>
      </c>
      <c r="R3085">
        <v>61</v>
      </c>
      <c r="S3085">
        <v>13</v>
      </c>
      <c r="T3085">
        <v>11</v>
      </c>
      <c r="U3085">
        <v>20</v>
      </c>
      <c r="V3085">
        <v>10</v>
      </c>
      <c r="W3085">
        <v>10</v>
      </c>
      <c r="X3085">
        <v>5</v>
      </c>
      <c r="Y3085">
        <v>165</v>
      </c>
      <c r="Z3085">
        <v>5</v>
      </c>
      <c r="AA3085">
        <v>1</v>
      </c>
      <c r="AB3085">
        <v>13</v>
      </c>
      <c r="AC3085">
        <v>2</v>
      </c>
      <c r="AD3085">
        <v>0</v>
      </c>
      <c r="AE3085">
        <v>0</v>
      </c>
      <c r="AF3085">
        <v>0</v>
      </c>
      <c r="AK3085">
        <v>4</v>
      </c>
      <c r="AL3085">
        <v>3</v>
      </c>
      <c r="AM3085">
        <v>10</v>
      </c>
      <c r="AN3085">
        <v>0</v>
      </c>
      <c r="AT3085">
        <v>0</v>
      </c>
      <c r="AU3085">
        <v>15</v>
      </c>
      <c r="AV3085">
        <v>364</v>
      </c>
      <c r="AW3085">
        <v>374</v>
      </c>
      <c r="AX3085">
        <v>515</v>
      </c>
      <c r="BA3085">
        <v>1</v>
      </c>
      <c r="BC3085" t="s">
        <v>6272</v>
      </c>
      <c r="BD3085" s="4">
        <v>43283.212500000001</v>
      </c>
      <c r="BE3085" s="4">
        <v>43283.237500000003</v>
      </c>
      <c r="BF3085" s="4">
        <v>43283.237500000003</v>
      </c>
      <c r="BG3085" t="s">
        <v>83</v>
      </c>
      <c r="BH3085" t="s">
        <v>84</v>
      </c>
      <c r="BI3085" t="s">
        <v>85</v>
      </c>
    </row>
    <row r="3086" spans="1:61" x14ac:dyDescent="0.3">
      <c r="A3086" t="str">
        <f>"200538C0100"</f>
        <v>200538C0100</v>
      </c>
      <c r="B3086" t="s">
        <v>6273</v>
      </c>
      <c r="C3086">
        <v>20</v>
      </c>
      <c r="D3086" t="s">
        <v>79</v>
      </c>
      <c r="E3086">
        <v>14</v>
      </c>
      <c r="F3086" t="s">
        <v>5455</v>
      </c>
      <c r="G3086">
        <v>538</v>
      </c>
      <c r="H3086">
        <v>1</v>
      </c>
      <c r="I3086" t="s">
        <v>89</v>
      </c>
      <c r="J3086">
        <v>0</v>
      </c>
      <c r="K3086">
        <v>1</v>
      </c>
      <c r="L3086">
        <v>2</v>
      </c>
      <c r="M3086">
        <v>158</v>
      </c>
      <c r="N3086">
        <v>381</v>
      </c>
      <c r="O3086">
        <v>381</v>
      </c>
      <c r="P3086">
        <v>381</v>
      </c>
      <c r="Q3086">
        <v>36</v>
      </c>
      <c r="R3086">
        <v>56</v>
      </c>
      <c r="S3086">
        <v>8</v>
      </c>
      <c r="T3086">
        <v>15</v>
      </c>
      <c r="U3086">
        <v>13</v>
      </c>
      <c r="V3086">
        <v>4</v>
      </c>
      <c r="W3086">
        <v>7</v>
      </c>
      <c r="X3086">
        <v>5</v>
      </c>
      <c r="Y3086">
        <v>208</v>
      </c>
      <c r="Z3086">
        <v>7</v>
      </c>
      <c r="AA3086">
        <v>1</v>
      </c>
      <c r="AB3086">
        <v>4</v>
      </c>
      <c r="AC3086">
        <v>1</v>
      </c>
      <c r="AD3086">
        <v>0</v>
      </c>
      <c r="AE3086">
        <v>0</v>
      </c>
      <c r="AF3086">
        <v>0</v>
      </c>
      <c r="AK3086">
        <v>6</v>
      </c>
      <c r="AL3086">
        <v>0</v>
      </c>
      <c r="AM3086">
        <v>0</v>
      </c>
      <c r="AN3086">
        <v>0</v>
      </c>
      <c r="AT3086">
        <v>0</v>
      </c>
      <c r="AU3086">
        <v>10</v>
      </c>
      <c r="AV3086">
        <v>381</v>
      </c>
      <c r="AW3086">
        <v>381</v>
      </c>
      <c r="AX3086">
        <v>515</v>
      </c>
      <c r="BA3086">
        <v>1</v>
      </c>
      <c r="BC3086" t="s">
        <v>6274</v>
      </c>
      <c r="BD3086" s="4">
        <v>43283.23541666667</v>
      </c>
      <c r="BE3086" s="4">
        <v>43283.258750000001</v>
      </c>
      <c r="BF3086" s="4">
        <v>43283.258750000001</v>
      </c>
      <c r="BG3086" t="s">
        <v>83</v>
      </c>
      <c r="BH3086" t="s">
        <v>84</v>
      </c>
      <c r="BI3086" t="s">
        <v>85</v>
      </c>
    </row>
    <row r="3087" spans="1:61" x14ac:dyDescent="0.3">
      <c r="A3087" t="str">
        <f>"200546B0100"</f>
        <v>200546B0100</v>
      </c>
      <c r="B3087" t="s">
        <v>6275</v>
      </c>
      <c r="C3087">
        <v>20</v>
      </c>
      <c r="D3087" t="s">
        <v>79</v>
      </c>
      <c r="E3087">
        <v>14</v>
      </c>
      <c r="F3087" t="s">
        <v>5455</v>
      </c>
      <c r="G3087">
        <v>546</v>
      </c>
      <c r="H3087">
        <v>1</v>
      </c>
      <c r="I3087" t="s">
        <v>81</v>
      </c>
      <c r="J3087">
        <v>0</v>
      </c>
      <c r="K3087">
        <v>1</v>
      </c>
      <c r="L3087">
        <v>2</v>
      </c>
      <c r="M3087">
        <v>245</v>
      </c>
      <c r="N3087">
        <v>7</v>
      </c>
      <c r="O3087">
        <v>7</v>
      </c>
      <c r="P3087">
        <v>414</v>
      </c>
      <c r="Q3087">
        <v>58</v>
      </c>
      <c r="R3087">
        <v>58</v>
      </c>
      <c r="S3087">
        <v>7</v>
      </c>
      <c r="T3087">
        <v>23</v>
      </c>
      <c r="U3087">
        <v>12</v>
      </c>
      <c r="V3087">
        <v>9</v>
      </c>
      <c r="W3087">
        <v>13</v>
      </c>
      <c r="X3087">
        <v>5</v>
      </c>
      <c r="Y3087">
        <v>180</v>
      </c>
      <c r="Z3087">
        <v>13</v>
      </c>
      <c r="AA3087">
        <v>2</v>
      </c>
      <c r="AB3087">
        <v>16</v>
      </c>
      <c r="AC3087" t="s">
        <v>100</v>
      </c>
      <c r="AD3087" t="s">
        <v>100</v>
      </c>
      <c r="AE3087" t="s">
        <v>100</v>
      </c>
      <c r="AF3087" t="s">
        <v>100</v>
      </c>
      <c r="AK3087">
        <v>4</v>
      </c>
      <c r="AL3087" t="s">
        <v>100</v>
      </c>
      <c r="AM3087" t="s">
        <v>100</v>
      </c>
      <c r="AN3087">
        <v>1</v>
      </c>
      <c r="AT3087" t="s">
        <v>100</v>
      </c>
      <c r="AU3087">
        <v>13</v>
      </c>
      <c r="AV3087">
        <v>414</v>
      </c>
      <c r="AW3087">
        <v>414</v>
      </c>
      <c r="AX3087">
        <v>638</v>
      </c>
      <c r="AZ3087" t="s">
        <v>101</v>
      </c>
      <c r="BA3087">
        <v>1</v>
      </c>
      <c r="BC3087" t="s">
        <v>6276</v>
      </c>
      <c r="BD3087" s="4">
        <v>43283.243750000001</v>
      </c>
      <c r="BE3087" s="4">
        <v>43283.267743055556</v>
      </c>
      <c r="BF3087" s="4">
        <v>43283.267743055556</v>
      </c>
      <c r="BG3087" t="s">
        <v>83</v>
      </c>
      <c r="BH3087" t="s">
        <v>84</v>
      </c>
      <c r="BI3087" t="s">
        <v>85</v>
      </c>
    </row>
    <row r="3088" spans="1:61" x14ac:dyDescent="0.3">
      <c r="A3088" t="str">
        <f>"200547B0100"</f>
        <v>200547B0100</v>
      </c>
      <c r="B3088" t="s">
        <v>6277</v>
      </c>
      <c r="C3088">
        <v>20</v>
      </c>
      <c r="D3088" t="s">
        <v>79</v>
      </c>
      <c r="E3088">
        <v>14</v>
      </c>
      <c r="F3088" t="s">
        <v>5455</v>
      </c>
      <c r="G3088">
        <v>547</v>
      </c>
      <c r="H3088">
        <v>1</v>
      </c>
      <c r="I3088" t="s">
        <v>81</v>
      </c>
      <c r="J3088">
        <v>0</v>
      </c>
      <c r="K3088">
        <v>1</v>
      </c>
      <c r="L3088">
        <v>2</v>
      </c>
      <c r="M3088">
        <v>197</v>
      </c>
      <c r="N3088">
        <v>474</v>
      </c>
      <c r="O3088">
        <v>12</v>
      </c>
      <c r="P3088">
        <v>463</v>
      </c>
      <c r="Q3088">
        <v>61</v>
      </c>
      <c r="R3088">
        <v>68</v>
      </c>
      <c r="S3088">
        <v>6</v>
      </c>
      <c r="T3088">
        <v>18</v>
      </c>
      <c r="U3088">
        <v>16</v>
      </c>
      <c r="V3088">
        <v>6</v>
      </c>
      <c r="W3088">
        <v>9</v>
      </c>
      <c r="X3088">
        <v>11</v>
      </c>
      <c r="Y3088">
        <v>212</v>
      </c>
      <c r="Z3088">
        <v>9</v>
      </c>
      <c r="AA3088">
        <v>1</v>
      </c>
      <c r="AB3088">
        <v>11</v>
      </c>
      <c r="AC3088">
        <v>2</v>
      </c>
      <c r="AD3088">
        <v>0</v>
      </c>
      <c r="AE3088">
        <v>1</v>
      </c>
      <c r="AF3088">
        <v>1</v>
      </c>
      <c r="AK3088">
        <v>4</v>
      </c>
      <c r="AL3088">
        <v>0</v>
      </c>
      <c r="AM3088">
        <v>1</v>
      </c>
      <c r="AN3088">
        <v>1</v>
      </c>
      <c r="AT3088">
        <v>0</v>
      </c>
      <c r="AU3088">
        <v>25</v>
      </c>
      <c r="AV3088">
        <v>463</v>
      </c>
      <c r="AW3088">
        <v>463</v>
      </c>
      <c r="AX3088">
        <v>638</v>
      </c>
      <c r="BA3088">
        <v>1</v>
      </c>
      <c r="BC3088" t="s">
        <v>6278</v>
      </c>
      <c r="BD3088" s="4">
        <v>43283.21597222222</v>
      </c>
      <c r="BE3088" s="4">
        <v>43283.23778935185</v>
      </c>
      <c r="BF3088" s="4">
        <v>43283.23778935185</v>
      </c>
      <c r="BG3088" t="s">
        <v>83</v>
      </c>
      <c r="BH3088" t="s">
        <v>84</v>
      </c>
      <c r="BI3088" t="s">
        <v>85</v>
      </c>
    </row>
    <row r="3089" spans="1:61" x14ac:dyDescent="0.3">
      <c r="A3089" t="str">
        <f>"200547C0100"</f>
        <v>200547C0100</v>
      </c>
      <c r="B3089" t="s">
        <v>6279</v>
      </c>
      <c r="C3089">
        <v>20</v>
      </c>
      <c r="D3089" t="s">
        <v>79</v>
      </c>
      <c r="E3089">
        <v>14</v>
      </c>
      <c r="F3089" t="s">
        <v>5455</v>
      </c>
      <c r="G3089">
        <v>547</v>
      </c>
      <c r="H3089">
        <v>1</v>
      </c>
      <c r="I3089" t="s">
        <v>89</v>
      </c>
      <c r="J3089">
        <v>0</v>
      </c>
      <c r="K3089">
        <v>1</v>
      </c>
      <c r="L3089">
        <v>2</v>
      </c>
      <c r="M3089">
        <v>202</v>
      </c>
      <c r="N3089">
        <v>458</v>
      </c>
      <c r="O3089">
        <v>6</v>
      </c>
      <c r="P3089">
        <v>458</v>
      </c>
      <c r="Q3089">
        <v>80</v>
      </c>
      <c r="R3089">
        <v>69</v>
      </c>
      <c r="S3089">
        <v>5</v>
      </c>
      <c r="T3089">
        <v>15</v>
      </c>
      <c r="U3089">
        <v>16</v>
      </c>
      <c r="V3089">
        <v>7</v>
      </c>
      <c r="W3089">
        <v>10</v>
      </c>
      <c r="X3089">
        <v>13</v>
      </c>
      <c r="Y3089">
        <v>183</v>
      </c>
      <c r="Z3089">
        <v>8</v>
      </c>
      <c r="AA3089">
        <v>4</v>
      </c>
      <c r="AB3089">
        <v>12</v>
      </c>
      <c r="AC3089">
        <v>4</v>
      </c>
      <c r="AD3089">
        <v>2</v>
      </c>
      <c r="AE3089">
        <v>1</v>
      </c>
      <c r="AF3089">
        <v>0</v>
      </c>
      <c r="AK3089">
        <v>6</v>
      </c>
      <c r="AL3089">
        <v>4</v>
      </c>
      <c r="AM3089">
        <v>0</v>
      </c>
      <c r="AN3089">
        <v>2</v>
      </c>
      <c r="AT3089">
        <v>0</v>
      </c>
      <c r="AU3089">
        <v>17</v>
      </c>
      <c r="AV3089">
        <v>458</v>
      </c>
      <c r="AW3089">
        <v>458</v>
      </c>
      <c r="AX3089">
        <v>638</v>
      </c>
      <c r="BA3089">
        <v>1</v>
      </c>
      <c r="BC3089" t="s">
        <v>6280</v>
      </c>
      <c r="BD3089" s="4">
        <v>43283.225694444445</v>
      </c>
      <c r="BE3089" s="4">
        <v>43283.250578703701</v>
      </c>
      <c r="BF3089" s="4">
        <v>43283.250578703701</v>
      </c>
      <c r="BG3089" t="s">
        <v>83</v>
      </c>
      <c r="BH3089" t="s">
        <v>84</v>
      </c>
      <c r="BI3089" t="s">
        <v>85</v>
      </c>
    </row>
    <row r="3090" spans="1:61" x14ac:dyDescent="0.3">
      <c r="A3090" t="str">
        <f>"200548B0100"</f>
        <v>200548B0100</v>
      </c>
      <c r="B3090" t="s">
        <v>6281</v>
      </c>
      <c r="C3090">
        <v>20</v>
      </c>
      <c r="D3090" t="s">
        <v>79</v>
      </c>
      <c r="E3090">
        <v>14</v>
      </c>
      <c r="F3090" t="s">
        <v>5455</v>
      </c>
      <c r="G3090">
        <v>548</v>
      </c>
      <c r="H3090">
        <v>1</v>
      </c>
      <c r="I3090" t="s">
        <v>81</v>
      </c>
      <c r="J3090">
        <v>0</v>
      </c>
      <c r="K3090">
        <v>1</v>
      </c>
      <c r="L3090">
        <v>2</v>
      </c>
      <c r="M3090">
        <v>111</v>
      </c>
      <c r="N3090">
        <v>302</v>
      </c>
      <c r="O3090">
        <v>8</v>
      </c>
      <c r="P3090">
        <v>302</v>
      </c>
      <c r="Q3090">
        <v>59</v>
      </c>
      <c r="R3090">
        <v>61</v>
      </c>
      <c r="S3090">
        <v>2</v>
      </c>
      <c r="T3090">
        <v>10</v>
      </c>
      <c r="U3090">
        <v>6</v>
      </c>
      <c r="V3090">
        <v>5</v>
      </c>
      <c r="W3090">
        <v>3</v>
      </c>
      <c r="X3090">
        <v>7</v>
      </c>
      <c r="Y3090">
        <v>108</v>
      </c>
      <c r="Z3090">
        <v>2</v>
      </c>
      <c r="AA3090">
        <v>4</v>
      </c>
      <c r="AB3090">
        <v>9</v>
      </c>
      <c r="AC3090">
        <v>0</v>
      </c>
      <c r="AD3090">
        <v>0</v>
      </c>
      <c r="AE3090">
        <v>1</v>
      </c>
      <c r="AF3090">
        <v>0</v>
      </c>
      <c r="AK3090">
        <v>5</v>
      </c>
      <c r="AL3090">
        <v>2</v>
      </c>
      <c r="AM3090">
        <v>0</v>
      </c>
      <c r="AN3090">
        <v>0</v>
      </c>
      <c r="AT3090">
        <v>0</v>
      </c>
      <c r="AU3090">
        <v>18</v>
      </c>
      <c r="AV3090">
        <v>302</v>
      </c>
      <c r="AW3090">
        <v>302</v>
      </c>
      <c r="AX3090">
        <v>391</v>
      </c>
      <c r="BA3090">
        <v>1</v>
      </c>
      <c r="BC3090" t="s">
        <v>6282</v>
      </c>
      <c r="BD3090" s="4">
        <v>43283.15347222222</v>
      </c>
      <c r="BE3090" s="4">
        <v>43283.163587962961</v>
      </c>
      <c r="BF3090" s="4">
        <v>43283.163587962961</v>
      </c>
      <c r="BG3090" t="s">
        <v>83</v>
      </c>
      <c r="BH3090" t="s">
        <v>84</v>
      </c>
      <c r="BI3090" t="s">
        <v>85</v>
      </c>
    </row>
    <row r="3091" spans="1:61" x14ac:dyDescent="0.3">
      <c r="A3091" t="str">
        <f>"200548C0100"</f>
        <v>200548C0100</v>
      </c>
      <c r="B3091" t="s">
        <v>6283</v>
      </c>
      <c r="C3091">
        <v>20</v>
      </c>
      <c r="D3091" t="s">
        <v>79</v>
      </c>
      <c r="E3091">
        <v>14</v>
      </c>
      <c r="F3091" t="s">
        <v>5455</v>
      </c>
      <c r="G3091">
        <v>548</v>
      </c>
      <c r="H3091">
        <v>1</v>
      </c>
      <c r="I3091" t="s">
        <v>89</v>
      </c>
      <c r="J3091">
        <v>0</v>
      </c>
      <c r="K3091">
        <v>1</v>
      </c>
      <c r="L3091">
        <v>2</v>
      </c>
      <c r="M3091">
        <v>114</v>
      </c>
      <c r="N3091">
        <v>299</v>
      </c>
      <c r="O3091">
        <v>8</v>
      </c>
      <c r="P3091">
        <v>299</v>
      </c>
      <c r="Q3091">
        <v>59</v>
      </c>
      <c r="R3091">
        <v>72</v>
      </c>
      <c r="S3091">
        <v>2</v>
      </c>
      <c r="T3091">
        <v>10</v>
      </c>
      <c r="U3091">
        <v>11</v>
      </c>
      <c r="V3091">
        <v>6</v>
      </c>
      <c r="W3091">
        <v>2</v>
      </c>
      <c r="X3091">
        <v>3</v>
      </c>
      <c r="Y3091">
        <v>97</v>
      </c>
      <c r="Z3091">
        <v>1</v>
      </c>
      <c r="AA3091">
        <v>3</v>
      </c>
      <c r="AB3091">
        <v>8</v>
      </c>
      <c r="AC3091">
        <v>1</v>
      </c>
      <c r="AD3091">
        <v>2</v>
      </c>
      <c r="AE3091">
        <v>2</v>
      </c>
      <c r="AF3091">
        <v>0</v>
      </c>
      <c r="AK3091">
        <v>2</v>
      </c>
      <c r="AL3091">
        <v>0</v>
      </c>
      <c r="AM3091">
        <v>0</v>
      </c>
      <c r="AN3091">
        <v>3</v>
      </c>
      <c r="AT3091" t="s">
        <v>100</v>
      </c>
      <c r="AU3091">
        <v>15</v>
      </c>
      <c r="AV3091">
        <v>299</v>
      </c>
      <c r="AW3091">
        <v>299</v>
      </c>
      <c r="AX3091">
        <v>391</v>
      </c>
      <c r="AZ3091" t="s">
        <v>101</v>
      </c>
      <c r="BA3091">
        <v>1</v>
      </c>
      <c r="BC3091" t="s">
        <v>6284</v>
      </c>
      <c r="BD3091" s="4">
        <v>43283.142361111109</v>
      </c>
      <c r="BE3091" s="4">
        <v>43283.148888888885</v>
      </c>
      <c r="BF3091" s="4">
        <v>43283.148888888885</v>
      </c>
      <c r="BG3091" t="s">
        <v>83</v>
      </c>
      <c r="BH3091" t="s">
        <v>84</v>
      </c>
      <c r="BI3091" t="s">
        <v>85</v>
      </c>
    </row>
    <row r="3092" spans="1:61" x14ac:dyDescent="0.3">
      <c r="A3092" t="str">
        <f>"200549B0100"</f>
        <v>200549B0100</v>
      </c>
      <c r="B3092" t="s">
        <v>6285</v>
      </c>
      <c r="C3092">
        <v>20</v>
      </c>
      <c r="D3092" t="s">
        <v>79</v>
      </c>
      <c r="E3092">
        <v>14</v>
      </c>
      <c r="F3092" t="s">
        <v>5455</v>
      </c>
      <c r="G3092">
        <v>549</v>
      </c>
      <c r="H3092">
        <v>1</v>
      </c>
      <c r="I3092" t="s">
        <v>81</v>
      </c>
      <c r="J3092">
        <v>0</v>
      </c>
      <c r="K3092">
        <v>1</v>
      </c>
      <c r="L3092">
        <v>2</v>
      </c>
      <c r="M3092">
        <v>141</v>
      </c>
      <c r="N3092">
        <v>331</v>
      </c>
      <c r="O3092">
        <v>10</v>
      </c>
      <c r="P3092">
        <v>330</v>
      </c>
      <c r="Q3092">
        <v>66</v>
      </c>
      <c r="R3092">
        <v>48</v>
      </c>
      <c r="S3092">
        <v>4</v>
      </c>
      <c r="T3092">
        <v>15</v>
      </c>
      <c r="U3092">
        <v>10</v>
      </c>
      <c r="V3092">
        <v>9</v>
      </c>
      <c r="W3092">
        <v>8</v>
      </c>
      <c r="X3092">
        <v>7</v>
      </c>
      <c r="Y3092">
        <v>120</v>
      </c>
      <c r="Z3092">
        <v>2</v>
      </c>
      <c r="AA3092">
        <v>3</v>
      </c>
      <c r="AB3092">
        <v>13</v>
      </c>
      <c r="AC3092">
        <v>1</v>
      </c>
      <c r="AD3092">
        <v>0</v>
      </c>
      <c r="AE3092">
        <v>0</v>
      </c>
      <c r="AF3092">
        <v>0</v>
      </c>
      <c r="AK3092">
        <v>3</v>
      </c>
      <c r="AL3092">
        <v>0</v>
      </c>
      <c r="AM3092">
        <v>0</v>
      </c>
      <c r="AN3092">
        <v>0</v>
      </c>
      <c r="AT3092">
        <v>2</v>
      </c>
      <c r="AU3092">
        <v>20</v>
      </c>
      <c r="AV3092">
        <v>331</v>
      </c>
      <c r="AW3092">
        <v>331</v>
      </c>
      <c r="AX3092">
        <v>450</v>
      </c>
      <c r="BA3092">
        <v>1</v>
      </c>
      <c r="BC3092" t="s">
        <v>6286</v>
      </c>
      <c r="BD3092" s="4">
        <v>43283.156944444447</v>
      </c>
      <c r="BE3092" s="4">
        <v>43283.167997685188</v>
      </c>
      <c r="BF3092" s="4">
        <v>43283.167997685188</v>
      </c>
      <c r="BG3092" t="s">
        <v>83</v>
      </c>
      <c r="BH3092" t="s">
        <v>84</v>
      </c>
      <c r="BI3092" t="s">
        <v>85</v>
      </c>
    </row>
    <row r="3093" spans="1:61" x14ac:dyDescent="0.3">
      <c r="A3093" t="str">
        <f>"200550B0100"</f>
        <v>200550B0100</v>
      </c>
      <c r="B3093" t="s">
        <v>6287</v>
      </c>
      <c r="C3093">
        <v>20</v>
      </c>
      <c r="D3093" t="s">
        <v>79</v>
      </c>
      <c r="E3093">
        <v>14</v>
      </c>
      <c r="F3093" t="s">
        <v>5455</v>
      </c>
      <c r="G3093">
        <v>550</v>
      </c>
      <c r="H3093">
        <v>1</v>
      </c>
      <c r="I3093" t="s">
        <v>81</v>
      </c>
      <c r="J3093">
        <v>0</v>
      </c>
      <c r="K3093">
        <v>1</v>
      </c>
      <c r="L3093">
        <v>2</v>
      </c>
      <c r="M3093">
        <v>185</v>
      </c>
      <c r="N3093">
        <v>368</v>
      </c>
      <c r="O3093">
        <v>0</v>
      </c>
      <c r="P3093">
        <v>368</v>
      </c>
      <c r="Q3093">
        <v>86</v>
      </c>
      <c r="R3093">
        <v>58</v>
      </c>
      <c r="S3093">
        <v>6</v>
      </c>
      <c r="T3093">
        <v>11</v>
      </c>
      <c r="U3093">
        <v>5</v>
      </c>
      <c r="V3093">
        <v>8</v>
      </c>
      <c r="W3093">
        <v>7</v>
      </c>
      <c r="X3093">
        <v>11</v>
      </c>
      <c r="Y3093">
        <v>141</v>
      </c>
      <c r="Z3093">
        <v>4</v>
      </c>
      <c r="AA3093">
        <v>4</v>
      </c>
      <c r="AB3093">
        <v>7</v>
      </c>
      <c r="AC3093">
        <v>0</v>
      </c>
      <c r="AD3093">
        <v>0</v>
      </c>
      <c r="AE3093">
        <v>0</v>
      </c>
      <c r="AF3093">
        <v>0</v>
      </c>
      <c r="AK3093">
        <v>2</v>
      </c>
      <c r="AL3093">
        <v>2</v>
      </c>
      <c r="AM3093">
        <v>0</v>
      </c>
      <c r="AN3093">
        <v>0</v>
      </c>
      <c r="AT3093">
        <v>0</v>
      </c>
      <c r="AU3093">
        <v>16</v>
      </c>
      <c r="AV3093">
        <v>368</v>
      </c>
      <c r="AW3093">
        <v>368</v>
      </c>
      <c r="AX3093">
        <v>531</v>
      </c>
      <c r="BA3093">
        <v>1</v>
      </c>
      <c r="BC3093" t="s">
        <v>6288</v>
      </c>
      <c r="BD3093" s="4">
        <v>43283.160416666666</v>
      </c>
      <c r="BE3093" s="4">
        <v>43283.172777777778</v>
      </c>
      <c r="BF3093" s="4">
        <v>43283.172777777778</v>
      </c>
      <c r="BG3093" t="s">
        <v>83</v>
      </c>
      <c r="BH3093" t="s">
        <v>84</v>
      </c>
      <c r="BI3093" t="s">
        <v>85</v>
      </c>
    </row>
    <row r="3094" spans="1:61" x14ac:dyDescent="0.3">
      <c r="A3094" t="str">
        <f>"200551B0100"</f>
        <v>200551B0100</v>
      </c>
      <c r="B3094" t="s">
        <v>6289</v>
      </c>
      <c r="C3094">
        <v>20</v>
      </c>
      <c r="D3094" t="s">
        <v>79</v>
      </c>
      <c r="E3094">
        <v>14</v>
      </c>
      <c r="F3094" t="s">
        <v>5455</v>
      </c>
      <c r="G3094">
        <v>551</v>
      </c>
      <c r="H3094">
        <v>1</v>
      </c>
      <c r="I3094" t="s">
        <v>81</v>
      </c>
      <c r="J3094">
        <v>0</v>
      </c>
      <c r="K3094">
        <v>1</v>
      </c>
      <c r="L3094">
        <v>2</v>
      </c>
      <c r="M3094">
        <v>155</v>
      </c>
      <c r="N3094">
        <v>330</v>
      </c>
      <c r="O3094">
        <v>6</v>
      </c>
      <c r="P3094">
        <v>330</v>
      </c>
      <c r="Q3094">
        <v>60</v>
      </c>
      <c r="R3094">
        <v>58</v>
      </c>
      <c r="S3094">
        <v>3</v>
      </c>
      <c r="T3094">
        <v>10</v>
      </c>
      <c r="U3094">
        <v>9</v>
      </c>
      <c r="V3094">
        <v>2</v>
      </c>
      <c r="W3094">
        <v>4</v>
      </c>
      <c r="X3094">
        <v>3</v>
      </c>
      <c r="Y3094">
        <v>127</v>
      </c>
      <c r="Z3094">
        <v>10</v>
      </c>
      <c r="AA3094">
        <v>1</v>
      </c>
      <c r="AB3094">
        <v>13</v>
      </c>
      <c r="AC3094">
        <v>1</v>
      </c>
      <c r="AD3094">
        <v>1</v>
      </c>
      <c r="AE3094">
        <v>1</v>
      </c>
      <c r="AF3094">
        <v>0</v>
      </c>
      <c r="AK3094">
        <v>2</v>
      </c>
      <c r="AL3094">
        <v>0</v>
      </c>
      <c r="AM3094">
        <v>0</v>
      </c>
      <c r="AN3094">
        <v>0</v>
      </c>
      <c r="AT3094">
        <v>0</v>
      </c>
      <c r="AU3094">
        <v>25</v>
      </c>
      <c r="AV3094">
        <v>330</v>
      </c>
      <c r="AW3094">
        <v>330</v>
      </c>
      <c r="AX3094">
        <v>463</v>
      </c>
      <c r="BA3094">
        <v>1</v>
      </c>
      <c r="BC3094" t="s">
        <v>6290</v>
      </c>
      <c r="BD3094" s="4">
        <v>43283.157638888886</v>
      </c>
      <c r="BE3094" s="4">
        <v>43283.169282407405</v>
      </c>
      <c r="BF3094" s="4">
        <v>43283.169282407405</v>
      </c>
      <c r="BG3094" t="s">
        <v>83</v>
      </c>
      <c r="BH3094" t="s">
        <v>84</v>
      </c>
      <c r="BI3094" t="s">
        <v>85</v>
      </c>
    </row>
    <row r="3095" spans="1:61" x14ac:dyDescent="0.3">
      <c r="A3095" t="str">
        <f>"200551C0100"</f>
        <v>200551C0100</v>
      </c>
      <c r="B3095" t="s">
        <v>6291</v>
      </c>
      <c r="C3095">
        <v>20</v>
      </c>
      <c r="D3095" t="s">
        <v>79</v>
      </c>
      <c r="E3095">
        <v>14</v>
      </c>
      <c r="F3095" t="s">
        <v>5455</v>
      </c>
      <c r="G3095">
        <v>551</v>
      </c>
      <c r="H3095">
        <v>1</v>
      </c>
      <c r="I3095" t="s">
        <v>89</v>
      </c>
      <c r="J3095">
        <v>0</v>
      </c>
      <c r="K3095">
        <v>1</v>
      </c>
      <c r="L3095">
        <v>2</v>
      </c>
      <c r="M3095">
        <v>135</v>
      </c>
      <c r="N3095">
        <v>350</v>
      </c>
      <c r="O3095">
        <v>9</v>
      </c>
      <c r="P3095">
        <v>349</v>
      </c>
      <c r="Q3095">
        <v>52</v>
      </c>
      <c r="R3095">
        <v>80</v>
      </c>
      <c r="S3095">
        <v>5</v>
      </c>
      <c r="T3095">
        <v>15</v>
      </c>
      <c r="U3095">
        <v>7</v>
      </c>
      <c r="V3095">
        <v>4</v>
      </c>
      <c r="W3095">
        <v>6</v>
      </c>
      <c r="X3095">
        <v>5</v>
      </c>
      <c r="Y3095">
        <v>135</v>
      </c>
      <c r="Z3095">
        <v>9</v>
      </c>
      <c r="AA3095">
        <v>3</v>
      </c>
      <c r="AB3095">
        <v>10</v>
      </c>
      <c r="AC3095">
        <v>1</v>
      </c>
      <c r="AD3095">
        <v>0</v>
      </c>
      <c r="AE3095">
        <v>0</v>
      </c>
      <c r="AF3095">
        <v>0</v>
      </c>
      <c r="AK3095">
        <v>1</v>
      </c>
      <c r="AL3095">
        <v>0</v>
      </c>
      <c r="AM3095">
        <v>0</v>
      </c>
      <c r="AN3095">
        <v>0</v>
      </c>
      <c r="AT3095">
        <v>0</v>
      </c>
      <c r="AU3095">
        <v>16</v>
      </c>
      <c r="AV3095">
        <v>349</v>
      </c>
      <c r="AW3095">
        <v>349</v>
      </c>
      <c r="AX3095">
        <v>463</v>
      </c>
      <c r="BA3095">
        <v>1</v>
      </c>
      <c r="BC3095" t="s">
        <v>6292</v>
      </c>
      <c r="BD3095" s="4">
        <v>43283.15902777778</v>
      </c>
      <c r="BE3095" s="4">
        <v>43283.182106481479</v>
      </c>
      <c r="BF3095" s="4">
        <v>43283.182106481479</v>
      </c>
      <c r="BG3095" t="s">
        <v>83</v>
      </c>
      <c r="BH3095" t="s">
        <v>84</v>
      </c>
      <c r="BI3095" t="s">
        <v>85</v>
      </c>
    </row>
    <row r="3096" spans="1:61" x14ac:dyDescent="0.3">
      <c r="A3096" t="str">
        <f>"200552B0100"</f>
        <v>200552B0100</v>
      </c>
      <c r="B3096" t="s">
        <v>6293</v>
      </c>
      <c r="C3096">
        <v>20</v>
      </c>
      <c r="D3096" t="s">
        <v>79</v>
      </c>
      <c r="E3096">
        <v>14</v>
      </c>
      <c r="F3096" t="s">
        <v>5455</v>
      </c>
      <c r="G3096">
        <v>552</v>
      </c>
      <c r="H3096">
        <v>1</v>
      </c>
      <c r="I3096" t="s">
        <v>81</v>
      </c>
      <c r="J3096">
        <v>0</v>
      </c>
      <c r="K3096">
        <v>1</v>
      </c>
      <c r="L3096">
        <v>2</v>
      </c>
      <c r="M3096">
        <v>187</v>
      </c>
      <c r="N3096">
        <v>483</v>
      </c>
      <c r="O3096">
        <v>12</v>
      </c>
      <c r="P3096">
        <v>483</v>
      </c>
      <c r="Q3096">
        <v>71</v>
      </c>
      <c r="R3096">
        <v>70</v>
      </c>
      <c r="S3096">
        <v>9</v>
      </c>
      <c r="T3096">
        <v>15</v>
      </c>
      <c r="U3096">
        <v>19</v>
      </c>
      <c r="V3096">
        <v>14</v>
      </c>
      <c r="W3096">
        <v>13</v>
      </c>
      <c r="X3096">
        <v>6</v>
      </c>
      <c r="Y3096">
        <v>220</v>
      </c>
      <c r="Z3096">
        <v>4</v>
      </c>
      <c r="AA3096">
        <v>8</v>
      </c>
      <c r="AB3096">
        <v>9</v>
      </c>
      <c r="AC3096">
        <v>2</v>
      </c>
      <c r="AD3096">
        <v>0</v>
      </c>
      <c r="AE3096">
        <v>0</v>
      </c>
      <c r="AF3096">
        <v>0</v>
      </c>
      <c r="AK3096">
        <v>5</v>
      </c>
      <c r="AL3096">
        <v>0</v>
      </c>
      <c r="AM3096">
        <v>0</v>
      </c>
      <c r="AN3096">
        <v>1</v>
      </c>
      <c r="AT3096">
        <v>1</v>
      </c>
      <c r="AU3096">
        <v>16</v>
      </c>
      <c r="AV3096">
        <v>483</v>
      </c>
      <c r="AW3096">
        <v>483</v>
      </c>
      <c r="AX3096">
        <v>648</v>
      </c>
      <c r="BA3096">
        <v>1</v>
      </c>
      <c r="BC3096" t="s">
        <v>6294</v>
      </c>
      <c r="BD3096" s="4">
        <v>43283.135416666664</v>
      </c>
      <c r="BE3096" s="4">
        <v>43283.140347222223</v>
      </c>
      <c r="BF3096" s="4">
        <v>43283.140347222223</v>
      </c>
      <c r="BG3096" t="s">
        <v>83</v>
      </c>
      <c r="BH3096" t="s">
        <v>84</v>
      </c>
      <c r="BI3096" t="s">
        <v>85</v>
      </c>
    </row>
    <row r="3097" spans="1:61" x14ac:dyDescent="0.3">
      <c r="A3097" t="str">
        <f>"200552C0100"</f>
        <v>200552C0100</v>
      </c>
      <c r="B3097" t="s">
        <v>6295</v>
      </c>
      <c r="C3097">
        <v>20</v>
      </c>
      <c r="D3097" t="s">
        <v>79</v>
      </c>
      <c r="E3097">
        <v>14</v>
      </c>
      <c r="F3097" t="s">
        <v>5455</v>
      </c>
      <c r="G3097">
        <v>552</v>
      </c>
      <c r="H3097">
        <v>1</v>
      </c>
      <c r="I3097" t="s">
        <v>89</v>
      </c>
      <c r="J3097">
        <v>0</v>
      </c>
      <c r="K3097">
        <v>1</v>
      </c>
      <c r="L3097">
        <v>2</v>
      </c>
      <c r="M3097">
        <v>200</v>
      </c>
      <c r="N3097">
        <v>467</v>
      </c>
      <c r="O3097">
        <v>7</v>
      </c>
      <c r="P3097">
        <v>466</v>
      </c>
      <c r="Q3097">
        <v>63</v>
      </c>
      <c r="R3097">
        <v>69</v>
      </c>
      <c r="S3097">
        <v>5</v>
      </c>
      <c r="T3097">
        <v>21</v>
      </c>
      <c r="U3097">
        <v>21</v>
      </c>
      <c r="V3097">
        <v>6</v>
      </c>
      <c r="W3097">
        <v>3</v>
      </c>
      <c r="X3097">
        <v>1</v>
      </c>
      <c r="Y3097">
        <v>215</v>
      </c>
      <c r="Z3097">
        <v>7</v>
      </c>
      <c r="AA3097">
        <v>4</v>
      </c>
      <c r="AB3097">
        <v>18</v>
      </c>
      <c r="AC3097">
        <v>1</v>
      </c>
      <c r="AD3097">
        <v>2</v>
      </c>
      <c r="AE3097">
        <v>0</v>
      </c>
      <c r="AF3097">
        <v>0</v>
      </c>
      <c r="AK3097">
        <v>5</v>
      </c>
      <c r="AL3097">
        <v>4</v>
      </c>
      <c r="AM3097">
        <v>0</v>
      </c>
      <c r="AN3097">
        <v>1</v>
      </c>
      <c r="AT3097">
        <v>0</v>
      </c>
      <c r="AU3097">
        <v>20</v>
      </c>
      <c r="AV3097">
        <v>466</v>
      </c>
      <c r="AW3097">
        <v>466</v>
      </c>
      <c r="AX3097">
        <v>648</v>
      </c>
      <c r="BA3097">
        <v>1</v>
      </c>
      <c r="BC3097" t="s">
        <v>6296</v>
      </c>
      <c r="BD3097" s="4">
        <v>43283.265972222223</v>
      </c>
      <c r="BE3097" s="4">
        <v>43283.293020833335</v>
      </c>
      <c r="BF3097" s="4">
        <v>43283.293020833335</v>
      </c>
      <c r="BG3097" t="s">
        <v>83</v>
      </c>
      <c r="BH3097" t="s">
        <v>84</v>
      </c>
      <c r="BI3097" t="s">
        <v>85</v>
      </c>
    </row>
    <row r="3098" spans="1:61" x14ac:dyDescent="0.3">
      <c r="A3098" t="str">
        <f>"200553B0100"</f>
        <v>200553B0100</v>
      </c>
      <c r="B3098" t="s">
        <v>6297</v>
      </c>
      <c r="C3098">
        <v>20</v>
      </c>
      <c r="D3098" t="s">
        <v>79</v>
      </c>
      <c r="E3098">
        <v>14</v>
      </c>
      <c r="F3098" t="s">
        <v>5455</v>
      </c>
      <c r="G3098">
        <v>553</v>
      </c>
      <c r="H3098">
        <v>1</v>
      </c>
      <c r="I3098" t="s">
        <v>81</v>
      </c>
      <c r="J3098">
        <v>0</v>
      </c>
      <c r="K3098">
        <v>1</v>
      </c>
      <c r="L3098">
        <v>2</v>
      </c>
      <c r="M3098">
        <v>209</v>
      </c>
      <c r="N3098">
        <v>343</v>
      </c>
      <c r="O3098">
        <v>11</v>
      </c>
      <c r="P3098">
        <v>346</v>
      </c>
      <c r="Q3098">
        <v>34</v>
      </c>
      <c r="R3098">
        <v>52</v>
      </c>
      <c r="S3098">
        <v>6</v>
      </c>
      <c r="T3098">
        <v>14</v>
      </c>
      <c r="U3098">
        <v>15</v>
      </c>
      <c r="V3098">
        <v>2</v>
      </c>
      <c r="W3098">
        <v>7</v>
      </c>
      <c r="X3098">
        <v>8</v>
      </c>
      <c r="Y3098">
        <v>180</v>
      </c>
      <c r="Z3098">
        <v>2</v>
      </c>
      <c r="AA3098">
        <v>4</v>
      </c>
      <c r="AB3098">
        <v>6</v>
      </c>
      <c r="AC3098">
        <v>1</v>
      </c>
      <c r="AD3098">
        <v>0</v>
      </c>
      <c r="AE3098">
        <v>0</v>
      </c>
      <c r="AF3098">
        <v>0</v>
      </c>
      <c r="AK3098">
        <v>3</v>
      </c>
      <c r="AL3098">
        <v>1</v>
      </c>
      <c r="AM3098">
        <v>1</v>
      </c>
      <c r="AN3098">
        <v>1</v>
      </c>
      <c r="AT3098">
        <v>0</v>
      </c>
      <c r="AU3098">
        <v>9</v>
      </c>
      <c r="AV3098">
        <v>346</v>
      </c>
      <c r="AW3098">
        <v>346</v>
      </c>
      <c r="AX3098">
        <v>530</v>
      </c>
      <c r="BA3098">
        <v>1</v>
      </c>
      <c r="BC3098" t="s">
        <v>6298</v>
      </c>
      <c r="BD3098" s="4">
        <v>43283.234027777777</v>
      </c>
      <c r="BE3098" s="4">
        <v>43283.257152777776</v>
      </c>
      <c r="BF3098" s="4">
        <v>43283.257152777776</v>
      </c>
      <c r="BG3098" t="s">
        <v>83</v>
      </c>
      <c r="BH3098" t="s">
        <v>84</v>
      </c>
      <c r="BI3098" t="s">
        <v>85</v>
      </c>
    </row>
    <row r="3099" spans="1:61" x14ac:dyDescent="0.3">
      <c r="A3099" t="str">
        <f>"200553C0100"</f>
        <v>200553C0100</v>
      </c>
      <c r="B3099" t="s">
        <v>6299</v>
      </c>
      <c r="C3099">
        <v>20</v>
      </c>
      <c r="D3099" t="s">
        <v>79</v>
      </c>
      <c r="E3099">
        <v>14</v>
      </c>
      <c r="F3099" t="s">
        <v>5455</v>
      </c>
      <c r="G3099">
        <v>553</v>
      </c>
      <c r="H3099">
        <v>1</v>
      </c>
      <c r="I3099" t="s">
        <v>89</v>
      </c>
      <c r="J3099">
        <v>0</v>
      </c>
      <c r="K3099">
        <v>1</v>
      </c>
      <c r="L3099">
        <v>2</v>
      </c>
      <c r="M3099">
        <v>185</v>
      </c>
      <c r="N3099">
        <v>365</v>
      </c>
      <c r="O3099">
        <v>8</v>
      </c>
      <c r="P3099">
        <v>359</v>
      </c>
      <c r="Q3099">
        <v>27</v>
      </c>
      <c r="R3099">
        <v>42</v>
      </c>
      <c r="S3099">
        <v>8</v>
      </c>
      <c r="T3099">
        <v>14</v>
      </c>
      <c r="U3099">
        <v>26</v>
      </c>
      <c r="V3099">
        <v>5</v>
      </c>
      <c r="W3099">
        <v>7</v>
      </c>
      <c r="X3099">
        <v>4</v>
      </c>
      <c r="Y3099">
        <v>185</v>
      </c>
      <c r="Z3099">
        <v>13</v>
      </c>
      <c r="AA3099">
        <v>2</v>
      </c>
      <c r="AB3099">
        <v>7</v>
      </c>
      <c r="AC3099">
        <v>0</v>
      </c>
      <c r="AD3099">
        <v>0</v>
      </c>
      <c r="AE3099">
        <v>0</v>
      </c>
      <c r="AF3099">
        <v>0</v>
      </c>
      <c r="AK3099">
        <v>4</v>
      </c>
      <c r="AL3099">
        <v>4</v>
      </c>
      <c r="AM3099">
        <v>0</v>
      </c>
      <c r="AN3099">
        <v>0</v>
      </c>
      <c r="AT3099">
        <v>0</v>
      </c>
      <c r="AU3099">
        <v>14</v>
      </c>
      <c r="AV3099">
        <v>362</v>
      </c>
      <c r="AW3099">
        <v>362</v>
      </c>
      <c r="AX3099">
        <v>530</v>
      </c>
      <c r="BA3099">
        <v>1</v>
      </c>
      <c r="BC3099" t="s">
        <v>6300</v>
      </c>
      <c r="BD3099" s="4">
        <v>43283.229166666664</v>
      </c>
      <c r="BE3099" s="4">
        <v>43283.252592592595</v>
      </c>
      <c r="BF3099" s="4">
        <v>43283.252592592595</v>
      </c>
      <c r="BG3099" t="s">
        <v>83</v>
      </c>
      <c r="BH3099" t="s">
        <v>84</v>
      </c>
      <c r="BI3099" t="s">
        <v>85</v>
      </c>
    </row>
    <row r="3100" spans="1:61" x14ac:dyDescent="0.3">
      <c r="A3100" t="str">
        <f>"200553C0200"</f>
        <v>200553C0200</v>
      </c>
      <c r="B3100" t="s">
        <v>6301</v>
      </c>
      <c r="C3100">
        <v>20</v>
      </c>
      <c r="D3100" t="s">
        <v>79</v>
      </c>
      <c r="E3100">
        <v>14</v>
      </c>
      <c r="F3100" t="s">
        <v>5455</v>
      </c>
      <c r="G3100">
        <v>553</v>
      </c>
      <c r="H3100">
        <v>2</v>
      </c>
      <c r="I3100" t="s">
        <v>89</v>
      </c>
      <c r="J3100">
        <v>0</v>
      </c>
      <c r="K3100">
        <v>1</v>
      </c>
      <c r="L3100">
        <v>2</v>
      </c>
      <c r="M3100">
        <v>212</v>
      </c>
      <c r="N3100">
        <v>337</v>
      </c>
      <c r="O3100">
        <v>4</v>
      </c>
      <c r="P3100">
        <v>337</v>
      </c>
      <c r="Q3100">
        <v>41</v>
      </c>
      <c r="R3100">
        <v>56</v>
      </c>
      <c r="S3100">
        <v>10</v>
      </c>
      <c r="T3100">
        <v>4</v>
      </c>
      <c r="U3100">
        <v>6</v>
      </c>
      <c r="V3100">
        <v>2</v>
      </c>
      <c r="W3100">
        <v>5</v>
      </c>
      <c r="X3100">
        <v>3</v>
      </c>
      <c r="Y3100">
        <v>160</v>
      </c>
      <c r="Z3100">
        <v>11</v>
      </c>
      <c r="AA3100">
        <v>3</v>
      </c>
      <c r="AB3100">
        <v>13</v>
      </c>
      <c r="AC3100">
        <v>1</v>
      </c>
      <c r="AD3100">
        <v>0</v>
      </c>
      <c r="AE3100">
        <v>1</v>
      </c>
      <c r="AF3100">
        <v>0</v>
      </c>
      <c r="AK3100">
        <v>2</v>
      </c>
      <c r="AL3100">
        <v>3</v>
      </c>
      <c r="AM3100">
        <v>2</v>
      </c>
      <c r="AN3100">
        <v>0</v>
      </c>
      <c r="AT3100">
        <v>0</v>
      </c>
      <c r="AU3100">
        <v>14</v>
      </c>
      <c r="AV3100">
        <v>337</v>
      </c>
      <c r="AW3100">
        <v>337</v>
      </c>
      <c r="AX3100">
        <v>529</v>
      </c>
      <c r="BA3100">
        <v>1</v>
      </c>
      <c r="BC3100" t="s">
        <v>6302</v>
      </c>
      <c r="BD3100" s="4">
        <v>43283.20208333333</v>
      </c>
      <c r="BE3100" s="4">
        <v>43283.219212962962</v>
      </c>
      <c r="BF3100" s="4">
        <v>43283.219212962962</v>
      </c>
      <c r="BG3100" t="s">
        <v>83</v>
      </c>
      <c r="BH3100" t="s">
        <v>84</v>
      </c>
      <c r="BI3100" t="s">
        <v>85</v>
      </c>
    </row>
    <row r="3101" spans="1:61" x14ac:dyDescent="0.3">
      <c r="A3101" t="str">
        <f>"200553S0100"</f>
        <v>200553S0100</v>
      </c>
      <c r="B3101" t="s">
        <v>6303</v>
      </c>
      <c r="C3101">
        <v>20</v>
      </c>
      <c r="D3101" t="s">
        <v>79</v>
      </c>
      <c r="E3101">
        <v>14</v>
      </c>
      <c r="F3101" t="s">
        <v>5455</v>
      </c>
      <c r="G3101">
        <v>553</v>
      </c>
      <c r="H3101">
        <v>1</v>
      </c>
      <c r="I3101" t="s">
        <v>104</v>
      </c>
      <c r="J3101">
        <v>0</v>
      </c>
      <c r="K3101">
        <v>1</v>
      </c>
      <c r="L3101">
        <v>3</v>
      </c>
      <c r="M3101">
        <v>302</v>
      </c>
      <c r="N3101" t="s">
        <v>100</v>
      </c>
      <c r="O3101">
        <v>0</v>
      </c>
      <c r="P3101" t="s">
        <v>100</v>
      </c>
      <c r="Q3101">
        <v>4</v>
      </c>
      <c r="R3101">
        <v>6</v>
      </c>
      <c r="S3101">
        <v>0</v>
      </c>
      <c r="T3101">
        <v>1</v>
      </c>
      <c r="U3101">
        <v>0</v>
      </c>
      <c r="V3101">
        <v>1</v>
      </c>
      <c r="W3101">
        <v>0</v>
      </c>
      <c r="X3101">
        <v>0</v>
      </c>
      <c r="Y3101">
        <v>10</v>
      </c>
      <c r="Z3101">
        <v>0</v>
      </c>
      <c r="AA3101">
        <v>0</v>
      </c>
      <c r="AB3101">
        <v>1</v>
      </c>
      <c r="AC3101">
        <v>0</v>
      </c>
      <c r="AD3101">
        <v>0</v>
      </c>
      <c r="AE3101">
        <v>0</v>
      </c>
      <c r="AF3101">
        <v>0</v>
      </c>
      <c r="AK3101">
        <v>0</v>
      </c>
      <c r="AL3101">
        <v>0</v>
      </c>
      <c r="AM3101">
        <v>0</v>
      </c>
      <c r="AN3101">
        <v>0</v>
      </c>
      <c r="AT3101">
        <v>0</v>
      </c>
      <c r="AU3101">
        <v>0</v>
      </c>
      <c r="AV3101">
        <v>23</v>
      </c>
      <c r="AW3101">
        <v>23</v>
      </c>
      <c r="AX3101">
        <v>0</v>
      </c>
      <c r="BA3101">
        <v>1</v>
      </c>
      <c r="BC3101" t="s">
        <v>6304</v>
      </c>
      <c r="BD3101" s="4">
        <v>43283.292361111111</v>
      </c>
      <c r="BE3101" s="4">
        <v>43283.319328703707</v>
      </c>
      <c r="BF3101" s="4">
        <v>43283.319328703707</v>
      </c>
      <c r="BG3101" t="s">
        <v>83</v>
      </c>
      <c r="BH3101" t="s">
        <v>84</v>
      </c>
      <c r="BI3101" t="s">
        <v>85</v>
      </c>
    </row>
    <row r="3102" spans="1:61" x14ac:dyDescent="0.3">
      <c r="A3102" t="str">
        <f>"200554B0100"</f>
        <v>200554B0100</v>
      </c>
      <c r="B3102" t="s">
        <v>6305</v>
      </c>
      <c r="C3102">
        <v>20</v>
      </c>
      <c r="D3102" t="s">
        <v>79</v>
      </c>
      <c r="E3102">
        <v>14</v>
      </c>
      <c r="F3102" t="s">
        <v>5455</v>
      </c>
      <c r="G3102">
        <v>554</v>
      </c>
      <c r="H3102">
        <v>1</v>
      </c>
      <c r="I3102" t="s">
        <v>81</v>
      </c>
      <c r="J3102">
        <v>0</v>
      </c>
      <c r="K3102">
        <v>1</v>
      </c>
      <c r="L3102">
        <v>2</v>
      </c>
      <c r="M3102">
        <v>144</v>
      </c>
      <c r="N3102">
        <v>358</v>
      </c>
      <c r="O3102">
        <v>9</v>
      </c>
      <c r="P3102">
        <v>356</v>
      </c>
      <c r="Q3102">
        <v>46</v>
      </c>
      <c r="R3102">
        <v>63</v>
      </c>
      <c r="S3102">
        <v>9</v>
      </c>
      <c r="T3102">
        <v>9</v>
      </c>
      <c r="U3102">
        <v>21</v>
      </c>
      <c r="V3102">
        <v>2</v>
      </c>
      <c r="W3102">
        <v>5</v>
      </c>
      <c r="X3102">
        <v>3</v>
      </c>
      <c r="Y3102">
        <v>159</v>
      </c>
      <c r="Z3102">
        <v>3</v>
      </c>
      <c r="AA3102">
        <v>1</v>
      </c>
      <c r="AB3102">
        <v>8</v>
      </c>
      <c r="AC3102">
        <v>2</v>
      </c>
      <c r="AD3102">
        <v>1</v>
      </c>
      <c r="AE3102">
        <v>0</v>
      </c>
      <c r="AF3102">
        <v>0</v>
      </c>
      <c r="AK3102">
        <v>5</v>
      </c>
      <c r="AL3102">
        <v>0</v>
      </c>
      <c r="AM3102">
        <v>0</v>
      </c>
      <c r="AN3102">
        <v>2</v>
      </c>
      <c r="AT3102">
        <v>0</v>
      </c>
      <c r="AU3102">
        <v>17</v>
      </c>
      <c r="AV3102">
        <v>356</v>
      </c>
      <c r="AW3102">
        <v>356</v>
      </c>
      <c r="AX3102">
        <v>480</v>
      </c>
      <c r="BA3102">
        <v>1</v>
      </c>
      <c r="BC3102" t="s">
        <v>6306</v>
      </c>
      <c r="BD3102" s="4">
        <v>43283.219444444447</v>
      </c>
      <c r="BE3102" s="4">
        <v>43283.242430555554</v>
      </c>
      <c r="BF3102" s="4">
        <v>43283.242430555554</v>
      </c>
      <c r="BG3102" t="s">
        <v>83</v>
      </c>
      <c r="BH3102" t="s">
        <v>84</v>
      </c>
      <c r="BI3102" t="s">
        <v>85</v>
      </c>
    </row>
    <row r="3103" spans="1:61" x14ac:dyDescent="0.3">
      <c r="A3103" t="str">
        <f>"200554C0100"</f>
        <v>200554C0100</v>
      </c>
      <c r="B3103" t="s">
        <v>6307</v>
      </c>
      <c r="C3103">
        <v>20</v>
      </c>
      <c r="D3103" t="s">
        <v>79</v>
      </c>
      <c r="E3103">
        <v>14</v>
      </c>
      <c r="F3103" t="s">
        <v>5455</v>
      </c>
      <c r="G3103">
        <v>554</v>
      </c>
      <c r="H3103">
        <v>1</v>
      </c>
      <c r="I3103" t="s">
        <v>89</v>
      </c>
      <c r="J3103">
        <v>0</v>
      </c>
      <c r="K3103">
        <v>1</v>
      </c>
      <c r="L3103">
        <v>2</v>
      </c>
      <c r="M3103">
        <v>147</v>
      </c>
      <c r="N3103">
        <v>354</v>
      </c>
      <c r="O3103">
        <v>3</v>
      </c>
      <c r="P3103">
        <v>354</v>
      </c>
      <c r="Q3103">
        <v>44</v>
      </c>
      <c r="R3103">
        <v>57</v>
      </c>
      <c r="S3103">
        <v>8</v>
      </c>
      <c r="T3103">
        <v>7</v>
      </c>
      <c r="U3103">
        <v>15</v>
      </c>
      <c r="V3103">
        <v>3</v>
      </c>
      <c r="W3103">
        <v>7</v>
      </c>
      <c r="X3103">
        <v>6</v>
      </c>
      <c r="Y3103">
        <v>176</v>
      </c>
      <c r="Z3103">
        <v>3</v>
      </c>
      <c r="AA3103">
        <v>2</v>
      </c>
      <c r="AB3103">
        <v>9</v>
      </c>
      <c r="AC3103">
        <v>0</v>
      </c>
      <c r="AD3103">
        <v>0</v>
      </c>
      <c r="AE3103">
        <v>0</v>
      </c>
      <c r="AF3103">
        <v>0</v>
      </c>
      <c r="AK3103">
        <v>4</v>
      </c>
      <c r="AL3103">
        <v>0</v>
      </c>
      <c r="AM3103">
        <v>0</v>
      </c>
      <c r="AN3103">
        <v>0</v>
      </c>
      <c r="AT3103">
        <v>0</v>
      </c>
      <c r="AU3103">
        <v>13</v>
      </c>
      <c r="AV3103">
        <v>354</v>
      </c>
      <c r="AW3103">
        <v>354</v>
      </c>
      <c r="AX3103">
        <v>479</v>
      </c>
      <c r="BA3103">
        <v>1</v>
      </c>
      <c r="BC3103" t="s">
        <v>6308</v>
      </c>
      <c r="BD3103" s="4">
        <v>43283.215277777781</v>
      </c>
      <c r="BE3103" s="4">
        <v>43283.237569444442</v>
      </c>
      <c r="BF3103" s="4">
        <v>43283.237569444442</v>
      </c>
      <c r="BG3103" t="s">
        <v>83</v>
      </c>
      <c r="BH3103" t="s">
        <v>84</v>
      </c>
      <c r="BI3103" t="s">
        <v>85</v>
      </c>
    </row>
    <row r="3104" spans="1:61" x14ac:dyDescent="0.3">
      <c r="A3104" t="str">
        <f>"200555B0100"</f>
        <v>200555B0100</v>
      </c>
      <c r="B3104" t="s">
        <v>6309</v>
      </c>
      <c r="C3104">
        <v>20</v>
      </c>
      <c r="D3104" t="s">
        <v>79</v>
      </c>
      <c r="E3104">
        <v>14</v>
      </c>
      <c r="F3104" t="s">
        <v>5455</v>
      </c>
      <c r="G3104">
        <v>555</v>
      </c>
      <c r="H3104">
        <v>1</v>
      </c>
      <c r="I3104" t="s">
        <v>81</v>
      </c>
      <c r="J3104">
        <v>0</v>
      </c>
      <c r="K3104">
        <v>1</v>
      </c>
      <c r="L3104">
        <v>2</v>
      </c>
      <c r="M3104">
        <v>137</v>
      </c>
      <c r="N3104">
        <v>348</v>
      </c>
      <c r="O3104">
        <v>16</v>
      </c>
      <c r="P3104">
        <v>366</v>
      </c>
      <c r="Q3104">
        <v>96</v>
      </c>
      <c r="R3104">
        <v>77</v>
      </c>
      <c r="S3104">
        <v>6</v>
      </c>
      <c r="T3104">
        <v>8</v>
      </c>
      <c r="U3104">
        <v>7</v>
      </c>
      <c r="V3104">
        <v>7</v>
      </c>
      <c r="W3104">
        <v>10</v>
      </c>
      <c r="X3104">
        <v>4</v>
      </c>
      <c r="Y3104">
        <v>98</v>
      </c>
      <c r="Z3104">
        <v>8</v>
      </c>
      <c r="AA3104">
        <v>6</v>
      </c>
      <c r="AB3104">
        <v>11</v>
      </c>
      <c r="AC3104">
        <v>0</v>
      </c>
      <c r="AD3104">
        <v>0</v>
      </c>
      <c r="AE3104">
        <v>0</v>
      </c>
      <c r="AF3104">
        <v>0</v>
      </c>
      <c r="AK3104">
        <v>1</v>
      </c>
      <c r="AL3104">
        <v>4</v>
      </c>
      <c r="AM3104">
        <v>0</v>
      </c>
      <c r="AN3104">
        <v>0</v>
      </c>
      <c r="AT3104">
        <v>0</v>
      </c>
      <c r="AU3104">
        <v>23</v>
      </c>
      <c r="AV3104">
        <v>366</v>
      </c>
      <c r="AW3104">
        <v>366</v>
      </c>
      <c r="AX3104">
        <v>463</v>
      </c>
      <c r="BA3104">
        <v>1</v>
      </c>
      <c r="BC3104" t="s">
        <v>6310</v>
      </c>
      <c r="BD3104" s="4">
        <v>43283.218055555553</v>
      </c>
      <c r="BE3104" s="4">
        <v>43283.242754629631</v>
      </c>
      <c r="BF3104" s="4">
        <v>43283.242754629631</v>
      </c>
      <c r="BG3104" t="s">
        <v>83</v>
      </c>
      <c r="BH3104" t="s">
        <v>84</v>
      </c>
      <c r="BI3104" t="s">
        <v>85</v>
      </c>
    </row>
    <row r="3105" spans="1:61" x14ac:dyDescent="0.3">
      <c r="A3105" t="str">
        <f>"200555C0100"</f>
        <v>200555C0100</v>
      </c>
      <c r="B3105" t="s">
        <v>6311</v>
      </c>
      <c r="C3105">
        <v>20</v>
      </c>
      <c r="D3105" t="s">
        <v>79</v>
      </c>
      <c r="E3105">
        <v>14</v>
      </c>
      <c r="F3105" t="s">
        <v>5455</v>
      </c>
      <c r="G3105">
        <v>555</v>
      </c>
      <c r="H3105">
        <v>1</v>
      </c>
      <c r="I3105" t="s">
        <v>89</v>
      </c>
      <c r="J3105">
        <v>0</v>
      </c>
      <c r="K3105">
        <v>1</v>
      </c>
      <c r="L3105">
        <v>2</v>
      </c>
      <c r="M3105">
        <v>142</v>
      </c>
      <c r="N3105">
        <v>143</v>
      </c>
      <c r="O3105">
        <v>10</v>
      </c>
      <c r="P3105" t="s">
        <v>100</v>
      </c>
      <c r="Q3105">
        <v>78</v>
      </c>
      <c r="R3105">
        <v>66</v>
      </c>
      <c r="S3105">
        <v>5</v>
      </c>
      <c r="T3105">
        <v>10</v>
      </c>
      <c r="U3105">
        <v>3</v>
      </c>
      <c r="V3105">
        <v>7</v>
      </c>
      <c r="W3105">
        <v>9</v>
      </c>
      <c r="X3105">
        <v>6</v>
      </c>
      <c r="Y3105">
        <v>111</v>
      </c>
      <c r="Z3105">
        <v>0</v>
      </c>
      <c r="AA3105">
        <v>3</v>
      </c>
      <c r="AB3105">
        <v>10</v>
      </c>
      <c r="AC3105">
        <v>1</v>
      </c>
      <c r="AD3105">
        <v>1</v>
      </c>
      <c r="AE3105">
        <v>0</v>
      </c>
      <c r="AF3105">
        <v>0</v>
      </c>
      <c r="AK3105">
        <v>0</v>
      </c>
      <c r="AL3105">
        <v>0</v>
      </c>
      <c r="AM3105">
        <v>0</v>
      </c>
      <c r="AN3105">
        <v>0</v>
      </c>
      <c r="AT3105">
        <v>0</v>
      </c>
      <c r="AU3105">
        <v>18</v>
      </c>
      <c r="AV3105">
        <v>330</v>
      </c>
      <c r="AW3105">
        <v>328</v>
      </c>
      <c r="AX3105">
        <v>463</v>
      </c>
      <c r="BA3105">
        <v>1</v>
      </c>
      <c r="BC3105" t="s">
        <v>6312</v>
      </c>
      <c r="BD3105" s="4">
        <v>43283.177083333336</v>
      </c>
      <c r="BE3105" s="4">
        <v>43283.196793981479</v>
      </c>
      <c r="BF3105" s="4">
        <v>43283.196793981479</v>
      </c>
      <c r="BG3105" t="s">
        <v>83</v>
      </c>
      <c r="BH3105" t="s">
        <v>84</v>
      </c>
      <c r="BI3105" t="s">
        <v>85</v>
      </c>
    </row>
    <row r="3106" spans="1:61" x14ac:dyDescent="0.3">
      <c r="A3106" t="str">
        <f>"200556B0100"</f>
        <v>200556B0100</v>
      </c>
      <c r="B3106" t="s">
        <v>6313</v>
      </c>
      <c r="C3106">
        <v>20</v>
      </c>
      <c r="D3106" t="s">
        <v>79</v>
      </c>
      <c r="E3106">
        <v>14</v>
      </c>
      <c r="F3106" t="s">
        <v>5455</v>
      </c>
      <c r="G3106">
        <v>556</v>
      </c>
      <c r="H3106">
        <v>1</v>
      </c>
      <c r="I3106" t="s">
        <v>81</v>
      </c>
      <c r="J3106">
        <v>0</v>
      </c>
      <c r="K3106">
        <v>1</v>
      </c>
      <c r="L3106">
        <v>2</v>
      </c>
      <c r="M3106">
        <v>240</v>
      </c>
      <c r="N3106">
        <v>519</v>
      </c>
      <c r="O3106">
        <v>6</v>
      </c>
      <c r="P3106">
        <v>520</v>
      </c>
      <c r="Q3106">
        <v>113</v>
      </c>
      <c r="R3106">
        <v>76</v>
      </c>
      <c r="S3106">
        <v>7</v>
      </c>
      <c r="T3106">
        <v>18</v>
      </c>
      <c r="U3106">
        <v>10</v>
      </c>
      <c r="V3106">
        <v>9</v>
      </c>
      <c r="W3106">
        <v>11</v>
      </c>
      <c r="X3106">
        <v>7</v>
      </c>
      <c r="Y3106">
        <v>204</v>
      </c>
      <c r="Z3106">
        <v>5</v>
      </c>
      <c r="AA3106">
        <v>3</v>
      </c>
      <c r="AB3106">
        <v>11</v>
      </c>
      <c r="AC3106">
        <v>0</v>
      </c>
      <c r="AD3106">
        <v>1</v>
      </c>
      <c r="AE3106">
        <v>0</v>
      </c>
      <c r="AF3106">
        <v>0</v>
      </c>
      <c r="AK3106">
        <v>4</v>
      </c>
      <c r="AL3106">
        <v>0</v>
      </c>
      <c r="AM3106">
        <v>0</v>
      </c>
      <c r="AN3106">
        <v>1</v>
      </c>
      <c r="AT3106">
        <v>1</v>
      </c>
      <c r="AU3106">
        <v>39</v>
      </c>
      <c r="AV3106">
        <v>520</v>
      </c>
      <c r="AW3106">
        <v>520</v>
      </c>
      <c r="AX3106">
        <v>738</v>
      </c>
      <c r="BA3106">
        <v>1</v>
      </c>
      <c r="BC3106" t="s">
        <v>6314</v>
      </c>
      <c r="BD3106" s="4">
        <v>43283.177777777775</v>
      </c>
      <c r="BE3106" s="4">
        <v>43283.194861111115</v>
      </c>
      <c r="BF3106" s="4">
        <v>43283.194861111115</v>
      </c>
      <c r="BG3106" t="s">
        <v>83</v>
      </c>
      <c r="BH3106" t="s">
        <v>84</v>
      </c>
      <c r="BI3106" t="s">
        <v>85</v>
      </c>
    </row>
    <row r="3107" spans="1:61" x14ac:dyDescent="0.3">
      <c r="A3107" t="str">
        <f>"200557B0100"</f>
        <v>200557B0100</v>
      </c>
      <c r="B3107" t="s">
        <v>6315</v>
      </c>
      <c r="C3107">
        <v>20</v>
      </c>
      <c r="D3107" t="s">
        <v>79</v>
      </c>
      <c r="E3107">
        <v>14</v>
      </c>
      <c r="F3107" t="s">
        <v>5455</v>
      </c>
      <c r="G3107">
        <v>557</v>
      </c>
      <c r="H3107">
        <v>1</v>
      </c>
      <c r="I3107" t="s">
        <v>81</v>
      </c>
      <c r="J3107">
        <v>0</v>
      </c>
      <c r="K3107">
        <v>1</v>
      </c>
      <c r="L3107">
        <v>2</v>
      </c>
      <c r="M3107">
        <v>175</v>
      </c>
      <c r="N3107">
        <v>293</v>
      </c>
      <c r="O3107">
        <v>10</v>
      </c>
      <c r="P3107">
        <v>293</v>
      </c>
      <c r="Q3107">
        <v>27</v>
      </c>
      <c r="R3107">
        <v>35</v>
      </c>
      <c r="S3107">
        <v>1</v>
      </c>
      <c r="T3107">
        <v>12</v>
      </c>
      <c r="U3107">
        <v>13</v>
      </c>
      <c r="V3107">
        <v>8</v>
      </c>
      <c r="W3107">
        <v>17</v>
      </c>
      <c r="X3107">
        <v>1</v>
      </c>
      <c r="Y3107">
        <v>152</v>
      </c>
      <c r="Z3107">
        <v>5</v>
      </c>
      <c r="AA3107">
        <v>3</v>
      </c>
      <c r="AB3107">
        <v>8</v>
      </c>
      <c r="AC3107">
        <v>1</v>
      </c>
      <c r="AD3107">
        <v>0</v>
      </c>
      <c r="AE3107">
        <v>0</v>
      </c>
      <c r="AF3107">
        <v>0</v>
      </c>
      <c r="AK3107">
        <v>1</v>
      </c>
      <c r="AL3107">
        <v>1</v>
      </c>
      <c r="AM3107">
        <v>1</v>
      </c>
      <c r="AN3107">
        <v>0</v>
      </c>
      <c r="AT3107">
        <v>0</v>
      </c>
      <c r="AU3107">
        <v>7</v>
      </c>
      <c r="AV3107">
        <v>293</v>
      </c>
      <c r="AW3107">
        <v>293</v>
      </c>
      <c r="AX3107">
        <v>446</v>
      </c>
      <c r="BA3107">
        <v>1</v>
      </c>
      <c r="BC3107" t="s">
        <v>6316</v>
      </c>
      <c r="BD3107" s="4">
        <v>43283.263888888891</v>
      </c>
      <c r="BE3107" s="4">
        <v>43283.291886574072</v>
      </c>
      <c r="BF3107" s="4">
        <v>43283.291886574072</v>
      </c>
      <c r="BG3107" t="s">
        <v>83</v>
      </c>
      <c r="BH3107" t="s">
        <v>84</v>
      </c>
      <c r="BI3107" t="s">
        <v>85</v>
      </c>
    </row>
    <row r="3108" spans="1:61" x14ac:dyDescent="0.3">
      <c r="A3108" t="str">
        <f>"200557C0100"</f>
        <v>200557C0100</v>
      </c>
      <c r="B3108" t="s">
        <v>6317</v>
      </c>
      <c r="C3108">
        <v>20</v>
      </c>
      <c r="D3108" t="s">
        <v>79</v>
      </c>
      <c r="E3108">
        <v>14</v>
      </c>
      <c r="F3108" t="s">
        <v>5455</v>
      </c>
      <c r="G3108">
        <v>557</v>
      </c>
      <c r="H3108">
        <v>1</v>
      </c>
      <c r="I3108" t="s">
        <v>89</v>
      </c>
      <c r="J3108">
        <v>0</v>
      </c>
      <c r="K3108">
        <v>1</v>
      </c>
      <c r="L3108">
        <v>2</v>
      </c>
      <c r="M3108">
        <v>176</v>
      </c>
      <c r="N3108">
        <v>293</v>
      </c>
      <c r="O3108">
        <v>11</v>
      </c>
      <c r="P3108">
        <v>293</v>
      </c>
      <c r="Q3108">
        <v>33</v>
      </c>
      <c r="R3108">
        <v>44</v>
      </c>
      <c r="S3108">
        <v>4</v>
      </c>
      <c r="T3108">
        <v>12</v>
      </c>
      <c r="U3108">
        <v>16</v>
      </c>
      <c r="V3108">
        <v>2</v>
      </c>
      <c r="W3108">
        <v>6</v>
      </c>
      <c r="X3108">
        <v>3</v>
      </c>
      <c r="Y3108">
        <v>143</v>
      </c>
      <c r="Z3108">
        <v>6</v>
      </c>
      <c r="AA3108">
        <v>2</v>
      </c>
      <c r="AB3108">
        <v>6</v>
      </c>
      <c r="AC3108">
        <v>0</v>
      </c>
      <c r="AD3108">
        <v>0</v>
      </c>
      <c r="AE3108">
        <v>0</v>
      </c>
      <c r="AF3108">
        <v>0</v>
      </c>
      <c r="AK3108">
        <v>1</v>
      </c>
      <c r="AL3108">
        <v>1</v>
      </c>
      <c r="AM3108">
        <v>0</v>
      </c>
      <c r="AN3108">
        <v>2</v>
      </c>
      <c r="AT3108">
        <v>0</v>
      </c>
      <c r="AU3108">
        <v>11</v>
      </c>
      <c r="AV3108">
        <v>292</v>
      </c>
      <c r="AW3108">
        <v>292</v>
      </c>
      <c r="AX3108">
        <v>445</v>
      </c>
      <c r="BA3108">
        <v>1</v>
      </c>
      <c r="BC3108" t="s">
        <v>6318</v>
      </c>
      <c r="BD3108" s="4">
        <v>43283.255555555559</v>
      </c>
      <c r="BE3108" s="4">
        <v>43283.283738425926</v>
      </c>
      <c r="BF3108" s="4">
        <v>43283.283738425926</v>
      </c>
      <c r="BG3108" t="s">
        <v>83</v>
      </c>
      <c r="BH3108" t="s">
        <v>84</v>
      </c>
      <c r="BI3108" t="s">
        <v>85</v>
      </c>
    </row>
    <row r="3109" spans="1:61" x14ac:dyDescent="0.3">
      <c r="A3109" t="str">
        <f>"200569B0100"</f>
        <v>200569B0100</v>
      </c>
      <c r="B3109" t="s">
        <v>6319</v>
      </c>
      <c r="C3109">
        <v>20</v>
      </c>
      <c r="D3109" t="s">
        <v>79</v>
      </c>
      <c r="E3109">
        <v>14</v>
      </c>
      <c r="F3109" t="s">
        <v>5455</v>
      </c>
      <c r="G3109">
        <v>569</v>
      </c>
      <c r="H3109">
        <v>1</v>
      </c>
      <c r="I3109" t="s">
        <v>81</v>
      </c>
      <c r="J3109">
        <v>0</v>
      </c>
      <c r="K3109">
        <v>1</v>
      </c>
      <c r="L3109">
        <v>2</v>
      </c>
      <c r="M3109">
        <v>166</v>
      </c>
      <c r="N3109">
        <v>357</v>
      </c>
      <c r="O3109">
        <v>6</v>
      </c>
      <c r="P3109">
        <v>357</v>
      </c>
      <c r="Q3109">
        <v>54</v>
      </c>
      <c r="R3109">
        <v>62</v>
      </c>
      <c r="S3109">
        <v>8</v>
      </c>
      <c r="T3109">
        <v>17</v>
      </c>
      <c r="U3109">
        <v>7</v>
      </c>
      <c r="V3109">
        <v>7</v>
      </c>
      <c r="W3109">
        <v>7</v>
      </c>
      <c r="X3109">
        <v>4</v>
      </c>
      <c r="Y3109">
        <v>149</v>
      </c>
      <c r="Z3109">
        <v>4</v>
      </c>
      <c r="AA3109">
        <v>6</v>
      </c>
      <c r="AB3109">
        <v>7</v>
      </c>
      <c r="AC3109">
        <v>0</v>
      </c>
      <c r="AD3109">
        <v>0</v>
      </c>
      <c r="AE3109">
        <v>0</v>
      </c>
      <c r="AF3109">
        <v>0</v>
      </c>
      <c r="AK3109">
        <v>6</v>
      </c>
      <c r="AL3109">
        <v>2</v>
      </c>
      <c r="AM3109">
        <v>0</v>
      </c>
      <c r="AN3109">
        <v>0</v>
      </c>
      <c r="AT3109">
        <v>0</v>
      </c>
      <c r="AU3109">
        <v>17</v>
      </c>
      <c r="AV3109">
        <v>357</v>
      </c>
      <c r="AW3109">
        <v>357</v>
      </c>
      <c r="AX3109">
        <v>500</v>
      </c>
      <c r="BA3109">
        <v>1</v>
      </c>
      <c r="BC3109" t="s">
        <v>6320</v>
      </c>
      <c r="BD3109" s="4">
        <v>43283.218055555553</v>
      </c>
      <c r="BE3109" s="4">
        <v>43283.243032407408</v>
      </c>
      <c r="BF3109" s="4">
        <v>43283.243032407408</v>
      </c>
      <c r="BG3109" t="s">
        <v>83</v>
      </c>
      <c r="BH3109" t="s">
        <v>84</v>
      </c>
      <c r="BI3109" t="s">
        <v>85</v>
      </c>
    </row>
    <row r="3110" spans="1:61" x14ac:dyDescent="0.3">
      <c r="A3110" t="str">
        <f>"200569C0100"</f>
        <v>200569C0100</v>
      </c>
      <c r="B3110" t="s">
        <v>6321</v>
      </c>
      <c r="C3110">
        <v>20</v>
      </c>
      <c r="D3110" t="s">
        <v>79</v>
      </c>
      <c r="E3110">
        <v>14</v>
      </c>
      <c r="F3110" t="s">
        <v>5455</v>
      </c>
      <c r="G3110">
        <v>569</v>
      </c>
      <c r="H3110">
        <v>1</v>
      </c>
      <c r="I3110" t="s">
        <v>89</v>
      </c>
      <c r="J3110">
        <v>0</v>
      </c>
      <c r="K3110">
        <v>1</v>
      </c>
      <c r="L3110">
        <v>2</v>
      </c>
      <c r="M3110">
        <v>134</v>
      </c>
      <c r="N3110">
        <v>387</v>
      </c>
      <c r="O3110">
        <v>8</v>
      </c>
      <c r="P3110">
        <v>387</v>
      </c>
      <c r="Q3110">
        <v>62</v>
      </c>
      <c r="R3110">
        <v>50</v>
      </c>
      <c r="S3110">
        <v>6</v>
      </c>
      <c r="T3110">
        <v>11</v>
      </c>
      <c r="U3110">
        <v>15</v>
      </c>
      <c r="V3110">
        <v>6</v>
      </c>
      <c r="W3110">
        <v>8</v>
      </c>
      <c r="X3110">
        <v>3</v>
      </c>
      <c r="Y3110">
        <v>188</v>
      </c>
      <c r="Z3110">
        <v>4</v>
      </c>
      <c r="AA3110">
        <v>3</v>
      </c>
      <c r="AB3110">
        <v>6</v>
      </c>
      <c r="AC3110">
        <v>0</v>
      </c>
      <c r="AD3110">
        <v>0</v>
      </c>
      <c r="AE3110">
        <v>0</v>
      </c>
      <c r="AF3110">
        <v>0</v>
      </c>
      <c r="AK3110">
        <v>6</v>
      </c>
      <c r="AL3110">
        <v>0</v>
      </c>
      <c r="AM3110">
        <v>0</v>
      </c>
      <c r="AN3110">
        <v>3</v>
      </c>
      <c r="AT3110">
        <v>0</v>
      </c>
      <c r="AU3110">
        <v>16</v>
      </c>
      <c r="AV3110">
        <v>387</v>
      </c>
      <c r="AW3110">
        <v>387</v>
      </c>
      <c r="AX3110">
        <v>499</v>
      </c>
      <c r="BA3110">
        <v>1</v>
      </c>
      <c r="BC3110" t="s">
        <v>6322</v>
      </c>
      <c r="BD3110" s="4">
        <v>43283.236805555556</v>
      </c>
      <c r="BE3110" s="4">
        <v>43283.26054398148</v>
      </c>
      <c r="BF3110" s="4">
        <v>43283.26054398148</v>
      </c>
      <c r="BG3110" t="s">
        <v>83</v>
      </c>
      <c r="BH3110" t="s">
        <v>84</v>
      </c>
      <c r="BI3110" t="s">
        <v>85</v>
      </c>
    </row>
    <row r="3111" spans="1:61" x14ac:dyDescent="0.3">
      <c r="A3111" t="str">
        <f>"200616B0100"</f>
        <v>200616B0100</v>
      </c>
      <c r="B3111" t="s">
        <v>6323</v>
      </c>
      <c r="C3111">
        <v>20</v>
      </c>
      <c r="D3111" t="s">
        <v>79</v>
      </c>
      <c r="E3111">
        <v>14</v>
      </c>
      <c r="F3111" t="s">
        <v>5455</v>
      </c>
      <c r="G3111">
        <v>616</v>
      </c>
      <c r="H3111">
        <v>1</v>
      </c>
      <c r="I3111" t="s">
        <v>81</v>
      </c>
      <c r="J3111">
        <v>0</v>
      </c>
      <c r="K3111">
        <v>1</v>
      </c>
      <c r="L3111">
        <v>2</v>
      </c>
      <c r="M3111">
        <v>283</v>
      </c>
      <c r="N3111">
        <v>377</v>
      </c>
      <c r="O3111">
        <v>4</v>
      </c>
      <c r="P3111">
        <v>376</v>
      </c>
      <c r="Q3111">
        <v>32</v>
      </c>
      <c r="R3111">
        <v>69</v>
      </c>
      <c r="S3111">
        <v>3</v>
      </c>
      <c r="T3111">
        <v>11</v>
      </c>
      <c r="U3111">
        <v>21</v>
      </c>
      <c r="V3111">
        <v>2</v>
      </c>
      <c r="W3111">
        <v>6</v>
      </c>
      <c r="X3111">
        <v>5</v>
      </c>
      <c r="Y3111">
        <v>183</v>
      </c>
      <c r="Z3111">
        <v>2</v>
      </c>
      <c r="AA3111">
        <v>4</v>
      </c>
      <c r="AB3111">
        <v>16</v>
      </c>
      <c r="AC3111">
        <v>2</v>
      </c>
      <c r="AD3111">
        <v>0</v>
      </c>
      <c r="AE3111">
        <v>0</v>
      </c>
      <c r="AF3111">
        <v>0</v>
      </c>
      <c r="AK3111">
        <v>3</v>
      </c>
      <c r="AL3111">
        <v>0</v>
      </c>
      <c r="AM3111">
        <v>0</v>
      </c>
      <c r="AN3111">
        <v>0</v>
      </c>
      <c r="AT3111">
        <v>0</v>
      </c>
      <c r="AU3111">
        <v>12</v>
      </c>
      <c r="AV3111">
        <v>376</v>
      </c>
      <c r="AW3111">
        <v>371</v>
      </c>
      <c r="AX3111">
        <v>636</v>
      </c>
      <c r="BA3111">
        <v>1</v>
      </c>
      <c r="BC3111" t="s">
        <v>6324</v>
      </c>
      <c r="BD3111" s="4">
        <v>43283.250694444447</v>
      </c>
      <c r="BE3111" s="4">
        <v>43283.279004629629</v>
      </c>
      <c r="BF3111" s="4">
        <v>43283.279004629629</v>
      </c>
      <c r="BG3111" t="s">
        <v>83</v>
      </c>
      <c r="BH3111" t="s">
        <v>84</v>
      </c>
      <c r="BI3111" t="s">
        <v>85</v>
      </c>
    </row>
    <row r="3112" spans="1:61" x14ac:dyDescent="0.3">
      <c r="A3112" t="str">
        <f>"200616C0100"</f>
        <v>200616C0100</v>
      </c>
      <c r="B3112" t="s">
        <v>6325</v>
      </c>
      <c r="C3112">
        <v>20</v>
      </c>
      <c r="D3112" t="s">
        <v>79</v>
      </c>
      <c r="E3112">
        <v>14</v>
      </c>
      <c r="F3112" t="s">
        <v>5455</v>
      </c>
      <c r="G3112">
        <v>616</v>
      </c>
      <c r="H3112">
        <v>1</v>
      </c>
      <c r="I3112" t="s">
        <v>89</v>
      </c>
      <c r="J3112">
        <v>0</v>
      </c>
      <c r="K3112">
        <v>1</v>
      </c>
      <c r="L3112">
        <v>2</v>
      </c>
      <c r="M3112">
        <v>250</v>
      </c>
      <c r="N3112">
        <v>407</v>
      </c>
      <c r="O3112">
        <v>2</v>
      </c>
      <c r="P3112">
        <v>407</v>
      </c>
      <c r="Q3112">
        <v>45</v>
      </c>
      <c r="R3112">
        <v>54</v>
      </c>
      <c r="S3112">
        <v>4</v>
      </c>
      <c r="T3112">
        <v>13</v>
      </c>
      <c r="U3112">
        <v>12</v>
      </c>
      <c r="V3112">
        <v>10</v>
      </c>
      <c r="W3112">
        <v>12</v>
      </c>
      <c r="X3112">
        <v>4</v>
      </c>
      <c r="Y3112">
        <v>218</v>
      </c>
      <c r="Z3112">
        <v>4</v>
      </c>
      <c r="AA3112">
        <v>4</v>
      </c>
      <c r="AB3112">
        <v>0</v>
      </c>
      <c r="AC3112">
        <v>2</v>
      </c>
      <c r="AD3112">
        <v>1</v>
      </c>
      <c r="AE3112">
        <v>1</v>
      </c>
      <c r="AF3112">
        <v>0</v>
      </c>
      <c r="AK3112">
        <v>5</v>
      </c>
      <c r="AL3112">
        <v>1</v>
      </c>
      <c r="AM3112">
        <v>0</v>
      </c>
      <c r="AN3112">
        <v>0</v>
      </c>
      <c r="AT3112">
        <v>0</v>
      </c>
      <c r="AU3112">
        <v>8</v>
      </c>
      <c r="AV3112">
        <v>407</v>
      </c>
      <c r="AW3112">
        <v>398</v>
      </c>
      <c r="AX3112">
        <v>635</v>
      </c>
      <c r="BA3112">
        <v>1</v>
      </c>
      <c r="BC3112" t="s">
        <v>6326</v>
      </c>
      <c r="BD3112" s="4">
        <v>43283.240972222222</v>
      </c>
      <c r="BE3112" s="4">
        <v>43283.269988425927</v>
      </c>
      <c r="BF3112" s="4">
        <v>43283.269988425927</v>
      </c>
      <c r="BG3112" t="s">
        <v>83</v>
      </c>
      <c r="BH3112" t="s">
        <v>84</v>
      </c>
      <c r="BI3112" t="s">
        <v>85</v>
      </c>
    </row>
    <row r="3113" spans="1:61" x14ac:dyDescent="0.3">
      <c r="A3113" t="str">
        <f>"200616C0200"</f>
        <v>200616C0200</v>
      </c>
      <c r="B3113" t="s">
        <v>6327</v>
      </c>
      <c r="C3113">
        <v>20</v>
      </c>
      <c r="D3113" t="s">
        <v>79</v>
      </c>
      <c r="E3113">
        <v>14</v>
      </c>
      <c r="F3113" t="s">
        <v>5455</v>
      </c>
      <c r="G3113">
        <v>616</v>
      </c>
      <c r="H3113">
        <v>2</v>
      </c>
      <c r="I3113" t="s">
        <v>89</v>
      </c>
      <c r="J3113">
        <v>0</v>
      </c>
      <c r="K3113">
        <v>1</v>
      </c>
      <c r="L3113">
        <v>2</v>
      </c>
      <c r="M3113">
        <v>258</v>
      </c>
      <c r="N3113">
        <v>399</v>
      </c>
      <c r="O3113">
        <v>2</v>
      </c>
      <c r="P3113">
        <v>410</v>
      </c>
      <c r="Q3113">
        <v>44</v>
      </c>
      <c r="R3113">
        <v>59</v>
      </c>
      <c r="S3113">
        <v>19</v>
      </c>
      <c r="T3113">
        <v>26</v>
      </c>
      <c r="U3113">
        <v>8</v>
      </c>
      <c r="V3113">
        <v>8</v>
      </c>
      <c r="W3113">
        <v>2</v>
      </c>
      <c r="X3113">
        <v>206</v>
      </c>
      <c r="Y3113">
        <v>2</v>
      </c>
      <c r="Z3113">
        <v>2</v>
      </c>
      <c r="AA3113">
        <v>7</v>
      </c>
      <c r="AB3113">
        <v>7</v>
      </c>
      <c r="AC3113">
        <v>1</v>
      </c>
      <c r="AD3113">
        <v>0</v>
      </c>
      <c r="AE3113">
        <v>0</v>
      </c>
      <c r="AF3113">
        <v>0</v>
      </c>
      <c r="AK3113">
        <v>6</v>
      </c>
      <c r="AL3113">
        <v>0</v>
      </c>
      <c r="AM3113">
        <v>2</v>
      </c>
      <c r="AN3113">
        <v>0</v>
      </c>
      <c r="AT3113">
        <v>13</v>
      </c>
      <c r="AU3113">
        <v>13</v>
      </c>
      <c r="AV3113">
        <v>412</v>
      </c>
      <c r="AW3113">
        <v>425</v>
      </c>
      <c r="AX3113">
        <v>635</v>
      </c>
      <c r="BA3113">
        <v>1</v>
      </c>
      <c r="BC3113" t="s">
        <v>6328</v>
      </c>
      <c r="BD3113" s="4">
        <v>43283.229861111111</v>
      </c>
      <c r="BE3113" s="4">
        <v>43283.265289351853</v>
      </c>
      <c r="BF3113" s="4">
        <v>43283.265289351853</v>
      </c>
      <c r="BG3113" t="s">
        <v>83</v>
      </c>
      <c r="BH3113" t="s">
        <v>84</v>
      </c>
      <c r="BI3113" t="s">
        <v>85</v>
      </c>
    </row>
    <row r="3114" spans="1:61" x14ac:dyDescent="0.3">
      <c r="A3114" t="str">
        <f>"200616C0300"</f>
        <v>200616C0300</v>
      </c>
      <c r="B3114" t="s">
        <v>6329</v>
      </c>
      <c r="C3114">
        <v>20</v>
      </c>
      <c r="D3114" t="s">
        <v>79</v>
      </c>
      <c r="E3114">
        <v>14</v>
      </c>
      <c r="F3114" t="s">
        <v>5455</v>
      </c>
      <c r="G3114">
        <v>616</v>
      </c>
      <c r="H3114">
        <v>3</v>
      </c>
      <c r="I3114" t="s">
        <v>89</v>
      </c>
      <c r="J3114">
        <v>0</v>
      </c>
      <c r="K3114">
        <v>1</v>
      </c>
      <c r="L3114">
        <v>2</v>
      </c>
      <c r="M3114">
        <v>269</v>
      </c>
      <c r="N3114">
        <v>385</v>
      </c>
      <c r="O3114">
        <v>3</v>
      </c>
      <c r="P3114">
        <v>368</v>
      </c>
      <c r="Q3114">
        <v>46</v>
      </c>
      <c r="R3114">
        <v>65</v>
      </c>
      <c r="S3114">
        <v>13</v>
      </c>
      <c r="T3114">
        <v>12</v>
      </c>
      <c r="U3114">
        <v>18</v>
      </c>
      <c r="V3114">
        <v>2</v>
      </c>
      <c r="W3114">
        <v>9</v>
      </c>
      <c r="X3114">
        <v>3</v>
      </c>
      <c r="Y3114">
        <v>164</v>
      </c>
      <c r="Z3114">
        <v>6</v>
      </c>
      <c r="AA3114">
        <v>3</v>
      </c>
      <c r="AB3114">
        <v>4</v>
      </c>
      <c r="AC3114">
        <v>2</v>
      </c>
      <c r="AD3114">
        <v>1</v>
      </c>
      <c r="AE3114">
        <v>0</v>
      </c>
      <c r="AF3114">
        <v>0</v>
      </c>
      <c r="AK3114">
        <v>5</v>
      </c>
      <c r="AL3114">
        <v>4</v>
      </c>
      <c r="AM3114">
        <v>0</v>
      </c>
      <c r="AN3114">
        <v>1</v>
      </c>
      <c r="AT3114">
        <v>0</v>
      </c>
      <c r="AU3114">
        <v>10</v>
      </c>
      <c r="AV3114">
        <v>368</v>
      </c>
      <c r="AW3114">
        <v>368</v>
      </c>
      <c r="AX3114">
        <v>635</v>
      </c>
      <c r="BA3114">
        <v>1</v>
      </c>
      <c r="BC3114" t="s">
        <v>6330</v>
      </c>
      <c r="BD3114" s="4">
        <v>43283.261805555558</v>
      </c>
      <c r="BE3114" s="4">
        <v>43283.287905092591</v>
      </c>
      <c r="BF3114" s="4">
        <v>43283.287905092591</v>
      </c>
      <c r="BG3114" t="s">
        <v>83</v>
      </c>
      <c r="BH3114" t="s">
        <v>84</v>
      </c>
      <c r="BI3114" t="s">
        <v>85</v>
      </c>
    </row>
    <row r="3115" spans="1:61" x14ac:dyDescent="0.3">
      <c r="A3115" t="str">
        <f>"200616C0400"</f>
        <v>200616C0400</v>
      </c>
      <c r="B3115" t="s">
        <v>6331</v>
      </c>
      <c r="C3115">
        <v>20</v>
      </c>
      <c r="D3115" t="s">
        <v>79</v>
      </c>
      <c r="E3115">
        <v>14</v>
      </c>
      <c r="F3115" t="s">
        <v>5455</v>
      </c>
      <c r="G3115">
        <v>616</v>
      </c>
      <c r="H3115">
        <v>4</v>
      </c>
      <c r="I3115" t="s">
        <v>89</v>
      </c>
      <c r="J3115">
        <v>0</v>
      </c>
      <c r="K3115">
        <v>1</v>
      </c>
      <c r="L3115">
        <v>2</v>
      </c>
      <c r="M3115">
        <v>267</v>
      </c>
      <c r="N3115">
        <v>390</v>
      </c>
      <c r="O3115">
        <v>3</v>
      </c>
      <c r="P3115">
        <v>390</v>
      </c>
      <c r="Q3115">
        <v>45</v>
      </c>
      <c r="R3115">
        <v>56</v>
      </c>
      <c r="S3115">
        <v>6</v>
      </c>
      <c r="T3115">
        <v>17</v>
      </c>
      <c r="U3115">
        <v>22</v>
      </c>
      <c r="V3115">
        <v>4</v>
      </c>
      <c r="W3115">
        <v>4</v>
      </c>
      <c r="X3115">
        <v>2</v>
      </c>
      <c r="Y3115">
        <v>189</v>
      </c>
      <c r="Z3115">
        <v>9</v>
      </c>
      <c r="AA3115">
        <v>1</v>
      </c>
      <c r="AB3115">
        <v>11</v>
      </c>
      <c r="AC3115">
        <v>0</v>
      </c>
      <c r="AD3115">
        <v>2</v>
      </c>
      <c r="AE3115">
        <v>0</v>
      </c>
      <c r="AF3115">
        <v>0</v>
      </c>
      <c r="AK3115">
        <v>12</v>
      </c>
      <c r="AL3115">
        <v>0</v>
      </c>
      <c r="AM3115">
        <v>0</v>
      </c>
      <c r="AN3115">
        <v>0</v>
      </c>
      <c r="AT3115" t="s">
        <v>100</v>
      </c>
      <c r="AU3115">
        <v>13</v>
      </c>
      <c r="AV3115" t="s">
        <v>100</v>
      </c>
      <c r="AW3115">
        <v>393</v>
      </c>
      <c r="AX3115">
        <v>635</v>
      </c>
      <c r="AZ3115" t="s">
        <v>101</v>
      </c>
      <c r="BA3115">
        <v>1</v>
      </c>
      <c r="BC3115" t="s">
        <v>6332</v>
      </c>
      <c r="BD3115" s="4">
        <v>43283.247916666667</v>
      </c>
      <c r="BE3115" s="4">
        <v>43283.272870370369</v>
      </c>
      <c r="BF3115" s="4">
        <v>43283.272870370369</v>
      </c>
      <c r="BG3115" t="s">
        <v>83</v>
      </c>
      <c r="BH3115" t="s">
        <v>84</v>
      </c>
      <c r="BI3115" t="s">
        <v>85</v>
      </c>
    </row>
    <row r="3116" spans="1:61" x14ac:dyDescent="0.3">
      <c r="A3116" t="str">
        <f>"200616C0500"</f>
        <v>200616C0500</v>
      </c>
      <c r="B3116" t="s">
        <v>6333</v>
      </c>
      <c r="C3116">
        <v>20</v>
      </c>
      <c r="D3116" t="s">
        <v>79</v>
      </c>
      <c r="E3116">
        <v>14</v>
      </c>
      <c r="F3116" t="s">
        <v>5455</v>
      </c>
      <c r="G3116">
        <v>616</v>
      </c>
      <c r="H3116">
        <v>5</v>
      </c>
      <c r="I3116" t="s">
        <v>89</v>
      </c>
      <c r="J3116">
        <v>0</v>
      </c>
      <c r="K3116">
        <v>1</v>
      </c>
      <c r="L3116">
        <v>2</v>
      </c>
      <c r="M3116">
        <v>283</v>
      </c>
      <c r="N3116">
        <v>374</v>
      </c>
      <c r="O3116">
        <v>4</v>
      </c>
      <c r="P3116">
        <v>373</v>
      </c>
      <c r="Q3116">
        <v>34</v>
      </c>
      <c r="R3116">
        <v>56</v>
      </c>
      <c r="S3116">
        <v>7</v>
      </c>
      <c r="T3116">
        <v>7</v>
      </c>
      <c r="U3116">
        <v>35</v>
      </c>
      <c r="V3116">
        <v>6</v>
      </c>
      <c r="W3116">
        <v>7</v>
      </c>
      <c r="X3116">
        <v>3</v>
      </c>
      <c r="Y3116">
        <v>177</v>
      </c>
      <c r="Z3116">
        <v>5</v>
      </c>
      <c r="AA3116">
        <v>1</v>
      </c>
      <c r="AB3116">
        <v>10</v>
      </c>
      <c r="AC3116">
        <v>0</v>
      </c>
      <c r="AD3116">
        <v>0</v>
      </c>
      <c r="AE3116">
        <v>0</v>
      </c>
      <c r="AF3116">
        <v>1</v>
      </c>
      <c r="AK3116">
        <v>12</v>
      </c>
      <c r="AL3116">
        <v>3</v>
      </c>
      <c r="AM3116">
        <v>0</v>
      </c>
      <c r="AN3116">
        <v>0</v>
      </c>
      <c r="AT3116">
        <v>0</v>
      </c>
      <c r="AU3116">
        <v>12</v>
      </c>
      <c r="AV3116">
        <v>376</v>
      </c>
      <c r="AW3116">
        <v>376</v>
      </c>
      <c r="AX3116">
        <v>635</v>
      </c>
      <c r="BA3116">
        <v>1</v>
      </c>
      <c r="BC3116" t="s">
        <v>6334</v>
      </c>
      <c r="BD3116" s="4">
        <v>43283.236111111109</v>
      </c>
      <c r="BE3116" s="4">
        <v>43283.259571759256</v>
      </c>
      <c r="BF3116" s="4">
        <v>43283.259571759256</v>
      </c>
      <c r="BG3116" t="s">
        <v>83</v>
      </c>
      <c r="BH3116" t="s">
        <v>84</v>
      </c>
      <c r="BI3116" t="s">
        <v>85</v>
      </c>
    </row>
    <row r="3117" spans="1:61" x14ac:dyDescent="0.3">
      <c r="A3117" t="str">
        <f>"200037B0100"</f>
        <v>200037B0100</v>
      </c>
      <c r="B3117" t="s">
        <v>6335</v>
      </c>
      <c r="C3117">
        <v>20</v>
      </c>
      <c r="D3117" t="s">
        <v>79</v>
      </c>
      <c r="E3117">
        <v>15</v>
      </c>
      <c r="F3117" t="s">
        <v>6336</v>
      </c>
      <c r="G3117">
        <v>37</v>
      </c>
      <c r="H3117">
        <v>1</v>
      </c>
      <c r="I3117" t="s">
        <v>81</v>
      </c>
      <c r="J3117">
        <v>0</v>
      </c>
      <c r="K3117">
        <v>2</v>
      </c>
      <c r="L3117">
        <v>2</v>
      </c>
      <c r="AX3117">
        <v>635</v>
      </c>
      <c r="AZ3117" t="s">
        <v>156</v>
      </c>
      <c r="BA3117">
        <v>0</v>
      </c>
      <c r="BC3117" t="s">
        <v>6337</v>
      </c>
      <c r="BD3117" s="4">
        <v>43283.643750000003</v>
      </c>
      <c r="BE3117" s="4">
        <v>43283.647106481483</v>
      </c>
      <c r="BF3117" s="4">
        <v>43283.647106481483</v>
      </c>
      <c r="BG3117" t="s">
        <v>83</v>
      </c>
      <c r="BH3117" t="s">
        <v>84</v>
      </c>
      <c r="BI3117" t="s">
        <v>85</v>
      </c>
    </row>
    <row r="3118" spans="1:61" x14ac:dyDescent="0.3">
      <c r="A3118" t="str">
        <f>"200037C0100"</f>
        <v>200037C0100</v>
      </c>
      <c r="B3118" t="s">
        <v>6338</v>
      </c>
      <c r="C3118">
        <v>20</v>
      </c>
      <c r="D3118" t="s">
        <v>79</v>
      </c>
      <c r="E3118">
        <v>15</v>
      </c>
      <c r="F3118" t="s">
        <v>6336</v>
      </c>
      <c r="G3118">
        <v>37</v>
      </c>
      <c r="H3118">
        <v>1</v>
      </c>
      <c r="I3118" t="s">
        <v>89</v>
      </c>
      <c r="J3118">
        <v>0</v>
      </c>
      <c r="K3118">
        <v>2</v>
      </c>
      <c r="L3118">
        <v>2</v>
      </c>
      <c r="M3118">
        <v>218</v>
      </c>
      <c r="N3118">
        <v>438</v>
      </c>
      <c r="O3118">
        <v>7</v>
      </c>
      <c r="P3118">
        <v>438</v>
      </c>
      <c r="Q3118">
        <v>24</v>
      </c>
      <c r="R3118">
        <v>36</v>
      </c>
      <c r="S3118">
        <v>77</v>
      </c>
      <c r="T3118">
        <v>11</v>
      </c>
      <c r="U3118">
        <v>22</v>
      </c>
      <c r="V3118">
        <v>7</v>
      </c>
      <c r="W3118">
        <v>15</v>
      </c>
      <c r="X3118">
        <v>1</v>
      </c>
      <c r="Y3118">
        <v>203</v>
      </c>
      <c r="Z3118">
        <v>5</v>
      </c>
      <c r="AA3118">
        <v>3</v>
      </c>
      <c r="AB3118">
        <v>8</v>
      </c>
      <c r="AC3118">
        <v>3</v>
      </c>
      <c r="AD3118">
        <v>0</v>
      </c>
      <c r="AE3118">
        <v>0</v>
      </c>
      <c r="AF3118">
        <v>1</v>
      </c>
      <c r="AG3118">
        <v>0</v>
      </c>
      <c r="AH3118">
        <v>0</v>
      </c>
      <c r="AI3118">
        <v>0</v>
      </c>
      <c r="AJ3118">
        <v>0</v>
      </c>
      <c r="AK3118">
        <v>3</v>
      </c>
      <c r="AL3118">
        <v>3</v>
      </c>
      <c r="AM3118">
        <v>0</v>
      </c>
      <c r="AN3118">
        <v>1</v>
      </c>
      <c r="AT3118">
        <v>1</v>
      </c>
      <c r="AU3118">
        <v>13</v>
      </c>
      <c r="AV3118">
        <v>438</v>
      </c>
      <c r="AW3118">
        <v>437</v>
      </c>
      <c r="AX3118">
        <v>634</v>
      </c>
      <c r="BA3118">
        <v>1</v>
      </c>
      <c r="BC3118" t="s">
        <v>6339</v>
      </c>
      <c r="BD3118" s="4">
        <v>43283.165972222225</v>
      </c>
      <c r="BE3118" s="4">
        <v>43283.180752314816</v>
      </c>
      <c r="BF3118" s="4">
        <v>43283.180752314816</v>
      </c>
      <c r="BG3118" t="s">
        <v>83</v>
      </c>
      <c r="BH3118" t="s">
        <v>84</v>
      </c>
      <c r="BI3118" t="s">
        <v>85</v>
      </c>
    </row>
    <row r="3119" spans="1:61" x14ac:dyDescent="0.3">
      <c r="A3119" t="str">
        <f>"200037C0200"</f>
        <v>200037C0200</v>
      </c>
      <c r="B3119" t="s">
        <v>6340</v>
      </c>
      <c r="C3119">
        <v>20</v>
      </c>
      <c r="D3119" t="s">
        <v>79</v>
      </c>
      <c r="E3119">
        <v>15</v>
      </c>
      <c r="F3119" t="s">
        <v>6336</v>
      </c>
      <c r="G3119">
        <v>37</v>
      </c>
      <c r="H3119">
        <v>2</v>
      </c>
      <c r="I3119" t="s">
        <v>89</v>
      </c>
      <c r="J3119">
        <v>0</v>
      </c>
      <c r="K3119">
        <v>2</v>
      </c>
      <c r="L3119">
        <v>2</v>
      </c>
      <c r="M3119">
        <v>209</v>
      </c>
      <c r="N3119">
        <v>447</v>
      </c>
      <c r="O3119">
        <v>9</v>
      </c>
      <c r="P3119">
        <v>449</v>
      </c>
      <c r="Q3119">
        <v>23</v>
      </c>
      <c r="R3119">
        <v>27</v>
      </c>
      <c r="S3119">
        <v>80</v>
      </c>
      <c r="T3119">
        <v>9</v>
      </c>
      <c r="U3119">
        <v>19</v>
      </c>
      <c r="V3119">
        <v>8</v>
      </c>
      <c r="W3119">
        <v>13</v>
      </c>
      <c r="X3119">
        <v>4</v>
      </c>
      <c r="Y3119">
        <v>223</v>
      </c>
      <c r="Z3119">
        <v>3</v>
      </c>
      <c r="AA3119">
        <v>0</v>
      </c>
      <c r="AB3119">
        <v>10</v>
      </c>
      <c r="AC3119">
        <v>0</v>
      </c>
      <c r="AD3119">
        <v>1</v>
      </c>
      <c r="AE3119">
        <v>0</v>
      </c>
      <c r="AF3119">
        <v>1</v>
      </c>
      <c r="AG3119">
        <v>1</v>
      </c>
      <c r="AH3119">
        <v>1</v>
      </c>
      <c r="AI3119">
        <v>0</v>
      </c>
      <c r="AJ3119">
        <v>0</v>
      </c>
      <c r="AK3119">
        <v>4</v>
      </c>
      <c r="AL3119">
        <v>1</v>
      </c>
      <c r="AM3119">
        <v>0</v>
      </c>
      <c r="AN3119">
        <v>0</v>
      </c>
      <c r="AT3119" t="s">
        <v>100</v>
      </c>
      <c r="AU3119">
        <v>21</v>
      </c>
      <c r="AV3119">
        <v>449</v>
      </c>
      <c r="AW3119">
        <v>449</v>
      </c>
      <c r="AX3119">
        <v>634</v>
      </c>
      <c r="AZ3119" t="s">
        <v>101</v>
      </c>
      <c r="BA3119">
        <v>1</v>
      </c>
      <c r="BC3119" t="s">
        <v>6341</v>
      </c>
      <c r="BD3119" s="4">
        <v>43283.164583333331</v>
      </c>
      <c r="BE3119" s="4">
        <v>43283.18209490741</v>
      </c>
      <c r="BF3119" s="4">
        <v>43283.18209490741</v>
      </c>
      <c r="BG3119" t="s">
        <v>83</v>
      </c>
      <c r="BH3119" t="s">
        <v>84</v>
      </c>
      <c r="BI3119" t="s">
        <v>85</v>
      </c>
    </row>
    <row r="3120" spans="1:61" x14ac:dyDescent="0.3">
      <c r="A3120" t="str">
        <f>"200038B0100"</f>
        <v>200038B0100</v>
      </c>
      <c r="B3120" t="s">
        <v>6342</v>
      </c>
      <c r="C3120">
        <v>20</v>
      </c>
      <c r="D3120" t="s">
        <v>79</v>
      </c>
      <c r="E3120">
        <v>15</v>
      </c>
      <c r="F3120" t="s">
        <v>6336</v>
      </c>
      <c r="G3120">
        <v>38</v>
      </c>
      <c r="H3120">
        <v>1</v>
      </c>
      <c r="I3120" t="s">
        <v>81</v>
      </c>
      <c r="J3120">
        <v>0</v>
      </c>
      <c r="K3120">
        <v>1</v>
      </c>
      <c r="L3120">
        <v>2</v>
      </c>
      <c r="M3120">
        <v>209</v>
      </c>
      <c r="N3120">
        <v>467</v>
      </c>
      <c r="O3120">
        <v>8</v>
      </c>
      <c r="P3120">
        <v>466</v>
      </c>
      <c r="Q3120">
        <v>26</v>
      </c>
      <c r="R3120">
        <v>41</v>
      </c>
      <c r="S3120">
        <v>86</v>
      </c>
      <c r="T3120">
        <v>7</v>
      </c>
      <c r="U3120">
        <v>14</v>
      </c>
      <c r="V3120">
        <v>7</v>
      </c>
      <c r="W3120">
        <v>10</v>
      </c>
      <c r="X3120">
        <v>4</v>
      </c>
      <c r="Y3120">
        <v>218</v>
      </c>
      <c r="Z3120">
        <v>11</v>
      </c>
      <c r="AA3120">
        <v>4</v>
      </c>
      <c r="AB3120">
        <v>8</v>
      </c>
      <c r="AC3120">
        <v>0</v>
      </c>
      <c r="AD3120">
        <v>4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3</v>
      </c>
      <c r="AL3120">
        <v>2</v>
      </c>
      <c r="AM3120">
        <v>0</v>
      </c>
      <c r="AN3120">
        <v>3</v>
      </c>
      <c r="AT3120">
        <v>0</v>
      </c>
      <c r="AU3120">
        <v>18</v>
      </c>
      <c r="AV3120">
        <v>406</v>
      </c>
      <c r="AW3120">
        <v>466</v>
      </c>
      <c r="AX3120">
        <v>654</v>
      </c>
      <c r="BA3120">
        <v>1</v>
      </c>
      <c r="BC3120" t="s">
        <v>6343</v>
      </c>
      <c r="BD3120" s="4">
        <v>43283.075694444444</v>
      </c>
      <c r="BE3120" s="4">
        <v>43283.081817129627</v>
      </c>
      <c r="BF3120" s="4">
        <v>43283.081817129627</v>
      </c>
      <c r="BG3120" t="s">
        <v>83</v>
      </c>
      <c r="BH3120" t="s">
        <v>84</v>
      </c>
      <c r="BI3120" t="s">
        <v>85</v>
      </c>
    </row>
    <row r="3121" spans="1:61" x14ac:dyDescent="0.3">
      <c r="A3121" t="str">
        <f>"200038C0100"</f>
        <v>200038C0100</v>
      </c>
      <c r="B3121" t="s">
        <v>6344</v>
      </c>
      <c r="C3121">
        <v>20</v>
      </c>
      <c r="D3121" t="s">
        <v>79</v>
      </c>
      <c r="E3121">
        <v>15</v>
      </c>
      <c r="F3121" t="s">
        <v>6336</v>
      </c>
      <c r="G3121">
        <v>38</v>
      </c>
      <c r="H3121">
        <v>1</v>
      </c>
      <c r="I3121" t="s">
        <v>89</v>
      </c>
      <c r="J3121">
        <v>0</v>
      </c>
      <c r="K3121">
        <v>1</v>
      </c>
      <c r="L3121">
        <v>2</v>
      </c>
      <c r="M3121">
        <v>230</v>
      </c>
      <c r="N3121">
        <v>445</v>
      </c>
      <c r="O3121">
        <v>5</v>
      </c>
      <c r="P3121">
        <v>445</v>
      </c>
      <c r="Q3121">
        <v>21</v>
      </c>
      <c r="R3121">
        <v>41</v>
      </c>
      <c r="S3121">
        <v>80</v>
      </c>
      <c r="T3121">
        <v>8</v>
      </c>
      <c r="U3121">
        <v>16</v>
      </c>
      <c r="V3121">
        <v>6</v>
      </c>
      <c r="W3121">
        <v>15</v>
      </c>
      <c r="X3121">
        <v>6</v>
      </c>
      <c r="Y3121">
        <v>201</v>
      </c>
      <c r="Z3121">
        <v>11</v>
      </c>
      <c r="AA3121">
        <v>0</v>
      </c>
      <c r="AB3121">
        <v>8</v>
      </c>
      <c r="AC3121">
        <v>1</v>
      </c>
      <c r="AD3121">
        <v>1</v>
      </c>
      <c r="AE3121">
        <v>0</v>
      </c>
      <c r="AF3121">
        <v>1</v>
      </c>
      <c r="AG3121">
        <v>1</v>
      </c>
      <c r="AH3121">
        <v>1</v>
      </c>
      <c r="AI3121">
        <v>0</v>
      </c>
      <c r="AJ3121">
        <v>0</v>
      </c>
      <c r="AK3121">
        <v>2</v>
      </c>
      <c r="AL3121">
        <v>1</v>
      </c>
      <c r="AM3121">
        <v>0</v>
      </c>
      <c r="AN3121">
        <v>1</v>
      </c>
      <c r="AT3121">
        <v>1</v>
      </c>
      <c r="AU3121">
        <v>22</v>
      </c>
      <c r="AV3121">
        <v>445</v>
      </c>
      <c r="AW3121">
        <v>445</v>
      </c>
      <c r="AX3121">
        <v>653</v>
      </c>
      <c r="BA3121">
        <v>1</v>
      </c>
      <c r="BC3121" t="s">
        <v>6345</v>
      </c>
      <c r="BD3121" s="4">
        <v>43283.074305555558</v>
      </c>
      <c r="BE3121" s="4">
        <v>43283.079872685186</v>
      </c>
      <c r="BF3121" s="4">
        <v>43283.079872685186</v>
      </c>
      <c r="BG3121" t="s">
        <v>83</v>
      </c>
      <c r="BH3121" t="s">
        <v>84</v>
      </c>
      <c r="BI3121" t="s">
        <v>85</v>
      </c>
    </row>
    <row r="3122" spans="1:61" x14ac:dyDescent="0.3">
      <c r="A3122" t="str">
        <f>"200147B0100"</f>
        <v>200147B0100</v>
      </c>
      <c r="B3122" t="s">
        <v>6346</v>
      </c>
      <c r="C3122">
        <v>20</v>
      </c>
      <c r="D3122" t="s">
        <v>79</v>
      </c>
      <c r="E3122">
        <v>15</v>
      </c>
      <c r="F3122" t="s">
        <v>6336</v>
      </c>
      <c r="G3122">
        <v>147</v>
      </c>
      <c r="H3122">
        <v>1</v>
      </c>
      <c r="I3122" t="s">
        <v>81</v>
      </c>
      <c r="J3122">
        <v>0</v>
      </c>
      <c r="K3122">
        <v>2</v>
      </c>
      <c r="L3122">
        <v>2</v>
      </c>
      <c r="M3122">
        <v>218</v>
      </c>
      <c r="N3122">
        <v>363</v>
      </c>
      <c r="O3122">
        <v>4</v>
      </c>
      <c r="P3122">
        <v>363</v>
      </c>
      <c r="Q3122">
        <v>13</v>
      </c>
      <c r="R3122">
        <v>20</v>
      </c>
      <c r="S3122">
        <v>81</v>
      </c>
      <c r="T3122">
        <v>4</v>
      </c>
      <c r="U3122">
        <v>7</v>
      </c>
      <c r="V3122">
        <v>3</v>
      </c>
      <c r="W3122">
        <v>34</v>
      </c>
      <c r="X3122">
        <v>5</v>
      </c>
      <c r="Y3122">
        <v>141</v>
      </c>
      <c r="Z3122">
        <v>4</v>
      </c>
      <c r="AA3122">
        <v>24</v>
      </c>
      <c r="AB3122">
        <v>3</v>
      </c>
      <c r="AC3122">
        <v>1</v>
      </c>
      <c r="AD3122">
        <v>2</v>
      </c>
      <c r="AE3122">
        <v>0</v>
      </c>
      <c r="AF3122">
        <v>0</v>
      </c>
      <c r="AG3122">
        <v>1</v>
      </c>
      <c r="AH3122">
        <v>0</v>
      </c>
      <c r="AI3122">
        <v>0</v>
      </c>
      <c r="AJ3122">
        <v>0</v>
      </c>
      <c r="AK3122">
        <v>3</v>
      </c>
      <c r="AL3122">
        <v>0</v>
      </c>
      <c r="AM3122">
        <v>0</v>
      </c>
      <c r="AN3122">
        <v>2</v>
      </c>
      <c r="AT3122">
        <v>0</v>
      </c>
      <c r="AU3122">
        <v>15</v>
      </c>
      <c r="AV3122">
        <v>363</v>
      </c>
      <c r="AW3122">
        <v>363</v>
      </c>
      <c r="AX3122">
        <v>559</v>
      </c>
      <c r="BA3122">
        <v>1</v>
      </c>
      <c r="BC3122" t="s">
        <v>6347</v>
      </c>
      <c r="BD3122" s="4">
        <v>43283.260416666664</v>
      </c>
      <c r="BE3122" s="4">
        <v>43283.287303240744</v>
      </c>
      <c r="BF3122" s="4">
        <v>43283.287303240744</v>
      </c>
      <c r="BG3122" t="s">
        <v>83</v>
      </c>
      <c r="BH3122" t="s">
        <v>84</v>
      </c>
      <c r="BI3122" t="s">
        <v>85</v>
      </c>
    </row>
    <row r="3123" spans="1:61" x14ac:dyDescent="0.3">
      <c r="A3123" t="str">
        <f>"200147C0100"</f>
        <v>200147C0100</v>
      </c>
      <c r="B3123" t="s">
        <v>6348</v>
      </c>
      <c r="C3123">
        <v>20</v>
      </c>
      <c r="D3123" t="s">
        <v>79</v>
      </c>
      <c r="E3123">
        <v>15</v>
      </c>
      <c r="F3123" t="s">
        <v>6336</v>
      </c>
      <c r="G3123">
        <v>147</v>
      </c>
      <c r="H3123">
        <v>1</v>
      </c>
      <c r="I3123" t="s">
        <v>89</v>
      </c>
      <c r="J3123">
        <v>0</v>
      </c>
      <c r="K3123">
        <v>2</v>
      </c>
      <c r="L3123">
        <v>2</v>
      </c>
      <c r="M3123">
        <v>206</v>
      </c>
      <c r="N3123">
        <v>374</v>
      </c>
      <c r="O3123">
        <v>7</v>
      </c>
      <c r="P3123">
        <v>374</v>
      </c>
      <c r="Q3123">
        <v>9</v>
      </c>
      <c r="R3123">
        <v>23</v>
      </c>
      <c r="S3123">
        <v>64</v>
      </c>
      <c r="T3123">
        <v>9</v>
      </c>
      <c r="U3123">
        <v>21</v>
      </c>
      <c r="V3123">
        <v>3</v>
      </c>
      <c r="W3123">
        <v>23</v>
      </c>
      <c r="X3123">
        <v>16</v>
      </c>
      <c r="Y3123">
        <v>139</v>
      </c>
      <c r="Z3123">
        <v>5</v>
      </c>
      <c r="AA3123">
        <v>24</v>
      </c>
      <c r="AB3123">
        <v>4</v>
      </c>
      <c r="AC3123">
        <v>0</v>
      </c>
      <c r="AD3123">
        <v>0</v>
      </c>
      <c r="AE3123">
        <v>1</v>
      </c>
      <c r="AF3123">
        <v>1</v>
      </c>
      <c r="AG3123">
        <v>1</v>
      </c>
      <c r="AH3123">
        <v>1</v>
      </c>
      <c r="AI3123">
        <v>0</v>
      </c>
      <c r="AJ3123">
        <v>0</v>
      </c>
      <c r="AK3123">
        <v>5</v>
      </c>
      <c r="AL3123">
        <v>0</v>
      </c>
      <c r="AM3123">
        <v>1</v>
      </c>
      <c r="AN3123">
        <v>1</v>
      </c>
      <c r="AT3123">
        <v>0</v>
      </c>
      <c r="AU3123">
        <v>23</v>
      </c>
      <c r="AV3123">
        <v>374</v>
      </c>
      <c r="AW3123">
        <v>374</v>
      </c>
      <c r="AX3123">
        <v>559</v>
      </c>
      <c r="BA3123">
        <v>1</v>
      </c>
      <c r="BC3123" t="s">
        <v>6349</v>
      </c>
      <c r="BD3123" s="4">
        <v>43283.261111111111</v>
      </c>
      <c r="BE3123" s="4">
        <v>43283.29142361111</v>
      </c>
      <c r="BF3123" s="4">
        <v>43283.29142361111</v>
      </c>
      <c r="BG3123" t="s">
        <v>83</v>
      </c>
      <c r="BH3123" t="s">
        <v>84</v>
      </c>
      <c r="BI3123" t="s">
        <v>85</v>
      </c>
    </row>
    <row r="3124" spans="1:61" x14ac:dyDescent="0.3">
      <c r="A3124" t="str">
        <f>"200147C0200"</f>
        <v>200147C0200</v>
      </c>
      <c r="B3124" t="s">
        <v>6350</v>
      </c>
      <c r="C3124">
        <v>20</v>
      </c>
      <c r="D3124" t="s">
        <v>79</v>
      </c>
      <c r="E3124">
        <v>15</v>
      </c>
      <c r="F3124" t="s">
        <v>6336</v>
      </c>
      <c r="G3124">
        <v>147</v>
      </c>
      <c r="H3124">
        <v>2</v>
      </c>
      <c r="I3124" t="s">
        <v>89</v>
      </c>
      <c r="J3124">
        <v>0</v>
      </c>
      <c r="K3124">
        <v>2</v>
      </c>
      <c r="L3124">
        <v>2</v>
      </c>
      <c r="M3124">
        <v>169</v>
      </c>
      <c r="N3124">
        <v>420</v>
      </c>
      <c r="O3124">
        <v>8</v>
      </c>
      <c r="P3124" t="s">
        <v>100</v>
      </c>
      <c r="Q3124">
        <v>12</v>
      </c>
      <c r="R3124">
        <v>21</v>
      </c>
      <c r="S3124">
        <v>82</v>
      </c>
      <c r="T3124">
        <v>9</v>
      </c>
      <c r="U3124">
        <v>19</v>
      </c>
      <c r="V3124">
        <v>1</v>
      </c>
      <c r="W3124">
        <v>39</v>
      </c>
      <c r="X3124">
        <v>10</v>
      </c>
      <c r="Y3124">
        <v>154</v>
      </c>
      <c r="Z3124">
        <v>6</v>
      </c>
      <c r="AA3124">
        <v>27</v>
      </c>
      <c r="AB3124">
        <v>4</v>
      </c>
      <c r="AC3124">
        <v>1</v>
      </c>
      <c r="AD3124">
        <v>2</v>
      </c>
      <c r="AE3124">
        <v>0</v>
      </c>
      <c r="AF3124">
        <v>0</v>
      </c>
      <c r="AG3124">
        <v>0</v>
      </c>
      <c r="AH3124">
        <v>0</v>
      </c>
      <c r="AI3124">
        <v>2</v>
      </c>
      <c r="AJ3124">
        <v>0</v>
      </c>
      <c r="AK3124">
        <v>1</v>
      </c>
      <c r="AL3124">
        <v>4</v>
      </c>
      <c r="AM3124">
        <v>0</v>
      </c>
      <c r="AN3124">
        <v>0</v>
      </c>
      <c r="AT3124" t="s">
        <v>100</v>
      </c>
      <c r="AU3124">
        <v>18</v>
      </c>
      <c r="AV3124">
        <v>412</v>
      </c>
      <c r="AW3124">
        <v>412</v>
      </c>
      <c r="AX3124">
        <v>559</v>
      </c>
      <c r="AZ3124" t="s">
        <v>101</v>
      </c>
      <c r="BA3124">
        <v>1</v>
      </c>
      <c r="BC3124" t="s">
        <v>6351</v>
      </c>
      <c r="BD3124" s="4">
        <v>43283.260416666664</v>
      </c>
      <c r="BE3124" s="4">
        <v>43283.288229166668</v>
      </c>
      <c r="BF3124" s="4">
        <v>43283.288229166668</v>
      </c>
      <c r="BG3124" t="s">
        <v>83</v>
      </c>
      <c r="BH3124" t="s">
        <v>84</v>
      </c>
      <c r="BI3124" t="s">
        <v>85</v>
      </c>
    </row>
    <row r="3125" spans="1:61" x14ac:dyDescent="0.3">
      <c r="A3125" t="str">
        <f>"200147E0100"</f>
        <v>200147E0100</v>
      </c>
      <c r="B3125" s="2" t="s">
        <v>6352</v>
      </c>
      <c r="C3125">
        <v>20</v>
      </c>
      <c r="D3125" t="s">
        <v>79</v>
      </c>
      <c r="E3125">
        <v>15</v>
      </c>
      <c r="F3125" t="s">
        <v>6336</v>
      </c>
      <c r="G3125">
        <v>147</v>
      </c>
      <c r="H3125">
        <v>1</v>
      </c>
      <c r="I3125" t="s">
        <v>145</v>
      </c>
      <c r="J3125">
        <v>0</v>
      </c>
      <c r="K3125">
        <v>2</v>
      </c>
      <c r="L3125">
        <v>2</v>
      </c>
      <c r="M3125">
        <v>247</v>
      </c>
      <c r="N3125">
        <v>371</v>
      </c>
      <c r="O3125">
        <v>12</v>
      </c>
      <c r="P3125">
        <v>371</v>
      </c>
      <c r="Q3125">
        <v>12</v>
      </c>
      <c r="R3125">
        <v>48</v>
      </c>
      <c r="S3125">
        <v>94</v>
      </c>
      <c r="T3125">
        <v>9</v>
      </c>
      <c r="U3125">
        <v>14</v>
      </c>
      <c r="V3125">
        <v>1</v>
      </c>
      <c r="W3125">
        <v>39</v>
      </c>
      <c r="X3125">
        <v>9</v>
      </c>
      <c r="Y3125">
        <v>80</v>
      </c>
      <c r="Z3125">
        <v>1</v>
      </c>
      <c r="AA3125">
        <v>30</v>
      </c>
      <c r="AB3125">
        <v>6</v>
      </c>
      <c r="AC3125">
        <v>0</v>
      </c>
      <c r="AD3125">
        <v>2</v>
      </c>
      <c r="AE3125">
        <v>0</v>
      </c>
      <c r="AF3125">
        <v>0</v>
      </c>
      <c r="AG3125">
        <v>1</v>
      </c>
      <c r="AH3125">
        <v>1</v>
      </c>
      <c r="AI3125">
        <v>0</v>
      </c>
      <c r="AJ3125">
        <v>1</v>
      </c>
      <c r="AK3125">
        <v>0</v>
      </c>
      <c r="AL3125">
        <v>0</v>
      </c>
      <c r="AM3125">
        <v>1</v>
      </c>
      <c r="AN3125">
        <v>0</v>
      </c>
      <c r="AT3125">
        <v>0</v>
      </c>
      <c r="AU3125">
        <v>22</v>
      </c>
      <c r="AV3125">
        <v>371</v>
      </c>
      <c r="AW3125">
        <v>371</v>
      </c>
      <c r="AX3125">
        <v>596</v>
      </c>
      <c r="BA3125">
        <v>1</v>
      </c>
      <c r="BC3125" t="s">
        <v>6353</v>
      </c>
      <c r="BD3125" s="4">
        <v>43282.999571759261</v>
      </c>
      <c r="BE3125" s="4">
        <v>43283.004560185182</v>
      </c>
      <c r="BF3125" s="4">
        <v>43283.004560185182</v>
      </c>
      <c r="BG3125" t="s">
        <v>373</v>
      </c>
      <c r="BH3125" t="s">
        <v>374</v>
      </c>
      <c r="BI3125" t="s">
        <v>85</v>
      </c>
    </row>
    <row r="3126" spans="1:61" x14ac:dyDescent="0.3">
      <c r="A3126" t="str">
        <f>"200148B0100"</f>
        <v>200148B0100</v>
      </c>
      <c r="B3126" t="s">
        <v>6354</v>
      </c>
      <c r="C3126">
        <v>20</v>
      </c>
      <c r="D3126" t="s">
        <v>79</v>
      </c>
      <c r="E3126">
        <v>15</v>
      </c>
      <c r="F3126" t="s">
        <v>6336</v>
      </c>
      <c r="G3126">
        <v>148</v>
      </c>
      <c r="H3126">
        <v>1</v>
      </c>
      <c r="I3126" t="s">
        <v>81</v>
      </c>
      <c r="J3126">
        <v>0</v>
      </c>
      <c r="K3126">
        <v>2</v>
      </c>
      <c r="L3126">
        <v>2</v>
      </c>
      <c r="M3126">
        <v>232</v>
      </c>
      <c r="N3126">
        <v>440</v>
      </c>
      <c r="O3126">
        <v>12</v>
      </c>
      <c r="P3126">
        <v>432</v>
      </c>
      <c r="Q3126">
        <v>12</v>
      </c>
      <c r="R3126">
        <v>35</v>
      </c>
      <c r="S3126">
        <v>70</v>
      </c>
      <c r="T3126">
        <v>9</v>
      </c>
      <c r="U3126">
        <v>16</v>
      </c>
      <c r="V3126">
        <v>5</v>
      </c>
      <c r="W3126">
        <v>36</v>
      </c>
      <c r="X3126">
        <v>7</v>
      </c>
      <c r="Y3126">
        <v>162</v>
      </c>
      <c r="Z3126">
        <v>7</v>
      </c>
      <c r="AA3126">
        <v>32</v>
      </c>
      <c r="AB3126">
        <v>5</v>
      </c>
      <c r="AC3126">
        <v>0</v>
      </c>
      <c r="AD3126">
        <v>0</v>
      </c>
      <c r="AE3126">
        <v>0</v>
      </c>
      <c r="AF3126">
        <v>1</v>
      </c>
      <c r="AG3126">
        <v>1</v>
      </c>
      <c r="AH3126">
        <v>1</v>
      </c>
      <c r="AI3126">
        <v>0</v>
      </c>
      <c r="AJ3126">
        <v>0</v>
      </c>
      <c r="AK3126">
        <v>1</v>
      </c>
      <c r="AL3126">
        <v>0</v>
      </c>
      <c r="AM3126">
        <v>0</v>
      </c>
      <c r="AN3126">
        <v>0</v>
      </c>
      <c r="AT3126">
        <v>0</v>
      </c>
      <c r="AU3126">
        <v>32</v>
      </c>
      <c r="AV3126">
        <v>432</v>
      </c>
      <c r="AW3126">
        <v>432</v>
      </c>
      <c r="AX3126">
        <v>642</v>
      </c>
      <c r="BA3126">
        <v>1</v>
      </c>
      <c r="BC3126" t="s">
        <v>6355</v>
      </c>
      <c r="BD3126" s="4">
        <v>43283.198611111111</v>
      </c>
      <c r="BE3126" s="4">
        <v>43283.215821759259</v>
      </c>
      <c r="BF3126" s="4">
        <v>43283.215821759259</v>
      </c>
      <c r="BG3126" t="s">
        <v>83</v>
      </c>
      <c r="BH3126" t="s">
        <v>84</v>
      </c>
      <c r="BI3126" t="s">
        <v>85</v>
      </c>
    </row>
    <row r="3127" spans="1:61" x14ac:dyDescent="0.3">
      <c r="A3127" t="str">
        <f>"200148C0100"</f>
        <v>200148C0100</v>
      </c>
      <c r="B3127" t="s">
        <v>6356</v>
      </c>
      <c r="C3127">
        <v>20</v>
      </c>
      <c r="D3127" t="s">
        <v>79</v>
      </c>
      <c r="E3127">
        <v>15</v>
      </c>
      <c r="F3127" t="s">
        <v>6336</v>
      </c>
      <c r="G3127">
        <v>148</v>
      </c>
      <c r="H3127">
        <v>1</v>
      </c>
      <c r="I3127" t="s">
        <v>89</v>
      </c>
      <c r="J3127">
        <v>0</v>
      </c>
      <c r="K3127">
        <v>2</v>
      </c>
      <c r="L3127">
        <v>2</v>
      </c>
      <c r="M3127">
        <v>239</v>
      </c>
      <c r="N3127">
        <v>425</v>
      </c>
      <c r="O3127">
        <v>6</v>
      </c>
      <c r="P3127">
        <v>425</v>
      </c>
      <c r="Q3127">
        <v>21</v>
      </c>
      <c r="R3127">
        <v>18</v>
      </c>
      <c r="S3127">
        <v>73</v>
      </c>
      <c r="T3127">
        <v>5</v>
      </c>
      <c r="U3127">
        <v>16</v>
      </c>
      <c r="V3127">
        <v>0</v>
      </c>
      <c r="W3127">
        <v>21</v>
      </c>
      <c r="X3127">
        <v>5</v>
      </c>
      <c r="Y3127">
        <v>205</v>
      </c>
      <c r="Z3127">
        <v>5</v>
      </c>
      <c r="AA3127">
        <v>26</v>
      </c>
      <c r="AB3127">
        <v>4</v>
      </c>
      <c r="AC3127" t="s">
        <v>100</v>
      </c>
      <c r="AD3127">
        <v>2</v>
      </c>
      <c r="AE3127" t="s">
        <v>100</v>
      </c>
      <c r="AF3127" t="s">
        <v>100</v>
      </c>
      <c r="AG3127" t="s">
        <v>100</v>
      </c>
      <c r="AH3127" t="s">
        <v>100</v>
      </c>
      <c r="AI3127" t="s">
        <v>100</v>
      </c>
      <c r="AJ3127" t="s">
        <v>100</v>
      </c>
      <c r="AK3127">
        <v>3</v>
      </c>
      <c r="AL3127">
        <v>2</v>
      </c>
      <c r="AM3127" t="s">
        <v>100</v>
      </c>
      <c r="AN3127">
        <v>2</v>
      </c>
      <c r="AT3127" t="s">
        <v>100</v>
      </c>
      <c r="AU3127">
        <v>17</v>
      </c>
      <c r="AV3127">
        <v>425</v>
      </c>
      <c r="AW3127">
        <v>425</v>
      </c>
      <c r="AX3127">
        <v>642</v>
      </c>
      <c r="AZ3127" t="s">
        <v>101</v>
      </c>
      <c r="BA3127">
        <v>1</v>
      </c>
      <c r="BC3127" t="s">
        <v>6357</v>
      </c>
      <c r="BD3127" s="4">
        <v>43283.20208333333</v>
      </c>
      <c r="BE3127" s="4">
        <v>43283.220011574071</v>
      </c>
      <c r="BF3127" s="4">
        <v>43283.220011574071</v>
      </c>
      <c r="BG3127" t="s">
        <v>83</v>
      </c>
      <c r="BH3127" t="s">
        <v>84</v>
      </c>
      <c r="BI3127" t="s">
        <v>85</v>
      </c>
    </row>
    <row r="3128" spans="1:61" x14ac:dyDescent="0.3">
      <c r="A3128" t="str">
        <f>"200148C0200"</f>
        <v>200148C0200</v>
      </c>
      <c r="B3128" t="s">
        <v>6358</v>
      </c>
      <c r="C3128">
        <v>20</v>
      </c>
      <c r="D3128" t="s">
        <v>79</v>
      </c>
      <c r="E3128">
        <v>15</v>
      </c>
      <c r="F3128" t="s">
        <v>6336</v>
      </c>
      <c r="G3128">
        <v>148</v>
      </c>
      <c r="H3128">
        <v>2</v>
      </c>
      <c r="I3128" t="s">
        <v>89</v>
      </c>
      <c r="J3128">
        <v>0</v>
      </c>
      <c r="K3128">
        <v>2</v>
      </c>
      <c r="L3128">
        <v>2</v>
      </c>
      <c r="M3128">
        <v>236</v>
      </c>
      <c r="N3128">
        <v>428</v>
      </c>
      <c r="O3128">
        <v>9</v>
      </c>
      <c r="P3128">
        <v>427</v>
      </c>
      <c r="Q3128">
        <v>12</v>
      </c>
      <c r="R3128">
        <v>23</v>
      </c>
      <c r="S3128">
        <v>72</v>
      </c>
      <c r="T3128">
        <v>4</v>
      </c>
      <c r="U3128">
        <v>17</v>
      </c>
      <c r="V3128">
        <v>2</v>
      </c>
      <c r="W3128">
        <v>33</v>
      </c>
      <c r="X3128">
        <v>7</v>
      </c>
      <c r="Y3128">
        <v>181</v>
      </c>
      <c r="Z3128">
        <v>7</v>
      </c>
      <c r="AA3128">
        <v>30</v>
      </c>
      <c r="AB3128">
        <v>9</v>
      </c>
      <c r="AC3128">
        <v>0</v>
      </c>
      <c r="AD3128">
        <v>2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9</v>
      </c>
      <c r="AL3128">
        <v>1</v>
      </c>
      <c r="AM3128">
        <v>0</v>
      </c>
      <c r="AN3128">
        <v>1</v>
      </c>
      <c r="AT3128" t="s">
        <v>100</v>
      </c>
      <c r="AU3128">
        <v>17</v>
      </c>
      <c r="AV3128">
        <v>427</v>
      </c>
      <c r="AW3128">
        <v>427</v>
      </c>
      <c r="AX3128">
        <v>642</v>
      </c>
      <c r="AZ3128" t="s">
        <v>101</v>
      </c>
      <c r="BA3128">
        <v>1</v>
      </c>
      <c r="BC3128" t="s">
        <v>6359</v>
      </c>
      <c r="BD3128" s="4">
        <v>43283.595833333333</v>
      </c>
      <c r="BE3128" s="4">
        <v>43283.600949074076</v>
      </c>
      <c r="BF3128" s="4">
        <v>43283.600949074076</v>
      </c>
      <c r="BG3128" t="s">
        <v>83</v>
      </c>
      <c r="BH3128" t="s">
        <v>84</v>
      </c>
      <c r="BI3128" t="s">
        <v>548</v>
      </c>
    </row>
    <row r="3129" spans="1:61" x14ac:dyDescent="0.3">
      <c r="A3129" t="str">
        <f>"200148C0300"</f>
        <v>200148C0300</v>
      </c>
      <c r="B3129" t="s">
        <v>6360</v>
      </c>
      <c r="C3129">
        <v>20</v>
      </c>
      <c r="D3129" t="s">
        <v>79</v>
      </c>
      <c r="E3129">
        <v>15</v>
      </c>
      <c r="F3129" t="s">
        <v>6336</v>
      </c>
      <c r="G3129">
        <v>148</v>
      </c>
      <c r="H3129">
        <v>3</v>
      </c>
      <c r="I3129" t="s">
        <v>89</v>
      </c>
      <c r="J3129">
        <v>0</v>
      </c>
      <c r="K3129">
        <v>2</v>
      </c>
      <c r="L3129">
        <v>2</v>
      </c>
      <c r="M3129">
        <v>180</v>
      </c>
      <c r="N3129">
        <v>494</v>
      </c>
      <c r="O3129">
        <v>10</v>
      </c>
      <c r="P3129">
        <v>484</v>
      </c>
      <c r="Q3129">
        <v>20</v>
      </c>
      <c r="R3129">
        <v>44</v>
      </c>
      <c r="S3129">
        <v>75</v>
      </c>
      <c r="T3129">
        <v>4</v>
      </c>
      <c r="U3129">
        <v>19</v>
      </c>
      <c r="V3129">
        <v>5</v>
      </c>
      <c r="W3129">
        <v>29</v>
      </c>
      <c r="X3129">
        <v>9</v>
      </c>
      <c r="Y3129">
        <v>199</v>
      </c>
      <c r="Z3129">
        <v>6</v>
      </c>
      <c r="AA3129">
        <v>38</v>
      </c>
      <c r="AB3129">
        <v>5</v>
      </c>
      <c r="AC3129">
        <v>1</v>
      </c>
      <c r="AD3129">
        <v>2</v>
      </c>
      <c r="AE3129">
        <v>0</v>
      </c>
      <c r="AF3129">
        <v>3</v>
      </c>
      <c r="AG3129">
        <v>0</v>
      </c>
      <c r="AH3129">
        <v>1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2</v>
      </c>
      <c r="AT3129" t="s">
        <v>100</v>
      </c>
      <c r="AU3129">
        <v>22</v>
      </c>
      <c r="AV3129">
        <v>484</v>
      </c>
      <c r="AW3129">
        <v>484</v>
      </c>
      <c r="AX3129">
        <v>642</v>
      </c>
      <c r="AZ3129" t="s">
        <v>101</v>
      </c>
      <c r="BA3129">
        <v>1</v>
      </c>
      <c r="BC3129" t="s">
        <v>6361</v>
      </c>
      <c r="BD3129" s="4">
        <v>43283.201388888891</v>
      </c>
      <c r="BE3129" s="4">
        <v>43283.220196759263</v>
      </c>
      <c r="BF3129" s="4">
        <v>43283.220196759263</v>
      </c>
      <c r="BG3129" t="s">
        <v>83</v>
      </c>
      <c r="BH3129" t="s">
        <v>84</v>
      </c>
      <c r="BI3129" t="s">
        <v>85</v>
      </c>
    </row>
    <row r="3130" spans="1:61" x14ac:dyDescent="0.3">
      <c r="A3130" t="str">
        <f>"200148E0100"</f>
        <v>200148E0100</v>
      </c>
      <c r="B3130" s="2" t="s">
        <v>6362</v>
      </c>
      <c r="C3130">
        <v>20</v>
      </c>
      <c r="D3130" t="s">
        <v>79</v>
      </c>
      <c r="E3130">
        <v>15</v>
      </c>
      <c r="F3130" t="s">
        <v>6336</v>
      </c>
      <c r="G3130">
        <v>148</v>
      </c>
      <c r="H3130">
        <v>1</v>
      </c>
      <c r="I3130" t="s">
        <v>145</v>
      </c>
      <c r="J3130">
        <v>0</v>
      </c>
      <c r="K3130">
        <v>2</v>
      </c>
      <c r="L3130">
        <v>2</v>
      </c>
      <c r="M3130">
        <v>311</v>
      </c>
      <c r="N3130">
        <v>457</v>
      </c>
      <c r="O3130">
        <v>12</v>
      </c>
      <c r="P3130">
        <v>457</v>
      </c>
      <c r="Q3130">
        <v>20</v>
      </c>
      <c r="R3130">
        <v>24</v>
      </c>
      <c r="S3130">
        <v>48</v>
      </c>
      <c r="T3130">
        <v>9</v>
      </c>
      <c r="U3130">
        <v>35</v>
      </c>
      <c r="V3130">
        <v>5</v>
      </c>
      <c r="W3130">
        <v>56</v>
      </c>
      <c r="X3130">
        <v>6</v>
      </c>
      <c r="Y3130">
        <v>201</v>
      </c>
      <c r="Z3130">
        <v>5</v>
      </c>
      <c r="AA3130">
        <v>1</v>
      </c>
      <c r="AB3130">
        <v>8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1</v>
      </c>
      <c r="AI3130">
        <v>0</v>
      </c>
      <c r="AJ3130">
        <v>0</v>
      </c>
      <c r="AK3130">
        <v>10</v>
      </c>
      <c r="AL3130">
        <v>3</v>
      </c>
      <c r="AM3130">
        <v>0</v>
      </c>
      <c r="AN3130">
        <v>0</v>
      </c>
      <c r="AT3130">
        <v>0</v>
      </c>
      <c r="AU3130">
        <v>25</v>
      </c>
      <c r="AV3130">
        <v>457</v>
      </c>
      <c r="AW3130">
        <v>457</v>
      </c>
      <c r="AX3130">
        <v>746</v>
      </c>
      <c r="BA3130">
        <v>1</v>
      </c>
      <c r="BC3130" t="s">
        <v>6363</v>
      </c>
      <c r="BD3130" s="4">
        <v>43283.261805555558</v>
      </c>
      <c r="BE3130" s="4">
        <v>43283.294236111113</v>
      </c>
      <c r="BF3130" s="4">
        <v>43283.294236111113</v>
      </c>
      <c r="BG3130" t="s">
        <v>83</v>
      </c>
      <c r="BH3130" t="s">
        <v>84</v>
      </c>
      <c r="BI3130" t="s">
        <v>85</v>
      </c>
    </row>
    <row r="3131" spans="1:61" x14ac:dyDescent="0.3">
      <c r="A3131" t="str">
        <f>"200148E0101"</f>
        <v>200148E0101</v>
      </c>
      <c r="B3131" s="2" t="s">
        <v>6364</v>
      </c>
      <c r="C3131">
        <v>20</v>
      </c>
      <c r="D3131" t="s">
        <v>79</v>
      </c>
      <c r="E3131">
        <v>15</v>
      </c>
      <c r="F3131" t="s">
        <v>6336</v>
      </c>
      <c r="G3131">
        <v>148</v>
      </c>
      <c r="H3131">
        <v>1</v>
      </c>
      <c r="I3131" t="s">
        <v>145</v>
      </c>
      <c r="J3131">
        <v>1</v>
      </c>
      <c r="K3131">
        <v>2</v>
      </c>
      <c r="L3131">
        <v>2</v>
      </c>
      <c r="AX3131">
        <v>746</v>
      </c>
      <c r="AZ3131" t="s">
        <v>156</v>
      </c>
      <c r="BA3131">
        <v>0</v>
      </c>
      <c r="BC3131" t="s">
        <v>6365</v>
      </c>
      <c r="BD3131" s="4">
        <v>43283.644444444442</v>
      </c>
      <c r="BE3131" s="4">
        <v>43283.648032407407</v>
      </c>
      <c r="BF3131" s="4">
        <v>43283.648032407407</v>
      </c>
      <c r="BG3131" t="s">
        <v>83</v>
      </c>
      <c r="BH3131" t="s">
        <v>84</v>
      </c>
      <c r="BI3131" t="s">
        <v>85</v>
      </c>
    </row>
    <row r="3132" spans="1:61" x14ac:dyDescent="0.3">
      <c r="A3132" t="str">
        <f>"200148E0200"</f>
        <v>200148E0200</v>
      </c>
      <c r="B3132" s="2" t="s">
        <v>6366</v>
      </c>
      <c r="C3132">
        <v>20</v>
      </c>
      <c r="D3132" t="s">
        <v>79</v>
      </c>
      <c r="E3132">
        <v>15</v>
      </c>
      <c r="F3132" t="s">
        <v>6336</v>
      </c>
      <c r="G3132">
        <v>148</v>
      </c>
      <c r="H3132">
        <v>2</v>
      </c>
      <c r="I3132" t="s">
        <v>145</v>
      </c>
      <c r="J3132">
        <v>0</v>
      </c>
      <c r="K3132">
        <v>2</v>
      </c>
      <c r="L3132">
        <v>2</v>
      </c>
      <c r="AX3132">
        <v>482</v>
      </c>
      <c r="AZ3132" t="s">
        <v>156</v>
      </c>
      <c r="BA3132">
        <v>0</v>
      </c>
      <c r="BC3132" s="2" t="s">
        <v>6367</v>
      </c>
      <c r="BD3132" s="4">
        <v>43283.643750000003</v>
      </c>
      <c r="BE3132" s="4">
        <v>43283.647314814814</v>
      </c>
      <c r="BF3132" s="4">
        <v>43283.647314814814</v>
      </c>
      <c r="BG3132" t="s">
        <v>83</v>
      </c>
      <c r="BH3132" t="s">
        <v>84</v>
      </c>
      <c r="BI3132" t="s">
        <v>85</v>
      </c>
    </row>
    <row r="3133" spans="1:61" x14ac:dyDescent="0.3">
      <c r="A3133" t="str">
        <f>"200149B0100"</f>
        <v>200149B0100</v>
      </c>
      <c r="B3133" t="s">
        <v>6368</v>
      </c>
      <c r="C3133">
        <v>20</v>
      </c>
      <c r="D3133" t="s">
        <v>79</v>
      </c>
      <c r="E3133">
        <v>15</v>
      </c>
      <c r="F3133" t="s">
        <v>6336</v>
      </c>
      <c r="G3133">
        <v>149</v>
      </c>
      <c r="H3133">
        <v>1</v>
      </c>
      <c r="I3133" t="s">
        <v>81</v>
      </c>
      <c r="J3133">
        <v>0</v>
      </c>
      <c r="K3133">
        <v>1</v>
      </c>
      <c r="L3133">
        <v>2</v>
      </c>
      <c r="M3133">
        <v>200</v>
      </c>
      <c r="N3133">
        <v>410</v>
      </c>
      <c r="O3133">
        <v>5</v>
      </c>
      <c r="P3133">
        <v>413</v>
      </c>
      <c r="Q3133">
        <v>11</v>
      </c>
      <c r="R3133">
        <v>18</v>
      </c>
      <c r="S3133">
        <v>40</v>
      </c>
      <c r="T3133">
        <v>5</v>
      </c>
      <c r="U3133">
        <v>11</v>
      </c>
      <c r="V3133">
        <v>9</v>
      </c>
      <c r="W3133">
        <v>45</v>
      </c>
      <c r="X3133">
        <v>7</v>
      </c>
      <c r="Y3133">
        <v>206</v>
      </c>
      <c r="Z3133">
        <v>6</v>
      </c>
      <c r="AA3133">
        <v>21</v>
      </c>
      <c r="AB3133">
        <v>7</v>
      </c>
      <c r="AC3133">
        <v>0</v>
      </c>
      <c r="AD3133">
        <v>0</v>
      </c>
      <c r="AE3133">
        <v>0</v>
      </c>
      <c r="AF3133">
        <v>0</v>
      </c>
      <c r="AG3133">
        <v>1</v>
      </c>
      <c r="AH3133">
        <v>0</v>
      </c>
      <c r="AI3133">
        <v>0</v>
      </c>
      <c r="AJ3133">
        <v>0</v>
      </c>
      <c r="AK3133">
        <v>3</v>
      </c>
      <c r="AL3133">
        <v>0</v>
      </c>
      <c r="AM3133">
        <v>0</v>
      </c>
      <c r="AN3133">
        <v>2</v>
      </c>
      <c r="AT3133">
        <v>1</v>
      </c>
      <c r="AU3133">
        <v>19</v>
      </c>
      <c r="AV3133">
        <v>413</v>
      </c>
      <c r="AW3133">
        <v>412</v>
      </c>
      <c r="AX3133">
        <v>588</v>
      </c>
      <c r="BA3133">
        <v>1</v>
      </c>
      <c r="BC3133" t="s">
        <v>6369</v>
      </c>
      <c r="BD3133" s="4">
        <v>43283.290972222225</v>
      </c>
      <c r="BE3133" s="4">
        <v>43283.321770833332</v>
      </c>
      <c r="BF3133" s="4">
        <v>43283.321770833332</v>
      </c>
      <c r="BG3133" t="s">
        <v>83</v>
      </c>
      <c r="BH3133" t="s">
        <v>84</v>
      </c>
      <c r="BI3133" t="s">
        <v>85</v>
      </c>
    </row>
    <row r="3134" spans="1:61" x14ac:dyDescent="0.3">
      <c r="A3134" t="str">
        <f>"200149C0100"</f>
        <v>200149C0100</v>
      </c>
      <c r="B3134" t="s">
        <v>6370</v>
      </c>
      <c r="C3134">
        <v>20</v>
      </c>
      <c r="D3134" t="s">
        <v>79</v>
      </c>
      <c r="E3134">
        <v>15</v>
      </c>
      <c r="F3134" t="s">
        <v>6336</v>
      </c>
      <c r="G3134">
        <v>149</v>
      </c>
      <c r="H3134">
        <v>1</v>
      </c>
      <c r="I3134" t="s">
        <v>89</v>
      </c>
      <c r="J3134">
        <v>0</v>
      </c>
      <c r="K3134">
        <v>1</v>
      </c>
      <c r="L3134">
        <v>2</v>
      </c>
      <c r="M3134">
        <v>202</v>
      </c>
      <c r="N3134">
        <v>408</v>
      </c>
      <c r="O3134">
        <v>4</v>
      </c>
      <c r="P3134" t="s">
        <v>100</v>
      </c>
      <c r="Q3134">
        <v>10</v>
      </c>
      <c r="R3134">
        <v>30</v>
      </c>
      <c r="S3134">
        <v>32</v>
      </c>
      <c r="T3134">
        <v>4</v>
      </c>
      <c r="U3134">
        <v>13</v>
      </c>
      <c r="V3134">
        <v>7</v>
      </c>
      <c r="W3134">
        <v>42</v>
      </c>
      <c r="X3134">
        <v>7</v>
      </c>
      <c r="Y3134">
        <v>202</v>
      </c>
      <c r="Z3134">
        <v>8</v>
      </c>
      <c r="AA3134">
        <v>18</v>
      </c>
      <c r="AB3134">
        <v>11</v>
      </c>
      <c r="AC3134">
        <v>1</v>
      </c>
      <c r="AD3134">
        <v>1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3</v>
      </c>
      <c r="AL3134">
        <v>1</v>
      </c>
      <c r="AM3134">
        <v>0</v>
      </c>
      <c r="AN3134">
        <v>2</v>
      </c>
      <c r="AT3134">
        <v>0</v>
      </c>
      <c r="AU3134">
        <v>18</v>
      </c>
      <c r="AV3134">
        <v>410</v>
      </c>
      <c r="AW3134">
        <v>410</v>
      </c>
      <c r="AX3134">
        <v>588</v>
      </c>
      <c r="BA3134">
        <v>1</v>
      </c>
      <c r="BC3134" t="s">
        <v>6371</v>
      </c>
      <c r="BD3134" s="4">
        <v>43283.333333333336</v>
      </c>
      <c r="BE3134" s="4">
        <v>43283.376087962963</v>
      </c>
      <c r="BF3134" s="4">
        <v>43283.376087962963</v>
      </c>
      <c r="BG3134" t="s">
        <v>83</v>
      </c>
      <c r="BH3134" t="s">
        <v>84</v>
      </c>
      <c r="BI3134" t="s">
        <v>85</v>
      </c>
    </row>
    <row r="3135" spans="1:61" x14ac:dyDescent="0.3">
      <c r="A3135" t="str">
        <f>"200149C0200"</f>
        <v>200149C0200</v>
      </c>
      <c r="B3135" t="s">
        <v>6372</v>
      </c>
      <c r="C3135">
        <v>20</v>
      </c>
      <c r="D3135" t="s">
        <v>79</v>
      </c>
      <c r="E3135">
        <v>15</v>
      </c>
      <c r="F3135" t="s">
        <v>6336</v>
      </c>
      <c r="G3135">
        <v>149</v>
      </c>
      <c r="H3135">
        <v>2</v>
      </c>
      <c r="I3135" t="s">
        <v>89</v>
      </c>
      <c r="J3135">
        <v>0</v>
      </c>
      <c r="K3135">
        <v>1</v>
      </c>
      <c r="L3135">
        <v>2</v>
      </c>
      <c r="M3135">
        <v>200</v>
      </c>
      <c r="N3135">
        <v>410</v>
      </c>
      <c r="O3135">
        <v>4</v>
      </c>
      <c r="P3135">
        <v>407</v>
      </c>
      <c r="Q3135">
        <v>12</v>
      </c>
      <c r="R3135">
        <v>24</v>
      </c>
      <c r="S3135">
        <v>37</v>
      </c>
      <c r="T3135">
        <v>9</v>
      </c>
      <c r="U3135">
        <v>11</v>
      </c>
      <c r="V3135">
        <v>5</v>
      </c>
      <c r="W3135">
        <v>30</v>
      </c>
      <c r="X3135">
        <v>8</v>
      </c>
      <c r="Y3135">
        <v>212</v>
      </c>
      <c r="Z3135">
        <v>2</v>
      </c>
      <c r="AA3135">
        <v>20</v>
      </c>
      <c r="AB3135">
        <v>15</v>
      </c>
      <c r="AC3135">
        <v>1</v>
      </c>
      <c r="AD3135">
        <v>1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7</v>
      </c>
      <c r="AL3135">
        <v>1</v>
      </c>
      <c r="AM3135">
        <v>0</v>
      </c>
      <c r="AN3135">
        <v>2</v>
      </c>
      <c r="AT3135">
        <v>0</v>
      </c>
      <c r="AU3135">
        <v>10</v>
      </c>
      <c r="AV3135">
        <v>407</v>
      </c>
      <c r="AW3135">
        <v>407</v>
      </c>
      <c r="AX3135">
        <v>588</v>
      </c>
      <c r="BA3135">
        <v>1</v>
      </c>
      <c r="BC3135" t="s">
        <v>6373</v>
      </c>
      <c r="BD3135" s="4">
        <v>43283.291666666664</v>
      </c>
      <c r="BE3135" s="4">
        <v>43283.318182870367</v>
      </c>
      <c r="BF3135" s="4">
        <v>43283.318182870367</v>
      </c>
      <c r="BG3135" t="s">
        <v>83</v>
      </c>
      <c r="BH3135" t="s">
        <v>84</v>
      </c>
      <c r="BI3135" t="s">
        <v>85</v>
      </c>
    </row>
    <row r="3136" spans="1:61" x14ac:dyDescent="0.3">
      <c r="A3136" t="str">
        <f>"200149C0300"</f>
        <v>200149C0300</v>
      </c>
      <c r="B3136" t="s">
        <v>6374</v>
      </c>
      <c r="C3136">
        <v>20</v>
      </c>
      <c r="D3136" t="s">
        <v>79</v>
      </c>
      <c r="E3136">
        <v>15</v>
      </c>
      <c r="F3136" t="s">
        <v>6336</v>
      </c>
      <c r="G3136">
        <v>149</v>
      </c>
      <c r="H3136">
        <v>3</v>
      </c>
      <c r="I3136" t="s">
        <v>89</v>
      </c>
      <c r="J3136">
        <v>0</v>
      </c>
      <c r="K3136">
        <v>1</v>
      </c>
      <c r="L3136">
        <v>2</v>
      </c>
      <c r="M3136">
        <v>175</v>
      </c>
      <c r="N3136">
        <v>435</v>
      </c>
      <c r="O3136">
        <v>7</v>
      </c>
      <c r="P3136">
        <v>432</v>
      </c>
      <c r="Q3136">
        <v>13</v>
      </c>
      <c r="R3136">
        <v>24</v>
      </c>
      <c r="S3136">
        <v>43</v>
      </c>
      <c r="T3136">
        <v>1</v>
      </c>
      <c r="U3136">
        <v>7</v>
      </c>
      <c r="V3136">
        <v>7</v>
      </c>
      <c r="W3136">
        <v>40</v>
      </c>
      <c r="X3136">
        <v>9</v>
      </c>
      <c r="Y3136">
        <v>226</v>
      </c>
      <c r="Z3136">
        <v>5</v>
      </c>
      <c r="AA3136">
        <v>23</v>
      </c>
      <c r="AB3136">
        <v>11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3</v>
      </c>
      <c r="AL3136">
        <v>0</v>
      </c>
      <c r="AM3136">
        <v>0</v>
      </c>
      <c r="AN3136">
        <v>1</v>
      </c>
      <c r="AT3136">
        <v>0</v>
      </c>
      <c r="AU3136">
        <v>19</v>
      </c>
      <c r="AV3136">
        <v>432</v>
      </c>
      <c r="AW3136">
        <v>432</v>
      </c>
      <c r="AX3136">
        <v>588</v>
      </c>
      <c r="BA3136">
        <v>1</v>
      </c>
      <c r="BC3136" t="s">
        <v>6375</v>
      </c>
      <c r="BD3136" s="4">
        <v>43283.289583333331</v>
      </c>
      <c r="BE3136" s="4">
        <v>43283.318090277775</v>
      </c>
      <c r="BF3136" s="4">
        <v>43283.318090277775</v>
      </c>
      <c r="BG3136" t="s">
        <v>83</v>
      </c>
      <c r="BH3136" t="s">
        <v>84</v>
      </c>
      <c r="BI3136" t="s">
        <v>85</v>
      </c>
    </row>
    <row r="3137" spans="1:61" x14ac:dyDescent="0.3">
      <c r="A3137" t="str">
        <f>"200150B0100"</f>
        <v>200150B0100</v>
      </c>
      <c r="B3137" t="s">
        <v>6376</v>
      </c>
      <c r="C3137">
        <v>20</v>
      </c>
      <c r="D3137" t="s">
        <v>79</v>
      </c>
      <c r="E3137">
        <v>15</v>
      </c>
      <c r="F3137" t="s">
        <v>6336</v>
      </c>
      <c r="G3137">
        <v>150</v>
      </c>
      <c r="H3137">
        <v>1</v>
      </c>
      <c r="I3137" t="s">
        <v>81</v>
      </c>
      <c r="J3137">
        <v>0</v>
      </c>
      <c r="K3137">
        <v>1</v>
      </c>
      <c r="L3137">
        <v>2</v>
      </c>
      <c r="M3137">
        <v>185</v>
      </c>
      <c r="N3137">
        <v>444</v>
      </c>
      <c r="O3137">
        <v>9</v>
      </c>
      <c r="P3137">
        <v>443</v>
      </c>
      <c r="Q3137">
        <v>17</v>
      </c>
      <c r="R3137">
        <v>28</v>
      </c>
      <c r="S3137">
        <v>89</v>
      </c>
      <c r="T3137">
        <v>8</v>
      </c>
      <c r="U3137">
        <v>18</v>
      </c>
      <c r="V3137">
        <v>5</v>
      </c>
      <c r="W3137">
        <v>22</v>
      </c>
      <c r="X3137">
        <v>9</v>
      </c>
      <c r="Y3137">
        <v>184</v>
      </c>
      <c r="Z3137">
        <v>8</v>
      </c>
      <c r="AA3137">
        <v>15</v>
      </c>
      <c r="AB3137">
        <v>6</v>
      </c>
      <c r="AC3137">
        <v>1</v>
      </c>
      <c r="AD3137">
        <v>2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6</v>
      </c>
      <c r="AL3137">
        <v>2</v>
      </c>
      <c r="AM3137">
        <v>0</v>
      </c>
      <c r="AN3137">
        <v>0</v>
      </c>
      <c r="AT3137">
        <v>0</v>
      </c>
      <c r="AU3137">
        <v>23</v>
      </c>
      <c r="AV3137">
        <v>443</v>
      </c>
      <c r="AW3137">
        <v>443</v>
      </c>
      <c r="AX3137">
        <v>606</v>
      </c>
      <c r="BA3137">
        <v>1</v>
      </c>
      <c r="BC3137" t="s">
        <v>6377</v>
      </c>
      <c r="BD3137" s="4">
        <v>43283.1875</v>
      </c>
      <c r="BE3137" s="4">
        <v>43283.230393518519</v>
      </c>
      <c r="BF3137" s="4">
        <v>43283.230393518519</v>
      </c>
      <c r="BG3137" t="s">
        <v>83</v>
      </c>
      <c r="BH3137" t="s">
        <v>84</v>
      </c>
      <c r="BI3137" t="s">
        <v>85</v>
      </c>
    </row>
    <row r="3138" spans="1:61" x14ac:dyDescent="0.3">
      <c r="A3138" t="str">
        <f>"200150C0100"</f>
        <v>200150C0100</v>
      </c>
      <c r="B3138" t="s">
        <v>6378</v>
      </c>
      <c r="C3138">
        <v>20</v>
      </c>
      <c r="D3138" t="s">
        <v>79</v>
      </c>
      <c r="E3138">
        <v>15</v>
      </c>
      <c r="F3138" t="s">
        <v>6336</v>
      </c>
      <c r="G3138">
        <v>150</v>
      </c>
      <c r="H3138">
        <v>1</v>
      </c>
      <c r="I3138" t="s">
        <v>89</v>
      </c>
      <c r="J3138">
        <v>0</v>
      </c>
      <c r="K3138">
        <v>1</v>
      </c>
      <c r="L3138">
        <v>2</v>
      </c>
      <c r="M3138">
        <v>218</v>
      </c>
      <c r="N3138">
        <v>407</v>
      </c>
      <c r="O3138">
        <v>8</v>
      </c>
      <c r="P3138">
        <v>407</v>
      </c>
      <c r="Q3138">
        <v>10</v>
      </c>
      <c r="R3138">
        <v>28</v>
      </c>
      <c r="S3138">
        <v>87</v>
      </c>
      <c r="T3138">
        <v>6</v>
      </c>
      <c r="U3138">
        <v>18</v>
      </c>
      <c r="V3138">
        <v>7</v>
      </c>
      <c r="W3138">
        <v>37</v>
      </c>
      <c r="X3138">
        <v>6</v>
      </c>
      <c r="Y3138">
        <v>167</v>
      </c>
      <c r="Z3138">
        <v>1</v>
      </c>
      <c r="AA3138">
        <v>14</v>
      </c>
      <c r="AB3138">
        <v>6</v>
      </c>
      <c r="AC3138">
        <v>0</v>
      </c>
      <c r="AD3138">
        <v>1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4</v>
      </c>
      <c r="AM3138">
        <v>0</v>
      </c>
      <c r="AN3138">
        <v>0</v>
      </c>
      <c r="AT3138" t="s">
        <v>100</v>
      </c>
      <c r="AU3138" t="s">
        <v>100</v>
      </c>
      <c r="AV3138" t="s">
        <v>100</v>
      </c>
      <c r="AW3138">
        <v>392</v>
      </c>
      <c r="AX3138">
        <v>605</v>
      </c>
      <c r="AZ3138" t="s">
        <v>101</v>
      </c>
      <c r="BA3138">
        <v>1</v>
      </c>
      <c r="BC3138" t="s">
        <v>6379</v>
      </c>
      <c r="BD3138" s="4">
        <v>43283.197916666664</v>
      </c>
      <c r="BE3138" s="4">
        <v>43283.216168981482</v>
      </c>
      <c r="BF3138" s="4">
        <v>43283.216168981482</v>
      </c>
      <c r="BG3138" t="s">
        <v>83</v>
      </c>
      <c r="BH3138" t="s">
        <v>84</v>
      </c>
      <c r="BI3138" t="s">
        <v>85</v>
      </c>
    </row>
    <row r="3139" spans="1:61" x14ac:dyDescent="0.3">
      <c r="A3139" t="str">
        <f>"200150C0200"</f>
        <v>200150C0200</v>
      </c>
      <c r="B3139" t="s">
        <v>6380</v>
      </c>
      <c r="C3139">
        <v>20</v>
      </c>
      <c r="D3139" t="s">
        <v>79</v>
      </c>
      <c r="E3139">
        <v>15</v>
      </c>
      <c r="F3139" t="s">
        <v>6336</v>
      </c>
      <c r="G3139">
        <v>150</v>
      </c>
      <c r="H3139">
        <v>2</v>
      </c>
      <c r="I3139" t="s">
        <v>89</v>
      </c>
      <c r="J3139">
        <v>0</v>
      </c>
      <c r="K3139">
        <v>1</v>
      </c>
      <c r="L3139">
        <v>2</v>
      </c>
      <c r="M3139">
        <v>179</v>
      </c>
      <c r="N3139">
        <v>448</v>
      </c>
      <c r="O3139">
        <v>5</v>
      </c>
      <c r="P3139">
        <v>447</v>
      </c>
      <c r="Q3139">
        <v>12</v>
      </c>
      <c r="R3139">
        <v>26</v>
      </c>
      <c r="S3139">
        <v>112</v>
      </c>
      <c r="T3139">
        <v>2</v>
      </c>
      <c r="U3139">
        <v>22</v>
      </c>
      <c r="V3139">
        <v>4</v>
      </c>
      <c r="W3139">
        <v>34</v>
      </c>
      <c r="X3139">
        <v>7</v>
      </c>
      <c r="Y3139">
        <v>162</v>
      </c>
      <c r="Z3139">
        <v>7</v>
      </c>
      <c r="AA3139">
        <v>22</v>
      </c>
      <c r="AB3139">
        <v>10</v>
      </c>
      <c r="AC3139">
        <v>0</v>
      </c>
      <c r="AD3139">
        <v>1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1</v>
      </c>
      <c r="AM3139">
        <v>0</v>
      </c>
      <c r="AN3139">
        <v>7</v>
      </c>
      <c r="AT3139">
        <v>0</v>
      </c>
      <c r="AU3139">
        <v>18</v>
      </c>
      <c r="AV3139">
        <v>447</v>
      </c>
      <c r="AW3139">
        <v>447</v>
      </c>
      <c r="AX3139">
        <v>605</v>
      </c>
      <c r="BA3139">
        <v>1</v>
      </c>
      <c r="BC3139" t="s">
        <v>6381</v>
      </c>
      <c r="BD3139" s="4">
        <v>43283.206250000003</v>
      </c>
      <c r="BE3139" s="4">
        <v>43283.226145833331</v>
      </c>
      <c r="BF3139" s="4">
        <v>43283.226145833331</v>
      </c>
      <c r="BG3139" t="s">
        <v>83</v>
      </c>
      <c r="BH3139" t="s">
        <v>84</v>
      </c>
      <c r="BI3139" t="s">
        <v>85</v>
      </c>
    </row>
    <row r="3140" spans="1:61" x14ac:dyDescent="0.3">
      <c r="A3140" t="str">
        <f>"200151B0100"</f>
        <v>200151B0100</v>
      </c>
      <c r="B3140" t="s">
        <v>6382</v>
      </c>
      <c r="C3140">
        <v>20</v>
      </c>
      <c r="D3140" t="s">
        <v>79</v>
      </c>
      <c r="E3140">
        <v>15</v>
      </c>
      <c r="F3140" t="s">
        <v>6336</v>
      </c>
      <c r="G3140">
        <v>151</v>
      </c>
      <c r="H3140">
        <v>1</v>
      </c>
      <c r="I3140" t="s">
        <v>81</v>
      </c>
      <c r="J3140">
        <v>0</v>
      </c>
      <c r="K3140">
        <v>1</v>
      </c>
      <c r="L3140">
        <v>2</v>
      </c>
      <c r="M3140">
        <v>231</v>
      </c>
      <c r="N3140">
        <v>530</v>
      </c>
      <c r="O3140">
        <v>3</v>
      </c>
      <c r="P3140">
        <v>531</v>
      </c>
      <c r="Q3140">
        <v>17</v>
      </c>
      <c r="R3140">
        <v>27</v>
      </c>
      <c r="S3140">
        <v>65</v>
      </c>
      <c r="T3140">
        <v>7</v>
      </c>
      <c r="U3140">
        <v>15</v>
      </c>
      <c r="V3140">
        <v>5</v>
      </c>
      <c r="W3140">
        <v>114</v>
      </c>
      <c r="X3140">
        <v>9</v>
      </c>
      <c r="Y3140">
        <v>203</v>
      </c>
      <c r="Z3140">
        <v>7</v>
      </c>
      <c r="AA3140">
        <v>22</v>
      </c>
      <c r="AB3140">
        <v>8</v>
      </c>
      <c r="AC3140">
        <v>1</v>
      </c>
      <c r="AD3140">
        <v>0</v>
      </c>
      <c r="AE3140">
        <v>0</v>
      </c>
      <c r="AF3140">
        <v>1</v>
      </c>
      <c r="AG3140">
        <v>0</v>
      </c>
      <c r="AH3140">
        <v>0</v>
      </c>
      <c r="AI3140">
        <v>1</v>
      </c>
      <c r="AJ3140">
        <v>0</v>
      </c>
      <c r="AK3140">
        <v>2</v>
      </c>
      <c r="AL3140">
        <v>2</v>
      </c>
      <c r="AM3140">
        <v>0</v>
      </c>
      <c r="AN3140">
        <v>1</v>
      </c>
      <c r="AT3140">
        <v>0</v>
      </c>
      <c r="AU3140">
        <v>24</v>
      </c>
      <c r="AV3140">
        <v>531</v>
      </c>
      <c r="AW3140">
        <v>531</v>
      </c>
      <c r="AX3140">
        <v>738</v>
      </c>
      <c r="BA3140">
        <v>1</v>
      </c>
      <c r="BC3140" t="s">
        <v>6383</v>
      </c>
      <c r="BD3140" s="4">
        <v>43283.258333333331</v>
      </c>
      <c r="BE3140" s="4">
        <v>43283.288877314815</v>
      </c>
      <c r="BF3140" s="4">
        <v>43283.288877314815</v>
      </c>
      <c r="BG3140" t="s">
        <v>83</v>
      </c>
      <c r="BH3140" t="s">
        <v>84</v>
      </c>
      <c r="BI3140" t="s">
        <v>85</v>
      </c>
    </row>
    <row r="3141" spans="1:61" x14ac:dyDescent="0.3">
      <c r="A3141" t="str">
        <f>"200151C0100"</f>
        <v>200151C0100</v>
      </c>
      <c r="B3141" t="s">
        <v>6384</v>
      </c>
      <c r="C3141">
        <v>20</v>
      </c>
      <c r="D3141" t="s">
        <v>79</v>
      </c>
      <c r="E3141">
        <v>15</v>
      </c>
      <c r="F3141" t="s">
        <v>6336</v>
      </c>
      <c r="G3141">
        <v>151</v>
      </c>
      <c r="H3141">
        <v>1</v>
      </c>
      <c r="I3141" t="s">
        <v>89</v>
      </c>
      <c r="J3141">
        <v>0</v>
      </c>
      <c r="K3141">
        <v>1</v>
      </c>
      <c r="L3141">
        <v>2</v>
      </c>
      <c r="M3141">
        <v>250</v>
      </c>
      <c r="N3141">
        <v>510</v>
      </c>
      <c r="O3141">
        <v>10</v>
      </c>
      <c r="P3141">
        <v>0</v>
      </c>
      <c r="Q3141">
        <v>13</v>
      </c>
      <c r="R3141">
        <v>24</v>
      </c>
      <c r="S3141">
        <v>51</v>
      </c>
      <c r="T3141">
        <v>3</v>
      </c>
      <c r="U3141">
        <v>16</v>
      </c>
      <c r="V3141">
        <v>5</v>
      </c>
      <c r="W3141">
        <v>109</v>
      </c>
      <c r="X3141">
        <v>10</v>
      </c>
      <c r="Y3141">
        <v>222</v>
      </c>
      <c r="Z3141">
        <v>6</v>
      </c>
      <c r="AA3141">
        <v>13</v>
      </c>
      <c r="AB3141">
        <v>6</v>
      </c>
      <c r="AC3141">
        <v>0</v>
      </c>
      <c r="AD3141">
        <v>1</v>
      </c>
      <c r="AE3141">
        <v>0</v>
      </c>
      <c r="AF3141">
        <v>0</v>
      </c>
      <c r="AG3141">
        <v>3</v>
      </c>
      <c r="AH3141">
        <v>1</v>
      </c>
      <c r="AI3141">
        <v>0</v>
      </c>
      <c r="AJ3141">
        <v>0</v>
      </c>
      <c r="AK3141">
        <v>7</v>
      </c>
      <c r="AL3141">
        <v>0</v>
      </c>
      <c r="AM3141">
        <v>0</v>
      </c>
      <c r="AN3141">
        <v>3</v>
      </c>
      <c r="AT3141">
        <v>0</v>
      </c>
      <c r="AU3141">
        <v>17</v>
      </c>
      <c r="AV3141">
        <v>510</v>
      </c>
      <c r="AW3141">
        <v>510</v>
      </c>
      <c r="AX3141">
        <v>738</v>
      </c>
      <c r="BA3141">
        <v>1</v>
      </c>
      <c r="BC3141" t="s">
        <v>6385</v>
      </c>
      <c r="BD3141" s="4">
        <v>43283.259722222225</v>
      </c>
      <c r="BE3141" s="4">
        <v>43283.285752314812</v>
      </c>
      <c r="BF3141" s="4">
        <v>43283.285752314812</v>
      </c>
      <c r="BG3141" t="s">
        <v>83</v>
      </c>
      <c r="BH3141" t="s">
        <v>84</v>
      </c>
      <c r="BI3141" t="s">
        <v>85</v>
      </c>
    </row>
    <row r="3142" spans="1:61" x14ac:dyDescent="0.3">
      <c r="A3142" t="str">
        <f>"200151C0200"</f>
        <v>200151C0200</v>
      </c>
      <c r="B3142" t="s">
        <v>6386</v>
      </c>
      <c r="C3142">
        <v>20</v>
      </c>
      <c r="D3142" t="s">
        <v>79</v>
      </c>
      <c r="E3142">
        <v>15</v>
      </c>
      <c r="F3142" t="s">
        <v>6336</v>
      </c>
      <c r="G3142">
        <v>151</v>
      </c>
      <c r="H3142">
        <v>2</v>
      </c>
      <c r="I3142" t="s">
        <v>89</v>
      </c>
      <c r="J3142">
        <v>0</v>
      </c>
      <c r="K3142">
        <v>1</v>
      </c>
      <c r="L3142">
        <v>2</v>
      </c>
      <c r="M3142" t="s">
        <v>100</v>
      </c>
      <c r="N3142">
        <v>513</v>
      </c>
      <c r="O3142">
        <v>7</v>
      </c>
      <c r="P3142">
        <v>511</v>
      </c>
      <c r="Q3142">
        <v>11</v>
      </c>
      <c r="R3142">
        <v>36</v>
      </c>
      <c r="S3142">
        <v>56</v>
      </c>
      <c r="T3142">
        <v>15</v>
      </c>
      <c r="U3142">
        <v>13</v>
      </c>
      <c r="V3142">
        <v>6</v>
      </c>
      <c r="W3142">
        <v>94</v>
      </c>
      <c r="X3142">
        <v>11</v>
      </c>
      <c r="Y3142">
        <v>196</v>
      </c>
      <c r="Z3142">
        <v>3</v>
      </c>
      <c r="AA3142">
        <v>17</v>
      </c>
      <c r="AB3142">
        <v>8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2</v>
      </c>
      <c r="AI3142">
        <v>2</v>
      </c>
      <c r="AJ3142">
        <v>0</v>
      </c>
      <c r="AK3142">
        <v>6</v>
      </c>
      <c r="AL3142">
        <v>3</v>
      </c>
      <c r="AM3142">
        <v>0</v>
      </c>
      <c r="AN3142">
        <v>2</v>
      </c>
      <c r="AT3142">
        <v>0</v>
      </c>
      <c r="AU3142">
        <v>30</v>
      </c>
      <c r="AV3142">
        <v>511</v>
      </c>
      <c r="AW3142">
        <v>511</v>
      </c>
      <c r="AX3142">
        <v>738</v>
      </c>
      <c r="BA3142">
        <v>1</v>
      </c>
      <c r="BC3142" t="s">
        <v>6387</v>
      </c>
      <c r="BD3142" s="4">
        <v>43283.259722222225</v>
      </c>
      <c r="BE3142" s="4">
        <v>43283.285682870373</v>
      </c>
      <c r="BF3142" s="4">
        <v>43283.285682870373</v>
      </c>
      <c r="BG3142" t="s">
        <v>83</v>
      </c>
      <c r="BH3142" t="s">
        <v>84</v>
      </c>
      <c r="BI3142" t="s">
        <v>85</v>
      </c>
    </row>
    <row r="3143" spans="1:61" x14ac:dyDescent="0.3">
      <c r="A3143" t="str">
        <f>"200151C0300"</f>
        <v>200151C0300</v>
      </c>
      <c r="B3143" t="s">
        <v>6388</v>
      </c>
      <c r="C3143">
        <v>20</v>
      </c>
      <c r="D3143" t="s">
        <v>79</v>
      </c>
      <c r="E3143">
        <v>15</v>
      </c>
      <c r="F3143" t="s">
        <v>6336</v>
      </c>
      <c r="G3143">
        <v>151</v>
      </c>
      <c r="H3143">
        <v>3</v>
      </c>
      <c r="I3143" t="s">
        <v>89</v>
      </c>
      <c r="J3143">
        <v>0</v>
      </c>
      <c r="K3143">
        <v>1</v>
      </c>
      <c r="L3143">
        <v>2</v>
      </c>
      <c r="M3143">
        <v>227</v>
      </c>
      <c r="N3143">
        <v>533</v>
      </c>
      <c r="O3143">
        <v>5</v>
      </c>
      <c r="P3143">
        <v>533</v>
      </c>
      <c r="Q3143">
        <v>11</v>
      </c>
      <c r="R3143">
        <v>31</v>
      </c>
      <c r="S3143">
        <v>54</v>
      </c>
      <c r="T3143">
        <v>9</v>
      </c>
      <c r="U3143">
        <v>15</v>
      </c>
      <c r="V3143">
        <v>7</v>
      </c>
      <c r="W3143">
        <v>120</v>
      </c>
      <c r="X3143">
        <v>18</v>
      </c>
      <c r="Y3143">
        <v>210</v>
      </c>
      <c r="Z3143">
        <v>1</v>
      </c>
      <c r="AA3143">
        <v>26</v>
      </c>
      <c r="AB3143">
        <v>5</v>
      </c>
      <c r="AC3143">
        <v>0</v>
      </c>
      <c r="AD3143">
        <v>1</v>
      </c>
      <c r="AE3143">
        <v>0</v>
      </c>
      <c r="AF3143">
        <v>0</v>
      </c>
      <c r="AG3143">
        <v>0</v>
      </c>
      <c r="AH3143">
        <v>2</v>
      </c>
      <c r="AI3143">
        <v>0</v>
      </c>
      <c r="AJ3143">
        <v>0</v>
      </c>
      <c r="AK3143">
        <v>0</v>
      </c>
      <c r="AL3143">
        <v>0</v>
      </c>
      <c r="AM3143">
        <v>1</v>
      </c>
      <c r="AN3143">
        <v>0</v>
      </c>
      <c r="AT3143">
        <v>0</v>
      </c>
      <c r="AU3143">
        <v>24</v>
      </c>
      <c r="AV3143" t="s">
        <v>100</v>
      </c>
      <c r="AW3143">
        <v>535</v>
      </c>
      <c r="AX3143">
        <v>738</v>
      </c>
      <c r="BA3143">
        <v>1</v>
      </c>
      <c r="BC3143" t="s">
        <v>6389</v>
      </c>
      <c r="BD3143" s="4">
        <v>43283.259027777778</v>
      </c>
      <c r="BE3143" s="4">
        <v>43283.286064814813</v>
      </c>
      <c r="BF3143" s="4">
        <v>43283.286064814813</v>
      </c>
      <c r="BG3143" t="s">
        <v>83</v>
      </c>
      <c r="BH3143" t="s">
        <v>84</v>
      </c>
      <c r="BI3143" t="s">
        <v>85</v>
      </c>
    </row>
    <row r="3144" spans="1:61" x14ac:dyDescent="0.3">
      <c r="A3144" t="str">
        <f>"200152B0100"</f>
        <v>200152B0100</v>
      </c>
      <c r="B3144" t="s">
        <v>6390</v>
      </c>
      <c r="C3144">
        <v>20</v>
      </c>
      <c r="D3144" t="s">
        <v>79</v>
      </c>
      <c r="E3144">
        <v>15</v>
      </c>
      <c r="F3144" t="s">
        <v>6336</v>
      </c>
      <c r="G3144">
        <v>152</v>
      </c>
      <c r="H3144">
        <v>1</v>
      </c>
      <c r="I3144" t="s">
        <v>81</v>
      </c>
      <c r="J3144">
        <v>0</v>
      </c>
      <c r="K3144">
        <v>1</v>
      </c>
      <c r="L3144">
        <v>2</v>
      </c>
      <c r="M3144" t="s">
        <v>100</v>
      </c>
      <c r="N3144">
        <v>424</v>
      </c>
      <c r="O3144">
        <v>5</v>
      </c>
      <c r="P3144" t="s">
        <v>100</v>
      </c>
      <c r="Q3144">
        <v>17</v>
      </c>
      <c r="R3144">
        <v>26</v>
      </c>
      <c r="S3144">
        <v>32</v>
      </c>
      <c r="T3144">
        <v>9</v>
      </c>
      <c r="U3144">
        <v>11</v>
      </c>
      <c r="V3144">
        <v>3</v>
      </c>
      <c r="W3144">
        <v>73</v>
      </c>
      <c r="X3144">
        <v>12</v>
      </c>
      <c r="Y3144">
        <v>180</v>
      </c>
      <c r="Z3144">
        <v>2</v>
      </c>
      <c r="AA3144">
        <v>21</v>
      </c>
      <c r="AB3144">
        <v>7</v>
      </c>
      <c r="AC3144" t="s">
        <v>100</v>
      </c>
      <c r="AD3144">
        <v>1</v>
      </c>
      <c r="AE3144" t="s">
        <v>100</v>
      </c>
      <c r="AF3144" t="s">
        <v>100</v>
      </c>
      <c r="AG3144">
        <v>1</v>
      </c>
      <c r="AH3144" t="s">
        <v>100</v>
      </c>
      <c r="AI3144" t="s">
        <v>100</v>
      </c>
      <c r="AJ3144">
        <v>4</v>
      </c>
      <c r="AK3144">
        <v>4</v>
      </c>
      <c r="AL3144" t="s">
        <v>100</v>
      </c>
      <c r="AM3144" t="s">
        <v>100</v>
      </c>
      <c r="AN3144" t="s">
        <v>100</v>
      </c>
      <c r="AT3144" t="s">
        <v>100</v>
      </c>
      <c r="AU3144" t="s">
        <v>100</v>
      </c>
      <c r="AV3144" t="s">
        <v>100</v>
      </c>
      <c r="AW3144">
        <v>403</v>
      </c>
      <c r="AX3144">
        <v>584</v>
      </c>
      <c r="AZ3144" t="s">
        <v>101</v>
      </c>
      <c r="BA3144">
        <v>1</v>
      </c>
      <c r="BC3144" t="s">
        <v>6391</v>
      </c>
      <c r="BD3144" s="4">
        <v>43282.988969907405</v>
      </c>
      <c r="BE3144" s="4">
        <v>43282.996724537035</v>
      </c>
      <c r="BF3144" s="4">
        <v>43282.996724537035</v>
      </c>
      <c r="BG3144" t="s">
        <v>373</v>
      </c>
      <c r="BH3144" t="s">
        <v>374</v>
      </c>
      <c r="BI3144" t="s">
        <v>85</v>
      </c>
    </row>
    <row r="3145" spans="1:61" x14ac:dyDescent="0.3">
      <c r="A3145" t="str">
        <f>"200152C0100"</f>
        <v>200152C0100</v>
      </c>
      <c r="B3145" t="s">
        <v>6392</v>
      </c>
      <c r="C3145">
        <v>20</v>
      </c>
      <c r="D3145" t="s">
        <v>79</v>
      </c>
      <c r="E3145">
        <v>15</v>
      </c>
      <c r="F3145" t="s">
        <v>6336</v>
      </c>
      <c r="G3145">
        <v>152</v>
      </c>
      <c r="H3145">
        <v>1</v>
      </c>
      <c r="I3145" t="s">
        <v>89</v>
      </c>
      <c r="J3145">
        <v>0</v>
      </c>
      <c r="K3145">
        <v>1</v>
      </c>
      <c r="L3145">
        <v>2</v>
      </c>
      <c r="M3145">
        <v>171</v>
      </c>
      <c r="N3145">
        <v>435</v>
      </c>
      <c r="O3145">
        <v>3</v>
      </c>
      <c r="P3145" t="s">
        <v>100</v>
      </c>
      <c r="Q3145">
        <v>19</v>
      </c>
      <c r="R3145">
        <v>22</v>
      </c>
      <c r="S3145">
        <v>42</v>
      </c>
      <c r="T3145">
        <v>10</v>
      </c>
      <c r="U3145">
        <v>13</v>
      </c>
      <c r="V3145">
        <v>4</v>
      </c>
      <c r="W3145">
        <v>81</v>
      </c>
      <c r="X3145">
        <v>12</v>
      </c>
      <c r="Y3145">
        <v>175</v>
      </c>
      <c r="Z3145">
        <v>5</v>
      </c>
      <c r="AA3145">
        <v>13</v>
      </c>
      <c r="AB3145" t="s">
        <v>100</v>
      </c>
      <c r="AC3145">
        <v>2</v>
      </c>
      <c r="AD3145" t="s">
        <v>100</v>
      </c>
      <c r="AE3145" t="s">
        <v>100</v>
      </c>
      <c r="AF3145" t="s">
        <v>100</v>
      </c>
      <c r="AG3145">
        <v>2</v>
      </c>
      <c r="AH3145" t="s">
        <v>100</v>
      </c>
      <c r="AI3145" t="s">
        <v>100</v>
      </c>
      <c r="AJ3145" t="s">
        <v>100</v>
      </c>
      <c r="AK3145">
        <v>4</v>
      </c>
      <c r="AL3145" t="s">
        <v>100</v>
      </c>
      <c r="AM3145" t="s">
        <v>100</v>
      </c>
      <c r="AN3145" t="s">
        <v>100</v>
      </c>
      <c r="AT3145" t="s">
        <v>100</v>
      </c>
      <c r="AU3145">
        <v>19</v>
      </c>
      <c r="AV3145" t="s">
        <v>100</v>
      </c>
      <c r="AW3145">
        <v>423</v>
      </c>
      <c r="AX3145">
        <v>584</v>
      </c>
      <c r="AZ3145" t="s">
        <v>101</v>
      </c>
      <c r="BA3145">
        <v>1</v>
      </c>
      <c r="BC3145" t="s">
        <v>6393</v>
      </c>
      <c r="BD3145" s="4">
        <v>43282.968680555554</v>
      </c>
      <c r="BE3145" s="4">
        <v>43282.973067129627</v>
      </c>
      <c r="BF3145" s="4">
        <v>43282.973067129627</v>
      </c>
      <c r="BG3145" t="s">
        <v>373</v>
      </c>
      <c r="BH3145" t="s">
        <v>374</v>
      </c>
      <c r="BI3145" t="s">
        <v>85</v>
      </c>
    </row>
    <row r="3146" spans="1:61" x14ac:dyDescent="0.3">
      <c r="A3146" t="str">
        <f>"200152C0200"</f>
        <v>200152C0200</v>
      </c>
      <c r="B3146" t="s">
        <v>6394</v>
      </c>
      <c r="C3146">
        <v>20</v>
      </c>
      <c r="D3146" t="s">
        <v>79</v>
      </c>
      <c r="E3146">
        <v>15</v>
      </c>
      <c r="F3146" t="s">
        <v>6336</v>
      </c>
      <c r="G3146">
        <v>152</v>
      </c>
      <c r="H3146">
        <v>2</v>
      </c>
      <c r="I3146" t="s">
        <v>89</v>
      </c>
      <c r="J3146">
        <v>0</v>
      </c>
      <c r="K3146">
        <v>1</v>
      </c>
      <c r="L3146">
        <v>2</v>
      </c>
      <c r="M3146">
        <v>760</v>
      </c>
      <c r="N3146">
        <v>453</v>
      </c>
      <c r="O3146">
        <v>8</v>
      </c>
      <c r="P3146">
        <v>453</v>
      </c>
      <c r="Q3146">
        <v>13</v>
      </c>
      <c r="R3146">
        <v>20</v>
      </c>
      <c r="S3146">
        <v>45</v>
      </c>
      <c r="T3146">
        <v>13</v>
      </c>
      <c r="U3146">
        <v>12</v>
      </c>
      <c r="V3146">
        <v>1</v>
      </c>
      <c r="W3146">
        <v>81</v>
      </c>
      <c r="X3146">
        <v>6</v>
      </c>
      <c r="Y3146">
        <v>192</v>
      </c>
      <c r="Z3146">
        <v>5</v>
      </c>
      <c r="AA3146">
        <v>15</v>
      </c>
      <c r="AB3146">
        <v>26</v>
      </c>
      <c r="AC3146">
        <v>1</v>
      </c>
      <c r="AD3146">
        <v>4</v>
      </c>
      <c r="AE3146">
        <v>0</v>
      </c>
      <c r="AF3146">
        <v>0</v>
      </c>
      <c r="AG3146">
        <v>0</v>
      </c>
      <c r="AH3146">
        <v>0</v>
      </c>
      <c r="AI3146">
        <v>3</v>
      </c>
      <c r="AJ3146">
        <v>0</v>
      </c>
      <c r="AK3146">
        <v>1</v>
      </c>
      <c r="AL3146">
        <v>2</v>
      </c>
      <c r="AM3146">
        <v>0</v>
      </c>
      <c r="AN3146">
        <v>0</v>
      </c>
      <c r="AT3146" t="s">
        <v>100</v>
      </c>
      <c r="AU3146">
        <v>13</v>
      </c>
      <c r="AV3146">
        <v>453</v>
      </c>
      <c r="AW3146">
        <v>453</v>
      </c>
      <c r="AX3146">
        <v>583</v>
      </c>
      <c r="AZ3146" t="s">
        <v>101</v>
      </c>
      <c r="BA3146">
        <v>1</v>
      </c>
      <c r="BC3146" t="s">
        <v>6395</v>
      </c>
      <c r="BD3146" s="4">
        <v>43283.024965277778</v>
      </c>
      <c r="BE3146" s="4">
        <v>43283.028310185182</v>
      </c>
      <c r="BF3146" s="4">
        <v>43283.028310185182</v>
      </c>
      <c r="BG3146" t="s">
        <v>373</v>
      </c>
      <c r="BH3146" t="s">
        <v>374</v>
      </c>
      <c r="BI3146" t="s">
        <v>85</v>
      </c>
    </row>
    <row r="3147" spans="1:61" x14ac:dyDescent="0.3">
      <c r="A3147" t="str">
        <f>"200777B0100"</f>
        <v>200777B0100</v>
      </c>
      <c r="B3147" t="s">
        <v>6396</v>
      </c>
      <c r="C3147">
        <v>20</v>
      </c>
      <c r="D3147" t="s">
        <v>79</v>
      </c>
      <c r="E3147">
        <v>15</v>
      </c>
      <c r="F3147" t="s">
        <v>6336</v>
      </c>
      <c r="G3147">
        <v>777</v>
      </c>
      <c r="H3147">
        <v>1</v>
      </c>
      <c r="I3147" t="s">
        <v>81</v>
      </c>
      <c r="J3147">
        <v>0</v>
      </c>
      <c r="K3147">
        <v>1</v>
      </c>
      <c r="L3147">
        <v>2</v>
      </c>
      <c r="M3147">
        <v>305</v>
      </c>
      <c r="N3147">
        <v>399</v>
      </c>
      <c r="O3147">
        <v>4</v>
      </c>
      <c r="P3147">
        <v>399</v>
      </c>
      <c r="Q3147">
        <v>15</v>
      </c>
      <c r="R3147">
        <v>35</v>
      </c>
      <c r="S3147">
        <v>22</v>
      </c>
      <c r="T3147">
        <v>9</v>
      </c>
      <c r="U3147">
        <v>15</v>
      </c>
      <c r="V3147">
        <v>4</v>
      </c>
      <c r="W3147">
        <v>35</v>
      </c>
      <c r="X3147">
        <v>5</v>
      </c>
      <c r="Y3147">
        <v>200</v>
      </c>
      <c r="Z3147">
        <v>5</v>
      </c>
      <c r="AA3147">
        <v>5</v>
      </c>
      <c r="AB3147">
        <v>14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9</v>
      </c>
      <c r="AL3147">
        <v>4</v>
      </c>
      <c r="AM3147">
        <v>0</v>
      </c>
      <c r="AN3147">
        <v>0</v>
      </c>
      <c r="AT3147">
        <v>0</v>
      </c>
      <c r="AU3147">
        <v>22</v>
      </c>
      <c r="AV3147">
        <v>399</v>
      </c>
      <c r="AW3147">
        <v>399</v>
      </c>
      <c r="AX3147">
        <v>682</v>
      </c>
      <c r="BA3147">
        <v>1</v>
      </c>
      <c r="BC3147" t="s">
        <v>6397</v>
      </c>
      <c r="BD3147" s="4">
        <v>43283.124305555553</v>
      </c>
      <c r="BE3147" s="4">
        <v>43283.130277777775</v>
      </c>
      <c r="BF3147" s="4">
        <v>43283.130277777775</v>
      </c>
      <c r="BG3147" t="s">
        <v>83</v>
      </c>
      <c r="BH3147" t="s">
        <v>84</v>
      </c>
      <c r="BI3147" t="s">
        <v>85</v>
      </c>
    </row>
    <row r="3148" spans="1:61" x14ac:dyDescent="0.3">
      <c r="A3148" t="str">
        <f>"200777C0100"</f>
        <v>200777C0100</v>
      </c>
      <c r="B3148" t="s">
        <v>6398</v>
      </c>
      <c r="C3148">
        <v>20</v>
      </c>
      <c r="D3148" t="s">
        <v>79</v>
      </c>
      <c r="E3148">
        <v>15</v>
      </c>
      <c r="F3148" t="s">
        <v>6336</v>
      </c>
      <c r="G3148">
        <v>777</v>
      </c>
      <c r="H3148">
        <v>1</v>
      </c>
      <c r="I3148" t="s">
        <v>89</v>
      </c>
      <c r="J3148">
        <v>0</v>
      </c>
      <c r="K3148">
        <v>1</v>
      </c>
      <c r="L3148">
        <v>2</v>
      </c>
      <c r="M3148">
        <v>306</v>
      </c>
      <c r="N3148">
        <v>398</v>
      </c>
      <c r="O3148">
        <v>5</v>
      </c>
      <c r="P3148">
        <v>398</v>
      </c>
      <c r="Q3148">
        <v>18</v>
      </c>
      <c r="R3148">
        <v>32</v>
      </c>
      <c r="S3148">
        <v>23</v>
      </c>
      <c r="T3148">
        <v>11</v>
      </c>
      <c r="U3148">
        <v>29</v>
      </c>
      <c r="V3148">
        <v>6</v>
      </c>
      <c r="W3148">
        <v>19</v>
      </c>
      <c r="X3148">
        <v>4</v>
      </c>
      <c r="Y3148">
        <v>216</v>
      </c>
      <c r="Z3148">
        <v>7</v>
      </c>
      <c r="AA3148">
        <v>1</v>
      </c>
      <c r="AB3148">
        <v>7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1</v>
      </c>
      <c r="AI3148">
        <v>0</v>
      </c>
      <c r="AJ3148">
        <v>0</v>
      </c>
      <c r="AK3148">
        <v>9</v>
      </c>
      <c r="AL3148">
        <v>4</v>
      </c>
      <c r="AM3148">
        <v>0</v>
      </c>
      <c r="AN3148">
        <v>1</v>
      </c>
      <c r="AT3148">
        <v>0</v>
      </c>
      <c r="AU3148">
        <v>10</v>
      </c>
      <c r="AV3148">
        <v>398</v>
      </c>
      <c r="AW3148">
        <v>398</v>
      </c>
      <c r="AX3148">
        <v>682</v>
      </c>
      <c r="BA3148">
        <v>1</v>
      </c>
      <c r="BC3148" t="s">
        <v>6399</v>
      </c>
      <c r="BD3148" s="4">
        <v>43283.129861111112</v>
      </c>
      <c r="BE3148" s="4">
        <v>43283.135671296295</v>
      </c>
      <c r="BF3148" s="4">
        <v>43283.135671296295</v>
      </c>
      <c r="BG3148" t="s">
        <v>83</v>
      </c>
      <c r="BH3148" t="s">
        <v>84</v>
      </c>
      <c r="BI3148" t="s">
        <v>85</v>
      </c>
    </row>
    <row r="3149" spans="1:61" x14ac:dyDescent="0.3">
      <c r="A3149" t="str">
        <f>"200777C0200"</f>
        <v>200777C0200</v>
      </c>
      <c r="B3149" t="s">
        <v>6400</v>
      </c>
      <c r="C3149">
        <v>20</v>
      </c>
      <c r="D3149" t="s">
        <v>79</v>
      </c>
      <c r="E3149">
        <v>15</v>
      </c>
      <c r="F3149" t="s">
        <v>6336</v>
      </c>
      <c r="G3149">
        <v>777</v>
      </c>
      <c r="H3149">
        <v>2</v>
      </c>
      <c r="I3149" t="s">
        <v>89</v>
      </c>
      <c r="J3149">
        <v>0</v>
      </c>
      <c r="K3149">
        <v>1</v>
      </c>
      <c r="L3149">
        <v>2</v>
      </c>
      <c r="M3149">
        <v>314</v>
      </c>
      <c r="N3149">
        <v>390</v>
      </c>
      <c r="O3149">
        <v>2</v>
      </c>
      <c r="P3149">
        <v>390</v>
      </c>
      <c r="Q3149">
        <v>18</v>
      </c>
      <c r="R3149">
        <v>23</v>
      </c>
      <c r="S3149">
        <v>26</v>
      </c>
      <c r="T3149">
        <v>8</v>
      </c>
      <c r="U3149">
        <v>23</v>
      </c>
      <c r="V3149">
        <v>2</v>
      </c>
      <c r="W3149">
        <v>40</v>
      </c>
      <c r="X3149">
        <v>0</v>
      </c>
      <c r="Y3149">
        <v>206</v>
      </c>
      <c r="Z3149">
        <v>3</v>
      </c>
      <c r="AA3149">
        <v>1</v>
      </c>
      <c r="AB3149">
        <v>5</v>
      </c>
      <c r="AC3149">
        <v>1</v>
      </c>
      <c r="AD3149">
        <v>0</v>
      </c>
      <c r="AE3149">
        <v>0</v>
      </c>
      <c r="AF3149">
        <v>0</v>
      </c>
      <c r="AG3149">
        <v>0</v>
      </c>
      <c r="AH3149">
        <v>1</v>
      </c>
      <c r="AI3149">
        <v>1</v>
      </c>
      <c r="AJ3149">
        <v>0</v>
      </c>
      <c r="AK3149">
        <v>5</v>
      </c>
      <c r="AL3149">
        <v>2</v>
      </c>
      <c r="AM3149">
        <v>0</v>
      </c>
      <c r="AN3149">
        <v>2</v>
      </c>
      <c r="AT3149">
        <v>0</v>
      </c>
      <c r="AU3149">
        <v>11</v>
      </c>
      <c r="AV3149">
        <v>390</v>
      </c>
      <c r="AW3149">
        <v>378</v>
      </c>
      <c r="AX3149">
        <v>682</v>
      </c>
      <c r="BA3149">
        <v>1</v>
      </c>
      <c r="BC3149" t="s">
        <v>6401</v>
      </c>
      <c r="BD3149" s="4">
        <v>43283.128472222219</v>
      </c>
      <c r="BE3149" s="4">
        <v>43283.148518518516</v>
      </c>
      <c r="BF3149" s="4">
        <v>43283.148518518516</v>
      </c>
      <c r="BG3149" t="s">
        <v>83</v>
      </c>
      <c r="BH3149" t="s">
        <v>84</v>
      </c>
      <c r="BI3149" t="s">
        <v>85</v>
      </c>
    </row>
    <row r="3150" spans="1:61" x14ac:dyDescent="0.3">
      <c r="A3150" t="str">
        <f>"200777C0300"</f>
        <v>200777C0300</v>
      </c>
      <c r="B3150" t="s">
        <v>6402</v>
      </c>
      <c r="C3150">
        <v>20</v>
      </c>
      <c r="D3150" t="s">
        <v>79</v>
      </c>
      <c r="E3150">
        <v>15</v>
      </c>
      <c r="F3150" t="s">
        <v>6336</v>
      </c>
      <c r="G3150">
        <v>777</v>
      </c>
      <c r="H3150">
        <v>3</v>
      </c>
      <c r="I3150" t="s">
        <v>89</v>
      </c>
      <c r="J3150">
        <v>0</v>
      </c>
      <c r="K3150">
        <v>1</v>
      </c>
      <c r="L3150">
        <v>2</v>
      </c>
      <c r="M3150">
        <v>297</v>
      </c>
      <c r="N3150">
        <v>407</v>
      </c>
      <c r="O3150">
        <v>4</v>
      </c>
      <c r="P3150">
        <v>407</v>
      </c>
      <c r="Q3150">
        <v>13</v>
      </c>
      <c r="R3150">
        <v>29</v>
      </c>
      <c r="S3150">
        <v>31</v>
      </c>
      <c r="T3150">
        <v>7</v>
      </c>
      <c r="U3150">
        <v>24</v>
      </c>
      <c r="V3150">
        <v>10</v>
      </c>
      <c r="W3150">
        <v>33</v>
      </c>
      <c r="X3150">
        <v>2</v>
      </c>
      <c r="Y3150">
        <v>222</v>
      </c>
      <c r="Z3150">
        <v>5</v>
      </c>
      <c r="AA3150">
        <v>1</v>
      </c>
      <c r="AB3150">
        <v>10</v>
      </c>
      <c r="AC3150" t="s">
        <v>100</v>
      </c>
      <c r="AD3150" t="s">
        <v>100</v>
      </c>
      <c r="AE3150" t="s">
        <v>100</v>
      </c>
      <c r="AF3150" t="s">
        <v>100</v>
      </c>
      <c r="AG3150">
        <v>1</v>
      </c>
      <c r="AH3150" t="s">
        <v>100</v>
      </c>
      <c r="AI3150" t="s">
        <v>100</v>
      </c>
      <c r="AJ3150" t="s">
        <v>100</v>
      </c>
      <c r="AK3150">
        <v>4</v>
      </c>
      <c r="AL3150" t="s">
        <v>100</v>
      </c>
      <c r="AM3150" t="s">
        <v>100</v>
      </c>
      <c r="AN3150">
        <v>1</v>
      </c>
      <c r="AT3150" t="s">
        <v>100</v>
      </c>
      <c r="AU3150">
        <v>14</v>
      </c>
      <c r="AV3150">
        <v>407</v>
      </c>
      <c r="AW3150">
        <v>407</v>
      </c>
      <c r="AX3150">
        <v>682</v>
      </c>
      <c r="AZ3150" t="s">
        <v>101</v>
      </c>
      <c r="BA3150">
        <v>1</v>
      </c>
      <c r="BC3150" t="s">
        <v>6403</v>
      </c>
      <c r="BD3150" s="4">
        <v>43283.131944444445</v>
      </c>
      <c r="BE3150" s="4">
        <v>43283.137164351851</v>
      </c>
      <c r="BF3150" s="4">
        <v>43283.137164351851</v>
      </c>
      <c r="BG3150" t="s">
        <v>83</v>
      </c>
      <c r="BH3150" t="s">
        <v>84</v>
      </c>
      <c r="BI3150" t="s">
        <v>85</v>
      </c>
    </row>
    <row r="3151" spans="1:61" x14ac:dyDescent="0.3">
      <c r="A3151" t="str">
        <f>"200777C0400"</f>
        <v>200777C0400</v>
      </c>
      <c r="B3151" t="s">
        <v>6404</v>
      </c>
      <c r="C3151">
        <v>20</v>
      </c>
      <c r="D3151" t="s">
        <v>79</v>
      </c>
      <c r="E3151">
        <v>15</v>
      </c>
      <c r="F3151" t="s">
        <v>6336</v>
      </c>
      <c r="G3151">
        <v>777</v>
      </c>
      <c r="H3151">
        <v>4</v>
      </c>
      <c r="I3151" t="s">
        <v>89</v>
      </c>
      <c r="J3151">
        <v>0</v>
      </c>
      <c r="K3151">
        <v>1</v>
      </c>
      <c r="L3151">
        <v>2</v>
      </c>
      <c r="M3151">
        <v>279</v>
      </c>
      <c r="N3151">
        <v>425</v>
      </c>
      <c r="O3151">
        <v>1</v>
      </c>
      <c r="P3151">
        <v>425</v>
      </c>
      <c r="Q3151">
        <v>18</v>
      </c>
      <c r="R3151">
        <v>24</v>
      </c>
      <c r="S3151">
        <v>37</v>
      </c>
      <c r="T3151">
        <v>5</v>
      </c>
      <c r="U3151">
        <v>32</v>
      </c>
      <c r="V3151">
        <v>3</v>
      </c>
      <c r="W3151">
        <v>30</v>
      </c>
      <c r="X3151">
        <v>5</v>
      </c>
      <c r="Y3151">
        <v>235</v>
      </c>
      <c r="Z3151">
        <v>5</v>
      </c>
      <c r="AA3151">
        <v>2</v>
      </c>
      <c r="AB3151">
        <v>9</v>
      </c>
      <c r="AC3151">
        <v>0</v>
      </c>
      <c r="AD3151">
        <v>2</v>
      </c>
      <c r="AE3151">
        <v>0</v>
      </c>
      <c r="AF3151">
        <v>0</v>
      </c>
      <c r="AG3151">
        <v>0</v>
      </c>
      <c r="AH3151">
        <v>2</v>
      </c>
      <c r="AI3151">
        <v>0</v>
      </c>
      <c r="AJ3151">
        <v>0</v>
      </c>
      <c r="AK3151">
        <v>7</v>
      </c>
      <c r="AL3151">
        <v>3</v>
      </c>
      <c r="AM3151">
        <v>0</v>
      </c>
      <c r="AN3151">
        <v>2</v>
      </c>
      <c r="AT3151">
        <v>0</v>
      </c>
      <c r="AU3151">
        <v>4</v>
      </c>
      <c r="AV3151">
        <v>425</v>
      </c>
      <c r="AW3151">
        <v>425</v>
      </c>
      <c r="AX3151">
        <v>682</v>
      </c>
      <c r="BA3151">
        <v>1</v>
      </c>
      <c r="BC3151" t="s">
        <v>6405</v>
      </c>
      <c r="BD3151" s="4">
        <v>43283.131944444445</v>
      </c>
      <c r="BE3151" s="4">
        <v>43283.135868055557</v>
      </c>
      <c r="BF3151" s="4">
        <v>43283.135868055557</v>
      </c>
      <c r="BG3151" t="s">
        <v>83</v>
      </c>
      <c r="BH3151" t="s">
        <v>84</v>
      </c>
      <c r="BI3151" t="s">
        <v>85</v>
      </c>
    </row>
    <row r="3152" spans="1:61" x14ac:dyDescent="0.3">
      <c r="A3152" t="str">
        <f>"200778B0100"</f>
        <v>200778B0100</v>
      </c>
      <c r="B3152" t="s">
        <v>6406</v>
      </c>
      <c r="C3152">
        <v>20</v>
      </c>
      <c r="D3152" t="s">
        <v>79</v>
      </c>
      <c r="E3152">
        <v>15</v>
      </c>
      <c r="F3152" t="s">
        <v>6336</v>
      </c>
      <c r="G3152">
        <v>778</v>
      </c>
      <c r="H3152">
        <v>1</v>
      </c>
      <c r="I3152" t="s">
        <v>81</v>
      </c>
      <c r="J3152">
        <v>0</v>
      </c>
      <c r="K3152">
        <v>1</v>
      </c>
      <c r="L3152">
        <v>2</v>
      </c>
      <c r="M3152">
        <v>290</v>
      </c>
      <c r="N3152">
        <v>452</v>
      </c>
      <c r="O3152">
        <v>4</v>
      </c>
      <c r="P3152">
        <v>452</v>
      </c>
      <c r="Q3152">
        <v>18</v>
      </c>
      <c r="R3152">
        <v>34</v>
      </c>
      <c r="S3152">
        <v>27</v>
      </c>
      <c r="T3152">
        <v>5</v>
      </c>
      <c r="U3152">
        <v>27</v>
      </c>
      <c r="V3152">
        <v>5</v>
      </c>
      <c r="W3152">
        <v>22</v>
      </c>
      <c r="X3152">
        <v>5</v>
      </c>
      <c r="Y3152">
        <v>252</v>
      </c>
      <c r="Z3152">
        <v>8</v>
      </c>
      <c r="AA3152">
        <v>3</v>
      </c>
      <c r="AB3152">
        <v>15</v>
      </c>
      <c r="AC3152">
        <v>3</v>
      </c>
      <c r="AD3152" t="s">
        <v>100</v>
      </c>
      <c r="AE3152" t="s">
        <v>100</v>
      </c>
      <c r="AF3152" t="s">
        <v>100</v>
      </c>
      <c r="AG3152">
        <v>1</v>
      </c>
      <c r="AH3152">
        <v>2</v>
      </c>
      <c r="AI3152" t="s">
        <v>100</v>
      </c>
      <c r="AJ3152" t="s">
        <v>100</v>
      </c>
      <c r="AK3152">
        <v>11</v>
      </c>
      <c r="AL3152">
        <v>1</v>
      </c>
      <c r="AM3152">
        <v>1</v>
      </c>
      <c r="AN3152">
        <v>1</v>
      </c>
      <c r="AT3152" t="s">
        <v>100</v>
      </c>
      <c r="AU3152">
        <v>12</v>
      </c>
      <c r="AV3152" t="s">
        <v>100</v>
      </c>
      <c r="AW3152">
        <v>453</v>
      </c>
      <c r="AX3152">
        <v>719</v>
      </c>
      <c r="AZ3152" t="s">
        <v>101</v>
      </c>
      <c r="BA3152">
        <v>1</v>
      </c>
      <c r="BC3152" t="s">
        <v>6407</v>
      </c>
      <c r="BD3152" s="4">
        <v>43283.115972222222</v>
      </c>
      <c r="BE3152" s="4">
        <v>43283.124918981484</v>
      </c>
      <c r="BF3152" s="4">
        <v>43283.124918981484</v>
      </c>
      <c r="BG3152" t="s">
        <v>83</v>
      </c>
      <c r="BH3152" t="s">
        <v>84</v>
      </c>
      <c r="BI3152" t="s">
        <v>85</v>
      </c>
    </row>
    <row r="3153" spans="1:61" x14ac:dyDescent="0.3">
      <c r="A3153" t="str">
        <f>"200778C0100"</f>
        <v>200778C0100</v>
      </c>
      <c r="B3153" t="s">
        <v>6408</v>
      </c>
      <c r="C3153">
        <v>20</v>
      </c>
      <c r="D3153" t="s">
        <v>79</v>
      </c>
      <c r="E3153">
        <v>15</v>
      </c>
      <c r="F3153" t="s">
        <v>6336</v>
      </c>
      <c r="G3153">
        <v>778</v>
      </c>
      <c r="H3153">
        <v>1</v>
      </c>
      <c r="I3153" t="s">
        <v>89</v>
      </c>
      <c r="J3153">
        <v>0</v>
      </c>
      <c r="K3153">
        <v>1</v>
      </c>
      <c r="L3153">
        <v>2</v>
      </c>
      <c r="M3153">
        <v>312</v>
      </c>
      <c r="N3153">
        <v>429</v>
      </c>
      <c r="O3153">
        <v>4</v>
      </c>
      <c r="P3153">
        <v>429</v>
      </c>
      <c r="Q3153">
        <v>30</v>
      </c>
      <c r="R3153">
        <v>25</v>
      </c>
      <c r="S3153">
        <v>21</v>
      </c>
      <c r="T3153">
        <v>11</v>
      </c>
      <c r="U3153">
        <v>32</v>
      </c>
      <c r="V3153">
        <v>8</v>
      </c>
      <c r="W3153">
        <v>22</v>
      </c>
      <c r="X3153">
        <v>4</v>
      </c>
      <c r="Y3153">
        <v>230</v>
      </c>
      <c r="Z3153">
        <v>9</v>
      </c>
      <c r="AA3153">
        <v>0</v>
      </c>
      <c r="AB3153">
        <v>7</v>
      </c>
      <c r="AC3153">
        <v>1</v>
      </c>
      <c r="AD3153">
        <v>1</v>
      </c>
      <c r="AE3153">
        <v>0</v>
      </c>
      <c r="AF3153">
        <v>0</v>
      </c>
      <c r="AG3153">
        <v>0</v>
      </c>
      <c r="AH3153">
        <v>1</v>
      </c>
      <c r="AI3153">
        <v>0</v>
      </c>
      <c r="AJ3153">
        <v>0</v>
      </c>
      <c r="AK3153">
        <v>9</v>
      </c>
      <c r="AL3153">
        <v>1</v>
      </c>
      <c r="AM3153">
        <v>0</v>
      </c>
      <c r="AN3153">
        <v>1</v>
      </c>
      <c r="AT3153">
        <v>0</v>
      </c>
      <c r="AU3153">
        <v>16</v>
      </c>
      <c r="AV3153">
        <v>429</v>
      </c>
      <c r="AW3153">
        <v>429</v>
      </c>
      <c r="AX3153">
        <v>719</v>
      </c>
      <c r="BA3153">
        <v>1</v>
      </c>
      <c r="BC3153" t="s">
        <v>6409</v>
      </c>
      <c r="BD3153" s="4">
        <v>43283.117361111108</v>
      </c>
      <c r="BE3153" s="4">
        <v>43283.139965277776</v>
      </c>
      <c r="BF3153" s="4">
        <v>43283.139965277776</v>
      </c>
      <c r="BG3153" t="s">
        <v>83</v>
      </c>
      <c r="BH3153" t="s">
        <v>84</v>
      </c>
      <c r="BI3153" t="s">
        <v>85</v>
      </c>
    </row>
    <row r="3154" spans="1:61" x14ac:dyDescent="0.3">
      <c r="A3154" t="str">
        <f>"200778C0200"</f>
        <v>200778C0200</v>
      </c>
      <c r="B3154" t="s">
        <v>6410</v>
      </c>
      <c r="C3154">
        <v>20</v>
      </c>
      <c r="D3154" t="s">
        <v>79</v>
      </c>
      <c r="E3154">
        <v>15</v>
      </c>
      <c r="F3154" t="s">
        <v>6336</v>
      </c>
      <c r="G3154">
        <v>778</v>
      </c>
      <c r="H3154">
        <v>2</v>
      </c>
      <c r="I3154" t="s">
        <v>89</v>
      </c>
      <c r="J3154">
        <v>0</v>
      </c>
      <c r="K3154">
        <v>1</v>
      </c>
      <c r="L3154">
        <v>2</v>
      </c>
      <c r="M3154">
        <v>290</v>
      </c>
      <c r="N3154">
        <v>452</v>
      </c>
      <c r="O3154">
        <v>4</v>
      </c>
      <c r="P3154">
        <v>452</v>
      </c>
      <c r="Q3154">
        <v>18</v>
      </c>
      <c r="R3154">
        <v>26</v>
      </c>
      <c r="S3154" t="s">
        <v>315</v>
      </c>
      <c r="T3154">
        <v>8</v>
      </c>
      <c r="U3154">
        <v>24</v>
      </c>
      <c r="V3154">
        <v>8</v>
      </c>
      <c r="W3154">
        <v>33</v>
      </c>
      <c r="X3154">
        <v>7</v>
      </c>
      <c r="Y3154">
        <v>260</v>
      </c>
      <c r="Z3154">
        <v>12</v>
      </c>
      <c r="AA3154">
        <v>2</v>
      </c>
      <c r="AB3154">
        <v>8</v>
      </c>
      <c r="AC3154">
        <v>2</v>
      </c>
      <c r="AD3154">
        <v>0</v>
      </c>
      <c r="AE3154">
        <v>0</v>
      </c>
      <c r="AF3154">
        <v>0</v>
      </c>
      <c r="AG3154" t="s">
        <v>315</v>
      </c>
      <c r="AH3154">
        <v>0</v>
      </c>
      <c r="AI3154">
        <v>0</v>
      </c>
      <c r="AJ3154">
        <v>0</v>
      </c>
      <c r="AK3154">
        <v>6</v>
      </c>
      <c r="AL3154">
        <v>0</v>
      </c>
      <c r="AM3154">
        <v>0</v>
      </c>
      <c r="AN3154">
        <v>0</v>
      </c>
      <c r="AT3154">
        <v>0</v>
      </c>
      <c r="AU3154" t="s">
        <v>315</v>
      </c>
      <c r="AV3154" t="s">
        <v>100</v>
      </c>
      <c r="AW3154">
        <v>414</v>
      </c>
      <c r="AX3154">
        <v>719</v>
      </c>
      <c r="AZ3154" t="s">
        <v>101</v>
      </c>
      <c r="BA3154">
        <v>1</v>
      </c>
      <c r="BC3154" t="s">
        <v>6411</v>
      </c>
      <c r="BD3154" s="4">
        <v>43282.929039351853</v>
      </c>
      <c r="BE3154" s="4">
        <v>43282.936493055553</v>
      </c>
      <c r="BF3154" s="4">
        <v>43282.936493055553</v>
      </c>
      <c r="BG3154" t="s">
        <v>373</v>
      </c>
      <c r="BH3154" t="s">
        <v>374</v>
      </c>
      <c r="BI3154" t="s">
        <v>85</v>
      </c>
    </row>
    <row r="3155" spans="1:61" x14ac:dyDescent="0.3">
      <c r="A3155" t="str">
        <f>"200778C0300"</f>
        <v>200778C0300</v>
      </c>
      <c r="B3155" t="s">
        <v>6412</v>
      </c>
      <c r="C3155">
        <v>20</v>
      </c>
      <c r="D3155" t="s">
        <v>79</v>
      </c>
      <c r="E3155">
        <v>15</v>
      </c>
      <c r="F3155" t="s">
        <v>6336</v>
      </c>
      <c r="G3155">
        <v>778</v>
      </c>
      <c r="H3155">
        <v>3</v>
      </c>
      <c r="I3155" t="s">
        <v>89</v>
      </c>
      <c r="J3155">
        <v>0</v>
      </c>
      <c r="K3155">
        <v>1</v>
      </c>
      <c r="L3155">
        <v>2</v>
      </c>
      <c r="M3155">
        <v>294</v>
      </c>
      <c r="N3155">
        <v>446</v>
      </c>
      <c r="O3155">
        <v>4</v>
      </c>
      <c r="P3155">
        <v>454</v>
      </c>
      <c r="Q3155">
        <v>26</v>
      </c>
      <c r="R3155">
        <v>46</v>
      </c>
      <c r="S3155">
        <v>27</v>
      </c>
      <c r="T3155">
        <v>14</v>
      </c>
      <c r="U3155">
        <v>34</v>
      </c>
      <c r="V3155">
        <v>4</v>
      </c>
      <c r="W3155">
        <v>19</v>
      </c>
      <c r="X3155">
        <v>6</v>
      </c>
      <c r="Y3155">
        <v>226</v>
      </c>
      <c r="Z3155">
        <v>15</v>
      </c>
      <c r="AA3155">
        <v>1</v>
      </c>
      <c r="AB3155">
        <v>9</v>
      </c>
      <c r="AC3155">
        <v>1</v>
      </c>
      <c r="AD3155">
        <v>1</v>
      </c>
      <c r="AE3155">
        <v>0</v>
      </c>
      <c r="AF3155">
        <v>0</v>
      </c>
      <c r="AG3155">
        <v>0</v>
      </c>
      <c r="AH3155">
        <v>3</v>
      </c>
      <c r="AI3155">
        <v>0</v>
      </c>
      <c r="AJ3155">
        <v>0</v>
      </c>
      <c r="AK3155">
        <v>8</v>
      </c>
      <c r="AL3155">
        <v>0</v>
      </c>
      <c r="AM3155">
        <v>1</v>
      </c>
      <c r="AN3155">
        <v>1</v>
      </c>
      <c r="AT3155">
        <v>0</v>
      </c>
      <c r="AU3155">
        <v>12</v>
      </c>
      <c r="AV3155">
        <v>454</v>
      </c>
      <c r="AW3155">
        <v>454</v>
      </c>
      <c r="AX3155">
        <v>719</v>
      </c>
      <c r="BA3155">
        <v>1</v>
      </c>
      <c r="BC3155" s="2" t="s">
        <v>6413</v>
      </c>
      <c r="BD3155" s="4">
        <v>43283.115277777775</v>
      </c>
      <c r="BE3155" s="4">
        <v>43283.123460648145</v>
      </c>
      <c r="BF3155" s="4">
        <v>43283.123460648145</v>
      </c>
      <c r="BG3155" t="s">
        <v>83</v>
      </c>
      <c r="BH3155" t="s">
        <v>84</v>
      </c>
      <c r="BI3155" t="s">
        <v>85</v>
      </c>
    </row>
    <row r="3156" spans="1:61" x14ac:dyDescent="0.3">
      <c r="A3156" t="str">
        <f>"200778C0400"</f>
        <v>200778C0400</v>
      </c>
      <c r="B3156" t="s">
        <v>6414</v>
      </c>
      <c r="C3156">
        <v>20</v>
      </c>
      <c r="D3156" t="s">
        <v>79</v>
      </c>
      <c r="E3156">
        <v>15</v>
      </c>
      <c r="F3156" t="s">
        <v>6336</v>
      </c>
      <c r="G3156">
        <v>778</v>
      </c>
      <c r="H3156">
        <v>4</v>
      </c>
      <c r="I3156" t="s">
        <v>89</v>
      </c>
      <c r="J3156">
        <v>0</v>
      </c>
      <c r="K3156">
        <v>1</v>
      </c>
      <c r="L3156">
        <v>2</v>
      </c>
      <c r="M3156">
        <v>295</v>
      </c>
      <c r="N3156">
        <v>9</v>
      </c>
      <c r="O3156">
        <v>445</v>
      </c>
      <c r="P3156">
        <v>431</v>
      </c>
      <c r="Q3156">
        <v>17</v>
      </c>
      <c r="R3156">
        <v>34</v>
      </c>
      <c r="S3156">
        <v>19</v>
      </c>
      <c r="T3156">
        <v>4</v>
      </c>
      <c r="U3156">
        <v>27</v>
      </c>
      <c r="V3156">
        <v>5</v>
      </c>
      <c r="W3156">
        <v>16</v>
      </c>
      <c r="X3156">
        <v>5</v>
      </c>
      <c r="Y3156">
        <v>256</v>
      </c>
      <c r="Z3156">
        <v>14</v>
      </c>
      <c r="AA3156">
        <v>2</v>
      </c>
      <c r="AB3156">
        <v>10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6</v>
      </c>
      <c r="AL3156">
        <v>3</v>
      </c>
      <c r="AM3156">
        <v>0</v>
      </c>
      <c r="AN3156">
        <v>1</v>
      </c>
      <c r="AT3156">
        <v>0</v>
      </c>
      <c r="AU3156">
        <v>12</v>
      </c>
      <c r="AV3156">
        <v>431</v>
      </c>
      <c r="AW3156">
        <v>431</v>
      </c>
      <c r="AX3156">
        <v>719</v>
      </c>
      <c r="BA3156">
        <v>1</v>
      </c>
      <c r="BC3156" t="s">
        <v>6415</v>
      </c>
      <c r="BD3156" s="4">
        <v>43283.121527777781</v>
      </c>
      <c r="BE3156" s="4">
        <v>43283.12704861111</v>
      </c>
      <c r="BF3156" s="4">
        <v>43283.12704861111</v>
      </c>
      <c r="BG3156" t="s">
        <v>83</v>
      </c>
      <c r="BH3156" t="s">
        <v>84</v>
      </c>
      <c r="BI3156" t="s">
        <v>85</v>
      </c>
    </row>
    <row r="3157" spans="1:61" x14ac:dyDescent="0.3">
      <c r="A3157" t="str">
        <f>"200779B0100"</f>
        <v>200779B0100</v>
      </c>
      <c r="B3157" t="s">
        <v>6416</v>
      </c>
      <c r="C3157">
        <v>20</v>
      </c>
      <c r="D3157" t="s">
        <v>79</v>
      </c>
      <c r="E3157">
        <v>15</v>
      </c>
      <c r="F3157" t="s">
        <v>6336</v>
      </c>
      <c r="G3157">
        <v>779</v>
      </c>
      <c r="H3157">
        <v>1</v>
      </c>
      <c r="I3157" t="s">
        <v>81</v>
      </c>
      <c r="J3157">
        <v>0</v>
      </c>
      <c r="K3157">
        <v>1</v>
      </c>
      <c r="L3157">
        <v>2</v>
      </c>
      <c r="M3157">
        <v>288</v>
      </c>
      <c r="N3157">
        <v>413</v>
      </c>
      <c r="O3157">
        <v>4</v>
      </c>
      <c r="P3157">
        <v>410</v>
      </c>
      <c r="Q3157">
        <v>25</v>
      </c>
      <c r="R3157">
        <v>38</v>
      </c>
      <c r="S3157">
        <v>14</v>
      </c>
      <c r="T3157">
        <v>5</v>
      </c>
      <c r="U3157">
        <v>29</v>
      </c>
      <c r="V3157">
        <v>5</v>
      </c>
      <c r="W3157">
        <v>17</v>
      </c>
      <c r="X3157">
        <v>3</v>
      </c>
      <c r="Y3157">
        <v>233</v>
      </c>
      <c r="Z3157">
        <v>6</v>
      </c>
      <c r="AA3157">
        <v>4</v>
      </c>
      <c r="AB3157">
        <v>10</v>
      </c>
      <c r="AC3157">
        <v>0</v>
      </c>
      <c r="AD3157">
        <v>1</v>
      </c>
      <c r="AE3157">
        <v>0</v>
      </c>
      <c r="AF3157">
        <v>0</v>
      </c>
      <c r="AG3157">
        <v>1</v>
      </c>
      <c r="AH3157">
        <v>0</v>
      </c>
      <c r="AI3157">
        <v>0</v>
      </c>
      <c r="AJ3157">
        <v>0</v>
      </c>
      <c r="AK3157">
        <v>2</v>
      </c>
      <c r="AL3157">
        <v>3</v>
      </c>
      <c r="AM3157">
        <v>0</v>
      </c>
      <c r="AN3157">
        <v>0</v>
      </c>
      <c r="AT3157">
        <v>0</v>
      </c>
      <c r="AU3157">
        <v>14</v>
      </c>
      <c r="AV3157">
        <v>410</v>
      </c>
      <c r="AW3157">
        <v>410</v>
      </c>
      <c r="AX3157">
        <v>679</v>
      </c>
      <c r="BA3157">
        <v>1</v>
      </c>
      <c r="BC3157" t="s">
        <v>6417</v>
      </c>
      <c r="BD3157" s="4">
        <v>43283.197916666664</v>
      </c>
      <c r="BE3157" s="4">
        <v>43283.215671296297</v>
      </c>
      <c r="BF3157" s="4">
        <v>43283.215671296297</v>
      </c>
      <c r="BG3157" t="s">
        <v>83</v>
      </c>
      <c r="BH3157" t="s">
        <v>84</v>
      </c>
      <c r="BI3157" t="s">
        <v>85</v>
      </c>
    </row>
    <row r="3158" spans="1:61" x14ac:dyDescent="0.3">
      <c r="A3158" t="str">
        <f>"200779C0100"</f>
        <v>200779C0100</v>
      </c>
      <c r="B3158" t="s">
        <v>6418</v>
      </c>
      <c r="C3158">
        <v>20</v>
      </c>
      <c r="D3158" t="s">
        <v>79</v>
      </c>
      <c r="E3158">
        <v>15</v>
      </c>
      <c r="F3158" t="s">
        <v>6336</v>
      </c>
      <c r="G3158">
        <v>779</v>
      </c>
      <c r="H3158">
        <v>1</v>
      </c>
      <c r="I3158" t="s">
        <v>89</v>
      </c>
      <c r="J3158">
        <v>0</v>
      </c>
      <c r="K3158">
        <v>1</v>
      </c>
      <c r="L3158">
        <v>2</v>
      </c>
      <c r="M3158">
        <v>286</v>
      </c>
      <c r="N3158">
        <v>415</v>
      </c>
      <c r="O3158">
        <v>8</v>
      </c>
      <c r="P3158">
        <v>415</v>
      </c>
      <c r="Q3158">
        <v>29</v>
      </c>
      <c r="R3158">
        <v>39</v>
      </c>
      <c r="S3158">
        <v>24</v>
      </c>
      <c r="T3158">
        <v>3</v>
      </c>
      <c r="U3158">
        <v>20</v>
      </c>
      <c r="V3158">
        <v>5</v>
      </c>
      <c r="W3158">
        <v>17</v>
      </c>
      <c r="X3158">
        <v>5</v>
      </c>
      <c r="Y3158">
        <v>229</v>
      </c>
      <c r="Z3158">
        <v>5</v>
      </c>
      <c r="AA3158">
        <v>2</v>
      </c>
      <c r="AB3158">
        <v>5</v>
      </c>
      <c r="AC3158">
        <v>1</v>
      </c>
      <c r="AD3158">
        <v>1</v>
      </c>
      <c r="AE3158">
        <v>1</v>
      </c>
      <c r="AF3158">
        <v>0</v>
      </c>
      <c r="AG3158">
        <v>3</v>
      </c>
      <c r="AH3158">
        <v>0</v>
      </c>
      <c r="AI3158">
        <v>0</v>
      </c>
      <c r="AJ3158">
        <v>0</v>
      </c>
      <c r="AK3158">
        <v>9</v>
      </c>
      <c r="AL3158">
        <v>0</v>
      </c>
      <c r="AM3158">
        <v>0</v>
      </c>
      <c r="AN3158">
        <v>0</v>
      </c>
      <c r="AT3158">
        <v>1</v>
      </c>
      <c r="AU3158">
        <v>16</v>
      </c>
      <c r="AV3158">
        <v>415</v>
      </c>
      <c r="AW3158">
        <v>415</v>
      </c>
      <c r="AX3158">
        <v>679</v>
      </c>
      <c r="BA3158">
        <v>1</v>
      </c>
      <c r="BC3158" t="s">
        <v>6419</v>
      </c>
      <c r="BD3158" s="4">
        <v>43283.207638888889</v>
      </c>
      <c r="BE3158" s="4">
        <v>43283.22996527778</v>
      </c>
      <c r="BF3158" s="4">
        <v>43283.22996527778</v>
      </c>
      <c r="BG3158" t="s">
        <v>83</v>
      </c>
      <c r="BH3158" t="s">
        <v>84</v>
      </c>
      <c r="BI3158" t="s">
        <v>85</v>
      </c>
    </row>
    <row r="3159" spans="1:61" x14ac:dyDescent="0.3">
      <c r="A3159" t="str">
        <f>"200779C0200"</f>
        <v>200779C0200</v>
      </c>
      <c r="B3159" t="s">
        <v>6420</v>
      </c>
      <c r="C3159">
        <v>20</v>
      </c>
      <c r="D3159" t="s">
        <v>79</v>
      </c>
      <c r="E3159">
        <v>15</v>
      </c>
      <c r="F3159" t="s">
        <v>6336</v>
      </c>
      <c r="G3159">
        <v>779</v>
      </c>
      <c r="H3159">
        <v>2</v>
      </c>
      <c r="I3159" t="s">
        <v>89</v>
      </c>
      <c r="J3159">
        <v>0</v>
      </c>
      <c r="K3159">
        <v>1</v>
      </c>
      <c r="L3159">
        <v>2</v>
      </c>
      <c r="M3159">
        <v>266</v>
      </c>
      <c r="N3159">
        <v>434</v>
      </c>
      <c r="O3159">
        <v>8</v>
      </c>
      <c r="P3159">
        <v>434</v>
      </c>
      <c r="Q3159">
        <v>22</v>
      </c>
      <c r="R3159">
        <v>47</v>
      </c>
      <c r="S3159">
        <v>19</v>
      </c>
      <c r="T3159">
        <v>11</v>
      </c>
      <c r="U3159">
        <v>22</v>
      </c>
      <c r="V3159">
        <v>5</v>
      </c>
      <c r="W3159">
        <v>15</v>
      </c>
      <c r="X3159">
        <v>6</v>
      </c>
      <c r="Y3159">
        <v>239</v>
      </c>
      <c r="Z3159">
        <v>13</v>
      </c>
      <c r="AA3159">
        <v>5</v>
      </c>
      <c r="AB3159">
        <v>5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4</v>
      </c>
      <c r="AL3159">
        <v>3</v>
      </c>
      <c r="AM3159">
        <v>0</v>
      </c>
      <c r="AN3159">
        <v>4</v>
      </c>
      <c r="AT3159">
        <v>1</v>
      </c>
      <c r="AU3159">
        <v>13</v>
      </c>
      <c r="AV3159">
        <v>434</v>
      </c>
      <c r="AW3159">
        <v>434</v>
      </c>
      <c r="AX3159">
        <v>678</v>
      </c>
      <c r="BA3159">
        <v>1</v>
      </c>
      <c r="BC3159" t="s">
        <v>6421</v>
      </c>
      <c r="BD3159" s="4">
        <v>43283.206250000003</v>
      </c>
      <c r="BE3159" s="4">
        <v>43283.231053240743</v>
      </c>
      <c r="BF3159" s="4">
        <v>43283.231053240743</v>
      </c>
      <c r="BG3159" t="s">
        <v>83</v>
      </c>
      <c r="BH3159" t="s">
        <v>84</v>
      </c>
      <c r="BI3159" t="s">
        <v>85</v>
      </c>
    </row>
    <row r="3160" spans="1:61" x14ac:dyDescent="0.3">
      <c r="A3160" t="str">
        <f>"200779C0300"</f>
        <v>200779C0300</v>
      </c>
      <c r="B3160" t="s">
        <v>6422</v>
      </c>
      <c r="C3160">
        <v>20</v>
      </c>
      <c r="D3160" t="s">
        <v>79</v>
      </c>
      <c r="E3160">
        <v>15</v>
      </c>
      <c r="F3160" t="s">
        <v>6336</v>
      </c>
      <c r="G3160">
        <v>779</v>
      </c>
      <c r="H3160">
        <v>3</v>
      </c>
      <c r="I3160" t="s">
        <v>89</v>
      </c>
      <c r="J3160">
        <v>0</v>
      </c>
      <c r="K3160">
        <v>1</v>
      </c>
      <c r="L3160">
        <v>2</v>
      </c>
      <c r="M3160">
        <v>315</v>
      </c>
      <c r="N3160">
        <v>385</v>
      </c>
      <c r="O3160">
        <v>6</v>
      </c>
      <c r="P3160">
        <v>385</v>
      </c>
      <c r="Q3160">
        <v>30</v>
      </c>
      <c r="R3160">
        <v>26</v>
      </c>
      <c r="S3160">
        <v>12</v>
      </c>
      <c r="T3160">
        <v>7</v>
      </c>
      <c r="U3160">
        <v>13</v>
      </c>
      <c r="V3160">
        <v>8</v>
      </c>
      <c r="W3160">
        <v>16</v>
      </c>
      <c r="X3160">
        <v>6</v>
      </c>
      <c r="Y3160">
        <v>213</v>
      </c>
      <c r="Z3160">
        <v>10</v>
      </c>
      <c r="AA3160">
        <v>2</v>
      </c>
      <c r="AB3160">
        <v>22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7</v>
      </c>
      <c r="AL3160">
        <v>3</v>
      </c>
      <c r="AM3160">
        <v>0</v>
      </c>
      <c r="AN3160">
        <v>0</v>
      </c>
      <c r="AT3160" t="s">
        <v>100</v>
      </c>
      <c r="AU3160">
        <v>10</v>
      </c>
      <c r="AV3160">
        <v>385</v>
      </c>
      <c r="AW3160">
        <v>385</v>
      </c>
      <c r="AX3160">
        <v>678</v>
      </c>
      <c r="AZ3160" t="s">
        <v>101</v>
      </c>
      <c r="BA3160">
        <v>1</v>
      </c>
      <c r="BC3160" t="s">
        <v>6423</v>
      </c>
      <c r="BD3160" s="4">
        <v>43283.200694444444</v>
      </c>
      <c r="BE3160" s="4">
        <v>43283.217638888891</v>
      </c>
      <c r="BF3160" s="4">
        <v>43283.217638888891</v>
      </c>
      <c r="BG3160" t="s">
        <v>83</v>
      </c>
      <c r="BH3160" t="s">
        <v>84</v>
      </c>
      <c r="BI3160" t="s">
        <v>85</v>
      </c>
    </row>
    <row r="3161" spans="1:61" x14ac:dyDescent="0.3">
      <c r="A3161" t="str">
        <f>"200780B0100"</f>
        <v>200780B0100</v>
      </c>
      <c r="B3161" t="s">
        <v>6424</v>
      </c>
      <c r="C3161">
        <v>20</v>
      </c>
      <c r="D3161" t="s">
        <v>79</v>
      </c>
      <c r="E3161">
        <v>15</v>
      </c>
      <c r="F3161" t="s">
        <v>6336</v>
      </c>
      <c r="G3161">
        <v>780</v>
      </c>
      <c r="H3161">
        <v>1</v>
      </c>
      <c r="I3161" t="s">
        <v>81</v>
      </c>
      <c r="J3161">
        <v>0</v>
      </c>
      <c r="K3161">
        <v>1</v>
      </c>
      <c r="L3161">
        <v>2</v>
      </c>
      <c r="M3161" t="s">
        <v>100</v>
      </c>
      <c r="N3161" t="s">
        <v>100</v>
      </c>
      <c r="O3161">
        <v>8</v>
      </c>
      <c r="P3161">
        <v>357</v>
      </c>
      <c r="Q3161">
        <v>25</v>
      </c>
      <c r="R3161">
        <v>32</v>
      </c>
      <c r="S3161">
        <v>8</v>
      </c>
      <c r="T3161">
        <v>9</v>
      </c>
      <c r="U3161">
        <v>13</v>
      </c>
      <c r="V3161">
        <v>3</v>
      </c>
      <c r="W3161">
        <v>9</v>
      </c>
      <c r="X3161" t="s">
        <v>100</v>
      </c>
      <c r="Y3161">
        <v>216</v>
      </c>
      <c r="Z3161">
        <v>6</v>
      </c>
      <c r="AA3161">
        <v>6</v>
      </c>
      <c r="AB3161">
        <v>8</v>
      </c>
      <c r="AC3161" t="s">
        <v>100</v>
      </c>
      <c r="AD3161" t="s">
        <v>100</v>
      </c>
      <c r="AE3161" t="s">
        <v>100</v>
      </c>
      <c r="AF3161" t="s">
        <v>100</v>
      </c>
      <c r="AG3161" t="s">
        <v>100</v>
      </c>
      <c r="AH3161">
        <v>2</v>
      </c>
      <c r="AI3161" t="s">
        <v>100</v>
      </c>
      <c r="AJ3161" t="s">
        <v>100</v>
      </c>
      <c r="AK3161">
        <v>13</v>
      </c>
      <c r="AL3161">
        <v>2</v>
      </c>
      <c r="AM3161">
        <v>2</v>
      </c>
      <c r="AN3161">
        <v>2</v>
      </c>
      <c r="AT3161" t="s">
        <v>100</v>
      </c>
      <c r="AU3161">
        <v>11</v>
      </c>
      <c r="AV3161">
        <v>357</v>
      </c>
      <c r="AW3161">
        <v>367</v>
      </c>
      <c r="AX3161">
        <v>603</v>
      </c>
      <c r="AZ3161" t="s">
        <v>101</v>
      </c>
      <c r="BA3161">
        <v>1</v>
      </c>
      <c r="BC3161" t="s">
        <v>6425</v>
      </c>
      <c r="BD3161" s="4">
        <v>43283.123611111114</v>
      </c>
      <c r="BE3161" s="4">
        <v>43283.128171296295</v>
      </c>
      <c r="BF3161" s="4">
        <v>43283.128171296295</v>
      </c>
      <c r="BG3161" t="s">
        <v>83</v>
      </c>
      <c r="BH3161" t="s">
        <v>84</v>
      </c>
      <c r="BI3161" t="s">
        <v>85</v>
      </c>
    </row>
    <row r="3162" spans="1:61" x14ac:dyDescent="0.3">
      <c r="A3162" t="str">
        <f>"200780C0100"</f>
        <v>200780C0100</v>
      </c>
      <c r="B3162" t="s">
        <v>6426</v>
      </c>
      <c r="C3162">
        <v>20</v>
      </c>
      <c r="D3162" t="s">
        <v>79</v>
      </c>
      <c r="E3162">
        <v>15</v>
      </c>
      <c r="F3162" t="s">
        <v>6336</v>
      </c>
      <c r="G3162">
        <v>780</v>
      </c>
      <c r="H3162">
        <v>1</v>
      </c>
      <c r="I3162" t="s">
        <v>89</v>
      </c>
      <c r="J3162">
        <v>0</v>
      </c>
      <c r="K3162">
        <v>1</v>
      </c>
      <c r="L3162">
        <v>2</v>
      </c>
      <c r="M3162">
        <v>268</v>
      </c>
      <c r="N3162">
        <v>358</v>
      </c>
      <c r="O3162">
        <v>5</v>
      </c>
      <c r="P3162">
        <v>356</v>
      </c>
      <c r="Q3162">
        <v>25</v>
      </c>
      <c r="R3162">
        <v>32</v>
      </c>
      <c r="S3162">
        <v>8</v>
      </c>
      <c r="T3162">
        <v>5</v>
      </c>
      <c r="U3162">
        <v>19</v>
      </c>
      <c r="V3162">
        <v>5</v>
      </c>
      <c r="W3162">
        <v>14</v>
      </c>
      <c r="X3162">
        <v>5</v>
      </c>
      <c r="Y3162">
        <v>203</v>
      </c>
      <c r="Z3162">
        <v>8</v>
      </c>
      <c r="AA3162">
        <v>0</v>
      </c>
      <c r="AB3162">
        <v>9</v>
      </c>
      <c r="AC3162">
        <v>1</v>
      </c>
      <c r="AD3162">
        <v>1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4</v>
      </c>
      <c r="AL3162">
        <v>3</v>
      </c>
      <c r="AM3162">
        <v>2</v>
      </c>
      <c r="AN3162">
        <v>0</v>
      </c>
      <c r="AT3162">
        <v>0</v>
      </c>
      <c r="AU3162">
        <v>11</v>
      </c>
      <c r="AV3162" t="s">
        <v>100</v>
      </c>
      <c r="AW3162">
        <v>355</v>
      </c>
      <c r="AX3162">
        <v>603</v>
      </c>
      <c r="BA3162">
        <v>1</v>
      </c>
      <c r="BC3162" t="s">
        <v>6427</v>
      </c>
      <c r="BD3162" s="4">
        <v>43283.13958333333</v>
      </c>
      <c r="BE3162" s="4">
        <v>43283.144456018519</v>
      </c>
      <c r="BF3162" s="4">
        <v>43283.144456018519</v>
      </c>
      <c r="BG3162" t="s">
        <v>83</v>
      </c>
      <c r="BH3162" t="s">
        <v>84</v>
      </c>
      <c r="BI3162" t="s">
        <v>85</v>
      </c>
    </row>
    <row r="3163" spans="1:61" x14ac:dyDescent="0.3">
      <c r="A3163" t="str">
        <f>"200780C0200"</f>
        <v>200780C0200</v>
      </c>
      <c r="B3163" t="s">
        <v>6428</v>
      </c>
      <c r="C3163">
        <v>20</v>
      </c>
      <c r="D3163" t="s">
        <v>79</v>
      </c>
      <c r="E3163">
        <v>15</v>
      </c>
      <c r="F3163" t="s">
        <v>6336</v>
      </c>
      <c r="G3163">
        <v>780</v>
      </c>
      <c r="H3163">
        <v>2</v>
      </c>
      <c r="I3163" t="s">
        <v>89</v>
      </c>
      <c r="J3163">
        <v>0</v>
      </c>
      <c r="K3163">
        <v>1</v>
      </c>
      <c r="L3163">
        <v>2</v>
      </c>
      <c r="M3163">
        <v>276</v>
      </c>
      <c r="N3163">
        <v>347</v>
      </c>
      <c r="O3163">
        <v>5</v>
      </c>
      <c r="P3163">
        <v>334</v>
      </c>
      <c r="Q3163">
        <v>22</v>
      </c>
      <c r="R3163">
        <v>20</v>
      </c>
      <c r="S3163">
        <v>5</v>
      </c>
      <c r="T3163">
        <v>7</v>
      </c>
      <c r="U3163">
        <v>21</v>
      </c>
      <c r="V3163">
        <v>6</v>
      </c>
      <c r="W3163">
        <v>2</v>
      </c>
      <c r="X3163">
        <v>4</v>
      </c>
      <c r="Y3163">
        <v>204</v>
      </c>
      <c r="Z3163">
        <v>1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3</v>
      </c>
      <c r="AH3163">
        <v>0</v>
      </c>
      <c r="AI3163">
        <v>0</v>
      </c>
      <c r="AJ3163">
        <v>0</v>
      </c>
      <c r="AK3163">
        <v>0</v>
      </c>
      <c r="AL3163">
        <v>1</v>
      </c>
      <c r="AM3163">
        <v>0</v>
      </c>
      <c r="AN3163">
        <v>0</v>
      </c>
      <c r="AT3163">
        <v>0</v>
      </c>
      <c r="AU3163">
        <v>15</v>
      </c>
      <c r="AV3163">
        <v>342</v>
      </c>
      <c r="AW3163">
        <v>311</v>
      </c>
      <c r="AX3163">
        <v>602</v>
      </c>
      <c r="BA3163">
        <v>1</v>
      </c>
      <c r="BC3163" t="s">
        <v>6429</v>
      </c>
      <c r="BD3163" s="4">
        <v>43283.12777777778</v>
      </c>
      <c r="BE3163" s="4">
        <v>43283.133263888885</v>
      </c>
      <c r="BF3163" s="4">
        <v>43283.133263888885</v>
      </c>
      <c r="BG3163" t="s">
        <v>83</v>
      </c>
      <c r="BH3163" t="s">
        <v>84</v>
      </c>
      <c r="BI3163" t="s">
        <v>85</v>
      </c>
    </row>
    <row r="3164" spans="1:61" x14ac:dyDescent="0.3">
      <c r="A3164" t="str">
        <f>"200780C0300"</f>
        <v>200780C0300</v>
      </c>
      <c r="B3164" t="s">
        <v>6430</v>
      </c>
      <c r="C3164">
        <v>20</v>
      </c>
      <c r="D3164" t="s">
        <v>79</v>
      </c>
      <c r="E3164">
        <v>15</v>
      </c>
      <c r="F3164" t="s">
        <v>6336</v>
      </c>
      <c r="G3164">
        <v>780</v>
      </c>
      <c r="H3164">
        <v>3</v>
      </c>
      <c r="I3164" t="s">
        <v>89</v>
      </c>
      <c r="J3164">
        <v>0</v>
      </c>
      <c r="K3164">
        <v>1</v>
      </c>
      <c r="L3164">
        <v>2</v>
      </c>
      <c r="M3164">
        <v>237</v>
      </c>
      <c r="N3164">
        <v>386</v>
      </c>
      <c r="O3164">
        <v>4</v>
      </c>
      <c r="P3164">
        <v>390</v>
      </c>
      <c r="Q3164">
        <v>24</v>
      </c>
      <c r="R3164">
        <v>27</v>
      </c>
      <c r="S3164">
        <v>15</v>
      </c>
      <c r="T3164">
        <v>4</v>
      </c>
      <c r="U3164">
        <v>18</v>
      </c>
      <c r="V3164">
        <v>1</v>
      </c>
      <c r="W3164">
        <v>15</v>
      </c>
      <c r="X3164">
        <v>2</v>
      </c>
      <c r="Y3164">
        <v>236</v>
      </c>
      <c r="Z3164">
        <v>12</v>
      </c>
      <c r="AA3164">
        <v>1</v>
      </c>
      <c r="AB3164">
        <v>11</v>
      </c>
      <c r="AC3164">
        <v>1</v>
      </c>
      <c r="AD3164">
        <v>1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7</v>
      </c>
      <c r="AL3164">
        <v>4</v>
      </c>
      <c r="AM3164">
        <v>0</v>
      </c>
      <c r="AN3164">
        <v>1</v>
      </c>
      <c r="AT3164">
        <v>0</v>
      </c>
      <c r="AU3164">
        <v>10</v>
      </c>
      <c r="AV3164">
        <v>390</v>
      </c>
      <c r="AW3164">
        <v>390</v>
      </c>
      <c r="AX3164">
        <v>602</v>
      </c>
      <c r="BA3164">
        <v>1</v>
      </c>
      <c r="BC3164" t="s">
        <v>6431</v>
      </c>
      <c r="BD3164" s="4">
        <v>43283.132638888892</v>
      </c>
      <c r="BE3164" s="4">
        <v>43283.136990740742</v>
      </c>
      <c r="BF3164" s="4">
        <v>43283.136990740742</v>
      </c>
      <c r="BG3164" t="s">
        <v>83</v>
      </c>
      <c r="BH3164" t="s">
        <v>84</v>
      </c>
      <c r="BI3164" t="s">
        <v>85</v>
      </c>
    </row>
    <row r="3165" spans="1:61" x14ac:dyDescent="0.3">
      <c r="A3165" t="str">
        <f>"200781B0100"</f>
        <v>200781B0100</v>
      </c>
      <c r="B3165" t="s">
        <v>6432</v>
      </c>
      <c r="C3165">
        <v>20</v>
      </c>
      <c r="D3165" t="s">
        <v>79</v>
      </c>
      <c r="E3165">
        <v>15</v>
      </c>
      <c r="F3165" t="s">
        <v>6336</v>
      </c>
      <c r="G3165">
        <v>781</v>
      </c>
      <c r="H3165">
        <v>1</v>
      </c>
      <c r="I3165" t="s">
        <v>81</v>
      </c>
      <c r="J3165">
        <v>0</v>
      </c>
      <c r="K3165">
        <v>1</v>
      </c>
      <c r="L3165">
        <v>2</v>
      </c>
      <c r="M3165">
        <v>278</v>
      </c>
      <c r="N3165">
        <v>415</v>
      </c>
      <c r="O3165" t="s">
        <v>100</v>
      </c>
      <c r="P3165">
        <v>413</v>
      </c>
      <c r="Q3165">
        <v>22</v>
      </c>
      <c r="R3165">
        <v>28</v>
      </c>
      <c r="S3165">
        <v>12</v>
      </c>
      <c r="T3165">
        <v>4</v>
      </c>
      <c r="U3165">
        <v>15</v>
      </c>
      <c r="V3165">
        <v>9</v>
      </c>
      <c r="W3165">
        <v>8</v>
      </c>
      <c r="X3165">
        <v>3</v>
      </c>
      <c r="Y3165">
        <v>271</v>
      </c>
      <c r="Z3165">
        <v>11</v>
      </c>
      <c r="AA3165">
        <v>1</v>
      </c>
      <c r="AB3165">
        <v>11</v>
      </c>
      <c r="AC3165">
        <v>1</v>
      </c>
      <c r="AD3165">
        <v>0</v>
      </c>
      <c r="AE3165">
        <v>0</v>
      </c>
      <c r="AF3165">
        <v>0</v>
      </c>
      <c r="AG3165">
        <v>0</v>
      </c>
      <c r="AH3165">
        <v>1</v>
      </c>
      <c r="AI3165">
        <v>0</v>
      </c>
      <c r="AJ3165">
        <v>0</v>
      </c>
      <c r="AK3165">
        <v>4</v>
      </c>
      <c r="AL3165">
        <v>1</v>
      </c>
      <c r="AM3165">
        <v>0</v>
      </c>
      <c r="AN3165">
        <v>2</v>
      </c>
      <c r="AT3165">
        <v>0</v>
      </c>
      <c r="AU3165">
        <v>6</v>
      </c>
      <c r="AV3165">
        <v>413</v>
      </c>
      <c r="AW3165">
        <v>410</v>
      </c>
      <c r="AX3165">
        <v>672</v>
      </c>
      <c r="BA3165">
        <v>1</v>
      </c>
      <c r="BC3165" t="s">
        <v>6433</v>
      </c>
      <c r="BD3165" s="4">
        <v>43282.943310185183</v>
      </c>
      <c r="BE3165" s="4">
        <v>43282.948587962965</v>
      </c>
      <c r="BF3165" s="4">
        <v>43282.948587962965</v>
      </c>
      <c r="BG3165" t="s">
        <v>373</v>
      </c>
      <c r="BH3165" t="s">
        <v>374</v>
      </c>
      <c r="BI3165" t="s">
        <v>85</v>
      </c>
    </row>
    <row r="3166" spans="1:61" x14ac:dyDescent="0.3">
      <c r="A3166" t="str">
        <f>"200781C0100"</f>
        <v>200781C0100</v>
      </c>
      <c r="B3166" t="s">
        <v>6434</v>
      </c>
      <c r="C3166">
        <v>20</v>
      </c>
      <c r="D3166" t="s">
        <v>79</v>
      </c>
      <c r="E3166">
        <v>15</v>
      </c>
      <c r="F3166" t="s">
        <v>6336</v>
      </c>
      <c r="G3166">
        <v>781</v>
      </c>
      <c r="H3166">
        <v>1</v>
      </c>
      <c r="I3166" t="s">
        <v>89</v>
      </c>
      <c r="J3166">
        <v>0</v>
      </c>
      <c r="K3166">
        <v>1</v>
      </c>
      <c r="L3166">
        <v>2</v>
      </c>
      <c r="M3166">
        <v>281</v>
      </c>
      <c r="N3166">
        <v>413</v>
      </c>
      <c r="O3166">
        <v>1</v>
      </c>
      <c r="P3166">
        <v>413</v>
      </c>
      <c r="Q3166">
        <v>25</v>
      </c>
      <c r="R3166">
        <v>21</v>
      </c>
      <c r="S3166">
        <v>25</v>
      </c>
      <c r="T3166">
        <v>5</v>
      </c>
      <c r="U3166">
        <v>33</v>
      </c>
      <c r="V3166">
        <v>5</v>
      </c>
      <c r="W3166">
        <v>15</v>
      </c>
      <c r="X3166">
        <v>8</v>
      </c>
      <c r="Y3166">
        <v>230</v>
      </c>
      <c r="Z3166">
        <v>7</v>
      </c>
      <c r="AA3166">
        <v>3</v>
      </c>
      <c r="AB3166">
        <v>5</v>
      </c>
      <c r="AC3166">
        <v>1</v>
      </c>
      <c r="AD3166">
        <v>0</v>
      </c>
      <c r="AE3166">
        <v>0</v>
      </c>
      <c r="AF3166">
        <v>1</v>
      </c>
      <c r="AG3166">
        <v>0</v>
      </c>
      <c r="AH3166">
        <v>0</v>
      </c>
      <c r="AI3166">
        <v>0</v>
      </c>
      <c r="AJ3166">
        <v>0</v>
      </c>
      <c r="AK3166">
        <v>10</v>
      </c>
      <c r="AL3166">
        <v>6</v>
      </c>
      <c r="AM3166">
        <v>0</v>
      </c>
      <c r="AN3166">
        <v>4</v>
      </c>
      <c r="AT3166">
        <v>0</v>
      </c>
      <c r="AU3166">
        <v>9</v>
      </c>
      <c r="AV3166">
        <v>413</v>
      </c>
      <c r="AW3166">
        <v>413</v>
      </c>
      <c r="AX3166">
        <v>672</v>
      </c>
      <c r="BA3166">
        <v>1</v>
      </c>
      <c r="BC3166" t="s">
        <v>6435</v>
      </c>
      <c r="BD3166" s="4">
        <v>43282.893217592595</v>
      </c>
      <c r="BE3166" s="4">
        <v>43282.898495370369</v>
      </c>
      <c r="BF3166" s="4">
        <v>43282.898495370369</v>
      </c>
      <c r="BG3166" t="s">
        <v>373</v>
      </c>
      <c r="BH3166" t="s">
        <v>374</v>
      </c>
      <c r="BI3166" t="s">
        <v>85</v>
      </c>
    </row>
    <row r="3167" spans="1:61" x14ac:dyDescent="0.3">
      <c r="A3167" t="str">
        <f>"200781C0200"</f>
        <v>200781C0200</v>
      </c>
      <c r="B3167" t="s">
        <v>6436</v>
      </c>
      <c r="C3167">
        <v>20</v>
      </c>
      <c r="D3167" t="s">
        <v>79</v>
      </c>
      <c r="E3167">
        <v>15</v>
      </c>
      <c r="F3167" t="s">
        <v>6336</v>
      </c>
      <c r="G3167">
        <v>781</v>
      </c>
      <c r="H3167">
        <v>2</v>
      </c>
      <c r="I3167" t="s">
        <v>89</v>
      </c>
      <c r="J3167">
        <v>0</v>
      </c>
      <c r="K3167">
        <v>1</v>
      </c>
      <c r="L3167">
        <v>2</v>
      </c>
      <c r="M3167">
        <v>259</v>
      </c>
      <c r="N3167">
        <v>434</v>
      </c>
      <c r="O3167">
        <v>0</v>
      </c>
      <c r="P3167">
        <v>431</v>
      </c>
      <c r="Q3167">
        <v>22</v>
      </c>
      <c r="R3167">
        <v>37</v>
      </c>
      <c r="S3167">
        <v>17</v>
      </c>
      <c r="T3167">
        <v>6</v>
      </c>
      <c r="U3167">
        <v>24</v>
      </c>
      <c r="V3167">
        <v>6</v>
      </c>
      <c r="W3167">
        <v>16</v>
      </c>
      <c r="X3167">
        <v>6</v>
      </c>
      <c r="Y3167">
        <v>261</v>
      </c>
      <c r="Z3167">
        <v>4</v>
      </c>
      <c r="AA3167">
        <v>0</v>
      </c>
      <c r="AB3167">
        <v>6</v>
      </c>
      <c r="AC3167">
        <v>1</v>
      </c>
      <c r="AD3167">
        <v>0</v>
      </c>
      <c r="AE3167">
        <v>0</v>
      </c>
      <c r="AF3167">
        <v>0</v>
      </c>
      <c r="AG3167">
        <v>0</v>
      </c>
      <c r="AH3167">
        <v>1</v>
      </c>
      <c r="AI3167">
        <v>0</v>
      </c>
      <c r="AJ3167">
        <v>0</v>
      </c>
      <c r="AK3167">
        <v>5</v>
      </c>
      <c r="AL3167">
        <v>3</v>
      </c>
      <c r="AM3167">
        <v>0</v>
      </c>
      <c r="AN3167">
        <v>2</v>
      </c>
      <c r="AT3167">
        <v>0</v>
      </c>
      <c r="AU3167">
        <v>14</v>
      </c>
      <c r="AV3167">
        <v>431</v>
      </c>
      <c r="AW3167">
        <v>431</v>
      </c>
      <c r="AX3167">
        <v>672</v>
      </c>
      <c r="BA3167">
        <v>1</v>
      </c>
      <c r="BC3167" t="s">
        <v>6437</v>
      </c>
      <c r="BD3167" s="4">
        <v>43283.129166666666</v>
      </c>
      <c r="BE3167" s="4">
        <v>43283.135254629633</v>
      </c>
      <c r="BF3167" s="4">
        <v>43283.135254629633</v>
      </c>
      <c r="BG3167" t="s">
        <v>83</v>
      </c>
      <c r="BH3167" t="s">
        <v>84</v>
      </c>
      <c r="BI3167" t="s">
        <v>85</v>
      </c>
    </row>
    <row r="3168" spans="1:61" x14ac:dyDescent="0.3">
      <c r="A3168" t="str">
        <f>"200781C0300"</f>
        <v>200781C0300</v>
      </c>
      <c r="B3168" t="s">
        <v>6438</v>
      </c>
      <c r="C3168">
        <v>20</v>
      </c>
      <c r="D3168" t="s">
        <v>79</v>
      </c>
      <c r="E3168">
        <v>15</v>
      </c>
      <c r="F3168" t="s">
        <v>6336</v>
      </c>
      <c r="G3168">
        <v>781</v>
      </c>
      <c r="H3168">
        <v>3</v>
      </c>
      <c r="I3168" t="s">
        <v>89</v>
      </c>
      <c r="J3168">
        <v>0</v>
      </c>
      <c r="K3168">
        <v>1</v>
      </c>
      <c r="L3168">
        <v>2</v>
      </c>
      <c r="M3168">
        <v>268</v>
      </c>
      <c r="N3168">
        <v>426</v>
      </c>
      <c r="O3168">
        <v>1</v>
      </c>
      <c r="P3168">
        <v>426</v>
      </c>
      <c r="Q3168">
        <v>19</v>
      </c>
      <c r="R3168">
        <v>38</v>
      </c>
      <c r="S3168">
        <v>25</v>
      </c>
      <c r="T3168">
        <v>5</v>
      </c>
      <c r="U3168">
        <v>29</v>
      </c>
      <c r="V3168">
        <v>7</v>
      </c>
      <c r="W3168">
        <v>16</v>
      </c>
      <c r="X3168">
        <v>5</v>
      </c>
      <c r="Y3168">
        <v>247</v>
      </c>
      <c r="Z3168">
        <v>12</v>
      </c>
      <c r="AA3168">
        <v>2</v>
      </c>
      <c r="AB3168">
        <v>5</v>
      </c>
      <c r="AC3168" t="s">
        <v>100</v>
      </c>
      <c r="AD3168" t="s">
        <v>100</v>
      </c>
      <c r="AE3168" t="s">
        <v>100</v>
      </c>
      <c r="AF3168" t="s">
        <v>100</v>
      </c>
      <c r="AG3168" t="s">
        <v>100</v>
      </c>
      <c r="AH3168" t="s">
        <v>100</v>
      </c>
      <c r="AI3168" t="s">
        <v>100</v>
      </c>
      <c r="AJ3168" t="s">
        <v>100</v>
      </c>
      <c r="AK3168">
        <v>10</v>
      </c>
      <c r="AL3168" t="s">
        <v>100</v>
      </c>
      <c r="AM3168" t="s">
        <v>100</v>
      </c>
      <c r="AN3168" t="s">
        <v>100</v>
      </c>
      <c r="AT3168" t="s">
        <v>100</v>
      </c>
      <c r="AU3168" t="s">
        <v>100</v>
      </c>
      <c r="AV3168" t="s">
        <v>100</v>
      </c>
      <c r="AW3168">
        <v>420</v>
      </c>
      <c r="AX3168">
        <v>672</v>
      </c>
      <c r="AZ3168" t="s">
        <v>101</v>
      </c>
      <c r="BA3168">
        <v>1</v>
      </c>
      <c r="BC3168" t="s">
        <v>6439</v>
      </c>
      <c r="BD3168" s="4">
        <v>43283.135416666664</v>
      </c>
      <c r="BE3168" s="4">
        <v>43283.155266203707</v>
      </c>
      <c r="BF3168" s="4">
        <v>43283.155266203707</v>
      </c>
      <c r="BG3168" t="s">
        <v>83</v>
      </c>
      <c r="BH3168" t="s">
        <v>84</v>
      </c>
      <c r="BI3168" t="s">
        <v>85</v>
      </c>
    </row>
    <row r="3169" spans="1:61" x14ac:dyDescent="0.3">
      <c r="A3169" t="str">
        <f>"200781C0400"</f>
        <v>200781C0400</v>
      </c>
      <c r="B3169" t="s">
        <v>6440</v>
      </c>
      <c r="C3169">
        <v>20</v>
      </c>
      <c r="D3169" t="s">
        <v>79</v>
      </c>
      <c r="E3169">
        <v>15</v>
      </c>
      <c r="F3169" t="s">
        <v>6336</v>
      </c>
      <c r="G3169">
        <v>781</v>
      </c>
      <c r="H3169">
        <v>4</v>
      </c>
      <c r="I3169" t="s">
        <v>89</v>
      </c>
      <c r="J3169">
        <v>0</v>
      </c>
      <c r="K3169">
        <v>1</v>
      </c>
      <c r="L3169">
        <v>2</v>
      </c>
      <c r="M3169">
        <v>318</v>
      </c>
      <c r="N3169">
        <v>375</v>
      </c>
      <c r="O3169">
        <v>1</v>
      </c>
      <c r="P3169">
        <v>374</v>
      </c>
      <c r="Q3169">
        <v>31</v>
      </c>
      <c r="R3169">
        <v>32</v>
      </c>
      <c r="S3169">
        <v>16</v>
      </c>
      <c r="T3169">
        <v>7</v>
      </c>
      <c r="U3169">
        <v>17</v>
      </c>
      <c r="V3169">
        <v>2</v>
      </c>
      <c r="W3169">
        <v>18</v>
      </c>
      <c r="X3169">
        <v>7</v>
      </c>
      <c r="Y3169">
        <v>198</v>
      </c>
      <c r="Z3169">
        <v>5</v>
      </c>
      <c r="AA3169">
        <v>1</v>
      </c>
      <c r="AB3169">
        <v>14</v>
      </c>
      <c r="AC3169">
        <v>0</v>
      </c>
      <c r="AD3169">
        <v>1</v>
      </c>
      <c r="AE3169">
        <v>0</v>
      </c>
      <c r="AF3169">
        <v>0</v>
      </c>
      <c r="AG3169">
        <v>1</v>
      </c>
      <c r="AH3169">
        <v>3</v>
      </c>
      <c r="AI3169">
        <v>0</v>
      </c>
      <c r="AJ3169">
        <v>0</v>
      </c>
      <c r="AK3169">
        <v>7</v>
      </c>
      <c r="AL3169">
        <v>5</v>
      </c>
      <c r="AM3169">
        <v>0</v>
      </c>
      <c r="AN3169">
        <v>2</v>
      </c>
      <c r="AT3169">
        <v>0</v>
      </c>
      <c r="AU3169">
        <v>7</v>
      </c>
      <c r="AV3169">
        <v>374</v>
      </c>
      <c r="AW3169">
        <v>374</v>
      </c>
      <c r="AX3169">
        <v>671</v>
      </c>
      <c r="BA3169">
        <v>1</v>
      </c>
      <c r="BC3169" t="s">
        <v>6441</v>
      </c>
      <c r="BD3169" s="4">
        <v>43282.91988425926</v>
      </c>
      <c r="BE3169" s="4">
        <v>43282.929837962962</v>
      </c>
      <c r="BF3169" s="4">
        <v>43282.929837962962</v>
      </c>
      <c r="BG3169" t="s">
        <v>373</v>
      </c>
      <c r="BH3169" t="s">
        <v>374</v>
      </c>
      <c r="BI3169" t="s">
        <v>85</v>
      </c>
    </row>
    <row r="3170" spans="1:61" x14ac:dyDescent="0.3">
      <c r="A3170" t="str">
        <f>"200781C0500"</f>
        <v>200781C0500</v>
      </c>
      <c r="B3170" t="s">
        <v>6442</v>
      </c>
      <c r="C3170">
        <v>20</v>
      </c>
      <c r="D3170" t="s">
        <v>79</v>
      </c>
      <c r="E3170">
        <v>15</v>
      </c>
      <c r="F3170" t="s">
        <v>6336</v>
      </c>
      <c r="G3170">
        <v>781</v>
      </c>
      <c r="H3170">
        <v>5</v>
      </c>
      <c r="I3170" t="s">
        <v>89</v>
      </c>
      <c r="J3170">
        <v>0</v>
      </c>
      <c r="K3170">
        <v>1</v>
      </c>
      <c r="L3170">
        <v>2</v>
      </c>
      <c r="M3170">
        <v>264</v>
      </c>
      <c r="N3170">
        <v>426</v>
      </c>
      <c r="O3170">
        <v>2</v>
      </c>
      <c r="P3170">
        <v>426</v>
      </c>
      <c r="Q3170">
        <v>21</v>
      </c>
      <c r="R3170">
        <v>35</v>
      </c>
      <c r="S3170">
        <v>16</v>
      </c>
      <c r="T3170">
        <v>11</v>
      </c>
      <c r="U3170">
        <v>14</v>
      </c>
      <c r="V3170">
        <v>6</v>
      </c>
      <c r="W3170">
        <v>13</v>
      </c>
      <c r="X3170">
        <v>8</v>
      </c>
      <c r="Y3170">
        <v>259</v>
      </c>
      <c r="Z3170">
        <v>7</v>
      </c>
      <c r="AA3170">
        <v>2</v>
      </c>
      <c r="AB3170">
        <v>9</v>
      </c>
      <c r="AC3170">
        <v>1</v>
      </c>
      <c r="AD3170">
        <v>0</v>
      </c>
      <c r="AE3170">
        <v>0</v>
      </c>
      <c r="AF3170">
        <v>0</v>
      </c>
      <c r="AG3170">
        <v>1</v>
      </c>
      <c r="AH3170">
        <v>0</v>
      </c>
      <c r="AI3170">
        <v>0</v>
      </c>
      <c r="AJ3170">
        <v>0</v>
      </c>
      <c r="AK3170">
        <v>11</v>
      </c>
      <c r="AL3170">
        <v>4</v>
      </c>
      <c r="AM3170">
        <v>0</v>
      </c>
      <c r="AN3170">
        <v>1</v>
      </c>
      <c r="AT3170">
        <v>0</v>
      </c>
      <c r="AU3170">
        <v>10</v>
      </c>
      <c r="AV3170">
        <v>429</v>
      </c>
      <c r="AW3170">
        <v>429</v>
      </c>
      <c r="AX3170">
        <v>671</v>
      </c>
      <c r="BA3170">
        <v>1</v>
      </c>
      <c r="BC3170" t="s">
        <v>6443</v>
      </c>
      <c r="BD3170" s="4">
        <v>43283.003946759258</v>
      </c>
      <c r="BE3170" s="4">
        <v>43283.007303240738</v>
      </c>
      <c r="BF3170" s="4">
        <v>43283.007303240738</v>
      </c>
      <c r="BG3170" t="s">
        <v>373</v>
      </c>
      <c r="BH3170" t="s">
        <v>374</v>
      </c>
      <c r="BI3170" t="s">
        <v>85</v>
      </c>
    </row>
    <row r="3171" spans="1:61" x14ac:dyDescent="0.3">
      <c r="A3171" t="str">
        <f>"201605B0100"</f>
        <v>201605B0100</v>
      </c>
      <c r="B3171" t="s">
        <v>6444</v>
      </c>
      <c r="C3171">
        <v>20</v>
      </c>
      <c r="D3171" t="s">
        <v>79</v>
      </c>
      <c r="E3171">
        <v>15</v>
      </c>
      <c r="F3171" t="s">
        <v>6336</v>
      </c>
      <c r="G3171">
        <v>1605</v>
      </c>
      <c r="H3171">
        <v>1</v>
      </c>
      <c r="I3171" t="s">
        <v>81</v>
      </c>
      <c r="J3171">
        <v>0</v>
      </c>
      <c r="K3171">
        <v>1</v>
      </c>
      <c r="L3171">
        <v>2</v>
      </c>
      <c r="M3171">
        <v>251</v>
      </c>
      <c r="N3171">
        <v>600</v>
      </c>
      <c r="O3171">
        <v>629</v>
      </c>
      <c r="P3171">
        <v>378</v>
      </c>
      <c r="Q3171">
        <v>30</v>
      </c>
      <c r="R3171">
        <v>31</v>
      </c>
      <c r="S3171">
        <v>30</v>
      </c>
      <c r="T3171">
        <v>12</v>
      </c>
      <c r="U3171">
        <v>14</v>
      </c>
      <c r="V3171">
        <v>3</v>
      </c>
      <c r="W3171">
        <v>49</v>
      </c>
      <c r="X3171">
        <v>9</v>
      </c>
      <c r="Y3171">
        <v>146</v>
      </c>
      <c r="Z3171">
        <v>10</v>
      </c>
      <c r="AA3171">
        <v>4</v>
      </c>
      <c r="AB3171">
        <v>12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1</v>
      </c>
      <c r="AI3171">
        <v>0</v>
      </c>
      <c r="AJ3171">
        <v>0</v>
      </c>
      <c r="AK3171">
        <v>2</v>
      </c>
      <c r="AL3171">
        <v>1</v>
      </c>
      <c r="AM3171">
        <v>0</v>
      </c>
      <c r="AN3171">
        <v>1</v>
      </c>
      <c r="AT3171">
        <v>0</v>
      </c>
      <c r="AU3171">
        <v>23</v>
      </c>
      <c r="AV3171">
        <v>378</v>
      </c>
      <c r="AW3171">
        <v>378</v>
      </c>
      <c r="AX3171">
        <v>607</v>
      </c>
      <c r="BA3171">
        <v>1</v>
      </c>
      <c r="BC3171" t="s">
        <v>6445</v>
      </c>
      <c r="BD3171" s="4">
        <v>43283.584722222222</v>
      </c>
      <c r="BE3171" s="4">
        <v>43283.588726851849</v>
      </c>
      <c r="BF3171" s="4">
        <v>43283.588726851849</v>
      </c>
      <c r="BG3171" t="s">
        <v>83</v>
      </c>
      <c r="BH3171" t="s">
        <v>84</v>
      </c>
      <c r="BI3171" t="s">
        <v>85</v>
      </c>
    </row>
    <row r="3172" spans="1:61" x14ac:dyDescent="0.3">
      <c r="A3172" t="str">
        <f>"201605C0100"</f>
        <v>201605C0100</v>
      </c>
      <c r="B3172" t="s">
        <v>6446</v>
      </c>
      <c r="C3172">
        <v>20</v>
      </c>
      <c r="D3172" t="s">
        <v>79</v>
      </c>
      <c r="E3172">
        <v>15</v>
      </c>
      <c r="F3172" t="s">
        <v>6336</v>
      </c>
      <c r="G3172">
        <v>1605</v>
      </c>
      <c r="H3172">
        <v>1</v>
      </c>
      <c r="I3172" t="s">
        <v>89</v>
      </c>
      <c r="J3172">
        <v>0</v>
      </c>
      <c r="K3172">
        <v>1</v>
      </c>
      <c r="L3172">
        <v>2</v>
      </c>
      <c r="M3172">
        <v>217</v>
      </c>
      <c r="N3172">
        <v>411</v>
      </c>
      <c r="O3172">
        <v>0</v>
      </c>
      <c r="P3172">
        <v>411</v>
      </c>
      <c r="Q3172">
        <v>21</v>
      </c>
      <c r="R3172">
        <v>35</v>
      </c>
      <c r="S3172">
        <v>36</v>
      </c>
      <c r="T3172">
        <v>3</v>
      </c>
      <c r="U3172">
        <v>12</v>
      </c>
      <c r="V3172">
        <v>9</v>
      </c>
      <c r="W3172">
        <v>75</v>
      </c>
      <c r="X3172">
        <v>3</v>
      </c>
      <c r="Y3172">
        <v>177</v>
      </c>
      <c r="Z3172">
        <v>7</v>
      </c>
      <c r="AA3172">
        <v>2</v>
      </c>
      <c r="AB3172">
        <v>4</v>
      </c>
      <c r="AC3172">
        <v>0</v>
      </c>
      <c r="AD3172">
        <v>0</v>
      </c>
      <c r="AE3172">
        <v>0</v>
      </c>
      <c r="AF3172">
        <v>1</v>
      </c>
      <c r="AG3172">
        <v>0</v>
      </c>
      <c r="AH3172">
        <v>1</v>
      </c>
      <c r="AI3172">
        <v>0</v>
      </c>
      <c r="AJ3172">
        <v>0</v>
      </c>
      <c r="AK3172">
        <v>1</v>
      </c>
      <c r="AL3172">
        <v>2</v>
      </c>
      <c r="AM3172">
        <v>0</v>
      </c>
      <c r="AN3172">
        <v>1</v>
      </c>
      <c r="AT3172">
        <v>0</v>
      </c>
      <c r="AU3172">
        <v>0</v>
      </c>
      <c r="AV3172">
        <v>411</v>
      </c>
      <c r="AW3172">
        <v>390</v>
      </c>
      <c r="AX3172">
        <v>607</v>
      </c>
      <c r="BA3172">
        <v>1</v>
      </c>
      <c r="BC3172" t="s">
        <v>6447</v>
      </c>
      <c r="BD3172" s="4">
        <v>43283.051388888889</v>
      </c>
      <c r="BE3172" s="4">
        <v>43283.069571759261</v>
      </c>
      <c r="BF3172" s="4">
        <v>43283.069571759261</v>
      </c>
      <c r="BG3172" t="s">
        <v>83</v>
      </c>
      <c r="BH3172" t="s">
        <v>84</v>
      </c>
      <c r="BI3172" t="s">
        <v>85</v>
      </c>
    </row>
    <row r="3173" spans="1:61" x14ac:dyDescent="0.3">
      <c r="A3173" t="str">
        <f>"201605C0200"</f>
        <v>201605C0200</v>
      </c>
      <c r="B3173" t="s">
        <v>6448</v>
      </c>
      <c r="C3173">
        <v>20</v>
      </c>
      <c r="D3173" t="s">
        <v>79</v>
      </c>
      <c r="E3173">
        <v>15</v>
      </c>
      <c r="F3173" t="s">
        <v>6336</v>
      </c>
      <c r="G3173">
        <v>1605</v>
      </c>
      <c r="H3173">
        <v>2</v>
      </c>
      <c r="I3173" t="s">
        <v>89</v>
      </c>
      <c r="J3173">
        <v>0</v>
      </c>
      <c r="K3173">
        <v>1</v>
      </c>
      <c r="L3173">
        <v>2</v>
      </c>
      <c r="M3173">
        <v>221</v>
      </c>
      <c r="N3173">
        <v>407</v>
      </c>
      <c r="O3173">
        <v>0</v>
      </c>
      <c r="P3173">
        <v>407</v>
      </c>
      <c r="Q3173">
        <v>31</v>
      </c>
      <c r="R3173">
        <v>33</v>
      </c>
      <c r="S3173">
        <v>30</v>
      </c>
      <c r="T3173">
        <v>12</v>
      </c>
      <c r="U3173">
        <v>10</v>
      </c>
      <c r="V3173">
        <v>7</v>
      </c>
      <c r="W3173">
        <v>80</v>
      </c>
      <c r="X3173">
        <v>5</v>
      </c>
      <c r="Y3173">
        <v>149</v>
      </c>
      <c r="Z3173">
        <v>9</v>
      </c>
      <c r="AA3173">
        <v>5</v>
      </c>
      <c r="AB3173">
        <v>13</v>
      </c>
      <c r="AC3173">
        <v>0</v>
      </c>
      <c r="AD3173">
        <v>1</v>
      </c>
      <c r="AE3173">
        <v>0</v>
      </c>
      <c r="AF3173">
        <v>0</v>
      </c>
      <c r="AG3173">
        <v>0</v>
      </c>
      <c r="AH3173">
        <v>2</v>
      </c>
      <c r="AI3173">
        <v>0</v>
      </c>
      <c r="AJ3173">
        <v>0</v>
      </c>
      <c r="AK3173">
        <v>2</v>
      </c>
      <c r="AL3173">
        <v>5</v>
      </c>
      <c r="AM3173">
        <v>0</v>
      </c>
      <c r="AN3173">
        <v>0</v>
      </c>
      <c r="AT3173">
        <v>0</v>
      </c>
      <c r="AU3173">
        <v>13</v>
      </c>
      <c r="AV3173">
        <v>407</v>
      </c>
      <c r="AW3173">
        <v>407</v>
      </c>
      <c r="AX3173">
        <v>606</v>
      </c>
      <c r="BA3173">
        <v>1</v>
      </c>
      <c r="BC3173" t="s">
        <v>6449</v>
      </c>
      <c r="BD3173" s="4">
        <v>43283.054166666669</v>
      </c>
      <c r="BE3173" s="4">
        <v>43283.067245370374</v>
      </c>
      <c r="BF3173" s="4">
        <v>43283.067245370374</v>
      </c>
      <c r="BG3173" t="s">
        <v>83</v>
      </c>
      <c r="BH3173" t="s">
        <v>84</v>
      </c>
      <c r="BI3173" t="s">
        <v>85</v>
      </c>
    </row>
    <row r="3174" spans="1:61" x14ac:dyDescent="0.3">
      <c r="A3174" t="str">
        <f>"201712B0100"</f>
        <v>201712B0100</v>
      </c>
      <c r="B3174" t="s">
        <v>6450</v>
      </c>
      <c r="C3174">
        <v>20</v>
      </c>
      <c r="D3174" t="s">
        <v>79</v>
      </c>
      <c r="E3174">
        <v>15</v>
      </c>
      <c r="F3174" t="s">
        <v>6336</v>
      </c>
      <c r="G3174">
        <v>1712</v>
      </c>
      <c r="H3174">
        <v>1</v>
      </c>
      <c r="I3174" t="s">
        <v>81</v>
      </c>
      <c r="J3174">
        <v>0</v>
      </c>
      <c r="K3174">
        <v>1</v>
      </c>
      <c r="L3174">
        <v>2</v>
      </c>
      <c r="M3174">
        <v>286</v>
      </c>
      <c r="N3174">
        <v>473</v>
      </c>
      <c r="O3174">
        <v>7</v>
      </c>
      <c r="P3174">
        <v>473</v>
      </c>
      <c r="Q3174">
        <v>45</v>
      </c>
      <c r="R3174">
        <v>45</v>
      </c>
      <c r="S3174">
        <v>47</v>
      </c>
      <c r="T3174">
        <v>17</v>
      </c>
      <c r="U3174">
        <v>13</v>
      </c>
      <c r="V3174">
        <v>6</v>
      </c>
      <c r="W3174">
        <v>4</v>
      </c>
      <c r="X3174">
        <v>4</v>
      </c>
      <c r="Y3174">
        <v>243</v>
      </c>
      <c r="Z3174">
        <v>2</v>
      </c>
      <c r="AA3174">
        <v>2</v>
      </c>
      <c r="AB3174">
        <v>6</v>
      </c>
      <c r="AC3174">
        <v>1</v>
      </c>
      <c r="AD3174">
        <v>2</v>
      </c>
      <c r="AE3174">
        <v>0</v>
      </c>
      <c r="AF3174">
        <v>0</v>
      </c>
      <c r="AG3174">
        <v>1</v>
      </c>
      <c r="AH3174">
        <v>0</v>
      </c>
      <c r="AI3174">
        <v>0</v>
      </c>
      <c r="AJ3174">
        <v>0</v>
      </c>
      <c r="AK3174">
        <v>5</v>
      </c>
      <c r="AL3174">
        <v>4</v>
      </c>
      <c r="AM3174">
        <v>0</v>
      </c>
      <c r="AN3174">
        <v>1</v>
      </c>
      <c r="AT3174">
        <v>1</v>
      </c>
      <c r="AU3174">
        <v>17</v>
      </c>
      <c r="AV3174">
        <v>466</v>
      </c>
      <c r="AW3174">
        <v>466</v>
      </c>
      <c r="AX3174">
        <v>733</v>
      </c>
      <c r="BA3174">
        <v>1</v>
      </c>
      <c r="BC3174" t="s">
        <v>6451</v>
      </c>
      <c r="BD3174" s="4">
        <v>43283.157638888886</v>
      </c>
      <c r="BE3174" s="4">
        <v>43283.169733796298</v>
      </c>
      <c r="BF3174" s="4">
        <v>43283.169733796298</v>
      </c>
      <c r="BG3174" t="s">
        <v>83</v>
      </c>
      <c r="BH3174" t="s">
        <v>84</v>
      </c>
      <c r="BI3174" t="s">
        <v>85</v>
      </c>
    </row>
    <row r="3175" spans="1:61" x14ac:dyDescent="0.3">
      <c r="A3175" t="str">
        <f>"201712C0100"</f>
        <v>201712C0100</v>
      </c>
      <c r="B3175" t="s">
        <v>6452</v>
      </c>
      <c r="C3175">
        <v>20</v>
      </c>
      <c r="D3175" t="s">
        <v>79</v>
      </c>
      <c r="E3175">
        <v>15</v>
      </c>
      <c r="F3175" t="s">
        <v>6336</v>
      </c>
      <c r="G3175">
        <v>1712</v>
      </c>
      <c r="H3175">
        <v>1</v>
      </c>
      <c r="I3175" t="s">
        <v>89</v>
      </c>
      <c r="J3175">
        <v>0</v>
      </c>
      <c r="K3175">
        <v>1</v>
      </c>
      <c r="L3175">
        <v>2</v>
      </c>
      <c r="M3175">
        <v>224</v>
      </c>
      <c r="N3175">
        <v>531</v>
      </c>
      <c r="O3175">
        <v>4</v>
      </c>
      <c r="P3175">
        <v>534</v>
      </c>
      <c r="Q3175">
        <v>48</v>
      </c>
      <c r="R3175">
        <v>64</v>
      </c>
      <c r="S3175">
        <v>45</v>
      </c>
      <c r="T3175">
        <v>19</v>
      </c>
      <c r="U3175">
        <v>21</v>
      </c>
      <c r="V3175">
        <v>10</v>
      </c>
      <c r="W3175">
        <v>11</v>
      </c>
      <c r="X3175">
        <v>2</v>
      </c>
      <c r="Y3175">
        <v>270</v>
      </c>
      <c r="Z3175">
        <v>6</v>
      </c>
      <c r="AA3175">
        <v>1</v>
      </c>
      <c r="AB3175">
        <v>12</v>
      </c>
      <c r="AC3175" t="s">
        <v>100</v>
      </c>
      <c r="AD3175">
        <v>1</v>
      </c>
      <c r="AE3175" t="s">
        <v>100</v>
      </c>
      <c r="AF3175" t="s">
        <v>100</v>
      </c>
      <c r="AG3175" t="s">
        <v>100</v>
      </c>
      <c r="AH3175">
        <v>1</v>
      </c>
      <c r="AI3175" t="s">
        <v>100</v>
      </c>
      <c r="AJ3175" t="s">
        <v>100</v>
      </c>
      <c r="AK3175">
        <v>3</v>
      </c>
      <c r="AL3175" t="s">
        <v>100</v>
      </c>
      <c r="AM3175" t="s">
        <v>100</v>
      </c>
      <c r="AN3175">
        <v>3</v>
      </c>
      <c r="AT3175">
        <v>1</v>
      </c>
      <c r="AU3175">
        <v>16</v>
      </c>
      <c r="AV3175">
        <v>534</v>
      </c>
      <c r="AW3175">
        <v>534</v>
      </c>
      <c r="AX3175">
        <v>733</v>
      </c>
      <c r="AZ3175" t="s">
        <v>101</v>
      </c>
      <c r="BA3175">
        <v>1</v>
      </c>
      <c r="BC3175" t="s">
        <v>6453</v>
      </c>
      <c r="BD3175" s="4">
        <v>43283.152083333334</v>
      </c>
      <c r="BE3175" s="4">
        <v>43283.164340277777</v>
      </c>
      <c r="BF3175" s="4">
        <v>43283.164340277777</v>
      </c>
      <c r="BG3175" t="s">
        <v>83</v>
      </c>
      <c r="BH3175" t="s">
        <v>84</v>
      </c>
      <c r="BI3175" t="s">
        <v>85</v>
      </c>
    </row>
    <row r="3176" spans="1:61" x14ac:dyDescent="0.3">
      <c r="A3176" t="str">
        <f>"201713B0100"</f>
        <v>201713B0100</v>
      </c>
      <c r="B3176" t="s">
        <v>6454</v>
      </c>
      <c r="C3176">
        <v>20</v>
      </c>
      <c r="D3176" t="s">
        <v>79</v>
      </c>
      <c r="E3176">
        <v>15</v>
      </c>
      <c r="F3176" t="s">
        <v>6336</v>
      </c>
      <c r="G3176">
        <v>1713</v>
      </c>
      <c r="H3176">
        <v>1</v>
      </c>
      <c r="I3176" t="s">
        <v>81</v>
      </c>
      <c r="J3176">
        <v>0</v>
      </c>
      <c r="K3176">
        <v>1</v>
      </c>
      <c r="L3176">
        <v>2</v>
      </c>
      <c r="M3176">
        <v>171</v>
      </c>
      <c r="N3176">
        <v>434</v>
      </c>
      <c r="O3176">
        <v>4</v>
      </c>
      <c r="P3176">
        <v>434</v>
      </c>
      <c r="Q3176">
        <v>30</v>
      </c>
      <c r="R3176">
        <v>50</v>
      </c>
      <c r="S3176">
        <v>29</v>
      </c>
      <c r="T3176">
        <v>12</v>
      </c>
      <c r="U3176">
        <v>23</v>
      </c>
      <c r="V3176">
        <v>4</v>
      </c>
      <c r="W3176">
        <v>7</v>
      </c>
      <c r="X3176">
        <v>2</v>
      </c>
      <c r="Y3176">
        <v>223</v>
      </c>
      <c r="Z3176">
        <v>7</v>
      </c>
      <c r="AA3176" t="s">
        <v>100</v>
      </c>
      <c r="AB3176">
        <v>10</v>
      </c>
      <c r="AC3176">
        <v>3</v>
      </c>
      <c r="AD3176" t="s">
        <v>100</v>
      </c>
      <c r="AE3176" t="s">
        <v>100</v>
      </c>
      <c r="AF3176" t="s">
        <v>100</v>
      </c>
      <c r="AG3176" t="s">
        <v>100</v>
      </c>
      <c r="AH3176">
        <v>1</v>
      </c>
      <c r="AI3176" t="s">
        <v>100</v>
      </c>
      <c r="AJ3176" t="s">
        <v>100</v>
      </c>
      <c r="AK3176">
        <v>7</v>
      </c>
      <c r="AL3176">
        <v>3</v>
      </c>
      <c r="AM3176">
        <v>3</v>
      </c>
      <c r="AN3176">
        <v>1</v>
      </c>
      <c r="AT3176">
        <v>1</v>
      </c>
      <c r="AU3176">
        <v>22</v>
      </c>
      <c r="AV3176">
        <v>434</v>
      </c>
      <c r="AW3176">
        <v>438</v>
      </c>
      <c r="AX3176">
        <v>584</v>
      </c>
      <c r="AZ3176" t="s">
        <v>101</v>
      </c>
      <c r="BA3176">
        <v>1</v>
      </c>
      <c r="BC3176" t="s">
        <v>6455</v>
      </c>
      <c r="BD3176" s="4">
        <v>43283.298611111109</v>
      </c>
      <c r="BE3176" s="4">
        <v>43283.327037037037</v>
      </c>
      <c r="BF3176" s="4">
        <v>43283.327037037037</v>
      </c>
      <c r="BG3176" t="s">
        <v>83</v>
      </c>
      <c r="BH3176" t="s">
        <v>84</v>
      </c>
      <c r="BI3176" t="s">
        <v>85</v>
      </c>
    </row>
    <row r="3177" spans="1:61" x14ac:dyDescent="0.3">
      <c r="A3177" t="str">
        <f>"201713C0100"</f>
        <v>201713C0100</v>
      </c>
      <c r="B3177" t="s">
        <v>6456</v>
      </c>
      <c r="C3177">
        <v>20</v>
      </c>
      <c r="D3177" t="s">
        <v>79</v>
      </c>
      <c r="E3177">
        <v>15</v>
      </c>
      <c r="F3177" t="s">
        <v>6336</v>
      </c>
      <c r="G3177">
        <v>1713</v>
      </c>
      <c r="H3177">
        <v>1</v>
      </c>
      <c r="I3177" t="s">
        <v>89</v>
      </c>
      <c r="J3177">
        <v>0</v>
      </c>
      <c r="K3177">
        <v>1</v>
      </c>
      <c r="L3177">
        <v>2</v>
      </c>
      <c r="M3177">
        <v>198</v>
      </c>
      <c r="N3177">
        <v>408</v>
      </c>
      <c r="O3177">
        <v>13</v>
      </c>
      <c r="P3177">
        <v>407</v>
      </c>
      <c r="Q3177">
        <v>29</v>
      </c>
      <c r="R3177">
        <v>57</v>
      </c>
      <c r="S3177">
        <v>35</v>
      </c>
      <c r="T3177">
        <v>12</v>
      </c>
      <c r="U3177">
        <v>14</v>
      </c>
      <c r="V3177">
        <v>4</v>
      </c>
      <c r="W3177">
        <v>5</v>
      </c>
      <c r="X3177">
        <v>5</v>
      </c>
      <c r="Y3177">
        <v>207</v>
      </c>
      <c r="Z3177">
        <v>5</v>
      </c>
      <c r="AA3177">
        <v>1</v>
      </c>
      <c r="AB3177">
        <v>13</v>
      </c>
      <c r="AC3177">
        <v>4</v>
      </c>
      <c r="AD3177">
        <v>0</v>
      </c>
      <c r="AE3177">
        <v>0</v>
      </c>
      <c r="AF3177">
        <v>0</v>
      </c>
      <c r="AG3177">
        <v>1</v>
      </c>
      <c r="AH3177">
        <v>0</v>
      </c>
      <c r="AI3177">
        <v>0</v>
      </c>
      <c r="AJ3177">
        <v>0</v>
      </c>
      <c r="AK3177">
        <v>4</v>
      </c>
      <c r="AL3177">
        <v>1</v>
      </c>
      <c r="AM3177">
        <v>0</v>
      </c>
      <c r="AN3177">
        <v>1</v>
      </c>
      <c r="AT3177">
        <v>0</v>
      </c>
      <c r="AU3177">
        <v>9</v>
      </c>
      <c r="AV3177">
        <v>407</v>
      </c>
      <c r="AW3177">
        <v>407</v>
      </c>
      <c r="AX3177">
        <v>584</v>
      </c>
      <c r="BA3177">
        <v>1</v>
      </c>
      <c r="BC3177" t="s">
        <v>6457</v>
      </c>
      <c r="BD3177" s="4">
        <v>43283.294444444444</v>
      </c>
      <c r="BE3177" s="4">
        <v>43283.322314814817</v>
      </c>
      <c r="BF3177" s="4">
        <v>43283.322314814817</v>
      </c>
      <c r="BG3177" t="s">
        <v>83</v>
      </c>
      <c r="BH3177" t="s">
        <v>84</v>
      </c>
      <c r="BI3177" t="s">
        <v>85</v>
      </c>
    </row>
    <row r="3178" spans="1:61" x14ac:dyDescent="0.3">
      <c r="A3178" t="str">
        <f>"201713C0200"</f>
        <v>201713C0200</v>
      </c>
      <c r="B3178" t="s">
        <v>6458</v>
      </c>
      <c r="C3178">
        <v>20</v>
      </c>
      <c r="D3178" t="s">
        <v>79</v>
      </c>
      <c r="E3178">
        <v>15</v>
      </c>
      <c r="F3178" t="s">
        <v>6336</v>
      </c>
      <c r="G3178">
        <v>1713</v>
      </c>
      <c r="H3178">
        <v>2</v>
      </c>
      <c r="I3178" t="s">
        <v>89</v>
      </c>
      <c r="J3178">
        <v>0</v>
      </c>
      <c r="K3178">
        <v>1</v>
      </c>
      <c r="L3178">
        <v>2</v>
      </c>
      <c r="AX3178">
        <v>584</v>
      </c>
      <c r="AZ3178" t="s">
        <v>156</v>
      </c>
      <c r="BA3178">
        <v>0</v>
      </c>
      <c r="BC3178" t="s">
        <v>6459</v>
      </c>
      <c r="BD3178" s="4">
        <v>43283.644444444442</v>
      </c>
      <c r="BE3178" s="4">
        <v>43283.649664351855</v>
      </c>
      <c r="BF3178" s="4">
        <v>43283.649664351855</v>
      </c>
      <c r="BG3178" t="s">
        <v>83</v>
      </c>
      <c r="BH3178" t="s">
        <v>84</v>
      </c>
      <c r="BI3178" t="s">
        <v>85</v>
      </c>
    </row>
    <row r="3179" spans="1:61" x14ac:dyDescent="0.3">
      <c r="A3179" t="str">
        <f>"201714B0100"</f>
        <v>201714B0100</v>
      </c>
      <c r="B3179" t="s">
        <v>6460</v>
      </c>
      <c r="C3179">
        <v>20</v>
      </c>
      <c r="D3179" t="s">
        <v>79</v>
      </c>
      <c r="E3179">
        <v>15</v>
      </c>
      <c r="F3179" t="s">
        <v>6336</v>
      </c>
      <c r="G3179">
        <v>1714</v>
      </c>
      <c r="H3179">
        <v>1</v>
      </c>
      <c r="I3179" t="s">
        <v>81</v>
      </c>
      <c r="J3179">
        <v>0</v>
      </c>
      <c r="K3179">
        <v>1</v>
      </c>
      <c r="L3179">
        <v>2</v>
      </c>
      <c r="M3179">
        <v>197</v>
      </c>
      <c r="N3179">
        <v>345</v>
      </c>
      <c r="O3179">
        <v>4</v>
      </c>
      <c r="P3179">
        <v>344</v>
      </c>
      <c r="Q3179">
        <v>24</v>
      </c>
      <c r="R3179">
        <v>32</v>
      </c>
      <c r="S3179">
        <v>26</v>
      </c>
      <c r="T3179">
        <v>7</v>
      </c>
      <c r="U3179">
        <v>10</v>
      </c>
      <c r="V3179">
        <v>3</v>
      </c>
      <c r="W3179">
        <v>3</v>
      </c>
      <c r="X3179">
        <v>4</v>
      </c>
      <c r="Y3179">
        <v>188</v>
      </c>
      <c r="Z3179">
        <v>5</v>
      </c>
      <c r="AA3179">
        <v>0</v>
      </c>
      <c r="AB3179">
        <v>6</v>
      </c>
      <c r="AC3179">
        <v>1</v>
      </c>
      <c r="AD3179">
        <v>0</v>
      </c>
      <c r="AE3179">
        <v>0</v>
      </c>
      <c r="AF3179">
        <v>0</v>
      </c>
      <c r="AG3179">
        <v>1</v>
      </c>
      <c r="AH3179">
        <v>1</v>
      </c>
      <c r="AI3179">
        <v>0</v>
      </c>
      <c r="AJ3179">
        <v>0</v>
      </c>
      <c r="AK3179">
        <v>4</v>
      </c>
      <c r="AL3179">
        <v>4</v>
      </c>
      <c r="AM3179">
        <v>0</v>
      </c>
      <c r="AN3179">
        <v>1</v>
      </c>
      <c r="AT3179">
        <v>0</v>
      </c>
      <c r="AU3179">
        <v>20</v>
      </c>
      <c r="AV3179">
        <v>344</v>
      </c>
      <c r="AW3179">
        <v>340</v>
      </c>
      <c r="AX3179">
        <v>521</v>
      </c>
      <c r="BA3179">
        <v>1</v>
      </c>
      <c r="BC3179" t="s">
        <v>6461</v>
      </c>
      <c r="BD3179" s="4">
        <v>43283.152083333334</v>
      </c>
      <c r="BE3179" s="4">
        <v>43283.162581018521</v>
      </c>
      <c r="BF3179" s="4">
        <v>43283.162581018521</v>
      </c>
      <c r="BG3179" t="s">
        <v>83</v>
      </c>
      <c r="BH3179" t="s">
        <v>84</v>
      </c>
      <c r="BI3179" t="s">
        <v>85</v>
      </c>
    </row>
    <row r="3180" spans="1:61" x14ac:dyDescent="0.3">
      <c r="A3180" t="str">
        <f>"201714C0100"</f>
        <v>201714C0100</v>
      </c>
      <c r="B3180" t="s">
        <v>6462</v>
      </c>
      <c r="C3180">
        <v>20</v>
      </c>
      <c r="D3180" t="s">
        <v>79</v>
      </c>
      <c r="E3180">
        <v>15</v>
      </c>
      <c r="F3180" t="s">
        <v>6336</v>
      </c>
      <c r="G3180">
        <v>1714</v>
      </c>
      <c r="H3180">
        <v>1</v>
      </c>
      <c r="I3180" t="s">
        <v>89</v>
      </c>
      <c r="J3180">
        <v>0</v>
      </c>
      <c r="K3180">
        <v>1</v>
      </c>
      <c r="L3180">
        <v>2</v>
      </c>
      <c r="M3180">
        <v>178</v>
      </c>
      <c r="N3180">
        <v>363</v>
      </c>
      <c r="O3180">
        <v>3</v>
      </c>
      <c r="P3180">
        <v>367</v>
      </c>
      <c r="Q3180">
        <v>20</v>
      </c>
      <c r="R3180">
        <v>43</v>
      </c>
      <c r="S3180">
        <v>36</v>
      </c>
      <c r="T3180">
        <v>8</v>
      </c>
      <c r="U3180">
        <v>14</v>
      </c>
      <c r="V3180">
        <v>6</v>
      </c>
      <c r="W3180">
        <v>5</v>
      </c>
      <c r="X3180">
        <v>1</v>
      </c>
      <c r="Y3180">
        <v>197</v>
      </c>
      <c r="Z3180">
        <v>4</v>
      </c>
      <c r="AA3180">
        <v>1</v>
      </c>
      <c r="AB3180">
        <v>11</v>
      </c>
      <c r="AC3180">
        <v>0</v>
      </c>
      <c r="AD3180">
        <v>0</v>
      </c>
      <c r="AE3180">
        <v>1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5</v>
      </c>
      <c r="AL3180">
        <v>2</v>
      </c>
      <c r="AM3180">
        <v>2</v>
      </c>
      <c r="AN3180">
        <v>0</v>
      </c>
      <c r="AT3180">
        <v>0</v>
      </c>
      <c r="AU3180">
        <v>11</v>
      </c>
      <c r="AV3180">
        <v>367</v>
      </c>
      <c r="AW3180">
        <v>367</v>
      </c>
      <c r="AX3180">
        <v>520</v>
      </c>
      <c r="BA3180">
        <v>1</v>
      </c>
      <c r="BC3180" t="s">
        <v>6463</v>
      </c>
      <c r="BD3180" s="4">
        <v>43283.152777777781</v>
      </c>
      <c r="BE3180" s="4">
        <v>43283.163807870369</v>
      </c>
      <c r="BF3180" s="4">
        <v>43283.163807870369</v>
      </c>
      <c r="BG3180" t="s">
        <v>83</v>
      </c>
      <c r="BH3180" t="s">
        <v>84</v>
      </c>
      <c r="BI3180" t="s">
        <v>85</v>
      </c>
    </row>
    <row r="3181" spans="1:61" x14ac:dyDescent="0.3">
      <c r="A3181" t="str">
        <f>"201714C0200"</f>
        <v>201714C0200</v>
      </c>
      <c r="B3181" t="s">
        <v>6464</v>
      </c>
      <c r="C3181">
        <v>20</v>
      </c>
      <c r="D3181" t="s">
        <v>79</v>
      </c>
      <c r="E3181">
        <v>15</v>
      </c>
      <c r="F3181" t="s">
        <v>6336</v>
      </c>
      <c r="G3181">
        <v>1714</v>
      </c>
      <c r="H3181">
        <v>2</v>
      </c>
      <c r="I3181" t="s">
        <v>89</v>
      </c>
      <c r="J3181">
        <v>0</v>
      </c>
      <c r="K3181">
        <v>1</v>
      </c>
      <c r="L3181">
        <v>2</v>
      </c>
      <c r="M3181">
        <v>179</v>
      </c>
      <c r="N3181">
        <v>363</v>
      </c>
      <c r="O3181">
        <v>7</v>
      </c>
      <c r="P3181">
        <v>363</v>
      </c>
      <c r="Q3181">
        <v>30</v>
      </c>
      <c r="R3181">
        <v>48</v>
      </c>
      <c r="S3181">
        <v>35</v>
      </c>
      <c r="T3181">
        <v>5</v>
      </c>
      <c r="U3181">
        <v>20</v>
      </c>
      <c r="V3181">
        <v>3</v>
      </c>
      <c r="W3181">
        <v>8</v>
      </c>
      <c r="X3181">
        <v>2</v>
      </c>
      <c r="Y3181">
        <v>190</v>
      </c>
      <c r="Z3181">
        <v>4</v>
      </c>
      <c r="AA3181">
        <v>0</v>
      </c>
      <c r="AB3181">
        <v>7</v>
      </c>
      <c r="AC3181">
        <v>0</v>
      </c>
      <c r="AD3181">
        <v>1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1</v>
      </c>
      <c r="AL3181">
        <v>2</v>
      </c>
      <c r="AM3181">
        <v>0</v>
      </c>
      <c r="AN3181">
        <v>0</v>
      </c>
      <c r="AT3181">
        <v>0</v>
      </c>
      <c r="AU3181">
        <v>7</v>
      </c>
      <c r="AV3181">
        <v>363</v>
      </c>
      <c r="AW3181">
        <v>363</v>
      </c>
      <c r="AX3181">
        <v>520</v>
      </c>
      <c r="BA3181">
        <v>1</v>
      </c>
      <c r="BC3181" t="s">
        <v>6465</v>
      </c>
      <c r="BD3181" s="4">
        <v>43283.156944444447</v>
      </c>
      <c r="BE3181" s="4">
        <v>43283.169675925928</v>
      </c>
      <c r="BF3181" s="4">
        <v>43283.169675925928</v>
      </c>
      <c r="BG3181" t="s">
        <v>83</v>
      </c>
      <c r="BH3181" t="s">
        <v>84</v>
      </c>
      <c r="BI3181" t="s">
        <v>85</v>
      </c>
    </row>
    <row r="3182" spans="1:61" x14ac:dyDescent="0.3">
      <c r="A3182" t="str">
        <f>"201715B0100"</f>
        <v>201715B0100</v>
      </c>
      <c r="B3182" t="s">
        <v>6466</v>
      </c>
      <c r="C3182">
        <v>20</v>
      </c>
      <c r="D3182" t="s">
        <v>79</v>
      </c>
      <c r="E3182">
        <v>15</v>
      </c>
      <c r="F3182" t="s">
        <v>6336</v>
      </c>
      <c r="G3182">
        <v>1715</v>
      </c>
      <c r="H3182">
        <v>1</v>
      </c>
      <c r="I3182" t="s">
        <v>81</v>
      </c>
      <c r="J3182">
        <v>0</v>
      </c>
      <c r="K3182">
        <v>1</v>
      </c>
      <c r="L3182">
        <v>2</v>
      </c>
      <c r="M3182">
        <v>238</v>
      </c>
      <c r="N3182">
        <v>530</v>
      </c>
      <c r="O3182">
        <v>0</v>
      </c>
      <c r="P3182">
        <v>533</v>
      </c>
      <c r="Q3182">
        <v>35</v>
      </c>
      <c r="R3182">
        <v>70</v>
      </c>
      <c r="S3182">
        <v>80</v>
      </c>
      <c r="T3182">
        <v>9</v>
      </c>
      <c r="U3182">
        <v>16</v>
      </c>
      <c r="V3182">
        <v>10</v>
      </c>
      <c r="W3182">
        <v>6</v>
      </c>
      <c r="X3182">
        <v>19</v>
      </c>
      <c r="Y3182">
        <v>220</v>
      </c>
      <c r="Z3182">
        <v>5</v>
      </c>
      <c r="AA3182">
        <v>2</v>
      </c>
      <c r="AB3182">
        <v>17</v>
      </c>
      <c r="AC3182">
        <v>2</v>
      </c>
      <c r="AD3182">
        <v>0</v>
      </c>
      <c r="AE3182">
        <v>0</v>
      </c>
      <c r="AF3182">
        <v>0</v>
      </c>
      <c r="AG3182">
        <v>0</v>
      </c>
      <c r="AH3182">
        <v>1</v>
      </c>
      <c r="AI3182">
        <v>0</v>
      </c>
      <c r="AJ3182">
        <v>0</v>
      </c>
      <c r="AK3182">
        <v>4</v>
      </c>
      <c r="AL3182">
        <v>2</v>
      </c>
      <c r="AM3182">
        <v>0</v>
      </c>
      <c r="AN3182">
        <v>2</v>
      </c>
      <c r="AT3182">
        <v>0</v>
      </c>
      <c r="AU3182">
        <v>33</v>
      </c>
      <c r="AV3182">
        <v>533</v>
      </c>
      <c r="AW3182">
        <v>533</v>
      </c>
      <c r="AX3182">
        <v>747</v>
      </c>
      <c r="BA3182">
        <v>1</v>
      </c>
      <c r="BC3182" t="s">
        <v>6467</v>
      </c>
      <c r="BD3182" s="4">
        <v>43283.111111111109</v>
      </c>
      <c r="BE3182" s="4">
        <v>43283.1172337963</v>
      </c>
      <c r="BF3182" s="4">
        <v>43283.1172337963</v>
      </c>
      <c r="BG3182" t="s">
        <v>83</v>
      </c>
      <c r="BH3182" t="s">
        <v>84</v>
      </c>
      <c r="BI3182" t="s">
        <v>85</v>
      </c>
    </row>
    <row r="3183" spans="1:61" x14ac:dyDescent="0.3">
      <c r="A3183" t="str">
        <f>"201715C0100"</f>
        <v>201715C0100</v>
      </c>
      <c r="B3183" t="s">
        <v>6468</v>
      </c>
      <c r="C3183">
        <v>20</v>
      </c>
      <c r="D3183" t="s">
        <v>79</v>
      </c>
      <c r="E3183">
        <v>15</v>
      </c>
      <c r="F3183" t="s">
        <v>6336</v>
      </c>
      <c r="G3183">
        <v>1715</v>
      </c>
      <c r="H3183">
        <v>1</v>
      </c>
      <c r="I3183" t="s">
        <v>89</v>
      </c>
      <c r="J3183">
        <v>0</v>
      </c>
      <c r="K3183">
        <v>1</v>
      </c>
      <c r="L3183">
        <v>2</v>
      </c>
      <c r="M3183">
        <v>238</v>
      </c>
      <c r="N3183">
        <v>531</v>
      </c>
      <c r="O3183">
        <v>3</v>
      </c>
      <c r="P3183">
        <v>528</v>
      </c>
      <c r="Q3183">
        <v>41</v>
      </c>
      <c r="R3183">
        <v>46</v>
      </c>
      <c r="S3183">
        <v>77</v>
      </c>
      <c r="T3183">
        <v>9</v>
      </c>
      <c r="U3183">
        <v>17</v>
      </c>
      <c r="V3183">
        <v>8</v>
      </c>
      <c r="W3183">
        <v>10</v>
      </c>
      <c r="X3183">
        <v>5</v>
      </c>
      <c r="Y3183">
        <v>261</v>
      </c>
      <c r="Z3183">
        <v>9</v>
      </c>
      <c r="AA3183">
        <v>3</v>
      </c>
      <c r="AB3183">
        <v>11</v>
      </c>
      <c r="AC3183">
        <v>1</v>
      </c>
      <c r="AD3183">
        <v>2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8</v>
      </c>
      <c r="AL3183">
        <v>1</v>
      </c>
      <c r="AM3183">
        <v>0</v>
      </c>
      <c r="AN3183">
        <v>0</v>
      </c>
      <c r="AT3183">
        <v>0</v>
      </c>
      <c r="AU3183">
        <v>19</v>
      </c>
      <c r="AV3183">
        <v>528</v>
      </c>
      <c r="AW3183">
        <v>528</v>
      </c>
      <c r="AX3183">
        <v>747</v>
      </c>
      <c r="BA3183">
        <v>1</v>
      </c>
      <c r="BC3183" t="s">
        <v>6469</v>
      </c>
      <c r="BD3183" s="4">
        <v>43283.102777777778</v>
      </c>
      <c r="BE3183" s="4">
        <v>43283.106099537035</v>
      </c>
      <c r="BF3183" s="4">
        <v>43283.106099537035</v>
      </c>
      <c r="BG3183" t="s">
        <v>83</v>
      </c>
      <c r="BH3183" t="s">
        <v>84</v>
      </c>
      <c r="BI3183" t="s">
        <v>85</v>
      </c>
    </row>
    <row r="3184" spans="1:61" x14ac:dyDescent="0.3">
      <c r="A3184" t="str">
        <f>"201715C0200"</f>
        <v>201715C0200</v>
      </c>
      <c r="B3184" t="s">
        <v>6470</v>
      </c>
      <c r="C3184">
        <v>20</v>
      </c>
      <c r="D3184" t="s">
        <v>79</v>
      </c>
      <c r="E3184">
        <v>15</v>
      </c>
      <c r="F3184" t="s">
        <v>6336</v>
      </c>
      <c r="G3184">
        <v>1715</v>
      </c>
      <c r="H3184">
        <v>2</v>
      </c>
      <c r="I3184" t="s">
        <v>89</v>
      </c>
      <c r="J3184">
        <v>0</v>
      </c>
      <c r="K3184">
        <v>1</v>
      </c>
      <c r="L3184">
        <v>2</v>
      </c>
      <c r="M3184">
        <v>234</v>
      </c>
      <c r="N3184">
        <v>535</v>
      </c>
      <c r="O3184">
        <v>5</v>
      </c>
      <c r="P3184">
        <v>7</v>
      </c>
      <c r="Q3184">
        <v>29</v>
      </c>
      <c r="R3184">
        <v>56</v>
      </c>
      <c r="S3184">
        <v>66</v>
      </c>
      <c r="T3184">
        <v>8</v>
      </c>
      <c r="U3184">
        <v>22</v>
      </c>
      <c r="V3184">
        <v>6</v>
      </c>
      <c r="W3184">
        <v>6</v>
      </c>
      <c r="X3184">
        <v>7</v>
      </c>
      <c r="Y3184">
        <v>280</v>
      </c>
      <c r="Z3184">
        <v>7</v>
      </c>
      <c r="AA3184">
        <v>5</v>
      </c>
      <c r="AB3184">
        <v>18</v>
      </c>
      <c r="AC3184">
        <v>0</v>
      </c>
      <c r="AD3184">
        <v>0</v>
      </c>
      <c r="AE3184">
        <v>0</v>
      </c>
      <c r="AF3184">
        <v>0</v>
      </c>
      <c r="AG3184">
        <v>2</v>
      </c>
      <c r="AH3184">
        <v>1</v>
      </c>
      <c r="AI3184">
        <v>0</v>
      </c>
      <c r="AJ3184">
        <v>0</v>
      </c>
      <c r="AK3184">
        <v>7</v>
      </c>
      <c r="AL3184">
        <v>1</v>
      </c>
      <c r="AM3184">
        <v>0</v>
      </c>
      <c r="AN3184">
        <v>1</v>
      </c>
      <c r="AT3184">
        <v>1</v>
      </c>
      <c r="AU3184">
        <v>14</v>
      </c>
      <c r="AV3184">
        <v>537</v>
      </c>
      <c r="AW3184">
        <v>537</v>
      </c>
      <c r="AX3184">
        <v>747</v>
      </c>
      <c r="BA3184">
        <v>1</v>
      </c>
      <c r="BC3184" t="s">
        <v>6471</v>
      </c>
      <c r="BD3184" s="4">
        <v>43283.106944444444</v>
      </c>
      <c r="BE3184" s="4">
        <v>43283.110995370371</v>
      </c>
      <c r="BF3184" s="4">
        <v>43283.110995370371</v>
      </c>
      <c r="BG3184" t="s">
        <v>83</v>
      </c>
      <c r="BH3184" t="s">
        <v>84</v>
      </c>
      <c r="BI3184" t="s">
        <v>85</v>
      </c>
    </row>
    <row r="3185" spans="1:61" x14ac:dyDescent="0.3">
      <c r="A3185" t="str">
        <f>"201716B0100"</f>
        <v>201716B0100</v>
      </c>
      <c r="B3185" t="s">
        <v>6472</v>
      </c>
      <c r="C3185">
        <v>20</v>
      </c>
      <c r="D3185" t="s">
        <v>79</v>
      </c>
      <c r="E3185">
        <v>15</v>
      </c>
      <c r="F3185" t="s">
        <v>6336</v>
      </c>
      <c r="G3185">
        <v>1716</v>
      </c>
      <c r="H3185">
        <v>1</v>
      </c>
      <c r="I3185" t="s">
        <v>81</v>
      </c>
      <c r="J3185">
        <v>0</v>
      </c>
      <c r="K3185">
        <v>1</v>
      </c>
      <c r="L3185">
        <v>2</v>
      </c>
      <c r="M3185">
        <v>237</v>
      </c>
      <c r="N3185">
        <v>493</v>
      </c>
      <c r="O3185">
        <v>4</v>
      </c>
      <c r="P3185">
        <v>0</v>
      </c>
      <c r="Q3185">
        <v>26</v>
      </c>
      <c r="R3185">
        <v>36</v>
      </c>
      <c r="S3185">
        <v>74</v>
      </c>
      <c r="T3185">
        <v>8</v>
      </c>
      <c r="U3185">
        <v>17</v>
      </c>
      <c r="V3185">
        <v>9</v>
      </c>
      <c r="W3185">
        <v>14</v>
      </c>
      <c r="X3185">
        <v>5</v>
      </c>
      <c r="Y3185">
        <v>245</v>
      </c>
      <c r="Z3185">
        <v>6</v>
      </c>
      <c r="AA3185">
        <v>2</v>
      </c>
      <c r="AB3185">
        <v>11</v>
      </c>
      <c r="AC3185">
        <v>1</v>
      </c>
      <c r="AD3185">
        <v>1</v>
      </c>
      <c r="AE3185" t="s">
        <v>315</v>
      </c>
      <c r="AF3185">
        <v>1</v>
      </c>
      <c r="AG3185">
        <v>0</v>
      </c>
      <c r="AH3185">
        <v>2</v>
      </c>
      <c r="AI3185">
        <v>0</v>
      </c>
      <c r="AJ3185">
        <v>0</v>
      </c>
      <c r="AK3185">
        <v>4</v>
      </c>
      <c r="AL3185">
        <v>4</v>
      </c>
      <c r="AM3185">
        <v>0</v>
      </c>
      <c r="AN3185">
        <v>0</v>
      </c>
      <c r="AT3185">
        <v>0</v>
      </c>
      <c r="AU3185">
        <v>24</v>
      </c>
      <c r="AV3185">
        <v>490</v>
      </c>
      <c r="AW3185">
        <v>490</v>
      </c>
      <c r="AX3185">
        <v>709</v>
      </c>
      <c r="AZ3185" t="s">
        <v>101</v>
      </c>
      <c r="BA3185">
        <v>1</v>
      </c>
      <c r="BC3185" t="s">
        <v>6473</v>
      </c>
      <c r="BD3185" s="4">
        <v>43282.948946759258</v>
      </c>
      <c r="BE3185" s="4">
        <v>43282.956134259257</v>
      </c>
      <c r="BF3185" s="4">
        <v>43282.956134259257</v>
      </c>
      <c r="BG3185" t="s">
        <v>373</v>
      </c>
      <c r="BH3185" t="s">
        <v>374</v>
      </c>
      <c r="BI3185" t="s">
        <v>85</v>
      </c>
    </row>
    <row r="3186" spans="1:61" x14ac:dyDescent="0.3">
      <c r="A3186" t="str">
        <f>"201716C0100"</f>
        <v>201716C0100</v>
      </c>
      <c r="B3186" t="s">
        <v>6474</v>
      </c>
      <c r="C3186">
        <v>20</v>
      </c>
      <c r="D3186" t="s">
        <v>79</v>
      </c>
      <c r="E3186">
        <v>15</v>
      </c>
      <c r="F3186" t="s">
        <v>6336</v>
      </c>
      <c r="G3186">
        <v>1716</v>
      </c>
      <c r="H3186">
        <v>1</v>
      </c>
      <c r="I3186" t="s">
        <v>89</v>
      </c>
      <c r="J3186">
        <v>0</v>
      </c>
      <c r="K3186">
        <v>1</v>
      </c>
      <c r="L3186">
        <v>2</v>
      </c>
      <c r="M3186">
        <v>225</v>
      </c>
      <c r="N3186" t="s">
        <v>100</v>
      </c>
      <c r="O3186">
        <v>3</v>
      </c>
      <c r="P3186">
        <v>508</v>
      </c>
      <c r="Q3186">
        <v>27</v>
      </c>
      <c r="R3186">
        <v>47</v>
      </c>
      <c r="S3186">
        <v>78</v>
      </c>
      <c r="T3186">
        <v>18</v>
      </c>
      <c r="U3186">
        <v>28</v>
      </c>
      <c r="V3186">
        <v>8</v>
      </c>
      <c r="W3186">
        <v>11</v>
      </c>
      <c r="X3186">
        <v>4</v>
      </c>
      <c r="Y3186">
        <v>231</v>
      </c>
      <c r="Z3186">
        <v>12</v>
      </c>
      <c r="AA3186">
        <v>1</v>
      </c>
      <c r="AB3186">
        <v>19</v>
      </c>
      <c r="AC3186">
        <v>1</v>
      </c>
      <c r="AD3186">
        <v>4</v>
      </c>
      <c r="AE3186">
        <v>0</v>
      </c>
      <c r="AF3186">
        <v>0</v>
      </c>
      <c r="AG3186">
        <v>0</v>
      </c>
      <c r="AH3186">
        <v>0</v>
      </c>
      <c r="AI3186">
        <v>1</v>
      </c>
      <c r="AJ3186">
        <v>0</v>
      </c>
      <c r="AK3186">
        <v>2</v>
      </c>
      <c r="AL3186">
        <v>4</v>
      </c>
      <c r="AM3186">
        <v>0</v>
      </c>
      <c r="AN3186">
        <v>1</v>
      </c>
      <c r="AT3186">
        <v>0</v>
      </c>
      <c r="AU3186">
        <v>11</v>
      </c>
      <c r="AV3186">
        <v>508</v>
      </c>
      <c r="AW3186">
        <v>508</v>
      </c>
      <c r="AX3186">
        <v>709</v>
      </c>
      <c r="BA3186">
        <v>1</v>
      </c>
      <c r="BC3186" t="s">
        <v>6475</v>
      </c>
      <c r="BD3186" s="4">
        <v>43283.173611111109</v>
      </c>
      <c r="BE3186" s="4">
        <v>43283.189317129632</v>
      </c>
      <c r="BF3186" s="4">
        <v>43283.189317129632</v>
      </c>
      <c r="BG3186" t="s">
        <v>83</v>
      </c>
      <c r="BH3186" t="s">
        <v>84</v>
      </c>
      <c r="BI3186" t="s">
        <v>85</v>
      </c>
    </row>
    <row r="3187" spans="1:61" x14ac:dyDescent="0.3">
      <c r="A3187" t="str">
        <f>"201716C0200"</f>
        <v>201716C0200</v>
      </c>
      <c r="B3187" t="s">
        <v>6476</v>
      </c>
      <c r="C3187">
        <v>20</v>
      </c>
      <c r="D3187" t="s">
        <v>79</v>
      </c>
      <c r="E3187">
        <v>15</v>
      </c>
      <c r="F3187" t="s">
        <v>6336</v>
      </c>
      <c r="G3187">
        <v>1716</v>
      </c>
      <c r="H3187">
        <v>2</v>
      </c>
      <c r="I3187" t="s">
        <v>89</v>
      </c>
      <c r="J3187">
        <v>0</v>
      </c>
      <c r="K3187">
        <v>1</v>
      </c>
      <c r="L3187">
        <v>2</v>
      </c>
      <c r="M3187">
        <v>232</v>
      </c>
      <c r="N3187">
        <v>500</v>
      </c>
      <c r="O3187">
        <v>5</v>
      </c>
      <c r="P3187">
        <v>498</v>
      </c>
      <c r="Q3187">
        <v>26</v>
      </c>
      <c r="R3187">
        <v>43</v>
      </c>
      <c r="S3187">
        <v>88</v>
      </c>
      <c r="T3187">
        <v>8</v>
      </c>
      <c r="U3187">
        <v>21</v>
      </c>
      <c r="V3187">
        <v>10</v>
      </c>
      <c r="W3187">
        <v>13</v>
      </c>
      <c r="X3187">
        <v>12</v>
      </c>
      <c r="Y3187">
        <v>213</v>
      </c>
      <c r="Z3187">
        <v>10</v>
      </c>
      <c r="AA3187">
        <v>1</v>
      </c>
      <c r="AB3187">
        <v>13</v>
      </c>
      <c r="AC3187">
        <v>3</v>
      </c>
      <c r="AD3187">
        <v>4</v>
      </c>
      <c r="AE3187">
        <v>0</v>
      </c>
      <c r="AF3187">
        <v>0</v>
      </c>
      <c r="AG3187">
        <v>0</v>
      </c>
      <c r="AH3187">
        <v>1</v>
      </c>
      <c r="AI3187">
        <v>0</v>
      </c>
      <c r="AJ3187">
        <v>0</v>
      </c>
      <c r="AK3187">
        <v>4</v>
      </c>
      <c r="AL3187">
        <v>0</v>
      </c>
      <c r="AM3187">
        <v>0</v>
      </c>
      <c r="AN3187">
        <v>1</v>
      </c>
      <c r="AT3187">
        <v>0</v>
      </c>
      <c r="AU3187">
        <v>27</v>
      </c>
      <c r="AV3187">
        <v>498</v>
      </c>
      <c r="AW3187">
        <v>498</v>
      </c>
      <c r="AX3187">
        <v>709</v>
      </c>
      <c r="BA3187">
        <v>1</v>
      </c>
      <c r="BC3187" t="s">
        <v>6477</v>
      </c>
      <c r="BD3187" s="4">
        <v>43283.112500000003</v>
      </c>
      <c r="BE3187" s="4">
        <v>43283.117534722223</v>
      </c>
      <c r="BF3187" s="4">
        <v>43283.117534722223</v>
      </c>
      <c r="BG3187" t="s">
        <v>83</v>
      </c>
      <c r="BH3187" t="s">
        <v>84</v>
      </c>
      <c r="BI3187" t="s">
        <v>85</v>
      </c>
    </row>
    <row r="3188" spans="1:61" x14ac:dyDescent="0.3">
      <c r="A3188" t="str">
        <f>"201717B0100"</f>
        <v>201717B0100</v>
      </c>
      <c r="B3188" t="s">
        <v>6478</v>
      </c>
      <c r="C3188">
        <v>20</v>
      </c>
      <c r="D3188" t="s">
        <v>79</v>
      </c>
      <c r="E3188">
        <v>15</v>
      </c>
      <c r="F3188" t="s">
        <v>6336</v>
      </c>
      <c r="G3188">
        <v>1717</v>
      </c>
      <c r="H3188">
        <v>1</v>
      </c>
      <c r="I3188" t="s">
        <v>81</v>
      </c>
      <c r="J3188">
        <v>0</v>
      </c>
      <c r="K3188">
        <v>1</v>
      </c>
      <c r="L3188">
        <v>2</v>
      </c>
      <c r="M3188">
        <v>165</v>
      </c>
      <c r="N3188">
        <v>444</v>
      </c>
      <c r="O3188">
        <v>6</v>
      </c>
      <c r="P3188">
        <v>438</v>
      </c>
      <c r="Q3188">
        <v>22</v>
      </c>
      <c r="R3188">
        <v>31</v>
      </c>
      <c r="S3188">
        <v>93</v>
      </c>
      <c r="T3188">
        <v>19</v>
      </c>
      <c r="U3188">
        <v>15</v>
      </c>
      <c r="V3188">
        <v>6</v>
      </c>
      <c r="W3188">
        <v>9</v>
      </c>
      <c r="X3188">
        <v>1</v>
      </c>
      <c r="Y3188">
        <v>200</v>
      </c>
      <c r="Z3188">
        <v>4</v>
      </c>
      <c r="AA3188">
        <v>5</v>
      </c>
      <c r="AB3188">
        <v>8</v>
      </c>
      <c r="AC3188">
        <v>2</v>
      </c>
      <c r="AD3188">
        <v>1</v>
      </c>
      <c r="AE3188">
        <v>1</v>
      </c>
      <c r="AF3188">
        <v>1</v>
      </c>
      <c r="AG3188">
        <v>0</v>
      </c>
      <c r="AH3188">
        <v>0</v>
      </c>
      <c r="AI3188">
        <v>0</v>
      </c>
      <c r="AJ3188">
        <v>0</v>
      </c>
      <c r="AK3188">
        <v>1</v>
      </c>
      <c r="AL3188">
        <v>2</v>
      </c>
      <c r="AM3188">
        <v>0</v>
      </c>
      <c r="AN3188">
        <v>1</v>
      </c>
      <c r="AT3188" t="s">
        <v>100</v>
      </c>
      <c r="AU3188">
        <v>16</v>
      </c>
      <c r="AV3188">
        <v>438</v>
      </c>
      <c r="AW3188">
        <v>438</v>
      </c>
      <c r="AX3188">
        <v>589</v>
      </c>
      <c r="AZ3188" t="s">
        <v>101</v>
      </c>
      <c r="BA3188">
        <v>1</v>
      </c>
      <c r="BC3188" t="s">
        <v>6479</v>
      </c>
      <c r="BD3188" s="4">
        <v>43283.123611111114</v>
      </c>
      <c r="BE3188" s="4">
        <v>43283.128703703704</v>
      </c>
      <c r="BF3188" s="4">
        <v>43283.128703703704</v>
      </c>
      <c r="BG3188" t="s">
        <v>83</v>
      </c>
      <c r="BH3188" t="s">
        <v>84</v>
      </c>
      <c r="BI3188" t="s">
        <v>85</v>
      </c>
    </row>
    <row r="3189" spans="1:61" x14ac:dyDescent="0.3">
      <c r="A3189" t="str">
        <f>"201717C0100"</f>
        <v>201717C0100</v>
      </c>
      <c r="B3189" t="s">
        <v>6480</v>
      </c>
      <c r="C3189">
        <v>20</v>
      </c>
      <c r="D3189" t="s">
        <v>79</v>
      </c>
      <c r="E3189">
        <v>15</v>
      </c>
      <c r="F3189" t="s">
        <v>6336</v>
      </c>
      <c r="G3189">
        <v>1717</v>
      </c>
      <c r="H3189">
        <v>1</v>
      </c>
      <c r="I3189" t="s">
        <v>89</v>
      </c>
      <c r="J3189">
        <v>0</v>
      </c>
      <c r="K3189">
        <v>1</v>
      </c>
      <c r="L3189">
        <v>2</v>
      </c>
      <c r="M3189">
        <v>172</v>
      </c>
      <c r="N3189" t="s">
        <v>315</v>
      </c>
      <c r="O3189">
        <v>2</v>
      </c>
      <c r="P3189">
        <v>436</v>
      </c>
      <c r="Q3189">
        <v>19</v>
      </c>
      <c r="R3189">
        <v>21</v>
      </c>
      <c r="S3189">
        <v>73</v>
      </c>
      <c r="T3189">
        <v>13</v>
      </c>
      <c r="U3189">
        <v>16</v>
      </c>
      <c r="V3189">
        <v>4</v>
      </c>
      <c r="W3189">
        <v>12</v>
      </c>
      <c r="X3189">
        <v>6</v>
      </c>
      <c r="Y3189">
        <v>218</v>
      </c>
      <c r="Z3189">
        <v>12</v>
      </c>
      <c r="AA3189">
        <v>3</v>
      </c>
      <c r="AB3189">
        <v>9</v>
      </c>
      <c r="AC3189">
        <v>1</v>
      </c>
      <c r="AD3189">
        <v>1</v>
      </c>
      <c r="AE3189" t="s">
        <v>100</v>
      </c>
      <c r="AF3189" t="s">
        <v>100</v>
      </c>
      <c r="AG3189" t="s">
        <v>100</v>
      </c>
      <c r="AH3189">
        <v>1</v>
      </c>
      <c r="AI3189" t="s">
        <v>100</v>
      </c>
      <c r="AJ3189" t="s">
        <v>100</v>
      </c>
      <c r="AK3189">
        <v>2</v>
      </c>
      <c r="AL3189">
        <v>2</v>
      </c>
      <c r="AM3189" t="s">
        <v>100</v>
      </c>
      <c r="AN3189">
        <v>1</v>
      </c>
      <c r="AT3189" t="s">
        <v>100</v>
      </c>
      <c r="AU3189">
        <v>23</v>
      </c>
      <c r="AV3189">
        <v>436</v>
      </c>
      <c r="AW3189">
        <v>437</v>
      </c>
      <c r="AX3189">
        <v>588</v>
      </c>
      <c r="AZ3189" t="s">
        <v>101</v>
      </c>
      <c r="BA3189">
        <v>1</v>
      </c>
      <c r="BC3189" t="s">
        <v>6481</v>
      </c>
      <c r="BD3189" s="4">
        <v>43283.111805555556</v>
      </c>
      <c r="BE3189" s="4">
        <v>43283.132662037038</v>
      </c>
      <c r="BF3189" s="4">
        <v>43283.132662037038</v>
      </c>
      <c r="BG3189" t="s">
        <v>83</v>
      </c>
      <c r="BH3189" t="s">
        <v>84</v>
      </c>
      <c r="BI3189" t="s">
        <v>85</v>
      </c>
    </row>
    <row r="3190" spans="1:61" x14ac:dyDescent="0.3">
      <c r="A3190" t="str">
        <f>"201717C0200"</f>
        <v>201717C0200</v>
      </c>
      <c r="B3190" t="s">
        <v>6482</v>
      </c>
      <c r="C3190">
        <v>20</v>
      </c>
      <c r="D3190" t="s">
        <v>79</v>
      </c>
      <c r="E3190">
        <v>15</v>
      </c>
      <c r="F3190" t="s">
        <v>6336</v>
      </c>
      <c r="G3190">
        <v>1717</v>
      </c>
      <c r="H3190">
        <v>2</v>
      </c>
      <c r="I3190" t="s">
        <v>89</v>
      </c>
      <c r="J3190">
        <v>0</v>
      </c>
      <c r="K3190">
        <v>1</v>
      </c>
      <c r="L3190">
        <v>2</v>
      </c>
      <c r="M3190">
        <v>187</v>
      </c>
      <c r="N3190">
        <v>422</v>
      </c>
      <c r="O3190">
        <v>2</v>
      </c>
      <c r="P3190">
        <v>0</v>
      </c>
      <c r="Q3190">
        <v>12</v>
      </c>
      <c r="R3190">
        <v>31</v>
      </c>
      <c r="S3190">
        <v>82</v>
      </c>
      <c r="T3190">
        <v>17</v>
      </c>
      <c r="U3190">
        <v>21</v>
      </c>
      <c r="V3190">
        <v>3</v>
      </c>
      <c r="W3190">
        <v>13</v>
      </c>
      <c r="X3190">
        <v>3</v>
      </c>
      <c r="Y3190">
        <v>174</v>
      </c>
      <c r="Z3190">
        <v>6</v>
      </c>
      <c r="AA3190">
        <v>2</v>
      </c>
      <c r="AB3190">
        <v>16</v>
      </c>
      <c r="AC3190">
        <v>2</v>
      </c>
      <c r="AD3190">
        <v>0</v>
      </c>
      <c r="AE3190">
        <v>0</v>
      </c>
      <c r="AF3190">
        <v>1</v>
      </c>
      <c r="AG3190">
        <v>0</v>
      </c>
      <c r="AH3190">
        <v>0</v>
      </c>
      <c r="AI3190">
        <v>0</v>
      </c>
      <c r="AJ3190">
        <v>0</v>
      </c>
      <c r="AK3190">
        <v>5</v>
      </c>
      <c r="AL3190">
        <v>0</v>
      </c>
      <c r="AM3190">
        <v>2</v>
      </c>
      <c r="AN3190">
        <v>2</v>
      </c>
      <c r="AT3190">
        <v>0</v>
      </c>
      <c r="AU3190">
        <v>30</v>
      </c>
      <c r="AV3190">
        <v>422</v>
      </c>
      <c r="AW3190">
        <v>422</v>
      </c>
      <c r="AX3190">
        <v>588</v>
      </c>
      <c r="BA3190">
        <v>1</v>
      </c>
      <c r="BC3190" t="s">
        <v>6483</v>
      </c>
      <c r="BD3190" s="4">
        <v>43283.12222222222</v>
      </c>
      <c r="BE3190" s="4">
        <v>43283.126562500001</v>
      </c>
      <c r="BF3190" s="4">
        <v>43283.126562500001</v>
      </c>
      <c r="BG3190" t="s">
        <v>83</v>
      </c>
      <c r="BH3190" t="s">
        <v>84</v>
      </c>
      <c r="BI3190" t="s">
        <v>85</v>
      </c>
    </row>
    <row r="3191" spans="1:61" x14ac:dyDescent="0.3">
      <c r="A3191" t="str">
        <f>"201717C0300"</f>
        <v>201717C0300</v>
      </c>
      <c r="B3191" t="s">
        <v>6484</v>
      </c>
      <c r="C3191">
        <v>20</v>
      </c>
      <c r="D3191" t="s">
        <v>79</v>
      </c>
      <c r="E3191">
        <v>15</v>
      </c>
      <c r="F3191" t="s">
        <v>6336</v>
      </c>
      <c r="G3191">
        <v>1717</v>
      </c>
      <c r="H3191">
        <v>3</v>
      </c>
      <c r="I3191" t="s">
        <v>89</v>
      </c>
      <c r="J3191">
        <v>0</v>
      </c>
      <c r="K3191">
        <v>1</v>
      </c>
      <c r="L3191">
        <v>2</v>
      </c>
      <c r="M3191">
        <v>194</v>
      </c>
      <c r="N3191">
        <v>417</v>
      </c>
      <c r="O3191">
        <v>2</v>
      </c>
      <c r="P3191">
        <v>422</v>
      </c>
      <c r="Q3191">
        <v>14</v>
      </c>
      <c r="R3191">
        <v>27</v>
      </c>
      <c r="S3191">
        <v>79</v>
      </c>
      <c r="T3191">
        <v>11</v>
      </c>
      <c r="U3191">
        <v>12</v>
      </c>
      <c r="V3191">
        <v>2</v>
      </c>
      <c r="W3191">
        <v>7</v>
      </c>
      <c r="X3191">
        <v>3</v>
      </c>
      <c r="Y3191">
        <v>213</v>
      </c>
      <c r="Z3191">
        <v>7</v>
      </c>
      <c r="AA3191">
        <v>1</v>
      </c>
      <c r="AB3191">
        <v>10</v>
      </c>
      <c r="AC3191">
        <v>1</v>
      </c>
      <c r="AD3191">
        <v>1</v>
      </c>
      <c r="AE3191">
        <v>0</v>
      </c>
      <c r="AF3191">
        <v>0</v>
      </c>
      <c r="AG3191">
        <v>1</v>
      </c>
      <c r="AH3191">
        <v>1</v>
      </c>
      <c r="AI3191">
        <v>0</v>
      </c>
      <c r="AJ3191">
        <v>0</v>
      </c>
      <c r="AK3191">
        <v>4</v>
      </c>
      <c r="AL3191">
        <v>2</v>
      </c>
      <c r="AM3191">
        <v>1</v>
      </c>
      <c r="AN3191">
        <v>1</v>
      </c>
      <c r="AT3191">
        <v>2</v>
      </c>
      <c r="AU3191">
        <v>22</v>
      </c>
      <c r="AV3191">
        <v>422</v>
      </c>
      <c r="AW3191">
        <v>422</v>
      </c>
      <c r="AX3191">
        <v>588</v>
      </c>
      <c r="BA3191">
        <v>1</v>
      </c>
      <c r="BC3191" t="s">
        <v>6485</v>
      </c>
      <c r="BD3191" s="4">
        <v>43283.11041666667</v>
      </c>
      <c r="BE3191" s="4">
        <v>43283.115636574075</v>
      </c>
      <c r="BF3191" s="4">
        <v>43283.115636574075</v>
      </c>
      <c r="BG3191" t="s">
        <v>83</v>
      </c>
      <c r="BH3191" t="s">
        <v>84</v>
      </c>
      <c r="BI3191" t="s">
        <v>85</v>
      </c>
    </row>
    <row r="3192" spans="1:61" x14ac:dyDescent="0.3">
      <c r="A3192" t="str">
        <f>"201718B0100"</f>
        <v>201718B0100</v>
      </c>
      <c r="B3192" t="s">
        <v>6486</v>
      </c>
      <c r="C3192">
        <v>20</v>
      </c>
      <c r="D3192" t="s">
        <v>79</v>
      </c>
      <c r="E3192">
        <v>15</v>
      </c>
      <c r="F3192" t="s">
        <v>6336</v>
      </c>
      <c r="G3192">
        <v>1718</v>
      </c>
      <c r="H3192">
        <v>1</v>
      </c>
      <c r="I3192" t="s">
        <v>81</v>
      </c>
      <c r="J3192">
        <v>0</v>
      </c>
      <c r="K3192">
        <v>2</v>
      </c>
      <c r="L3192">
        <v>2</v>
      </c>
      <c r="M3192">
        <v>196</v>
      </c>
      <c r="N3192">
        <v>569</v>
      </c>
      <c r="O3192">
        <v>1</v>
      </c>
      <c r="P3192">
        <v>569</v>
      </c>
      <c r="Q3192">
        <v>25</v>
      </c>
      <c r="R3192">
        <v>40</v>
      </c>
      <c r="S3192">
        <v>113</v>
      </c>
      <c r="T3192">
        <v>10</v>
      </c>
      <c r="U3192">
        <v>10</v>
      </c>
      <c r="V3192">
        <v>8</v>
      </c>
      <c r="W3192">
        <v>17</v>
      </c>
      <c r="X3192">
        <v>4</v>
      </c>
      <c r="Y3192">
        <v>304</v>
      </c>
      <c r="Z3192">
        <v>10</v>
      </c>
      <c r="AA3192">
        <v>1</v>
      </c>
      <c r="AB3192">
        <v>14</v>
      </c>
      <c r="AC3192">
        <v>1</v>
      </c>
      <c r="AD3192">
        <v>0</v>
      </c>
      <c r="AE3192">
        <v>0</v>
      </c>
      <c r="AF3192">
        <v>1</v>
      </c>
      <c r="AG3192">
        <v>1</v>
      </c>
      <c r="AH3192">
        <v>0</v>
      </c>
      <c r="AI3192">
        <v>0</v>
      </c>
      <c r="AJ3192">
        <v>0</v>
      </c>
      <c r="AK3192">
        <v>8</v>
      </c>
      <c r="AL3192">
        <v>0</v>
      </c>
      <c r="AM3192">
        <v>0</v>
      </c>
      <c r="AN3192">
        <v>1</v>
      </c>
      <c r="AT3192">
        <v>0</v>
      </c>
      <c r="AU3192">
        <v>0</v>
      </c>
      <c r="AV3192">
        <v>569</v>
      </c>
      <c r="AW3192">
        <v>568</v>
      </c>
      <c r="AX3192">
        <v>743</v>
      </c>
      <c r="BA3192">
        <v>1</v>
      </c>
      <c r="BC3192" t="s">
        <v>6487</v>
      </c>
      <c r="BD3192" s="4">
        <v>43283.148611111108</v>
      </c>
      <c r="BE3192" s="4">
        <v>43283.159282407411</v>
      </c>
      <c r="BF3192" s="4">
        <v>43283.159282407411</v>
      </c>
      <c r="BG3192" t="s">
        <v>83</v>
      </c>
      <c r="BH3192" t="s">
        <v>84</v>
      </c>
      <c r="BI3192" t="s">
        <v>85</v>
      </c>
    </row>
    <row r="3193" spans="1:61" x14ac:dyDescent="0.3">
      <c r="A3193" t="str">
        <f>"201718C0100"</f>
        <v>201718C0100</v>
      </c>
      <c r="B3193" t="s">
        <v>6488</v>
      </c>
      <c r="C3193">
        <v>20</v>
      </c>
      <c r="D3193" t="s">
        <v>79</v>
      </c>
      <c r="E3193">
        <v>15</v>
      </c>
      <c r="F3193" t="s">
        <v>6336</v>
      </c>
      <c r="G3193">
        <v>1718</v>
      </c>
      <c r="H3193">
        <v>1</v>
      </c>
      <c r="I3193" t="s">
        <v>89</v>
      </c>
      <c r="J3193">
        <v>0</v>
      </c>
      <c r="K3193">
        <v>2</v>
      </c>
      <c r="L3193">
        <v>2</v>
      </c>
      <c r="M3193">
        <v>214</v>
      </c>
      <c r="N3193">
        <v>216</v>
      </c>
      <c r="O3193">
        <v>2</v>
      </c>
      <c r="P3193">
        <v>550</v>
      </c>
      <c r="Q3193">
        <v>17</v>
      </c>
      <c r="R3193">
        <v>43</v>
      </c>
      <c r="S3193">
        <v>127</v>
      </c>
      <c r="T3193">
        <v>13</v>
      </c>
      <c r="U3193">
        <v>17</v>
      </c>
      <c r="V3193">
        <v>3</v>
      </c>
      <c r="W3193">
        <v>13</v>
      </c>
      <c r="X3193">
        <v>4</v>
      </c>
      <c r="Y3193">
        <v>235</v>
      </c>
      <c r="Z3193">
        <v>12</v>
      </c>
      <c r="AA3193">
        <v>6</v>
      </c>
      <c r="AB3193">
        <v>21</v>
      </c>
      <c r="AC3193">
        <v>3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5</v>
      </c>
      <c r="AL3193">
        <v>4</v>
      </c>
      <c r="AM3193">
        <v>0</v>
      </c>
      <c r="AN3193">
        <v>0</v>
      </c>
      <c r="AT3193" t="s">
        <v>100</v>
      </c>
      <c r="AU3193">
        <v>26</v>
      </c>
      <c r="AV3193">
        <v>550</v>
      </c>
      <c r="AW3193">
        <v>549</v>
      </c>
      <c r="AX3193">
        <v>743</v>
      </c>
      <c r="AZ3193" t="s">
        <v>101</v>
      </c>
      <c r="BA3193">
        <v>1</v>
      </c>
      <c r="BC3193" t="s">
        <v>6489</v>
      </c>
      <c r="BD3193" s="4">
        <v>43283.154166666667</v>
      </c>
      <c r="BE3193" s="4">
        <v>43283.164513888885</v>
      </c>
      <c r="BF3193" s="4">
        <v>43283.164513888885</v>
      </c>
      <c r="BG3193" t="s">
        <v>83</v>
      </c>
      <c r="BH3193" t="s">
        <v>84</v>
      </c>
      <c r="BI3193" t="s">
        <v>85</v>
      </c>
    </row>
    <row r="3194" spans="1:61" x14ac:dyDescent="0.3">
      <c r="A3194" t="str">
        <f>"201718C0200"</f>
        <v>201718C0200</v>
      </c>
      <c r="B3194" t="s">
        <v>6490</v>
      </c>
      <c r="C3194">
        <v>20</v>
      </c>
      <c r="D3194" t="s">
        <v>79</v>
      </c>
      <c r="E3194">
        <v>15</v>
      </c>
      <c r="F3194" t="s">
        <v>6336</v>
      </c>
      <c r="G3194">
        <v>1718</v>
      </c>
      <c r="H3194">
        <v>2</v>
      </c>
      <c r="I3194" t="s">
        <v>89</v>
      </c>
      <c r="J3194">
        <v>0</v>
      </c>
      <c r="K3194">
        <v>2</v>
      </c>
      <c r="L3194">
        <v>2</v>
      </c>
      <c r="M3194">
        <v>232</v>
      </c>
      <c r="N3194">
        <v>764</v>
      </c>
      <c r="O3194">
        <v>3</v>
      </c>
      <c r="P3194">
        <v>529</v>
      </c>
      <c r="Q3194">
        <v>26</v>
      </c>
      <c r="R3194">
        <v>41</v>
      </c>
      <c r="S3194">
        <v>102</v>
      </c>
      <c r="T3194">
        <v>25</v>
      </c>
      <c r="U3194">
        <v>19</v>
      </c>
      <c r="V3194">
        <v>14</v>
      </c>
      <c r="W3194">
        <v>12</v>
      </c>
      <c r="X3194">
        <v>8</v>
      </c>
      <c r="Y3194">
        <v>221</v>
      </c>
      <c r="Z3194">
        <v>8</v>
      </c>
      <c r="AA3194">
        <v>5</v>
      </c>
      <c r="AB3194">
        <v>20</v>
      </c>
      <c r="AC3194">
        <v>2</v>
      </c>
      <c r="AD3194">
        <v>0</v>
      </c>
      <c r="AE3194">
        <v>0</v>
      </c>
      <c r="AF3194">
        <v>1</v>
      </c>
      <c r="AG3194">
        <v>1</v>
      </c>
      <c r="AH3194">
        <v>4</v>
      </c>
      <c r="AI3194">
        <v>0</v>
      </c>
      <c r="AJ3194">
        <v>0</v>
      </c>
      <c r="AK3194">
        <v>6</v>
      </c>
      <c r="AL3194">
        <v>1</v>
      </c>
      <c r="AM3194">
        <v>0</v>
      </c>
      <c r="AN3194">
        <v>0</v>
      </c>
      <c r="AT3194">
        <v>0</v>
      </c>
      <c r="AU3194">
        <v>15</v>
      </c>
      <c r="AV3194">
        <v>529</v>
      </c>
      <c r="AW3194">
        <v>531</v>
      </c>
      <c r="AX3194">
        <v>742</v>
      </c>
      <c r="BA3194">
        <v>1</v>
      </c>
      <c r="BC3194" t="s">
        <v>6491</v>
      </c>
      <c r="BD3194" s="4">
        <v>43283.134722222225</v>
      </c>
      <c r="BE3194" s="4">
        <v>43283.141516203701</v>
      </c>
      <c r="BF3194" s="4">
        <v>43283.141516203701</v>
      </c>
      <c r="BG3194" t="s">
        <v>83</v>
      </c>
      <c r="BH3194" t="s">
        <v>84</v>
      </c>
      <c r="BI3194" t="s">
        <v>85</v>
      </c>
    </row>
    <row r="3195" spans="1:61" x14ac:dyDescent="0.3">
      <c r="A3195" t="str">
        <f>"201718C0300"</f>
        <v>201718C0300</v>
      </c>
      <c r="B3195" t="s">
        <v>6492</v>
      </c>
      <c r="C3195">
        <v>20</v>
      </c>
      <c r="D3195" t="s">
        <v>79</v>
      </c>
      <c r="E3195">
        <v>15</v>
      </c>
      <c r="F3195" t="s">
        <v>6336</v>
      </c>
      <c r="G3195">
        <v>1718</v>
      </c>
      <c r="H3195">
        <v>3</v>
      </c>
      <c r="I3195" t="s">
        <v>89</v>
      </c>
      <c r="J3195">
        <v>0</v>
      </c>
      <c r="K3195">
        <v>2</v>
      </c>
      <c r="L3195">
        <v>2</v>
      </c>
      <c r="M3195">
        <v>235</v>
      </c>
      <c r="N3195">
        <v>529</v>
      </c>
      <c r="O3195">
        <v>2</v>
      </c>
      <c r="P3195" t="s">
        <v>100</v>
      </c>
      <c r="Q3195">
        <v>16</v>
      </c>
      <c r="R3195">
        <v>39</v>
      </c>
      <c r="S3195">
        <v>150</v>
      </c>
      <c r="T3195">
        <v>16</v>
      </c>
      <c r="U3195">
        <v>16</v>
      </c>
      <c r="V3195">
        <v>6</v>
      </c>
      <c r="W3195">
        <v>15</v>
      </c>
      <c r="X3195">
        <v>3</v>
      </c>
      <c r="Y3195">
        <v>204</v>
      </c>
      <c r="Z3195">
        <v>12</v>
      </c>
      <c r="AA3195">
        <v>3</v>
      </c>
      <c r="AB3195">
        <v>10</v>
      </c>
      <c r="AC3195">
        <v>0</v>
      </c>
      <c r="AD3195">
        <v>1</v>
      </c>
      <c r="AE3195">
        <v>0</v>
      </c>
      <c r="AF3195">
        <v>1</v>
      </c>
      <c r="AG3195">
        <v>0</v>
      </c>
      <c r="AH3195">
        <v>1</v>
      </c>
      <c r="AI3195">
        <v>0</v>
      </c>
      <c r="AJ3195">
        <v>0</v>
      </c>
      <c r="AK3195">
        <v>10</v>
      </c>
      <c r="AL3195">
        <v>0</v>
      </c>
      <c r="AM3195">
        <v>0</v>
      </c>
      <c r="AN3195">
        <v>5</v>
      </c>
      <c r="AT3195">
        <v>0</v>
      </c>
      <c r="AU3195">
        <v>19</v>
      </c>
      <c r="AV3195">
        <v>523</v>
      </c>
      <c r="AW3195">
        <v>527</v>
      </c>
      <c r="AX3195">
        <v>742</v>
      </c>
      <c r="BA3195">
        <v>1</v>
      </c>
      <c r="BC3195" t="s">
        <v>6493</v>
      </c>
      <c r="BD3195" s="4">
        <v>43283.155555555553</v>
      </c>
      <c r="BE3195" s="4">
        <v>43283.167361111111</v>
      </c>
      <c r="BF3195" s="4">
        <v>43283.167361111111</v>
      </c>
      <c r="BG3195" t="s">
        <v>83</v>
      </c>
      <c r="BH3195" t="s">
        <v>84</v>
      </c>
      <c r="BI3195" t="s">
        <v>85</v>
      </c>
    </row>
    <row r="3196" spans="1:61" x14ac:dyDescent="0.3">
      <c r="A3196" t="str">
        <f>"201718C0400"</f>
        <v>201718C0400</v>
      </c>
      <c r="B3196" t="s">
        <v>6494</v>
      </c>
      <c r="C3196">
        <v>20</v>
      </c>
      <c r="D3196" t="s">
        <v>79</v>
      </c>
      <c r="E3196">
        <v>15</v>
      </c>
      <c r="F3196" t="s">
        <v>6336</v>
      </c>
      <c r="G3196">
        <v>1718</v>
      </c>
      <c r="H3196">
        <v>4</v>
      </c>
      <c r="I3196" t="s">
        <v>89</v>
      </c>
      <c r="J3196">
        <v>0</v>
      </c>
      <c r="K3196">
        <v>2</v>
      </c>
      <c r="L3196">
        <v>2</v>
      </c>
      <c r="M3196">
        <v>219</v>
      </c>
      <c r="N3196">
        <v>544</v>
      </c>
      <c r="O3196">
        <v>6</v>
      </c>
      <c r="P3196">
        <v>551</v>
      </c>
      <c r="Q3196">
        <v>21</v>
      </c>
      <c r="R3196">
        <v>50</v>
      </c>
      <c r="S3196">
        <v>122</v>
      </c>
      <c r="T3196">
        <v>22</v>
      </c>
      <c r="U3196">
        <v>11</v>
      </c>
      <c r="V3196">
        <v>8</v>
      </c>
      <c r="W3196">
        <v>5</v>
      </c>
      <c r="X3196">
        <v>3</v>
      </c>
      <c r="Y3196">
        <v>248</v>
      </c>
      <c r="Z3196">
        <v>7</v>
      </c>
      <c r="AA3196">
        <v>3</v>
      </c>
      <c r="AB3196">
        <v>8</v>
      </c>
      <c r="AC3196">
        <v>2</v>
      </c>
      <c r="AD3196">
        <v>1</v>
      </c>
      <c r="AE3196" t="s">
        <v>100</v>
      </c>
      <c r="AF3196">
        <v>3</v>
      </c>
      <c r="AG3196" t="s">
        <v>100</v>
      </c>
      <c r="AH3196" t="s">
        <v>100</v>
      </c>
      <c r="AI3196" t="s">
        <v>100</v>
      </c>
      <c r="AJ3196" t="s">
        <v>100</v>
      </c>
      <c r="AK3196">
        <v>8</v>
      </c>
      <c r="AL3196" t="s">
        <v>100</v>
      </c>
      <c r="AM3196" t="s">
        <v>100</v>
      </c>
      <c r="AN3196">
        <v>3</v>
      </c>
      <c r="AT3196" t="s">
        <v>100</v>
      </c>
      <c r="AU3196">
        <v>26</v>
      </c>
      <c r="AV3196" t="s">
        <v>100</v>
      </c>
      <c r="AW3196">
        <v>551</v>
      </c>
      <c r="AX3196">
        <v>742</v>
      </c>
      <c r="AZ3196" t="s">
        <v>101</v>
      </c>
      <c r="BA3196">
        <v>1</v>
      </c>
      <c r="BC3196" t="s">
        <v>6495</v>
      </c>
      <c r="BD3196" s="4">
        <v>43283.152777777781</v>
      </c>
      <c r="BE3196" s="4">
        <v>43283.162731481483</v>
      </c>
      <c r="BF3196" s="4">
        <v>43283.162731481483</v>
      </c>
      <c r="BG3196" t="s">
        <v>83</v>
      </c>
      <c r="BH3196" t="s">
        <v>84</v>
      </c>
      <c r="BI3196" t="s">
        <v>85</v>
      </c>
    </row>
    <row r="3197" spans="1:61" x14ac:dyDescent="0.3">
      <c r="A3197" t="str">
        <f>"201718C0500"</f>
        <v>201718C0500</v>
      </c>
      <c r="B3197" t="s">
        <v>6496</v>
      </c>
      <c r="C3197">
        <v>20</v>
      </c>
      <c r="D3197" t="s">
        <v>79</v>
      </c>
      <c r="E3197">
        <v>15</v>
      </c>
      <c r="F3197" t="s">
        <v>6336</v>
      </c>
      <c r="G3197">
        <v>1718</v>
      </c>
      <c r="H3197">
        <v>5</v>
      </c>
      <c r="I3197" t="s">
        <v>89</v>
      </c>
      <c r="J3197">
        <v>0</v>
      </c>
      <c r="K3197">
        <v>2</v>
      </c>
      <c r="L3197">
        <v>2</v>
      </c>
      <c r="M3197">
        <v>217</v>
      </c>
      <c r="N3197">
        <v>539</v>
      </c>
      <c r="O3197">
        <v>3</v>
      </c>
      <c r="P3197">
        <v>536</v>
      </c>
      <c r="Q3197">
        <v>29</v>
      </c>
      <c r="R3197">
        <v>38</v>
      </c>
      <c r="S3197">
        <v>108</v>
      </c>
      <c r="T3197">
        <v>16</v>
      </c>
      <c r="U3197">
        <v>15</v>
      </c>
      <c r="V3197">
        <v>16</v>
      </c>
      <c r="W3197">
        <v>22</v>
      </c>
      <c r="X3197">
        <v>4</v>
      </c>
      <c r="Y3197">
        <v>225</v>
      </c>
      <c r="Z3197">
        <v>4</v>
      </c>
      <c r="AA3197">
        <v>5</v>
      </c>
      <c r="AB3197">
        <v>15</v>
      </c>
      <c r="AC3197">
        <v>1</v>
      </c>
      <c r="AD3197">
        <v>2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8</v>
      </c>
      <c r="AL3197">
        <v>2</v>
      </c>
      <c r="AM3197">
        <v>0</v>
      </c>
      <c r="AN3197">
        <v>4</v>
      </c>
      <c r="AT3197">
        <v>0</v>
      </c>
      <c r="AU3197">
        <v>22</v>
      </c>
      <c r="AV3197">
        <v>536</v>
      </c>
      <c r="AW3197">
        <v>536</v>
      </c>
      <c r="AX3197">
        <v>742</v>
      </c>
      <c r="BA3197">
        <v>1</v>
      </c>
      <c r="BC3197" t="s">
        <v>6497</v>
      </c>
      <c r="BD3197" s="4">
        <v>43283.154861111114</v>
      </c>
      <c r="BE3197" s="4">
        <v>43283.166550925926</v>
      </c>
      <c r="BF3197" s="4">
        <v>43283.166550925926</v>
      </c>
      <c r="BG3197" t="s">
        <v>83</v>
      </c>
      <c r="BH3197" t="s">
        <v>84</v>
      </c>
      <c r="BI3197" t="s">
        <v>85</v>
      </c>
    </row>
    <row r="3198" spans="1:61" x14ac:dyDescent="0.3">
      <c r="A3198" t="str">
        <f>"201718S0100"</f>
        <v>201718S0100</v>
      </c>
      <c r="B3198" t="s">
        <v>6498</v>
      </c>
      <c r="C3198">
        <v>20</v>
      </c>
      <c r="D3198" t="s">
        <v>79</v>
      </c>
      <c r="E3198">
        <v>15</v>
      </c>
      <c r="F3198" t="s">
        <v>6336</v>
      </c>
      <c r="G3198">
        <v>1718</v>
      </c>
      <c r="H3198">
        <v>1</v>
      </c>
      <c r="I3198" t="s">
        <v>104</v>
      </c>
      <c r="J3198">
        <v>0</v>
      </c>
      <c r="K3198">
        <v>2</v>
      </c>
      <c r="L3198">
        <v>3</v>
      </c>
      <c r="AX3198">
        <v>0</v>
      </c>
      <c r="AZ3198" t="s">
        <v>156</v>
      </c>
      <c r="BA3198">
        <v>0</v>
      </c>
      <c r="BC3198" t="s">
        <v>6499</v>
      </c>
      <c r="BD3198" s="4">
        <v>43283.645138888889</v>
      </c>
      <c r="BE3198" s="4">
        <v>43283.649097222224</v>
      </c>
      <c r="BF3198" s="4">
        <v>43283.649097222224</v>
      </c>
      <c r="BG3198" t="s">
        <v>83</v>
      </c>
      <c r="BH3198" t="s">
        <v>84</v>
      </c>
      <c r="BI3198" t="s">
        <v>85</v>
      </c>
    </row>
    <row r="3199" spans="1:61" x14ac:dyDescent="0.3">
      <c r="A3199" t="str">
        <f>"201719B0100"</f>
        <v>201719B0100</v>
      </c>
      <c r="B3199" t="s">
        <v>6500</v>
      </c>
      <c r="C3199">
        <v>20</v>
      </c>
      <c r="D3199" t="s">
        <v>79</v>
      </c>
      <c r="E3199">
        <v>15</v>
      </c>
      <c r="F3199" t="s">
        <v>6336</v>
      </c>
      <c r="G3199">
        <v>1719</v>
      </c>
      <c r="H3199">
        <v>1</v>
      </c>
      <c r="I3199" t="s">
        <v>81</v>
      </c>
      <c r="J3199">
        <v>0</v>
      </c>
      <c r="K3199">
        <v>1</v>
      </c>
      <c r="L3199">
        <v>2</v>
      </c>
      <c r="M3199">
        <v>191</v>
      </c>
      <c r="N3199">
        <v>494</v>
      </c>
      <c r="O3199">
        <v>4</v>
      </c>
      <c r="P3199" t="s">
        <v>100</v>
      </c>
      <c r="Q3199">
        <v>34</v>
      </c>
      <c r="R3199">
        <v>68</v>
      </c>
      <c r="S3199">
        <v>59</v>
      </c>
      <c r="T3199">
        <v>15</v>
      </c>
      <c r="U3199">
        <v>12</v>
      </c>
      <c r="V3199">
        <v>6</v>
      </c>
      <c r="W3199">
        <v>21</v>
      </c>
      <c r="X3199">
        <v>4</v>
      </c>
      <c r="Y3199">
        <v>209</v>
      </c>
      <c r="Z3199">
        <v>6</v>
      </c>
      <c r="AA3199">
        <v>3</v>
      </c>
      <c r="AB3199">
        <v>24</v>
      </c>
      <c r="AC3199" t="s">
        <v>100</v>
      </c>
      <c r="AD3199" t="s">
        <v>100</v>
      </c>
      <c r="AE3199" t="s">
        <v>100</v>
      </c>
      <c r="AF3199" t="s">
        <v>100</v>
      </c>
      <c r="AG3199">
        <v>2</v>
      </c>
      <c r="AH3199" t="s">
        <v>100</v>
      </c>
      <c r="AI3199" t="s">
        <v>100</v>
      </c>
      <c r="AJ3199" t="s">
        <v>100</v>
      </c>
      <c r="AK3199">
        <v>6</v>
      </c>
      <c r="AL3199">
        <v>4</v>
      </c>
      <c r="AM3199" t="s">
        <v>100</v>
      </c>
      <c r="AN3199">
        <v>1</v>
      </c>
      <c r="AT3199">
        <v>1</v>
      </c>
      <c r="AU3199">
        <v>18</v>
      </c>
      <c r="AV3199">
        <v>493</v>
      </c>
      <c r="AW3199">
        <v>493</v>
      </c>
      <c r="AX3199">
        <v>663</v>
      </c>
      <c r="AZ3199" t="s">
        <v>101</v>
      </c>
      <c r="BA3199">
        <v>1</v>
      </c>
      <c r="BC3199" t="s">
        <v>6501</v>
      </c>
      <c r="BD3199" s="4">
        <v>43282.982986111114</v>
      </c>
      <c r="BE3199" s="4">
        <v>43282.988622685189</v>
      </c>
      <c r="BF3199" s="4">
        <v>43282.988622685189</v>
      </c>
      <c r="BG3199" t="s">
        <v>373</v>
      </c>
      <c r="BH3199" t="s">
        <v>374</v>
      </c>
      <c r="BI3199" t="s">
        <v>85</v>
      </c>
    </row>
    <row r="3200" spans="1:61" x14ac:dyDescent="0.3">
      <c r="A3200" t="str">
        <f>"201719C0100"</f>
        <v>201719C0100</v>
      </c>
      <c r="B3200" t="s">
        <v>6502</v>
      </c>
      <c r="C3200">
        <v>20</v>
      </c>
      <c r="D3200" t="s">
        <v>79</v>
      </c>
      <c r="E3200">
        <v>15</v>
      </c>
      <c r="F3200" t="s">
        <v>6336</v>
      </c>
      <c r="G3200">
        <v>1719</v>
      </c>
      <c r="H3200">
        <v>1</v>
      </c>
      <c r="I3200" t="s">
        <v>89</v>
      </c>
      <c r="J3200">
        <v>0</v>
      </c>
      <c r="K3200">
        <v>1</v>
      </c>
      <c r="L3200">
        <v>2</v>
      </c>
      <c r="M3200">
        <v>205</v>
      </c>
      <c r="N3200">
        <v>480</v>
      </c>
      <c r="O3200">
        <v>6</v>
      </c>
      <c r="P3200">
        <v>481</v>
      </c>
      <c r="Q3200">
        <v>42</v>
      </c>
      <c r="R3200">
        <v>65</v>
      </c>
      <c r="S3200">
        <v>56</v>
      </c>
      <c r="T3200">
        <v>12</v>
      </c>
      <c r="U3200">
        <v>10</v>
      </c>
      <c r="V3200">
        <v>3</v>
      </c>
      <c r="W3200">
        <v>11</v>
      </c>
      <c r="X3200">
        <v>3</v>
      </c>
      <c r="Y3200">
        <v>234</v>
      </c>
      <c r="Z3200">
        <v>5</v>
      </c>
      <c r="AA3200">
        <v>4</v>
      </c>
      <c r="AB3200">
        <v>13</v>
      </c>
      <c r="AC3200">
        <v>0</v>
      </c>
      <c r="AD3200">
        <v>0</v>
      </c>
      <c r="AE3200">
        <v>0</v>
      </c>
      <c r="AF3200">
        <v>1</v>
      </c>
      <c r="AG3200">
        <v>0</v>
      </c>
      <c r="AH3200">
        <v>0</v>
      </c>
      <c r="AI3200">
        <v>0</v>
      </c>
      <c r="AJ3200">
        <v>0</v>
      </c>
      <c r="AK3200">
        <v>3</v>
      </c>
      <c r="AL3200">
        <v>0</v>
      </c>
      <c r="AM3200">
        <v>0</v>
      </c>
      <c r="AN3200">
        <v>0</v>
      </c>
      <c r="AT3200">
        <v>1</v>
      </c>
      <c r="AU3200">
        <v>18</v>
      </c>
      <c r="AV3200">
        <v>481</v>
      </c>
      <c r="AW3200">
        <v>481</v>
      </c>
      <c r="AX3200">
        <v>663</v>
      </c>
      <c r="BA3200">
        <v>1</v>
      </c>
      <c r="BC3200" t="s">
        <v>6503</v>
      </c>
      <c r="BD3200" s="4">
        <v>43283.115972222222</v>
      </c>
      <c r="BE3200" s="4">
        <v>43283.121886574074</v>
      </c>
      <c r="BF3200" s="4">
        <v>43283.121886574074</v>
      </c>
      <c r="BG3200" t="s">
        <v>83</v>
      </c>
      <c r="BH3200" t="s">
        <v>84</v>
      </c>
      <c r="BI3200" t="s">
        <v>85</v>
      </c>
    </row>
    <row r="3201" spans="1:61" x14ac:dyDescent="0.3">
      <c r="A3201" t="str">
        <f>"201719C0200"</f>
        <v>201719C0200</v>
      </c>
      <c r="B3201" t="s">
        <v>6504</v>
      </c>
      <c r="C3201">
        <v>20</v>
      </c>
      <c r="D3201" t="s">
        <v>79</v>
      </c>
      <c r="E3201">
        <v>15</v>
      </c>
      <c r="F3201" t="s">
        <v>6336</v>
      </c>
      <c r="G3201">
        <v>1719</v>
      </c>
      <c r="H3201">
        <v>2</v>
      </c>
      <c r="I3201" t="s">
        <v>89</v>
      </c>
      <c r="J3201">
        <v>0</v>
      </c>
      <c r="K3201">
        <v>1</v>
      </c>
      <c r="L3201">
        <v>2</v>
      </c>
      <c r="M3201">
        <v>190</v>
      </c>
      <c r="N3201">
        <v>494</v>
      </c>
      <c r="O3201">
        <v>8</v>
      </c>
      <c r="P3201">
        <v>495</v>
      </c>
      <c r="Q3201">
        <v>34</v>
      </c>
      <c r="R3201">
        <v>63</v>
      </c>
      <c r="S3201">
        <v>75</v>
      </c>
      <c r="T3201">
        <v>9</v>
      </c>
      <c r="U3201">
        <v>10</v>
      </c>
      <c r="V3201">
        <v>8</v>
      </c>
      <c r="W3201">
        <v>13</v>
      </c>
      <c r="X3201">
        <v>4</v>
      </c>
      <c r="Y3201">
        <v>220</v>
      </c>
      <c r="Z3201">
        <v>6</v>
      </c>
      <c r="AA3201">
        <v>5</v>
      </c>
      <c r="AB3201">
        <v>14</v>
      </c>
      <c r="AC3201">
        <v>2</v>
      </c>
      <c r="AD3201">
        <v>1</v>
      </c>
      <c r="AE3201">
        <v>0</v>
      </c>
      <c r="AF3201">
        <v>2</v>
      </c>
      <c r="AG3201">
        <v>0</v>
      </c>
      <c r="AH3201">
        <v>0</v>
      </c>
      <c r="AI3201">
        <v>1</v>
      </c>
      <c r="AJ3201">
        <v>0</v>
      </c>
      <c r="AK3201">
        <v>2</v>
      </c>
      <c r="AL3201">
        <v>2</v>
      </c>
      <c r="AM3201">
        <v>0</v>
      </c>
      <c r="AN3201">
        <v>2</v>
      </c>
      <c r="AT3201">
        <v>0</v>
      </c>
      <c r="AU3201">
        <v>22</v>
      </c>
      <c r="AV3201">
        <v>495</v>
      </c>
      <c r="AW3201">
        <v>495</v>
      </c>
      <c r="AX3201">
        <v>662</v>
      </c>
      <c r="BA3201">
        <v>1</v>
      </c>
      <c r="BC3201" t="s">
        <v>6505</v>
      </c>
      <c r="BD3201" s="4">
        <v>43282.999097222222</v>
      </c>
      <c r="BE3201" s="4">
        <v>43283.003252314818</v>
      </c>
      <c r="BF3201" s="4">
        <v>43283.003252314818</v>
      </c>
      <c r="BG3201" t="s">
        <v>373</v>
      </c>
      <c r="BH3201" t="s">
        <v>374</v>
      </c>
      <c r="BI3201" t="s">
        <v>85</v>
      </c>
    </row>
    <row r="3202" spans="1:61" x14ac:dyDescent="0.3">
      <c r="A3202" t="str">
        <f>"201719C0300"</f>
        <v>201719C0300</v>
      </c>
      <c r="B3202" t="s">
        <v>6506</v>
      </c>
      <c r="C3202">
        <v>20</v>
      </c>
      <c r="D3202" t="s">
        <v>79</v>
      </c>
      <c r="E3202">
        <v>15</v>
      </c>
      <c r="F3202" t="s">
        <v>6336</v>
      </c>
      <c r="G3202">
        <v>1719</v>
      </c>
      <c r="H3202">
        <v>3</v>
      </c>
      <c r="I3202" t="s">
        <v>89</v>
      </c>
      <c r="J3202">
        <v>0</v>
      </c>
      <c r="K3202">
        <v>1</v>
      </c>
      <c r="L3202">
        <v>2</v>
      </c>
      <c r="M3202">
        <v>187</v>
      </c>
      <c r="N3202">
        <v>498</v>
      </c>
      <c r="O3202">
        <v>6</v>
      </c>
      <c r="P3202">
        <v>482</v>
      </c>
      <c r="Q3202">
        <v>45</v>
      </c>
      <c r="R3202">
        <v>55</v>
      </c>
      <c r="S3202">
        <v>66</v>
      </c>
      <c r="T3202">
        <v>14</v>
      </c>
      <c r="U3202">
        <v>14</v>
      </c>
      <c r="V3202">
        <v>7</v>
      </c>
      <c r="W3202">
        <v>8</v>
      </c>
      <c r="X3202">
        <v>5</v>
      </c>
      <c r="Y3202">
        <v>232</v>
      </c>
      <c r="Z3202">
        <v>8</v>
      </c>
      <c r="AA3202">
        <v>4</v>
      </c>
      <c r="AB3202">
        <v>14</v>
      </c>
      <c r="AC3202">
        <v>3</v>
      </c>
      <c r="AD3202" t="s">
        <v>100</v>
      </c>
      <c r="AE3202" t="s">
        <v>100</v>
      </c>
      <c r="AF3202">
        <v>1</v>
      </c>
      <c r="AG3202">
        <v>1</v>
      </c>
      <c r="AH3202">
        <v>1</v>
      </c>
      <c r="AI3202" t="s">
        <v>100</v>
      </c>
      <c r="AJ3202" t="s">
        <v>100</v>
      </c>
      <c r="AK3202">
        <v>4</v>
      </c>
      <c r="AL3202" t="s">
        <v>100</v>
      </c>
      <c r="AM3202" t="s">
        <v>100</v>
      </c>
      <c r="AN3202" t="s">
        <v>100</v>
      </c>
      <c r="AT3202" t="s">
        <v>100</v>
      </c>
      <c r="AU3202">
        <v>13</v>
      </c>
      <c r="AV3202">
        <v>495</v>
      </c>
      <c r="AW3202">
        <v>495</v>
      </c>
      <c r="AX3202">
        <v>662</v>
      </c>
      <c r="AZ3202" t="s">
        <v>101</v>
      </c>
      <c r="BA3202">
        <v>1</v>
      </c>
      <c r="BC3202" t="s">
        <v>6507</v>
      </c>
      <c r="BD3202" s="4">
        <v>43283.002175925925</v>
      </c>
      <c r="BE3202" s="4">
        <v>43283.005787037036</v>
      </c>
      <c r="BF3202" s="4">
        <v>43283.005787037036</v>
      </c>
      <c r="BG3202" t="s">
        <v>373</v>
      </c>
      <c r="BH3202" t="s">
        <v>374</v>
      </c>
      <c r="BI3202" t="s">
        <v>85</v>
      </c>
    </row>
    <row r="3203" spans="1:61" x14ac:dyDescent="0.3">
      <c r="A3203" t="str">
        <f>"201720B0100"</f>
        <v>201720B0100</v>
      </c>
      <c r="B3203" t="s">
        <v>6508</v>
      </c>
      <c r="C3203">
        <v>20</v>
      </c>
      <c r="D3203" t="s">
        <v>79</v>
      </c>
      <c r="E3203">
        <v>15</v>
      </c>
      <c r="F3203" t="s">
        <v>6336</v>
      </c>
      <c r="G3203">
        <v>1720</v>
      </c>
      <c r="H3203">
        <v>1</v>
      </c>
      <c r="I3203" t="s">
        <v>81</v>
      </c>
      <c r="J3203">
        <v>0</v>
      </c>
      <c r="K3203">
        <v>1</v>
      </c>
      <c r="L3203">
        <v>2</v>
      </c>
      <c r="M3203">
        <v>197</v>
      </c>
      <c r="N3203">
        <v>551</v>
      </c>
      <c r="O3203">
        <v>8</v>
      </c>
      <c r="P3203">
        <v>553</v>
      </c>
      <c r="Q3203">
        <v>43</v>
      </c>
      <c r="R3203">
        <v>64</v>
      </c>
      <c r="S3203">
        <v>54</v>
      </c>
      <c r="T3203">
        <v>21</v>
      </c>
      <c r="U3203">
        <v>15</v>
      </c>
      <c r="V3203">
        <v>9</v>
      </c>
      <c r="W3203">
        <v>18</v>
      </c>
      <c r="X3203">
        <v>2</v>
      </c>
      <c r="Y3203">
        <v>262</v>
      </c>
      <c r="Z3203">
        <v>11</v>
      </c>
      <c r="AA3203">
        <v>1</v>
      </c>
      <c r="AB3203">
        <v>27</v>
      </c>
      <c r="AC3203">
        <v>0</v>
      </c>
      <c r="AD3203">
        <v>0</v>
      </c>
      <c r="AE3203">
        <v>0</v>
      </c>
      <c r="AF3203">
        <v>0</v>
      </c>
      <c r="AG3203">
        <v>1</v>
      </c>
      <c r="AH3203">
        <v>1</v>
      </c>
      <c r="AI3203">
        <v>0</v>
      </c>
      <c r="AJ3203">
        <v>0</v>
      </c>
      <c r="AK3203">
        <v>3</v>
      </c>
      <c r="AL3203">
        <v>0</v>
      </c>
      <c r="AM3203">
        <v>0</v>
      </c>
      <c r="AN3203">
        <v>1</v>
      </c>
      <c r="AT3203" t="s">
        <v>100</v>
      </c>
      <c r="AU3203">
        <v>20</v>
      </c>
      <c r="AV3203" t="s">
        <v>100</v>
      </c>
      <c r="AW3203">
        <v>553</v>
      </c>
      <c r="AX3203">
        <v>726</v>
      </c>
      <c r="AZ3203" t="s">
        <v>101</v>
      </c>
      <c r="BA3203">
        <v>1</v>
      </c>
      <c r="BC3203" t="s">
        <v>6509</v>
      </c>
      <c r="BD3203" s="4">
        <v>43282.9840625</v>
      </c>
      <c r="BE3203" s="4">
        <v>43282.989212962966</v>
      </c>
      <c r="BF3203" s="4">
        <v>43282.989212962966</v>
      </c>
      <c r="BG3203" t="s">
        <v>373</v>
      </c>
      <c r="BH3203" t="s">
        <v>374</v>
      </c>
      <c r="BI3203" t="s">
        <v>85</v>
      </c>
    </row>
    <row r="3204" spans="1:61" x14ac:dyDescent="0.3">
      <c r="A3204" t="str">
        <f>"201720C0100"</f>
        <v>201720C0100</v>
      </c>
      <c r="B3204" t="s">
        <v>6510</v>
      </c>
      <c r="C3204">
        <v>20</v>
      </c>
      <c r="D3204" t="s">
        <v>79</v>
      </c>
      <c r="E3204">
        <v>15</v>
      </c>
      <c r="F3204" t="s">
        <v>6336</v>
      </c>
      <c r="G3204">
        <v>1720</v>
      </c>
      <c r="H3204">
        <v>1</v>
      </c>
      <c r="I3204" t="s">
        <v>89</v>
      </c>
      <c r="J3204">
        <v>0</v>
      </c>
      <c r="K3204">
        <v>1</v>
      </c>
      <c r="L3204">
        <v>2</v>
      </c>
      <c r="M3204">
        <v>222</v>
      </c>
      <c r="N3204" t="s">
        <v>100</v>
      </c>
      <c r="O3204" t="s">
        <v>100</v>
      </c>
      <c r="P3204">
        <v>526</v>
      </c>
      <c r="Q3204">
        <v>40</v>
      </c>
      <c r="R3204">
        <v>75</v>
      </c>
      <c r="S3204">
        <v>78</v>
      </c>
      <c r="T3204">
        <v>9</v>
      </c>
      <c r="U3204">
        <v>7</v>
      </c>
      <c r="V3204">
        <v>9</v>
      </c>
      <c r="W3204">
        <v>15</v>
      </c>
      <c r="X3204">
        <v>4</v>
      </c>
      <c r="Y3204">
        <v>227</v>
      </c>
      <c r="Z3204">
        <v>11</v>
      </c>
      <c r="AA3204">
        <v>5</v>
      </c>
      <c r="AB3204">
        <v>14</v>
      </c>
      <c r="AC3204">
        <v>2</v>
      </c>
      <c r="AD3204">
        <v>2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3</v>
      </c>
      <c r="AL3204">
        <v>0</v>
      </c>
      <c r="AM3204">
        <v>0</v>
      </c>
      <c r="AN3204">
        <v>2</v>
      </c>
      <c r="AT3204">
        <v>0</v>
      </c>
      <c r="AU3204">
        <v>23</v>
      </c>
      <c r="AV3204">
        <v>526</v>
      </c>
      <c r="AW3204">
        <v>526</v>
      </c>
      <c r="AX3204">
        <v>726</v>
      </c>
      <c r="BA3204">
        <v>1</v>
      </c>
      <c r="BC3204" t="s">
        <v>6511</v>
      </c>
      <c r="BD3204" s="4">
        <v>43282.908310185187</v>
      </c>
      <c r="BE3204" s="4">
        <v>43282.912928240738</v>
      </c>
      <c r="BF3204" s="4">
        <v>43282.912928240738</v>
      </c>
      <c r="BG3204" t="s">
        <v>373</v>
      </c>
      <c r="BH3204" t="s">
        <v>374</v>
      </c>
      <c r="BI3204" t="s">
        <v>85</v>
      </c>
    </row>
    <row r="3205" spans="1:61" x14ac:dyDescent="0.3">
      <c r="A3205" t="str">
        <f>"201720C0200"</f>
        <v>201720C0200</v>
      </c>
      <c r="B3205" t="s">
        <v>6512</v>
      </c>
      <c r="C3205">
        <v>20</v>
      </c>
      <c r="D3205" t="s">
        <v>79</v>
      </c>
      <c r="E3205">
        <v>15</v>
      </c>
      <c r="F3205" t="s">
        <v>6336</v>
      </c>
      <c r="G3205">
        <v>1720</v>
      </c>
      <c r="H3205">
        <v>2</v>
      </c>
      <c r="I3205" t="s">
        <v>89</v>
      </c>
      <c r="J3205">
        <v>0</v>
      </c>
      <c r="K3205">
        <v>1</v>
      </c>
      <c r="L3205">
        <v>2</v>
      </c>
      <c r="M3205">
        <v>227</v>
      </c>
      <c r="N3205">
        <v>521</v>
      </c>
      <c r="O3205">
        <v>11</v>
      </c>
      <c r="P3205">
        <v>523</v>
      </c>
      <c r="Q3205">
        <v>40</v>
      </c>
      <c r="R3205">
        <v>49</v>
      </c>
      <c r="S3205">
        <v>62</v>
      </c>
      <c r="T3205">
        <v>14</v>
      </c>
      <c r="U3205">
        <v>25</v>
      </c>
      <c r="V3205">
        <v>12</v>
      </c>
      <c r="W3205">
        <v>10</v>
      </c>
      <c r="X3205">
        <v>5</v>
      </c>
      <c r="Y3205">
        <v>237</v>
      </c>
      <c r="Z3205">
        <v>12</v>
      </c>
      <c r="AA3205">
        <v>8</v>
      </c>
      <c r="AB3205">
        <v>19</v>
      </c>
      <c r="AC3205">
        <v>2</v>
      </c>
      <c r="AD3205">
        <v>1</v>
      </c>
      <c r="AE3205">
        <v>0</v>
      </c>
      <c r="AF3205">
        <v>0</v>
      </c>
      <c r="AG3205">
        <v>1</v>
      </c>
      <c r="AH3205">
        <v>1</v>
      </c>
      <c r="AI3205">
        <v>0</v>
      </c>
      <c r="AJ3205">
        <v>0</v>
      </c>
      <c r="AK3205">
        <v>6</v>
      </c>
      <c r="AL3205">
        <v>3</v>
      </c>
      <c r="AM3205">
        <v>0</v>
      </c>
      <c r="AN3205">
        <v>1</v>
      </c>
      <c r="AT3205">
        <v>0</v>
      </c>
      <c r="AU3205">
        <v>15</v>
      </c>
      <c r="AV3205">
        <v>523</v>
      </c>
      <c r="AW3205">
        <v>523</v>
      </c>
      <c r="AX3205">
        <v>726</v>
      </c>
      <c r="BA3205">
        <v>1</v>
      </c>
      <c r="BC3205" t="s">
        <v>6513</v>
      </c>
      <c r="BD3205" s="4">
        <v>43282.968425925923</v>
      </c>
      <c r="BE3205" s="4">
        <v>43282.979039351849</v>
      </c>
      <c r="BF3205" s="4">
        <v>43282.979039351849</v>
      </c>
      <c r="BG3205" t="s">
        <v>373</v>
      </c>
      <c r="BH3205" t="s">
        <v>374</v>
      </c>
      <c r="BI3205" t="s">
        <v>85</v>
      </c>
    </row>
    <row r="3206" spans="1:61" x14ac:dyDescent="0.3">
      <c r="A3206" t="str">
        <f>"201720C0300"</f>
        <v>201720C0300</v>
      </c>
      <c r="B3206" t="s">
        <v>6514</v>
      </c>
      <c r="C3206">
        <v>20</v>
      </c>
      <c r="D3206" t="s">
        <v>79</v>
      </c>
      <c r="E3206">
        <v>15</v>
      </c>
      <c r="F3206" t="s">
        <v>6336</v>
      </c>
      <c r="G3206">
        <v>1720</v>
      </c>
      <c r="H3206">
        <v>3</v>
      </c>
      <c r="I3206" t="s">
        <v>89</v>
      </c>
      <c r="J3206">
        <v>0</v>
      </c>
      <c r="K3206">
        <v>1</v>
      </c>
      <c r="L3206">
        <v>2</v>
      </c>
      <c r="M3206">
        <v>212</v>
      </c>
      <c r="N3206">
        <v>536</v>
      </c>
      <c r="O3206">
        <v>5</v>
      </c>
      <c r="P3206">
        <v>531</v>
      </c>
      <c r="Q3206">
        <v>48</v>
      </c>
      <c r="R3206">
        <v>78</v>
      </c>
      <c r="S3206">
        <v>61</v>
      </c>
      <c r="T3206">
        <v>13</v>
      </c>
      <c r="U3206">
        <v>12</v>
      </c>
      <c r="V3206">
        <v>11</v>
      </c>
      <c r="W3206">
        <v>13</v>
      </c>
      <c r="X3206">
        <v>3</v>
      </c>
      <c r="Y3206">
        <v>240</v>
      </c>
      <c r="Z3206">
        <v>12</v>
      </c>
      <c r="AA3206">
        <v>6</v>
      </c>
      <c r="AB3206">
        <v>12</v>
      </c>
      <c r="AC3206">
        <v>0</v>
      </c>
      <c r="AD3206">
        <v>0</v>
      </c>
      <c r="AE3206">
        <v>0</v>
      </c>
      <c r="AF3206">
        <v>2</v>
      </c>
      <c r="AG3206">
        <v>0</v>
      </c>
      <c r="AH3206">
        <v>0</v>
      </c>
      <c r="AI3206">
        <v>0</v>
      </c>
      <c r="AJ3206">
        <v>0</v>
      </c>
      <c r="AK3206">
        <v>2</v>
      </c>
      <c r="AL3206">
        <v>0</v>
      </c>
      <c r="AM3206">
        <v>0</v>
      </c>
      <c r="AN3206">
        <v>0</v>
      </c>
      <c r="AT3206">
        <v>0</v>
      </c>
      <c r="AU3206">
        <v>18</v>
      </c>
      <c r="AV3206">
        <v>531</v>
      </c>
      <c r="AW3206">
        <v>531</v>
      </c>
      <c r="AX3206">
        <v>726</v>
      </c>
      <c r="BA3206">
        <v>1</v>
      </c>
      <c r="BC3206" t="s">
        <v>6515</v>
      </c>
      <c r="BD3206" s="4">
        <v>43283.075740740744</v>
      </c>
      <c r="BE3206" s="4">
        <v>43283.082951388889</v>
      </c>
      <c r="BF3206" s="4">
        <v>43283.082951388889</v>
      </c>
      <c r="BG3206" t="s">
        <v>373</v>
      </c>
      <c r="BH3206" t="s">
        <v>374</v>
      </c>
      <c r="BI3206" t="s">
        <v>85</v>
      </c>
    </row>
    <row r="3207" spans="1:61" x14ac:dyDescent="0.3">
      <c r="A3207" t="str">
        <f>"201720C0400"</f>
        <v>201720C0400</v>
      </c>
      <c r="B3207" t="s">
        <v>6516</v>
      </c>
      <c r="C3207">
        <v>20</v>
      </c>
      <c r="D3207" t="s">
        <v>79</v>
      </c>
      <c r="E3207">
        <v>15</v>
      </c>
      <c r="F3207" t="s">
        <v>6336</v>
      </c>
      <c r="G3207">
        <v>1720</v>
      </c>
      <c r="H3207">
        <v>4</v>
      </c>
      <c r="I3207" t="s">
        <v>89</v>
      </c>
      <c r="J3207">
        <v>0</v>
      </c>
      <c r="K3207">
        <v>1</v>
      </c>
      <c r="L3207">
        <v>2</v>
      </c>
      <c r="M3207">
        <v>216</v>
      </c>
      <c r="N3207">
        <v>531</v>
      </c>
      <c r="O3207">
        <v>9</v>
      </c>
      <c r="P3207">
        <v>532</v>
      </c>
      <c r="Q3207">
        <v>45</v>
      </c>
      <c r="R3207">
        <v>86</v>
      </c>
      <c r="S3207">
        <v>52</v>
      </c>
      <c r="T3207">
        <v>18</v>
      </c>
      <c r="U3207">
        <v>13</v>
      </c>
      <c r="V3207">
        <v>5</v>
      </c>
      <c r="W3207">
        <v>9</v>
      </c>
      <c r="X3207">
        <v>3</v>
      </c>
      <c r="Y3207">
        <v>241</v>
      </c>
      <c r="Z3207">
        <v>10</v>
      </c>
      <c r="AA3207">
        <v>6</v>
      </c>
      <c r="AB3207">
        <v>18</v>
      </c>
      <c r="AC3207">
        <v>3</v>
      </c>
      <c r="AD3207">
        <v>1</v>
      </c>
      <c r="AE3207">
        <v>0</v>
      </c>
      <c r="AF3207">
        <v>0</v>
      </c>
      <c r="AG3207">
        <v>0</v>
      </c>
      <c r="AH3207">
        <v>2</v>
      </c>
      <c r="AI3207">
        <v>0</v>
      </c>
      <c r="AJ3207">
        <v>0</v>
      </c>
      <c r="AK3207">
        <v>1</v>
      </c>
      <c r="AL3207">
        <v>0</v>
      </c>
      <c r="AM3207">
        <v>0</v>
      </c>
      <c r="AN3207">
        <v>2</v>
      </c>
      <c r="AT3207">
        <v>0</v>
      </c>
      <c r="AU3207">
        <v>17</v>
      </c>
      <c r="AV3207">
        <v>532</v>
      </c>
      <c r="AW3207">
        <v>532</v>
      </c>
      <c r="AX3207">
        <v>725</v>
      </c>
      <c r="BA3207">
        <v>1</v>
      </c>
      <c r="BC3207" t="s">
        <v>6517</v>
      </c>
      <c r="BD3207" s="4">
        <v>43283.026678240742</v>
      </c>
      <c r="BE3207" s="4">
        <v>43283.031284722223</v>
      </c>
      <c r="BF3207" s="4">
        <v>43283.031284722223</v>
      </c>
      <c r="BG3207" t="s">
        <v>373</v>
      </c>
      <c r="BH3207" t="s">
        <v>374</v>
      </c>
      <c r="BI3207" t="s">
        <v>85</v>
      </c>
    </row>
    <row r="3208" spans="1:61" x14ac:dyDescent="0.3">
      <c r="A3208" t="str">
        <f>"201720E0100"</f>
        <v>201720E0100</v>
      </c>
      <c r="B3208" s="2" t="s">
        <v>6518</v>
      </c>
      <c r="C3208">
        <v>20</v>
      </c>
      <c r="D3208" t="s">
        <v>79</v>
      </c>
      <c r="E3208">
        <v>15</v>
      </c>
      <c r="F3208" t="s">
        <v>6336</v>
      </c>
      <c r="G3208">
        <v>1720</v>
      </c>
      <c r="H3208">
        <v>1</v>
      </c>
      <c r="I3208" t="s">
        <v>145</v>
      </c>
      <c r="J3208">
        <v>0</v>
      </c>
      <c r="K3208">
        <v>1</v>
      </c>
      <c r="L3208">
        <v>2</v>
      </c>
      <c r="M3208">
        <v>246</v>
      </c>
      <c r="N3208">
        <v>397</v>
      </c>
      <c r="O3208">
        <v>7</v>
      </c>
      <c r="P3208">
        <v>397</v>
      </c>
      <c r="Q3208">
        <v>31</v>
      </c>
      <c r="R3208">
        <v>43</v>
      </c>
      <c r="S3208">
        <v>20</v>
      </c>
      <c r="T3208">
        <v>8</v>
      </c>
      <c r="U3208">
        <v>11</v>
      </c>
      <c r="V3208">
        <v>10</v>
      </c>
      <c r="W3208">
        <v>5</v>
      </c>
      <c r="X3208">
        <v>7</v>
      </c>
      <c r="Y3208">
        <v>210</v>
      </c>
      <c r="Z3208">
        <v>7</v>
      </c>
      <c r="AA3208">
        <v>7</v>
      </c>
      <c r="AB3208">
        <v>14</v>
      </c>
      <c r="AC3208">
        <v>0</v>
      </c>
      <c r="AD3208">
        <v>0</v>
      </c>
      <c r="AE3208">
        <v>1</v>
      </c>
      <c r="AF3208">
        <v>0</v>
      </c>
      <c r="AG3208">
        <v>1</v>
      </c>
      <c r="AH3208">
        <v>0</v>
      </c>
      <c r="AI3208">
        <v>0</v>
      </c>
      <c r="AJ3208">
        <v>0</v>
      </c>
      <c r="AK3208">
        <v>7</v>
      </c>
      <c r="AL3208">
        <v>0</v>
      </c>
      <c r="AM3208">
        <v>0</v>
      </c>
      <c r="AN3208">
        <v>0</v>
      </c>
      <c r="AT3208">
        <v>0</v>
      </c>
      <c r="AU3208">
        <v>14</v>
      </c>
      <c r="AV3208">
        <v>396</v>
      </c>
      <c r="AW3208">
        <v>396</v>
      </c>
      <c r="AX3208">
        <v>621</v>
      </c>
      <c r="BA3208">
        <v>1</v>
      </c>
      <c r="BC3208" t="s">
        <v>6519</v>
      </c>
      <c r="BD3208" s="4">
        <v>43283.107638888891</v>
      </c>
      <c r="BE3208" s="4">
        <v>43283.111400462964</v>
      </c>
      <c r="BF3208" s="4">
        <v>43283.111400462964</v>
      </c>
      <c r="BG3208" t="s">
        <v>83</v>
      </c>
      <c r="BH3208" t="s">
        <v>84</v>
      </c>
      <c r="BI3208" t="s">
        <v>85</v>
      </c>
    </row>
    <row r="3209" spans="1:61" x14ac:dyDescent="0.3">
      <c r="A3209" t="str">
        <f>"201720E0101"</f>
        <v>201720E0101</v>
      </c>
      <c r="B3209" s="2" t="s">
        <v>6520</v>
      </c>
      <c r="C3209">
        <v>20</v>
      </c>
      <c r="D3209" t="s">
        <v>79</v>
      </c>
      <c r="E3209">
        <v>15</v>
      </c>
      <c r="F3209" t="s">
        <v>6336</v>
      </c>
      <c r="G3209">
        <v>1720</v>
      </c>
      <c r="H3209">
        <v>1</v>
      </c>
      <c r="I3209" t="s">
        <v>145</v>
      </c>
      <c r="J3209">
        <v>1</v>
      </c>
      <c r="K3209">
        <v>1</v>
      </c>
      <c r="L3209">
        <v>2</v>
      </c>
      <c r="M3209">
        <v>249</v>
      </c>
      <c r="N3209">
        <v>391</v>
      </c>
      <c r="O3209">
        <v>4</v>
      </c>
      <c r="P3209">
        <v>395</v>
      </c>
      <c r="Q3209">
        <v>32</v>
      </c>
      <c r="R3209">
        <v>46</v>
      </c>
      <c r="S3209">
        <v>16</v>
      </c>
      <c r="T3209">
        <v>6</v>
      </c>
      <c r="U3209">
        <v>6</v>
      </c>
      <c r="V3209">
        <v>0</v>
      </c>
      <c r="W3209">
        <v>5</v>
      </c>
      <c r="X3209">
        <v>4</v>
      </c>
      <c r="Y3209">
        <v>238</v>
      </c>
      <c r="Z3209">
        <v>8</v>
      </c>
      <c r="AA3209">
        <v>2</v>
      </c>
      <c r="AB3209">
        <v>12</v>
      </c>
      <c r="AC3209">
        <v>0</v>
      </c>
      <c r="AD3209">
        <v>2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4</v>
      </c>
      <c r="AL3209">
        <v>0</v>
      </c>
      <c r="AM3209">
        <v>1</v>
      </c>
      <c r="AN3209">
        <v>1</v>
      </c>
      <c r="AT3209">
        <v>0</v>
      </c>
      <c r="AU3209">
        <v>12</v>
      </c>
      <c r="AV3209">
        <v>395</v>
      </c>
      <c r="AW3209">
        <v>395</v>
      </c>
      <c r="AX3209">
        <v>620</v>
      </c>
      <c r="BA3209">
        <v>1</v>
      </c>
      <c r="BC3209" t="s">
        <v>6521</v>
      </c>
      <c r="BD3209" s="4">
        <v>43283.018750000003</v>
      </c>
      <c r="BE3209" s="4">
        <v>43283.023020833331</v>
      </c>
      <c r="BF3209" s="4">
        <v>43283.023020833331</v>
      </c>
      <c r="BG3209" t="s">
        <v>83</v>
      </c>
      <c r="BH3209" t="s">
        <v>84</v>
      </c>
      <c r="BI3209" t="s">
        <v>85</v>
      </c>
    </row>
    <row r="3210" spans="1:61" x14ac:dyDescent="0.3">
      <c r="A3210" t="str">
        <f>"201720E0102"</f>
        <v>201720E0102</v>
      </c>
      <c r="B3210" s="2" t="s">
        <v>6522</v>
      </c>
      <c r="C3210">
        <v>20</v>
      </c>
      <c r="D3210" t="s">
        <v>79</v>
      </c>
      <c r="E3210">
        <v>15</v>
      </c>
      <c r="F3210" t="s">
        <v>6336</v>
      </c>
      <c r="G3210">
        <v>1720</v>
      </c>
      <c r="H3210">
        <v>1</v>
      </c>
      <c r="I3210" t="s">
        <v>145</v>
      </c>
      <c r="J3210">
        <v>2</v>
      </c>
      <c r="K3210">
        <v>1</v>
      </c>
      <c r="L3210">
        <v>2</v>
      </c>
      <c r="M3210">
        <v>242</v>
      </c>
      <c r="N3210">
        <v>399</v>
      </c>
      <c r="O3210">
        <v>5</v>
      </c>
      <c r="P3210">
        <v>398</v>
      </c>
      <c r="Q3210">
        <v>32</v>
      </c>
      <c r="R3210">
        <v>42</v>
      </c>
      <c r="S3210">
        <v>15</v>
      </c>
      <c r="T3210">
        <v>6</v>
      </c>
      <c r="U3210">
        <v>13</v>
      </c>
      <c r="V3210">
        <v>6</v>
      </c>
      <c r="W3210">
        <v>6</v>
      </c>
      <c r="X3210">
        <v>4</v>
      </c>
      <c r="Y3210">
        <v>232</v>
      </c>
      <c r="Z3210">
        <v>5</v>
      </c>
      <c r="AA3210">
        <v>1</v>
      </c>
      <c r="AB3210">
        <v>20</v>
      </c>
      <c r="AC3210" t="s">
        <v>100</v>
      </c>
      <c r="AD3210" t="s">
        <v>100</v>
      </c>
      <c r="AE3210" t="s">
        <v>100</v>
      </c>
      <c r="AF3210" t="s">
        <v>100</v>
      </c>
      <c r="AG3210">
        <v>1</v>
      </c>
      <c r="AH3210" t="s">
        <v>100</v>
      </c>
      <c r="AI3210" t="s">
        <v>100</v>
      </c>
      <c r="AJ3210" t="s">
        <v>100</v>
      </c>
      <c r="AK3210">
        <v>2</v>
      </c>
      <c r="AL3210" t="s">
        <v>100</v>
      </c>
      <c r="AM3210" t="s">
        <v>100</v>
      </c>
      <c r="AN3210" t="s">
        <v>100</v>
      </c>
      <c r="AT3210" t="s">
        <v>100</v>
      </c>
      <c r="AU3210">
        <v>13</v>
      </c>
      <c r="AV3210">
        <v>398</v>
      </c>
      <c r="AW3210">
        <v>398</v>
      </c>
      <c r="AX3210">
        <v>620</v>
      </c>
      <c r="AZ3210" t="s">
        <v>101</v>
      </c>
      <c r="BA3210">
        <v>1</v>
      </c>
      <c r="BC3210" t="s">
        <v>6523</v>
      </c>
      <c r="BD3210" s="4">
        <v>43283.106249999997</v>
      </c>
      <c r="BE3210" s="4">
        <v>43283.110601851855</v>
      </c>
      <c r="BF3210" s="4">
        <v>43283.110601851855</v>
      </c>
      <c r="BG3210" t="s">
        <v>83</v>
      </c>
      <c r="BH3210" t="s">
        <v>84</v>
      </c>
      <c r="BI3210" t="s">
        <v>85</v>
      </c>
    </row>
    <row r="3211" spans="1:61" x14ac:dyDescent="0.3">
      <c r="A3211" t="str">
        <f>"201720E0103"</f>
        <v>201720E0103</v>
      </c>
      <c r="B3211" s="2" t="s">
        <v>6524</v>
      </c>
      <c r="C3211">
        <v>20</v>
      </c>
      <c r="D3211" t="s">
        <v>79</v>
      </c>
      <c r="E3211">
        <v>15</v>
      </c>
      <c r="F3211" t="s">
        <v>6336</v>
      </c>
      <c r="G3211">
        <v>1720</v>
      </c>
      <c r="H3211">
        <v>1</v>
      </c>
      <c r="I3211" t="s">
        <v>145</v>
      </c>
      <c r="J3211">
        <v>3</v>
      </c>
      <c r="K3211">
        <v>1</v>
      </c>
      <c r="L3211">
        <v>2</v>
      </c>
      <c r="M3211">
        <v>244</v>
      </c>
      <c r="N3211">
        <v>399</v>
      </c>
      <c r="O3211">
        <v>7</v>
      </c>
      <c r="P3211">
        <v>399</v>
      </c>
      <c r="Q3211">
        <v>26</v>
      </c>
      <c r="R3211">
        <v>47</v>
      </c>
      <c r="S3211">
        <v>20</v>
      </c>
      <c r="T3211">
        <v>12</v>
      </c>
      <c r="U3211">
        <v>11</v>
      </c>
      <c r="V3211">
        <v>10</v>
      </c>
      <c r="W3211">
        <v>10</v>
      </c>
      <c r="X3211">
        <v>1</v>
      </c>
      <c r="Y3211">
        <v>220</v>
      </c>
      <c r="Z3211">
        <v>6</v>
      </c>
      <c r="AA3211">
        <v>2</v>
      </c>
      <c r="AB3211">
        <v>12</v>
      </c>
      <c r="AC3211">
        <v>0</v>
      </c>
      <c r="AD3211">
        <v>0</v>
      </c>
      <c r="AE3211">
        <v>0</v>
      </c>
      <c r="AF3211">
        <v>1</v>
      </c>
      <c r="AG3211">
        <v>0</v>
      </c>
      <c r="AH3211">
        <v>0</v>
      </c>
      <c r="AI3211">
        <v>0</v>
      </c>
      <c r="AJ3211">
        <v>0</v>
      </c>
      <c r="AK3211">
        <v>6</v>
      </c>
      <c r="AL3211">
        <v>0</v>
      </c>
      <c r="AM3211">
        <v>1</v>
      </c>
      <c r="AN3211">
        <v>0</v>
      </c>
      <c r="AT3211">
        <v>0</v>
      </c>
      <c r="AU3211">
        <v>14</v>
      </c>
      <c r="AV3211">
        <v>399</v>
      </c>
      <c r="AW3211">
        <v>399</v>
      </c>
      <c r="AX3211">
        <v>620</v>
      </c>
      <c r="BA3211">
        <v>1</v>
      </c>
      <c r="BC3211" t="s">
        <v>6525</v>
      </c>
      <c r="BD3211" s="4">
        <v>43283.017361111109</v>
      </c>
      <c r="BE3211" s="4">
        <v>43283.022916666669</v>
      </c>
      <c r="BF3211" s="4">
        <v>43283.022916666669</v>
      </c>
      <c r="BG3211" t="s">
        <v>83</v>
      </c>
      <c r="BH3211" t="s">
        <v>84</v>
      </c>
      <c r="BI3211" t="s">
        <v>85</v>
      </c>
    </row>
    <row r="3212" spans="1:61" x14ac:dyDescent="0.3">
      <c r="A3212" t="str">
        <f>"201720E0104"</f>
        <v>201720E0104</v>
      </c>
      <c r="B3212" s="2" t="s">
        <v>6526</v>
      </c>
      <c r="C3212">
        <v>20</v>
      </c>
      <c r="D3212" t="s">
        <v>79</v>
      </c>
      <c r="E3212">
        <v>15</v>
      </c>
      <c r="F3212" t="s">
        <v>6336</v>
      </c>
      <c r="G3212">
        <v>1720</v>
      </c>
      <c r="H3212">
        <v>1</v>
      </c>
      <c r="I3212" t="s">
        <v>145</v>
      </c>
      <c r="J3212">
        <v>4</v>
      </c>
      <c r="K3212">
        <v>1</v>
      </c>
      <c r="L3212">
        <v>2</v>
      </c>
      <c r="M3212">
        <v>230</v>
      </c>
      <c r="N3212">
        <v>413</v>
      </c>
      <c r="O3212">
        <v>6</v>
      </c>
      <c r="P3212">
        <v>411</v>
      </c>
      <c r="Q3212">
        <v>34</v>
      </c>
      <c r="R3212">
        <v>36</v>
      </c>
      <c r="S3212">
        <v>23</v>
      </c>
      <c r="T3212">
        <v>5</v>
      </c>
      <c r="U3212">
        <v>7</v>
      </c>
      <c r="V3212">
        <v>6</v>
      </c>
      <c r="W3212">
        <v>9</v>
      </c>
      <c r="X3212">
        <v>4</v>
      </c>
      <c r="Y3212">
        <v>237</v>
      </c>
      <c r="Z3212">
        <v>16</v>
      </c>
      <c r="AA3212">
        <v>2</v>
      </c>
      <c r="AB3212">
        <v>12</v>
      </c>
      <c r="AC3212">
        <v>0</v>
      </c>
      <c r="AD3212">
        <v>0</v>
      </c>
      <c r="AE3212">
        <v>1</v>
      </c>
      <c r="AF3212">
        <v>0</v>
      </c>
      <c r="AG3212">
        <v>0</v>
      </c>
      <c r="AH3212">
        <v>1</v>
      </c>
      <c r="AI3212">
        <v>0</v>
      </c>
      <c r="AJ3212">
        <v>0</v>
      </c>
      <c r="AK3212">
        <v>4</v>
      </c>
      <c r="AL3212">
        <v>1</v>
      </c>
      <c r="AM3212">
        <v>0</v>
      </c>
      <c r="AN3212">
        <v>0</v>
      </c>
      <c r="AT3212">
        <v>1</v>
      </c>
      <c r="AU3212">
        <v>12</v>
      </c>
      <c r="AV3212">
        <v>411</v>
      </c>
      <c r="AW3212">
        <v>411</v>
      </c>
      <c r="AX3212">
        <v>620</v>
      </c>
      <c r="BA3212">
        <v>1</v>
      </c>
      <c r="BC3212" t="s">
        <v>6527</v>
      </c>
      <c r="BD3212" s="4">
        <v>43283.105555555558</v>
      </c>
      <c r="BE3212" s="4">
        <v>43283.109293981484</v>
      </c>
      <c r="BF3212" s="4">
        <v>43283.109293981484</v>
      </c>
      <c r="BG3212" t="s">
        <v>83</v>
      </c>
      <c r="BH3212" t="s">
        <v>84</v>
      </c>
      <c r="BI3212" t="s">
        <v>85</v>
      </c>
    </row>
    <row r="3213" spans="1:61" x14ac:dyDescent="0.3">
      <c r="A3213" t="str">
        <f>"201721B0100"</f>
        <v>201721B0100</v>
      </c>
      <c r="B3213" t="s">
        <v>6528</v>
      </c>
      <c r="C3213">
        <v>20</v>
      </c>
      <c r="D3213" t="s">
        <v>79</v>
      </c>
      <c r="E3213">
        <v>15</v>
      </c>
      <c r="F3213" t="s">
        <v>6336</v>
      </c>
      <c r="G3213">
        <v>1721</v>
      </c>
      <c r="H3213">
        <v>1</v>
      </c>
      <c r="I3213" t="s">
        <v>81</v>
      </c>
      <c r="J3213">
        <v>0</v>
      </c>
      <c r="K3213">
        <v>1</v>
      </c>
      <c r="L3213">
        <v>2</v>
      </c>
      <c r="M3213">
        <v>186</v>
      </c>
      <c r="N3213">
        <v>454</v>
      </c>
      <c r="O3213">
        <v>6</v>
      </c>
      <c r="P3213">
        <v>455</v>
      </c>
      <c r="Q3213">
        <v>25</v>
      </c>
      <c r="R3213">
        <v>52</v>
      </c>
      <c r="S3213">
        <v>70</v>
      </c>
      <c r="T3213">
        <v>6</v>
      </c>
      <c r="U3213">
        <v>16</v>
      </c>
      <c r="V3213">
        <v>7</v>
      </c>
      <c r="W3213">
        <v>9</v>
      </c>
      <c r="X3213">
        <v>4</v>
      </c>
      <c r="Y3213">
        <v>236</v>
      </c>
      <c r="Z3213">
        <v>7</v>
      </c>
      <c r="AA3213">
        <v>1</v>
      </c>
      <c r="AB3213">
        <v>5</v>
      </c>
      <c r="AC3213">
        <v>3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1</v>
      </c>
      <c r="AL3213">
        <v>2</v>
      </c>
      <c r="AM3213">
        <v>0</v>
      </c>
      <c r="AN3213">
        <v>0</v>
      </c>
      <c r="AT3213">
        <v>0</v>
      </c>
      <c r="AU3213">
        <v>11</v>
      </c>
      <c r="AV3213">
        <v>455</v>
      </c>
      <c r="AW3213">
        <v>455</v>
      </c>
      <c r="AX3213">
        <v>619</v>
      </c>
      <c r="BA3213">
        <v>1</v>
      </c>
      <c r="BC3213" t="s">
        <v>6529</v>
      </c>
      <c r="BD3213" s="4">
        <v>43283.205555555556</v>
      </c>
      <c r="BE3213" s="4">
        <v>43283.224675925929</v>
      </c>
      <c r="BF3213" s="4">
        <v>43283.224675925929</v>
      </c>
      <c r="BG3213" t="s">
        <v>83</v>
      </c>
      <c r="BH3213" t="s">
        <v>84</v>
      </c>
      <c r="BI3213" t="s">
        <v>85</v>
      </c>
    </row>
    <row r="3214" spans="1:61" x14ac:dyDescent="0.3">
      <c r="A3214" t="str">
        <f>"201721C0100"</f>
        <v>201721C0100</v>
      </c>
      <c r="B3214" t="s">
        <v>6530</v>
      </c>
      <c r="C3214">
        <v>20</v>
      </c>
      <c r="D3214" t="s">
        <v>79</v>
      </c>
      <c r="E3214">
        <v>15</v>
      </c>
      <c r="F3214" t="s">
        <v>6336</v>
      </c>
      <c r="G3214">
        <v>1721</v>
      </c>
      <c r="H3214">
        <v>1</v>
      </c>
      <c r="I3214" t="s">
        <v>89</v>
      </c>
      <c r="J3214">
        <v>0</v>
      </c>
      <c r="K3214">
        <v>1</v>
      </c>
      <c r="L3214">
        <v>2</v>
      </c>
      <c r="M3214">
        <v>195</v>
      </c>
      <c r="N3214">
        <v>445</v>
      </c>
      <c r="O3214">
        <v>6</v>
      </c>
      <c r="P3214">
        <v>446</v>
      </c>
      <c r="Q3214">
        <v>23</v>
      </c>
      <c r="R3214">
        <v>34</v>
      </c>
      <c r="S3214">
        <v>87</v>
      </c>
      <c r="T3214">
        <v>9</v>
      </c>
      <c r="U3214">
        <v>16</v>
      </c>
      <c r="V3214">
        <v>5</v>
      </c>
      <c r="W3214">
        <v>7</v>
      </c>
      <c r="X3214">
        <v>3</v>
      </c>
      <c r="Y3214">
        <v>228</v>
      </c>
      <c r="Z3214">
        <v>5</v>
      </c>
      <c r="AA3214">
        <v>4</v>
      </c>
      <c r="AB3214">
        <v>3</v>
      </c>
      <c r="AC3214">
        <v>5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7</v>
      </c>
      <c r="AL3214">
        <v>0</v>
      </c>
      <c r="AM3214">
        <v>0</v>
      </c>
      <c r="AN3214">
        <v>0</v>
      </c>
      <c r="AT3214">
        <v>0</v>
      </c>
      <c r="AU3214">
        <v>11</v>
      </c>
      <c r="AV3214">
        <v>446</v>
      </c>
      <c r="AW3214">
        <v>447</v>
      </c>
      <c r="AX3214">
        <v>619</v>
      </c>
      <c r="BA3214">
        <v>1</v>
      </c>
      <c r="BC3214" t="s">
        <v>6531</v>
      </c>
      <c r="BD3214" s="4">
        <v>43283.204861111109</v>
      </c>
      <c r="BE3214" s="4">
        <v>43283.230787037035</v>
      </c>
      <c r="BF3214" s="4">
        <v>43283.230787037035</v>
      </c>
      <c r="BG3214" t="s">
        <v>83</v>
      </c>
      <c r="BH3214" t="s">
        <v>84</v>
      </c>
      <c r="BI3214" t="s">
        <v>85</v>
      </c>
    </row>
    <row r="3215" spans="1:61" x14ac:dyDescent="0.3">
      <c r="A3215" t="str">
        <f>"201721C0200"</f>
        <v>201721C0200</v>
      </c>
      <c r="B3215" t="s">
        <v>6532</v>
      </c>
      <c r="C3215">
        <v>20</v>
      </c>
      <c r="D3215" t="s">
        <v>79</v>
      </c>
      <c r="E3215">
        <v>15</v>
      </c>
      <c r="F3215" t="s">
        <v>6336</v>
      </c>
      <c r="G3215">
        <v>1721</v>
      </c>
      <c r="H3215">
        <v>2</v>
      </c>
      <c r="I3215" t="s">
        <v>89</v>
      </c>
      <c r="J3215">
        <v>0</v>
      </c>
      <c r="K3215">
        <v>1</v>
      </c>
      <c r="L3215">
        <v>2</v>
      </c>
      <c r="M3215">
        <v>187</v>
      </c>
      <c r="N3215">
        <v>454</v>
      </c>
      <c r="O3215">
        <v>6</v>
      </c>
      <c r="P3215">
        <v>452</v>
      </c>
      <c r="Q3215">
        <v>15</v>
      </c>
      <c r="R3215">
        <v>25</v>
      </c>
      <c r="S3215">
        <v>2</v>
      </c>
      <c r="T3215">
        <v>10</v>
      </c>
      <c r="U3215">
        <v>18</v>
      </c>
      <c r="V3215">
        <v>5</v>
      </c>
      <c r="W3215">
        <v>18</v>
      </c>
      <c r="X3215">
        <v>3</v>
      </c>
      <c r="Y3215">
        <v>234</v>
      </c>
      <c r="Z3215">
        <v>6</v>
      </c>
      <c r="AA3215">
        <v>0</v>
      </c>
      <c r="AB3215">
        <v>10</v>
      </c>
      <c r="AC3215">
        <v>3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1</v>
      </c>
      <c r="AL3215">
        <v>2</v>
      </c>
      <c r="AM3215">
        <v>0</v>
      </c>
      <c r="AN3215">
        <v>1</v>
      </c>
      <c r="AT3215">
        <v>0</v>
      </c>
      <c r="AU3215" t="s">
        <v>315</v>
      </c>
      <c r="AV3215" t="s">
        <v>100</v>
      </c>
      <c r="AW3215">
        <v>353</v>
      </c>
      <c r="AX3215">
        <v>619</v>
      </c>
      <c r="AZ3215" t="s">
        <v>101</v>
      </c>
      <c r="BA3215">
        <v>1</v>
      </c>
      <c r="BC3215" t="s">
        <v>6533</v>
      </c>
      <c r="BD3215" s="4">
        <v>43283.204861111109</v>
      </c>
      <c r="BE3215" s="4">
        <v>43283.225243055553</v>
      </c>
      <c r="BF3215" s="4">
        <v>43283.225243055553</v>
      </c>
      <c r="BG3215" t="s">
        <v>83</v>
      </c>
      <c r="BH3215" t="s">
        <v>84</v>
      </c>
      <c r="BI3215" t="s">
        <v>85</v>
      </c>
    </row>
    <row r="3216" spans="1:61" x14ac:dyDescent="0.3">
      <c r="A3216" t="str">
        <f>"201721C0300"</f>
        <v>201721C0300</v>
      </c>
      <c r="B3216" t="s">
        <v>6534</v>
      </c>
      <c r="C3216">
        <v>20</v>
      </c>
      <c r="D3216" t="s">
        <v>79</v>
      </c>
      <c r="E3216">
        <v>15</v>
      </c>
      <c r="F3216" t="s">
        <v>6336</v>
      </c>
      <c r="G3216">
        <v>1721</v>
      </c>
      <c r="H3216">
        <v>3</v>
      </c>
      <c r="I3216" t="s">
        <v>89</v>
      </c>
      <c r="J3216">
        <v>0</v>
      </c>
      <c r="K3216">
        <v>1</v>
      </c>
      <c r="L3216">
        <v>2</v>
      </c>
      <c r="M3216">
        <v>180</v>
      </c>
      <c r="N3216">
        <v>461</v>
      </c>
      <c r="O3216">
        <v>6</v>
      </c>
      <c r="P3216">
        <v>461</v>
      </c>
      <c r="Q3216">
        <v>27</v>
      </c>
      <c r="R3216">
        <v>39</v>
      </c>
      <c r="S3216">
        <v>117</v>
      </c>
      <c r="T3216">
        <v>6</v>
      </c>
      <c r="U3216">
        <v>9</v>
      </c>
      <c r="V3216">
        <v>6</v>
      </c>
      <c r="W3216">
        <v>9</v>
      </c>
      <c r="X3216">
        <v>0</v>
      </c>
      <c r="Y3216">
        <v>194</v>
      </c>
      <c r="Z3216">
        <v>2</v>
      </c>
      <c r="AA3216">
        <v>5</v>
      </c>
      <c r="AB3216">
        <v>7</v>
      </c>
      <c r="AC3216">
        <v>1</v>
      </c>
      <c r="AD3216">
        <v>0</v>
      </c>
      <c r="AE3216">
        <v>0</v>
      </c>
      <c r="AF3216">
        <v>0</v>
      </c>
      <c r="AG3216">
        <v>1</v>
      </c>
      <c r="AH3216">
        <v>0</v>
      </c>
      <c r="AI3216">
        <v>0</v>
      </c>
      <c r="AJ3216">
        <v>0</v>
      </c>
      <c r="AK3216">
        <v>0</v>
      </c>
      <c r="AL3216">
        <v>1</v>
      </c>
      <c r="AM3216">
        <v>0</v>
      </c>
      <c r="AN3216">
        <v>0</v>
      </c>
      <c r="AT3216">
        <v>0</v>
      </c>
      <c r="AU3216">
        <v>37</v>
      </c>
      <c r="AV3216">
        <v>461</v>
      </c>
      <c r="AW3216">
        <v>461</v>
      </c>
      <c r="AX3216">
        <v>619</v>
      </c>
      <c r="BA3216">
        <v>1</v>
      </c>
      <c r="BC3216" t="s">
        <v>6535</v>
      </c>
      <c r="BD3216" s="4">
        <v>43283.211805555555</v>
      </c>
      <c r="BE3216" s="4">
        <v>43283.234756944446</v>
      </c>
      <c r="BF3216" s="4">
        <v>43283.234756944446</v>
      </c>
      <c r="BG3216" t="s">
        <v>83</v>
      </c>
      <c r="BH3216" t="s">
        <v>84</v>
      </c>
      <c r="BI3216" t="s">
        <v>85</v>
      </c>
    </row>
    <row r="3217" spans="1:61" x14ac:dyDescent="0.3">
      <c r="A3217" t="str">
        <f>"201721C0400"</f>
        <v>201721C0400</v>
      </c>
      <c r="B3217" t="s">
        <v>6536</v>
      </c>
      <c r="C3217">
        <v>20</v>
      </c>
      <c r="D3217" t="s">
        <v>79</v>
      </c>
      <c r="E3217">
        <v>15</v>
      </c>
      <c r="F3217" t="s">
        <v>6336</v>
      </c>
      <c r="G3217">
        <v>1721</v>
      </c>
      <c r="H3217">
        <v>4</v>
      </c>
      <c r="I3217" t="s">
        <v>89</v>
      </c>
      <c r="J3217">
        <v>0</v>
      </c>
      <c r="K3217">
        <v>1</v>
      </c>
      <c r="L3217">
        <v>2</v>
      </c>
      <c r="M3217">
        <v>217</v>
      </c>
      <c r="N3217">
        <v>423</v>
      </c>
      <c r="O3217">
        <v>8</v>
      </c>
      <c r="P3217" t="s">
        <v>100</v>
      </c>
      <c r="Q3217">
        <v>15</v>
      </c>
      <c r="R3217">
        <v>40</v>
      </c>
      <c r="S3217">
        <v>57</v>
      </c>
      <c r="T3217">
        <v>14</v>
      </c>
      <c r="U3217">
        <v>13</v>
      </c>
      <c r="V3217">
        <v>1</v>
      </c>
      <c r="W3217">
        <v>14</v>
      </c>
      <c r="X3217">
        <v>3</v>
      </c>
      <c r="Y3217">
        <v>217</v>
      </c>
      <c r="Z3217">
        <v>6</v>
      </c>
      <c r="AA3217">
        <v>2</v>
      </c>
      <c r="AB3217">
        <v>13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1</v>
      </c>
      <c r="AM3217">
        <v>0</v>
      </c>
      <c r="AN3217">
        <v>0</v>
      </c>
      <c r="AT3217">
        <v>0</v>
      </c>
      <c r="AU3217">
        <v>27</v>
      </c>
      <c r="AV3217">
        <v>423</v>
      </c>
      <c r="AW3217">
        <v>423</v>
      </c>
      <c r="AX3217">
        <v>618</v>
      </c>
      <c r="BA3217">
        <v>1</v>
      </c>
      <c r="BC3217" t="s">
        <v>6537</v>
      </c>
      <c r="BD3217" s="4">
        <v>43283.208333333336</v>
      </c>
      <c r="BE3217" s="4">
        <v>43283.22934027778</v>
      </c>
      <c r="BF3217" s="4">
        <v>43283.22934027778</v>
      </c>
      <c r="BG3217" t="s">
        <v>83</v>
      </c>
      <c r="BH3217" t="s">
        <v>84</v>
      </c>
      <c r="BI3217" t="s">
        <v>85</v>
      </c>
    </row>
    <row r="3218" spans="1:61" x14ac:dyDescent="0.3">
      <c r="A3218" t="str">
        <f>"201722B0100"</f>
        <v>201722B0100</v>
      </c>
      <c r="B3218" t="s">
        <v>6538</v>
      </c>
      <c r="C3218">
        <v>20</v>
      </c>
      <c r="D3218" t="s">
        <v>79</v>
      </c>
      <c r="E3218">
        <v>15</v>
      </c>
      <c r="F3218" t="s">
        <v>6336</v>
      </c>
      <c r="G3218">
        <v>1722</v>
      </c>
      <c r="H3218">
        <v>1</v>
      </c>
      <c r="I3218" t="s">
        <v>81</v>
      </c>
      <c r="J3218">
        <v>0</v>
      </c>
      <c r="K3218">
        <v>1</v>
      </c>
      <c r="L3218">
        <v>2</v>
      </c>
      <c r="AX3218">
        <v>580</v>
      </c>
      <c r="AZ3218" t="s">
        <v>156</v>
      </c>
      <c r="BA3218">
        <v>0</v>
      </c>
      <c r="BC3218" t="s">
        <v>6539</v>
      </c>
      <c r="BD3218" s="4">
        <v>43283.645138888889</v>
      </c>
      <c r="BE3218" s="4">
        <v>43283.651516203703</v>
      </c>
      <c r="BF3218" s="4">
        <v>43283.651516203703</v>
      </c>
      <c r="BG3218" t="s">
        <v>83</v>
      </c>
      <c r="BH3218" t="s">
        <v>84</v>
      </c>
      <c r="BI3218" t="s">
        <v>85</v>
      </c>
    </row>
    <row r="3219" spans="1:61" x14ac:dyDescent="0.3">
      <c r="A3219" t="str">
        <f>"201722C0100"</f>
        <v>201722C0100</v>
      </c>
      <c r="B3219" t="s">
        <v>6540</v>
      </c>
      <c r="C3219">
        <v>20</v>
      </c>
      <c r="D3219" t="s">
        <v>79</v>
      </c>
      <c r="E3219">
        <v>15</v>
      </c>
      <c r="F3219" t="s">
        <v>6336</v>
      </c>
      <c r="G3219">
        <v>1722</v>
      </c>
      <c r="H3219">
        <v>1</v>
      </c>
      <c r="I3219" t="s">
        <v>89</v>
      </c>
      <c r="J3219">
        <v>0</v>
      </c>
      <c r="K3219">
        <v>1</v>
      </c>
      <c r="L3219">
        <v>2</v>
      </c>
      <c r="M3219" t="s">
        <v>100</v>
      </c>
      <c r="N3219" t="s">
        <v>100</v>
      </c>
      <c r="O3219" t="s">
        <v>100</v>
      </c>
      <c r="P3219" t="s">
        <v>100</v>
      </c>
      <c r="Q3219" t="s">
        <v>100</v>
      </c>
      <c r="R3219" t="s">
        <v>100</v>
      </c>
      <c r="S3219" t="s">
        <v>100</v>
      </c>
      <c r="T3219" t="s">
        <v>100</v>
      </c>
      <c r="U3219" t="s">
        <v>100</v>
      </c>
      <c r="V3219" t="s">
        <v>100</v>
      </c>
      <c r="W3219" t="s">
        <v>100</v>
      </c>
      <c r="X3219" t="s">
        <v>100</v>
      </c>
      <c r="Y3219" t="s">
        <v>100</v>
      </c>
      <c r="Z3219" t="s">
        <v>100</v>
      </c>
      <c r="AA3219" t="s">
        <v>100</v>
      </c>
      <c r="AB3219" t="s">
        <v>100</v>
      </c>
      <c r="AC3219" t="s">
        <v>100</v>
      </c>
      <c r="AD3219" t="s">
        <v>100</v>
      </c>
      <c r="AE3219" t="s">
        <v>100</v>
      </c>
      <c r="AF3219" t="s">
        <v>100</v>
      </c>
      <c r="AG3219" t="s">
        <v>100</v>
      </c>
      <c r="AH3219" t="s">
        <v>100</v>
      </c>
      <c r="AI3219" t="s">
        <v>100</v>
      </c>
      <c r="AJ3219" t="s">
        <v>100</v>
      </c>
      <c r="AK3219" t="s">
        <v>100</v>
      </c>
      <c r="AL3219" t="s">
        <v>100</v>
      </c>
      <c r="AM3219" t="s">
        <v>100</v>
      </c>
      <c r="AN3219" t="s">
        <v>100</v>
      </c>
      <c r="AT3219" t="s">
        <v>100</v>
      </c>
      <c r="AU3219" t="s">
        <v>100</v>
      </c>
      <c r="AX3219">
        <v>579</v>
      </c>
      <c r="AZ3219" t="s">
        <v>794</v>
      </c>
      <c r="BA3219">
        <v>0</v>
      </c>
      <c r="BC3219" t="s">
        <v>6541</v>
      </c>
      <c r="BD3219" s="4">
        <v>43283.586111111108</v>
      </c>
      <c r="BE3219" s="4">
        <v>43283.589513888888</v>
      </c>
      <c r="BF3219" s="4">
        <v>43283.589513888888</v>
      </c>
      <c r="BG3219" t="s">
        <v>83</v>
      </c>
      <c r="BH3219" t="s">
        <v>84</v>
      </c>
      <c r="BI3219" t="s">
        <v>85</v>
      </c>
    </row>
    <row r="3220" spans="1:61" x14ac:dyDescent="0.3">
      <c r="A3220" t="str">
        <f>"201722C0200"</f>
        <v>201722C0200</v>
      </c>
      <c r="B3220" t="s">
        <v>6542</v>
      </c>
      <c r="C3220">
        <v>20</v>
      </c>
      <c r="D3220" t="s">
        <v>79</v>
      </c>
      <c r="E3220">
        <v>15</v>
      </c>
      <c r="F3220" t="s">
        <v>6336</v>
      </c>
      <c r="G3220">
        <v>1722</v>
      </c>
      <c r="H3220">
        <v>2</v>
      </c>
      <c r="I3220" t="s">
        <v>89</v>
      </c>
      <c r="J3220">
        <v>0</v>
      </c>
      <c r="K3220">
        <v>1</v>
      </c>
      <c r="L3220">
        <v>2</v>
      </c>
      <c r="M3220">
        <v>147</v>
      </c>
      <c r="N3220">
        <v>464</v>
      </c>
      <c r="O3220">
        <v>10</v>
      </c>
      <c r="P3220">
        <v>437</v>
      </c>
      <c r="Q3220">
        <v>22</v>
      </c>
      <c r="R3220">
        <v>34</v>
      </c>
      <c r="S3220">
        <v>108</v>
      </c>
      <c r="T3220">
        <v>5</v>
      </c>
      <c r="U3220">
        <v>9</v>
      </c>
      <c r="V3220">
        <v>7</v>
      </c>
      <c r="W3220">
        <v>17</v>
      </c>
      <c r="X3220">
        <v>3</v>
      </c>
      <c r="Y3220">
        <v>193</v>
      </c>
      <c r="Z3220">
        <v>4</v>
      </c>
      <c r="AA3220">
        <v>1</v>
      </c>
      <c r="AB3220">
        <v>13</v>
      </c>
      <c r="AC3220">
        <v>2</v>
      </c>
      <c r="AD3220">
        <v>4</v>
      </c>
      <c r="AE3220">
        <v>0</v>
      </c>
      <c r="AF3220">
        <v>2</v>
      </c>
      <c r="AG3220">
        <v>1</v>
      </c>
      <c r="AH3220">
        <v>3</v>
      </c>
      <c r="AI3220">
        <v>0</v>
      </c>
      <c r="AJ3220">
        <v>0</v>
      </c>
      <c r="AK3220">
        <v>1</v>
      </c>
      <c r="AL3220">
        <v>0</v>
      </c>
      <c r="AM3220">
        <v>0</v>
      </c>
      <c r="AN3220">
        <v>0</v>
      </c>
      <c r="AT3220">
        <v>0</v>
      </c>
      <c r="AU3220">
        <v>20</v>
      </c>
      <c r="AV3220">
        <v>449</v>
      </c>
      <c r="AW3220">
        <v>449</v>
      </c>
      <c r="AX3220">
        <v>579</v>
      </c>
      <c r="BA3220">
        <v>1</v>
      </c>
      <c r="BC3220" t="s">
        <v>6543</v>
      </c>
      <c r="BD3220" s="4">
        <v>43283.065972222219</v>
      </c>
      <c r="BE3220" s="4">
        <v>43283.07980324074</v>
      </c>
      <c r="BF3220" s="4">
        <v>43283.07980324074</v>
      </c>
      <c r="BG3220" t="s">
        <v>83</v>
      </c>
      <c r="BH3220" t="s">
        <v>84</v>
      </c>
      <c r="BI3220" t="s">
        <v>85</v>
      </c>
    </row>
    <row r="3221" spans="1:61" x14ac:dyDescent="0.3">
      <c r="A3221" t="str">
        <f>"201722C0300"</f>
        <v>201722C0300</v>
      </c>
      <c r="B3221" t="s">
        <v>6544</v>
      </c>
      <c r="C3221">
        <v>20</v>
      </c>
      <c r="D3221" t="s">
        <v>79</v>
      </c>
      <c r="E3221">
        <v>15</v>
      </c>
      <c r="F3221" t="s">
        <v>6336</v>
      </c>
      <c r="G3221">
        <v>1722</v>
      </c>
      <c r="H3221">
        <v>3</v>
      </c>
      <c r="I3221" t="s">
        <v>89</v>
      </c>
      <c r="J3221">
        <v>0</v>
      </c>
      <c r="K3221">
        <v>1</v>
      </c>
      <c r="L3221">
        <v>2</v>
      </c>
      <c r="AX3221">
        <v>579</v>
      </c>
      <c r="AZ3221" t="s">
        <v>156</v>
      </c>
      <c r="BA3221">
        <v>0</v>
      </c>
      <c r="BC3221" t="s">
        <v>6545</v>
      </c>
      <c r="BD3221" s="4">
        <v>43283.697222222225</v>
      </c>
      <c r="BE3221" s="4">
        <v>43283.700509259259</v>
      </c>
      <c r="BF3221" s="4">
        <v>43283.700509259259</v>
      </c>
      <c r="BG3221" t="s">
        <v>83</v>
      </c>
      <c r="BH3221" t="s">
        <v>84</v>
      </c>
      <c r="BI3221" t="s">
        <v>85</v>
      </c>
    </row>
    <row r="3222" spans="1:61" x14ac:dyDescent="0.3">
      <c r="A3222" t="str">
        <f>"201722E0100"</f>
        <v>201722E0100</v>
      </c>
      <c r="B3222" s="2" t="s">
        <v>6546</v>
      </c>
      <c r="C3222">
        <v>20</v>
      </c>
      <c r="D3222" t="s">
        <v>79</v>
      </c>
      <c r="E3222">
        <v>15</v>
      </c>
      <c r="F3222" t="s">
        <v>6336</v>
      </c>
      <c r="G3222">
        <v>1722</v>
      </c>
      <c r="H3222">
        <v>1</v>
      </c>
      <c r="I3222" t="s">
        <v>145</v>
      </c>
      <c r="J3222">
        <v>0</v>
      </c>
      <c r="K3222">
        <v>1</v>
      </c>
      <c r="L3222">
        <v>2</v>
      </c>
      <c r="M3222">
        <v>224</v>
      </c>
      <c r="N3222">
        <v>492</v>
      </c>
      <c r="O3222">
        <v>11</v>
      </c>
      <c r="P3222">
        <v>479</v>
      </c>
      <c r="Q3222">
        <v>16</v>
      </c>
      <c r="R3222">
        <v>46</v>
      </c>
      <c r="S3222">
        <v>103</v>
      </c>
      <c r="T3222">
        <v>14</v>
      </c>
      <c r="U3222">
        <v>26</v>
      </c>
      <c r="V3222">
        <v>5</v>
      </c>
      <c r="W3222">
        <v>11</v>
      </c>
      <c r="X3222">
        <v>2</v>
      </c>
      <c r="Y3222">
        <v>230</v>
      </c>
      <c r="Z3222">
        <v>6</v>
      </c>
      <c r="AA3222">
        <v>2</v>
      </c>
      <c r="AB3222">
        <v>7</v>
      </c>
      <c r="AC3222">
        <v>3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6</v>
      </c>
      <c r="AL3222">
        <v>2</v>
      </c>
      <c r="AM3222">
        <v>0</v>
      </c>
      <c r="AN3222">
        <v>0</v>
      </c>
      <c r="AT3222">
        <v>0</v>
      </c>
      <c r="AU3222">
        <v>17</v>
      </c>
      <c r="AV3222">
        <v>479</v>
      </c>
      <c r="AW3222">
        <v>496</v>
      </c>
      <c r="AX3222">
        <v>694</v>
      </c>
      <c r="BA3222">
        <v>1</v>
      </c>
      <c r="BC3222" s="2" t="s">
        <v>6547</v>
      </c>
      <c r="BD3222" s="4">
        <v>43283.055520833332</v>
      </c>
      <c r="BE3222" s="4">
        <v>43283.059479166666</v>
      </c>
      <c r="BF3222" s="4">
        <v>43283.059479166666</v>
      </c>
      <c r="BG3222" t="s">
        <v>373</v>
      </c>
      <c r="BH3222" t="s">
        <v>374</v>
      </c>
      <c r="BI3222" t="s">
        <v>85</v>
      </c>
    </row>
    <row r="3223" spans="1:61" x14ac:dyDescent="0.3">
      <c r="A3223" t="str">
        <f>"201722E0101"</f>
        <v>201722E0101</v>
      </c>
      <c r="B3223" s="2" t="s">
        <v>6548</v>
      </c>
      <c r="C3223">
        <v>20</v>
      </c>
      <c r="D3223" t="s">
        <v>79</v>
      </c>
      <c r="E3223">
        <v>15</v>
      </c>
      <c r="F3223" t="s">
        <v>6336</v>
      </c>
      <c r="G3223">
        <v>1722</v>
      </c>
      <c r="H3223">
        <v>1</v>
      </c>
      <c r="I3223" t="s">
        <v>145</v>
      </c>
      <c r="J3223">
        <v>1</v>
      </c>
      <c r="K3223">
        <v>1</v>
      </c>
      <c r="L3223">
        <v>2</v>
      </c>
      <c r="M3223">
        <v>272</v>
      </c>
      <c r="N3223">
        <v>444</v>
      </c>
      <c r="O3223">
        <v>5</v>
      </c>
      <c r="P3223">
        <v>433</v>
      </c>
      <c r="Q3223">
        <v>19</v>
      </c>
      <c r="R3223">
        <v>30</v>
      </c>
      <c r="S3223">
        <v>100</v>
      </c>
      <c r="T3223">
        <v>10</v>
      </c>
      <c r="U3223">
        <v>7</v>
      </c>
      <c r="V3223">
        <v>5</v>
      </c>
      <c r="W3223">
        <v>8</v>
      </c>
      <c r="X3223">
        <v>5</v>
      </c>
      <c r="Y3223">
        <v>205</v>
      </c>
      <c r="Z3223">
        <v>8</v>
      </c>
      <c r="AA3223">
        <v>1</v>
      </c>
      <c r="AB3223">
        <v>8</v>
      </c>
      <c r="AC3223">
        <v>0</v>
      </c>
      <c r="AD3223">
        <v>1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7</v>
      </c>
      <c r="AL3223">
        <v>0</v>
      </c>
      <c r="AM3223">
        <v>0</v>
      </c>
      <c r="AN3223">
        <v>2</v>
      </c>
      <c r="AT3223">
        <v>0</v>
      </c>
      <c r="AU3223">
        <v>17</v>
      </c>
      <c r="AV3223">
        <v>433</v>
      </c>
      <c r="AW3223">
        <v>433</v>
      </c>
      <c r="AX3223">
        <v>694</v>
      </c>
      <c r="BA3223">
        <v>1</v>
      </c>
      <c r="BC3223" t="s">
        <v>6549</v>
      </c>
      <c r="BD3223" s="4">
        <v>43283.012511574074</v>
      </c>
      <c r="BE3223" s="4">
        <v>43283.021006944444</v>
      </c>
      <c r="BF3223" s="4">
        <v>43283.021006944444</v>
      </c>
      <c r="BG3223" t="s">
        <v>373</v>
      </c>
      <c r="BH3223" t="s">
        <v>374</v>
      </c>
      <c r="BI3223" t="s">
        <v>85</v>
      </c>
    </row>
    <row r="3224" spans="1:61" x14ac:dyDescent="0.3">
      <c r="A3224" t="str">
        <f>"201722E0102"</f>
        <v>201722E0102</v>
      </c>
      <c r="B3224" s="2" t="s">
        <v>6550</v>
      </c>
      <c r="C3224">
        <v>20</v>
      </c>
      <c r="D3224" t="s">
        <v>79</v>
      </c>
      <c r="E3224">
        <v>15</v>
      </c>
      <c r="F3224" t="s">
        <v>6336</v>
      </c>
      <c r="G3224">
        <v>1722</v>
      </c>
      <c r="H3224">
        <v>1</v>
      </c>
      <c r="I3224" t="s">
        <v>145</v>
      </c>
      <c r="J3224">
        <v>2</v>
      </c>
      <c r="K3224">
        <v>1</v>
      </c>
      <c r="L3224">
        <v>2</v>
      </c>
      <c r="M3224">
        <v>230</v>
      </c>
      <c r="N3224">
        <v>483</v>
      </c>
      <c r="O3224">
        <v>3</v>
      </c>
      <c r="P3224">
        <v>483</v>
      </c>
      <c r="Q3224">
        <v>22</v>
      </c>
      <c r="R3224">
        <v>30</v>
      </c>
      <c r="S3224">
        <v>119</v>
      </c>
      <c r="T3224">
        <v>10</v>
      </c>
      <c r="U3224">
        <v>14</v>
      </c>
      <c r="V3224">
        <v>9</v>
      </c>
      <c r="W3224">
        <v>19</v>
      </c>
      <c r="X3224">
        <v>6</v>
      </c>
      <c r="Y3224">
        <v>203</v>
      </c>
      <c r="Z3224">
        <v>11</v>
      </c>
      <c r="AA3224">
        <v>5</v>
      </c>
      <c r="AB3224">
        <v>9</v>
      </c>
      <c r="AC3224">
        <v>1</v>
      </c>
      <c r="AD3224">
        <v>3</v>
      </c>
      <c r="AE3224">
        <v>0</v>
      </c>
      <c r="AF3224">
        <v>0</v>
      </c>
      <c r="AG3224">
        <v>1</v>
      </c>
      <c r="AH3224">
        <v>0</v>
      </c>
      <c r="AI3224">
        <v>0</v>
      </c>
      <c r="AJ3224">
        <v>0</v>
      </c>
      <c r="AK3224">
        <v>1</v>
      </c>
      <c r="AL3224">
        <v>1</v>
      </c>
      <c r="AM3224">
        <v>0</v>
      </c>
      <c r="AN3224">
        <v>0</v>
      </c>
      <c r="AT3224">
        <v>0</v>
      </c>
      <c r="AU3224">
        <v>121</v>
      </c>
      <c r="AV3224">
        <v>483</v>
      </c>
      <c r="AW3224">
        <v>585</v>
      </c>
      <c r="AX3224">
        <v>694</v>
      </c>
      <c r="BA3224">
        <v>1</v>
      </c>
      <c r="BC3224" t="s">
        <v>6551</v>
      </c>
      <c r="BD3224" s="4">
        <v>43283.006712962961</v>
      </c>
      <c r="BE3224" s="4">
        <v>43283.011724537035</v>
      </c>
      <c r="BF3224" s="4">
        <v>43283.011724537035</v>
      </c>
      <c r="BG3224" t="s">
        <v>373</v>
      </c>
      <c r="BH3224" t="s">
        <v>374</v>
      </c>
      <c r="BI3224" t="s">
        <v>85</v>
      </c>
    </row>
    <row r="3225" spans="1:61" x14ac:dyDescent="0.3">
      <c r="A3225" t="str">
        <f>"201722E0103"</f>
        <v>201722E0103</v>
      </c>
      <c r="B3225" s="2" t="s">
        <v>6552</v>
      </c>
      <c r="C3225">
        <v>20</v>
      </c>
      <c r="D3225" t="s">
        <v>79</v>
      </c>
      <c r="E3225">
        <v>15</v>
      </c>
      <c r="F3225" t="s">
        <v>6336</v>
      </c>
      <c r="G3225">
        <v>1722</v>
      </c>
      <c r="H3225">
        <v>1</v>
      </c>
      <c r="I3225" t="s">
        <v>145</v>
      </c>
      <c r="J3225">
        <v>3</v>
      </c>
      <c r="K3225">
        <v>1</v>
      </c>
      <c r="L3225">
        <v>2</v>
      </c>
      <c r="M3225">
        <v>219</v>
      </c>
      <c r="N3225" t="s">
        <v>100</v>
      </c>
      <c r="O3225">
        <v>0</v>
      </c>
      <c r="P3225">
        <v>316</v>
      </c>
      <c r="Q3225">
        <v>11</v>
      </c>
      <c r="R3225">
        <v>30</v>
      </c>
      <c r="S3225">
        <v>73</v>
      </c>
      <c r="T3225">
        <v>8</v>
      </c>
      <c r="U3225">
        <v>13</v>
      </c>
      <c r="V3225">
        <v>3</v>
      </c>
      <c r="W3225">
        <v>5</v>
      </c>
      <c r="X3225">
        <v>4</v>
      </c>
      <c r="Y3225">
        <v>148</v>
      </c>
      <c r="Z3225">
        <v>3</v>
      </c>
      <c r="AA3225">
        <v>1</v>
      </c>
      <c r="AB3225">
        <v>7</v>
      </c>
      <c r="AC3225">
        <v>3</v>
      </c>
      <c r="AD3225">
        <v>0</v>
      </c>
      <c r="AE3225">
        <v>0</v>
      </c>
      <c r="AF3225">
        <v>0</v>
      </c>
      <c r="AG3225">
        <v>0</v>
      </c>
      <c r="AH3225">
        <v>1</v>
      </c>
      <c r="AI3225">
        <v>0</v>
      </c>
      <c r="AJ3225">
        <v>1</v>
      </c>
      <c r="AK3225">
        <v>0</v>
      </c>
      <c r="AL3225">
        <v>0</v>
      </c>
      <c r="AM3225">
        <v>0</v>
      </c>
      <c r="AN3225">
        <v>0</v>
      </c>
      <c r="AT3225">
        <v>0</v>
      </c>
      <c r="AU3225">
        <v>9</v>
      </c>
      <c r="AV3225">
        <v>322</v>
      </c>
      <c r="AW3225">
        <v>320</v>
      </c>
      <c r="AX3225">
        <v>694</v>
      </c>
      <c r="BA3225">
        <v>1</v>
      </c>
      <c r="BC3225" t="s">
        <v>6553</v>
      </c>
      <c r="BD3225" s="4">
        <v>43283.041701388887</v>
      </c>
      <c r="BE3225" s="4">
        <v>43283.045243055552</v>
      </c>
      <c r="BF3225" s="4">
        <v>43283.045243055552</v>
      </c>
      <c r="BG3225" t="s">
        <v>373</v>
      </c>
      <c r="BH3225" t="s">
        <v>374</v>
      </c>
      <c r="BI3225" t="s">
        <v>85</v>
      </c>
    </row>
    <row r="3226" spans="1:61" x14ac:dyDescent="0.3">
      <c r="A3226" t="str">
        <f>"201722E0104"</f>
        <v>201722E0104</v>
      </c>
      <c r="B3226" s="2" t="s">
        <v>6554</v>
      </c>
      <c r="C3226">
        <v>20</v>
      </c>
      <c r="D3226" t="s">
        <v>79</v>
      </c>
      <c r="E3226">
        <v>15</v>
      </c>
      <c r="F3226" t="s">
        <v>6336</v>
      </c>
      <c r="G3226">
        <v>1722</v>
      </c>
      <c r="H3226">
        <v>1</v>
      </c>
      <c r="I3226" t="s">
        <v>145</v>
      </c>
      <c r="J3226">
        <v>4</v>
      </c>
      <c r="K3226">
        <v>1</v>
      </c>
      <c r="L3226">
        <v>2</v>
      </c>
      <c r="M3226">
        <v>644</v>
      </c>
      <c r="N3226">
        <v>472</v>
      </c>
      <c r="O3226">
        <v>5</v>
      </c>
      <c r="P3226">
        <v>466</v>
      </c>
      <c r="Q3226">
        <v>20</v>
      </c>
      <c r="R3226">
        <v>36</v>
      </c>
      <c r="S3226">
        <v>102</v>
      </c>
      <c r="T3226">
        <v>7</v>
      </c>
      <c r="U3226">
        <v>22</v>
      </c>
      <c r="V3226">
        <v>7</v>
      </c>
      <c r="W3226">
        <v>12</v>
      </c>
      <c r="X3226">
        <v>4</v>
      </c>
      <c r="Y3226">
        <v>213</v>
      </c>
      <c r="Z3226">
        <v>8</v>
      </c>
      <c r="AA3226">
        <v>3</v>
      </c>
      <c r="AB3226">
        <v>10</v>
      </c>
      <c r="AC3226">
        <v>1</v>
      </c>
      <c r="AD3226">
        <v>1</v>
      </c>
      <c r="AE3226">
        <v>0</v>
      </c>
      <c r="AF3226">
        <v>0</v>
      </c>
      <c r="AG3226">
        <v>2</v>
      </c>
      <c r="AH3226">
        <v>0</v>
      </c>
      <c r="AI3226">
        <v>0</v>
      </c>
      <c r="AJ3226">
        <v>0</v>
      </c>
      <c r="AK3226">
        <v>2</v>
      </c>
      <c r="AL3226">
        <v>0</v>
      </c>
      <c r="AM3226">
        <v>1</v>
      </c>
      <c r="AN3226">
        <v>1</v>
      </c>
      <c r="AT3226">
        <v>0</v>
      </c>
      <c r="AU3226">
        <v>15</v>
      </c>
      <c r="AV3226">
        <v>466</v>
      </c>
      <c r="AW3226">
        <v>467</v>
      </c>
      <c r="AX3226">
        <v>694</v>
      </c>
      <c r="BA3226">
        <v>1</v>
      </c>
      <c r="BC3226" t="s">
        <v>6555</v>
      </c>
      <c r="BD3226" s="4">
        <v>43283.038611111115</v>
      </c>
      <c r="BE3226" s="4">
        <v>43283.043530092589</v>
      </c>
      <c r="BF3226" s="4">
        <v>43283.043530092589</v>
      </c>
      <c r="BG3226" t="s">
        <v>373</v>
      </c>
      <c r="BH3226" t="s">
        <v>374</v>
      </c>
      <c r="BI3226" t="s">
        <v>85</v>
      </c>
    </row>
    <row r="3227" spans="1:61" x14ac:dyDescent="0.3">
      <c r="A3227" t="str">
        <f>"201722E0200"</f>
        <v>201722E0200</v>
      </c>
      <c r="B3227" s="2" t="s">
        <v>6556</v>
      </c>
      <c r="C3227">
        <v>20</v>
      </c>
      <c r="D3227" t="s">
        <v>79</v>
      </c>
      <c r="E3227">
        <v>15</v>
      </c>
      <c r="F3227" t="s">
        <v>6336</v>
      </c>
      <c r="G3227">
        <v>1722</v>
      </c>
      <c r="H3227">
        <v>2</v>
      </c>
      <c r="I3227" t="s">
        <v>145</v>
      </c>
      <c r="J3227">
        <v>0</v>
      </c>
      <c r="K3227">
        <v>1</v>
      </c>
      <c r="L3227">
        <v>2</v>
      </c>
      <c r="M3227">
        <v>237</v>
      </c>
      <c r="N3227">
        <v>535</v>
      </c>
      <c r="O3227">
        <v>5</v>
      </c>
      <c r="P3227">
        <v>534</v>
      </c>
      <c r="Q3227">
        <v>29</v>
      </c>
      <c r="R3227">
        <v>45</v>
      </c>
      <c r="S3227">
        <v>138</v>
      </c>
      <c r="T3227">
        <v>9</v>
      </c>
      <c r="U3227">
        <v>13</v>
      </c>
      <c r="V3227">
        <v>11</v>
      </c>
      <c r="W3227">
        <v>7</v>
      </c>
      <c r="X3227">
        <v>1</v>
      </c>
      <c r="Y3227">
        <v>236</v>
      </c>
      <c r="Z3227">
        <v>13</v>
      </c>
      <c r="AA3227">
        <v>2</v>
      </c>
      <c r="AB3227">
        <v>6</v>
      </c>
      <c r="AC3227">
        <v>2</v>
      </c>
      <c r="AD3227" t="s">
        <v>100</v>
      </c>
      <c r="AE3227" t="s">
        <v>100</v>
      </c>
      <c r="AF3227" t="s">
        <v>100</v>
      </c>
      <c r="AG3227">
        <v>1</v>
      </c>
      <c r="AH3227" t="s">
        <v>100</v>
      </c>
      <c r="AI3227" t="s">
        <v>100</v>
      </c>
      <c r="AJ3227">
        <v>7</v>
      </c>
      <c r="AK3227">
        <v>7</v>
      </c>
      <c r="AL3227" t="s">
        <v>100</v>
      </c>
      <c r="AM3227" t="s">
        <v>100</v>
      </c>
      <c r="AN3227" t="s">
        <v>100</v>
      </c>
      <c r="AT3227">
        <v>0</v>
      </c>
      <c r="AU3227">
        <v>14</v>
      </c>
      <c r="AV3227">
        <v>534</v>
      </c>
      <c r="AW3227">
        <v>541</v>
      </c>
      <c r="AX3227">
        <v>750</v>
      </c>
      <c r="AZ3227" t="s">
        <v>101</v>
      </c>
      <c r="BA3227">
        <v>1</v>
      </c>
      <c r="BC3227" t="s">
        <v>6557</v>
      </c>
      <c r="BD3227" s="4">
        <v>43283.131249999999</v>
      </c>
      <c r="BE3227" s="4">
        <v>43283.137129629627</v>
      </c>
      <c r="BF3227" s="4">
        <v>43283.137129629627</v>
      </c>
      <c r="BG3227" t="s">
        <v>83</v>
      </c>
      <c r="BH3227" t="s">
        <v>84</v>
      </c>
      <c r="BI3227" t="s">
        <v>85</v>
      </c>
    </row>
    <row r="3228" spans="1:61" x14ac:dyDescent="0.3">
      <c r="A3228" t="str">
        <f>"201722E0201"</f>
        <v>201722E0201</v>
      </c>
      <c r="B3228" s="2" t="s">
        <v>6558</v>
      </c>
      <c r="C3228">
        <v>20</v>
      </c>
      <c r="D3228" t="s">
        <v>79</v>
      </c>
      <c r="E3228">
        <v>15</v>
      </c>
      <c r="F3228" t="s">
        <v>6336</v>
      </c>
      <c r="G3228">
        <v>1722</v>
      </c>
      <c r="H3228">
        <v>2</v>
      </c>
      <c r="I3228" t="s">
        <v>145</v>
      </c>
      <c r="J3228">
        <v>1</v>
      </c>
      <c r="K3228">
        <v>1</v>
      </c>
      <c r="L3228">
        <v>2</v>
      </c>
      <c r="M3228">
        <v>255</v>
      </c>
      <c r="N3228">
        <v>517</v>
      </c>
      <c r="O3228">
        <v>6</v>
      </c>
      <c r="P3228">
        <v>516</v>
      </c>
      <c r="Q3228">
        <v>24</v>
      </c>
      <c r="R3228">
        <v>27</v>
      </c>
      <c r="S3228">
        <v>117</v>
      </c>
      <c r="T3228">
        <v>19</v>
      </c>
      <c r="U3228">
        <v>20</v>
      </c>
      <c r="V3228">
        <v>13</v>
      </c>
      <c r="W3228">
        <v>7</v>
      </c>
      <c r="X3228">
        <v>4</v>
      </c>
      <c r="Y3228">
        <v>232</v>
      </c>
      <c r="Z3228">
        <v>11</v>
      </c>
      <c r="AA3228">
        <v>2</v>
      </c>
      <c r="AB3228">
        <v>6</v>
      </c>
      <c r="AC3228">
        <v>1</v>
      </c>
      <c r="AD3228">
        <v>0</v>
      </c>
      <c r="AE3228">
        <v>0</v>
      </c>
      <c r="AF3228">
        <v>2</v>
      </c>
      <c r="AG3228">
        <v>2</v>
      </c>
      <c r="AH3228">
        <v>0</v>
      </c>
      <c r="AI3228">
        <v>0</v>
      </c>
      <c r="AJ3228">
        <v>0</v>
      </c>
      <c r="AK3228">
        <v>4</v>
      </c>
      <c r="AL3228">
        <v>5</v>
      </c>
      <c r="AM3228">
        <v>0</v>
      </c>
      <c r="AN3228">
        <v>2</v>
      </c>
      <c r="AT3228">
        <v>0</v>
      </c>
      <c r="AU3228">
        <v>18</v>
      </c>
      <c r="AV3228" t="s">
        <v>100</v>
      </c>
      <c r="AW3228">
        <v>516</v>
      </c>
      <c r="AX3228">
        <v>750</v>
      </c>
      <c r="BA3228">
        <v>1</v>
      </c>
      <c r="BC3228" t="s">
        <v>6559</v>
      </c>
      <c r="BD3228" s="4">
        <v>43283.150694444441</v>
      </c>
      <c r="BE3228" s="4">
        <v>43283.161608796298</v>
      </c>
      <c r="BF3228" s="4">
        <v>43283.161608796298</v>
      </c>
      <c r="BG3228" t="s">
        <v>83</v>
      </c>
      <c r="BH3228" t="s">
        <v>84</v>
      </c>
      <c r="BI3228" t="s">
        <v>85</v>
      </c>
    </row>
    <row r="3229" spans="1:61" x14ac:dyDescent="0.3">
      <c r="A3229" t="str">
        <f>"201722E0202"</f>
        <v>201722E0202</v>
      </c>
      <c r="B3229" s="2" t="s">
        <v>6560</v>
      </c>
      <c r="C3229">
        <v>20</v>
      </c>
      <c r="D3229" t="s">
        <v>79</v>
      </c>
      <c r="E3229">
        <v>15</v>
      </c>
      <c r="F3229" t="s">
        <v>6336</v>
      </c>
      <c r="G3229">
        <v>1722</v>
      </c>
      <c r="H3229">
        <v>2</v>
      </c>
      <c r="I3229" t="s">
        <v>145</v>
      </c>
      <c r="J3229">
        <v>2</v>
      </c>
      <c r="K3229">
        <v>1</v>
      </c>
      <c r="L3229">
        <v>2</v>
      </c>
      <c r="M3229">
        <v>247</v>
      </c>
      <c r="N3229">
        <v>525</v>
      </c>
      <c r="O3229">
        <v>6</v>
      </c>
      <c r="P3229">
        <v>525</v>
      </c>
      <c r="Q3229">
        <v>25</v>
      </c>
      <c r="R3229">
        <v>54</v>
      </c>
      <c r="S3229">
        <v>107</v>
      </c>
      <c r="T3229">
        <v>13</v>
      </c>
      <c r="U3229">
        <v>20</v>
      </c>
      <c r="V3229">
        <v>5</v>
      </c>
      <c r="W3229">
        <v>10</v>
      </c>
      <c r="X3229">
        <v>1</v>
      </c>
      <c r="Y3229">
        <v>240</v>
      </c>
      <c r="Z3229">
        <v>9</v>
      </c>
      <c r="AA3229">
        <v>2</v>
      </c>
      <c r="AB3229">
        <v>8</v>
      </c>
      <c r="AC3229">
        <v>6</v>
      </c>
      <c r="AD3229" t="s">
        <v>100</v>
      </c>
      <c r="AE3229" t="s">
        <v>100</v>
      </c>
      <c r="AF3229" t="s">
        <v>100</v>
      </c>
      <c r="AG3229" t="s">
        <v>100</v>
      </c>
      <c r="AH3229" t="s">
        <v>100</v>
      </c>
      <c r="AI3229" t="s">
        <v>100</v>
      </c>
      <c r="AJ3229" t="s">
        <v>100</v>
      </c>
      <c r="AK3229">
        <v>6</v>
      </c>
      <c r="AL3229" t="s">
        <v>100</v>
      </c>
      <c r="AM3229" t="s">
        <v>100</v>
      </c>
      <c r="AN3229" t="s">
        <v>100</v>
      </c>
      <c r="AT3229" t="s">
        <v>100</v>
      </c>
      <c r="AU3229">
        <v>19</v>
      </c>
      <c r="AV3229">
        <v>525</v>
      </c>
      <c r="AW3229">
        <v>525</v>
      </c>
      <c r="AX3229">
        <v>750</v>
      </c>
      <c r="AZ3229" t="s">
        <v>101</v>
      </c>
      <c r="BA3229">
        <v>1</v>
      </c>
      <c r="BC3229" t="s">
        <v>6561</v>
      </c>
      <c r="BD3229" s="4">
        <v>43283.15</v>
      </c>
      <c r="BE3229" s="4">
        <v>43283.159618055557</v>
      </c>
      <c r="BF3229" s="4">
        <v>43283.159618055557</v>
      </c>
      <c r="BG3229" t="s">
        <v>83</v>
      </c>
      <c r="BH3229" t="s">
        <v>84</v>
      </c>
      <c r="BI3229" t="s">
        <v>85</v>
      </c>
    </row>
    <row r="3230" spans="1:61" x14ac:dyDescent="0.3">
      <c r="A3230" t="str">
        <f>"201722E0203"</f>
        <v>201722E0203</v>
      </c>
      <c r="B3230" s="2" t="s">
        <v>6562</v>
      </c>
      <c r="C3230">
        <v>20</v>
      </c>
      <c r="D3230" t="s">
        <v>79</v>
      </c>
      <c r="E3230">
        <v>15</v>
      </c>
      <c r="F3230" t="s">
        <v>6336</v>
      </c>
      <c r="G3230">
        <v>1722</v>
      </c>
      <c r="H3230">
        <v>2</v>
      </c>
      <c r="I3230" t="s">
        <v>145</v>
      </c>
      <c r="J3230">
        <v>3</v>
      </c>
      <c r="K3230">
        <v>1</v>
      </c>
      <c r="L3230">
        <v>2</v>
      </c>
      <c r="M3230">
        <v>245</v>
      </c>
      <c r="N3230">
        <v>532</v>
      </c>
      <c r="O3230">
        <v>6</v>
      </c>
      <c r="P3230">
        <v>527</v>
      </c>
      <c r="Q3230">
        <v>27</v>
      </c>
      <c r="R3230">
        <v>38</v>
      </c>
      <c r="S3230">
        <v>120</v>
      </c>
      <c r="T3230">
        <v>18</v>
      </c>
      <c r="U3230">
        <v>22</v>
      </c>
      <c r="V3230">
        <v>6</v>
      </c>
      <c r="W3230">
        <v>11</v>
      </c>
      <c r="X3230">
        <v>4</v>
      </c>
      <c r="Y3230">
        <v>256</v>
      </c>
      <c r="Z3230">
        <v>5</v>
      </c>
      <c r="AA3230">
        <v>2</v>
      </c>
      <c r="AB3230">
        <v>6</v>
      </c>
      <c r="AC3230" t="s">
        <v>100</v>
      </c>
      <c r="AD3230" t="s">
        <v>100</v>
      </c>
      <c r="AE3230" t="s">
        <v>100</v>
      </c>
      <c r="AF3230" t="s">
        <v>100</v>
      </c>
      <c r="AG3230" t="s">
        <v>100</v>
      </c>
      <c r="AH3230" t="s">
        <v>100</v>
      </c>
      <c r="AI3230" t="s">
        <v>100</v>
      </c>
      <c r="AJ3230" t="s">
        <v>100</v>
      </c>
      <c r="AK3230" t="s">
        <v>100</v>
      </c>
      <c r="AL3230">
        <v>13</v>
      </c>
      <c r="AM3230" t="s">
        <v>100</v>
      </c>
      <c r="AN3230" t="s">
        <v>100</v>
      </c>
      <c r="AT3230" t="s">
        <v>100</v>
      </c>
      <c r="AU3230" t="s">
        <v>100</v>
      </c>
      <c r="AV3230">
        <v>527</v>
      </c>
      <c r="AW3230">
        <v>528</v>
      </c>
      <c r="AX3230">
        <v>750</v>
      </c>
      <c r="AZ3230" t="s">
        <v>101</v>
      </c>
      <c r="BA3230">
        <v>1</v>
      </c>
      <c r="BC3230" t="s">
        <v>6563</v>
      </c>
      <c r="BD3230" s="4">
        <v>43283.137499999997</v>
      </c>
      <c r="BE3230" s="4">
        <v>43283.143078703702</v>
      </c>
      <c r="BF3230" s="4">
        <v>43283.143078703702</v>
      </c>
      <c r="BG3230" t="s">
        <v>83</v>
      </c>
      <c r="BH3230" t="s">
        <v>84</v>
      </c>
      <c r="BI3230" t="s">
        <v>85</v>
      </c>
    </row>
    <row r="3231" spans="1:61" x14ac:dyDescent="0.3">
      <c r="A3231" t="str">
        <f>"201723B0100"</f>
        <v>201723B0100</v>
      </c>
      <c r="B3231" t="s">
        <v>6564</v>
      </c>
      <c r="C3231">
        <v>20</v>
      </c>
      <c r="D3231" t="s">
        <v>79</v>
      </c>
      <c r="E3231">
        <v>15</v>
      </c>
      <c r="F3231" t="s">
        <v>6336</v>
      </c>
      <c r="G3231">
        <v>1723</v>
      </c>
      <c r="H3231">
        <v>1</v>
      </c>
      <c r="I3231" t="s">
        <v>81</v>
      </c>
      <c r="J3231">
        <v>0</v>
      </c>
      <c r="K3231">
        <v>1</v>
      </c>
      <c r="L3231">
        <v>2</v>
      </c>
      <c r="M3231">
        <v>225</v>
      </c>
      <c r="N3231">
        <v>478</v>
      </c>
      <c r="O3231">
        <v>0</v>
      </c>
      <c r="P3231">
        <v>478</v>
      </c>
      <c r="Q3231">
        <v>37</v>
      </c>
      <c r="R3231">
        <v>39</v>
      </c>
      <c r="S3231">
        <v>61</v>
      </c>
      <c r="T3231">
        <v>10</v>
      </c>
      <c r="U3231">
        <v>15</v>
      </c>
      <c r="V3231">
        <v>14</v>
      </c>
      <c r="W3231">
        <v>13</v>
      </c>
      <c r="X3231">
        <v>7</v>
      </c>
      <c r="Y3231">
        <v>223</v>
      </c>
      <c r="Z3231">
        <v>8</v>
      </c>
      <c r="AA3231">
        <v>8</v>
      </c>
      <c r="AB3231">
        <v>16</v>
      </c>
      <c r="AC3231">
        <v>0</v>
      </c>
      <c r="AD3231">
        <v>1</v>
      </c>
      <c r="AE3231">
        <v>0</v>
      </c>
      <c r="AF3231">
        <v>0</v>
      </c>
      <c r="AG3231">
        <v>0</v>
      </c>
      <c r="AH3231">
        <v>1</v>
      </c>
      <c r="AI3231">
        <v>0</v>
      </c>
      <c r="AJ3231">
        <v>0</v>
      </c>
      <c r="AK3231">
        <v>5</v>
      </c>
      <c r="AL3231">
        <v>0</v>
      </c>
      <c r="AM3231">
        <v>0</v>
      </c>
      <c r="AN3231">
        <v>0</v>
      </c>
      <c r="AT3231">
        <v>0</v>
      </c>
      <c r="AU3231">
        <v>20</v>
      </c>
      <c r="AV3231">
        <v>478</v>
      </c>
      <c r="AW3231">
        <v>478</v>
      </c>
      <c r="AX3231">
        <v>681</v>
      </c>
      <c r="BA3231">
        <v>1</v>
      </c>
      <c r="BC3231" t="s">
        <v>6565</v>
      </c>
      <c r="BD3231" s="4">
        <v>43282.942083333335</v>
      </c>
      <c r="BE3231" s="4">
        <v>43282.947164351855</v>
      </c>
      <c r="BF3231" s="4">
        <v>43282.947164351855</v>
      </c>
      <c r="BG3231" t="s">
        <v>373</v>
      </c>
      <c r="BH3231" t="s">
        <v>374</v>
      </c>
      <c r="BI3231" t="s">
        <v>85</v>
      </c>
    </row>
    <row r="3232" spans="1:61" x14ac:dyDescent="0.3">
      <c r="A3232" t="str">
        <f>"201723C0100"</f>
        <v>201723C0100</v>
      </c>
      <c r="B3232" t="s">
        <v>6566</v>
      </c>
      <c r="C3232">
        <v>20</v>
      </c>
      <c r="D3232" t="s">
        <v>79</v>
      </c>
      <c r="E3232">
        <v>15</v>
      </c>
      <c r="F3232" t="s">
        <v>6336</v>
      </c>
      <c r="G3232">
        <v>1723</v>
      </c>
      <c r="H3232">
        <v>1</v>
      </c>
      <c r="I3232" t="s">
        <v>89</v>
      </c>
      <c r="J3232">
        <v>0</v>
      </c>
      <c r="K3232">
        <v>1</v>
      </c>
      <c r="L3232">
        <v>2</v>
      </c>
      <c r="M3232">
        <v>221</v>
      </c>
      <c r="N3232">
        <v>482</v>
      </c>
      <c r="O3232">
        <v>5</v>
      </c>
      <c r="P3232" t="s">
        <v>100</v>
      </c>
      <c r="Q3232">
        <v>23</v>
      </c>
      <c r="R3232">
        <v>46</v>
      </c>
      <c r="S3232">
        <v>89</v>
      </c>
      <c r="T3232">
        <v>13</v>
      </c>
      <c r="U3232">
        <v>10</v>
      </c>
      <c r="V3232">
        <v>10</v>
      </c>
      <c r="W3232">
        <v>13</v>
      </c>
      <c r="X3232">
        <v>7</v>
      </c>
      <c r="Y3232">
        <v>213</v>
      </c>
      <c r="Z3232">
        <v>5</v>
      </c>
      <c r="AA3232">
        <v>1</v>
      </c>
      <c r="AB3232">
        <v>16</v>
      </c>
      <c r="AC3232">
        <v>3</v>
      </c>
      <c r="AD3232">
        <v>0</v>
      </c>
      <c r="AE3232">
        <v>2</v>
      </c>
      <c r="AF3232">
        <v>0</v>
      </c>
      <c r="AG3232">
        <v>0</v>
      </c>
      <c r="AH3232">
        <v>1</v>
      </c>
      <c r="AI3232">
        <v>0</v>
      </c>
      <c r="AJ3232">
        <v>0</v>
      </c>
      <c r="AK3232">
        <v>2</v>
      </c>
      <c r="AL3232">
        <v>2</v>
      </c>
      <c r="AM3232">
        <v>0</v>
      </c>
      <c r="AN3232">
        <v>0</v>
      </c>
      <c r="AT3232">
        <v>1</v>
      </c>
      <c r="AU3232">
        <v>25</v>
      </c>
      <c r="AV3232">
        <v>482</v>
      </c>
      <c r="AW3232">
        <v>482</v>
      </c>
      <c r="AX3232">
        <v>681</v>
      </c>
      <c r="BA3232">
        <v>1</v>
      </c>
      <c r="BC3232" t="s">
        <v>6567</v>
      </c>
      <c r="BD3232" s="4">
        <v>43283.0234837963</v>
      </c>
      <c r="BE3232" s="4">
        <v>43283.028124999997</v>
      </c>
      <c r="BF3232" s="4">
        <v>43283.028124999997</v>
      </c>
      <c r="BG3232" t="s">
        <v>373</v>
      </c>
      <c r="BH3232" t="s">
        <v>374</v>
      </c>
      <c r="BI3232" t="s">
        <v>85</v>
      </c>
    </row>
    <row r="3233" spans="1:61" x14ac:dyDescent="0.3">
      <c r="A3233" t="str">
        <f>"201723C0200"</f>
        <v>201723C0200</v>
      </c>
      <c r="B3233" t="s">
        <v>6568</v>
      </c>
      <c r="C3233">
        <v>20</v>
      </c>
      <c r="D3233" t="s">
        <v>79</v>
      </c>
      <c r="E3233">
        <v>15</v>
      </c>
      <c r="F3233" t="s">
        <v>6336</v>
      </c>
      <c r="G3233">
        <v>1723</v>
      </c>
      <c r="H3233">
        <v>2</v>
      </c>
      <c r="I3233" t="s">
        <v>89</v>
      </c>
      <c r="J3233">
        <v>0</v>
      </c>
      <c r="K3233">
        <v>1</v>
      </c>
      <c r="L3233">
        <v>2</v>
      </c>
      <c r="M3233">
        <v>249</v>
      </c>
      <c r="N3233">
        <v>454</v>
      </c>
      <c r="O3233">
        <v>2</v>
      </c>
      <c r="P3233">
        <v>454</v>
      </c>
      <c r="Q3233">
        <v>22</v>
      </c>
      <c r="R3233">
        <v>48</v>
      </c>
      <c r="S3233">
        <v>59</v>
      </c>
      <c r="T3233">
        <v>15</v>
      </c>
      <c r="U3233">
        <v>14</v>
      </c>
      <c r="V3233">
        <v>5</v>
      </c>
      <c r="W3233">
        <v>13</v>
      </c>
      <c r="X3233">
        <v>1</v>
      </c>
      <c r="Y3233">
        <v>237</v>
      </c>
      <c r="Z3233">
        <v>7</v>
      </c>
      <c r="AA3233">
        <v>3</v>
      </c>
      <c r="AB3233">
        <v>6</v>
      </c>
      <c r="AC3233">
        <v>1</v>
      </c>
      <c r="AD3233">
        <v>1</v>
      </c>
      <c r="AE3233">
        <v>0</v>
      </c>
      <c r="AF3233">
        <v>0</v>
      </c>
      <c r="AG3233">
        <v>0</v>
      </c>
      <c r="AH3233">
        <v>3</v>
      </c>
      <c r="AI3233">
        <v>0</v>
      </c>
      <c r="AJ3233">
        <v>0</v>
      </c>
      <c r="AK3233">
        <v>8</v>
      </c>
      <c r="AL3233">
        <v>0</v>
      </c>
      <c r="AM3233">
        <v>0</v>
      </c>
      <c r="AN3233">
        <v>1</v>
      </c>
      <c r="AT3233">
        <v>0</v>
      </c>
      <c r="AU3233">
        <v>10</v>
      </c>
      <c r="AV3233">
        <v>457</v>
      </c>
      <c r="AW3233">
        <v>454</v>
      </c>
      <c r="AX3233">
        <v>681</v>
      </c>
      <c r="BA3233">
        <v>1</v>
      </c>
      <c r="BC3233" t="s">
        <v>6569</v>
      </c>
      <c r="BD3233" s="4">
        <v>43282.972951388889</v>
      </c>
      <c r="BE3233" s="4">
        <v>43282.976956018516</v>
      </c>
      <c r="BF3233" s="4">
        <v>43282.976956018516</v>
      </c>
      <c r="BG3233" t="s">
        <v>373</v>
      </c>
      <c r="BH3233" t="s">
        <v>374</v>
      </c>
      <c r="BI3233" t="s">
        <v>85</v>
      </c>
    </row>
    <row r="3234" spans="1:61" x14ac:dyDescent="0.3">
      <c r="A3234" t="str">
        <f>"201723C0300"</f>
        <v>201723C0300</v>
      </c>
      <c r="B3234" t="s">
        <v>6570</v>
      </c>
      <c r="C3234">
        <v>20</v>
      </c>
      <c r="D3234" t="s">
        <v>79</v>
      </c>
      <c r="E3234">
        <v>15</v>
      </c>
      <c r="F3234" t="s">
        <v>6336</v>
      </c>
      <c r="G3234">
        <v>1723</v>
      </c>
      <c r="H3234">
        <v>3</v>
      </c>
      <c r="I3234" t="s">
        <v>89</v>
      </c>
      <c r="J3234">
        <v>0</v>
      </c>
      <c r="K3234">
        <v>1</v>
      </c>
      <c r="L3234">
        <v>2</v>
      </c>
      <c r="M3234">
        <v>219</v>
      </c>
      <c r="N3234">
        <v>484</v>
      </c>
      <c r="O3234">
        <v>3</v>
      </c>
      <c r="P3234">
        <v>484</v>
      </c>
      <c r="Q3234">
        <v>25</v>
      </c>
      <c r="R3234">
        <v>39</v>
      </c>
      <c r="S3234">
        <v>93</v>
      </c>
      <c r="T3234">
        <v>9</v>
      </c>
      <c r="U3234">
        <v>16</v>
      </c>
      <c r="V3234">
        <v>9</v>
      </c>
      <c r="W3234">
        <v>17</v>
      </c>
      <c r="X3234">
        <v>3</v>
      </c>
      <c r="Y3234">
        <v>212</v>
      </c>
      <c r="Z3234">
        <v>4</v>
      </c>
      <c r="AA3234">
        <v>3</v>
      </c>
      <c r="AB3234">
        <v>20</v>
      </c>
      <c r="AC3234">
        <v>3</v>
      </c>
      <c r="AD3234">
        <v>4</v>
      </c>
      <c r="AE3234">
        <v>0</v>
      </c>
      <c r="AF3234">
        <v>1</v>
      </c>
      <c r="AG3234">
        <v>0</v>
      </c>
      <c r="AH3234">
        <v>0</v>
      </c>
      <c r="AI3234">
        <v>0</v>
      </c>
      <c r="AJ3234">
        <v>0</v>
      </c>
      <c r="AK3234">
        <v>2</v>
      </c>
      <c r="AL3234">
        <v>3</v>
      </c>
      <c r="AM3234">
        <v>0</v>
      </c>
      <c r="AN3234">
        <v>0</v>
      </c>
      <c r="AT3234">
        <v>0</v>
      </c>
      <c r="AU3234">
        <v>21</v>
      </c>
      <c r="AV3234">
        <v>484</v>
      </c>
      <c r="AW3234">
        <v>484</v>
      </c>
      <c r="AX3234">
        <v>681</v>
      </c>
      <c r="BA3234">
        <v>1</v>
      </c>
      <c r="BC3234" t="s">
        <v>6571</v>
      </c>
      <c r="BD3234" s="4">
        <v>43282.988321759258</v>
      </c>
      <c r="BE3234" s="4">
        <v>43282.991932870369</v>
      </c>
      <c r="BF3234" s="4">
        <v>43282.991932870369</v>
      </c>
      <c r="BG3234" t="s">
        <v>373</v>
      </c>
      <c r="BH3234" t="s">
        <v>374</v>
      </c>
      <c r="BI3234" t="s">
        <v>85</v>
      </c>
    </row>
    <row r="3235" spans="1:61" x14ac:dyDescent="0.3">
      <c r="A3235" t="str">
        <f>"201723C0400"</f>
        <v>201723C0400</v>
      </c>
      <c r="B3235" t="s">
        <v>6572</v>
      </c>
      <c r="C3235">
        <v>20</v>
      </c>
      <c r="D3235" t="s">
        <v>79</v>
      </c>
      <c r="E3235">
        <v>15</v>
      </c>
      <c r="F3235" t="s">
        <v>6336</v>
      </c>
      <c r="G3235">
        <v>1723</v>
      </c>
      <c r="H3235">
        <v>4</v>
      </c>
      <c r="I3235" t="s">
        <v>89</v>
      </c>
      <c r="J3235">
        <v>0</v>
      </c>
      <c r="K3235">
        <v>1</v>
      </c>
      <c r="L3235">
        <v>2</v>
      </c>
      <c r="M3235">
        <v>261</v>
      </c>
      <c r="N3235">
        <v>440</v>
      </c>
      <c r="O3235">
        <v>0</v>
      </c>
      <c r="P3235">
        <v>440</v>
      </c>
      <c r="Q3235">
        <v>21</v>
      </c>
      <c r="R3235">
        <v>36</v>
      </c>
      <c r="S3235">
        <v>80</v>
      </c>
      <c r="T3235">
        <v>15</v>
      </c>
      <c r="U3235">
        <v>9</v>
      </c>
      <c r="V3235">
        <v>5</v>
      </c>
      <c r="W3235">
        <v>16</v>
      </c>
      <c r="X3235">
        <v>1</v>
      </c>
      <c r="Y3235">
        <v>217</v>
      </c>
      <c r="Z3235">
        <v>10</v>
      </c>
      <c r="AA3235">
        <v>3</v>
      </c>
      <c r="AB3235">
        <v>11</v>
      </c>
      <c r="AC3235">
        <v>1</v>
      </c>
      <c r="AD3235">
        <v>1</v>
      </c>
      <c r="AE3235" t="s">
        <v>100</v>
      </c>
      <c r="AF3235" t="s">
        <v>100</v>
      </c>
      <c r="AG3235">
        <v>1</v>
      </c>
      <c r="AH3235">
        <v>1</v>
      </c>
      <c r="AI3235" t="s">
        <v>100</v>
      </c>
      <c r="AJ3235" t="s">
        <v>100</v>
      </c>
      <c r="AK3235">
        <v>3</v>
      </c>
      <c r="AL3235" t="s">
        <v>100</v>
      </c>
      <c r="AM3235" t="s">
        <v>100</v>
      </c>
      <c r="AN3235" t="s">
        <v>100</v>
      </c>
      <c r="AT3235">
        <v>1</v>
      </c>
      <c r="AU3235">
        <v>8</v>
      </c>
      <c r="AV3235">
        <v>440</v>
      </c>
      <c r="AW3235">
        <v>440</v>
      </c>
      <c r="AX3235">
        <v>680</v>
      </c>
      <c r="AZ3235" t="s">
        <v>101</v>
      </c>
      <c r="BA3235">
        <v>1</v>
      </c>
      <c r="BC3235" t="s">
        <v>6573</v>
      </c>
      <c r="BD3235" s="4">
        <v>43283.001006944447</v>
      </c>
      <c r="BE3235" s="4">
        <v>43283.009027777778</v>
      </c>
      <c r="BF3235" s="4">
        <v>43283.009027777778</v>
      </c>
      <c r="BG3235" t="s">
        <v>373</v>
      </c>
      <c r="BH3235" t="s">
        <v>374</v>
      </c>
      <c r="BI3235" t="s">
        <v>85</v>
      </c>
    </row>
    <row r="3236" spans="1:61" x14ac:dyDescent="0.3">
      <c r="A3236" t="str">
        <f>"201724B0100"</f>
        <v>201724B0100</v>
      </c>
      <c r="B3236" t="s">
        <v>6574</v>
      </c>
      <c r="C3236">
        <v>20</v>
      </c>
      <c r="D3236" t="s">
        <v>79</v>
      </c>
      <c r="E3236">
        <v>15</v>
      </c>
      <c r="F3236" t="s">
        <v>6336</v>
      </c>
      <c r="G3236">
        <v>1724</v>
      </c>
      <c r="H3236">
        <v>1</v>
      </c>
      <c r="I3236" t="s">
        <v>81</v>
      </c>
      <c r="J3236">
        <v>0</v>
      </c>
      <c r="K3236">
        <v>1</v>
      </c>
      <c r="L3236">
        <v>2</v>
      </c>
      <c r="AX3236">
        <v>730</v>
      </c>
      <c r="AZ3236" t="s">
        <v>156</v>
      </c>
      <c r="BA3236">
        <v>0</v>
      </c>
      <c r="BC3236" t="s">
        <v>6575</v>
      </c>
      <c r="BD3236" s="4">
        <v>43283.645833333336</v>
      </c>
      <c r="BE3236" s="4">
        <v>43283.651909722219</v>
      </c>
      <c r="BF3236" s="4">
        <v>43283.651909722219</v>
      </c>
      <c r="BG3236" t="s">
        <v>83</v>
      </c>
      <c r="BH3236" t="s">
        <v>84</v>
      </c>
      <c r="BI3236" t="s">
        <v>85</v>
      </c>
    </row>
    <row r="3237" spans="1:61" x14ac:dyDescent="0.3">
      <c r="A3237" t="str">
        <f>"201724C0100"</f>
        <v>201724C0100</v>
      </c>
      <c r="B3237" t="s">
        <v>6576</v>
      </c>
      <c r="C3237">
        <v>20</v>
      </c>
      <c r="D3237" t="s">
        <v>79</v>
      </c>
      <c r="E3237">
        <v>15</v>
      </c>
      <c r="F3237" t="s">
        <v>6336</v>
      </c>
      <c r="G3237">
        <v>1724</v>
      </c>
      <c r="H3237">
        <v>1</v>
      </c>
      <c r="I3237" t="s">
        <v>89</v>
      </c>
      <c r="J3237">
        <v>0</v>
      </c>
      <c r="K3237">
        <v>1</v>
      </c>
      <c r="L3237">
        <v>2</v>
      </c>
      <c r="M3237">
        <v>232</v>
      </c>
      <c r="N3237">
        <v>519</v>
      </c>
      <c r="O3237">
        <v>3</v>
      </c>
      <c r="P3237">
        <v>518</v>
      </c>
      <c r="Q3237">
        <v>32</v>
      </c>
      <c r="R3237">
        <v>56</v>
      </c>
      <c r="S3237">
        <v>70</v>
      </c>
      <c r="T3237">
        <v>10</v>
      </c>
      <c r="U3237">
        <v>14</v>
      </c>
      <c r="V3237">
        <v>9</v>
      </c>
      <c r="W3237">
        <v>16</v>
      </c>
      <c r="X3237">
        <v>2</v>
      </c>
      <c r="Y3237">
        <v>277</v>
      </c>
      <c r="Z3237">
        <v>7</v>
      </c>
      <c r="AA3237">
        <v>2</v>
      </c>
      <c r="AB3237">
        <v>6</v>
      </c>
      <c r="AC3237">
        <v>0</v>
      </c>
      <c r="AD3237">
        <v>1</v>
      </c>
      <c r="AE3237">
        <v>0</v>
      </c>
      <c r="AF3237">
        <v>0</v>
      </c>
      <c r="AG3237">
        <v>1</v>
      </c>
      <c r="AH3237">
        <v>0</v>
      </c>
      <c r="AI3237">
        <v>0</v>
      </c>
      <c r="AJ3237">
        <v>0</v>
      </c>
      <c r="AK3237">
        <v>0</v>
      </c>
      <c r="AL3237">
        <v>1</v>
      </c>
      <c r="AM3237">
        <v>1</v>
      </c>
      <c r="AN3237">
        <v>1</v>
      </c>
      <c r="AT3237">
        <v>0</v>
      </c>
      <c r="AU3237">
        <v>12</v>
      </c>
      <c r="AV3237">
        <v>518</v>
      </c>
      <c r="AW3237">
        <v>518</v>
      </c>
      <c r="AX3237">
        <v>730</v>
      </c>
      <c r="BA3237">
        <v>1</v>
      </c>
      <c r="BC3237" t="s">
        <v>6577</v>
      </c>
      <c r="BD3237" s="4">
        <v>43283.038587962961</v>
      </c>
      <c r="BE3237" s="4">
        <v>43283.044502314813</v>
      </c>
      <c r="BF3237" s="4">
        <v>43283.044502314813</v>
      </c>
      <c r="BG3237" t="s">
        <v>373</v>
      </c>
      <c r="BH3237" t="s">
        <v>374</v>
      </c>
      <c r="BI3237" t="s">
        <v>85</v>
      </c>
    </row>
    <row r="3238" spans="1:61" x14ac:dyDescent="0.3">
      <c r="A3238" t="str">
        <f>"201724C0200"</f>
        <v>201724C0200</v>
      </c>
      <c r="B3238" t="s">
        <v>6578</v>
      </c>
      <c r="C3238">
        <v>20</v>
      </c>
      <c r="D3238" t="s">
        <v>79</v>
      </c>
      <c r="E3238">
        <v>15</v>
      </c>
      <c r="F3238" t="s">
        <v>6336</v>
      </c>
      <c r="G3238">
        <v>1724</v>
      </c>
      <c r="H3238">
        <v>2</v>
      </c>
      <c r="I3238" t="s">
        <v>89</v>
      </c>
      <c r="J3238">
        <v>0</v>
      </c>
      <c r="K3238">
        <v>1</v>
      </c>
      <c r="L3238">
        <v>2</v>
      </c>
      <c r="M3238">
        <v>226</v>
      </c>
      <c r="N3238">
        <v>526</v>
      </c>
      <c r="O3238">
        <v>1</v>
      </c>
      <c r="P3238">
        <v>525</v>
      </c>
      <c r="Q3238">
        <v>31</v>
      </c>
      <c r="R3238">
        <v>42</v>
      </c>
      <c r="S3238">
        <v>80</v>
      </c>
      <c r="T3238">
        <v>9</v>
      </c>
      <c r="U3238">
        <v>12</v>
      </c>
      <c r="V3238">
        <v>7</v>
      </c>
      <c r="W3238">
        <v>11</v>
      </c>
      <c r="X3238">
        <v>8</v>
      </c>
      <c r="Y3238">
        <v>265</v>
      </c>
      <c r="Z3238">
        <v>10</v>
      </c>
      <c r="AA3238">
        <v>3</v>
      </c>
      <c r="AB3238">
        <v>11</v>
      </c>
      <c r="AC3238">
        <v>3</v>
      </c>
      <c r="AD3238">
        <v>0</v>
      </c>
      <c r="AE3238">
        <v>1</v>
      </c>
      <c r="AF3238">
        <v>0</v>
      </c>
      <c r="AG3238">
        <v>0</v>
      </c>
      <c r="AH3238">
        <v>1</v>
      </c>
      <c r="AI3238">
        <v>0</v>
      </c>
      <c r="AJ3238">
        <v>0</v>
      </c>
      <c r="AK3238">
        <v>5</v>
      </c>
      <c r="AL3238">
        <v>0</v>
      </c>
      <c r="AM3238">
        <v>2</v>
      </c>
      <c r="AN3238">
        <v>2</v>
      </c>
      <c r="AT3238">
        <v>0</v>
      </c>
      <c r="AU3238">
        <v>22</v>
      </c>
      <c r="AV3238">
        <v>525</v>
      </c>
      <c r="AW3238">
        <v>525</v>
      </c>
      <c r="AX3238">
        <v>730</v>
      </c>
      <c r="BA3238">
        <v>1</v>
      </c>
      <c r="BC3238" t="s">
        <v>6579</v>
      </c>
      <c r="BD3238" s="4">
        <v>43283.043402777781</v>
      </c>
      <c r="BE3238" s="4">
        <v>43283.047361111108</v>
      </c>
      <c r="BF3238" s="4">
        <v>43283.047361111108</v>
      </c>
      <c r="BG3238" t="s">
        <v>373</v>
      </c>
      <c r="BH3238" t="s">
        <v>374</v>
      </c>
      <c r="BI3238" t="s">
        <v>85</v>
      </c>
    </row>
    <row r="3239" spans="1:61" x14ac:dyDescent="0.3">
      <c r="A3239" t="str">
        <f>"201725B0100"</f>
        <v>201725B0100</v>
      </c>
      <c r="B3239" t="s">
        <v>6580</v>
      </c>
      <c r="C3239">
        <v>20</v>
      </c>
      <c r="D3239" t="s">
        <v>79</v>
      </c>
      <c r="E3239">
        <v>15</v>
      </c>
      <c r="F3239" t="s">
        <v>6336</v>
      </c>
      <c r="G3239">
        <v>1725</v>
      </c>
      <c r="H3239">
        <v>1</v>
      </c>
      <c r="I3239" t="s">
        <v>81</v>
      </c>
      <c r="J3239">
        <v>0</v>
      </c>
      <c r="K3239">
        <v>1</v>
      </c>
      <c r="L3239">
        <v>2</v>
      </c>
      <c r="M3239">
        <v>189</v>
      </c>
      <c r="N3239">
        <v>473</v>
      </c>
      <c r="O3239">
        <v>9</v>
      </c>
      <c r="P3239">
        <v>472</v>
      </c>
      <c r="Q3239">
        <v>18</v>
      </c>
      <c r="R3239">
        <v>51</v>
      </c>
      <c r="S3239">
        <v>66</v>
      </c>
      <c r="T3239">
        <v>10</v>
      </c>
      <c r="U3239">
        <v>17</v>
      </c>
      <c r="V3239">
        <v>10</v>
      </c>
      <c r="W3239">
        <v>8</v>
      </c>
      <c r="X3239">
        <v>4</v>
      </c>
      <c r="Y3239">
        <v>242</v>
      </c>
      <c r="Z3239">
        <v>8</v>
      </c>
      <c r="AA3239">
        <v>1</v>
      </c>
      <c r="AB3239">
        <v>12</v>
      </c>
      <c r="AC3239">
        <v>1</v>
      </c>
      <c r="AD3239">
        <v>2</v>
      </c>
      <c r="AE3239">
        <v>1</v>
      </c>
      <c r="AF3239">
        <v>0</v>
      </c>
      <c r="AG3239">
        <v>2</v>
      </c>
      <c r="AH3239">
        <v>0</v>
      </c>
      <c r="AI3239">
        <v>0</v>
      </c>
      <c r="AJ3239">
        <v>0</v>
      </c>
      <c r="AK3239">
        <v>2</v>
      </c>
      <c r="AL3239">
        <v>2</v>
      </c>
      <c r="AM3239">
        <v>0</v>
      </c>
      <c r="AN3239">
        <v>2</v>
      </c>
      <c r="AT3239">
        <v>0</v>
      </c>
      <c r="AU3239">
        <v>13</v>
      </c>
      <c r="AV3239">
        <v>472</v>
      </c>
      <c r="AW3239">
        <v>472</v>
      </c>
      <c r="AX3239">
        <v>640</v>
      </c>
      <c r="BA3239">
        <v>1</v>
      </c>
      <c r="BC3239" t="s">
        <v>6581</v>
      </c>
      <c r="BD3239" s="4">
        <v>43282.98951388889</v>
      </c>
      <c r="BE3239" s="4">
        <v>43282.992361111108</v>
      </c>
      <c r="BF3239" s="4">
        <v>43282.992361111108</v>
      </c>
      <c r="BG3239" t="s">
        <v>373</v>
      </c>
      <c r="BH3239" t="s">
        <v>374</v>
      </c>
      <c r="BI3239" t="s">
        <v>85</v>
      </c>
    </row>
    <row r="3240" spans="1:61" x14ac:dyDescent="0.3">
      <c r="A3240" t="str">
        <f>"201725C0100"</f>
        <v>201725C0100</v>
      </c>
      <c r="B3240" t="s">
        <v>6582</v>
      </c>
      <c r="C3240">
        <v>20</v>
      </c>
      <c r="D3240" t="s">
        <v>79</v>
      </c>
      <c r="E3240">
        <v>15</v>
      </c>
      <c r="F3240" t="s">
        <v>6336</v>
      </c>
      <c r="G3240">
        <v>1725</v>
      </c>
      <c r="H3240">
        <v>1</v>
      </c>
      <c r="I3240" t="s">
        <v>89</v>
      </c>
      <c r="J3240">
        <v>0</v>
      </c>
      <c r="K3240">
        <v>1</v>
      </c>
      <c r="L3240">
        <v>2</v>
      </c>
      <c r="M3240">
        <v>204</v>
      </c>
      <c r="N3240">
        <v>455</v>
      </c>
      <c r="O3240">
        <v>5</v>
      </c>
      <c r="P3240">
        <v>454</v>
      </c>
      <c r="Q3240">
        <v>13</v>
      </c>
      <c r="R3240">
        <v>44</v>
      </c>
      <c r="S3240">
        <v>69</v>
      </c>
      <c r="T3240">
        <v>7</v>
      </c>
      <c r="U3240">
        <v>14</v>
      </c>
      <c r="V3240">
        <v>3</v>
      </c>
      <c r="W3240">
        <v>13</v>
      </c>
      <c r="X3240">
        <v>1</v>
      </c>
      <c r="Y3240">
        <v>246</v>
      </c>
      <c r="Z3240">
        <v>4</v>
      </c>
      <c r="AA3240">
        <v>4</v>
      </c>
      <c r="AB3240">
        <v>14</v>
      </c>
      <c r="AC3240">
        <v>1</v>
      </c>
      <c r="AD3240" t="s">
        <v>100</v>
      </c>
      <c r="AE3240" t="s">
        <v>100</v>
      </c>
      <c r="AF3240" t="s">
        <v>100</v>
      </c>
      <c r="AG3240" t="s">
        <v>100</v>
      </c>
      <c r="AH3240" t="s">
        <v>100</v>
      </c>
      <c r="AI3240" t="s">
        <v>100</v>
      </c>
      <c r="AJ3240" t="s">
        <v>100</v>
      </c>
      <c r="AK3240">
        <v>3</v>
      </c>
      <c r="AL3240">
        <v>1</v>
      </c>
      <c r="AM3240" t="s">
        <v>100</v>
      </c>
      <c r="AN3240" t="s">
        <v>100</v>
      </c>
      <c r="AT3240" t="s">
        <v>100</v>
      </c>
      <c r="AU3240">
        <v>17</v>
      </c>
      <c r="AV3240">
        <v>454</v>
      </c>
      <c r="AW3240">
        <v>454</v>
      </c>
      <c r="AX3240">
        <v>640</v>
      </c>
      <c r="AZ3240" t="s">
        <v>101</v>
      </c>
      <c r="BA3240">
        <v>1</v>
      </c>
      <c r="BC3240" t="s">
        <v>6583</v>
      </c>
      <c r="BD3240" s="4">
        <v>43282.999768518515</v>
      </c>
      <c r="BE3240" s="4">
        <v>43283.003993055558</v>
      </c>
      <c r="BF3240" s="4">
        <v>43283.003993055558</v>
      </c>
      <c r="BG3240" t="s">
        <v>373</v>
      </c>
      <c r="BH3240" t="s">
        <v>374</v>
      </c>
      <c r="BI3240" t="s">
        <v>85</v>
      </c>
    </row>
    <row r="3241" spans="1:61" x14ac:dyDescent="0.3">
      <c r="A3241" t="str">
        <f>"201725C0200"</f>
        <v>201725C0200</v>
      </c>
      <c r="B3241" t="s">
        <v>6584</v>
      </c>
      <c r="C3241">
        <v>20</v>
      </c>
      <c r="D3241" t="s">
        <v>79</v>
      </c>
      <c r="E3241">
        <v>15</v>
      </c>
      <c r="F3241" t="s">
        <v>6336</v>
      </c>
      <c r="G3241">
        <v>1725</v>
      </c>
      <c r="H3241">
        <v>2</v>
      </c>
      <c r="I3241" t="s">
        <v>89</v>
      </c>
      <c r="J3241">
        <v>0</v>
      </c>
      <c r="K3241">
        <v>1</v>
      </c>
      <c r="L3241">
        <v>2</v>
      </c>
      <c r="M3241">
        <v>198</v>
      </c>
      <c r="N3241">
        <v>465</v>
      </c>
      <c r="O3241">
        <v>6</v>
      </c>
      <c r="P3241">
        <v>452</v>
      </c>
      <c r="Q3241">
        <v>18</v>
      </c>
      <c r="R3241">
        <v>31</v>
      </c>
      <c r="S3241">
        <v>77</v>
      </c>
      <c r="T3241">
        <v>6</v>
      </c>
      <c r="U3241">
        <v>15</v>
      </c>
      <c r="V3241">
        <v>13</v>
      </c>
      <c r="W3241">
        <v>8</v>
      </c>
      <c r="X3241">
        <v>2</v>
      </c>
      <c r="Y3241">
        <v>250</v>
      </c>
      <c r="Z3241">
        <v>7</v>
      </c>
      <c r="AA3241">
        <v>1</v>
      </c>
      <c r="AB3241">
        <v>1</v>
      </c>
      <c r="AC3241">
        <v>1</v>
      </c>
      <c r="AD3241">
        <v>0</v>
      </c>
      <c r="AE3241">
        <v>0</v>
      </c>
      <c r="AF3241">
        <v>0</v>
      </c>
      <c r="AG3241">
        <v>0</v>
      </c>
      <c r="AH3241">
        <v>4</v>
      </c>
      <c r="AI3241">
        <v>0</v>
      </c>
      <c r="AJ3241">
        <v>0</v>
      </c>
      <c r="AK3241">
        <v>2</v>
      </c>
      <c r="AL3241">
        <v>1</v>
      </c>
      <c r="AM3241">
        <v>0</v>
      </c>
      <c r="AN3241">
        <v>1</v>
      </c>
      <c r="AT3241">
        <v>0</v>
      </c>
      <c r="AU3241">
        <v>17</v>
      </c>
      <c r="AV3241" t="s">
        <v>100</v>
      </c>
      <c r="AW3241">
        <v>455</v>
      </c>
      <c r="AX3241">
        <v>640</v>
      </c>
      <c r="BA3241">
        <v>1</v>
      </c>
      <c r="BC3241" t="s">
        <v>6585</v>
      </c>
      <c r="BD3241" s="4">
        <v>43283.031180555554</v>
      </c>
      <c r="BE3241" s="4">
        <v>43283.036435185182</v>
      </c>
      <c r="BF3241" s="4">
        <v>43283.036435185182</v>
      </c>
      <c r="BG3241" t="s">
        <v>373</v>
      </c>
      <c r="BH3241" t="s">
        <v>374</v>
      </c>
      <c r="BI3241" t="s">
        <v>85</v>
      </c>
    </row>
    <row r="3242" spans="1:61" x14ac:dyDescent="0.3">
      <c r="A3242" t="str">
        <f>"201725C0300"</f>
        <v>201725C0300</v>
      </c>
      <c r="B3242" t="s">
        <v>6586</v>
      </c>
      <c r="C3242">
        <v>20</v>
      </c>
      <c r="D3242" t="s">
        <v>79</v>
      </c>
      <c r="E3242">
        <v>15</v>
      </c>
      <c r="F3242" t="s">
        <v>6336</v>
      </c>
      <c r="G3242">
        <v>1725</v>
      </c>
      <c r="H3242">
        <v>3</v>
      </c>
      <c r="I3242" t="s">
        <v>89</v>
      </c>
      <c r="J3242">
        <v>0</v>
      </c>
      <c r="K3242">
        <v>1</v>
      </c>
      <c r="L3242">
        <v>2</v>
      </c>
      <c r="M3242">
        <v>216</v>
      </c>
      <c r="N3242">
        <v>446</v>
      </c>
      <c r="O3242">
        <v>4</v>
      </c>
      <c r="P3242">
        <v>445</v>
      </c>
      <c r="Q3242">
        <v>15</v>
      </c>
      <c r="R3242">
        <v>54</v>
      </c>
      <c r="S3242">
        <v>77</v>
      </c>
      <c r="T3242">
        <v>11</v>
      </c>
      <c r="U3242">
        <v>13</v>
      </c>
      <c r="V3242">
        <v>6</v>
      </c>
      <c r="W3242">
        <v>14</v>
      </c>
      <c r="X3242">
        <v>1</v>
      </c>
      <c r="Y3242">
        <v>202</v>
      </c>
      <c r="Z3242">
        <v>9</v>
      </c>
      <c r="AA3242">
        <v>2</v>
      </c>
      <c r="AB3242">
        <v>12</v>
      </c>
      <c r="AC3242">
        <v>1</v>
      </c>
      <c r="AD3242">
        <v>2</v>
      </c>
      <c r="AE3242">
        <v>0</v>
      </c>
      <c r="AF3242">
        <v>0</v>
      </c>
      <c r="AG3242">
        <v>1</v>
      </c>
      <c r="AH3242">
        <v>0</v>
      </c>
      <c r="AI3242">
        <v>0</v>
      </c>
      <c r="AJ3242">
        <v>0</v>
      </c>
      <c r="AK3242">
        <v>4</v>
      </c>
      <c r="AL3242">
        <v>2</v>
      </c>
      <c r="AM3242">
        <v>0</v>
      </c>
      <c r="AN3242">
        <v>0</v>
      </c>
      <c r="AT3242">
        <v>0</v>
      </c>
      <c r="AU3242">
        <v>19</v>
      </c>
      <c r="AV3242">
        <v>445</v>
      </c>
      <c r="AW3242">
        <v>445</v>
      </c>
      <c r="AX3242">
        <v>640</v>
      </c>
      <c r="BA3242">
        <v>1</v>
      </c>
      <c r="BC3242" t="s">
        <v>6587</v>
      </c>
      <c r="BD3242" s="4">
        <v>43282.968344907407</v>
      </c>
      <c r="BE3242" s="4">
        <v>43282.973495370374</v>
      </c>
      <c r="BF3242" s="4">
        <v>43282.973495370374</v>
      </c>
      <c r="BG3242" t="s">
        <v>373</v>
      </c>
      <c r="BH3242" t="s">
        <v>374</v>
      </c>
      <c r="BI3242" t="s">
        <v>85</v>
      </c>
    </row>
    <row r="3243" spans="1:61" x14ac:dyDescent="0.3">
      <c r="A3243" t="str">
        <f>"201725C0400"</f>
        <v>201725C0400</v>
      </c>
      <c r="B3243" t="s">
        <v>6588</v>
      </c>
      <c r="C3243">
        <v>20</v>
      </c>
      <c r="D3243" t="s">
        <v>79</v>
      </c>
      <c r="E3243">
        <v>15</v>
      </c>
      <c r="F3243" t="s">
        <v>6336</v>
      </c>
      <c r="G3243">
        <v>1725</v>
      </c>
      <c r="H3243">
        <v>4</v>
      </c>
      <c r="I3243" t="s">
        <v>89</v>
      </c>
      <c r="J3243">
        <v>0</v>
      </c>
      <c r="K3243">
        <v>1</v>
      </c>
      <c r="L3243">
        <v>2</v>
      </c>
      <c r="M3243">
        <v>188</v>
      </c>
      <c r="N3243">
        <v>474</v>
      </c>
      <c r="O3243">
        <v>4</v>
      </c>
      <c r="P3243">
        <v>472</v>
      </c>
      <c r="Q3243">
        <v>31</v>
      </c>
      <c r="R3243">
        <v>56</v>
      </c>
      <c r="S3243">
        <v>66</v>
      </c>
      <c r="T3243">
        <v>13</v>
      </c>
      <c r="U3243">
        <v>15</v>
      </c>
      <c r="V3243">
        <v>8</v>
      </c>
      <c r="W3243">
        <v>8</v>
      </c>
      <c r="X3243">
        <v>3</v>
      </c>
      <c r="Y3243">
        <v>225</v>
      </c>
      <c r="Z3243">
        <v>11</v>
      </c>
      <c r="AA3243">
        <v>2</v>
      </c>
      <c r="AB3243">
        <v>8</v>
      </c>
      <c r="AC3243">
        <v>0</v>
      </c>
      <c r="AD3243">
        <v>0</v>
      </c>
      <c r="AE3243">
        <v>0</v>
      </c>
      <c r="AF3243">
        <v>1</v>
      </c>
      <c r="AG3243">
        <v>0</v>
      </c>
      <c r="AH3243">
        <v>0</v>
      </c>
      <c r="AI3243">
        <v>0</v>
      </c>
      <c r="AJ3243">
        <v>0</v>
      </c>
      <c r="AK3243">
        <v>5</v>
      </c>
      <c r="AL3243">
        <v>0</v>
      </c>
      <c r="AM3243">
        <v>0</v>
      </c>
      <c r="AN3243">
        <v>1</v>
      </c>
      <c r="AT3243">
        <v>0</v>
      </c>
      <c r="AU3243">
        <v>19</v>
      </c>
      <c r="AV3243" t="s">
        <v>100</v>
      </c>
      <c r="AW3243">
        <v>472</v>
      </c>
      <c r="AX3243">
        <v>639</v>
      </c>
      <c r="BA3243">
        <v>1</v>
      </c>
      <c r="BC3243" t="s">
        <v>6589</v>
      </c>
      <c r="BD3243" s="4">
        <v>43282.943287037036</v>
      </c>
      <c r="BE3243" s="4">
        <v>43282.946620370371</v>
      </c>
      <c r="BF3243" s="4">
        <v>43282.946620370371</v>
      </c>
      <c r="BG3243" t="s">
        <v>373</v>
      </c>
      <c r="BH3243" t="s">
        <v>374</v>
      </c>
      <c r="BI3243" t="s">
        <v>85</v>
      </c>
    </row>
    <row r="3244" spans="1:61" x14ac:dyDescent="0.3">
      <c r="A3244" t="str">
        <f>"201726B0100"</f>
        <v>201726B0100</v>
      </c>
      <c r="B3244" t="s">
        <v>6590</v>
      </c>
      <c r="C3244">
        <v>20</v>
      </c>
      <c r="D3244" t="s">
        <v>79</v>
      </c>
      <c r="E3244">
        <v>15</v>
      </c>
      <c r="F3244" t="s">
        <v>6336</v>
      </c>
      <c r="G3244">
        <v>1726</v>
      </c>
      <c r="H3244">
        <v>1</v>
      </c>
      <c r="I3244" t="s">
        <v>81</v>
      </c>
      <c r="J3244">
        <v>0</v>
      </c>
      <c r="K3244">
        <v>2</v>
      </c>
      <c r="L3244">
        <v>2</v>
      </c>
      <c r="M3244">
        <v>225</v>
      </c>
      <c r="N3244">
        <v>467</v>
      </c>
      <c r="O3244">
        <v>1</v>
      </c>
      <c r="P3244">
        <v>461</v>
      </c>
      <c r="Q3244">
        <v>29</v>
      </c>
      <c r="R3244">
        <v>53</v>
      </c>
      <c r="S3244">
        <v>47</v>
      </c>
      <c r="T3244">
        <v>10</v>
      </c>
      <c r="U3244">
        <v>10</v>
      </c>
      <c r="V3244">
        <v>11</v>
      </c>
      <c r="W3244">
        <v>19</v>
      </c>
      <c r="X3244">
        <v>5</v>
      </c>
      <c r="Y3244">
        <v>234</v>
      </c>
      <c r="Z3244">
        <v>6</v>
      </c>
      <c r="AA3244">
        <v>3</v>
      </c>
      <c r="AB3244">
        <v>9</v>
      </c>
      <c r="AC3244">
        <v>1</v>
      </c>
      <c r="AD3244">
        <v>1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4</v>
      </c>
      <c r="AL3244">
        <v>3</v>
      </c>
      <c r="AM3244">
        <v>0</v>
      </c>
      <c r="AN3244">
        <v>1</v>
      </c>
      <c r="AT3244">
        <v>1</v>
      </c>
      <c r="AU3244">
        <v>14</v>
      </c>
      <c r="AV3244">
        <v>461</v>
      </c>
      <c r="AW3244">
        <v>461</v>
      </c>
      <c r="AX3244">
        <v>670</v>
      </c>
      <c r="BA3244">
        <v>1</v>
      </c>
      <c r="BC3244" t="s">
        <v>6591</v>
      </c>
      <c r="BD3244" s="4">
        <v>43283.163888888892</v>
      </c>
      <c r="BE3244" s="4">
        <v>43283.17596064815</v>
      </c>
      <c r="BF3244" s="4">
        <v>43283.17596064815</v>
      </c>
      <c r="BG3244" t="s">
        <v>83</v>
      </c>
      <c r="BH3244" t="s">
        <v>84</v>
      </c>
      <c r="BI3244" t="s">
        <v>85</v>
      </c>
    </row>
    <row r="3245" spans="1:61" x14ac:dyDescent="0.3">
      <c r="A3245" t="str">
        <f>"201726C0100"</f>
        <v>201726C0100</v>
      </c>
      <c r="B3245" t="s">
        <v>6592</v>
      </c>
      <c r="C3245">
        <v>20</v>
      </c>
      <c r="D3245" t="s">
        <v>79</v>
      </c>
      <c r="E3245">
        <v>15</v>
      </c>
      <c r="F3245" t="s">
        <v>6336</v>
      </c>
      <c r="G3245">
        <v>1726</v>
      </c>
      <c r="H3245">
        <v>1</v>
      </c>
      <c r="I3245" t="s">
        <v>89</v>
      </c>
      <c r="J3245">
        <v>0</v>
      </c>
      <c r="K3245">
        <v>2</v>
      </c>
      <c r="L3245">
        <v>2</v>
      </c>
      <c r="M3245">
        <v>220</v>
      </c>
      <c r="N3245">
        <v>472</v>
      </c>
      <c r="O3245">
        <v>4</v>
      </c>
      <c r="P3245">
        <v>454</v>
      </c>
      <c r="Q3245">
        <v>34</v>
      </c>
      <c r="R3245">
        <v>33</v>
      </c>
      <c r="S3245">
        <v>57</v>
      </c>
      <c r="T3245">
        <v>18</v>
      </c>
      <c r="U3245">
        <v>16</v>
      </c>
      <c r="V3245">
        <v>6</v>
      </c>
      <c r="W3245">
        <v>12</v>
      </c>
      <c r="X3245">
        <v>1</v>
      </c>
      <c r="Y3245">
        <v>236</v>
      </c>
      <c r="Z3245">
        <v>5</v>
      </c>
      <c r="AA3245">
        <v>1</v>
      </c>
      <c r="AB3245">
        <v>15</v>
      </c>
      <c r="AC3245">
        <v>0</v>
      </c>
      <c r="AD3245">
        <v>1</v>
      </c>
      <c r="AE3245">
        <v>0</v>
      </c>
      <c r="AF3245">
        <v>0</v>
      </c>
      <c r="AG3245">
        <v>0</v>
      </c>
      <c r="AH3245">
        <v>1</v>
      </c>
      <c r="AI3245">
        <v>0</v>
      </c>
      <c r="AJ3245">
        <v>0</v>
      </c>
      <c r="AK3245">
        <v>4</v>
      </c>
      <c r="AL3245">
        <v>0</v>
      </c>
      <c r="AM3245">
        <v>1</v>
      </c>
      <c r="AN3245">
        <v>0</v>
      </c>
      <c r="AT3245">
        <v>0</v>
      </c>
      <c r="AU3245">
        <v>13</v>
      </c>
      <c r="AV3245">
        <v>454</v>
      </c>
      <c r="AW3245">
        <v>454</v>
      </c>
      <c r="AX3245">
        <v>670</v>
      </c>
      <c r="BA3245">
        <v>1</v>
      </c>
      <c r="BC3245" t="s">
        <v>6593</v>
      </c>
      <c r="BD3245" s="4">
        <v>43283.174305555556</v>
      </c>
      <c r="BE3245" s="4">
        <v>43283.189027777778</v>
      </c>
      <c r="BF3245" s="4">
        <v>43283.189027777778</v>
      </c>
      <c r="BG3245" t="s">
        <v>83</v>
      </c>
      <c r="BH3245" t="s">
        <v>84</v>
      </c>
      <c r="BI3245" t="s">
        <v>85</v>
      </c>
    </row>
    <row r="3246" spans="1:61" x14ac:dyDescent="0.3">
      <c r="A3246" t="str">
        <f>"201726C0200"</f>
        <v>201726C0200</v>
      </c>
      <c r="B3246" t="s">
        <v>6594</v>
      </c>
      <c r="C3246">
        <v>20</v>
      </c>
      <c r="D3246" t="s">
        <v>79</v>
      </c>
      <c r="E3246">
        <v>15</v>
      </c>
      <c r="F3246" t="s">
        <v>6336</v>
      </c>
      <c r="G3246">
        <v>1726</v>
      </c>
      <c r="H3246">
        <v>2</v>
      </c>
      <c r="I3246" t="s">
        <v>89</v>
      </c>
      <c r="J3246">
        <v>0</v>
      </c>
      <c r="K3246">
        <v>2</v>
      </c>
      <c r="L3246">
        <v>2</v>
      </c>
      <c r="M3246">
        <v>224</v>
      </c>
      <c r="N3246">
        <v>468</v>
      </c>
      <c r="O3246">
        <v>3</v>
      </c>
      <c r="P3246">
        <v>491</v>
      </c>
      <c r="Q3246">
        <v>28</v>
      </c>
      <c r="R3246">
        <v>45</v>
      </c>
      <c r="S3246">
        <v>59</v>
      </c>
      <c r="T3246">
        <v>13</v>
      </c>
      <c r="U3246">
        <v>18</v>
      </c>
      <c r="V3246">
        <v>11</v>
      </c>
      <c r="W3246">
        <v>15</v>
      </c>
      <c r="X3246">
        <v>4</v>
      </c>
      <c r="Y3246">
        <v>247</v>
      </c>
      <c r="Z3246">
        <v>8</v>
      </c>
      <c r="AA3246">
        <v>3</v>
      </c>
      <c r="AB3246">
        <v>12</v>
      </c>
      <c r="AC3246">
        <v>2</v>
      </c>
      <c r="AD3246">
        <v>0</v>
      </c>
      <c r="AE3246">
        <v>0</v>
      </c>
      <c r="AF3246">
        <v>0</v>
      </c>
      <c r="AG3246">
        <v>0</v>
      </c>
      <c r="AH3246">
        <v>1</v>
      </c>
      <c r="AI3246">
        <v>0</v>
      </c>
      <c r="AJ3246">
        <v>0</v>
      </c>
      <c r="AK3246">
        <v>4</v>
      </c>
      <c r="AL3246">
        <v>4</v>
      </c>
      <c r="AM3246">
        <v>1</v>
      </c>
      <c r="AN3246">
        <v>1</v>
      </c>
      <c r="AT3246">
        <v>0</v>
      </c>
      <c r="AU3246">
        <v>15</v>
      </c>
      <c r="AV3246">
        <v>491</v>
      </c>
      <c r="AW3246">
        <v>491</v>
      </c>
      <c r="AX3246">
        <v>670</v>
      </c>
      <c r="BA3246">
        <v>1</v>
      </c>
      <c r="BC3246" t="s">
        <v>6595</v>
      </c>
      <c r="BD3246" s="4">
        <v>43283.165972222225</v>
      </c>
      <c r="BE3246" s="4">
        <v>43283.188020833331</v>
      </c>
      <c r="BF3246" s="4">
        <v>43283.188020833331</v>
      </c>
      <c r="BG3246" t="s">
        <v>83</v>
      </c>
      <c r="BH3246" t="s">
        <v>84</v>
      </c>
      <c r="BI3246" t="s">
        <v>85</v>
      </c>
    </row>
    <row r="3247" spans="1:61" x14ac:dyDescent="0.3">
      <c r="A3247" t="str">
        <f>"201726C0300"</f>
        <v>201726C0300</v>
      </c>
      <c r="B3247" t="s">
        <v>6596</v>
      </c>
      <c r="C3247">
        <v>20</v>
      </c>
      <c r="D3247" t="s">
        <v>79</v>
      </c>
      <c r="E3247">
        <v>15</v>
      </c>
      <c r="F3247" t="s">
        <v>6336</v>
      </c>
      <c r="G3247">
        <v>1726</v>
      </c>
      <c r="H3247">
        <v>3</v>
      </c>
      <c r="I3247" t="s">
        <v>89</v>
      </c>
      <c r="J3247">
        <v>0</v>
      </c>
      <c r="K3247">
        <v>2</v>
      </c>
      <c r="L3247">
        <v>2</v>
      </c>
      <c r="M3247">
        <v>209</v>
      </c>
      <c r="N3247">
        <v>485</v>
      </c>
      <c r="O3247">
        <v>6</v>
      </c>
      <c r="P3247">
        <v>473</v>
      </c>
      <c r="Q3247">
        <v>26</v>
      </c>
      <c r="R3247">
        <v>43</v>
      </c>
      <c r="S3247">
        <v>71</v>
      </c>
      <c r="T3247">
        <v>13</v>
      </c>
      <c r="U3247">
        <v>15</v>
      </c>
      <c r="V3247">
        <v>5</v>
      </c>
      <c r="W3247">
        <v>14</v>
      </c>
      <c r="X3247">
        <v>6</v>
      </c>
      <c r="Y3247">
        <v>231</v>
      </c>
      <c r="Z3247">
        <v>3</v>
      </c>
      <c r="AA3247">
        <v>5</v>
      </c>
      <c r="AB3247">
        <v>12</v>
      </c>
      <c r="AC3247" t="s">
        <v>315</v>
      </c>
      <c r="AD3247">
        <v>1</v>
      </c>
      <c r="AE3247" t="s">
        <v>100</v>
      </c>
      <c r="AF3247" t="s">
        <v>100</v>
      </c>
      <c r="AG3247" t="s">
        <v>100</v>
      </c>
      <c r="AH3247" t="s">
        <v>100</v>
      </c>
      <c r="AI3247" t="s">
        <v>100</v>
      </c>
      <c r="AJ3247" t="s">
        <v>100</v>
      </c>
      <c r="AK3247">
        <v>4</v>
      </c>
      <c r="AL3247">
        <v>2</v>
      </c>
      <c r="AM3247" t="s">
        <v>100</v>
      </c>
      <c r="AN3247" t="s">
        <v>100</v>
      </c>
      <c r="AT3247">
        <v>0</v>
      </c>
      <c r="AU3247">
        <v>17</v>
      </c>
      <c r="AV3247">
        <v>474</v>
      </c>
      <c r="AW3247">
        <v>468</v>
      </c>
      <c r="AX3247">
        <v>670</v>
      </c>
      <c r="AZ3247" t="s">
        <v>101</v>
      </c>
      <c r="BA3247">
        <v>1</v>
      </c>
      <c r="BC3247" t="s">
        <v>6597</v>
      </c>
      <c r="BD3247" s="4">
        <v>43283.171527777777</v>
      </c>
      <c r="BE3247" s="4">
        <v>43283.191435185188</v>
      </c>
      <c r="BF3247" s="4">
        <v>43283.191435185188</v>
      </c>
      <c r="BG3247" t="s">
        <v>83</v>
      </c>
      <c r="BH3247" t="s">
        <v>84</v>
      </c>
      <c r="BI3247" t="s">
        <v>85</v>
      </c>
    </row>
    <row r="3248" spans="1:61" x14ac:dyDescent="0.3">
      <c r="A3248" t="str">
        <f>"201726C0400"</f>
        <v>201726C0400</v>
      </c>
      <c r="B3248" t="s">
        <v>6598</v>
      </c>
      <c r="C3248">
        <v>20</v>
      </c>
      <c r="D3248" t="s">
        <v>79</v>
      </c>
      <c r="E3248">
        <v>15</v>
      </c>
      <c r="F3248" t="s">
        <v>6336</v>
      </c>
      <c r="G3248">
        <v>1726</v>
      </c>
      <c r="H3248">
        <v>4</v>
      </c>
      <c r="I3248" t="s">
        <v>89</v>
      </c>
      <c r="J3248">
        <v>0</v>
      </c>
      <c r="K3248">
        <v>2</v>
      </c>
      <c r="L3248">
        <v>2</v>
      </c>
      <c r="M3248">
        <v>218</v>
      </c>
      <c r="N3248">
        <v>473</v>
      </c>
      <c r="O3248">
        <v>4</v>
      </c>
      <c r="P3248">
        <v>479</v>
      </c>
      <c r="Q3248">
        <v>14</v>
      </c>
      <c r="R3248">
        <v>40</v>
      </c>
      <c r="S3248">
        <v>92</v>
      </c>
      <c r="T3248">
        <v>18</v>
      </c>
      <c r="U3248">
        <v>15</v>
      </c>
      <c r="V3248">
        <v>11</v>
      </c>
      <c r="W3248">
        <v>11</v>
      </c>
      <c r="X3248">
        <v>1</v>
      </c>
      <c r="Y3248">
        <v>214</v>
      </c>
      <c r="Z3248">
        <v>9</v>
      </c>
      <c r="AA3248">
        <v>5</v>
      </c>
      <c r="AB3248">
        <v>11</v>
      </c>
      <c r="AC3248">
        <v>4</v>
      </c>
      <c r="AD3248">
        <v>1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6</v>
      </c>
      <c r="AL3248">
        <v>1</v>
      </c>
      <c r="AM3248">
        <v>0</v>
      </c>
      <c r="AN3248">
        <v>1</v>
      </c>
      <c r="AT3248">
        <v>0</v>
      </c>
      <c r="AU3248">
        <v>26</v>
      </c>
      <c r="AV3248">
        <v>479</v>
      </c>
      <c r="AW3248">
        <v>480</v>
      </c>
      <c r="AX3248">
        <v>670</v>
      </c>
      <c r="BA3248">
        <v>1</v>
      </c>
      <c r="BC3248" t="s">
        <v>6599</v>
      </c>
      <c r="BD3248" s="4">
        <v>43283.202777777777</v>
      </c>
      <c r="BE3248" s="4">
        <v>43283.219618055555</v>
      </c>
      <c r="BF3248" s="4">
        <v>43283.219618055555</v>
      </c>
      <c r="BG3248" t="s">
        <v>83</v>
      </c>
      <c r="BH3248" t="s">
        <v>84</v>
      </c>
      <c r="BI3248" t="s">
        <v>85</v>
      </c>
    </row>
    <row r="3249" spans="1:61" x14ac:dyDescent="0.3">
      <c r="A3249" t="str">
        <f>"201726C0500"</f>
        <v>201726C0500</v>
      </c>
      <c r="B3249" t="s">
        <v>6600</v>
      </c>
      <c r="C3249">
        <v>20</v>
      </c>
      <c r="D3249" t="s">
        <v>79</v>
      </c>
      <c r="E3249">
        <v>15</v>
      </c>
      <c r="F3249" t="s">
        <v>6336</v>
      </c>
      <c r="G3249">
        <v>1726</v>
      </c>
      <c r="H3249">
        <v>5</v>
      </c>
      <c r="I3249" t="s">
        <v>89</v>
      </c>
      <c r="J3249">
        <v>0</v>
      </c>
      <c r="K3249">
        <v>2</v>
      </c>
      <c r="L3249">
        <v>2</v>
      </c>
      <c r="M3249">
        <v>221</v>
      </c>
      <c r="N3249">
        <v>472</v>
      </c>
      <c r="O3249">
        <v>2</v>
      </c>
      <c r="P3249">
        <v>466</v>
      </c>
      <c r="Q3249">
        <v>18</v>
      </c>
      <c r="R3249">
        <v>49</v>
      </c>
      <c r="S3249">
        <v>63</v>
      </c>
      <c r="T3249">
        <v>6</v>
      </c>
      <c r="U3249">
        <v>17</v>
      </c>
      <c r="V3249">
        <v>10</v>
      </c>
      <c r="W3249">
        <v>12</v>
      </c>
      <c r="X3249">
        <v>6</v>
      </c>
      <c r="Y3249">
        <v>247</v>
      </c>
      <c r="Z3249">
        <v>3</v>
      </c>
      <c r="AA3249">
        <v>3</v>
      </c>
      <c r="AB3249">
        <v>12</v>
      </c>
      <c r="AC3249">
        <v>1</v>
      </c>
      <c r="AD3249">
        <v>2</v>
      </c>
      <c r="AE3249">
        <v>0</v>
      </c>
      <c r="AF3249">
        <v>1</v>
      </c>
      <c r="AG3249">
        <v>0</v>
      </c>
      <c r="AH3249">
        <v>1</v>
      </c>
      <c r="AI3249">
        <v>1</v>
      </c>
      <c r="AJ3249">
        <v>1</v>
      </c>
      <c r="AK3249">
        <v>3</v>
      </c>
      <c r="AL3249">
        <v>1</v>
      </c>
      <c r="AM3249">
        <v>0</v>
      </c>
      <c r="AN3249">
        <v>0</v>
      </c>
      <c r="AT3249">
        <v>0</v>
      </c>
      <c r="AU3249">
        <v>8</v>
      </c>
      <c r="AV3249">
        <v>464</v>
      </c>
      <c r="AW3249">
        <v>465</v>
      </c>
      <c r="AX3249">
        <v>670</v>
      </c>
      <c r="BA3249">
        <v>1</v>
      </c>
      <c r="BC3249" t="s">
        <v>6601</v>
      </c>
      <c r="BD3249" s="4">
        <v>43283.20416666667</v>
      </c>
      <c r="BE3249" s="4">
        <v>43283.223391203705</v>
      </c>
      <c r="BF3249" s="4">
        <v>43283.223391203705</v>
      </c>
      <c r="BG3249" t="s">
        <v>83</v>
      </c>
      <c r="BH3249" t="s">
        <v>84</v>
      </c>
      <c r="BI3249" t="s">
        <v>85</v>
      </c>
    </row>
    <row r="3250" spans="1:61" x14ac:dyDescent="0.3">
      <c r="A3250" t="str">
        <f>"201726E0100"</f>
        <v>201726E0100</v>
      </c>
      <c r="B3250" s="2" t="s">
        <v>6602</v>
      </c>
      <c r="C3250">
        <v>20</v>
      </c>
      <c r="D3250" t="s">
        <v>79</v>
      </c>
      <c r="E3250">
        <v>15</v>
      </c>
      <c r="F3250" t="s">
        <v>6336</v>
      </c>
      <c r="G3250">
        <v>1726</v>
      </c>
      <c r="H3250">
        <v>1</v>
      </c>
      <c r="I3250" t="s">
        <v>145</v>
      </c>
      <c r="J3250">
        <v>0</v>
      </c>
      <c r="K3250">
        <v>2</v>
      </c>
      <c r="L3250">
        <v>2</v>
      </c>
      <c r="M3250">
        <v>203</v>
      </c>
      <c r="N3250">
        <v>358</v>
      </c>
      <c r="O3250">
        <v>9</v>
      </c>
      <c r="P3250">
        <v>358</v>
      </c>
      <c r="Q3250">
        <v>15</v>
      </c>
      <c r="R3250">
        <v>15</v>
      </c>
      <c r="S3250">
        <v>61</v>
      </c>
      <c r="T3250">
        <v>10</v>
      </c>
      <c r="U3250">
        <v>29</v>
      </c>
      <c r="V3250">
        <v>12</v>
      </c>
      <c r="W3250">
        <v>7</v>
      </c>
      <c r="X3250">
        <v>3</v>
      </c>
      <c r="Y3250">
        <v>163</v>
      </c>
      <c r="Z3250">
        <v>5</v>
      </c>
      <c r="AA3250">
        <v>0</v>
      </c>
      <c r="AB3250">
        <v>4</v>
      </c>
      <c r="AC3250">
        <v>4</v>
      </c>
      <c r="AD3250">
        <v>3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7</v>
      </c>
      <c r="AL3250">
        <v>2</v>
      </c>
      <c r="AM3250">
        <v>1</v>
      </c>
      <c r="AN3250">
        <v>0</v>
      </c>
      <c r="AT3250">
        <v>0</v>
      </c>
      <c r="AU3250">
        <v>17</v>
      </c>
      <c r="AV3250">
        <v>358</v>
      </c>
      <c r="AW3250">
        <v>358</v>
      </c>
      <c r="AX3250">
        <v>539</v>
      </c>
      <c r="BA3250">
        <v>1</v>
      </c>
      <c r="BC3250" t="s">
        <v>6603</v>
      </c>
      <c r="BD3250" s="4">
        <v>43283.005289351851</v>
      </c>
      <c r="BE3250" s="4">
        <v>43283.008275462962</v>
      </c>
      <c r="BF3250" s="4">
        <v>43283.008275462962</v>
      </c>
      <c r="BG3250" t="s">
        <v>373</v>
      </c>
      <c r="BH3250" t="s">
        <v>374</v>
      </c>
      <c r="BI3250" t="s">
        <v>85</v>
      </c>
    </row>
    <row r="3251" spans="1:61" x14ac:dyDescent="0.3">
      <c r="A3251" t="str">
        <f>"201727B0100"</f>
        <v>201727B0100</v>
      </c>
      <c r="B3251" t="s">
        <v>6604</v>
      </c>
      <c r="C3251">
        <v>20</v>
      </c>
      <c r="D3251" t="s">
        <v>79</v>
      </c>
      <c r="E3251">
        <v>15</v>
      </c>
      <c r="F3251" t="s">
        <v>6336</v>
      </c>
      <c r="G3251">
        <v>1727</v>
      </c>
      <c r="H3251">
        <v>1</v>
      </c>
      <c r="I3251" t="s">
        <v>81</v>
      </c>
      <c r="J3251">
        <v>0</v>
      </c>
      <c r="K3251">
        <v>2</v>
      </c>
      <c r="L3251">
        <v>2</v>
      </c>
      <c r="M3251">
        <v>171</v>
      </c>
      <c r="N3251">
        <v>649</v>
      </c>
      <c r="O3251">
        <v>6</v>
      </c>
      <c r="P3251">
        <v>476</v>
      </c>
      <c r="Q3251">
        <v>17</v>
      </c>
      <c r="R3251">
        <v>124</v>
      </c>
      <c r="S3251">
        <v>122</v>
      </c>
      <c r="T3251">
        <v>10</v>
      </c>
      <c r="U3251">
        <v>16</v>
      </c>
      <c r="V3251">
        <v>7</v>
      </c>
      <c r="W3251">
        <v>6</v>
      </c>
      <c r="X3251">
        <v>4</v>
      </c>
      <c r="Y3251">
        <v>141</v>
      </c>
      <c r="Z3251">
        <v>4</v>
      </c>
      <c r="AA3251">
        <v>4</v>
      </c>
      <c r="AB3251">
        <v>7</v>
      </c>
      <c r="AC3251">
        <v>1</v>
      </c>
      <c r="AD3251" t="s">
        <v>100</v>
      </c>
      <c r="AE3251" t="s">
        <v>100</v>
      </c>
      <c r="AF3251" t="s">
        <v>100</v>
      </c>
      <c r="AG3251" t="s">
        <v>100</v>
      </c>
      <c r="AH3251" t="s">
        <v>100</v>
      </c>
      <c r="AI3251" t="s">
        <v>100</v>
      </c>
      <c r="AJ3251" t="s">
        <v>100</v>
      </c>
      <c r="AK3251" t="s">
        <v>100</v>
      </c>
      <c r="AL3251" t="s">
        <v>100</v>
      </c>
      <c r="AM3251" t="s">
        <v>100</v>
      </c>
      <c r="AN3251" t="s">
        <v>100</v>
      </c>
      <c r="AT3251" t="s">
        <v>100</v>
      </c>
      <c r="AU3251">
        <v>13</v>
      </c>
      <c r="AV3251">
        <v>476</v>
      </c>
      <c r="AW3251">
        <v>476</v>
      </c>
      <c r="AX3251">
        <v>627</v>
      </c>
      <c r="AZ3251" t="s">
        <v>101</v>
      </c>
      <c r="BA3251">
        <v>1</v>
      </c>
      <c r="BC3251" t="s">
        <v>6605</v>
      </c>
      <c r="BD3251" s="4">
        <v>43283.133125</v>
      </c>
      <c r="BE3251" s="4">
        <v>43283.137766203705</v>
      </c>
      <c r="BF3251" s="4">
        <v>43283.137766203705</v>
      </c>
      <c r="BG3251" t="s">
        <v>373</v>
      </c>
      <c r="BH3251" t="s">
        <v>374</v>
      </c>
      <c r="BI3251" t="s">
        <v>85</v>
      </c>
    </row>
    <row r="3252" spans="1:61" x14ac:dyDescent="0.3">
      <c r="A3252" t="str">
        <f>"201727C0100"</f>
        <v>201727C0100</v>
      </c>
      <c r="B3252" t="s">
        <v>6606</v>
      </c>
      <c r="C3252">
        <v>20</v>
      </c>
      <c r="D3252" t="s">
        <v>79</v>
      </c>
      <c r="E3252">
        <v>15</v>
      </c>
      <c r="F3252" t="s">
        <v>6336</v>
      </c>
      <c r="G3252">
        <v>1727</v>
      </c>
      <c r="H3252">
        <v>1</v>
      </c>
      <c r="I3252" t="s">
        <v>89</v>
      </c>
      <c r="J3252">
        <v>0</v>
      </c>
      <c r="K3252">
        <v>2</v>
      </c>
      <c r="L3252">
        <v>2</v>
      </c>
      <c r="M3252">
        <v>204</v>
      </c>
      <c r="N3252">
        <v>444</v>
      </c>
      <c r="O3252">
        <v>2</v>
      </c>
      <c r="P3252">
        <v>447</v>
      </c>
      <c r="Q3252">
        <v>16</v>
      </c>
      <c r="R3252">
        <v>65</v>
      </c>
      <c r="S3252">
        <v>123</v>
      </c>
      <c r="T3252">
        <v>10</v>
      </c>
      <c r="U3252">
        <v>9</v>
      </c>
      <c r="V3252">
        <v>6</v>
      </c>
      <c r="W3252">
        <v>13</v>
      </c>
      <c r="X3252">
        <v>3</v>
      </c>
      <c r="Y3252">
        <v>174</v>
      </c>
      <c r="Z3252">
        <v>6</v>
      </c>
      <c r="AA3252">
        <v>3</v>
      </c>
      <c r="AB3252">
        <v>2</v>
      </c>
      <c r="AC3252" t="s">
        <v>100</v>
      </c>
      <c r="AD3252" t="s">
        <v>100</v>
      </c>
      <c r="AE3252" t="s">
        <v>100</v>
      </c>
      <c r="AF3252" t="s">
        <v>100</v>
      </c>
      <c r="AG3252" t="s">
        <v>100</v>
      </c>
      <c r="AH3252" t="s">
        <v>100</v>
      </c>
      <c r="AI3252" t="s">
        <v>100</v>
      </c>
      <c r="AJ3252" t="s">
        <v>100</v>
      </c>
      <c r="AK3252">
        <v>2</v>
      </c>
      <c r="AL3252">
        <v>1</v>
      </c>
      <c r="AM3252">
        <v>1</v>
      </c>
      <c r="AN3252" t="s">
        <v>100</v>
      </c>
      <c r="AT3252" t="s">
        <v>100</v>
      </c>
      <c r="AU3252">
        <v>13</v>
      </c>
      <c r="AV3252">
        <v>447</v>
      </c>
      <c r="AW3252">
        <v>447</v>
      </c>
      <c r="AX3252">
        <v>627</v>
      </c>
      <c r="AZ3252" t="s">
        <v>101</v>
      </c>
      <c r="BA3252">
        <v>1</v>
      </c>
      <c r="BC3252" s="2" t="s">
        <v>6607</v>
      </c>
      <c r="BD3252" s="4">
        <v>43283.261111111111</v>
      </c>
      <c r="BE3252" s="4">
        <v>43283.28800925926</v>
      </c>
      <c r="BF3252" s="4">
        <v>43283.28800925926</v>
      </c>
      <c r="BG3252" t="s">
        <v>83</v>
      </c>
      <c r="BH3252" t="s">
        <v>84</v>
      </c>
      <c r="BI3252" t="s">
        <v>85</v>
      </c>
    </row>
    <row r="3253" spans="1:61" x14ac:dyDescent="0.3">
      <c r="A3253" t="str">
        <f>"201727C0200"</f>
        <v>201727C0200</v>
      </c>
      <c r="B3253" t="s">
        <v>6608</v>
      </c>
      <c r="C3253">
        <v>20</v>
      </c>
      <c r="D3253" t="s">
        <v>79</v>
      </c>
      <c r="E3253">
        <v>15</v>
      </c>
      <c r="F3253" t="s">
        <v>6336</v>
      </c>
      <c r="G3253">
        <v>1727</v>
      </c>
      <c r="H3253">
        <v>2</v>
      </c>
      <c r="I3253" t="s">
        <v>89</v>
      </c>
      <c r="J3253">
        <v>0</v>
      </c>
      <c r="K3253">
        <v>2</v>
      </c>
      <c r="L3253">
        <v>2</v>
      </c>
      <c r="M3253">
        <v>168</v>
      </c>
      <c r="N3253">
        <v>480</v>
      </c>
      <c r="O3253" t="s">
        <v>100</v>
      </c>
      <c r="P3253">
        <v>475</v>
      </c>
      <c r="Q3253">
        <v>17</v>
      </c>
      <c r="R3253">
        <v>97</v>
      </c>
      <c r="S3253">
        <v>139</v>
      </c>
      <c r="T3253">
        <v>21</v>
      </c>
      <c r="U3253">
        <v>11</v>
      </c>
      <c r="V3253">
        <v>4</v>
      </c>
      <c r="W3253">
        <v>14</v>
      </c>
      <c r="X3253">
        <v>6</v>
      </c>
      <c r="Y3253">
        <v>135</v>
      </c>
      <c r="Z3253">
        <v>4</v>
      </c>
      <c r="AA3253">
        <v>3</v>
      </c>
      <c r="AB3253">
        <v>3</v>
      </c>
      <c r="AC3253">
        <v>1</v>
      </c>
      <c r="AD3253" t="s">
        <v>100</v>
      </c>
      <c r="AE3253" t="s">
        <v>100</v>
      </c>
      <c r="AF3253" t="s">
        <v>100</v>
      </c>
      <c r="AG3253" t="s">
        <v>100</v>
      </c>
      <c r="AH3253" t="s">
        <v>100</v>
      </c>
      <c r="AI3253" t="s">
        <v>100</v>
      </c>
      <c r="AJ3253" t="s">
        <v>100</v>
      </c>
      <c r="AK3253">
        <v>3</v>
      </c>
      <c r="AL3253" t="s">
        <v>100</v>
      </c>
      <c r="AM3253" t="s">
        <v>100</v>
      </c>
      <c r="AN3253" t="s">
        <v>100</v>
      </c>
      <c r="AT3253" t="s">
        <v>100</v>
      </c>
      <c r="AU3253">
        <v>17</v>
      </c>
      <c r="AV3253">
        <v>475</v>
      </c>
      <c r="AW3253">
        <v>475</v>
      </c>
      <c r="AX3253">
        <v>626</v>
      </c>
      <c r="AZ3253" t="s">
        <v>101</v>
      </c>
      <c r="BA3253">
        <v>1</v>
      </c>
      <c r="BC3253" t="s">
        <v>6609</v>
      </c>
      <c r="BD3253" s="4">
        <v>43283.232638888891</v>
      </c>
      <c r="BE3253" s="4">
        <v>43283.259953703702</v>
      </c>
      <c r="BF3253" s="4">
        <v>43283.259953703702</v>
      </c>
      <c r="BG3253" t="s">
        <v>83</v>
      </c>
      <c r="BH3253" t="s">
        <v>84</v>
      </c>
      <c r="BI3253" t="s">
        <v>85</v>
      </c>
    </row>
    <row r="3254" spans="1:61" x14ac:dyDescent="0.3">
      <c r="A3254" t="str">
        <f>"201727C0300"</f>
        <v>201727C0300</v>
      </c>
      <c r="B3254" t="s">
        <v>6610</v>
      </c>
      <c r="C3254">
        <v>20</v>
      </c>
      <c r="D3254" t="s">
        <v>79</v>
      </c>
      <c r="E3254">
        <v>15</v>
      </c>
      <c r="F3254" t="s">
        <v>6336</v>
      </c>
      <c r="G3254">
        <v>1727</v>
      </c>
      <c r="H3254">
        <v>3</v>
      </c>
      <c r="I3254" t="s">
        <v>89</v>
      </c>
      <c r="J3254">
        <v>0</v>
      </c>
      <c r="K3254">
        <v>2</v>
      </c>
      <c r="L3254">
        <v>2</v>
      </c>
      <c r="M3254">
        <v>200</v>
      </c>
      <c r="N3254">
        <v>445</v>
      </c>
      <c r="O3254">
        <v>2</v>
      </c>
      <c r="P3254">
        <v>448</v>
      </c>
      <c r="Q3254">
        <v>18</v>
      </c>
      <c r="R3254">
        <v>110</v>
      </c>
      <c r="S3254">
        <v>120</v>
      </c>
      <c r="T3254">
        <v>10</v>
      </c>
      <c r="U3254">
        <v>7</v>
      </c>
      <c r="V3254">
        <v>6</v>
      </c>
      <c r="W3254">
        <v>8</v>
      </c>
      <c r="X3254">
        <v>129</v>
      </c>
      <c r="Y3254">
        <v>0</v>
      </c>
      <c r="Z3254">
        <v>1</v>
      </c>
      <c r="AA3254">
        <v>7</v>
      </c>
      <c r="AB3254">
        <v>0</v>
      </c>
      <c r="AC3254">
        <v>1</v>
      </c>
      <c r="AD3254">
        <v>0</v>
      </c>
      <c r="AE3254">
        <v>0</v>
      </c>
      <c r="AF3254">
        <v>0</v>
      </c>
      <c r="AG3254">
        <v>1</v>
      </c>
      <c r="AH3254">
        <v>0</v>
      </c>
      <c r="AI3254">
        <v>0</v>
      </c>
      <c r="AJ3254">
        <v>2</v>
      </c>
      <c r="AK3254">
        <v>1</v>
      </c>
      <c r="AL3254">
        <v>0</v>
      </c>
      <c r="AM3254">
        <v>1</v>
      </c>
      <c r="AN3254">
        <v>0</v>
      </c>
      <c r="AT3254">
        <v>0</v>
      </c>
      <c r="AU3254">
        <v>18</v>
      </c>
      <c r="AV3254">
        <v>448</v>
      </c>
      <c r="AW3254">
        <v>440</v>
      </c>
      <c r="AX3254">
        <v>626</v>
      </c>
      <c r="BA3254">
        <v>1</v>
      </c>
      <c r="BC3254" t="s">
        <v>6611</v>
      </c>
      <c r="BD3254" s="4">
        <v>43283.23541666667</v>
      </c>
      <c r="BE3254" s="4">
        <v>43283.270787037036</v>
      </c>
      <c r="BF3254" s="4">
        <v>43283.270787037036</v>
      </c>
      <c r="BG3254" t="s">
        <v>83</v>
      </c>
      <c r="BH3254" t="s">
        <v>84</v>
      </c>
      <c r="BI3254" t="s">
        <v>85</v>
      </c>
    </row>
    <row r="3255" spans="1:61" x14ac:dyDescent="0.3">
      <c r="A3255" t="str">
        <f>"201727C0400"</f>
        <v>201727C0400</v>
      </c>
      <c r="B3255" t="s">
        <v>6612</v>
      </c>
      <c r="C3255">
        <v>20</v>
      </c>
      <c r="D3255" t="s">
        <v>79</v>
      </c>
      <c r="E3255">
        <v>15</v>
      </c>
      <c r="F3255" t="s">
        <v>6336</v>
      </c>
      <c r="G3255">
        <v>1727</v>
      </c>
      <c r="H3255">
        <v>4</v>
      </c>
      <c r="I3255" t="s">
        <v>89</v>
      </c>
      <c r="J3255">
        <v>0</v>
      </c>
      <c r="K3255">
        <v>2</v>
      </c>
      <c r="L3255">
        <v>2</v>
      </c>
      <c r="AX3255">
        <v>626</v>
      </c>
      <c r="AZ3255" t="s">
        <v>156</v>
      </c>
      <c r="BA3255">
        <v>0</v>
      </c>
      <c r="BC3255" t="s">
        <v>6613</v>
      </c>
      <c r="BD3255" s="4">
        <v>43283.644444444442</v>
      </c>
      <c r="BE3255" s="4">
        <v>43283.648356481484</v>
      </c>
      <c r="BF3255" s="4">
        <v>43283.648356481484</v>
      </c>
      <c r="BG3255" t="s">
        <v>83</v>
      </c>
      <c r="BH3255" t="s">
        <v>84</v>
      </c>
      <c r="BI3255" t="s">
        <v>85</v>
      </c>
    </row>
    <row r="3256" spans="1:61" x14ac:dyDescent="0.3">
      <c r="A3256" t="str">
        <f>"201727C0500"</f>
        <v>201727C0500</v>
      </c>
      <c r="B3256" t="s">
        <v>6614</v>
      </c>
      <c r="C3256">
        <v>20</v>
      </c>
      <c r="D3256" t="s">
        <v>79</v>
      </c>
      <c r="E3256">
        <v>15</v>
      </c>
      <c r="F3256" t="s">
        <v>6336</v>
      </c>
      <c r="G3256">
        <v>1727</v>
      </c>
      <c r="H3256">
        <v>5</v>
      </c>
      <c r="I3256" t="s">
        <v>89</v>
      </c>
      <c r="J3256">
        <v>0</v>
      </c>
      <c r="K3256">
        <v>2</v>
      </c>
      <c r="L3256">
        <v>2</v>
      </c>
      <c r="M3256">
        <v>184</v>
      </c>
      <c r="N3256">
        <v>463</v>
      </c>
      <c r="O3256">
        <v>3</v>
      </c>
      <c r="P3256">
        <v>463</v>
      </c>
      <c r="Q3256">
        <v>17</v>
      </c>
      <c r="R3256">
        <v>81</v>
      </c>
      <c r="S3256">
        <v>129</v>
      </c>
      <c r="T3256">
        <v>15</v>
      </c>
      <c r="U3256">
        <v>16</v>
      </c>
      <c r="V3256">
        <v>10</v>
      </c>
      <c r="W3256">
        <v>14</v>
      </c>
      <c r="X3256">
        <v>6</v>
      </c>
      <c r="Y3256">
        <v>141</v>
      </c>
      <c r="Z3256">
        <v>2</v>
      </c>
      <c r="AA3256">
        <v>2</v>
      </c>
      <c r="AB3256">
        <v>4</v>
      </c>
      <c r="AC3256">
        <v>0</v>
      </c>
      <c r="AD3256">
        <v>1</v>
      </c>
      <c r="AE3256">
        <v>0</v>
      </c>
      <c r="AF3256">
        <v>0</v>
      </c>
      <c r="AG3256">
        <v>2</v>
      </c>
      <c r="AH3256">
        <v>0</v>
      </c>
      <c r="AI3256">
        <v>0</v>
      </c>
      <c r="AJ3256">
        <v>0</v>
      </c>
      <c r="AK3256">
        <v>0</v>
      </c>
      <c r="AL3256">
        <v>1</v>
      </c>
      <c r="AM3256">
        <v>0</v>
      </c>
      <c r="AN3256">
        <v>0</v>
      </c>
      <c r="AT3256">
        <v>0</v>
      </c>
      <c r="AU3256">
        <v>21</v>
      </c>
      <c r="AV3256">
        <v>462</v>
      </c>
      <c r="AW3256">
        <v>462</v>
      </c>
      <c r="AX3256">
        <v>626</v>
      </c>
      <c r="BA3256">
        <v>1</v>
      </c>
      <c r="BC3256" t="s">
        <v>6615</v>
      </c>
      <c r="BD3256" s="4">
        <v>43283.150949074072</v>
      </c>
      <c r="BE3256" s="4">
        <v>43283.159062500003</v>
      </c>
      <c r="BF3256" s="4">
        <v>43283.159062500003</v>
      </c>
      <c r="BG3256" t="s">
        <v>373</v>
      </c>
      <c r="BH3256" t="s">
        <v>374</v>
      </c>
      <c r="BI3256" t="s">
        <v>85</v>
      </c>
    </row>
    <row r="3257" spans="1:61" x14ac:dyDescent="0.3">
      <c r="A3257" t="str">
        <f>"201728B0100"</f>
        <v>201728B0100</v>
      </c>
      <c r="B3257" t="s">
        <v>6616</v>
      </c>
      <c r="C3257">
        <v>20</v>
      </c>
      <c r="D3257" t="s">
        <v>79</v>
      </c>
      <c r="E3257">
        <v>15</v>
      </c>
      <c r="F3257" t="s">
        <v>6336</v>
      </c>
      <c r="G3257">
        <v>1728</v>
      </c>
      <c r="H3257">
        <v>1</v>
      </c>
      <c r="I3257" t="s">
        <v>81</v>
      </c>
      <c r="J3257">
        <v>0</v>
      </c>
      <c r="K3257">
        <v>2</v>
      </c>
      <c r="L3257">
        <v>2</v>
      </c>
      <c r="M3257">
        <v>229</v>
      </c>
      <c r="N3257">
        <v>483</v>
      </c>
      <c r="O3257">
        <v>5</v>
      </c>
      <c r="P3257">
        <v>481</v>
      </c>
      <c r="Q3257">
        <v>34</v>
      </c>
      <c r="R3257">
        <v>42</v>
      </c>
      <c r="S3257">
        <v>75</v>
      </c>
      <c r="T3257">
        <v>9</v>
      </c>
      <c r="U3257">
        <v>15</v>
      </c>
      <c r="V3257">
        <v>17</v>
      </c>
      <c r="W3257">
        <v>16</v>
      </c>
      <c r="X3257">
        <v>3</v>
      </c>
      <c r="Y3257">
        <v>218</v>
      </c>
      <c r="Z3257">
        <v>12</v>
      </c>
      <c r="AA3257">
        <v>2</v>
      </c>
      <c r="AB3257">
        <v>6</v>
      </c>
      <c r="AC3257">
        <v>3</v>
      </c>
      <c r="AD3257">
        <v>2</v>
      </c>
      <c r="AE3257">
        <v>0</v>
      </c>
      <c r="AF3257">
        <v>0</v>
      </c>
      <c r="AG3257">
        <v>0</v>
      </c>
      <c r="AH3257">
        <v>2</v>
      </c>
      <c r="AI3257">
        <v>0</v>
      </c>
      <c r="AJ3257">
        <v>0</v>
      </c>
      <c r="AK3257">
        <v>3</v>
      </c>
      <c r="AL3257">
        <v>1</v>
      </c>
      <c r="AM3257">
        <v>1</v>
      </c>
      <c r="AN3257">
        <v>1</v>
      </c>
      <c r="AT3257">
        <v>0</v>
      </c>
      <c r="AU3257">
        <v>19</v>
      </c>
      <c r="AV3257">
        <v>481</v>
      </c>
      <c r="AW3257">
        <v>481</v>
      </c>
      <c r="AX3257">
        <v>690</v>
      </c>
      <c r="BA3257">
        <v>1</v>
      </c>
      <c r="BC3257" t="s">
        <v>6617</v>
      </c>
      <c r="BD3257" s="4">
        <v>43283.03056712963</v>
      </c>
      <c r="BE3257" s="4">
        <v>43283.033854166664</v>
      </c>
      <c r="BF3257" s="4">
        <v>43283.033854166664</v>
      </c>
      <c r="BG3257" t="s">
        <v>373</v>
      </c>
      <c r="BH3257" t="s">
        <v>374</v>
      </c>
      <c r="BI3257" t="s">
        <v>85</v>
      </c>
    </row>
    <row r="3258" spans="1:61" x14ac:dyDescent="0.3">
      <c r="A3258" t="str">
        <f>"201728C0100"</f>
        <v>201728C0100</v>
      </c>
      <c r="B3258" t="s">
        <v>6618</v>
      </c>
      <c r="C3258">
        <v>20</v>
      </c>
      <c r="D3258" t="s">
        <v>79</v>
      </c>
      <c r="E3258">
        <v>15</v>
      </c>
      <c r="F3258" t="s">
        <v>6336</v>
      </c>
      <c r="G3258">
        <v>1728</v>
      </c>
      <c r="H3258">
        <v>1</v>
      </c>
      <c r="I3258" t="s">
        <v>89</v>
      </c>
      <c r="J3258">
        <v>0</v>
      </c>
      <c r="K3258">
        <v>2</v>
      </c>
      <c r="L3258">
        <v>2</v>
      </c>
      <c r="M3258">
        <v>233</v>
      </c>
      <c r="N3258">
        <v>479</v>
      </c>
      <c r="O3258">
        <v>15</v>
      </c>
      <c r="P3258">
        <v>479</v>
      </c>
      <c r="Q3258">
        <v>25</v>
      </c>
      <c r="R3258">
        <v>33</v>
      </c>
      <c r="S3258">
        <v>80</v>
      </c>
      <c r="T3258">
        <v>12</v>
      </c>
      <c r="U3258">
        <v>24</v>
      </c>
      <c r="V3258">
        <v>8</v>
      </c>
      <c r="W3258">
        <v>10</v>
      </c>
      <c r="X3258">
        <v>5</v>
      </c>
      <c r="Y3258">
        <v>231</v>
      </c>
      <c r="Z3258">
        <v>3</v>
      </c>
      <c r="AA3258">
        <v>4</v>
      </c>
      <c r="AB3258">
        <v>6</v>
      </c>
      <c r="AC3258">
        <v>2</v>
      </c>
      <c r="AD3258">
        <v>1</v>
      </c>
      <c r="AE3258">
        <v>0</v>
      </c>
      <c r="AF3258">
        <v>0</v>
      </c>
      <c r="AG3258">
        <v>2</v>
      </c>
      <c r="AH3258">
        <v>2</v>
      </c>
      <c r="AI3258">
        <v>0</v>
      </c>
      <c r="AJ3258">
        <v>0</v>
      </c>
      <c r="AK3258">
        <v>7</v>
      </c>
      <c r="AL3258">
        <v>0</v>
      </c>
      <c r="AM3258">
        <v>0</v>
      </c>
      <c r="AN3258">
        <v>1</v>
      </c>
      <c r="AT3258">
        <v>1</v>
      </c>
      <c r="AU3258">
        <v>22</v>
      </c>
      <c r="AV3258">
        <v>479</v>
      </c>
      <c r="AW3258">
        <v>479</v>
      </c>
      <c r="AX3258">
        <v>690</v>
      </c>
      <c r="BA3258">
        <v>1</v>
      </c>
      <c r="BC3258" t="s">
        <v>6619</v>
      </c>
      <c r="BD3258" s="4">
        <v>43283.029467592591</v>
      </c>
      <c r="BE3258" s="4">
        <v>43283.033726851849</v>
      </c>
      <c r="BF3258" s="4">
        <v>43283.033726851849</v>
      </c>
      <c r="BG3258" t="s">
        <v>373</v>
      </c>
      <c r="BH3258" t="s">
        <v>374</v>
      </c>
      <c r="BI3258" t="s">
        <v>85</v>
      </c>
    </row>
    <row r="3259" spans="1:61" x14ac:dyDescent="0.3">
      <c r="A3259" t="str">
        <f>"201728C0200"</f>
        <v>201728C0200</v>
      </c>
      <c r="B3259" t="s">
        <v>6620</v>
      </c>
      <c r="C3259">
        <v>20</v>
      </c>
      <c r="D3259" t="s">
        <v>79</v>
      </c>
      <c r="E3259">
        <v>15</v>
      </c>
      <c r="F3259" t="s">
        <v>6336</v>
      </c>
      <c r="G3259">
        <v>1728</v>
      </c>
      <c r="H3259">
        <v>2</v>
      </c>
      <c r="I3259" t="s">
        <v>89</v>
      </c>
      <c r="J3259">
        <v>0</v>
      </c>
      <c r="K3259">
        <v>2</v>
      </c>
      <c r="L3259">
        <v>2</v>
      </c>
      <c r="M3259">
        <v>247</v>
      </c>
      <c r="N3259">
        <v>464</v>
      </c>
      <c r="O3259">
        <v>9</v>
      </c>
      <c r="P3259">
        <v>463</v>
      </c>
      <c r="Q3259">
        <v>35</v>
      </c>
      <c r="R3259">
        <v>41</v>
      </c>
      <c r="S3259">
        <v>82</v>
      </c>
      <c r="T3259">
        <v>15</v>
      </c>
      <c r="U3259">
        <v>20</v>
      </c>
      <c r="V3259">
        <v>10</v>
      </c>
      <c r="W3259">
        <v>23</v>
      </c>
      <c r="X3259">
        <v>2</v>
      </c>
      <c r="Y3259">
        <v>194</v>
      </c>
      <c r="Z3259">
        <v>10</v>
      </c>
      <c r="AA3259">
        <v>4</v>
      </c>
      <c r="AB3259">
        <v>9</v>
      </c>
      <c r="AC3259">
        <v>1</v>
      </c>
      <c r="AD3259">
        <v>3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2</v>
      </c>
      <c r="AL3259">
        <v>0</v>
      </c>
      <c r="AM3259">
        <v>0</v>
      </c>
      <c r="AN3259">
        <v>2</v>
      </c>
      <c r="AT3259">
        <v>0</v>
      </c>
      <c r="AU3259">
        <v>10</v>
      </c>
      <c r="AV3259">
        <v>463</v>
      </c>
      <c r="AW3259">
        <v>463</v>
      </c>
      <c r="AX3259">
        <v>689</v>
      </c>
      <c r="BA3259">
        <v>1</v>
      </c>
      <c r="BC3259" t="s">
        <v>6621</v>
      </c>
      <c r="BD3259" s="4">
        <v>43283.03398148148</v>
      </c>
      <c r="BE3259" s="4">
        <v>43283.037905092591</v>
      </c>
      <c r="BF3259" s="4">
        <v>43283.037905092591</v>
      </c>
      <c r="BG3259" t="s">
        <v>373</v>
      </c>
      <c r="BH3259" t="s">
        <v>374</v>
      </c>
      <c r="BI3259" t="s">
        <v>85</v>
      </c>
    </row>
    <row r="3260" spans="1:61" x14ac:dyDescent="0.3">
      <c r="A3260" t="str">
        <f>"201728E0100"</f>
        <v>201728E0100</v>
      </c>
      <c r="B3260" s="2" t="s">
        <v>6622</v>
      </c>
      <c r="C3260">
        <v>20</v>
      </c>
      <c r="D3260" t="s">
        <v>79</v>
      </c>
      <c r="E3260">
        <v>15</v>
      </c>
      <c r="F3260" t="s">
        <v>6336</v>
      </c>
      <c r="G3260">
        <v>1728</v>
      </c>
      <c r="H3260">
        <v>1</v>
      </c>
      <c r="I3260" t="s">
        <v>145</v>
      </c>
      <c r="J3260">
        <v>0</v>
      </c>
      <c r="K3260">
        <v>2</v>
      </c>
      <c r="L3260">
        <v>2</v>
      </c>
      <c r="M3260">
        <v>278</v>
      </c>
      <c r="N3260">
        <v>464</v>
      </c>
      <c r="O3260">
        <v>2</v>
      </c>
      <c r="P3260">
        <v>464</v>
      </c>
      <c r="Q3260">
        <v>16</v>
      </c>
      <c r="R3260">
        <v>32</v>
      </c>
      <c r="S3260">
        <v>71</v>
      </c>
      <c r="T3260">
        <v>8</v>
      </c>
      <c r="U3260">
        <v>29</v>
      </c>
      <c r="V3260">
        <v>6</v>
      </c>
      <c r="W3260">
        <v>17</v>
      </c>
      <c r="X3260">
        <v>5</v>
      </c>
      <c r="Y3260">
        <v>217</v>
      </c>
      <c r="Z3260">
        <v>9</v>
      </c>
      <c r="AA3260">
        <v>5</v>
      </c>
      <c r="AB3260">
        <v>15</v>
      </c>
      <c r="AC3260">
        <v>5</v>
      </c>
      <c r="AD3260" t="s">
        <v>100</v>
      </c>
      <c r="AE3260" t="s">
        <v>100</v>
      </c>
      <c r="AF3260" t="s">
        <v>100</v>
      </c>
      <c r="AG3260" t="s">
        <v>100</v>
      </c>
      <c r="AH3260">
        <v>1</v>
      </c>
      <c r="AI3260" t="s">
        <v>100</v>
      </c>
      <c r="AJ3260" t="s">
        <v>100</v>
      </c>
      <c r="AK3260" t="s">
        <v>100</v>
      </c>
      <c r="AL3260" t="s">
        <v>100</v>
      </c>
      <c r="AM3260" t="s">
        <v>100</v>
      </c>
      <c r="AN3260">
        <v>7</v>
      </c>
      <c r="AT3260" t="s">
        <v>100</v>
      </c>
      <c r="AU3260" t="s">
        <v>100</v>
      </c>
      <c r="AV3260">
        <v>464</v>
      </c>
      <c r="AW3260">
        <v>443</v>
      </c>
      <c r="AX3260">
        <v>722</v>
      </c>
      <c r="AZ3260" t="s">
        <v>101</v>
      </c>
      <c r="BA3260">
        <v>1</v>
      </c>
      <c r="BC3260" t="s">
        <v>6623</v>
      </c>
      <c r="BD3260" s="4">
        <v>43282.94940972222</v>
      </c>
      <c r="BE3260" s="4">
        <v>43282.952951388892</v>
      </c>
      <c r="BF3260" s="4">
        <v>43282.952951388892</v>
      </c>
      <c r="BG3260" t="s">
        <v>373</v>
      </c>
      <c r="BH3260" t="s">
        <v>374</v>
      </c>
      <c r="BI3260" t="s">
        <v>85</v>
      </c>
    </row>
    <row r="3261" spans="1:61" x14ac:dyDescent="0.3">
      <c r="A3261" t="str">
        <f>"201728E0101"</f>
        <v>201728E0101</v>
      </c>
      <c r="B3261" s="2" t="s">
        <v>6624</v>
      </c>
      <c r="C3261">
        <v>20</v>
      </c>
      <c r="D3261" t="s">
        <v>79</v>
      </c>
      <c r="E3261">
        <v>15</v>
      </c>
      <c r="F3261" t="s">
        <v>6336</v>
      </c>
      <c r="G3261">
        <v>1728</v>
      </c>
      <c r="H3261">
        <v>1</v>
      </c>
      <c r="I3261" t="s">
        <v>145</v>
      </c>
      <c r="J3261">
        <v>1</v>
      </c>
      <c r="K3261">
        <v>2</v>
      </c>
      <c r="L3261">
        <v>2</v>
      </c>
      <c r="M3261">
        <v>294</v>
      </c>
      <c r="N3261">
        <v>456</v>
      </c>
      <c r="O3261">
        <v>3</v>
      </c>
      <c r="P3261">
        <v>447</v>
      </c>
      <c r="Q3261">
        <v>14</v>
      </c>
      <c r="R3261">
        <v>37</v>
      </c>
      <c r="S3261">
        <v>145</v>
      </c>
      <c r="T3261">
        <v>7</v>
      </c>
      <c r="U3261">
        <v>13</v>
      </c>
      <c r="V3261">
        <v>10</v>
      </c>
      <c r="W3261">
        <v>5</v>
      </c>
      <c r="X3261">
        <v>2</v>
      </c>
      <c r="Y3261">
        <v>174</v>
      </c>
      <c r="Z3261">
        <v>7</v>
      </c>
      <c r="AA3261">
        <v>5</v>
      </c>
      <c r="AB3261">
        <v>2</v>
      </c>
      <c r="AC3261">
        <v>2</v>
      </c>
      <c r="AD3261">
        <v>1</v>
      </c>
      <c r="AE3261">
        <v>2</v>
      </c>
      <c r="AF3261" t="s">
        <v>100</v>
      </c>
      <c r="AG3261" t="s">
        <v>100</v>
      </c>
      <c r="AH3261" t="s">
        <v>100</v>
      </c>
      <c r="AI3261" t="s">
        <v>100</v>
      </c>
      <c r="AJ3261" t="s">
        <v>100</v>
      </c>
      <c r="AK3261">
        <v>2</v>
      </c>
      <c r="AL3261">
        <v>1</v>
      </c>
      <c r="AM3261" t="s">
        <v>100</v>
      </c>
      <c r="AN3261">
        <v>13</v>
      </c>
      <c r="AT3261">
        <v>13</v>
      </c>
      <c r="AU3261">
        <v>13</v>
      </c>
      <c r="AV3261" t="s">
        <v>100</v>
      </c>
      <c r="AW3261">
        <v>468</v>
      </c>
      <c r="AX3261">
        <v>722</v>
      </c>
      <c r="AZ3261" t="s">
        <v>101</v>
      </c>
      <c r="BA3261">
        <v>1</v>
      </c>
      <c r="BC3261" t="s">
        <v>6625</v>
      </c>
      <c r="BD3261" s="4">
        <v>43282.948518518519</v>
      </c>
      <c r="BE3261" s="4">
        <v>43282.960486111115</v>
      </c>
      <c r="BF3261" s="4">
        <v>43282.960486111115</v>
      </c>
      <c r="BG3261" t="s">
        <v>373</v>
      </c>
      <c r="BH3261" t="s">
        <v>374</v>
      </c>
      <c r="BI3261" t="s">
        <v>85</v>
      </c>
    </row>
    <row r="3262" spans="1:61" x14ac:dyDescent="0.3">
      <c r="A3262" t="str">
        <f>"201728E0102"</f>
        <v>201728E0102</v>
      </c>
      <c r="B3262" s="2" t="s">
        <v>6626</v>
      </c>
      <c r="C3262">
        <v>20</v>
      </c>
      <c r="D3262" t="s">
        <v>79</v>
      </c>
      <c r="E3262">
        <v>15</v>
      </c>
      <c r="F3262" t="s">
        <v>6336</v>
      </c>
      <c r="G3262">
        <v>1728</v>
      </c>
      <c r="H3262">
        <v>1</v>
      </c>
      <c r="I3262" t="s">
        <v>145</v>
      </c>
      <c r="J3262">
        <v>2</v>
      </c>
      <c r="K3262">
        <v>2</v>
      </c>
      <c r="L3262">
        <v>2</v>
      </c>
      <c r="M3262">
        <v>268</v>
      </c>
      <c r="N3262">
        <v>486</v>
      </c>
      <c r="O3262">
        <v>5</v>
      </c>
      <c r="P3262">
        <v>484</v>
      </c>
      <c r="Q3262">
        <v>13</v>
      </c>
      <c r="R3262">
        <v>28</v>
      </c>
      <c r="S3262">
        <v>83</v>
      </c>
      <c r="T3262">
        <v>12</v>
      </c>
      <c r="U3262">
        <v>25</v>
      </c>
      <c r="V3262">
        <v>8</v>
      </c>
      <c r="W3262">
        <v>17</v>
      </c>
      <c r="X3262">
        <v>4</v>
      </c>
      <c r="Y3262">
        <v>237</v>
      </c>
      <c r="Z3262">
        <v>10</v>
      </c>
      <c r="AA3262">
        <v>4</v>
      </c>
      <c r="AB3262">
        <v>6</v>
      </c>
      <c r="AC3262">
        <v>2</v>
      </c>
      <c r="AD3262">
        <v>1</v>
      </c>
      <c r="AE3262">
        <v>0</v>
      </c>
      <c r="AF3262">
        <v>0</v>
      </c>
      <c r="AG3262">
        <v>0</v>
      </c>
      <c r="AH3262">
        <v>2</v>
      </c>
      <c r="AI3262">
        <v>0</v>
      </c>
      <c r="AJ3262">
        <v>0</v>
      </c>
      <c r="AK3262">
        <v>8</v>
      </c>
      <c r="AL3262">
        <v>2</v>
      </c>
      <c r="AM3262">
        <v>1</v>
      </c>
      <c r="AN3262">
        <v>2</v>
      </c>
      <c r="AT3262">
        <v>0</v>
      </c>
      <c r="AU3262">
        <v>22</v>
      </c>
      <c r="AV3262">
        <v>484</v>
      </c>
      <c r="AW3262">
        <v>487</v>
      </c>
      <c r="AX3262">
        <v>722</v>
      </c>
      <c r="BA3262">
        <v>1</v>
      </c>
      <c r="BC3262" t="s">
        <v>6627</v>
      </c>
      <c r="BD3262" s="4">
        <v>43282.943252314813</v>
      </c>
      <c r="BE3262" s="4">
        <v>43282.946817129632</v>
      </c>
      <c r="BF3262" s="4">
        <v>43282.946817129632</v>
      </c>
      <c r="BG3262" t="s">
        <v>373</v>
      </c>
      <c r="BH3262" t="s">
        <v>374</v>
      </c>
      <c r="BI3262" t="s">
        <v>85</v>
      </c>
    </row>
    <row r="3263" spans="1:61" x14ac:dyDescent="0.3">
      <c r="A3263" t="str">
        <f>"201728E0103"</f>
        <v>201728E0103</v>
      </c>
      <c r="B3263" s="2" t="s">
        <v>6628</v>
      </c>
      <c r="C3263">
        <v>20</v>
      </c>
      <c r="D3263" t="s">
        <v>79</v>
      </c>
      <c r="E3263">
        <v>15</v>
      </c>
      <c r="F3263" t="s">
        <v>6336</v>
      </c>
      <c r="G3263">
        <v>1728</v>
      </c>
      <c r="H3263">
        <v>1</v>
      </c>
      <c r="I3263" t="s">
        <v>145</v>
      </c>
      <c r="J3263">
        <v>3</v>
      </c>
      <c r="K3263">
        <v>2</v>
      </c>
      <c r="L3263">
        <v>2</v>
      </c>
      <c r="M3263">
        <v>265</v>
      </c>
      <c r="N3263">
        <v>459</v>
      </c>
      <c r="O3263">
        <v>4</v>
      </c>
      <c r="P3263">
        <v>476</v>
      </c>
      <c r="Q3263">
        <v>17</v>
      </c>
      <c r="R3263">
        <v>31</v>
      </c>
      <c r="S3263">
        <v>72</v>
      </c>
      <c r="T3263">
        <v>10</v>
      </c>
      <c r="U3263">
        <v>21</v>
      </c>
      <c r="V3263">
        <v>9</v>
      </c>
      <c r="W3263">
        <v>18</v>
      </c>
      <c r="X3263">
        <v>4</v>
      </c>
      <c r="Y3263">
        <v>249</v>
      </c>
      <c r="Z3263">
        <v>6</v>
      </c>
      <c r="AA3263">
        <v>7</v>
      </c>
      <c r="AB3263">
        <v>5</v>
      </c>
      <c r="AC3263">
        <v>1</v>
      </c>
      <c r="AD3263" t="s">
        <v>100</v>
      </c>
      <c r="AE3263" t="s">
        <v>100</v>
      </c>
      <c r="AF3263" t="s">
        <v>100</v>
      </c>
      <c r="AG3263" t="s">
        <v>100</v>
      </c>
      <c r="AH3263">
        <v>1</v>
      </c>
      <c r="AI3263" t="s">
        <v>100</v>
      </c>
      <c r="AJ3263" t="s">
        <v>100</v>
      </c>
      <c r="AK3263">
        <v>4</v>
      </c>
      <c r="AL3263" t="s">
        <v>100</v>
      </c>
      <c r="AM3263" t="s">
        <v>100</v>
      </c>
      <c r="AN3263" t="s">
        <v>100</v>
      </c>
      <c r="AT3263" t="s">
        <v>100</v>
      </c>
      <c r="AU3263">
        <v>21</v>
      </c>
      <c r="AV3263">
        <v>476</v>
      </c>
      <c r="AW3263">
        <v>476</v>
      </c>
      <c r="AX3263">
        <v>721</v>
      </c>
      <c r="AZ3263" t="s">
        <v>101</v>
      </c>
      <c r="BA3263">
        <v>1</v>
      </c>
      <c r="BC3263" t="s">
        <v>6629</v>
      </c>
      <c r="BD3263" s="4">
        <v>43282.956134259257</v>
      </c>
      <c r="BE3263" s="4">
        <v>43282.959861111114</v>
      </c>
      <c r="BF3263" s="4">
        <v>43282.959861111114</v>
      </c>
      <c r="BG3263" t="s">
        <v>373</v>
      </c>
      <c r="BH3263" t="s">
        <v>374</v>
      </c>
      <c r="BI3263" t="s">
        <v>85</v>
      </c>
    </row>
    <row r="3264" spans="1:61" x14ac:dyDescent="0.3">
      <c r="A3264" t="str">
        <f>"201728E0104"</f>
        <v>201728E0104</v>
      </c>
      <c r="B3264" s="2" t="s">
        <v>6630</v>
      </c>
      <c r="C3264">
        <v>20</v>
      </c>
      <c r="D3264" t="s">
        <v>79</v>
      </c>
      <c r="E3264">
        <v>15</v>
      </c>
      <c r="F3264" t="s">
        <v>6336</v>
      </c>
      <c r="G3264">
        <v>1728</v>
      </c>
      <c r="H3264">
        <v>1</v>
      </c>
      <c r="I3264" t="s">
        <v>145</v>
      </c>
      <c r="J3264">
        <v>4</v>
      </c>
      <c r="K3264">
        <v>2</v>
      </c>
      <c r="L3264">
        <v>2</v>
      </c>
      <c r="M3264">
        <v>254</v>
      </c>
      <c r="N3264">
        <v>479</v>
      </c>
      <c r="O3264">
        <v>7</v>
      </c>
      <c r="P3264">
        <v>489</v>
      </c>
      <c r="Q3264">
        <v>13</v>
      </c>
      <c r="R3264">
        <v>35</v>
      </c>
      <c r="S3264">
        <v>67</v>
      </c>
      <c r="T3264">
        <v>12</v>
      </c>
      <c r="U3264">
        <v>23</v>
      </c>
      <c r="V3264">
        <v>11</v>
      </c>
      <c r="W3264">
        <v>15</v>
      </c>
      <c r="X3264">
        <v>3</v>
      </c>
      <c r="Y3264">
        <v>247</v>
      </c>
      <c r="Z3264">
        <v>8</v>
      </c>
      <c r="AA3264">
        <v>4</v>
      </c>
      <c r="AB3264">
        <v>11</v>
      </c>
      <c r="AC3264">
        <v>0</v>
      </c>
      <c r="AD3264">
        <v>1</v>
      </c>
      <c r="AE3264">
        <v>0</v>
      </c>
      <c r="AF3264">
        <v>0</v>
      </c>
      <c r="AG3264">
        <v>1</v>
      </c>
      <c r="AH3264">
        <v>0</v>
      </c>
      <c r="AI3264">
        <v>0</v>
      </c>
      <c r="AJ3264">
        <v>0</v>
      </c>
      <c r="AK3264">
        <v>7</v>
      </c>
      <c r="AL3264">
        <v>4</v>
      </c>
      <c r="AM3264">
        <v>0</v>
      </c>
      <c r="AN3264">
        <v>2</v>
      </c>
      <c r="AT3264" t="s">
        <v>100</v>
      </c>
      <c r="AU3264">
        <v>23</v>
      </c>
      <c r="AV3264">
        <v>489</v>
      </c>
      <c r="AW3264">
        <v>487</v>
      </c>
      <c r="AX3264">
        <v>721</v>
      </c>
      <c r="AZ3264" t="s">
        <v>101</v>
      </c>
      <c r="BA3264">
        <v>1</v>
      </c>
      <c r="BC3264" t="s">
        <v>6631</v>
      </c>
      <c r="BD3264" s="4">
        <v>43282.950879629629</v>
      </c>
      <c r="BE3264" s="4">
        <v>43282.954363425924</v>
      </c>
      <c r="BF3264" s="4">
        <v>43282.954363425924</v>
      </c>
      <c r="BG3264" t="s">
        <v>373</v>
      </c>
      <c r="BH3264" t="s">
        <v>374</v>
      </c>
      <c r="BI3264" t="s">
        <v>85</v>
      </c>
    </row>
    <row r="3265" spans="1:61" x14ac:dyDescent="0.3">
      <c r="A3265" t="str">
        <f>"201729B0100"</f>
        <v>201729B0100</v>
      </c>
      <c r="B3265" t="s">
        <v>6632</v>
      </c>
      <c r="C3265">
        <v>20</v>
      </c>
      <c r="D3265" t="s">
        <v>79</v>
      </c>
      <c r="E3265">
        <v>15</v>
      </c>
      <c r="F3265" t="s">
        <v>6336</v>
      </c>
      <c r="G3265">
        <v>1729</v>
      </c>
      <c r="H3265">
        <v>1</v>
      </c>
      <c r="I3265" t="s">
        <v>81</v>
      </c>
      <c r="J3265">
        <v>0</v>
      </c>
      <c r="K3265">
        <v>2</v>
      </c>
      <c r="L3265">
        <v>2</v>
      </c>
      <c r="M3265">
        <v>208</v>
      </c>
      <c r="N3265">
        <v>547</v>
      </c>
      <c r="O3265">
        <v>13</v>
      </c>
      <c r="P3265">
        <v>521</v>
      </c>
      <c r="Q3265">
        <v>27</v>
      </c>
      <c r="R3265">
        <v>93</v>
      </c>
      <c r="S3265">
        <v>106</v>
      </c>
      <c r="T3265">
        <v>34</v>
      </c>
      <c r="U3265">
        <v>16</v>
      </c>
      <c r="V3265">
        <v>6</v>
      </c>
      <c r="W3265">
        <v>7</v>
      </c>
      <c r="X3265">
        <v>2</v>
      </c>
      <c r="Y3265">
        <v>203</v>
      </c>
      <c r="Z3265">
        <v>6</v>
      </c>
      <c r="AA3265">
        <v>3</v>
      </c>
      <c r="AB3265">
        <v>6</v>
      </c>
      <c r="AC3265">
        <v>3</v>
      </c>
      <c r="AD3265">
        <v>0</v>
      </c>
      <c r="AE3265">
        <v>3</v>
      </c>
      <c r="AF3265">
        <v>3</v>
      </c>
      <c r="AG3265">
        <v>1</v>
      </c>
      <c r="AH3265">
        <v>2</v>
      </c>
      <c r="AI3265">
        <v>0</v>
      </c>
      <c r="AJ3265">
        <v>0</v>
      </c>
      <c r="AK3265">
        <v>8</v>
      </c>
      <c r="AL3265">
        <v>0</v>
      </c>
      <c r="AM3265">
        <v>0</v>
      </c>
      <c r="AN3265">
        <v>0</v>
      </c>
      <c r="AT3265" t="s">
        <v>100</v>
      </c>
      <c r="AU3265" t="s">
        <v>100</v>
      </c>
      <c r="AV3265">
        <v>521</v>
      </c>
      <c r="AW3265">
        <v>529</v>
      </c>
      <c r="AX3265">
        <v>720</v>
      </c>
      <c r="AZ3265" t="s">
        <v>101</v>
      </c>
      <c r="BA3265">
        <v>1</v>
      </c>
      <c r="BC3265" t="s">
        <v>6633</v>
      </c>
      <c r="BD3265" s="4">
        <v>43283.007268518515</v>
      </c>
      <c r="BE3265" s="4">
        <v>43283.015636574077</v>
      </c>
      <c r="BF3265" s="4">
        <v>43283.015636574077</v>
      </c>
      <c r="BG3265" t="s">
        <v>373</v>
      </c>
      <c r="BH3265" t="s">
        <v>374</v>
      </c>
      <c r="BI3265" t="s">
        <v>85</v>
      </c>
    </row>
    <row r="3266" spans="1:61" x14ac:dyDescent="0.3">
      <c r="A3266" t="str">
        <f>"201729C0100"</f>
        <v>201729C0100</v>
      </c>
      <c r="B3266" t="s">
        <v>6634</v>
      </c>
      <c r="C3266">
        <v>20</v>
      </c>
      <c r="D3266" t="s">
        <v>79</v>
      </c>
      <c r="E3266">
        <v>15</v>
      </c>
      <c r="F3266" t="s">
        <v>6336</v>
      </c>
      <c r="G3266">
        <v>1729</v>
      </c>
      <c r="H3266">
        <v>1</v>
      </c>
      <c r="I3266" t="s">
        <v>89</v>
      </c>
      <c r="J3266">
        <v>0</v>
      </c>
      <c r="K3266">
        <v>2</v>
      </c>
      <c r="L3266">
        <v>2</v>
      </c>
      <c r="M3266">
        <v>267</v>
      </c>
      <c r="N3266">
        <v>475</v>
      </c>
      <c r="O3266">
        <v>6</v>
      </c>
      <c r="P3266">
        <v>475</v>
      </c>
      <c r="Q3266">
        <v>20</v>
      </c>
      <c r="R3266">
        <v>56</v>
      </c>
      <c r="S3266">
        <v>60</v>
      </c>
      <c r="T3266">
        <v>10</v>
      </c>
      <c r="U3266">
        <v>18</v>
      </c>
      <c r="V3266">
        <v>7</v>
      </c>
      <c r="W3266">
        <v>13</v>
      </c>
      <c r="X3266">
        <v>3</v>
      </c>
      <c r="Y3266">
        <v>239</v>
      </c>
      <c r="Z3266">
        <v>5</v>
      </c>
      <c r="AA3266">
        <v>5</v>
      </c>
      <c r="AB3266">
        <v>11</v>
      </c>
      <c r="AC3266">
        <v>0</v>
      </c>
      <c r="AD3266">
        <v>1</v>
      </c>
      <c r="AE3266">
        <v>0</v>
      </c>
      <c r="AF3266">
        <v>0</v>
      </c>
      <c r="AG3266">
        <v>3</v>
      </c>
      <c r="AH3266">
        <v>0</v>
      </c>
      <c r="AI3266">
        <v>0</v>
      </c>
      <c r="AJ3266">
        <v>1</v>
      </c>
      <c r="AK3266">
        <v>3</v>
      </c>
      <c r="AL3266">
        <v>1</v>
      </c>
      <c r="AM3266">
        <v>0</v>
      </c>
      <c r="AN3266">
        <v>3</v>
      </c>
      <c r="AT3266">
        <v>0</v>
      </c>
      <c r="AU3266">
        <v>16</v>
      </c>
      <c r="AV3266">
        <v>475</v>
      </c>
      <c r="AW3266">
        <v>475</v>
      </c>
      <c r="AX3266">
        <v>720</v>
      </c>
      <c r="BA3266">
        <v>1</v>
      </c>
      <c r="BC3266" t="s">
        <v>6635</v>
      </c>
      <c r="BD3266" s="4">
        <v>43282.999201388891</v>
      </c>
      <c r="BE3266" s="4">
        <v>43283.002546296295</v>
      </c>
      <c r="BF3266" s="4">
        <v>43283.002546296295</v>
      </c>
      <c r="BG3266" t="s">
        <v>373</v>
      </c>
      <c r="BH3266" t="s">
        <v>374</v>
      </c>
      <c r="BI3266" t="s">
        <v>85</v>
      </c>
    </row>
    <row r="3267" spans="1:61" x14ac:dyDescent="0.3">
      <c r="A3267" t="str">
        <f>"201729C0200"</f>
        <v>201729C0200</v>
      </c>
      <c r="B3267" t="s">
        <v>6636</v>
      </c>
      <c r="C3267">
        <v>20</v>
      </c>
      <c r="D3267" t="s">
        <v>79</v>
      </c>
      <c r="E3267">
        <v>15</v>
      </c>
      <c r="F3267" t="s">
        <v>6336</v>
      </c>
      <c r="G3267">
        <v>1729</v>
      </c>
      <c r="H3267">
        <v>2</v>
      </c>
      <c r="I3267" t="s">
        <v>89</v>
      </c>
      <c r="J3267">
        <v>0</v>
      </c>
      <c r="K3267">
        <v>2</v>
      </c>
      <c r="L3267">
        <v>2</v>
      </c>
      <c r="M3267">
        <v>257</v>
      </c>
      <c r="N3267">
        <v>484</v>
      </c>
      <c r="O3267">
        <v>5</v>
      </c>
      <c r="P3267" t="s">
        <v>315</v>
      </c>
      <c r="Q3267">
        <v>26</v>
      </c>
      <c r="R3267">
        <v>58</v>
      </c>
      <c r="S3267">
        <v>49</v>
      </c>
      <c r="T3267">
        <v>17</v>
      </c>
      <c r="U3267">
        <v>31</v>
      </c>
      <c r="V3267">
        <v>7</v>
      </c>
      <c r="W3267">
        <v>17</v>
      </c>
      <c r="X3267">
        <v>3</v>
      </c>
      <c r="Y3267">
        <v>221</v>
      </c>
      <c r="Z3267">
        <v>5</v>
      </c>
      <c r="AA3267">
        <v>9</v>
      </c>
      <c r="AB3267">
        <v>6</v>
      </c>
      <c r="AC3267">
        <v>2</v>
      </c>
      <c r="AD3267">
        <v>0</v>
      </c>
      <c r="AE3267">
        <v>0</v>
      </c>
      <c r="AF3267">
        <v>0</v>
      </c>
      <c r="AG3267">
        <v>3</v>
      </c>
      <c r="AH3267">
        <v>0</v>
      </c>
      <c r="AI3267">
        <v>0</v>
      </c>
      <c r="AJ3267">
        <v>0</v>
      </c>
      <c r="AK3267">
        <v>1</v>
      </c>
      <c r="AL3267">
        <v>1</v>
      </c>
      <c r="AM3267">
        <v>0</v>
      </c>
      <c r="AN3267">
        <v>0</v>
      </c>
      <c r="AT3267">
        <v>0</v>
      </c>
      <c r="AU3267">
        <v>29</v>
      </c>
      <c r="AV3267">
        <v>485</v>
      </c>
      <c r="AW3267">
        <v>485</v>
      </c>
      <c r="AX3267">
        <v>720</v>
      </c>
      <c r="BA3267">
        <v>1</v>
      </c>
      <c r="BC3267" t="s">
        <v>6637</v>
      </c>
      <c r="BD3267" s="4">
        <v>43282.986990740741</v>
      </c>
      <c r="BE3267" s="4">
        <v>43282.995439814818</v>
      </c>
      <c r="BF3267" s="4">
        <v>43282.995439814818</v>
      </c>
      <c r="BG3267" t="s">
        <v>373</v>
      </c>
      <c r="BH3267" t="s">
        <v>374</v>
      </c>
      <c r="BI3267" t="s">
        <v>85</v>
      </c>
    </row>
    <row r="3268" spans="1:61" x14ac:dyDescent="0.3">
      <c r="A3268" t="str">
        <f>"202423B0100"</f>
        <v>202423B0100</v>
      </c>
      <c r="B3268" t="s">
        <v>6638</v>
      </c>
      <c r="C3268">
        <v>20</v>
      </c>
      <c r="D3268" t="s">
        <v>79</v>
      </c>
      <c r="E3268">
        <v>15</v>
      </c>
      <c r="F3268" t="s">
        <v>6336</v>
      </c>
      <c r="G3268">
        <v>2423</v>
      </c>
      <c r="H3268">
        <v>1</v>
      </c>
      <c r="I3268" t="s">
        <v>81</v>
      </c>
      <c r="J3268">
        <v>0</v>
      </c>
      <c r="K3268">
        <v>1</v>
      </c>
      <c r="L3268">
        <v>2</v>
      </c>
      <c r="M3268" t="s">
        <v>315</v>
      </c>
      <c r="N3268">
        <v>465</v>
      </c>
      <c r="O3268">
        <v>9</v>
      </c>
      <c r="P3268">
        <v>465</v>
      </c>
      <c r="Q3268">
        <v>5</v>
      </c>
      <c r="R3268">
        <v>35</v>
      </c>
      <c r="S3268">
        <v>27</v>
      </c>
      <c r="T3268">
        <v>3</v>
      </c>
      <c r="U3268">
        <v>7</v>
      </c>
      <c r="V3268">
        <v>4</v>
      </c>
      <c r="W3268">
        <v>120</v>
      </c>
      <c r="X3268">
        <v>4</v>
      </c>
      <c r="Y3268">
        <v>196</v>
      </c>
      <c r="Z3268">
        <v>10</v>
      </c>
      <c r="AA3268">
        <v>15</v>
      </c>
      <c r="AB3268">
        <v>12</v>
      </c>
      <c r="AC3268">
        <v>0</v>
      </c>
      <c r="AD3268">
        <v>0</v>
      </c>
      <c r="AE3268">
        <v>0</v>
      </c>
      <c r="AF3268">
        <v>0</v>
      </c>
      <c r="AG3268">
        <v>1</v>
      </c>
      <c r="AH3268">
        <v>1</v>
      </c>
      <c r="AI3268">
        <v>1</v>
      </c>
      <c r="AJ3268">
        <v>0</v>
      </c>
      <c r="AK3268">
        <v>2</v>
      </c>
      <c r="AL3268">
        <v>0</v>
      </c>
      <c r="AM3268">
        <v>1</v>
      </c>
      <c r="AN3268">
        <v>0</v>
      </c>
      <c r="AT3268">
        <v>0</v>
      </c>
      <c r="AU3268">
        <v>21</v>
      </c>
      <c r="AV3268">
        <v>465</v>
      </c>
      <c r="AW3268">
        <v>465</v>
      </c>
      <c r="AX3268">
        <v>610</v>
      </c>
      <c r="BA3268">
        <v>1</v>
      </c>
      <c r="BC3268" t="s">
        <v>6639</v>
      </c>
      <c r="BD3268" s="4">
        <v>43282.985497685186</v>
      </c>
      <c r="BE3268" s="4">
        <v>43282.990451388891</v>
      </c>
      <c r="BF3268" s="4">
        <v>43282.990451388891</v>
      </c>
      <c r="BG3268" t="s">
        <v>373</v>
      </c>
      <c r="BH3268" t="s">
        <v>374</v>
      </c>
      <c r="BI3268" t="s">
        <v>85</v>
      </c>
    </row>
    <row r="3269" spans="1:61" x14ac:dyDescent="0.3">
      <c r="A3269" t="str">
        <f>"202423C0100"</f>
        <v>202423C0100</v>
      </c>
      <c r="B3269" t="s">
        <v>6640</v>
      </c>
      <c r="C3269">
        <v>20</v>
      </c>
      <c r="D3269" t="s">
        <v>79</v>
      </c>
      <c r="E3269">
        <v>15</v>
      </c>
      <c r="F3269" t="s">
        <v>6336</v>
      </c>
      <c r="G3269">
        <v>2423</v>
      </c>
      <c r="H3269">
        <v>1</v>
      </c>
      <c r="I3269" t="s">
        <v>89</v>
      </c>
      <c r="J3269">
        <v>0</v>
      </c>
      <c r="K3269">
        <v>1</v>
      </c>
      <c r="L3269">
        <v>2</v>
      </c>
      <c r="M3269">
        <v>169</v>
      </c>
      <c r="N3269">
        <v>464</v>
      </c>
      <c r="O3269">
        <v>3</v>
      </c>
      <c r="P3269">
        <v>464</v>
      </c>
      <c r="Q3269">
        <v>11</v>
      </c>
      <c r="R3269">
        <v>29</v>
      </c>
      <c r="S3269">
        <v>35</v>
      </c>
      <c r="T3269">
        <v>4</v>
      </c>
      <c r="U3269">
        <v>7</v>
      </c>
      <c r="V3269">
        <v>5</v>
      </c>
      <c r="W3269">
        <v>107</v>
      </c>
      <c r="X3269">
        <v>12</v>
      </c>
      <c r="Y3269">
        <v>188</v>
      </c>
      <c r="Z3269">
        <v>7</v>
      </c>
      <c r="AA3269">
        <v>15</v>
      </c>
      <c r="AB3269">
        <v>14</v>
      </c>
      <c r="AC3269">
        <v>3</v>
      </c>
      <c r="AD3269">
        <v>1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4</v>
      </c>
      <c r="AL3269">
        <v>0</v>
      </c>
      <c r="AM3269">
        <v>0</v>
      </c>
      <c r="AN3269">
        <v>0</v>
      </c>
      <c r="AT3269">
        <v>0</v>
      </c>
      <c r="AU3269">
        <v>22</v>
      </c>
      <c r="AV3269">
        <v>464</v>
      </c>
      <c r="AW3269">
        <v>464</v>
      </c>
      <c r="AX3269">
        <v>610</v>
      </c>
      <c r="BA3269">
        <v>1</v>
      </c>
      <c r="BC3269" t="s">
        <v>6641</v>
      </c>
      <c r="BD3269" s="4">
        <v>43282.99527777778</v>
      </c>
      <c r="BE3269" s="4">
        <v>43282.999548611115</v>
      </c>
      <c r="BF3269" s="4">
        <v>43282.999548611115</v>
      </c>
      <c r="BG3269" t="s">
        <v>373</v>
      </c>
      <c r="BH3269" t="s">
        <v>374</v>
      </c>
      <c r="BI3269" t="s">
        <v>85</v>
      </c>
    </row>
    <row r="3270" spans="1:61" x14ac:dyDescent="0.3">
      <c r="A3270" t="str">
        <f>"202423C0200"</f>
        <v>202423C0200</v>
      </c>
      <c r="B3270" t="s">
        <v>6642</v>
      </c>
      <c r="C3270">
        <v>20</v>
      </c>
      <c r="D3270" t="s">
        <v>79</v>
      </c>
      <c r="E3270">
        <v>15</v>
      </c>
      <c r="F3270" t="s">
        <v>6336</v>
      </c>
      <c r="G3270">
        <v>2423</v>
      </c>
      <c r="H3270">
        <v>2</v>
      </c>
      <c r="I3270" t="s">
        <v>89</v>
      </c>
      <c r="J3270">
        <v>0</v>
      </c>
      <c r="K3270">
        <v>1</v>
      </c>
      <c r="L3270">
        <v>2</v>
      </c>
      <c r="M3270">
        <v>176</v>
      </c>
      <c r="N3270">
        <v>457</v>
      </c>
      <c r="O3270">
        <v>3</v>
      </c>
      <c r="P3270">
        <v>457</v>
      </c>
      <c r="Q3270">
        <v>15</v>
      </c>
      <c r="R3270">
        <v>24</v>
      </c>
      <c r="S3270">
        <v>35</v>
      </c>
      <c r="T3270">
        <v>0</v>
      </c>
      <c r="U3270">
        <v>15</v>
      </c>
      <c r="V3270">
        <v>5</v>
      </c>
      <c r="W3270">
        <v>101</v>
      </c>
      <c r="X3270">
        <v>5</v>
      </c>
      <c r="Y3270">
        <v>190</v>
      </c>
      <c r="Z3270">
        <v>6</v>
      </c>
      <c r="AA3270">
        <v>12</v>
      </c>
      <c r="AB3270">
        <v>8</v>
      </c>
      <c r="AC3270">
        <v>0</v>
      </c>
      <c r="AD3270">
        <v>0</v>
      </c>
      <c r="AE3270">
        <v>0</v>
      </c>
      <c r="AF3270">
        <v>0</v>
      </c>
      <c r="AG3270">
        <v>2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2</v>
      </c>
      <c r="AT3270">
        <v>0</v>
      </c>
      <c r="AU3270">
        <v>33</v>
      </c>
      <c r="AV3270">
        <v>457</v>
      </c>
      <c r="AW3270">
        <v>453</v>
      </c>
      <c r="AX3270">
        <v>610</v>
      </c>
      <c r="BA3270">
        <v>1</v>
      </c>
      <c r="BC3270" t="s">
        <v>6643</v>
      </c>
      <c r="BD3270" s="4">
        <v>43283.089317129627</v>
      </c>
      <c r="BE3270" s="4">
        <v>43283.103483796294</v>
      </c>
      <c r="BF3270" s="4">
        <v>43283.103483796294</v>
      </c>
      <c r="BG3270" t="s">
        <v>373</v>
      </c>
      <c r="BH3270" t="s">
        <v>374</v>
      </c>
      <c r="BI3270" t="s">
        <v>85</v>
      </c>
    </row>
    <row r="3271" spans="1:61" x14ac:dyDescent="0.3">
      <c r="A3271" t="str">
        <f>"202423C0300"</f>
        <v>202423C0300</v>
      </c>
      <c r="B3271" t="s">
        <v>6644</v>
      </c>
      <c r="C3271">
        <v>20</v>
      </c>
      <c r="D3271" t="s">
        <v>79</v>
      </c>
      <c r="E3271">
        <v>15</v>
      </c>
      <c r="F3271" t="s">
        <v>6336</v>
      </c>
      <c r="G3271">
        <v>2423</v>
      </c>
      <c r="H3271">
        <v>3</v>
      </c>
      <c r="I3271" t="s">
        <v>89</v>
      </c>
      <c r="J3271">
        <v>0</v>
      </c>
      <c r="K3271">
        <v>1</v>
      </c>
      <c r="L3271">
        <v>2</v>
      </c>
      <c r="M3271" t="s">
        <v>100</v>
      </c>
      <c r="N3271">
        <v>457</v>
      </c>
      <c r="O3271">
        <v>7</v>
      </c>
      <c r="P3271">
        <v>457</v>
      </c>
      <c r="Q3271">
        <v>14</v>
      </c>
      <c r="R3271">
        <v>31</v>
      </c>
      <c r="S3271">
        <v>40</v>
      </c>
      <c r="T3271">
        <v>4</v>
      </c>
      <c r="U3271">
        <v>10</v>
      </c>
      <c r="V3271">
        <v>4</v>
      </c>
      <c r="W3271">
        <v>112</v>
      </c>
      <c r="X3271">
        <v>5</v>
      </c>
      <c r="Y3271">
        <v>198</v>
      </c>
      <c r="Z3271">
        <v>6</v>
      </c>
      <c r="AA3271">
        <v>6</v>
      </c>
      <c r="AB3271">
        <v>8</v>
      </c>
      <c r="AC3271">
        <v>3</v>
      </c>
      <c r="AD3271">
        <v>1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1</v>
      </c>
      <c r="AL3271">
        <v>0</v>
      </c>
      <c r="AM3271">
        <v>0</v>
      </c>
      <c r="AN3271">
        <v>0</v>
      </c>
      <c r="AT3271" t="s">
        <v>100</v>
      </c>
      <c r="AU3271">
        <v>14</v>
      </c>
      <c r="AV3271">
        <v>457</v>
      </c>
      <c r="AW3271">
        <v>457</v>
      </c>
      <c r="AX3271">
        <v>609</v>
      </c>
      <c r="AZ3271" t="s">
        <v>101</v>
      </c>
      <c r="BA3271">
        <v>1</v>
      </c>
      <c r="BC3271" t="s">
        <v>6645</v>
      </c>
      <c r="BD3271" s="4">
        <v>43283.04005787037</v>
      </c>
      <c r="BE3271" s="4">
        <v>43283.045243055552</v>
      </c>
      <c r="BF3271" s="4">
        <v>43283.045243055552</v>
      </c>
      <c r="BG3271" t="s">
        <v>373</v>
      </c>
      <c r="BH3271" t="s">
        <v>374</v>
      </c>
      <c r="BI3271" t="s">
        <v>85</v>
      </c>
    </row>
    <row r="3272" spans="1:61" x14ac:dyDescent="0.3">
      <c r="A3272" t="str">
        <f>"202423C0400"</f>
        <v>202423C0400</v>
      </c>
      <c r="B3272" t="s">
        <v>6646</v>
      </c>
      <c r="C3272">
        <v>20</v>
      </c>
      <c r="D3272" t="s">
        <v>79</v>
      </c>
      <c r="E3272">
        <v>15</v>
      </c>
      <c r="F3272" t="s">
        <v>6336</v>
      </c>
      <c r="G3272">
        <v>2423</v>
      </c>
      <c r="H3272">
        <v>4</v>
      </c>
      <c r="I3272" t="s">
        <v>89</v>
      </c>
      <c r="J3272">
        <v>0</v>
      </c>
      <c r="K3272">
        <v>1</v>
      </c>
      <c r="L3272">
        <v>2</v>
      </c>
      <c r="M3272">
        <v>177</v>
      </c>
      <c r="N3272">
        <v>455</v>
      </c>
      <c r="O3272">
        <v>4</v>
      </c>
      <c r="P3272">
        <v>455</v>
      </c>
      <c r="Q3272">
        <v>5</v>
      </c>
      <c r="R3272">
        <v>41</v>
      </c>
      <c r="S3272">
        <v>26</v>
      </c>
      <c r="T3272">
        <v>7</v>
      </c>
      <c r="U3272">
        <v>9</v>
      </c>
      <c r="V3272">
        <v>1</v>
      </c>
      <c r="W3272">
        <v>108</v>
      </c>
      <c r="X3272">
        <v>12</v>
      </c>
      <c r="Y3272">
        <v>188</v>
      </c>
      <c r="Z3272">
        <v>6</v>
      </c>
      <c r="AA3272">
        <v>17</v>
      </c>
      <c r="AB3272">
        <v>14</v>
      </c>
      <c r="AC3272">
        <v>1</v>
      </c>
      <c r="AD3272">
        <v>0</v>
      </c>
      <c r="AE3272">
        <v>0</v>
      </c>
      <c r="AF3272">
        <v>1</v>
      </c>
      <c r="AG3272">
        <v>0</v>
      </c>
      <c r="AH3272">
        <v>0</v>
      </c>
      <c r="AI3272">
        <v>0</v>
      </c>
      <c r="AJ3272">
        <v>0</v>
      </c>
      <c r="AK3272">
        <v>3</v>
      </c>
      <c r="AL3272">
        <v>0</v>
      </c>
      <c r="AM3272">
        <v>0</v>
      </c>
      <c r="AN3272">
        <v>1</v>
      </c>
      <c r="AT3272">
        <v>0</v>
      </c>
      <c r="AU3272">
        <v>19</v>
      </c>
      <c r="AV3272">
        <v>455</v>
      </c>
      <c r="AW3272">
        <v>459</v>
      </c>
      <c r="AX3272">
        <v>609</v>
      </c>
      <c r="BA3272">
        <v>1</v>
      </c>
      <c r="BC3272" t="s">
        <v>6647</v>
      </c>
      <c r="BD3272" s="4">
        <v>43283.071886574071</v>
      </c>
      <c r="BE3272" s="4">
        <v>43283.075671296298</v>
      </c>
      <c r="BF3272" s="4">
        <v>43283.075671296298</v>
      </c>
      <c r="BG3272" t="s">
        <v>373</v>
      </c>
      <c r="BH3272" t="s">
        <v>374</v>
      </c>
      <c r="BI3272" t="s">
        <v>85</v>
      </c>
    </row>
    <row r="3273" spans="1:61" x14ac:dyDescent="0.3">
      <c r="A3273" t="str">
        <f>"202424B0100"</f>
        <v>202424B0100</v>
      </c>
      <c r="B3273" t="s">
        <v>6648</v>
      </c>
      <c r="C3273">
        <v>20</v>
      </c>
      <c r="D3273" t="s">
        <v>79</v>
      </c>
      <c r="E3273">
        <v>15</v>
      </c>
      <c r="F3273" t="s">
        <v>6336</v>
      </c>
      <c r="G3273">
        <v>2424</v>
      </c>
      <c r="H3273">
        <v>1</v>
      </c>
      <c r="I3273" t="s">
        <v>81</v>
      </c>
      <c r="J3273">
        <v>0</v>
      </c>
      <c r="K3273">
        <v>1</v>
      </c>
      <c r="L3273">
        <v>2</v>
      </c>
      <c r="M3273">
        <v>163</v>
      </c>
      <c r="N3273">
        <v>559</v>
      </c>
      <c r="O3273">
        <v>10</v>
      </c>
      <c r="P3273" t="s">
        <v>100</v>
      </c>
      <c r="Q3273">
        <v>12</v>
      </c>
      <c r="R3273">
        <v>44</v>
      </c>
      <c r="S3273">
        <v>35</v>
      </c>
      <c r="T3273">
        <v>9</v>
      </c>
      <c r="U3273">
        <v>11</v>
      </c>
      <c r="V3273">
        <v>3</v>
      </c>
      <c r="W3273">
        <v>160</v>
      </c>
      <c r="X3273">
        <v>3</v>
      </c>
      <c r="Y3273">
        <v>213</v>
      </c>
      <c r="Z3273">
        <v>3</v>
      </c>
      <c r="AA3273">
        <v>19</v>
      </c>
      <c r="AB3273">
        <v>13</v>
      </c>
      <c r="AC3273">
        <v>1</v>
      </c>
      <c r="AD3273">
        <v>0</v>
      </c>
      <c r="AE3273">
        <v>0</v>
      </c>
      <c r="AF3273">
        <v>0</v>
      </c>
      <c r="AG3273">
        <v>0</v>
      </c>
      <c r="AH3273">
        <v>2</v>
      </c>
      <c r="AI3273">
        <v>0</v>
      </c>
      <c r="AJ3273">
        <v>0</v>
      </c>
      <c r="AK3273">
        <v>2</v>
      </c>
      <c r="AL3273">
        <v>0</v>
      </c>
      <c r="AM3273">
        <v>0</v>
      </c>
      <c r="AN3273">
        <v>0</v>
      </c>
      <c r="AT3273">
        <v>0</v>
      </c>
      <c r="AU3273">
        <v>29</v>
      </c>
      <c r="AV3273">
        <v>559</v>
      </c>
      <c r="AW3273">
        <v>559</v>
      </c>
      <c r="AX3273">
        <v>700</v>
      </c>
      <c r="BA3273">
        <v>1</v>
      </c>
      <c r="BC3273" t="s">
        <v>6649</v>
      </c>
      <c r="BD3273" s="4">
        <v>43283.154999999999</v>
      </c>
      <c r="BE3273" s="4">
        <v>43283.165046296293</v>
      </c>
      <c r="BF3273" s="4">
        <v>43283.165046296293</v>
      </c>
      <c r="BG3273" t="s">
        <v>373</v>
      </c>
      <c r="BH3273" t="s">
        <v>374</v>
      </c>
      <c r="BI3273" t="s">
        <v>85</v>
      </c>
    </row>
    <row r="3274" spans="1:61" x14ac:dyDescent="0.3">
      <c r="A3274" t="str">
        <f>"202424C0100"</f>
        <v>202424C0100</v>
      </c>
      <c r="B3274" t="s">
        <v>6650</v>
      </c>
      <c r="C3274">
        <v>20</v>
      </c>
      <c r="D3274" t="s">
        <v>79</v>
      </c>
      <c r="E3274">
        <v>15</v>
      </c>
      <c r="F3274" t="s">
        <v>6336</v>
      </c>
      <c r="G3274">
        <v>2424</v>
      </c>
      <c r="H3274">
        <v>1</v>
      </c>
      <c r="I3274" t="s">
        <v>89</v>
      </c>
      <c r="J3274">
        <v>0</v>
      </c>
      <c r="K3274">
        <v>1</v>
      </c>
      <c r="L3274">
        <v>2</v>
      </c>
      <c r="M3274">
        <v>186</v>
      </c>
      <c r="N3274">
        <v>536</v>
      </c>
      <c r="O3274">
        <v>12</v>
      </c>
      <c r="P3274">
        <v>542</v>
      </c>
      <c r="Q3274">
        <v>13</v>
      </c>
      <c r="R3274">
        <v>54</v>
      </c>
      <c r="S3274">
        <v>33</v>
      </c>
      <c r="T3274">
        <v>7</v>
      </c>
      <c r="U3274">
        <v>18</v>
      </c>
      <c r="V3274">
        <v>2</v>
      </c>
      <c r="W3274">
        <v>143</v>
      </c>
      <c r="X3274">
        <v>11</v>
      </c>
      <c r="Y3274">
        <v>204</v>
      </c>
      <c r="Z3274">
        <v>8</v>
      </c>
      <c r="AA3274">
        <v>15</v>
      </c>
      <c r="AB3274">
        <v>7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1</v>
      </c>
      <c r="AJ3274">
        <v>0</v>
      </c>
      <c r="AK3274">
        <v>3</v>
      </c>
      <c r="AL3274">
        <v>0</v>
      </c>
      <c r="AM3274">
        <v>0</v>
      </c>
      <c r="AN3274">
        <v>0</v>
      </c>
      <c r="AT3274">
        <v>1</v>
      </c>
      <c r="AU3274">
        <v>22</v>
      </c>
      <c r="AV3274">
        <v>542</v>
      </c>
      <c r="AW3274">
        <v>542</v>
      </c>
      <c r="AX3274">
        <v>700</v>
      </c>
      <c r="BA3274">
        <v>1</v>
      </c>
      <c r="BC3274" t="s">
        <v>6651</v>
      </c>
      <c r="BD3274" s="4">
        <v>43283.173819444448</v>
      </c>
      <c r="BE3274" s="4">
        <v>43283.187430555554</v>
      </c>
      <c r="BF3274" s="4">
        <v>43283.187430555554</v>
      </c>
      <c r="BG3274" t="s">
        <v>373</v>
      </c>
      <c r="BH3274" t="s">
        <v>374</v>
      </c>
      <c r="BI3274" t="s">
        <v>85</v>
      </c>
    </row>
    <row r="3275" spans="1:61" x14ac:dyDescent="0.3">
      <c r="A3275" t="str">
        <f>"202424C0200"</f>
        <v>202424C0200</v>
      </c>
      <c r="B3275" t="s">
        <v>6652</v>
      </c>
      <c r="C3275">
        <v>20</v>
      </c>
      <c r="D3275" t="s">
        <v>79</v>
      </c>
      <c r="E3275">
        <v>15</v>
      </c>
      <c r="F3275" t="s">
        <v>6336</v>
      </c>
      <c r="G3275">
        <v>2424</v>
      </c>
      <c r="H3275">
        <v>2</v>
      </c>
      <c r="I3275" t="s">
        <v>89</v>
      </c>
      <c r="J3275">
        <v>0</v>
      </c>
      <c r="K3275">
        <v>1</v>
      </c>
      <c r="L3275">
        <v>2</v>
      </c>
      <c r="M3275">
        <v>223</v>
      </c>
      <c r="N3275">
        <v>499</v>
      </c>
      <c r="O3275">
        <v>7</v>
      </c>
      <c r="P3275">
        <v>501</v>
      </c>
      <c r="Q3275">
        <v>9</v>
      </c>
      <c r="R3275">
        <v>38</v>
      </c>
      <c r="S3275">
        <v>37</v>
      </c>
      <c r="T3275">
        <v>6</v>
      </c>
      <c r="U3275">
        <v>13</v>
      </c>
      <c r="V3275">
        <v>2</v>
      </c>
      <c r="W3275">
        <v>165</v>
      </c>
      <c r="X3275">
        <v>10</v>
      </c>
      <c r="Y3275">
        <v>164</v>
      </c>
      <c r="Z3275">
        <v>4</v>
      </c>
      <c r="AA3275">
        <v>13</v>
      </c>
      <c r="AB3275">
        <v>9</v>
      </c>
      <c r="AC3275">
        <v>1</v>
      </c>
      <c r="AD3275">
        <v>0</v>
      </c>
      <c r="AE3275">
        <v>0</v>
      </c>
      <c r="AF3275">
        <v>0</v>
      </c>
      <c r="AG3275">
        <v>1</v>
      </c>
      <c r="AH3275" t="s">
        <v>100</v>
      </c>
      <c r="AI3275" t="s">
        <v>100</v>
      </c>
      <c r="AJ3275" t="s">
        <v>100</v>
      </c>
      <c r="AK3275" t="s">
        <v>100</v>
      </c>
      <c r="AL3275" t="s">
        <v>100</v>
      </c>
      <c r="AM3275" t="s">
        <v>100</v>
      </c>
      <c r="AN3275" t="s">
        <v>100</v>
      </c>
      <c r="AT3275" t="s">
        <v>100</v>
      </c>
      <c r="AU3275">
        <v>29</v>
      </c>
      <c r="AV3275">
        <v>501</v>
      </c>
      <c r="AW3275">
        <v>501</v>
      </c>
      <c r="AX3275">
        <v>700</v>
      </c>
      <c r="AZ3275" t="s">
        <v>101</v>
      </c>
      <c r="BA3275">
        <v>1</v>
      </c>
      <c r="BC3275" t="s">
        <v>6653</v>
      </c>
      <c r="BD3275" s="4">
        <v>43283.189155092594</v>
      </c>
      <c r="BE3275" s="4">
        <v>43283.205891203703</v>
      </c>
      <c r="BF3275" s="4">
        <v>43283.205891203703</v>
      </c>
      <c r="BG3275" t="s">
        <v>373</v>
      </c>
      <c r="BH3275" t="s">
        <v>374</v>
      </c>
      <c r="BI3275" t="s">
        <v>85</v>
      </c>
    </row>
    <row r="3276" spans="1:61" x14ac:dyDescent="0.3">
      <c r="A3276" t="str">
        <f>"202424C0300"</f>
        <v>202424C0300</v>
      </c>
      <c r="B3276" t="s">
        <v>6654</v>
      </c>
      <c r="C3276">
        <v>20</v>
      </c>
      <c r="D3276" t="s">
        <v>79</v>
      </c>
      <c r="E3276">
        <v>15</v>
      </c>
      <c r="F3276" t="s">
        <v>6336</v>
      </c>
      <c r="G3276">
        <v>2424</v>
      </c>
      <c r="H3276">
        <v>3</v>
      </c>
      <c r="I3276" t="s">
        <v>89</v>
      </c>
      <c r="J3276">
        <v>0</v>
      </c>
      <c r="K3276">
        <v>1</v>
      </c>
      <c r="L3276">
        <v>2</v>
      </c>
      <c r="M3276">
        <v>186</v>
      </c>
      <c r="N3276">
        <v>539</v>
      </c>
      <c r="O3276">
        <v>4</v>
      </c>
      <c r="P3276">
        <v>528</v>
      </c>
      <c r="Q3276">
        <v>12</v>
      </c>
      <c r="R3276">
        <v>37</v>
      </c>
      <c r="S3276">
        <v>34</v>
      </c>
      <c r="T3276">
        <v>3</v>
      </c>
      <c r="U3276">
        <v>15</v>
      </c>
      <c r="V3276">
        <v>6</v>
      </c>
      <c r="W3276">
        <v>149</v>
      </c>
      <c r="X3276">
        <v>7</v>
      </c>
      <c r="Y3276">
        <v>196</v>
      </c>
      <c r="Z3276">
        <v>12</v>
      </c>
      <c r="AA3276">
        <v>9</v>
      </c>
      <c r="AB3276">
        <v>9</v>
      </c>
      <c r="AC3276">
        <v>0</v>
      </c>
      <c r="AD3276">
        <v>0</v>
      </c>
      <c r="AE3276">
        <v>4</v>
      </c>
      <c r="AF3276">
        <v>0</v>
      </c>
      <c r="AG3276">
        <v>2</v>
      </c>
      <c r="AH3276">
        <v>0</v>
      </c>
      <c r="AI3276">
        <v>0</v>
      </c>
      <c r="AJ3276">
        <v>0</v>
      </c>
      <c r="AK3276">
        <v>3</v>
      </c>
      <c r="AL3276">
        <v>0</v>
      </c>
      <c r="AM3276">
        <v>0</v>
      </c>
      <c r="AN3276">
        <v>0</v>
      </c>
      <c r="AT3276">
        <v>0</v>
      </c>
      <c r="AU3276">
        <v>30</v>
      </c>
      <c r="AV3276">
        <v>528</v>
      </c>
      <c r="AW3276">
        <v>528</v>
      </c>
      <c r="AX3276">
        <v>699</v>
      </c>
      <c r="BA3276">
        <v>1</v>
      </c>
      <c r="BC3276" t="s">
        <v>6655</v>
      </c>
      <c r="BD3276" s="4">
        <v>43283.112337962964</v>
      </c>
      <c r="BE3276" s="4">
        <v>43283.116666666669</v>
      </c>
      <c r="BF3276" s="4">
        <v>43283.116666666669</v>
      </c>
      <c r="BG3276" t="s">
        <v>373</v>
      </c>
      <c r="BH3276" t="s">
        <v>374</v>
      </c>
      <c r="BI3276" t="s">
        <v>85</v>
      </c>
    </row>
    <row r="3277" spans="1:61" x14ac:dyDescent="0.3">
      <c r="A3277" t="str">
        <f>"202425B0100"</f>
        <v>202425B0100</v>
      </c>
      <c r="B3277" t="s">
        <v>6656</v>
      </c>
      <c r="C3277">
        <v>20</v>
      </c>
      <c r="D3277" t="s">
        <v>79</v>
      </c>
      <c r="E3277">
        <v>15</v>
      </c>
      <c r="F3277" t="s">
        <v>6336</v>
      </c>
      <c r="G3277">
        <v>2425</v>
      </c>
      <c r="H3277">
        <v>1</v>
      </c>
      <c r="I3277" t="s">
        <v>81</v>
      </c>
      <c r="J3277">
        <v>0</v>
      </c>
      <c r="K3277">
        <v>1</v>
      </c>
      <c r="L3277">
        <v>2</v>
      </c>
      <c r="M3277">
        <v>149</v>
      </c>
      <c r="N3277">
        <v>406</v>
      </c>
      <c r="O3277">
        <v>1</v>
      </c>
      <c r="P3277">
        <v>406</v>
      </c>
      <c r="Q3277">
        <v>10</v>
      </c>
      <c r="R3277">
        <v>28</v>
      </c>
      <c r="S3277">
        <v>24</v>
      </c>
      <c r="T3277">
        <v>1</v>
      </c>
      <c r="U3277">
        <v>4</v>
      </c>
      <c r="V3277">
        <v>3</v>
      </c>
      <c r="W3277">
        <v>125</v>
      </c>
      <c r="X3277">
        <v>7</v>
      </c>
      <c r="Y3277">
        <v>158</v>
      </c>
      <c r="Z3277">
        <v>4</v>
      </c>
      <c r="AA3277">
        <v>14</v>
      </c>
      <c r="AB3277">
        <v>13</v>
      </c>
      <c r="AC3277" t="s">
        <v>100</v>
      </c>
      <c r="AD3277" t="s">
        <v>100</v>
      </c>
      <c r="AE3277" t="s">
        <v>100</v>
      </c>
      <c r="AF3277" t="s">
        <v>100</v>
      </c>
      <c r="AG3277" t="s">
        <v>100</v>
      </c>
      <c r="AH3277">
        <v>1</v>
      </c>
      <c r="AI3277" t="s">
        <v>100</v>
      </c>
      <c r="AJ3277" t="s">
        <v>100</v>
      </c>
      <c r="AK3277">
        <v>2</v>
      </c>
      <c r="AL3277" t="s">
        <v>100</v>
      </c>
      <c r="AM3277" t="s">
        <v>100</v>
      </c>
      <c r="AN3277" t="s">
        <v>100</v>
      </c>
      <c r="AT3277" t="s">
        <v>100</v>
      </c>
      <c r="AU3277">
        <v>12</v>
      </c>
      <c r="AV3277" t="s">
        <v>100</v>
      </c>
      <c r="AW3277">
        <v>406</v>
      </c>
      <c r="AX3277">
        <v>532</v>
      </c>
      <c r="AZ3277" t="s">
        <v>101</v>
      </c>
      <c r="BA3277">
        <v>1</v>
      </c>
      <c r="BC3277" t="s">
        <v>6657</v>
      </c>
      <c r="BD3277" s="4">
        <v>43282.960138888891</v>
      </c>
      <c r="BE3277" s="4">
        <v>43282.964513888888</v>
      </c>
      <c r="BF3277" s="4">
        <v>43282.964513888888</v>
      </c>
      <c r="BG3277" t="s">
        <v>373</v>
      </c>
      <c r="BH3277" t="s">
        <v>374</v>
      </c>
      <c r="BI3277" t="s">
        <v>85</v>
      </c>
    </row>
    <row r="3278" spans="1:61" x14ac:dyDescent="0.3">
      <c r="A3278" t="str">
        <f>"202425C0100"</f>
        <v>202425C0100</v>
      </c>
      <c r="B3278" t="s">
        <v>6658</v>
      </c>
      <c r="C3278">
        <v>20</v>
      </c>
      <c r="D3278" t="s">
        <v>79</v>
      </c>
      <c r="E3278">
        <v>15</v>
      </c>
      <c r="F3278" t="s">
        <v>6336</v>
      </c>
      <c r="G3278">
        <v>2425</v>
      </c>
      <c r="H3278">
        <v>1</v>
      </c>
      <c r="I3278" t="s">
        <v>89</v>
      </c>
      <c r="J3278">
        <v>0</v>
      </c>
      <c r="K3278">
        <v>1</v>
      </c>
      <c r="L3278">
        <v>2</v>
      </c>
      <c r="M3278">
        <v>123</v>
      </c>
      <c r="N3278">
        <v>432</v>
      </c>
      <c r="O3278">
        <v>5</v>
      </c>
      <c r="P3278">
        <v>432</v>
      </c>
      <c r="Q3278">
        <v>7</v>
      </c>
      <c r="R3278">
        <v>23</v>
      </c>
      <c r="S3278">
        <v>32</v>
      </c>
      <c r="T3278">
        <v>2</v>
      </c>
      <c r="U3278">
        <v>8</v>
      </c>
      <c r="V3278">
        <v>1</v>
      </c>
      <c r="W3278">
        <v>129</v>
      </c>
      <c r="X3278">
        <v>4</v>
      </c>
      <c r="Y3278">
        <v>172</v>
      </c>
      <c r="Z3278">
        <v>8</v>
      </c>
      <c r="AA3278">
        <v>17</v>
      </c>
      <c r="AB3278">
        <v>10</v>
      </c>
      <c r="AC3278" t="s">
        <v>100</v>
      </c>
      <c r="AD3278" t="s">
        <v>100</v>
      </c>
      <c r="AE3278" t="s">
        <v>100</v>
      </c>
      <c r="AF3278" t="s">
        <v>100</v>
      </c>
      <c r="AG3278" t="s">
        <v>100</v>
      </c>
      <c r="AH3278" t="s">
        <v>100</v>
      </c>
      <c r="AI3278" t="s">
        <v>100</v>
      </c>
      <c r="AJ3278" t="s">
        <v>100</v>
      </c>
      <c r="AK3278" t="s">
        <v>100</v>
      </c>
      <c r="AL3278" t="s">
        <v>100</v>
      </c>
      <c r="AM3278" t="s">
        <v>100</v>
      </c>
      <c r="AN3278" t="s">
        <v>100</v>
      </c>
      <c r="AT3278" t="s">
        <v>100</v>
      </c>
      <c r="AU3278">
        <v>18</v>
      </c>
      <c r="AV3278">
        <v>18</v>
      </c>
      <c r="AW3278">
        <v>431</v>
      </c>
      <c r="AX3278">
        <v>532</v>
      </c>
      <c r="AZ3278" t="s">
        <v>101</v>
      </c>
      <c r="BA3278">
        <v>1</v>
      </c>
      <c r="BC3278" t="s">
        <v>6659</v>
      </c>
      <c r="BD3278" s="4">
        <v>43283.212500000001</v>
      </c>
      <c r="BE3278" s="4">
        <v>43283.2346412037</v>
      </c>
      <c r="BF3278" s="4">
        <v>43283.2346412037</v>
      </c>
      <c r="BG3278" t="s">
        <v>83</v>
      </c>
      <c r="BH3278" t="s">
        <v>84</v>
      </c>
      <c r="BI3278" t="s">
        <v>85</v>
      </c>
    </row>
    <row r="3279" spans="1:61" x14ac:dyDescent="0.3">
      <c r="A3279" t="str">
        <f>"202425C0200"</f>
        <v>202425C0200</v>
      </c>
      <c r="B3279" t="s">
        <v>6660</v>
      </c>
      <c r="C3279">
        <v>20</v>
      </c>
      <c r="D3279" t="s">
        <v>79</v>
      </c>
      <c r="E3279">
        <v>15</v>
      </c>
      <c r="F3279" t="s">
        <v>6336</v>
      </c>
      <c r="G3279">
        <v>2425</v>
      </c>
      <c r="H3279">
        <v>2</v>
      </c>
      <c r="I3279" t="s">
        <v>89</v>
      </c>
      <c r="J3279">
        <v>0</v>
      </c>
      <c r="K3279">
        <v>1</v>
      </c>
      <c r="L3279">
        <v>2</v>
      </c>
      <c r="M3279">
        <v>139</v>
      </c>
      <c r="N3279">
        <v>416</v>
      </c>
      <c r="O3279">
        <v>9</v>
      </c>
      <c r="P3279">
        <v>416</v>
      </c>
      <c r="Q3279">
        <v>9</v>
      </c>
      <c r="R3279">
        <v>37</v>
      </c>
      <c r="S3279">
        <v>16</v>
      </c>
      <c r="T3279">
        <v>2</v>
      </c>
      <c r="U3279">
        <v>6</v>
      </c>
      <c r="V3279">
        <v>3</v>
      </c>
      <c r="W3279">
        <v>118</v>
      </c>
      <c r="X3279">
        <v>6</v>
      </c>
      <c r="Y3279">
        <v>163</v>
      </c>
      <c r="Z3279">
        <v>2</v>
      </c>
      <c r="AA3279">
        <v>11</v>
      </c>
      <c r="AB3279">
        <v>13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2</v>
      </c>
      <c r="AI3279">
        <v>0</v>
      </c>
      <c r="AJ3279">
        <v>0</v>
      </c>
      <c r="AK3279">
        <v>1</v>
      </c>
      <c r="AL3279">
        <v>0</v>
      </c>
      <c r="AM3279">
        <v>0</v>
      </c>
      <c r="AN3279">
        <v>2</v>
      </c>
      <c r="AT3279">
        <v>0</v>
      </c>
      <c r="AU3279">
        <v>25</v>
      </c>
      <c r="AV3279">
        <v>416</v>
      </c>
      <c r="AW3279">
        <v>416</v>
      </c>
      <c r="AX3279">
        <v>532</v>
      </c>
      <c r="BA3279">
        <v>1</v>
      </c>
      <c r="BC3279" t="s">
        <v>6661</v>
      </c>
      <c r="BD3279" s="4">
        <v>43283.02202546296</v>
      </c>
      <c r="BE3279" s="4">
        <v>43283.028831018521</v>
      </c>
      <c r="BF3279" s="4">
        <v>43283.028831018521</v>
      </c>
      <c r="BG3279" t="s">
        <v>373</v>
      </c>
      <c r="BH3279" t="s">
        <v>374</v>
      </c>
      <c r="BI3279" t="s">
        <v>85</v>
      </c>
    </row>
    <row r="3280" spans="1:61" x14ac:dyDescent="0.3">
      <c r="A3280" t="str">
        <f>"202426B0100"</f>
        <v>202426B0100</v>
      </c>
      <c r="B3280" t="s">
        <v>6662</v>
      </c>
      <c r="C3280">
        <v>20</v>
      </c>
      <c r="D3280" t="s">
        <v>79</v>
      </c>
      <c r="E3280">
        <v>15</v>
      </c>
      <c r="F3280" t="s">
        <v>6336</v>
      </c>
      <c r="G3280">
        <v>2426</v>
      </c>
      <c r="H3280">
        <v>1</v>
      </c>
      <c r="I3280" t="s">
        <v>81</v>
      </c>
      <c r="J3280">
        <v>0</v>
      </c>
      <c r="K3280">
        <v>1</v>
      </c>
      <c r="L3280">
        <v>2</v>
      </c>
      <c r="M3280">
        <v>216</v>
      </c>
      <c r="N3280">
        <v>500</v>
      </c>
      <c r="O3280">
        <v>17</v>
      </c>
      <c r="P3280">
        <v>514</v>
      </c>
      <c r="Q3280">
        <v>16</v>
      </c>
      <c r="R3280">
        <v>38</v>
      </c>
      <c r="S3280">
        <v>40</v>
      </c>
      <c r="T3280">
        <v>5</v>
      </c>
      <c r="U3280">
        <v>12</v>
      </c>
      <c r="V3280">
        <v>5</v>
      </c>
      <c r="W3280">
        <v>117</v>
      </c>
      <c r="X3280">
        <v>12</v>
      </c>
      <c r="Y3280">
        <v>208</v>
      </c>
      <c r="Z3280">
        <v>6</v>
      </c>
      <c r="AA3280">
        <v>17</v>
      </c>
      <c r="AB3280">
        <v>11</v>
      </c>
      <c r="AC3280">
        <v>1</v>
      </c>
      <c r="AD3280">
        <v>0</v>
      </c>
      <c r="AE3280">
        <v>0</v>
      </c>
      <c r="AF3280">
        <v>0</v>
      </c>
      <c r="AG3280">
        <v>1</v>
      </c>
      <c r="AH3280">
        <v>0</v>
      </c>
      <c r="AI3280">
        <v>0</v>
      </c>
      <c r="AJ3280">
        <v>0</v>
      </c>
      <c r="AK3280">
        <v>5</v>
      </c>
      <c r="AL3280">
        <v>1</v>
      </c>
      <c r="AM3280">
        <v>0</v>
      </c>
      <c r="AN3280">
        <v>2</v>
      </c>
      <c r="AT3280">
        <v>0</v>
      </c>
      <c r="AU3280">
        <v>17</v>
      </c>
      <c r="AV3280">
        <v>514</v>
      </c>
      <c r="AW3280">
        <v>514</v>
      </c>
      <c r="AX3280">
        <v>712</v>
      </c>
      <c r="BA3280">
        <v>1</v>
      </c>
      <c r="BC3280" t="s">
        <v>6663</v>
      </c>
      <c r="BD3280" s="4">
        <v>43283.20416666667</v>
      </c>
      <c r="BE3280" s="4">
        <v>43283.221967592595</v>
      </c>
      <c r="BF3280" s="4">
        <v>43283.221967592595</v>
      </c>
      <c r="BG3280" t="s">
        <v>83</v>
      </c>
      <c r="BH3280" t="s">
        <v>84</v>
      </c>
      <c r="BI3280" t="s">
        <v>85</v>
      </c>
    </row>
    <row r="3281" spans="1:61" x14ac:dyDescent="0.3">
      <c r="A3281" t="str">
        <f>"202426C0100"</f>
        <v>202426C0100</v>
      </c>
      <c r="B3281" t="s">
        <v>6664</v>
      </c>
      <c r="C3281">
        <v>20</v>
      </c>
      <c r="D3281" t="s">
        <v>79</v>
      </c>
      <c r="E3281">
        <v>15</v>
      </c>
      <c r="F3281" t="s">
        <v>6336</v>
      </c>
      <c r="G3281">
        <v>2426</v>
      </c>
      <c r="H3281">
        <v>1</v>
      </c>
      <c r="I3281" t="s">
        <v>89</v>
      </c>
      <c r="J3281">
        <v>0</v>
      </c>
      <c r="K3281">
        <v>1</v>
      </c>
      <c r="L3281">
        <v>2</v>
      </c>
      <c r="M3281">
        <v>238</v>
      </c>
      <c r="N3281">
        <v>495</v>
      </c>
      <c r="O3281">
        <v>5</v>
      </c>
      <c r="P3281">
        <v>495</v>
      </c>
      <c r="Q3281">
        <v>10</v>
      </c>
      <c r="R3281">
        <v>52</v>
      </c>
      <c r="S3281">
        <v>44</v>
      </c>
      <c r="T3281">
        <v>9</v>
      </c>
      <c r="U3281">
        <v>15</v>
      </c>
      <c r="V3281">
        <v>3</v>
      </c>
      <c r="W3281">
        <v>83</v>
      </c>
      <c r="X3281">
        <v>11</v>
      </c>
      <c r="Y3281">
        <v>197</v>
      </c>
      <c r="Z3281">
        <v>6</v>
      </c>
      <c r="AA3281">
        <v>14</v>
      </c>
      <c r="AB3281">
        <v>16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1</v>
      </c>
      <c r="AI3281">
        <v>0</v>
      </c>
      <c r="AJ3281">
        <v>0</v>
      </c>
      <c r="AK3281">
        <v>2</v>
      </c>
      <c r="AL3281">
        <v>2</v>
      </c>
      <c r="AM3281">
        <v>1</v>
      </c>
      <c r="AN3281">
        <v>1</v>
      </c>
      <c r="AT3281">
        <v>0</v>
      </c>
      <c r="AU3281">
        <v>28</v>
      </c>
      <c r="AV3281">
        <v>495</v>
      </c>
      <c r="AW3281">
        <v>495</v>
      </c>
      <c r="AX3281">
        <v>712</v>
      </c>
      <c r="BA3281">
        <v>1</v>
      </c>
      <c r="BC3281" t="s">
        <v>6665</v>
      </c>
      <c r="BD3281" s="4">
        <v>43283.203472222223</v>
      </c>
      <c r="BE3281" s="4">
        <v>43283.221805555557</v>
      </c>
      <c r="BF3281" s="4">
        <v>43283.221805555557</v>
      </c>
      <c r="BG3281" t="s">
        <v>83</v>
      </c>
      <c r="BH3281" t="s">
        <v>84</v>
      </c>
      <c r="BI3281" t="s">
        <v>85</v>
      </c>
    </row>
    <row r="3282" spans="1:61" x14ac:dyDescent="0.3">
      <c r="A3282" t="str">
        <f>"202426C0200"</f>
        <v>202426C0200</v>
      </c>
      <c r="B3282" t="s">
        <v>6666</v>
      </c>
      <c r="C3282">
        <v>20</v>
      </c>
      <c r="D3282" t="s">
        <v>79</v>
      </c>
      <c r="E3282">
        <v>15</v>
      </c>
      <c r="F3282" t="s">
        <v>6336</v>
      </c>
      <c r="G3282">
        <v>2426</v>
      </c>
      <c r="H3282">
        <v>2</v>
      </c>
      <c r="I3282" t="s">
        <v>89</v>
      </c>
      <c r="J3282">
        <v>0</v>
      </c>
      <c r="K3282">
        <v>1</v>
      </c>
      <c r="L3282">
        <v>2</v>
      </c>
      <c r="M3282">
        <v>226</v>
      </c>
      <c r="N3282">
        <v>505</v>
      </c>
      <c r="O3282">
        <v>2</v>
      </c>
      <c r="P3282">
        <v>503</v>
      </c>
      <c r="Q3282">
        <v>11</v>
      </c>
      <c r="R3282">
        <v>31</v>
      </c>
      <c r="S3282">
        <v>42</v>
      </c>
      <c r="T3282">
        <v>7</v>
      </c>
      <c r="U3282">
        <v>18</v>
      </c>
      <c r="V3282">
        <v>4</v>
      </c>
      <c r="W3282">
        <v>96</v>
      </c>
      <c r="X3282">
        <v>7</v>
      </c>
      <c r="Y3282">
        <v>231</v>
      </c>
      <c r="Z3282">
        <v>2</v>
      </c>
      <c r="AA3282">
        <v>11</v>
      </c>
      <c r="AB3282">
        <v>7</v>
      </c>
      <c r="AC3282">
        <v>0</v>
      </c>
      <c r="AD3282">
        <v>0</v>
      </c>
      <c r="AE3282">
        <v>0</v>
      </c>
      <c r="AF3282">
        <v>0</v>
      </c>
      <c r="AG3282">
        <v>2</v>
      </c>
      <c r="AH3282">
        <v>1</v>
      </c>
      <c r="AI3282">
        <v>0</v>
      </c>
      <c r="AJ3282">
        <v>0</v>
      </c>
      <c r="AK3282">
        <v>3</v>
      </c>
      <c r="AL3282">
        <v>3</v>
      </c>
      <c r="AM3282">
        <v>0</v>
      </c>
      <c r="AN3282">
        <v>0</v>
      </c>
      <c r="AT3282">
        <v>0</v>
      </c>
      <c r="AU3282">
        <v>30</v>
      </c>
      <c r="AV3282">
        <v>506</v>
      </c>
      <c r="AW3282">
        <v>506</v>
      </c>
      <c r="AX3282">
        <v>712</v>
      </c>
      <c r="BA3282">
        <v>1</v>
      </c>
      <c r="BC3282" t="s">
        <v>6667</v>
      </c>
      <c r="BD3282" s="4">
        <v>43283.211805555555</v>
      </c>
      <c r="BE3282" s="4">
        <v>43283.23578703704</v>
      </c>
      <c r="BF3282" s="4">
        <v>43283.23578703704</v>
      </c>
      <c r="BG3282" t="s">
        <v>83</v>
      </c>
      <c r="BH3282" t="s">
        <v>84</v>
      </c>
      <c r="BI3282" t="s">
        <v>85</v>
      </c>
    </row>
    <row r="3283" spans="1:61" x14ac:dyDescent="0.3">
      <c r="A3283" t="str">
        <f>"202426C0300"</f>
        <v>202426C0300</v>
      </c>
      <c r="B3283" t="s">
        <v>6668</v>
      </c>
      <c r="C3283">
        <v>20</v>
      </c>
      <c r="D3283" t="s">
        <v>79</v>
      </c>
      <c r="E3283">
        <v>15</v>
      </c>
      <c r="F3283" t="s">
        <v>6336</v>
      </c>
      <c r="G3283">
        <v>2426</v>
      </c>
      <c r="H3283">
        <v>3</v>
      </c>
      <c r="I3283" t="s">
        <v>89</v>
      </c>
      <c r="J3283">
        <v>0</v>
      </c>
      <c r="K3283">
        <v>1</v>
      </c>
      <c r="L3283">
        <v>2</v>
      </c>
      <c r="M3283">
        <v>263</v>
      </c>
      <c r="N3283">
        <v>471</v>
      </c>
      <c r="O3283">
        <v>4</v>
      </c>
      <c r="P3283">
        <v>471</v>
      </c>
      <c r="Q3283">
        <v>14</v>
      </c>
      <c r="R3283">
        <v>43</v>
      </c>
      <c r="S3283">
        <v>42</v>
      </c>
      <c r="T3283">
        <v>4</v>
      </c>
      <c r="U3283">
        <v>5</v>
      </c>
      <c r="V3283">
        <v>5</v>
      </c>
      <c r="W3283">
        <v>101</v>
      </c>
      <c r="X3283">
        <v>11</v>
      </c>
      <c r="Y3283">
        <v>185</v>
      </c>
      <c r="Z3283">
        <v>7</v>
      </c>
      <c r="AA3283">
        <v>15</v>
      </c>
      <c r="AB3283">
        <v>11</v>
      </c>
      <c r="AC3283">
        <v>0</v>
      </c>
      <c r="AD3283">
        <v>0</v>
      </c>
      <c r="AE3283">
        <v>0</v>
      </c>
      <c r="AF3283">
        <v>0</v>
      </c>
      <c r="AG3283">
        <v>1</v>
      </c>
      <c r="AH3283">
        <v>1</v>
      </c>
      <c r="AI3283">
        <v>0</v>
      </c>
      <c r="AJ3283">
        <v>0</v>
      </c>
      <c r="AK3283">
        <v>2</v>
      </c>
      <c r="AL3283">
        <v>1</v>
      </c>
      <c r="AM3283">
        <v>0</v>
      </c>
      <c r="AN3283">
        <v>0</v>
      </c>
      <c r="AT3283">
        <v>0</v>
      </c>
      <c r="AU3283">
        <v>23</v>
      </c>
      <c r="AV3283">
        <v>471</v>
      </c>
      <c r="AW3283">
        <v>471</v>
      </c>
      <c r="AX3283">
        <v>712</v>
      </c>
      <c r="BA3283">
        <v>1</v>
      </c>
      <c r="BC3283" t="s">
        <v>6669</v>
      </c>
      <c r="BD3283" s="4">
        <v>43283.209027777775</v>
      </c>
      <c r="BE3283" s="4">
        <v>43283.231076388889</v>
      </c>
      <c r="BF3283" s="4">
        <v>43283.231076388889</v>
      </c>
      <c r="BG3283" t="s">
        <v>83</v>
      </c>
      <c r="BH3283" t="s">
        <v>84</v>
      </c>
      <c r="BI3283" t="s">
        <v>85</v>
      </c>
    </row>
    <row r="3284" spans="1:61" x14ac:dyDescent="0.3">
      <c r="A3284" t="str">
        <f>"202426C0400"</f>
        <v>202426C0400</v>
      </c>
      <c r="B3284" t="s">
        <v>6670</v>
      </c>
      <c r="C3284">
        <v>20</v>
      </c>
      <c r="D3284" t="s">
        <v>79</v>
      </c>
      <c r="E3284">
        <v>15</v>
      </c>
      <c r="F3284" t="s">
        <v>6336</v>
      </c>
      <c r="G3284">
        <v>2426</v>
      </c>
      <c r="H3284">
        <v>4</v>
      </c>
      <c r="I3284" t="s">
        <v>89</v>
      </c>
      <c r="J3284">
        <v>0</v>
      </c>
      <c r="K3284">
        <v>1</v>
      </c>
      <c r="L3284">
        <v>2</v>
      </c>
      <c r="M3284">
        <v>235</v>
      </c>
      <c r="N3284">
        <v>506</v>
      </c>
      <c r="O3284">
        <v>8</v>
      </c>
      <c r="P3284">
        <v>506</v>
      </c>
      <c r="Q3284">
        <v>16</v>
      </c>
      <c r="R3284">
        <v>57</v>
      </c>
      <c r="S3284">
        <v>45</v>
      </c>
      <c r="T3284">
        <v>7</v>
      </c>
      <c r="U3284">
        <v>11</v>
      </c>
      <c r="V3284">
        <v>7</v>
      </c>
      <c r="W3284">
        <v>86</v>
      </c>
      <c r="X3284">
        <v>16</v>
      </c>
      <c r="Y3284">
        <v>207</v>
      </c>
      <c r="Z3284">
        <v>5</v>
      </c>
      <c r="AA3284">
        <v>10</v>
      </c>
      <c r="AB3284">
        <v>15</v>
      </c>
      <c r="AC3284">
        <v>1</v>
      </c>
      <c r="AD3284">
        <v>0</v>
      </c>
      <c r="AE3284">
        <v>0</v>
      </c>
      <c r="AF3284">
        <v>0</v>
      </c>
      <c r="AG3284">
        <v>1</v>
      </c>
      <c r="AH3284">
        <v>1</v>
      </c>
      <c r="AI3284">
        <v>0</v>
      </c>
      <c r="AJ3284">
        <v>0</v>
      </c>
      <c r="AK3284">
        <v>3</v>
      </c>
      <c r="AL3284">
        <v>2</v>
      </c>
      <c r="AM3284">
        <v>0</v>
      </c>
      <c r="AN3284">
        <v>1</v>
      </c>
      <c r="AT3284">
        <v>0</v>
      </c>
      <c r="AU3284">
        <v>15</v>
      </c>
      <c r="AV3284">
        <v>506</v>
      </c>
      <c r="AW3284">
        <v>506</v>
      </c>
      <c r="AX3284">
        <v>712</v>
      </c>
      <c r="BA3284">
        <v>1</v>
      </c>
      <c r="BC3284" t="s">
        <v>6671</v>
      </c>
      <c r="BD3284" s="4">
        <v>43283.208333333336</v>
      </c>
      <c r="BE3284" s="4">
        <v>43283.233043981483</v>
      </c>
      <c r="BF3284" s="4">
        <v>43283.233043981483</v>
      </c>
      <c r="BG3284" t="s">
        <v>83</v>
      </c>
      <c r="BH3284" t="s">
        <v>84</v>
      </c>
      <c r="BI3284" t="s">
        <v>85</v>
      </c>
    </row>
    <row r="3285" spans="1:61" x14ac:dyDescent="0.3">
      <c r="A3285" t="str">
        <f>"202427B0100"</f>
        <v>202427B0100</v>
      </c>
      <c r="B3285" t="s">
        <v>6672</v>
      </c>
      <c r="C3285">
        <v>20</v>
      </c>
      <c r="D3285" t="s">
        <v>79</v>
      </c>
      <c r="E3285">
        <v>15</v>
      </c>
      <c r="F3285" t="s">
        <v>6336</v>
      </c>
      <c r="G3285">
        <v>2427</v>
      </c>
      <c r="H3285">
        <v>1</v>
      </c>
      <c r="I3285" t="s">
        <v>81</v>
      </c>
      <c r="J3285">
        <v>0</v>
      </c>
      <c r="K3285">
        <v>2</v>
      </c>
      <c r="L3285">
        <v>2</v>
      </c>
      <c r="M3285">
        <v>188</v>
      </c>
      <c r="N3285">
        <v>419</v>
      </c>
      <c r="O3285">
        <v>7</v>
      </c>
      <c r="P3285">
        <v>418</v>
      </c>
      <c r="Q3285">
        <v>5</v>
      </c>
      <c r="R3285">
        <v>52</v>
      </c>
      <c r="S3285">
        <v>35</v>
      </c>
      <c r="T3285">
        <v>10</v>
      </c>
      <c r="U3285">
        <v>10</v>
      </c>
      <c r="V3285">
        <v>6</v>
      </c>
      <c r="W3285">
        <v>77</v>
      </c>
      <c r="X3285">
        <v>8</v>
      </c>
      <c r="Y3285">
        <v>162</v>
      </c>
      <c r="Z3285">
        <v>3</v>
      </c>
      <c r="AA3285">
        <v>13</v>
      </c>
      <c r="AB3285">
        <v>4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5</v>
      </c>
      <c r="AL3285">
        <v>2</v>
      </c>
      <c r="AM3285">
        <v>0</v>
      </c>
      <c r="AN3285">
        <v>3</v>
      </c>
      <c r="AT3285">
        <v>0</v>
      </c>
      <c r="AU3285">
        <v>24</v>
      </c>
      <c r="AV3285">
        <v>419</v>
      </c>
      <c r="AW3285">
        <v>419</v>
      </c>
      <c r="AX3285">
        <v>584</v>
      </c>
      <c r="BA3285">
        <v>1</v>
      </c>
      <c r="BC3285" t="s">
        <v>6673</v>
      </c>
      <c r="BD3285" s="4">
        <v>43283.209722222222</v>
      </c>
      <c r="BE3285" s="4">
        <v>43283.232199074075</v>
      </c>
      <c r="BF3285" s="4">
        <v>43283.232199074075</v>
      </c>
      <c r="BG3285" t="s">
        <v>83</v>
      </c>
      <c r="BH3285" t="s">
        <v>84</v>
      </c>
      <c r="BI3285" t="s">
        <v>85</v>
      </c>
    </row>
    <row r="3286" spans="1:61" x14ac:dyDescent="0.3">
      <c r="A3286" t="str">
        <f>"202427C0100"</f>
        <v>202427C0100</v>
      </c>
      <c r="B3286" t="s">
        <v>6674</v>
      </c>
      <c r="C3286">
        <v>20</v>
      </c>
      <c r="D3286" t="s">
        <v>79</v>
      </c>
      <c r="E3286">
        <v>15</v>
      </c>
      <c r="F3286" t="s">
        <v>6336</v>
      </c>
      <c r="G3286">
        <v>2427</v>
      </c>
      <c r="H3286">
        <v>1</v>
      </c>
      <c r="I3286" t="s">
        <v>89</v>
      </c>
      <c r="J3286">
        <v>0</v>
      </c>
      <c r="K3286">
        <v>2</v>
      </c>
      <c r="L3286">
        <v>2</v>
      </c>
      <c r="M3286">
        <v>173</v>
      </c>
      <c r="N3286">
        <v>434</v>
      </c>
      <c r="O3286">
        <v>429</v>
      </c>
      <c r="P3286">
        <v>434</v>
      </c>
      <c r="Q3286">
        <v>12</v>
      </c>
      <c r="R3286">
        <v>54</v>
      </c>
      <c r="S3286">
        <v>27</v>
      </c>
      <c r="T3286">
        <v>4</v>
      </c>
      <c r="U3286">
        <v>8</v>
      </c>
      <c r="V3286">
        <v>5</v>
      </c>
      <c r="W3286">
        <v>98</v>
      </c>
      <c r="X3286">
        <v>5</v>
      </c>
      <c r="Y3286">
        <v>163</v>
      </c>
      <c r="Z3286">
        <v>2</v>
      </c>
      <c r="AA3286">
        <v>18</v>
      </c>
      <c r="AB3286">
        <v>7</v>
      </c>
      <c r="AC3286">
        <v>0</v>
      </c>
      <c r="AD3286">
        <v>1</v>
      </c>
      <c r="AE3286">
        <v>0</v>
      </c>
      <c r="AF3286">
        <v>0</v>
      </c>
      <c r="AG3286">
        <v>0</v>
      </c>
      <c r="AH3286">
        <v>0</v>
      </c>
      <c r="AI3286">
        <v>1</v>
      </c>
      <c r="AJ3286">
        <v>0</v>
      </c>
      <c r="AK3286">
        <v>1</v>
      </c>
      <c r="AL3286">
        <v>1</v>
      </c>
      <c r="AM3286">
        <v>0</v>
      </c>
      <c r="AN3286">
        <v>3</v>
      </c>
      <c r="AT3286">
        <v>0</v>
      </c>
      <c r="AU3286">
        <v>24</v>
      </c>
      <c r="AV3286">
        <v>434</v>
      </c>
      <c r="AW3286">
        <v>434</v>
      </c>
      <c r="AX3286">
        <v>584</v>
      </c>
      <c r="BA3286">
        <v>1</v>
      </c>
      <c r="BC3286" t="s">
        <v>6675</v>
      </c>
      <c r="BD3286" s="4">
        <v>43283.212500000001</v>
      </c>
      <c r="BE3286" s="4">
        <v>43283.238807870373</v>
      </c>
      <c r="BF3286" s="4">
        <v>43283.238807870373</v>
      </c>
      <c r="BG3286" t="s">
        <v>83</v>
      </c>
      <c r="BH3286" t="s">
        <v>84</v>
      </c>
      <c r="BI3286" t="s">
        <v>85</v>
      </c>
    </row>
    <row r="3287" spans="1:61" x14ac:dyDescent="0.3">
      <c r="A3287" t="str">
        <f>"202427C0200"</f>
        <v>202427C0200</v>
      </c>
      <c r="B3287" t="s">
        <v>6676</v>
      </c>
      <c r="C3287">
        <v>20</v>
      </c>
      <c r="D3287" t="s">
        <v>79</v>
      </c>
      <c r="E3287">
        <v>15</v>
      </c>
      <c r="F3287" t="s">
        <v>6336</v>
      </c>
      <c r="G3287">
        <v>2427</v>
      </c>
      <c r="H3287">
        <v>2</v>
      </c>
      <c r="I3287" t="s">
        <v>89</v>
      </c>
      <c r="J3287">
        <v>0</v>
      </c>
      <c r="K3287">
        <v>2</v>
      </c>
      <c r="L3287">
        <v>2</v>
      </c>
      <c r="M3287">
        <v>182</v>
      </c>
      <c r="N3287">
        <v>425</v>
      </c>
      <c r="O3287">
        <v>8</v>
      </c>
      <c r="P3287">
        <v>425</v>
      </c>
      <c r="Q3287">
        <v>4</v>
      </c>
      <c r="R3287">
        <v>57</v>
      </c>
      <c r="S3287">
        <v>16</v>
      </c>
      <c r="T3287">
        <v>7</v>
      </c>
      <c r="U3287">
        <v>7</v>
      </c>
      <c r="V3287">
        <v>3</v>
      </c>
      <c r="W3287">
        <v>127</v>
      </c>
      <c r="X3287">
        <v>8</v>
      </c>
      <c r="Y3287">
        <v>143</v>
      </c>
      <c r="Z3287">
        <v>8</v>
      </c>
      <c r="AA3287">
        <v>11</v>
      </c>
      <c r="AB3287">
        <v>9</v>
      </c>
      <c r="AC3287">
        <v>0</v>
      </c>
      <c r="AD3287">
        <v>0</v>
      </c>
      <c r="AE3287">
        <v>0</v>
      </c>
      <c r="AF3287">
        <v>0</v>
      </c>
      <c r="AG3287">
        <v>2</v>
      </c>
      <c r="AH3287">
        <v>0</v>
      </c>
      <c r="AI3287">
        <v>1</v>
      </c>
      <c r="AJ3287">
        <v>0</v>
      </c>
      <c r="AK3287">
        <v>1</v>
      </c>
      <c r="AL3287">
        <v>1</v>
      </c>
      <c r="AM3287">
        <v>0</v>
      </c>
      <c r="AN3287">
        <v>1</v>
      </c>
      <c r="AT3287">
        <v>0</v>
      </c>
      <c r="AU3287">
        <v>19</v>
      </c>
      <c r="AV3287">
        <v>425</v>
      </c>
      <c r="AW3287">
        <v>425</v>
      </c>
      <c r="AX3287">
        <v>584</v>
      </c>
      <c r="BA3287">
        <v>1</v>
      </c>
      <c r="BC3287" t="s">
        <v>6677</v>
      </c>
      <c r="BD3287" s="4">
        <v>43283.212500000001</v>
      </c>
      <c r="BE3287" s="4">
        <v>43283.234768518516</v>
      </c>
      <c r="BF3287" s="4">
        <v>43283.234768518516</v>
      </c>
      <c r="BG3287" t="s">
        <v>83</v>
      </c>
      <c r="BH3287" t="s">
        <v>84</v>
      </c>
      <c r="BI3287" t="s">
        <v>85</v>
      </c>
    </row>
    <row r="3288" spans="1:61" x14ac:dyDescent="0.3">
      <c r="A3288" t="str">
        <f>"202428B0100"</f>
        <v>202428B0100</v>
      </c>
      <c r="B3288" t="s">
        <v>6678</v>
      </c>
      <c r="C3288">
        <v>20</v>
      </c>
      <c r="D3288" t="s">
        <v>79</v>
      </c>
      <c r="E3288">
        <v>15</v>
      </c>
      <c r="F3288" t="s">
        <v>6336</v>
      </c>
      <c r="G3288">
        <v>2428</v>
      </c>
      <c r="H3288">
        <v>1</v>
      </c>
      <c r="I3288" t="s">
        <v>81</v>
      </c>
      <c r="J3288">
        <v>0</v>
      </c>
      <c r="K3288">
        <v>2</v>
      </c>
      <c r="L3288">
        <v>2</v>
      </c>
      <c r="M3288">
        <v>201</v>
      </c>
      <c r="N3288">
        <v>216</v>
      </c>
      <c r="O3288">
        <v>5</v>
      </c>
      <c r="P3288">
        <v>216</v>
      </c>
      <c r="Q3288">
        <v>8</v>
      </c>
      <c r="R3288">
        <v>41</v>
      </c>
      <c r="S3288">
        <v>31</v>
      </c>
      <c r="T3288">
        <v>9</v>
      </c>
      <c r="U3288">
        <v>16</v>
      </c>
      <c r="V3288">
        <v>4</v>
      </c>
      <c r="W3288">
        <v>153</v>
      </c>
      <c r="X3288">
        <v>9</v>
      </c>
      <c r="Y3288">
        <v>181</v>
      </c>
      <c r="Z3288">
        <v>5</v>
      </c>
      <c r="AA3288">
        <v>18</v>
      </c>
      <c r="AB3288">
        <v>6</v>
      </c>
      <c r="AC3288">
        <v>1</v>
      </c>
      <c r="AD3288" t="s">
        <v>100</v>
      </c>
      <c r="AE3288" t="s">
        <v>100</v>
      </c>
      <c r="AF3288" t="s">
        <v>100</v>
      </c>
      <c r="AG3288">
        <v>1</v>
      </c>
      <c r="AH3288" t="s">
        <v>100</v>
      </c>
      <c r="AI3288" t="s">
        <v>100</v>
      </c>
      <c r="AJ3288" t="s">
        <v>100</v>
      </c>
      <c r="AK3288">
        <v>1</v>
      </c>
      <c r="AL3288">
        <v>1</v>
      </c>
      <c r="AM3288" t="s">
        <v>100</v>
      </c>
      <c r="AN3288" t="s">
        <v>100</v>
      </c>
      <c r="AT3288" t="s">
        <v>100</v>
      </c>
      <c r="AU3288">
        <v>31</v>
      </c>
      <c r="AV3288">
        <v>516</v>
      </c>
      <c r="AW3288">
        <v>516</v>
      </c>
      <c r="AX3288">
        <v>694</v>
      </c>
      <c r="AZ3288" t="s">
        <v>101</v>
      </c>
      <c r="BA3288">
        <v>1</v>
      </c>
      <c r="BC3288" t="s">
        <v>6679</v>
      </c>
      <c r="BD3288" s="4">
        <v>43283.54583333333</v>
      </c>
      <c r="BE3288" s="4">
        <v>43283.552106481482</v>
      </c>
      <c r="BF3288" s="4">
        <v>43283.552106481482</v>
      </c>
      <c r="BG3288" t="s">
        <v>83</v>
      </c>
      <c r="BH3288" t="s">
        <v>84</v>
      </c>
      <c r="BI3288" t="s">
        <v>85</v>
      </c>
    </row>
    <row r="3289" spans="1:61" x14ac:dyDescent="0.3">
      <c r="A3289" t="str">
        <f>"202428C0100"</f>
        <v>202428C0100</v>
      </c>
      <c r="B3289" t="s">
        <v>6680</v>
      </c>
      <c r="C3289">
        <v>20</v>
      </c>
      <c r="D3289" t="s">
        <v>79</v>
      </c>
      <c r="E3289">
        <v>15</v>
      </c>
      <c r="F3289" t="s">
        <v>6336</v>
      </c>
      <c r="G3289">
        <v>2428</v>
      </c>
      <c r="H3289">
        <v>1</v>
      </c>
      <c r="I3289" t="s">
        <v>89</v>
      </c>
      <c r="J3289">
        <v>0</v>
      </c>
      <c r="K3289">
        <v>2</v>
      </c>
      <c r="L3289">
        <v>2</v>
      </c>
      <c r="AX3289">
        <v>694</v>
      </c>
      <c r="AZ3289" t="s">
        <v>156</v>
      </c>
      <c r="BA3289">
        <v>0</v>
      </c>
      <c r="BC3289" s="2" t="s">
        <v>6681</v>
      </c>
      <c r="BD3289" s="4">
        <v>43283.645833333336</v>
      </c>
      <c r="BE3289" s="4">
        <v>43283.65115740741</v>
      </c>
      <c r="BF3289" s="4">
        <v>43283.65115740741</v>
      </c>
      <c r="BG3289" t="s">
        <v>83</v>
      </c>
      <c r="BH3289" t="s">
        <v>84</v>
      </c>
      <c r="BI3289" t="s">
        <v>85</v>
      </c>
    </row>
    <row r="3290" spans="1:61" x14ac:dyDescent="0.3">
      <c r="A3290" t="str">
        <f>"202428E0100"</f>
        <v>202428E0100</v>
      </c>
      <c r="B3290" s="2" t="s">
        <v>6682</v>
      </c>
      <c r="C3290">
        <v>20</v>
      </c>
      <c r="D3290" t="s">
        <v>79</v>
      </c>
      <c r="E3290">
        <v>15</v>
      </c>
      <c r="F3290" t="s">
        <v>6336</v>
      </c>
      <c r="G3290">
        <v>2428</v>
      </c>
      <c r="H3290">
        <v>1</v>
      </c>
      <c r="I3290" t="s">
        <v>145</v>
      </c>
      <c r="J3290">
        <v>0</v>
      </c>
      <c r="K3290">
        <v>2</v>
      </c>
      <c r="L3290">
        <v>2</v>
      </c>
      <c r="M3290">
        <v>296</v>
      </c>
      <c r="N3290">
        <v>437</v>
      </c>
      <c r="O3290">
        <v>9</v>
      </c>
      <c r="P3290">
        <v>437</v>
      </c>
      <c r="Q3290">
        <v>14</v>
      </c>
      <c r="R3290">
        <v>18</v>
      </c>
      <c r="S3290">
        <v>110</v>
      </c>
      <c r="T3290">
        <v>8</v>
      </c>
      <c r="U3290">
        <v>12</v>
      </c>
      <c r="V3290">
        <v>3</v>
      </c>
      <c r="W3290">
        <v>29</v>
      </c>
      <c r="X3290">
        <v>10</v>
      </c>
      <c r="Y3290">
        <v>177</v>
      </c>
      <c r="Z3290">
        <v>3</v>
      </c>
      <c r="AA3290">
        <v>21</v>
      </c>
      <c r="AB3290">
        <v>6</v>
      </c>
      <c r="AC3290">
        <v>0</v>
      </c>
      <c r="AD3290">
        <v>0</v>
      </c>
      <c r="AE3290">
        <v>0</v>
      </c>
      <c r="AF3290">
        <v>1</v>
      </c>
      <c r="AG3290">
        <v>1</v>
      </c>
      <c r="AH3290">
        <v>2</v>
      </c>
      <c r="AI3290">
        <v>0</v>
      </c>
      <c r="AJ3290">
        <v>0</v>
      </c>
      <c r="AK3290">
        <v>9</v>
      </c>
      <c r="AL3290">
        <v>2</v>
      </c>
      <c r="AM3290">
        <v>0</v>
      </c>
      <c r="AN3290">
        <v>0</v>
      </c>
      <c r="AT3290">
        <v>0</v>
      </c>
      <c r="AU3290">
        <v>15</v>
      </c>
      <c r="AV3290">
        <v>441</v>
      </c>
      <c r="AW3290">
        <v>441</v>
      </c>
      <c r="AX3290">
        <v>710</v>
      </c>
      <c r="BA3290">
        <v>1</v>
      </c>
      <c r="BC3290" t="s">
        <v>6683</v>
      </c>
      <c r="BD3290" s="4">
        <v>43283.545138888891</v>
      </c>
      <c r="BE3290" s="4">
        <v>43283.551481481481</v>
      </c>
      <c r="BF3290" s="4">
        <v>43283.551481481481</v>
      </c>
      <c r="BG3290" t="s">
        <v>83</v>
      </c>
      <c r="BH3290" t="s">
        <v>84</v>
      </c>
      <c r="BI3290" t="s">
        <v>85</v>
      </c>
    </row>
    <row r="3291" spans="1:61" x14ac:dyDescent="0.3">
      <c r="A3291" t="str">
        <f>"202428E0101"</f>
        <v>202428E0101</v>
      </c>
      <c r="B3291" s="2" t="s">
        <v>6684</v>
      </c>
      <c r="C3291">
        <v>20</v>
      </c>
      <c r="D3291" t="s">
        <v>79</v>
      </c>
      <c r="E3291">
        <v>15</v>
      </c>
      <c r="F3291" t="s">
        <v>6336</v>
      </c>
      <c r="G3291">
        <v>2428</v>
      </c>
      <c r="H3291">
        <v>1</v>
      </c>
      <c r="I3291" t="s">
        <v>145</v>
      </c>
      <c r="J3291">
        <v>1</v>
      </c>
      <c r="K3291">
        <v>2</v>
      </c>
      <c r="L3291">
        <v>2</v>
      </c>
      <c r="M3291">
        <v>277</v>
      </c>
      <c r="N3291">
        <v>454</v>
      </c>
      <c r="O3291">
        <v>6</v>
      </c>
      <c r="P3291">
        <v>454</v>
      </c>
      <c r="Q3291">
        <v>9</v>
      </c>
      <c r="R3291">
        <v>19</v>
      </c>
      <c r="S3291">
        <v>93</v>
      </c>
      <c r="T3291">
        <v>11</v>
      </c>
      <c r="U3291">
        <v>21</v>
      </c>
      <c r="V3291">
        <v>6</v>
      </c>
      <c r="W3291">
        <v>23</v>
      </c>
      <c r="X3291">
        <v>13</v>
      </c>
      <c r="Y3291">
        <v>194</v>
      </c>
      <c r="Z3291">
        <v>7</v>
      </c>
      <c r="AA3291">
        <v>26</v>
      </c>
      <c r="AB3291">
        <v>6</v>
      </c>
      <c r="AC3291">
        <v>0</v>
      </c>
      <c r="AD3291">
        <v>0</v>
      </c>
      <c r="AE3291">
        <v>0</v>
      </c>
      <c r="AF3291">
        <v>0</v>
      </c>
      <c r="AG3291">
        <v>3</v>
      </c>
      <c r="AH3291">
        <v>0</v>
      </c>
      <c r="AI3291">
        <v>0</v>
      </c>
      <c r="AJ3291">
        <v>0</v>
      </c>
      <c r="AK3291">
        <v>3</v>
      </c>
      <c r="AL3291">
        <v>2</v>
      </c>
      <c r="AM3291">
        <v>0</v>
      </c>
      <c r="AN3291">
        <v>0</v>
      </c>
      <c r="AT3291">
        <v>0</v>
      </c>
      <c r="AU3291">
        <v>18</v>
      </c>
      <c r="AV3291">
        <v>454</v>
      </c>
      <c r="AW3291">
        <v>454</v>
      </c>
      <c r="AX3291">
        <v>710</v>
      </c>
      <c r="BA3291">
        <v>1</v>
      </c>
      <c r="BC3291" t="s">
        <v>6685</v>
      </c>
      <c r="BD3291" s="4">
        <v>43283.544444444444</v>
      </c>
      <c r="BE3291" s="4">
        <v>43283.554351851853</v>
      </c>
      <c r="BF3291" s="4">
        <v>43283.554351851853</v>
      </c>
      <c r="BG3291" t="s">
        <v>83</v>
      </c>
      <c r="BH3291" t="s">
        <v>84</v>
      </c>
      <c r="BI3291" t="s">
        <v>85</v>
      </c>
    </row>
    <row r="3292" spans="1:61" x14ac:dyDescent="0.3">
      <c r="A3292" t="str">
        <f>"202428E0200"</f>
        <v>202428E0200</v>
      </c>
      <c r="B3292" s="2" t="s">
        <v>6686</v>
      </c>
      <c r="C3292">
        <v>20</v>
      </c>
      <c r="D3292" t="s">
        <v>79</v>
      </c>
      <c r="E3292">
        <v>15</v>
      </c>
      <c r="F3292" t="s">
        <v>6336</v>
      </c>
      <c r="G3292">
        <v>2428</v>
      </c>
      <c r="H3292">
        <v>2</v>
      </c>
      <c r="I3292" t="s">
        <v>145</v>
      </c>
      <c r="J3292">
        <v>0</v>
      </c>
      <c r="K3292">
        <v>2</v>
      </c>
      <c r="L3292">
        <v>2</v>
      </c>
      <c r="M3292">
        <v>319</v>
      </c>
      <c r="N3292">
        <v>380</v>
      </c>
      <c r="O3292">
        <v>6</v>
      </c>
      <c r="P3292">
        <v>380</v>
      </c>
      <c r="Q3292">
        <v>11</v>
      </c>
      <c r="R3292">
        <v>25</v>
      </c>
      <c r="S3292">
        <v>54</v>
      </c>
      <c r="T3292">
        <v>5</v>
      </c>
      <c r="U3292">
        <v>23</v>
      </c>
      <c r="V3292">
        <v>5</v>
      </c>
      <c r="W3292">
        <v>19</v>
      </c>
      <c r="X3292">
        <v>6</v>
      </c>
      <c r="Y3292">
        <v>164</v>
      </c>
      <c r="Z3292">
        <v>16</v>
      </c>
      <c r="AA3292">
        <v>16</v>
      </c>
      <c r="AB3292">
        <v>5</v>
      </c>
      <c r="AC3292">
        <v>2</v>
      </c>
      <c r="AD3292">
        <v>0</v>
      </c>
      <c r="AE3292">
        <v>0</v>
      </c>
      <c r="AF3292">
        <v>2</v>
      </c>
      <c r="AG3292">
        <v>0</v>
      </c>
      <c r="AH3292">
        <v>0</v>
      </c>
      <c r="AI3292">
        <v>0</v>
      </c>
      <c r="AJ3292">
        <v>0</v>
      </c>
      <c r="AK3292">
        <v>5</v>
      </c>
      <c r="AL3292">
        <v>1</v>
      </c>
      <c r="AM3292">
        <v>1</v>
      </c>
      <c r="AN3292">
        <v>0</v>
      </c>
      <c r="AT3292">
        <v>0</v>
      </c>
      <c r="AU3292">
        <v>20</v>
      </c>
      <c r="AV3292">
        <v>380</v>
      </c>
      <c r="AW3292">
        <v>380</v>
      </c>
      <c r="AX3292">
        <v>675</v>
      </c>
      <c r="BA3292">
        <v>1</v>
      </c>
      <c r="BC3292" t="s">
        <v>6687</v>
      </c>
      <c r="BD3292" s="4">
        <v>43283.099097222221</v>
      </c>
      <c r="BE3292" s="4">
        <v>43283.107465277775</v>
      </c>
      <c r="BF3292" s="4">
        <v>43283.107465277775</v>
      </c>
      <c r="BG3292" t="s">
        <v>373</v>
      </c>
      <c r="BH3292" t="s">
        <v>374</v>
      </c>
      <c r="BI3292" t="s">
        <v>85</v>
      </c>
    </row>
    <row r="3293" spans="1:61" x14ac:dyDescent="0.3">
      <c r="A3293" t="str">
        <f>"202428E0201"</f>
        <v>202428E0201</v>
      </c>
      <c r="B3293" s="2" t="s">
        <v>6688</v>
      </c>
      <c r="C3293">
        <v>20</v>
      </c>
      <c r="D3293" t="s">
        <v>79</v>
      </c>
      <c r="E3293">
        <v>15</v>
      </c>
      <c r="F3293" t="s">
        <v>6336</v>
      </c>
      <c r="G3293">
        <v>2428</v>
      </c>
      <c r="H3293">
        <v>2</v>
      </c>
      <c r="I3293" t="s">
        <v>145</v>
      </c>
      <c r="J3293">
        <v>1</v>
      </c>
      <c r="K3293">
        <v>2</v>
      </c>
      <c r="L3293">
        <v>2</v>
      </c>
      <c r="M3293">
        <v>322</v>
      </c>
      <c r="N3293">
        <v>375</v>
      </c>
      <c r="O3293">
        <v>375</v>
      </c>
      <c r="P3293">
        <v>375</v>
      </c>
      <c r="Q3293">
        <v>11</v>
      </c>
      <c r="R3293">
        <v>21</v>
      </c>
      <c r="S3293">
        <v>56</v>
      </c>
      <c r="T3293">
        <v>3</v>
      </c>
      <c r="U3293">
        <v>19</v>
      </c>
      <c r="V3293">
        <v>3</v>
      </c>
      <c r="W3293">
        <v>37</v>
      </c>
      <c r="X3293">
        <v>5</v>
      </c>
      <c r="Y3293">
        <v>139</v>
      </c>
      <c r="Z3293">
        <v>13</v>
      </c>
      <c r="AA3293">
        <v>17</v>
      </c>
      <c r="AB3293">
        <v>18</v>
      </c>
      <c r="AC3293">
        <v>2</v>
      </c>
      <c r="AD3293">
        <v>0</v>
      </c>
      <c r="AE3293">
        <v>0</v>
      </c>
      <c r="AF3293">
        <v>0</v>
      </c>
      <c r="AG3293">
        <v>1</v>
      </c>
      <c r="AH3293">
        <v>0</v>
      </c>
      <c r="AI3293">
        <v>0</v>
      </c>
      <c r="AJ3293">
        <v>0</v>
      </c>
      <c r="AK3293">
        <v>8</v>
      </c>
      <c r="AL3293">
        <v>3</v>
      </c>
      <c r="AM3293">
        <v>0</v>
      </c>
      <c r="AN3293">
        <v>0</v>
      </c>
      <c r="AT3293">
        <v>0</v>
      </c>
      <c r="AU3293">
        <v>19</v>
      </c>
      <c r="AV3293">
        <v>375</v>
      </c>
      <c r="AW3293">
        <v>375</v>
      </c>
      <c r="AX3293">
        <v>674</v>
      </c>
      <c r="BA3293">
        <v>1</v>
      </c>
      <c r="BC3293" t="s">
        <v>6689</v>
      </c>
      <c r="BD3293" s="4">
        <v>43283.045787037037</v>
      </c>
      <c r="BE3293" s="4">
        <v>43283.050173611111</v>
      </c>
      <c r="BF3293" s="4">
        <v>43283.050173611111</v>
      </c>
      <c r="BG3293" t="s">
        <v>373</v>
      </c>
      <c r="BH3293" t="s">
        <v>374</v>
      </c>
      <c r="BI3293" t="s">
        <v>85</v>
      </c>
    </row>
    <row r="3294" spans="1:61" x14ac:dyDescent="0.3">
      <c r="A3294" t="str">
        <f>"202428E0202"</f>
        <v>202428E0202</v>
      </c>
      <c r="B3294" s="2" t="s">
        <v>6690</v>
      </c>
      <c r="C3294">
        <v>20</v>
      </c>
      <c r="D3294" t="s">
        <v>79</v>
      </c>
      <c r="E3294">
        <v>15</v>
      </c>
      <c r="F3294" t="s">
        <v>6336</v>
      </c>
      <c r="G3294">
        <v>2428</v>
      </c>
      <c r="H3294">
        <v>2</v>
      </c>
      <c r="I3294" t="s">
        <v>145</v>
      </c>
      <c r="J3294">
        <v>2</v>
      </c>
      <c r="K3294">
        <v>2</v>
      </c>
      <c r="L3294">
        <v>2</v>
      </c>
      <c r="M3294">
        <v>326</v>
      </c>
      <c r="N3294">
        <v>371</v>
      </c>
      <c r="O3294">
        <v>7</v>
      </c>
      <c r="P3294">
        <v>371</v>
      </c>
      <c r="Q3294">
        <v>16</v>
      </c>
      <c r="R3294">
        <v>14</v>
      </c>
      <c r="S3294">
        <v>40</v>
      </c>
      <c r="T3294">
        <v>0</v>
      </c>
      <c r="U3294">
        <v>32</v>
      </c>
      <c r="V3294">
        <v>5</v>
      </c>
      <c r="W3294">
        <v>31</v>
      </c>
      <c r="X3294">
        <v>8</v>
      </c>
      <c r="Y3294">
        <v>162</v>
      </c>
      <c r="Z3294">
        <v>8</v>
      </c>
      <c r="AA3294">
        <v>14</v>
      </c>
      <c r="AB3294">
        <v>17</v>
      </c>
      <c r="AC3294">
        <v>2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6</v>
      </c>
      <c r="AL3294">
        <v>1</v>
      </c>
      <c r="AM3294">
        <v>0</v>
      </c>
      <c r="AN3294">
        <v>4</v>
      </c>
      <c r="AT3294">
        <v>0</v>
      </c>
      <c r="AU3294">
        <v>11</v>
      </c>
      <c r="AV3294">
        <v>371</v>
      </c>
      <c r="AW3294">
        <v>371</v>
      </c>
      <c r="AX3294">
        <v>674</v>
      </c>
      <c r="BA3294">
        <v>1</v>
      </c>
      <c r="BC3294" t="s">
        <v>6691</v>
      </c>
      <c r="BD3294" s="4">
        <v>43283.154016203705</v>
      </c>
      <c r="BE3294" s="4">
        <v>43283.163877314815</v>
      </c>
      <c r="BF3294" s="4">
        <v>43283.163877314815</v>
      </c>
      <c r="BG3294" t="s">
        <v>373</v>
      </c>
      <c r="BH3294" t="s">
        <v>374</v>
      </c>
      <c r="BI3294" t="s">
        <v>85</v>
      </c>
    </row>
    <row r="3295" spans="1:61" x14ac:dyDescent="0.3">
      <c r="A3295" t="str">
        <f>"202428E0203"</f>
        <v>202428E0203</v>
      </c>
      <c r="B3295" s="2" t="s">
        <v>6692</v>
      </c>
      <c r="C3295">
        <v>20</v>
      </c>
      <c r="D3295" t="s">
        <v>79</v>
      </c>
      <c r="E3295">
        <v>15</v>
      </c>
      <c r="F3295" t="s">
        <v>6336</v>
      </c>
      <c r="G3295">
        <v>2428</v>
      </c>
      <c r="H3295">
        <v>2</v>
      </c>
      <c r="I3295" t="s">
        <v>145</v>
      </c>
      <c r="J3295">
        <v>3</v>
      </c>
      <c r="K3295">
        <v>2</v>
      </c>
      <c r="L3295">
        <v>2</v>
      </c>
      <c r="M3295">
        <v>344</v>
      </c>
      <c r="N3295">
        <v>353</v>
      </c>
      <c r="O3295">
        <v>9</v>
      </c>
      <c r="P3295">
        <v>353</v>
      </c>
      <c r="Q3295">
        <v>4</v>
      </c>
      <c r="R3295">
        <v>25</v>
      </c>
      <c r="S3295">
        <v>53</v>
      </c>
      <c r="T3295">
        <v>7</v>
      </c>
      <c r="U3295">
        <v>26</v>
      </c>
      <c r="V3295">
        <v>4</v>
      </c>
      <c r="W3295">
        <v>21</v>
      </c>
      <c r="X3295">
        <v>1</v>
      </c>
      <c r="Y3295">
        <v>152</v>
      </c>
      <c r="Z3295">
        <v>10</v>
      </c>
      <c r="AA3295">
        <v>11</v>
      </c>
      <c r="AB3295">
        <v>8</v>
      </c>
      <c r="AC3295">
        <v>3</v>
      </c>
      <c r="AD3295">
        <v>1</v>
      </c>
      <c r="AE3295">
        <v>0</v>
      </c>
      <c r="AF3295">
        <v>0</v>
      </c>
      <c r="AG3295">
        <v>0</v>
      </c>
      <c r="AH3295">
        <v>5</v>
      </c>
      <c r="AI3295">
        <v>0</v>
      </c>
      <c r="AJ3295">
        <v>1</v>
      </c>
      <c r="AK3295">
        <v>2</v>
      </c>
      <c r="AL3295">
        <v>1</v>
      </c>
      <c r="AM3295">
        <v>1</v>
      </c>
      <c r="AN3295">
        <v>2</v>
      </c>
      <c r="AT3295">
        <v>0</v>
      </c>
      <c r="AU3295">
        <v>15</v>
      </c>
      <c r="AV3295">
        <v>353</v>
      </c>
      <c r="AW3295">
        <v>353</v>
      </c>
      <c r="AX3295">
        <v>674</v>
      </c>
      <c r="BA3295">
        <v>1</v>
      </c>
      <c r="BC3295" t="s">
        <v>6693</v>
      </c>
      <c r="BD3295" s="4">
        <v>43283.090057870373</v>
      </c>
      <c r="BE3295" s="4">
        <v>43283.093969907408</v>
      </c>
      <c r="BF3295" s="4">
        <v>43283.093969907408</v>
      </c>
      <c r="BG3295" t="s">
        <v>373</v>
      </c>
      <c r="BH3295" t="s">
        <v>374</v>
      </c>
      <c r="BI3295" t="s">
        <v>85</v>
      </c>
    </row>
    <row r="3296" spans="1:61" x14ac:dyDescent="0.3">
      <c r="A3296" t="str">
        <f>"202428E0204"</f>
        <v>202428E0204</v>
      </c>
      <c r="B3296" s="2" t="s">
        <v>6694</v>
      </c>
      <c r="C3296">
        <v>20</v>
      </c>
      <c r="D3296" t="s">
        <v>79</v>
      </c>
      <c r="E3296">
        <v>15</v>
      </c>
      <c r="F3296" t="s">
        <v>6336</v>
      </c>
      <c r="G3296">
        <v>2428</v>
      </c>
      <c r="H3296">
        <v>2</v>
      </c>
      <c r="I3296" t="s">
        <v>145</v>
      </c>
      <c r="J3296">
        <v>4</v>
      </c>
      <c r="K3296">
        <v>2</v>
      </c>
      <c r="L3296">
        <v>2</v>
      </c>
      <c r="M3296">
        <v>284</v>
      </c>
      <c r="N3296">
        <v>412</v>
      </c>
      <c r="O3296">
        <v>5</v>
      </c>
      <c r="P3296">
        <v>404</v>
      </c>
      <c r="Q3296">
        <v>17</v>
      </c>
      <c r="R3296">
        <v>24</v>
      </c>
      <c r="S3296">
        <v>49</v>
      </c>
      <c r="T3296">
        <v>6</v>
      </c>
      <c r="U3296">
        <v>29</v>
      </c>
      <c r="V3296">
        <v>5</v>
      </c>
      <c r="W3296">
        <v>36</v>
      </c>
      <c r="X3296">
        <v>1</v>
      </c>
      <c r="Y3296">
        <v>179</v>
      </c>
      <c r="Z3296">
        <v>12</v>
      </c>
      <c r="AA3296">
        <v>11</v>
      </c>
      <c r="AB3296">
        <v>9</v>
      </c>
      <c r="AC3296">
        <v>1</v>
      </c>
      <c r="AD3296">
        <v>0</v>
      </c>
      <c r="AE3296">
        <v>0</v>
      </c>
      <c r="AF3296">
        <v>1</v>
      </c>
      <c r="AG3296">
        <v>1</v>
      </c>
      <c r="AH3296">
        <v>0</v>
      </c>
      <c r="AI3296">
        <v>0</v>
      </c>
      <c r="AJ3296">
        <v>0</v>
      </c>
      <c r="AK3296">
        <v>4</v>
      </c>
      <c r="AL3296">
        <v>1</v>
      </c>
      <c r="AM3296">
        <v>0</v>
      </c>
      <c r="AN3296">
        <v>1</v>
      </c>
      <c r="AT3296">
        <v>0</v>
      </c>
      <c r="AU3296">
        <v>17</v>
      </c>
      <c r="AV3296">
        <v>404</v>
      </c>
      <c r="AW3296">
        <v>404</v>
      </c>
      <c r="AX3296">
        <v>674</v>
      </c>
      <c r="BA3296">
        <v>1</v>
      </c>
      <c r="BC3296" t="s">
        <v>6695</v>
      </c>
      <c r="BD3296" s="4">
        <v>43283.26458333333</v>
      </c>
      <c r="BE3296" s="4">
        <v>43283.290995370371</v>
      </c>
      <c r="BF3296" s="4">
        <v>43283.290995370371</v>
      </c>
      <c r="BG3296" t="s">
        <v>83</v>
      </c>
      <c r="BH3296" t="s">
        <v>84</v>
      </c>
      <c r="BI3296" t="s">
        <v>85</v>
      </c>
    </row>
    <row r="3297" spans="1:61" x14ac:dyDescent="0.3">
      <c r="A3297" t="str">
        <f>"202428E0205"</f>
        <v>202428E0205</v>
      </c>
      <c r="B3297" s="2" t="s">
        <v>6696</v>
      </c>
      <c r="C3297">
        <v>20</v>
      </c>
      <c r="D3297" t="s">
        <v>79</v>
      </c>
      <c r="E3297">
        <v>15</v>
      </c>
      <c r="F3297" t="s">
        <v>6336</v>
      </c>
      <c r="G3297">
        <v>2428</v>
      </c>
      <c r="H3297">
        <v>2</v>
      </c>
      <c r="I3297" t="s">
        <v>145</v>
      </c>
      <c r="J3297">
        <v>5</v>
      </c>
      <c r="K3297">
        <v>2</v>
      </c>
      <c r="L3297">
        <v>2</v>
      </c>
      <c r="M3297">
        <v>313</v>
      </c>
      <c r="N3297">
        <v>385</v>
      </c>
      <c r="O3297">
        <v>4</v>
      </c>
      <c r="P3297">
        <v>383</v>
      </c>
      <c r="Q3297">
        <v>17</v>
      </c>
      <c r="R3297">
        <v>25</v>
      </c>
      <c r="S3297">
        <v>59</v>
      </c>
      <c r="T3297">
        <v>10</v>
      </c>
      <c r="U3297">
        <v>22</v>
      </c>
      <c r="V3297">
        <v>3</v>
      </c>
      <c r="W3297">
        <v>32</v>
      </c>
      <c r="X3297">
        <v>2</v>
      </c>
      <c r="Y3297">
        <v>153</v>
      </c>
      <c r="Z3297">
        <v>11</v>
      </c>
      <c r="AA3297">
        <v>16</v>
      </c>
      <c r="AB3297">
        <v>7</v>
      </c>
      <c r="AC3297" t="s">
        <v>100</v>
      </c>
      <c r="AD3297">
        <v>1</v>
      </c>
      <c r="AE3297" t="s">
        <v>100</v>
      </c>
      <c r="AF3297" t="s">
        <v>100</v>
      </c>
      <c r="AG3297" t="s">
        <v>100</v>
      </c>
      <c r="AH3297" t="s">
        <v>100</v>
      </c>
      <c r="AI3297" t="s">
        <v>100</v>
      </c>
      <c r="AJ3297" t="s">
        <v>100</v>
      </c>
      <c r="AK3297" t="s">
        <v>100</v>
      </c>
      <c r="AL3297" t="s">
        <v>100</v>
      </c>
      <c r="AM3297" t="s">
        <v>100</v>
      </c>
      <c r="AN3297" t="s">
        <v>100</v>
      </c>
      <c r="AT3297" t="s">
        <v>100</v>
      </c>
      <c r="AU3297">
        <v>25</v>
      </c>
      <c r="AV3297">
        <v>383</v>
      </c>
      <c r="AW3297">
        <v>383</v>
      </c>
      <c r="AX3297">
        <v>674</v>
      </c>
      <c r="AZ3297" t="s">
        <v>101</v>
      </c>
      <c r="BA3297">
        <v>1</v>
      </c>
      <c r="BC3297" t="s">
        <v>6697</v>
      </c>
      <c r="BD3297" s="4">
        <v>43283.162951388891</v>
      </c>
      <c r="BE3297" s="4">
        <v>43283.173182870371</v>
      </c>
      <c r="BF3297" s="4">
        <v>43283.173182870371</v>
      </c>
      <c r="BG3297" t="s">
        <v>373</v>
      </c>
      <c r="BH3297" t="s">
        <v>374</v>
      </c>
      <c r="BI3297" t="s">
        <v>85</v>
      </c>
    </row>
    <row r="3298" spans="1:61" x14ac:dyDescent="0.3">
      <c r="A3298" t="str">
        <f>"202428E0206"</f>
        <v>202428E0206</v>
      </c>
      <c r="B3298" s="2" t="s">
        <v>6698</v>
      </c>
      <c r="C3298">
        <v>20</v>
      </c>
      <c r="D3298" t="s">
        <v>79</v>
      </c>
      <c r="E3298">
        <v>15</v>
      </c>
      <c r="F3298" t="s">
        <v>6336</v>
      </c>
      <c r="G3298">
        <v>2428</v>
      </c>
      <c r="H3298">
        <v>2</v>
      </c>
      <c r="I3298" t="s">
        <v>145</v>
      </c>
      <c r="J3298">
        <v>6</v>
      </c>
      <c r="K3298">
        <v>2</v>
      </c>
      <c r="L3298">
        <v>2</v>
      </c>
      <c r="M3298">
        <v>308</v>
      </c>
      <c r="N3298" t="s">
        <v>100</v>
      </c>
      <c r="O3298">
        <v>4</v>
      </c>
      <c r="P3298" t="s">
        <v>100</v>
      </c>
      <c r="Q3298">
        <v>11</v>
      </c>
      <c r="R3298">
        <v>23</v>
      </c>
      <c r="S3298">
        <v>55</v>
      </c>
      <c r="T3298">
        <v>6</v>
      </c>
      <c r="U3298">
        <v>14</v>
      </c>
      <c r="V3298">
        <v>4</v>
      </c>
      <c r="W3298">
        <v>38</v>
      </c>
      <c r="X3298">
        <v>10</v>
      </c>
      <c r="Y3298">
        <v>162</v>
      </c>
      <c r="Z3298">
        <v>7</v>
      </c>
      <c r="AA3298">
        <v>20</v>
      </c>
      <c r="AB3298">
        <v>5</v>
      </c>
      <c r="AC3298">
        <v>2</v>
      </c>
      <c r="AD3298" t="s">
        <v>100</v>
      </c>
      <c r="AE3298" t="s">
        <v>100</v>
      </c>
      <c r="AF3298" t="s">
        <v>100</v>
      </c>
      <c r="AG3298">
        <v>2</v>
      </c>
      <c r="AH3298" t="s">
        <v>100</v>
      </c>
      <c r="AI3298" t="s">
        <v>100</v>
      </c>
      <c r="AJ3298" t="s">
        <v>100</v>
      </c>
      <c r="AK3298" t="s">
        <v>100</v>
      </c>
      <c r="AL3298" t="s">
        <v>100</v>
      </c>
      <c r="AM3298" t="s">
        <v>100</v>
      </c>
      <c r="AN3298">
        <v>5</v>
      </c>
      <c r="AT3298" t="s">
        <v>100</v>
      </c>
      <c r="AU3298">
        <v>26</v>
      </c>
      <c r="AV3298">
        <v>390</v>
      </c>
      <c r="AW3298">
        <v>390</v>
      </c>
      <c r="AX3298">
        <v>674</v>
      </c>
      <c r="AZ3298" t="s">
        <v>101</v>
      </c>
      <c r="BA3298">
        <v>1</v>
      </c>
      <c r="BC3298" t="s">
        <v>6699</v>
      </c>
      <c r="BD3298" s="4">
        <v>43283.144606481481</v>
      </c>
      <c r="BE3298" s="4">
        <v>43283.150752314818</v>
      </c>
      <c r="BF3298" s="4">
        <v>43283.150752314818</v>
      </c>
      <c r="BG3298" t="s">
        <v>373</v>
      </c>
      <c r="BH3298" t="s">
        <v>374</v>
      </c>
      <c r="BI3298" t="s">
        <v>85</v>
      </c>
    </row>
    <row r="3299" spans="1:61" x14ac:dyDescent="0.3">
      <c r="A3299" t="str">
        <f>"202428E0207"</f>
        <v>202428E0207</v>
      </c>
      <c r="B3299" s="2" t="s">
        <v>6700</v>
      </c>
      <c r="C3299">
        <v>20</v>
      </c>
      <c r="D3299" t="s">
        <v>79</v>
      </c>
      <c r="E3299">
        <v>15</v>
      </c>
      <c r="F3299" t="s">
        <v>6336</v>
      </c>
      <c r="G3299">
        <v>2428</v>
      </c>
      <c r="H3299">
        <v>2</v>
      </c>
      <c r="I3299" t="s">
        <v>145</v>
      </c>
      <c r="J3299">
        <v>7</v>
      </c>
      <c r="K3299">
        <v>2</v>
      </c>
      <c r="L3299">
        <v>2</v>
      </c>
      <c r="M3299">
        <v>324</v>
      </c>
      <c r="N3299">
        <v>373</v>
      </c>
      <c r="O3299">
        <v>5</v>
      </c>
      <c r="P3299">
        <v>373</v>
      </c>
      <c r="Q3299">
        <v>17</v>
      </c>
      <c r="R3299">
        <v>19</v>
      </c>
      <c r="S3299">
        <v>57</v>
      </c>
      <c r="T3299">
        <v>4</v>
      </c>
      <c r="U3299">
        <v>22</v>
      </c>
      <c r="V3299">
        <v>6</v>
      </c>
      <c r="W3299">
        <v>25</v>
      </c>
      <c r="X3299">
        <v>2</v>
      </c>
      <c r="Y3299">
        <v>163</v>
      </c>
      <c r="Z3299">
        <v>10</v>
      </c>
      <c r="AA3299">
        <v>17</v>
      </c>
      <c r="AB3299">
        <v>10</v>
      </c>
      <c r="AC3299">
        <v>0</v>
      </c>
      <c r="AD3299">
        <v>3</v>
      </c>
      <c r="AE3299">
        <v>0</v>
      </c>
      <c r="AF3299">
        <v>0</v>
      </c>
      <c r="AG3299">
        <v>0</v>
      </c>
      <c r="AH3299">
        <v>3</v>
      </c>
      <c r="AI3299">
        <v>0</v>
      </c>
      <c r="AJ3299">
        <v>1</v>
      </c>
      <c r="AK3299">
        <v>3</v>
      </c>
      <c r="AL3299">
        <v>1</v>
      </c>
      <c r="AM3299">
        <v>0</v>
      </c>
      <c r="AN3299">
        <v>1</v>
      </c>
      <c r="AT3299">
        <v>0</v>
      </c>
      <c r="AU3299">
        <v>9</v>
      </c>
      <c r="AV3299">
        <v>373</v>
      </c>
      <c r="AW3299">
        <v>373</v>
      </c>
      <c r="AX3299">
        <v>674</v>
      </c>
      <c r="BA3299">
        <v>1</v>
      </c>
      <c r="BC3299" t="s">
        <v>6701</v>
      </c>
      <c r="BD3299" s="4">
        <v>43283.134444444448</v>
      </c>
      <c r="BE3299" s="4">
        <v>43283.143460648149</v>
      </c>
      <c r="BF3299" s="4">
        <v>43283.143460648149</v>
      </c>
      <c r="BG3299" t="s">
        <v>373</v>
      </c>
      <c r="BH3299" t="s">
        <v>374</v>
      </c>
      <c r="BI3299" t="s">
        <v>85</v>
      </c>
    </row>
    <row r="3300" spans="1:61" x14ac:dyDescent="0.3">
      <c r="A3300" t="str">
        <f>"202428E0300"</f>
        <v>202428E0300</v>
      </c>
      <c r="B3300" s="2" t="s">
        <v>6702</v>
      </c>
      <c r="C3300">
        <v>20</v>
      </c>
      <c r="D3300" t="s">
        <v>79</v>
      </c>
      <c r="E3300">
        <v>15</v>
      </c>
      <c r="F3300" t="s">
        <v>6336</v>
      </c>
      <c r="G3300">
        <v>2428</v>
      </c>
      <c r="H3300">
        <v>3</v>
      </c>
      <c r="I3300" t="s">
        <v>145</v>
      </c>
      <c r="J3300">
        <v>0</v>
      </c>
      <c r="K3300">
        <v>2</v>
      </c>
      <c r="L3300">
        <v>2</v>
      </c>
      <c r="M3300">
        <v>317</v>
      </c>
      <c r="N3300">
        <v>424</v>
      </c>
      <c r="O3300">
        <v>12</v>
      </c>
      <c r="P3300">
        <v>427</v>
      </c>
      <c r="Q3300">
        <v>16</v>
      </c>
      <c r="R3300">
        <v>25</v>
      </c>
      <c r="S3300">
        <v>61</v>
      </c>
      <c r="T3300">
        <v>12</v>
      </c>
      <c r="U3300">
        <v>35</v>
      </c>
      <c r="V3300">
        <v>10</v>
      </c>
      <c r="W3300">
        <v>40</v>
      </c>
      <c r="X3300">
        <v>24</v>
      </c>
      <c r="Y3300">
        <v>153</v>
      </c>
      <c r="Z3300">
        <v>0</v>
      </c>
      <c r="AA3300">
        <v>0</v>
      </c>
      <c r="AB3300">
        <v>6</v>
      </c>
      <c r="AC3300">
        <v>0</v>
      </c>
      <c r="AD3300">
        <v>0</v>
      </c>
      <c r="AE3300">
        <v>0</v>
      </c>
      <c r="AF3300">
        <v>0</v>
      </c>
      <c r="AG3300">
        <v>2</v>
      </c>
      <c r="AH3300">
        <v>1</v>
      </c>
      <c r="AI3300">
        <v>0</v>
      </c>
      <c r="AJ3300">
        <v>0</v>
      </c>
      <c r="AK3300">
        <v>0</v>
      </c>
      <c r="AL3300">
        <v>0</v>
      </c>
      <c r="AM3300">
        <v>60</v>
      </c>
      <c r="AN3300">
        <v>3</v>
      </c>
      <c r="AT3300">
        <v>0</v>
      </c>
      <c r="AU3300">
        <v>16</v>
      </c>
      <c r="AV3300">
        <v>427</v>
      </c>
      <c r="AW3300">
        <v>464</v>
      </c>
      <c r="AX3300">
        <v>723</v>
      </c>
      <c r="BA3300">
        <v>1</v>
      </c>
      <c r="BC3300" t="s">
        <v>6703</v>
      </c>
      <c r="BD3300" s="4">
        <v>43283.234027777777</v>
      </c>
      <c r="BE3300" s="4">
        <v>43283.270428240743</v>
      </c>
      <c r="BF3300" s="4">
        <v>43283.270428240743</v>
      </c>
      <c r="BG3300" t="s">
        <v>83</v>
      </c>
      <c r="BH3300" t="s">
        <v>84</v>
      </c>
      <c r="BI3300" t="s">
        <v>85</v>
      </c>
    </row>
    <row r="3301" spans="1:61" x14ac:dyDescent="0.3">
      <c r="A3301" t="str">
        <f>"202428E0301"</f>
        <v>202428E0301</v>
      </c>
      <c r="B3301" s="2" t="s">
        <v>6704</v>
      </c>
      <c r="C3301">
        <v>20</v>
      </c>
      <c r="D3301" t="s">
        <v>79</v>
      </c>
      <c r="E3301">
        <v>15</v>
      </c>
      <c r="F3301" t="s">
        <v>6336</v>
      </c>
      <c r="G3301">
        <v>2428</v>
      </c>
      <c r="H3301">
        <v>3</v>
      </c>
      <c r="I3301" t="s">
        <v>145</v>
      </c>
      <c r="J3301">
        <v>1</v>
      </c>
      <c r="K3301">
        <v>2</v>
      </c>
      <c r="L3301">
        <v>2</v>
      </c>
      <c r="M3301" t="s">
        <v>100</v>
      </c>
      <c r="N3301" t="s">
        <v>100</v>
      </c>
      <c r="O3301" t="s">
        <v>100</v>
      </c>
      <c r="P3301" t="s">
        <v>100</v>
      </c>
      <c r="Q3301">
        <v>10</v>
      </c>
      <c r="R3301">
        <v>32</v>
      </c>
      <c r="S3301">
        <v>60</v>
      </c>
      <c r="T3301">
        <v>9</v>
      </c>
      <c r="U3301">
        <v>22</v>
      </c>
      <c r="V3301">
        <v>4</v>
      </c>
      <c r="W3301">
        <v>45</v>
      </c>
      <c r="X3301">
        <v>17</v>
      </c>
      <c r="Y3301">
        <v>139</v>
      </c>
      <c r="Z3301">
        <v>6</v>
      </c>
      <c r="AA3301">
        <v>18</v>
      </c>
      <c r="AB3301">
        <v>3</v>
      </c>
      <c r="AC3301">
        <v>0</v>
      </c>
      <c r="AD3301">
        <v>0</v>
      </c>
      <c r="AE3301">
        <v>0</v>
      </c>
      <c r="AF3301">
        <v>0</v>
      </c>
      <c r="AG3301">
        <v>2</v>
      </c>
      <c r="AH3301">
        <v>2</v>
      </c>
      <c r="AI3301">
        <v>0</v>
      </c>
      <c r="AJ3301">
        <v>0</v>
      </c>
      <c r="AK3301">
        <v>5</v>
      </c>
      <c r="AL3301">
        <v>2</v>
      </c>
      <c r="AM3301">
        <v>2</v>
      </c>
      <c r="AN3301" t="s">
        <v>100</v>
      </c>
      <c r="AT3301" t="s">
        <v>100</v>
      </c>
      <c r="AU3301">
        <v>37</v>
      </c>
      <c r="AV3301" t="s">
        <v>100</v>
      </c>
      <c r="AW3301">
        <v>415</v>
      </c>
      <c r="AX3301">
        <v>722</v>
      </c>
      <c r="AZ3301" t="s">
        <v>101</v>
      </c>
      <c r="BA3301">
        <v>1</v>
      </c>
      <c r="BC3301" t="s">
        <v>6705</v>
      </c>
      <c r="BD3301" s="4">
        <v>43283.220833333333</v>
      </c>
      <c r="BE3301" s="4">
        <v>43283.249085648145</v>
      </c>
      <c r="BF3301" s="4">
        <v>43283.249085648145</v>
      </c>
      <c r="BG3301" t="s">
        <v>83</v>
      </c>
      <c r="BH3301" t="s">
        <v>84</v>
      </c>
      <c r="BI3301" t="s">
        <v>85</v>
      </c>
    </row>
    <row r="3302" spans="1:61" x14ac:dyDescent="0.3">
      <c r="A3302" t="str">
        <f>"202428E0302"</f>
        <v>202428E0302</v>
      </c>
      <c r="B3302" s="2" t="s">
        <v>6706</v>
      </c>
      <c r="C3302">
        <v>20</v>
      </c>
      <c r="D3302" t="s">
        <v>79</v>
      </c>
      <c r="E3302">
        <v>15</v>
      </c>
      <c r="F3302" t="s">
        <v>6336</v>
      </c>
      <c r="G3302">
        <v>2428</v>
      </c>
      <c r="H3302">
        <v>3</v>
      </c>
      <c r="I3302" t="s">
        <v>145</v>
      </c>
      <c r="J3302">
        <v>2</v>
      </c>
      <c r="K3302">
        <v>2</v>
      </c>
      <c r="L3302">
        <v>2</v>
      </c>
      <c r="M3302">
        <v>336</v>
      </c>
      <c r="N3302">
        <v>410</v>
      </c>
      <c r="O3302">
        <v>8</v>
      </c>
      <c r="P3302">
        <v>406</v>
      </c>
      <c r="Q3302">
        <v>18</v>
      </c>
      <c r="R3302">
        <v>24</v>
      </c>
      <c r="S3302">
        <v>63</v>
      </c>
      <c r="T3302">
        <v>6</v>
      </c>
      <c r="U3302">
        <v>16</v>
      </c>
      <c r="V3302">
        <v>4</v>
      </c>
      <c r="W3302">
        <v>51</v>
      </c>
      <c r="X3302">
        <v>14</v>
      </c>
      <c r="Y3302">
        <v>155</v>
      </c>
      <c r="Z3302">
        <v>9</v>
      </c>
      <c r="AA3302">
        <v>16</v>
      </c>
      <c r="AB3302">
        <v>0</v>
      </c>
      <c r="AC3302">
        <v>1</v>
      </c>
      <c r="AD3302">
        <v>0</v>
      </c>
      <c r="AE3302">
        <v>0</v>
      </c>
      <c r="AF3302">
        <v>1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1</v>
      </c>
      <c r="AM3302">
        <v>0</v>
      </c>
      <c r="AN3302">
        <v>0</v>
      </c>
      <c r="AT3302">
        <v>0</v>
      </c>
      <c r="AU3302">
        <v>20</v>
      </c>
      <c r="AV3302" t="s">
        <v>100</v>
      </c>
      <c r="AW3302">
        <v>399</v>
      </c>
      <c r="AX3302">
        <v>722</v>
      </c>
      <c r="BA3302">
        <v>1</v>
      </c>
      <c r="BC3302" t="s">
        <v>6707</v>
      </c>
      <c r="BD3302" s="4">
        <v>43283.034490740742</v>
      </c>
      <c r="BE3302" s="4">
        <v>43283.039178240739</v>
      </c>
      <c r="BF3302" s="4">
        <v>43283.039178240739</v>
      </c>
      <c r="BG3302" t="s">
        <v>373</v>
      </c>
      <c r="BH3302" t="s">
        <v>374</v>
      </c>
      <c r="BI3302" t="s">
        <v>85</v>
      </c>
    </row>
    <row r="3303" spans="1:61" x14ac:dyDescent="0.3">
      <c r="A3303" t="str">
        <f>"202428E0303"</f>
        <v>202428E0303</v>
      </c>
      <c r="B3303" s="2" t="s">
        <v>6708</v>
      </c>
      <c r="C3303">
        <v>20</v>
      </c>
      <c r="D3303" t="s">
        <v>79</v>
      </c>
      <c r="E3303">
        <v>15</v>
      </c>
      <c r="F3303" t="s">
        <v>6336</v>
      </c>
      <c r="G3303">
        <v>2428</v>
      </c>
      <c r="H3303">
        <v>3</v>
      </c>
      <c r="I3303" t="s">
        <v>145</v>
      </c>
      <c r="J3303">
        <v>3</v>
      </c>
      <c r="K3303">
        <v>2</v>
      </c>
      <c r="L3303">
        <v>2</v>
      </c>
      <c r="M3303">
        <v>324</v>
      </c>
      <c r="N3303">
        <v>421</v>
      </c>
      <c r="O3303">
        <v>6</v>
      </c>
      <c r="P3303">
        <v>427</v>
      </c>
      <c r="Q3303">
        <v>13</v>
      </c>
      <c r="R3303">
        <v>28</v>
      </c>
      <c r="S3303">
        <v>56</v>
      </c>
      <c r="T3303">
        <v>3</v>
      </c>
      <c r="U3303">
        <v>17</v>
      </c>
      <c r="V3303">
        <v>5</v>
      </c>
      <c r="W3303">
        <v>47</v>
      </c>
      <c r="X3303">
        <v>23</v>
      </c>
      <c r="Y3303">
        <v>154</v>
      </c>
      <c r="Z3303">
        <v>14</v>
      </c>
      <c r="AA3303">
        <v>8</v>
      </c>
      <c r="AB3303">
        <v>11</v>
      </c>
      <c r="AC3303">
        <v>4</v>
      </c>
      <c r="AD3303">
        <v>1</v>
      </c>
      <c r="AE3303">
        <v>1</v>
      </c>
      <c r="AF3303">
        <v>0</v>
      </c>
      <c r="AG3303">
        <v>0</v>
      </c>
      <c r="AH3303">
        <v>1</v>
      </c>
      <c r="AI3303">
        <v>0</v>
      </c>
      <c r="AJ3303">
        <v>0</v>
      </c>
      <c r="AK3303">
        <v>9</v>
      </c>
      <c r="AL3303">
        <v>3</v>
      </c>
      <c r="AM3303">
        <v>0</v>
      </c>
      <c r="AN3303">
        <v>0</v>
      </c>
      <c r="AT3303">
        <v>0</v>
      </c>
      <c r="AU3303">
        <v>29</v>
      </c>
      <c r="AV3303">
        <v>427</v>
      </c>
      <c r="AW3303">
        <v>427</v>
      </c>
      <c r="AX3303">
        <v>722</v>
      </c>
      <c r="BA3303">
        <v>1</v>
      </c>
      <c r="BC3303" t="s">
        <v>6709</v>
      </c>
      <c r="BD3303" s="4">
        <v>43283.23541666667</v>
      </c>
      <c r="BE3303" s="4">
        <v>43283.260335648149</v>
      </c>
      <c r="BF3303" s="4">
        <v>43283.260335648149</v>
      </c>
      <c r="BG3303" t="s">
        <v>83</v>
      </c>
      <c r="BH3303" t="s">
        <v>84</v>
      </c>
      <c r="BI3303" t="s">
        <v>85</v>
      </c>
    </row>
    <row r="3304" spans="1:61" x14ac:dyDescent="0.3">
      <c r="A3304" t="str">
        <f>"202428E0304"</f>
        <v>202428E0304</v>
      </c>
      <c r="B3304" s="2" t="s">
        <v>6710</v>
      </c>
      <c r="C3304">
        <v>20</v>
      </c>
      <c r="D3304" t="s">
        <v>79</v>
      </c>
      <c r="E3304">
        <v>15</v>
      </c>
      <c r="F3304" t="s">
        <v>6336</v>
      </c>
      <c r="G3304">
        <v>2428</v>
      </c>
      <c r="H3304">
        <v>3</v>
      </c>
      <c r="I3304" t="s">
        <v>145</v>
      </c>
      <c r="J3304">
        <v>4</v>
      </c>
      <c r="K3304">
        <v>2</v>
      </c>
      <c r="L3304">
        <v>2</v>
      </c>
      <c r="M3304">
        <v>314</v>
      </c>
      <c r="N3304">
        <v>430</v>
      </c>
      <c r="O3304">
        <v>7</v>
      </c>
      <c r="P3304">
        <v>429</v>
      </c>
      <c r="Q3304">
        <v>18</v>
      </c>
      <c r="R3304">
        <v>26</v>
      </c>
      <c r="S3304">
        <v>62</v>
      </c>
      <c r="T3304">
        <v>8</v>
      </c>
      <c r="U3304">
        <v>31</v>
      </c>
      <c r="V3304">
        <v>8</v>
      </c>
      <c r="W3304">
        <v>30</v>
      </c>
      <c r="X3304">
        <v>17</v>
      </c>
      <c r="Y3304">
        <v>163</v>
      </c>
      <c r="Z3304">
        <v>7</v>
      </c>
      <c r="AA3304">
        <v>19</v>
      </c>
      <c r="AB3304">
        <v>6</v>
      </c>
      <c r="AC3304">
        <v>0</v>
      </c>
      <c r="AD3304">
        <v>1</v>
      </c>
      <c r="AE3304">
        <v>1</v>
      </c>
      <c r="AF3304">
        <v>1</v>
      </c>
      <c r="AG3304">
        <v>0</v>
      </c>
      <c r="AH3304">
        <v>2</v>
      </c>
      <c r="AI3304">
        <v>0</v>
      </c>
      <c r="AJ3304">
        <v>0</v>
      </c>
      <c r="AK3304">
        <v>6</v>
      </c>
      <c r="AL3304">
        <v>1</v>
      </c>
      <c r="AM3304">
        <v>0</v>
      </c>
      <c r="AN3304">
        <v>2</v>
      </c>
      <c r="AT3304">
        <v>0</v>
      </c>
      <c r="AU3304">
        <v>20</v>
      </c>
      <c r="AV3304">
        <v>420</v>
      </c>
      <c r="AW3304">
        <v>429</v>
      </c>
      <c r="AX3304">
        <v>722</v>
      </c>
      <c r="BA3304">
        <v>1</v>
      </c>
      <c r="BC3304" t="s">
        <v>6711</v>
      </c>
      <c r="BD3304" s="4">
        <v>43283.010092592594</v>
      </c>
      <c r="BE3304" s="4">
        <v>43283.016979166663</v>
      </c>
      <c r="BF3304" s="4">
        <v>43283.016979166663</v>
      </c>
      <c r="BG3304" t="s">
        <v>373</v>
      </c>
      <c r="BH3304" t="s">
        <v>374</v>
      </c>
      <c r="BI3304" t="s">
        <v>85</v>
      </c>
    </row>
    <row r="3305" spans="1:61" x14ac:dyDescent="0.3">
      <c r="A3305" t="str">
        <f>"202428E0305"</f>
        <v>202428E0305</v>
      </c>
      <c r="B3305" s="2" t="s">
        <v>6712</v>
      </c>
      <c r="C3305">
        <v>20</v>
      </c>
      <c r="D3305" t="s">
        <v>79</v>
      </c>
      <c r="E3305">
        <v>15</v>
      </c>
      <c r="F3305" t="s">
        <v>6336</v>
      </c>
      <c r="G3305">
        <v>2428</v>
      </c>
      <c r="H3305">
        <v>3</v>
      </c>
      <c r="I3305" t="s">
        <v>145</v>
      </c>
      <c r="J3305">
        <v>5</v>
      </c>
      <c r="K3305">
        <v>2</v>
      </c>
      <c r="L3305">
        <v>2</v>
      </c>
      <c r="M3305">
        <v>325</v>
      </c>
      <c r="N3305">
        <v>420</v>
      </c>
      <c r="O3305">
        <v>9</v>
      </c>
      <c r="P3305" t="s">
        <v>100</v>
      </c>
      <c r="Q3305">
        <v>15</v>
      </c>
      <c r="R3305">
        <v>24</v>
      </c>
      <c r="S3305">
        <v>61</v>
      </c>
      <c r="T3305">
        <v>15</v>
      </c>
      <c r="U3305">
        <v>20</v>
      </c>
      <c r="V3305">
        <v>9</v>
      </c>
      <c r="W3305">
        <v>44</v>
      </c>
      <c r="X3305">
        <v>16</v>
      </c>
      <c r="Y3305">
        <v>161</v>
      </c>
      <c r="Z3305">
        <v>5</v>
      </c>
      <c r="AA3305">
        <v>9</v>
      </c>
      <c r="AB3305">
        <v>1</v>
      </c>
      <c r="AC3305">
        <v>1</v>
      </c>
      <c r="AD3305">
        <v>0</v>
      </c>
      <c r="AE3305">
        <v>0</v>
      </c>
      <c r="AF3305">
        <v>0</v>
      </c>
      <c r="AG3305">
        <v>1</v>
      </c>
      <c r="AH3305">
        <v>1</v>
      </c>
      <c r="AI3305">
        <v>1</v>
      </c>
      <c r="AJ3305">
        <v>0</v>
      </c>
      <c r="AK3305">
        <v>4</v>
      </c>
      <c r="AL3305">
        <v>1</v>
      </c>
      <c r="AM3305">
        <v>0</v>
      </c>
      <c r="AN3305">
        <v>0</v>
      </c>
      <c r="AT3305">
        <v>0</v>
      </c>
      <c r="AU3305">
        <v>31</v>
      </c>
      <c r="AV3305">
        <v>420</v>
      </c>
      <c r="AW3305">
        <v>420</v>
      </c>
      <c r="AX3305">
        <v>722</v>
      </c>
      <c r="BA3305">
        <v>1</v>
      </c>
      <c r="BC3305" t="s">
        <v>6713</v>
      </c>
      <c r="BD3305" s="4">
        <v>43282.993148148147</v>
      </c>
      <c r="BE3305" s="4">
        <v>43282.997754629629</v>
      </c>
      <c r="BF3305" s="4">
        <v>43282.997754629629</v>
      </c>
      <c r="BG3305" t="s">
        <v>373</v>
      </c>
      <c r="BH3305" t="s">
        <v>374</v>
      </c>
      <c r="BI3305" t="s">
        <v>85</v>
      </c>
    </row>
    <row r="3306" spans="1:61" x14ac:dyDescent="0.3">
      <c r="A3306" t="str">
        <f>"202428E0306"</f>
        <v>202428E0306</v>
      </c>
      <c r="B3306" s="2" t="s">
        <v>6714</v>
      </c>
      <c r="C3306">
        <v>20</v>
      </c>
      <c r="D3306" t="s">
        <v>79</v>
      </c>
      <c r="E3306">
        <v>15</v>
      </c>
      <c r="F3306" t="s">
        <v>6336</v>
      </c>
      <c r="G3306">
        <v>2428</v>
      </c>
      <c r="H3306">
        <v>3</v>
      </c>
      <c r="I3306" t="s">
        <v>145</v>
      </c>
      <c r="J3306">
        <v>6</v>
      </c>
      <c r="K3306">
        <v>2</v>
      </c>
      <c r="L3306">
        <v>2</v>
      </c>
      <c r="M3306">
        <v>343</v>
      </c>
      <c r="N3306">
        <v>402</v>
      </c>
      <c r="O3306">
        <v>7</v>
      </c>
      <c r="P3306">
        <v>402</v>
      </c>
      <c r="Q3306">
        <v>13</v>
      </c>
      <c r="R3306">
        <v>30</v>
      </c>
      <c r="S3306">
        <v>65</v>
      </c>
      <c r="T3306">
        <v>8</v>
      </c>
      <c r="U3306">
        <v>25</v>
      </c>
      <c r="V3306">
        <v>5</v>
      </c>
      <c r="W3306">
        <v>31</v>
      </c>
      <c r="X3306">
        <v>25</v>
      </c>
      <c r="Y3306">
        <v>144</v>
      </c>
      <c r="Z3306">
        <v>5</v>
      </c>
      <c r="AA3306">
        <v>13</v>
      </c>
      <c r="AB3306">
        <v>6</v>
      </c>
      <c r="AC3306">
        <v>1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7</v>
      </c>
      <c r="AL3306">
        <v>2</v>
      </c>
      <c r="AM3306">
        <v>1</v>
      </c>
      <c r="AN3306">
        <v>3</v>
      </c>
      <c r="AT3306">
        <v>0</v>
      </c>
      <c r="AU3306">
        <v>18</v>
      </c>
      <c r="AV3306">
        <v>402</v>
      </c>
      <c r="AW3306">
        <v>402</v>
      </c>
      <c r="AX3306">
        <v>722</v>
      </c>
      <c r="BA3306">
        <v>1</v>
      </c>
      <c r="BC3306" t="s">
        <v>6715</v>
      </c>
      <c r="BD3306" s="4">
        <v>43283.025671296295</v>
      </c>
      <c r="BE3306" s="4">
        <v>43283.030011574076</v>
      </c>
      <c r="BF3306" s="4">
        <v>43283.030011574076</v>
      </c>
      <c r="BG3306" t="s">
        <v>373</v>
      </c>
      <c r="BH3306" t="s">
        <v>374</v>
      </c>
      <c r="BI3306" t="s">
        <v>85</v>
      </c>
    </row>
    <row r="3307" spans="1:61" x14ac:dyDescent="0.3">
      <c r="A3307" t="str">
        <f>"202428E0400"</f>
        <v>202428E0400</v>
      </c>
      <c r="B3307" s="2" t="s">
        <v>6716</v>
      </c>
      <c r="C3307">
        <v>20</v>
      </c>
      <c r="D3307" t="s">
        <v>79</v>
      </c>
      <c r="E3307">
        <v>15</v>
      </c>
      <c r="F3307" t="s">
        <v>6336</v>
      </c>
      <c r="G3307">
        <v>2428</v>
      </c>
      <c r="H3307">
        <v>4</v>
      </c>
      <c r="I3307" t="s">
        <v>145</v>
      </c>
      <c r="J3307">
        <v>0</v>
      </c>
      <c r="K3307">
        <v>2</v>
      </c>
      <c r="L3307">
        <v>2</v>
      </c>
      <c r="M3307">
        <v>237</v>
      </c>
      <c r="N3307">
        <v>723</v>
      </c>
      <c r="O3307">
        <v>8</v>
      </c>
      <c r="P3307">
        <v>486</v>
      </c>
      <c r="Q3307">
        <v>18</v>
      </c>
      <c r="R3307">
        <v>21</v>
      </c>
      <c r="S3307">
        <v>32</v>
      </c>
      <c r="T3307">
        <v>7</v>
      </c>
      <c r="U3307">
        <v>23</v>
      </c>
      <c r="V3307">
        <v>4</v>
      </c>
      <c r="W3307">
        <v>43</v>
      </c>
      <c r="X3307">
        <v>5</v>
      </c>
      <c r="Y3307">
        <v>222</v>
      </c>
      <c r="Z3307">
        <v>9</v>
      </c>
      <c r="AA3307">
        <v>7</v>
      </c>
      <c r="AB3307">
        <v>2</v>
      </c>
      <c r="AC3307">
        <v>0</v>
      </c>
      <c r="AD3307">
        <v>0</v>
      </c>
      <c r="AE3307">
        <v>0</v>
      </c>
      <c r="AF3307">
        <v>7</v>
      </c>
      <c r="AG3307">
        <v>0</v>
      </c>
      <c r="AH3307">
        <v>7</v>
      </c>
      <c r="AI3307">
        <v>0</v>
      </c>
      <c r="AJ3307">
        <v>0</v>
      </c>
      <c r="AK3307">
        <v>6</v>
      </c>
      <c r="AL3307">
        <v>2</v>
      </c>
      <c r="AM3307">
        <v>2</v>
      </c>
      <c r="AN3307">
        <v>0</v>
      </c>
      <c r="AT3307">
        <v>46</v>
      </c>
      <c r="AU3307">
        <v>23</v>
      </c>
      <c r="AV3307">
        <v>283</v>
      </c>
      <c r="AW3307">
        <v>486</v>
      </c>
      <c r="AX3307">
        <v>700</v>
      </c>
      <c r="BA3307">
        <v>1</v>
      </c>
      <c r="BC3307" t="s">
        <v>6717</v>
      </c>
      <c r="BD3307" s="4">
        <v>43283.23333333333</v>
      </c>
      <c r="BE3307" s="4">
        <v>43283.259143518517</v>
      </c>
      <c r="BF3307" s="4">
        <v>43283.259143518517</v>
      </c>
      <c r="BG3307" t="s">
        <v>83</v>
      </c>
      <c r="BH3307" t="s">
        <v>84</v>
      </c>
      <c r="BI3307" t="s">
        <v>85</v>
      </c>
    </row>
    <row r="3308" spans="1:61" x14ac:dyDescent="0.3">
      <c r="A3308" t="str">
        <f>"202428E0401"</f>
        <v>202428E0401</v>
      </c>
      <c r="B3308" s="2" t="s">
        <v>6718</v>
      </c>
      <c r="C3308">
        <v>20</v>
      </c>
      <c r="D3308" t="s">
        <v>79</v>
      </c>
      <c r="E3308">
        <v>15</v>
      </c>
      <c r="F3308" t="s">
        <v>6336</v>
      </c>
      <c r="G3308">
        <v>2428</v>
      </c>
      <c r="H3308">
        <v>4</v>
      </c>
      <c r="I3308" t="s">
        <v>145</v>
      </c>
      <c r="J3308">
        <v>1</v>
      </c>
      <c r="K3308">
        <v>2</v>
      </c>
      <c r="L3308">
        <v>2</v>
      </c>
      <c r="M3308">
        <v>312</v>
      </c>
      <c r="N3308">
        <v>411</v>
      </c>
      <c r="O3308">
        <v>5</v>
      </c>
      <c r="P3308">
        <v>411</v>
      </c>
      <c r="Q3308">
        <v>13</v>
      </c>
      <c r="R3308">
        <v>30</v>
      </c>
      <c r="S3308">
        <v>31</v>
      </c>
      <c r="T3308">
        <v>4</v>
      </c>
      <c r="U3308">
        <v>32</v>
      </c>
      <c r="V3308">
        <v>3</v>
      </c>
      <c r="W3308">
        <v>47</v>
      </c>
      <c r="X3308">
        <v>7</v>
      </c>
      <c r="Y3308">
        <v>178</v>
      </c>
      <c r="Z3308">
        <v>4</v>
      </c>
      <c r="AA3308">
        <v>8</v>
      </c>
      <c r="AB3308">
        <v>10</v>
      </c>
      <c r="AC3308">
        <v>0</v>
      </c>
      <c r="AD3308">
        <v>1</v>
      </c>
      <c r="AE3308">
        <v>0</v>
      </c>
      <c r="AF3308">
        <v>0</v>
      </c>
      <c r="AG3308">
        <v>3</v>
      </c>
      <c r="AH3308">
        <v>2</v>
      </c>
      <c r="AI3308">
        <v>0</v>
      </c>
      <c r="AJ3308">
        <v>0</v>
      </c>
      <c r="AK3308">
        <v>10</v>
      </c>
      <c r="AL3308">
        <v>4</v>
      </c>
      <c r="AM3308">
        <v>0</v>
      </c>
      <c r="AN3308">
        <v>1</v>
      </c>
      <c r="AT3308">
        <v>0</v>
      </c>
      <c r="AU3308">
        <v>23</v>
      </c>
      <c r="AV3308">
        <v>411</v>
      </c>
      <c r="AW3308">
        <v>411</v>
      </c>
      <c r="AX3308">
        <v>699</v>
      </c>
      <c r="BA3308">
        <v>1</v>
      </c>
      <c r="BC3308" t="s">
        <v>6719</v>
      </c>
      <c r="BD3308" s="4">
        <v>43283.106979166667</v>
      </c>
      <c r="BE3308" s="4">
        <v>43283.118969907409</v>
      </c>
      <c r="BF3308" s="4">
        <v>43283.118969907409</v>
      </c>
      <c r="BG3308" t="s">
        <v>373</v>
      </c>
      <c r="BH3308" t="s">
        <v>374</v>
      </c>
      <c r="BI3308" t="s">
        <v>85</v>
      </c>
    </row>
    <row r="3309" spans="1:61" x14ac:dyDescent="0.3">
      <c r="A3309" t="str">
        <f>"202429B0100"</f>
        <v>202429B0100</v>
      </c>
      <c r="B3309" t="s">
        <v>6720</v>
      </c>
      <c r="C3309">
        <v>20</v>
      </c>
      <c r="D3309" t="s">
        <v>79</v>
      </c>
      <c r="E3309">
        <v>15</v>
      </c>
      <c r="F3309" t="s">
        <v>6336</v>
      </c>
      <c r="G3309">
        <v>2429</v>
      </c>
      <c r="H3309">
        <v>1</v>
      </c>
      <c r="I3309" t="s">
        <v>81</v>
      </c>
      <c r="J3309">
        <v>0</v>
      </c>
      <c r="K3309">
        <v>2</v>
      </c>
      <c r="L3309">
        <v>2</v>
      </c>
      <c r="M3309">
        <v>139</v>
      </c>
      <c r="N3309">
        <v>272</v>
      </c>
      <c r="O3309">
        <v>6</v>
      </c>
      <c r="P3309">
        <v>272</v>
      </c>
      <c r="Q3309">
        <v>2</v>
      </c>
      <c r="R3309">
        <v>11</v>
      </c>
      <c r="S3309">
        <v>86</v>
      </c>
      <c r="T3309">
        <v>9</v>
      </c>
      <c r="U3309">
        <v>14</v>
      </c>
      <c r="V3309">
        <v>2</v>
      </c>
      <c r="W3309">
        <v>35</v>
      </c>
      <c r="X3309">
        <v>12</v>
      </c>
      <c r="Y3309">
        <v>74</v>
      </c>
      <c r="Z3309">
        <v>3</v>
      </c>
      <c r="AA3309">
        <v>7</v>
      </c>
      <c r="AB3309">
        <v>4</v>
      </c>
      <c r="AC3309" t="s">
        <v>100</v>
      </c>
      <c r="AD3309" t="s">
        <v>100</v>
      </c>
      <c r="AE3309" t="s">
        <v>100</v>
      </c>
      <c r="AF3309" t="s">
        <v>100</v>
      </c>
      <c r="AG3309" t="s">
        <v>100</v>
      </c>
      <c r="AH3309">
        <v>1</v>
      </c>
      <c r="AI3309" t="s">
        <v>100</v>
      </c>
      <c r="AJ3309" t="s">
        <v>100</v>
      </c>
      <c r="AK3309" t="s">
        <v>100</v>
      </c>
      <c r="AL3309" t="s">
        <v>100</v>
      </c>
      <c r="AM3309" t="s">
        <v>100</v>
      </c>
      <c r="AN3309" t="s">
        <v>100</v>
      </c>
      <c r="AT3309" t="s">
        <v>100</v>
      </c>
      <c r="AU3309">
        <v>12</v>
      </c>
      <c r="AV3309">
        <v>272</v>
      </c>
      <c r="AW3309">
        <v>272</v>
      </c>
      <c r="AX3309">
        <v>388</v>
      </c>
      <c r="AZ3309" t="s">
        <v>101</v>
      </c>
      <c r="BA3309">
        <v>1</v>
      </c>
      <c r="BC3309" t="s">
        <v>6721</v>
      </c>
      <c r="BD3309" s="4">
        <v>43283.219444444447</v>
      </c>
      <c r="BE3309" s="4">
        <v>43283.242569444446</v>
      </c>
      <c r="BF3309" s="4">
        <v>43283.242569444446</v>
      </c>
      <c r="BG3309" t="s">
        <v>83</v>
      </c>
      <c r="BH3309" t="s">
        <v>84</v>
      </c>
      <c r="BI3309" t="s">
        <v>85</v>
      </c>
    </row>
    <row r="3310" spans="1:61" x14ac:dyDescent="0.3">
      <c r="A3310" t="str">
        <f>"202455B0100"</f>
        <v>202455B0100</v>
      </c>
      <c r="B3310" t="s">
        <v>6722</v>
      </c>
      <c r="C3310">
        <v>20</v>
      </c>
      <c r="D3310" t="s">
        <v>79</v>
      </c>
      <c r="E3310">
        <v>15</v>
      </c>
      <c r="F3310" t="s">
        <v>6336</v>
      </c>
      <c r="G3310">
        <v>2455</v>
      </c>
      <c r="H3310">
        <v>1</v>
      </c>
      <c r="I3310" t="s">
        <v>81</v>
      </c>
      <c r="J3310">
        <v>0</v>
      </c>
      <c r="K3310">
        <v>2</v>
      </c>
      <c r="L3310">
        <v>2</v>
      </c>
      <c r="M3310">
        <v>98</v>
      </c>
      <c r="N3310">
        <v>82</v>
      </c>
      <c r="O3310">
        <v>9</v>
      </c>
      <c r="P3310">
        <v>82</v>
      </c>
      <c r="Q3310">
        <v>0</v>
      </c>
      <c r="R3310">
        <v>6</v>
      </c>
      <c r="S3310">
        <v>8</v>
      </c>
      <c r="T3310">
        <v>1</v>
      </c>
      <c r="U3310">
        <v>7</v>
      </c>
      <c r="V3310">
        <v>0</v>
      </c>
      <c r="W3310">
        <v>5</v>
      </c>
      <c r="X3310">
        <v>0</v>
      </c>
      <c r="Y3310">
        <v>48</v>
      </c>
      <c r="Z3310">
        <v>0</v>
      </c>
      <c r="AA3310">
        <v>0</v>
      </c>
      <c r="AB3310">
        <v>1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1</v>
      </c>
      <c r="AI3310">
        <v>0</v>
      </c>
      <c r="AJ3310">
        <v>0</v>
      </c>
      <c r="AK3310">
        <v>2</v>
      </c>
      <c r="AL3310">
        <v>0</v>
      </c>
      <c r="AM3310">
        <v>0</v>
      </c>
      <c r="AN3310">
        <v>0</v>
      </c>
      <c r="AT3310">
        <v>0</v>
      </c>
      <c r="AU3310">
        <v>3</v>
      </c>
      <c r="AV3310">
        <v>82</v>
      </c>
      <c r="AW3310">
        <v>82</v>
      </c>
      <c r="AX3310">
        <v>158</v>
      </c>
      <c r="BA3310">
        <v>1</v>
      </c>
      <c r="BC3310" t="s">
        <v>6723</v>
      </c>
      <c r="BD3310" s="4">
        <v>43283.26666666667</v>
      </c>
      <c r="BE3310" s="4">
        <v>43283.293310185189</v>
      </c>
      <c r="BF3310" s="4">
        <v>43283.293310185189</v>
      </c>
      <c r="BG3310" t="s">
        <v>83</v>
      </c>
      <c r="BH3310" t="s">
        <v>84</v>
      </c>
      <c r="BI3310" t="s">
        <v>85</v>
      </c>
    </row>
    <row r="3311" spans="1:61" x14ac:dyDescent="0.3">
      <c r="A3311" t="str">
        <f>"200035B0100"</f>
        <v>200035B0100</v>
      </c>
      <c r="B3311" t="s">
        <v>6724</v>
      </c>
      <c r="C3311">
        <v>20</v>
      </c>
      <c r="D3311" t="s">
        <v>79</v>
      </c>
      <c r="E3311">
        <v>16</v>
      </c>
      <c r="F3311" t="s">
        <v>6725</v>
      </c>
      <c r="G3311">
        <v>35</v>
      </c>
      <c r="H3311">
        <v>1</v>
      </c>
      <c r="I3311" t="s">
        <v>81</v>
      </c>
      <c r="J3311">
        <v>0</v>
      </c>
      <c r="K3311">
        <v>1</v>
      </c>
      <c r="L3311">
        <v>2</v>
      </c>
      <c r="M3311">
        <v>175</v>
      </c>
      <c r="N3311">
        <v>661</v>
      </c>
      <c r="O3311" t="s">
        <v>100</v>
      </c>
      <c r="P3311">
        <v>485</v>
      </c>
      <c r="Q3311">
        <v>39</v>
      </c>
      <c r="R3311">
        <v>71</v>
      </c>
      <c r="S3311">
        <v>67</v>
      </c>
      <c r="T3311">
        <v>9</v>
      </c>
      <c r="U3311">
        <v>18</v>
      </c>
      <c r="V3311">
        <v>14</v>
      </c>
      <c r="W3311">
        <v>14</v>
      </c>
      <c r="X3311">
        <v>6</v>
      </c>
      <c r="Y3311">
        <v>208</v>
      </c>
      <c r="Z3311">
        <v>5</v>
      </c>
      <c r="AA3311">
        <v>7</v>
      </c>
      <c r="AC3311">
        <v>2</v>
      </c>
      <c r="AD3311">
        <v>2</v>
      </c>
      <c r="AE3311">
        <v>0</v>
      </c>
      <c r="AF3311">
        <v>0</v>
      </c>
      <c r="AK3311">
        <v>1</v>
      </c>
      <c r="AL3311">
        <v>0</v>
      </c>
      <c r="AM3311">
        <v>0</v>
      </c>
      <c r="AN3311">
        <v>1</v>
      </c>
      <c r="AO3311">
        <v>2</v>
      </c>
      <c r="AP3311">
        <v>2</v>
      </c>
      <c r="AQ3311">
        <v>0</v>
      </c>
      <c r="AR3311">
        <v>0</v>
      </c>
      <c r="AT3311">
        <v>2</v>
      </c>
      <c r="AU3311">
        <v>15</v>
      </c>
      <c r="AV3311">
        <v>485</v>
      </c>
      <c r="AW3311">
        <v>485</v>
      </c>
      <c r="AX3311">
        <v>647</v>
      </c>
      <c r="BA3311">
        <v>1</v>
      </c>
      <c r="BC3311" t="s">
        <v>6726</v>
      </c>
      <c r="BD3311" s="4">
        <v>43283.073611111111</v>
      </c>
      <c r="BE3311" s="4">
        <v>43283.165254629632</v>
      </c>
      <c r="BF3311" s="4">
        <v>43283.165254629632</v>
      </c>
      <c r="BG3311" t="s">
        <v>83</v>
      </c>
      <c r="BH3311" t="s">
        <v>84</v>
      </c>
      <c r="BI3311" t="s">
        <v>85</v>
      </c>
    </row>
    <row r="3312" spans="1:61" x14ac:dyDescent="0.3">
      <c r="A3312" t="str">
        <f>"200035C0100"</f>
        <v>200035C0100</v>
      </c>
      <c r="B3312" t="s">
        <v>6727</v>
      </c>
      <c r="C3312">
        <v>20</v>
      </c>
      <c r="D3312" t="s">
        <v>79</v>
      </c>
      <c r="E3312">
        <v>16</v>
      </c>
      <c r="F3312" t="s">
        <v>6725</v>
      </c>
      <c r="G3312">
        <v>35</v>
      </c>
      <c r="H3312">
        <v>1</v>
      </c>
      <c r="I3312" t="s">
        <v>89</v>
      </c>
      <c r="J3312">
        <v>0</v>
      </c>
      <c r="K3312">
        <v>1</v>
      </c>
      <c r="L3312">
        <v>2</v>
      </c>
      <c r="M3312">
        <v>231</v>
      </c>
      <c r="N3312">
        <v>438</v>
      </c>
      <c r="O3312" t="s">
        <v>100</v>
      </c>
      <c r="P3312">
        <v>438</v>
      </c>
      <c r="Q3312">
        <v>38</v>
      </c>
      <c r="R3312">
        <v>68</v>
      </c>
      <c r="S3312">
        <v>58</v>
      </c>
      <c r="T3312">
        <v>8</v>
      </c>
      <c r="U3312">
        <v>16</v>
      </c>
      <c r="V3312">
        <v>12</v>
      </c>
      <c r="W3312">
        <v>10</v>
      </c>
      <c r="X3312">
        <v>6</v>
      </c>
      <c r="Y3312">
        <v>191</v>
      </c>
      <c r="Z3312">
        <v>10</v>
      </c>
      <c r="AA3312">
        <v>2</v>
      </c>
      <c r="AC3312">
        <v>1</v>
      </c>
      <c r="AD3312">
        <v>1</v>
      </c>
      <c r="AE3312">
        <v>0</v>
      </c>
      <c r="AF3312">
        <v>0</v>
      </c>
      <c r="AK3312">
        <v>9</v>
      </c>
      <c r="AL3312">
        <v>1</v>
      </c>
      <c r="AM3312">
        <v>1</v>
      </c>
      <c r="AN3312">
        <v>2</v>
      </c>
      <c r="AO3312">
        <v>0</v>
      </c>
      <c r="AP3312">
        <v>0</v>
      </c>
      <c r="AQ3312">
        <v>0</v>
      </c>
      <c r="AR3312">
        <v>0</v>
      </c>
      <c r="AT3312">
        <v>0</v>
      </c>
      <c r="AU3312">
        <v>12</v>
      </c>
      <c r="AV3312" t="s">
        <v>100</v>
      </c>
      <c r="AW3312">
        <v>446</v>
      </c>
      <c r="AX3312">
        <v>647</v>
      </c>
      <c r="BA3312">
        <v>1</v>
      </c>
      <c r="BC3312" t="s">
        <v>6728</v>
      </c>
      <c r="BD3312" s="4">
        <v>43283.072916666664</v>
      </c>
      <c r="BE3312" s="4">
        <v>43283.291539351849</v>
      </c>
      <c r="BF3312" s="4">
        <v>43283.291539351849</v>
      </c>
      <c r="BG3312" t="s">
        <v>83</v>
      </c>
      <c r="BH3312" t="s">
        <v>84</v>
      </c>
      <c r="BI3312" t="s">
        <v>85</v>
      </c>
    </row>
    <row r="3313" spans="1:61" x14ac:dyDescent="0.3">
      <c r="A3313" t="str">
        <f>"200036B0100"</f>
        <v>200036B0100</v>
      </c>
      <c r="B3313" t="s">
        <v>6729</v>
      </c>
      <c r="C3313">
        <v>20</v>
      </c>
      <c r="D3313" t="s">
        <v>79</v>
      </c>
      <c r="E3313">
        <v>16</v>
      </c>
      <c r="F3313" t="s">
        <v>6725</v>
      </c>
      <c r="G3313">
        <v>36</v>
      </c>
      <c r="H3313">
        <v>1</v>
      </c>
      <c r="I3313" t="s">
        <v>81</v>
      </c>
      <c r="J3313">
        <v>0</v>
      </c>
      <c r="K3313">
        <v>1</v>
      </c>
      <c r="L3313">
        <v>2</v>
      </c>
      <c r="M3313">
        <v>277</v>
      </c>
      <c r="N3313">
        <v>340</v>
      </c>
      <c r="O3313">
        <v>0</v>
      </c>
      <c r="P3313">
        <v>338</v>
      </c>
      <c r="Q3313">
        <v>18</v>
      </c>
      <c r="R3313">
        <v>28</v>
      </c>
      <c r="S3313">
        <v>60</v>
      </c>
      <c r="T3313">
        <v>12</v>
      </c>
      <c r="U3313">
        <v>22</v>
      </c>
      <c r="V3313">
        <v>4</v>
      </c>
      <c r="W3313">
        <v>7</v>
      </c>
      <c r="X3313">
        <v>3</v>
      </c>
      <c r="Y3313">
        <v>156</v>
      </c>
      <c r="Z3313">
        <v>5</v>
      </c>
      <c r="AA3313">
        <v>2</v>
      </c>
      <c r="AC3313">
        <v>0</v>
      </c>
      <c r="AD3313">
        <v>1</v>
      </c>
      <c r="AE3313">
        <v>0</v>
      </c>
      <c r="AF3313">
        <v>0</v>
      </c>
      <c r="AK3313">
        <v>4</v>
      </c>
      <c r="AL3313">
        <v>3</v>
      </c>
      <c r="AM3313">
        <v>0</v>
      </c>
      <c r="AN3313">
        <v>0</v>
      </c>
      <c r="AO3313">
        <v>0</v>
      </c>
      <c r="AP3313">
        <v>2</v>
      </c>
      <c r="AQ3313">
        <v>0</v>
      </c>
      <c r="AR3313">
        <v>0</v>
      </c>
      <c r="AT3313">
        <v>0</v>
      </c>
      <c r="AU3313">
        <v>11</v>
      </c>
      <c r="AV3313">
        <v>338</v>
      </c>
      <c r="AW3313">
        <v>338</v>
      </c>
      <c r="AX3313">
        <v>603</v>
      </c>
      <c r="BA3313">
        <v>1</v>
      </c>
      <c r="BC3313" t="s">
        <v>6730</v>
      </c>
      <c r="BD3313" s="4">
        <v>43282.965752314813</v>
      </c>
      <c r="BE3313" s="4">
        <v>43282.969687500001</v>
      </c>
      <c r="BF3313" s="4">
        <v>43282.969687500001</v>
      </c>
      <c r="BG3313" t="s">
        <v>373</v>
      </c>
      <c r="BH3313" t="s">
        <v>374</v>
      </c>
      <c r="BI3313" t="s">
        <v>85</v>
      </c>
    </row>
    <row r="3314" spans="1:61" x14ac:dyDescent="0.3">
      <c r="A3314" t="str">
        <f>"200036C0100"</f>
        <v>200036C0100</v>
      </c>
      <c r="B3314" t="s">
        <v>6731</v>
      </c>
      <c r="C3314">
        <v>20</v>
      </c>
      <c r="D3314" t="s">
        <v>79</v>
      </c>
      <c r="E3314">
        <v>16</v>
      </c>
      <c r="F3314" t="s">
        <v>6725</v>
      </c>
      <c r="G3314">
        <v>36</v>
      </c>
      <c r="H3314">
        <v>1</v>
      </c>
      <c r="I3314" t="s">
        <v>89</v>
      </c>
      <c r="J3314">
        <v>0</v>
      </c>
      <c r="K3314">
        <v>1</v>
      </c>
      <c r="L3314">
        <v>2</v>
      </c>
      <c r="M3314">
        <v>211</v>
      </c>
      <c r="N3314">
        <v>412</v>
      </c>
      <c r="O3314">
        <v>0</v>
      </c>
      <c r="P3314" t="s">
        <v>100</v>
      </c>
      <c r="Q3314">
        <v>32</v>
      </c>
      <c r="R3314">
        <v>55</v>
      </c>
      <c r="S3314">
        <v>77</v>
      </c>
      <c r="T3314">
        <v>12</v>
      </c>
      <c r="U3314">
        <v>25</v>
      </c>
      <c r="V3314">
        <v>9</v>
      </c>
      <c r="W3314">
        <v>10</v>
      </c>
      <c r="X3314">
        <v>3</v>
      </c>
      <c r="Y3314">
        <v>148</v>
      </c>
      <c r="Z3314">
        <v>4</v>
      </c>
      <c r="AA3314">
        <v>1</v>
      </c>
      <c r="AC3314">
        <v>3</v>
      </c>
      <c r="AD3314">
        <v>1</v>
      </c>
      <c r="AE3314">
        <v>0</v>
      </c>
      <c r="AF3314">
        <v>1</v>
      </c>
      <c r="AK3314">
        <v>10</v>
      </c>
      <c r="AL3314">
        <v>3</v>
      </c>
      <c r="AM3314">
        <v>0</v>
      </c>
      <c r="AN3314">
        <v>3</v>
      </c>
      <c r="AO3314">
        <v>0</v>
      </c>
      <c r="AP3314">
        <v>1</v>
      </c>
      <c r="AQ3314">
        <v>1</v>
      </c>
      <c r="AR3314">
        <v>0</v>
      </c>
      <c r="AT3314">
        <v>1</v>
      </c>
      <c r="AU3314">
        <v>13</v>
      </c>
      <c r="AV3314">
        <v>413</v>
      </c>
      <c r="AW3314">
        <v>413</v>
      </c>
      <c r="AX3314">
        <v>602</v>
      </c>
      <c r="BA3314">
        <v>1</v>
      </c>
      <c r="BC3314" t="s">
        <v>6732</v>
      </c>
      <c r="BD3314" s="4">
        <v>43282.967175925929</v>
      </c>
      <c r="BE3314" s="4">
        <v>43282.975081018521</v>
      </c>
      <c r="BF3314" s="4">
        <v>43282.975081018521</v>
      </c>
      <c r="BG3314" t="s">
        <v>373</v>
      </c>
      <c r="BH3314" t="s">
        <v>374</v>
      </c>
      <c r="BI3314" t="s">
        <v>85</v>
      </c>
    </row>
    <row r="3315" spans="1:61" x14ac:dyDescent="0.3">
      <c r="A3315" t="str">
        <f>"200036C0200"</f>
        <v>200036C0200</v>
      </c>
      <c r="B3315" t="s">
        <v>6733</v>
      </c>
      <c r="C3315">
        <v>20</v>
      </c>
      <c r="D3315" t="s">
        <v>79</v>
      </c>
      <c r="E3315">
        <v>16</v>
      </c>
      <c r="F3315" t="s">
        <v>6725</v>
      </c>
      <c r="G3315">
        <v>36</v>
      </c>
      <c r="H3315">
        <v>2</v>
      </c>
      <c r="I3315" t="s">
        <v>89</v>
      </c>
      <c r="J3315">
        <v>0</v>
      </c>
      <c r="K3315">
        <v>1</v>
      </c>
      <c r="L3315">
        <v>2</v>
      </c>
      <c r="M3315">
        <v>231</v>
      </c>
      <c r="N3315">
        <v>394</v>
      </c>
      <c r="O3315">
        <v>0</v>
      </c>
      <c r="P3315">
        <v>394</v>
      </c>
      <c r="Q3315">
        <v>33</v>
      </c>
      <c r="R3315">
        <v>38</v>
      </c>
      <c r="S3315">
        <v>50</v>
      </c>
      <c r="T3315">
        <v>5</v>
      </c>
      <c r="U3315">
        <v>17</v>
      </c>
      <c r="V3315">
        <v>9</v>
      </c>
      <c r="W3315">
        <v>9</v>
      </c>
      <c r="X3315">
        <v>5</v>
      </c>
      <c r="Y3315">
        <v>186</v>
      </c>
      <c r="Z3315">
        <v>2</v>
      </c>
      <c r="AA3315">
        <v>4</v>
      </c>
      <c r="AC3315">
        <v>2</v>
      </c>
      <c r="AD3315">
        <v>1</v>
      </c>
      <c r="AE3315">
        <v>0</v>
      </c>
      <c r="AF3315">
        <v>2</v>
      </c>
      <c r="AK3315">
        <v>6</v>
      </c>
      <c r="AL3315">
        <v>5</v>
      </c>
      <c r="AM3315">
        <v>0</v>
      </c>
      <c r="AN3315">
        <v>0</v>
      </c>
      <c r="AO3315">
        <v>4</v>
      </c>
      <c r="AP3315">
        <v>2</v>
      </c>
      <c r="AQ3315">
        <v>0</v>
      </c>
      <c r="AR3315">
        <v>0</v>
      </c>
      <c r="AT3315" t="s">
        <v>100</v>
      </c>
      <c r="AU3315">
        <v>14</v>
      </c>
      <c r="AV3315">
        <v>394</v>
      </c>
      <c r="AW3315">
        <v>394</v>
      </c>
      <c r="AX3315">
        <v>602</v>
      </c>
      <c r="AZ3315" t="s">
        <v>101</v>
      </c>
      <c r="BA3315">
        <v>1</v>
      </c>
      <c r="BC3315" t="s">
        <v>6734</v>
      </c>
      <c r="BD3315" s="4">
        <v>43282.979675925926</v>
      </c>
      <c r="BE3315" s="4">
        <v>43282.984733796293</v>
      </c>
      <c r="BF3315" s="4">
        <v>43282.984733796293</v>
      </c>
      <c r="BG3315" t="s">
        <v>373</v>
      </c>
      <c r="BH3315" t="s">
        <v>374</v>
      </c>
      <c r="BI3315" t="s">
        <v>85</v>
      </c>
    </row>
    <row r="3316" spans="1:61" x14ac:dyDescent="0.3">
      <c r="A3316" t="str">
        <f>"200065B0100"</f>
        <v>200065B0100</v>
      </c>
      <c r="B3316" t="s">
        <v>6735</v>
      </c>
      <c r="C3316">
        <v>20</v>
      </c>
      <c r="D3316" t="s">
        <v>79</v>
      </c>
      <c r="E3316">
        <v>16</v>
      </c>
      <c r="F3316" t="s">
        <v>6725</v>
      </c>
      <c r="G3316">
        <v>65</v>
      </c>
      <c r="H3316">
        <v>1</v>
      </c>
      <c r="I3316" t="s">
        <v>81</v>
      </c>
      <c r="J3316">
        <v>0</v>
      </c>
      <c r="K3316">
        <v>1</v>
      </c>
      <c r="L3316">
        <v>2</v>
      </c>
      <c r="M3316">
        <v>192</v>
      </c>
      <c r="N3316">
        <v>353</v>
      </c>
      <c r="O3316">
        <v>0</v>
      </c>
      <c r="P3316">
        <v>351</v>
      </c>
      <c r="Q3316">
        <v>37</v>
      </c>
      <c r="R3316">
        <v>61</v>
      </c>
      <c r="S3316">
        <v>22</v>
      </c>
      <c r="T3316">
        <v>37</v>
      </c>
      <c r="U3316">
        <v>1</v>
      </c>
      <c r="V3316">
        <v>2</v>
      </c>
      <c r="W3316">
        <v>2</v>
      </c>
      <c r="X3316">
        <v>93</v>
      </c>
      <c r="Y3316">
        <v>37</v>
      </c>
      <c r="Z3316">
        <v>36</v>
      </c>
      <c r="AA3316">
        <v>0</v>
      </c>
      <c r="AC3316">
        <v>0</v>
      </c>
      <c r="AD3316">
        <v>0</v>
      </c>
      <c r="AE3316">
        <v>0</v>
      </c>
      <c r="AF3316">
        <v>0</v>
      </c>
      <c r="AK3316">
        <v>0</v>
      </c>
      <c r="AL3316">
        <v>0</v>
      </c>
      <c r="AM3316">
        <v>0</v>
      </c>
      <c r="AN3316">
        <v>1</v>
      </c>
      <c r="AO3316">
        <v>0</v>
      </c>
      <c r="AP3316">
        <v>0</v>
      </c>
      <c r="AQ3316">
        <v>0</v>
      </c>
      <c r="AR3316">
        <v>1</v>
      </c>
      <c r="AT3316">
        <v>0</v>
      </c>
      <c r="AU3316">
        <v>21</v>
      </c>
      <c r="AV3316">
        <v>351</v>
      </c>
      <c r="AW3316">
        <v>351</v>
      </c>
      <c r="AX3316">
        <v>524</v>
      </c>
      <c r="BA3316">
        <v>1</v>
      </c>
      <c r="BC3316" t="s">
        <v>6736</v>
      </c>
      <c r="BD3316" s="4">
        <v>43283.279861111114</v>
      </c>
      <c r="BE3316" s="4">
        <v>43283.334999999999</v>
      </c>
      <c r="BF3316" s="4">
        <v>43283.334999999999</v>
      </c>
      <c r="BG3316" t="s">
        <v>83</v>
      </c>
      <c r="BH3316" t="s">
        <v>84</v>
      </c>
      <c r="BI3316" t="s">
        <v>85</v>
      </c>
    </row>
    <row r="3317" spans="1:61" x14ac:dyDescent="0.3">
      <c r="A3317" t="str">
        <f>"200065C0100"</f>
        <v>200065C0100</v>
      </c>
      <c r="B3317" t="s">
        <v>6737</v>
      </c>
      <c r="C3317">
        <v>20</v>
      </c>
      <c r="D3317" t="s">
        <v>79</v>
      </c>
      <c r="E3317">
        <v>16</v>
      </c>
      <c r="F3317" t="s">
        <v>6725</v>
      </c>
      <c r="G3317">
        <v>65</v>
      </c>
      <c r="H3317">
        <v>1</v>
      </c>
      <c r="I3317" t="s">
        <v>89</v>
      </c>
      <c r="J3317">
        <v>0</v>
      </c>
      <c r="K3317">
        <v>1</v>
      </c>
      <c r="L3317">
        <v>2</v>
      </c>
      <c r="M3317">
        <v>223</v>
      </c>
      <c r="N3317">
        <v>331</v>
      </c>
      <c r="O3317">
        <v>0</v>
      </c>
      <c r="P3317">
        <v>330</v>
      </c>
      <c r="Q3317">
        <v>16</v>
      </c>
      <c r="R3317">
        <v>89</v>
      </c>
      <c r="S3317">
        <v>12</v>
      </c>
      <c r="T3317">
        <v>36</v>
      </c>
      <c r="U3317">
        <v>3</v>
      </c>
      <c r="V3317">
        <v>2</v>
      </c>
      <c r="W3317">
        <v>2</v>
      </c>
      <c r="X3317">
        <v>82</v>
      </c>
      <c r="Y3317">
        <v>23</v>
      </c>
      <c r="Z3317">
        <v>45</v>
      </c>
      <c r="AA3317">
        <v>0</v>
      </c>
      <c r="AC3317">
        <v>0</v>
      </c>
      <c r="AD3317">
        <v>0</v>
      </c>
      <c r="AE3317">
        <v>0</v>
      </c>
      <c r="AF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1</v>
      </c>
      <c r="AQ3317">
        <v>0</v>
      </c>
      <c r="AR3317">
        <v>0</v>
      </c>
      <c r="AT3317">
        <v>1</v>
      </c>
      <c r="AU3317">
        <v>18</v>
      </c>
      <c r="AV3317">
        <v>330</v>
      </c>
      <c r="AW3317">
        <v>330</v>
      </c>
      <c r="AX3317">
        <v>524</v>
      </c>
      <c r="BA3317">
        <v>1</v>
      </c>
      <c r="BC3317" t="s">
        <v>6738</v>
      </c>
      <c r="BD3317" s="4">
        <v>43283.104456018518</v>
      </c>
      <c r="BE3317" s="4">
        <v>43283.108124999999</v>
      </c>
      <c r="BF3317" s="4">
        <v>43283.108124999999</v>
      </c>
      <c r="BG3317" t="s">
        <v>373</v>
      </c>
      <c r="BH3317" t="s">
        <v>374</v>
      </c>
      <c r="BI3317" t="s">
        <v>85</v>
      </c>
    </row>
    <row r="3318" spans="1:61" x14ac:dyDescent="0.3">
      <c r="A3318" t="str">
        <f>"200066B0100"</f>
        <v>200066B0100</v>
      </c>
      <c r="B3318" t="s">
        <v>6739</v>
      </c>
      <c r="C3318">
        <v>20</v>
      </c>
      <c r="D3318" t="s">
        <v>79</v>
      </c>
      <c r="E3318">
        <v>16</v>
      </c>
      <c r="F3318" t="s">
        <v>6725</v>
      </c>
      <c r="G3318">
        <v>66</v>
      </c>
      <c r="H3318">
        <v>1</v>
      </c>
      <c r="I3318" t="s">
        <v>81</v>
      </c>
      <c r="J3318">
        <v>0</v>
      </c>
      <c r="K3318">
        <v>1</v>
      </c>
      <c r="L3318">
        <v>2</v>
      </c>
      <c r="M3318">
        <v>164</v>
      </c>
      <c r="N3318">
        <v>284</v>
      </c>
      <c r="O3318">
        <v>0</v>
      </c>
      <c r="P3318">
        <v>284</v>
      </c>
      <c r="Q3318">
        <v>23</v>
      </c>
      <c r="R3318">
        <v>34</v>
      </c>
      <c r="S3318">
        <v>8</v>
      </c>
      <c r="T3318">
        <v>30</v>
      </c>
      <c r="U3318">
        <v>4</v>
      </c>
      <c r="V3318">
        <v>4</v>
      </c>
      <c r="W3318">
        <v>5</v>
      </c>
      <c r="X3318">
        <v>99</v>
      </c>
      <c r="Y3318">
        <v>34</v>
      </c>
      <c r="Z3318">
        <v>23</v>
      </c>
      <c r="AA3318">
        <v>0</v>
      </c>
      <c r="AC3318">
        <v>0</v>
      </c>
      <c r="AD3318">
        <v>0</v>
      </c>
      <c r="AE3318">
        <v>0</v>
      </c>
      <c r="AF3318">
        <v>0</v>
      </c>
      <c r="AK3318">
        <v>0</v>
      </c>
      <c r="AL3318">
        <v>0</v>
      </c>
      <c r="AM3318">
        <v>1</v>
      </c>
      <c r="AN3318">
        <v>0</v>
      </c>
      <c r="AO3318">
        <v>0</v>
      </c>
      <c r="AP3318">
        <v>2</v>
      </c>
      <c r="AQ3318">
        <v>0</v>
      </c>
      <c r="AR3318">
        <v>0</v>
      </c>
      <c r="AT3318">
        <v>0</v>
      </c>
      <c r="AU3318">
        <v>17</v>
      </c>
      <c r="AV3318">
        <v>284</v>
      </c>
      <c r="AW3318">
        <v>284</v>
      </c>
      <c r="AX3318">
        <v>426</v>
      </c>
      <c r="BA3318">
        <v>1</v>
      </c>
      <c r="BC3318" t="s">
        <v>6740</v>
      </c>
      <c r="BD3318" s="4">
        <v>43282.98</v>
      </c>
      <c r="BE3318" s="4">
        <v>43282.983726851853</v>
      </c>
      <c r="BF3318" s="4">
        <v>43282.983726851853</v>
      </c>
      <c r="BG3318" t="s">
        <v>373</v>
      </c>
      <c r="BH3318" t="s">
        <v>374</v>
      </c>
      <c r="BI3318" t="s">
        <v>85</v>
      </c>
    </row>
    <row r="3319" spans="1:61" x14ac:dyDescent="0.3">
      <c r="A3319" t="str">
        <f>"200066C0100"</f>
        <v>200066C0100</v>
      </c>
      <c r="B3319" t="s">
        <v>6741</v>
      </c>
      <c r="C3319">
        <v>20</v>
      </c>
      <c r="D3319" t="s">
        <v>79</v>
      </c>
      <c r="E3319">
        <v>16</v>
      </c>
      <c r="F3319" t="s">
        <v>6725</v>
      </c>
      <c r="G3319">
        <v>66</v>
      </c>
      <c r="H3319">
        <v>1</v>
      </c>
      <c r="I3319" t="s">
        <v>89</v>
      </c>
      <c r="J3319">
        <v>0</v>
      </c>
      <c r="K3319">
        <v>1</v>
      </c>
      <c r="L3319">
        <v>2</v>
      </c>
      <c r="M3319">
        <v>184</v>
      </c>
      <c r="N3319" t="s">
        <v>100</v>
      </c>
      <c r="O3319" t="s">
        <v>100</v>
      </c>
      <c r="P3319" t="s">
        <v>100</v>
      </c>
      <c r="Q3319">
        <v>19</v>
      </c>
      <c r="R3319">
        <v>28</v>
      </c>
      <c r="S3319">
        <v>19</v>
      </c>
      <c r="T3319">
        <v>41</v>
      </c>
      <c r="U3319">
        <v>2</v>
      </c>
      <c r="V3319">
        <v>1</v>
      </c>
      <c r="W3319">
        <v>3</v>
      </c>
      <c r="X3319">
        <v>81</v>
      </c>
      <c r="Y3319">
        <v>33</v>
      </c>
      <c r="Z3319">
        <v>18</v>
      </c>
      <c r="AA3319">
        <v>1</v>
      </c>
      <c r="AC3319" t="s">
        <v>100</v>
      </c>
      <c r="AD3319" t="s">
        <v>100</v>
      </c>
      <c r="AE3319" t="s">
        <v>100</v>
      </c>
      <c r="AF3319" t="s">
        <v>100</v>
      </c>
      <c r="AK3319">
        <v>1</v>
      </c>
      <c r="AL3319" t="s">
        <v>100</v>
      </c>
      <c r="AM3319" t="s">
        <v>100</v>
      </c>
      <c r="AN3319" t="s">
        <v>100</v>
      </c>
      <c r="AO3319">
        <v>1</v>
      </c>
      <c r="AP3319">
        <v>1</v>
      </c>
      <c r="AQ3319">
        <v>1</v>
      </c>
      <c r="AR3319" t="s">
        <v>100</v>
      </c>
      <c r="AT3319" t="s">
        <v>100</v>
      </c>
      <c r="AU3319">
        <v>12</v>
      </c>
      <c r="AV3319" t="s">
        <v>100</v>
      </c>
      <c r="AW3319">
        <v>262</v>
      </c>
      <c r="AX3319">
        <v>425</v>
      </c>
      <c r="AZ3319" t="s">
        <v>101</v>
      </c>
      <c r="BA3319">
        <v>1</v>
      </c>
      <c r="BC3319" t="s">
        <v>6742</v>
      </c>
      <c r="BD3319" s="4">
        <v>43282.978171296294</v>
      </c>
      <c r="BE3319" s="4">
        <v>43282.982060185182</v>
      </c>
      <c r="BF3319" s="4">
        <v>43282.982060185182</v>
      </c>
      <c r="BG3319" t="s">
        <v>373</v>
      </c>
      <c r="BH3319" t="s">
        <v>374</v>
      </c>
      <c r="BI3319" t="s">
        <v>85</v>
      </c>
    </row>
    <row r="3320" spans="1:61" x14ac:dyDescent="0.3">
      <c r="A3320" t="str">
        <f>"200067B0100"</f>
        <v>200067B0100</v>
      </c>
      <c r="B3320" t="s">
        <v>6743</v>
      </c>
      <c r="C3320">
        <v>20</v>
      </c>
      <c r="D3320" t="s">
        <v>79</v>
      </c>
      <c r="E3320">
        <v>16</v>
      </c>
      <c r="F3320" t="s">
        <v>6725</v>
      </c>
      <c r="G3320">
        <v>67</v>
      </c>
      <c r="H3320">
        <v>1</v>
      </c>
      <c r="I3320" t="s">
        <v>81</v>
      </c>
      <c r="J3320">
        <v>0</v>
      </c>
      <c r="K3320">
        <v>2</v>
      </c>
      <c r="L3320">
        <v>2</v>
      </c>
      <c r="M3320">
        <v>276</v>
      </c>
      <c r="N3320">
        <v>363</v>
      </c>
      <c r="O3320">
        <v>0</v>
      </c>
      <c r="P3320">
        <v>363</v>
      </c>
      <c r="Q3320">
        <v>40</v>
      </c>
      <c r="R3320">
        <v>45</v>
      </c>
      <c r="S3320">
        <v>20</v>
      </c>
      <c r="T3320">
        <v>43</v>
      </c>
      <c r="U3320">
        <v>6</v>
      </c>
      <c r="V3320">
        <v>5</v>
      </c>
      <c r="W3320">
        <v>0</v>
      </c>
      <c r="X3320">
        <v>83</v>
      </c>
      <c r="Y3320">
        <v>59</v>
      </c>
      <c r="Z3320">
        <v>27</v>
      </c>
      <c r="AA3320">
        <v>0</v>
      </c>
      <c r="AC3320">
        <v>0</v>
      </c>
      <c r="AD3320">
        <v>0</v>
      </c>
      <c r="AE3320">
        <v>0</v>
      </c>
      <c r="AF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0</v>
      </c>
      <c r="AR3320">
        <v>0</v>
      </c>
      <c r="AT3320">
        <v>0</v>
      </c>
      <c r="AU3320">
        <v>20</v>
      </c>
      <c r="AV3320">
        <v>350</v>
      </c>
      <c r="AW3320">
        <v>348</v>
      </c>
      <c r="AX3320">
        <v>618</v>
      </c>
      <c r="BA3320">
        <v>1</v>
      </c>
      <c r="BC3320" t="s">
        <v>6744</v>
      </c>
      <c r="BD3320" s="4">
        <v>43283.070798611108</v>
      </c>
      <c r="BE3320" s="4">
        <v>43283.073634259257</v>
      </c>
      <c r="BF3320" s="4">
        <v>43283.073634259257</v>
      </c>
      <c r="BG3320" t="s">
        <v>373</v>
      </c>
      <c r="BH3320" t="s">
        <v>374</v>
      </c>
      <c r="BI3320" t="s">
        <v>85</v>
      </c>
    </row>
    <row r="3321" spans="1:61" x14ac:dyDescent="0.3">
      <c r="A3321" t="str">
        <f>"200070B0100"</f>
        <v>200070B0100</v>
      </c>
      <c r="B3321" t="s">
        <v>6745</v>
      </c>
      <c r="C3321">
        <v>20</v>
      </c>
      <c r="D3321" t="s">
        <v>79</v>
      </c>
      <c r="E3321">
        <v>16</v>
      </c>
      <c r="F3321" t="s">
        <v>6725</v>
      </c>
      <c r="G3321">
        <v>70</v>
      </c>
      <c r="H3321">
        <v>1</v>
      </c>
      <c r="I3321" t="s">
        <v>81</v>
      </c>
      <c r="J3321">
        <v>0</v>
      </c>
      <c r="K3321">
        <v>2</v>
      </c>
      <c r="L3321">
        <v>2</v>
      </c>
      <c r="M3321">
        <v>236</v>
      </c>
      <c r="N3321">
        <v>316</v>
      </c>
      <c r="O3321">
        <v>0</v>
      </c>
      <c r="P3321">
        <v>316</v>
      </c>
      <c r="Q3321">
        <v>35</v>
      </c>
      <c r="R3321">
        <v>17</v>
      </c>
      <c r="S3321">
        <v>36</v>
      </c>
      <c r="T3321">
        <v>5</v>
      </c>
      <c r="U3321">
        <v>23</v>
      </c>
      <c r="V3321">
        <v>6</v>
      </c>
      <c r="W3321">
        <v>6</v>
      </c>
      <c r="X3321">
        <v>4</v>
      </c>
      <c r="Y3321">
        <v>144</v>
      </c>
      <c r="Z3321">
        <v>8</v>
      </c>
      <c r="AA3321">
        <v>1</v>
      </c>
      <c r="AC3321">
        <v>0</v>
      </c>
      <c r="AD3321">
        <v>2</v>
      </c>
      <c r="AE3321">
        <v>0</v>
      </c>
      <c r="AF3321">
        <v>1</v>
      </c>
      <c r="AK3321">
        <v>4</v>
      </c>
      <c r="AL3321">
        <v>3</v>
      </c>
      <c r="AM3321">
        <v>0</v>
      </c>
      <c r="AN3321">
        <v>5</v>
      </c>
      <c r="AO3321">
        <v>0</v>
      </c>
      <c r="AP3321">
        <v>0</v>
      </c>
      <c r="AQ3321">
        <v>0</v>
      </c>
      <c r="AR3321">
        <v>0</v>
      </c>
      <c r="AT3321">
        <v>0</v>
      </c>
      <c r="AU3321">
        <v>16</v>
      </c>
      <c r="AV3321">
        <v>316</v>
      </c>
      <c r="AW3321">
        <v>316</v>
      </c>
      <c r="AX3321">
        <v>530</v>
      </c>
      <c r="BA3321">
        <v>1</v>
      </c>
      <c r="BC3321" t="s">
        <v>6746</v>
      </c>
      <c r="BD3321" s="4">
        <v>43283.087500000001</v>
      </c>
      <c r="BE3321" s="4">
        <v>43283.181319444448</v>
      </c>
      <c r="BF3321" s="4">
        <v>43283.181319444448</v>
      </c>
      <c r="BG3321" t="s">
        <v>83</v>
      </c>
      <c r="BH3321" t="s">
        <v>84</v>
      </c>
      <c r="BI3321" t="s">
        <v>85</v>
      </c>
    </row>
    <row r="3322" spans="1:61" x14ac:dyDescent="0.3">
      <c r="A3322" t="str">
        <f>"200070C0100"</f>
        <v>200070C0100</v>
      </c>
      <c r="B3322" t="s">
        <v>6747</v>
      </c>
      <c r="C3322">
        <v>20</v>
      </c>
      <c r="D3322" t="s">
        <v>79</v>
      </c>
      <c r="E3322">
        <v>16</v>
      </c>
      <c r="F3322" t="s">
        <v>6725</v>
      </c>
      <c r="G3322">
        <v>70</v>
      </c>
      <c r="H3322">
        <v>1</v>
      </c>
      <c r="I3322" t="s">
        <v>89</v>
      </c>
      <c r="J3322">
        <v>0</v>
      </c>
      <c r="K3322">
        <v>2</v>
      </c>
      <c r="L3322">
        <v>2</v>
      </c>
      <c r="M3322">
        <v>246</v>
      </c>
      <c r="N3322">
        <v>306</v>
      </c>
      <c r="O3322">
        <v>0</v>
      </c>
      <c r="P3322">
        <v>306</v>
      </c>
      <c r="Q3322">
        <v>32</v>
      </c>
      <c r="R3322">
        <v>13</v>
      </c>
      <c r="S3322">
        <v>41</v>
      </c>
      <c r="T3322">
        <v>4</v>
      </c>
      <c r="U3322">
        <v>26</v>
      </c>
      <c r="V3322">
        <v>10</v>
      </c>
      <c r="W3322">
        <v>13</v>
      </c>
      <c r="X3322">
        <v>3</v>
      </c>
      <c r="Y3322">
        <v>121</v>
      </c>
      <c r="Z3322">
        <v>12</v>
      </c>
      <c r="AA3322">
        <v>1</v>
      </c>
      <c r="AC3322">
        <v>4</v>
      </c>
      <c r="AD3322">
        <v>0</v>
      </c>
      <c r="AE3322">
        <v>0</v>
      </c>
      <c r="AF3322">
        <v>0</v>
      </c>
      <c r="AK3322">
        <v>6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0</v>
      </c>
      <c r="AR3322">
        <v>0</v>
      </c>
      <c r="AT3322">
        <v>0</v>
      </c>
      <c r="AU3322">
        <v>20</v>
      </c>
      <c r="AV3322">
        <v>306</v>
      </c>
      <c r="AW3322">
        <v>306</v>
      </c>
      <c r="AX3322">
        <v>530</v>
      </c>
      <c r="BA3322">
        <v>1</v>
      </c>
      <c r="BC3322" t="s">
        <v>6748</v>
      </c>
      <c r="BD3322" s="4">
        <v>43283.087500000001</v>
      </c>
      <c r="BE3322" s="4">
        <v>43283.318611111114</v>
      </c>
      <c r="BF3322" s="4">
        <v>43283.318611111114</v>
      </c>
      <c r="BG3322" t="s">
        <v>83</v>
      </c>
      <c r="BH3322" t="s">
        <v>84</v>
      </c>
      <c r="BI3322" t="s">
        <v>85</v>
      </c>
    </row>
    <row r="3323" spans="1:61" x14ac:dyDescent="0.3">
      <c r="A3323" t="str">
        <f>"200070C0200"</f>
        <v>200070C0200</v>
      </c>
      <c r="B3323" t="s">
        <v>6749</v>
      </c>
      <c r="C3323">
        <v>20</v>
      </c>
      <c r="D3323" t="s">
        <v>79</v>
      </c>
      <c r="E3323">
        <v>16</v>
      </c>
      <c r="F3323" t="s">
        <v>6725</v>
      </c>
      <c r="G3323">
        <v>70</v>
      </c>
      <c r="H3323">
        <v>2</v>
      </c>
      <c r="I3323" t="s">
        <v>89</v>
      </c>
      <c r="J3323">
        <v>0</v>
      </c>
      <c r="K3323">
        <v>2</v>
      </c>
      <c r="L3323">
        <v>2</v>
      </c>
      <c r="M3323">
        <v>234</v>
      </c>
      <c r="N3323">
        <v>318</v>
      </c>
      <c r="O3323">
        <v>0</v>
      </c>
      <c r="P3323">
        <v>318</v>
      </c>
      <c r="Q3323">
        <v>34</v>
      </c>
      <c r="R3323">
        <v>12</v>
      </c>
      <c r="S3323">
        <v>44</v>
      </c>
      <c r="T3323">
        <v>2</v>
      </c>
      <c r="U3323">
        <v>26</v>
      </c>
      <c r="V3323">
        <v>5</v>
      </c>
      <c r="W3323">
        <v>8</v>
      </c>
      <c r="X3323">
        <v>2</v>
      </c>
      <c r="Y3323">
        <v>142</v>
      </c>
      <c r="Z3323">
        <v>15</v>
      </c>
      <c r="AA3323">
        <v>0</v>
      </c>
      <c r="AC3323">
        <v>6</v>
      </c>
      <c r="AD3323">
        <v>3</v>
      </c>
      <c r="AE3323">
        <v>0</v>
      </c>
      <c r="AF3323">
        <v>1</v>
      </c>
      <c r="AK3323">
        <v>5</v>
      </c>
      <c r="AL3323">
        <v>2</v>
      </c>
      <c r="AM3323">
        <v>0</v>
      </c>
      <c r="AN3323">
        <v>3</v>
      </c>
      <c r="AO3323">
        <v>0</v>
      </c>
      <c r="AP3323">
        <v>0</v>
      </c>
      <c r="AQ3323">
        <v>0</v>
      </c>
      <c r="AR3323">
        <v>0</v>
      </c>
      <c r="AT3323">
        <v>0</v>
      </c>
      <c r="AU3323">
        <v>8</v>
      </c>
      <c r="AV3323">
        <v>318</v>
      </c>
      <c r="AW3323">
        <v>318</v>
      </c>
      <c r="AX3323">
        <v>530</v>
      </c>
      <c r="BA3323">
        <v>1</v>
      </c>
      <c r="BC3323" t="s">
        <v>6750</v>
      </c>
      <c r="BD3323" s="4">
        <v>43283.087500000001</v>
      </c>
      <c r="BE3323" s="4">
        <v>43283.316550925927</v>
      </c>
      <c r="BF3323" s="4">
        <v>43283.316550925927</v>
      </c>
      <c r="BG3323" t="s">
        <v>83</v>
      </c>
      <c r="BH3323" t="s">
        <v>84</v>
      </c>
      <c r="BI3323" t="s">
        <v>85</v>
      </c>
    </row>
    <row r="3324" spans="1:61" x14ac:dyDescent="0.3">
      <c r="A3324" t="str">
        <f>"200071B0100"</f>
        <v>200071B0100</v>
      </c>
      <c r="B3324" t="s">
        <v>6751</v>
      </c>
      <c r="C3324">
        <v>20</v>
      </c>
      <c r="D3324" t="s">
        <v>79</v>
      </c>
      <c r="E3324">
        <v>16</v>
      </c>
      <c r="F3324" t="s">
        <v>6725</v>
      </c>
      <c r="G3324">
        <v>71</v>
      </c>
      <c r="H3324">
        <v>1</v>
      </c>
      <c r="I3324" t="s">
        <v>81</v>
      </c>
      <c r="J3324">
        <v>0</v>
      </c>
      <c r="K3324">
        <v>2</v>
      </c>
      <c r="L3324">
        <v>2</v>
      </c>
      <c r="M3324">
        <v>218</v>
      </c>
      <c r="N3324">
        <v>477</v>
      </c>
      <c r="O3324">
        <v>0</v>
      </c>
      <c r="P3324">
        <v>259</v>
      </c>
      <c r="Q3324">
        <v>13</v>
      </c>
      <c r="R3324">
        <v>13</v>
      </c>
      <c r="S3324">
        <v>20</v>
      </c>
      <c r="T3324">
        <v>6</v>
      </c>
      <c r="U3324">
        <v>10</v>
      </c>
      <c r="V3324">
        <v>18</v>
      </c>
      <c r="W3324">
        <v>2</v>
      </c>
      <c r="X3324">
        <v>2</v>
      </c>
      <c r="Y3324">
        <v>132</v>
      </c>
      <c r="Z3324">
        <v>6</v>
      </c>
      <c r="AA3324">
        <v>0</v>
      </c>
      <c r="AC3324">
        <v>0</v>
      </c>
      <c r="AD3324">
        <v>1</v>
      </c>
      <c r="AE3324">
        <v>2</v>
      </c>
      <c r="AF3324">
        <v>0</v>
      </c>
      <c r="AK3324">
        <v>7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0</v>
      </c>
      <c r="AR3324">
        <v>0</v>
      </c>
      <c r="AT3324">
        <v>0</v>
      </c>
      <c r="AU3324">
        <v>27</v>
      </c>
      <c r="AV3324">
        <v>259</v>
      </c>
      <c r="AW3324">
        <v>259</v>
      </c>
      <c r="AX3324">
        <v>458</v>
      </c>
      <c r="BA3324">
        <v>1</v>
      </c>
      <c r="BC3324" t="s">
        <v>6752</v>
      </c>
      <c r="BD3324" s="4">
        <v>43283.087500000001</v>
      </c>
      <c r="BE3324" s="4">
        <v>43283.312939814816</v>
      </c>
      <c r="BF3324" s="4">
        <v>43283.312939814816</v>
      </c>
      <c r="BG3324" t="s">
        <v>83</v>
      </c>
      <c r="BH3324" t="s">
        <v>84</v>
      </c>
      <c r="BI3324" t="s">
        <v>85</v>
      </c>
    </row>
    <row r="3325" spans="1:61" x14ac:dyDescent="0.3">
      <c r="A3325" t="str">
        <f>"200071C0100"</f>
        <v>200071C0100</v>
      </c>
      <c r="B3325" t="s">
        <v>6753</v>
      </c>
      <c r="C3325">
        <v>20</v>
      </c>
      <c r="D3325" t="s">
        <v>79</v>
      </c>
      <c r="E3325">
        <v>16</v>
      </c>
      <c r="F3325" t="s">
        <v>6725</v>
      </c>
      <c r="G3325">
        <v>71</v>
      </c>
      <c r="H3325">
        <v>1</v>
      </c>
      <c r="I3325" t="s">
        <v>89</v>
      </c>
      <c r="J3325">
        <v>0</v>
      </c>
      <c r="K3325">
        <v>2</v>
      </c>
      <c r="L3325">
        <v>2</v>
      </c>
      <c r="M3325">
        <v>256</v>
      </c>
      <c r="N3325">
        <v>224</v>
      </c>
      <c r="O3325">
        <v>0</v>
      </c>
      <c r="P3325">
        <v>224</v>
      </c>
      <c r="Q3325">
        <v>13</v>
      </c>
      <c r="R3325">
        <v>13</v>
      </c>
      <c r="S3325">
        <v>28</v>
      </c>
      <c r="T3325">
        <v>6</v>
      </c>
      <c r="U3325">
        <v>14</v>
      </c>
      <c r="V3325">
        <v>7</v>
      </c>
      <c r="W3325">
        <v>2</v>
      </c>
      <c r="X3325">
        <v>0</v>
      </c>
      <c r="Y3325">
        <v>120</v>
      </c>
      <c r="Z3325">
        <v>5</v>
      </c>
      <c r="AA3325">
        <v>0</v>
      </c>
      <c r="AC3325">
        <v>0</v>
      </c>
      <c r="AD3325">
        <v>0</v>
      </c>
      <c r="AE3325">
        <v>0</v>
      </c>
      <c r="AF3325">
        <v>1</v>
      </c>
      <c r="AK3325">
        <v>5</v>
      </c>
      <c r="AL3325">
        <v>2</v>
      </c>
      <c r="AM3325">
        <v>0</v>
      </c>
      <c r="AN3325">
        <v>0</v>
      </c>
      <c r="AO3325">
        <v>0</v>
      </c>
      <c r="AP3325">
        <v>0</v>
      </c>
      <c r="AQ3325">
        <v>0</v>
      </c>
      <c r="AR3325">
        <v>0</v>
      </c>
      <c r="AT3325">
        <v>0</v>
      </c>
      <c r="AU3325">
        <v>8</v>
      </c>
      <c r="AV3325">
        <v>224</v>
      </c>
      <c r="AW3325">
        <v>224</v>
      </c>
      <c r="AX3325">
        <v>458</v>
      </c>
      <c r="BA3325">
        <v>1</v>
      </c>
      <c r="BC3325" t="s">
        <v>6754</v>
      </c>
      <c r="BD3325" s="4">
        <v>43283.087500000001</v>
      </c>
      <c r="BE3325" s="4">
        <v>43283.185497685183</v>
      </c>
      <c r="BF3325" s="4">
        <v>43283.185497685183</v>
      </c>
      <c r="BG3325" t="s">
        <v>83</v>
      </c>
      <c r="BH3325" t="s">
        <v>84</v>
      </c>
      <c r="BI3325" t="s">
        <v>85</v>
      </c>
    </row>
    <row r="3326" spans="1:61" x14ac:dyDescent="0.3">
      <c r="A3326" t="str">
        <f>"200072B0100"</f>
        <v>200072B0100</v>
      </c>
      <c r="B3326" t="s">
        <v>6755</v>
      </c>
      <c r="C3326">
        <v>20</v>
      </c>
      <c r="D3326" t="s">
        <v>79</v>
      </c>
      <c r="E3326">
        <v>16</v>
      </c>
      <c r="F3326" t="s">
        <v>6725</v>
      </c>
      <c r="G3326">
        <v>72</v>
      </c>
      <c r="H3326">
        <v>1</v>
      </c>
      <c r="I3326" t="s">
        <v>81</v>
      </c>
      <c r="J3326">
        <v>0</v>
      </c>
      <c r="K3326">
        <v>2</v>
      </c>
      <c r="L3326">
        <v>2</v>
      </c>
      <c r="M3326">
        <v>284</v>
      </c>
      <c r="N3326">
        <v>285</v>
      </c>
      <c r="O3326">
        <v>0</v>
      </c>
      <c r="P3326">
        <v>285</v>
      </c>
      <c r="Q3326">
        <v>32</v>
      </c>
      <c r="R3326">
        <v>12</v>
      </c>
      <c r="S3326">
        <v>38</v>
      </c>
      <c r="T3326">
        <v>5</v>
      </c>
      <c r="U3326">
        <v>19</v>
      </c>
      <c r="V3326">
        <v>6</v>
      </c>
      <c r="W3326">
        <v>7</v>
      </c>
      <c r="X3326">
        <v>3</v>
      </c>
      <c r="Y3326">
        <v>115</v>
      </c>
      <c r="Z3326">
        <v>11</v>
      </c>
      <c r="AA3326">
        <v>2</v>
      </c>
      <c r="AC3326">
        <v>2</v>
      </c>
      <c r="AD3326">
        <v>2</v>
      </c>
      <c r="AE3326">
        <v>0</v>
      </c>
      <c r="AF3326">
        <v>1</v>
      </c>
      <c r="AK3326">
        <v>12</v>
      </c>
      <c r="AL3326">
        <v>0</v>
      </c>
      <c r="AM3326">
        <v>0</v>
      </c>
      <c r="AN3326">
        <v>2</v>
      </c>
      <c r="AO3326">
        <v>0</v>
      </c>
      <c r="AP3326">
        <v>0</v>
      </c>
      <c r="AQ3326">
        <v>0</v>
      </c>
      <c r="AR3326">
        <v>0</v>
      </c>
      <c r="AT3326" t="s">
        <v>100</v>
      </c>
      <c r="AU3326">
        <v>16</v>
      </c>
      <c r="AV3326">
        <v>285</v>
      </c>
      <c r="AW3326">
        <v>285</v>
      </c>
      <c r="AX3326">
        <v>547</v>
      </c>
      <c r="AZ3326" t="s">
        <v>101</v>
      </c>
      <c r="BA3326">
        <v>1</v>
      </c>
      <c r="BC3326" t="s">
        <v>6756</v>
      </c>
      <c r="BD3326" s="4">
        <v>43283.079861111109</v>
      </c>
      <c r="BE3326" s="4">
        <v>43283.176041666666</v>
      </c>
      <c r="BF3326" s="4">
        <v>43283.176041666666</v>
      </c>
      <c r="BG3326" t="s">
        <v>83</v>
      </c>
      <c r="BH3326" t="s">
        <v>84</v>
      </c>
      <c r="BI3326" t="s">
        <v>85</v>
      </c>
    </row>
    <row r="3327" spans="1:61" x14ac:dyDescent="0.3">
      <c r="A3327" t="str">
        <f>"200072C0100"</f>
        <v>200072C0100</v>
      </c>
      <c r="B3327" t="s">
        <v>6757</v>
      </c>
      <c r="C3327">
        <v>20</v>
      </c>
      <c r="D3327" t="s">
        <v>79</v>
      </c>
      <c r="E3327">
        <v>16</v>
      </c>
      <c r="F3327" t="s">
        <v>6725</v>
      </c>
      <c r="G3327">
        <v>72</v>
      </c>
      <c r="H3327">
        <v>1</v>
      </c>
      <c r="I3327" t="s">
        <v>89</v>
      </c>
      <c r="J3327">
        <v>0</v>
      </c>
      <c r="K3327">
        <v>2</v>
      </c>
      <c r="L3327">
        <v>2</v>
      </c>
      <c r="M3327">
        <v>268</v>
      </c>
      <c r="N3327">
        <v>569</v>
      </c>
      <c r="O3327">
        <v>0</v>
      </c>
      <c r="P3327">
        <v>301</v>
      </c>
      <c r="Q3327">
        <v>31</v>
      </c>
      <c r="R3327">
        <v>11</v>
      </c>
      <c r="S3327">
        <v>38</v>
      </c>
      <c r="T3327">
        <v>1</v>
      </c>
      <c r="U3327">
        <v>15</v>
      </c>
      <c r="V3327">
        <v>3</v>
      </c>
      <c r="W3327">
        <v>5</v>
      </c>
      <c r="X3327">
        <v>5</v>
      </c>
      <c r="Y3327">
        <v>151</v>
      </c>
      <c r="Z3327">
        <v>6</v>
      </c>
      <c r="AA3327">
        <v>0</v>
      </c>
      <c r="AC3327">
        <v>0</v>
      </c>
      <c r="AD3327">
        <v>1</v>
      </c>
      <c r="AE3327">
        <v>0</v>
      </c>
      <c r="AF3327">
        <v>1</v>
      </c>
      <c r="AK3327">
        <v>2</v>
      </c>
      <c r="AL3327">
        <v>7</v>
      </c>
      <c r="AM3327">
        <v>0</v>
      </c>
      <c r="AN3327">
        <v>2</v>
      </c>
      <c r="AO3327">
        <v>0</v>
      </c>
      <c r="AP3327">
        <v>0</v>
      </c>
      <c r="AQ3327">
        <v>0</v>
      </c>
      <c r="AR3327">
        <v>0</v>
      </c>
      <c r="AT3327">
        <v>0</v>
      </c>
      <c r="AU3327">
        <v>22</v>
      </c>
      <c r="AV3327" t="s">
        <v>100</v>
      </c>
      <c r="AW3327">
        <v>301</v>
      </c>
      <c r="AX3327">
        <v>547</v>
      </c>
      <c r="BA3327">
        <v>1</v>
      </c>
      <c r="BC3327" t="s">
        <v>6758</v>
      </c>
      <c r="BD3327" s="4">
        <v>43283.07916666667</v>
      </c>
      <c r="BE3327" s="4">
        <v>43283.319004629629</v>
      </c>
      <c r="BF3327" s="4">
        <v>43283.319004629629</v>
      </c>
      <c r="BG3327" t="s">
        <v>83</v>
      </c>
      <c r="BH3327" t="s">
        <v>84</v>
      </c>
      <c r="BI3327" t="s">
        <v>85</v>
      </c>
    </row>
    <row r="3328" spans="1:61" x14ac:dyDescent="0.3">
      <c r="A3328" t="str">
        <f>"200073B0100"</f>
        <v>200073B0100</v>
      </c>
      <c r="B3328" t="s">
        <v>6759</v>
      </c>
      <c r="C3328">
        <v>20</v>
      </c>
      <c r="D3328" t="s">
        <v>79</v>
      </c>
      <c r="E3328">
        <v>16</v>
      </c>
      <c r="F3328" t="s">
        <v>6725</v>
      </c>
      <c r="G3328">
        <v>73</v>
      </c>
      <c r="H3328">
        <v>1</v>
      </c>
      <c r="I3328" t="s">
        <v>81</v>
      </c>
      <c r="J3328">
        <v>0</v>
      </c>
      <c r="K3328">
        <v>2</v>
      </c>
      <c r="L3328">
        <v>2</v>
      </c>
      <c r="M3328">
        <v>156</v>
      </c>
      <c r="N3328">
        <v>156</v>
      </c>
      <c r="O3328">
        <v>2</v>
      </c>
      <c r="P3328">
        <v>156</v>
      </c>
      <c r="Q3328">
        <v>16</v>
      </c>
      <c r="R3328">
        <v>17</v>
      </c>
      <c r="S3328">
        <v>22</v>
      </c>
      <c r="T3328">
        <v>1</v>
      </c>
      <c r="U3328">
        <v>8</v>
      </c>
      <c r="V3328">
        <v>6</v>
      </c>
      <c r="W3328">
        <v>1</v>
      </c>
      <c r="X3328">
        <v>1</v>
      </c>
      <c r="Y3328">
        <v>70</v>
      </c>
      <c r="Z3328">
        <v>6</v>
      </c>
      <c r="AA3328">
        <v>0</v>
      </c>
      <c r="AC3328">
        <v>0</v>
      </c>
      <c r="AD3328">
        <v>0</v>
      </c>
      <c r="AE3328">
        <v>0</v>
      </c>
      <c r="AF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0</v>
      </c>
      <c r="AR3328">
        <v>0</v>
      </c>
      <c r="AT3328">
        <v>156</v>
      </c>
      <c r="AU3328" t="s">
        <v>100</v>
      </c>
      <c r="AV3328">
        <v>156</v>
      </c>
      <c r="AW3328">
        <v>304</v>
      </c>
      <c r="AX3328">
        <v>289</v>
      </c>
      <c r="AZ3328" t="s">
        <v>101</v>
      </c>
      <c r="BA3328">
        <v>1</v>
      </c>
      <c r="BC3328" t="s">
        <v>6760</v>
      </c>
      <c r="BD3328" s="4">
        <v>43283.081944444442</v>
      </c>
      <c r="BE3328" s="4">
        <v>43283.175671296296</v>
      </c>
      <c r="BF3328" s="4">
        <v>43283.175671296296</v>
      </c>
      <c r="BG3328" t="s">
        <v>83</v>
      </c>
      <c r="BH3328" t="s">
        <v>84</v>
      </c>
      <c r="BI3328" t="s">
        <v>85</v>
      </c>
    </row>
    <row r="3329" spans="1:61" x14ac:dyDescent="0.3">
      <c r="A3329" t="str">
        <f>"200111B0100"</f>
        <v>200111B0100</v>
      </c>
      <c r="B3329" t="s">
        <v>6761</v>
      </c>
      <c r="C3329">
        <v>20</v>
      </c>
      <c r="D3329" t="s">
        <v>79</v>
      </c>
      <c r="E3329">
        <v>16</v>
      </c>
      <c r="F3329" t="s">
        <v>6725</v>
      </c>
      <c r="G3329">
        <v>111</v>
      </c>
      <c r="H3329">
        <v>1</v>
      </c>
      <c r="I3329" t="s">
        <v>81</v>
      </c>
      <c r="J3329">
        <v>0</v>
      </c>
      <c r="K3329">
        <v>1</v>
      </c>
      <c r="L3329">
        <v>2</v>
      </c>
      <c r="M3329">
        <v>142</v>
      </c>
      <c r="N3329">
        <v>482</v>
      </c>
      <c r="O3329">
        <v>6</v>
      </c>
      <c r="P3329">
        <v>482</v>
      </c>
      <c r="Q3329">
        <v>12</v>
      </c>
      <c r="R3329">
        <v>179</v>
      </c>
      <c r="S3329">
        <v>152</v>
      </c>
      <c r="T3329">
        <v>4</v>
      </c>
      <c r="U3329">
        <v>13</v>
      </c>
      <c r="V3329">
        <v>3</v>
      </c>
      <c r="W3329">
        <v>2</v>
      </c>
      <c r="X3329">
        <v>1</v>
      </c>
      <c r="Y3329">
        <v>80</v>
      </c>
      <c r="Z3329">
        <v>5</v>
      </c>
      <c r="AA3329">
        <v>2</v>
      </c>
      <c r="AC3329">
        <v>0</v>
      </c>
      <c r="AD3329">
        <v>4</v>
      </c>
      <c r="AE3329">
        <v>0</v>
      </c>
      <c r="AF3329">
        <v>0</v>
      </c>
      <c r="AK3329">
        <v>1</v>
      </c>
      <c r="AL3329">
        <v>3</v>
      </c>
      <c r="AM3329">
        <v>0</v>
      </c>
      <c r="AN3329">
        <v>0</v>
      </c>
      <c r="AO3329">
        <v>0</v>
      </c>
      <c r="AP3329">
        <v>0</v>
      </c>
      <c r="AQ3329">
        <v>0</v>
      </c>
      <c r="AR3329">
        <v>0</v>
      </c>
      <c r="AT3329">
        <v>0</v>
      </c>
      <c r="AU3329">
        <v>21</v>
      </c>
      <c r="AV3329">
        <v>482</v>
      </c>
      <c r="AW3329">
        <v>482</v>
      </c>
      <c r="AX3329">
        <v>602</v>
      </c>
      <c r="BA3329">
        <v>1</v>
      </c>
      <c r="BC3329" t="s">
        <v>6762</v>
      </c>
      <c r="BD3329" s="4">
        <v>43283.271527777775</v>
      </c>
      <c r="BE3329" s="4">
        <v>43283.342546296299</v>
      </c>
      <c r="BF3329" s="4">
        <v>43283.342546296299</v>
      </c>
      <c r="BG3329" t="s">
        <v>83</v>
      </c>
      <c r="BH3329" t="s">
        <v>84</v>
      </c>
      <c r="BI3329" t="s">
        <v>85</v>
      </c>
    </row>
    <row r="3330" spans="1:61" x14ac:dyDescent="0.3">
      <c r="A3330" t="str">
        <f>"200111C0100"</f>
        <v>200111C0100</v>
      </c>
      <c r="B3330" t="s">
        <v>6763</v>
      </c>
      <c r="C3330">
        <v>20</v>
      </c>
      <c r="D3330" t="s">
        <v>79</v>
      </c>
      <c r="E3330">
        <v>16</v>
      </c>
      <c r="F3330" t="s">
        <v>6725</v>
      </c>
      <c r="G3330">
        <v>111</v>
      </c>
      <c r="H3330">
        <v>1</v>
      </c>
      <c r="I3330" t="s">
        <v>89</v>
      </c>
      <c r="J3330">
        <v>0</v>
      </c>
      <c r="K3330">
        <v>1</v>
      </c>
      <c r="L3330">
        <v>2</v>
      </c>
      <c r="M3330">
        <v>158</v>
      </c>
      <c r="N3330">
        <v>466</v>
      </c>
      <c r="O3330">
        <v>0</v>
      </c>
      <c r="P3330">
        <v>466</v>
      </c>
      <c r="Q3330">
        <v>19</v>
      </c>
      <c r="R3330">
        <v>144</v>
      </c>
      <c r="S3330">
        <v>142</v>
      </c>
      <c r="T3330">
        <v>10</v>
      </c>
      <c r="U3330">
        <v>13</v>
      </c>
      <c r="V3330">
        <v>8</v>
      </c>
      <c r="W3330">
        <v>3</v>
      </c>
      <c r="X3330">
        <v>5</v>
      </c>
      <c r="Y3330">
        <v>89</v>
      </c>
      <c r="Z3330">
        <v>3</v>
      </c>
      <c r="AA3330">
        <v>0</v>
      </c>
      <c r="AC3330">
        <v>0</v>
      </c>
      <c r="AD3330">
        <v>1</v>
      </c>
      <c r="AE3330">
        <v>0</v>
      </c>
      <c r="AF3330">
        <v>0</v>
      </c>
      <c r="AK3330">
        <v>2</v>
      </c>
      <c r="AL3330">
        <v>1</v>
      </c>
      <c r="AM3330">
        <v>1</v>
      </c>
      <c r="AN3330">
        <v>0</v>
      </c>
      <c r="AO3330">
        <v>0</v>
      </c>
      <c r="AP3330">
        <v>2</v>
      </c>
      <c r="AQ3330">
        <v>0</v>
      </c>
      <c r="AR3330">
        <v>0</v>
      </c>
      <c r="AT3330">
        <v>0</v>
      </c>
      <c r="AU3330">
        <v>23</v>
      </c>
      <c r="AV3330">
        <v>466</v>
      </c>
      <c r="AW3330">
        <v>466</v>
      </c>
      <c r="AX3330">
        <v>602</v>
      </c>
      <c r="BA3330">
        <v>1</v>
      </c>
      <c r="BC3330" t="s">
        <v>6764</v>
      </c>
      <c r="BD3330" s="4">
        <v>43283.271527777775</v>
      </c>
      <c r="BE3330" s="4">
        <v>43283.340208333335</v>
      </c>
      <c r="BF3330" s="4">
        <v>43283.340208333335</v>
      </c>
      <c r="BG3330" t="s">
        <v>83</v>
      </c>
      <c r="BH3330" t="s">
        <v>84</v>
      </c>
      <c r="BI3330" t="s">
        <v>85</v>
      </c>
    </row>
    <row r="3331" spans="1:61" x14ac:dyDescent="0.3">
      <c r="A3331" t="str">
        <f>"200112B0100"</f>
        <v>200112B0100</v>
      </c>
      <c r="B3331" t="s">
        <v>6765</v>
      </c>
      <c r="C3331">
        <v>20</v>
      </c>
      <c r="D3331" t="s">
        <v>79</v>
      </c>
      <c r="E3331">
        <v>16</v>
      </c>
      <c r="F3331" t="s">
        <v>6725</v>
      </c>
      <c r="G3331">
        <v>112</v>
      </c>
      <c r="H3331">
        <v>1</v>
      </c>
      <c r="I3331" t="s">
        <v>81</v>
      </c>
      <c r="J3331">
        <v>0</v>
      </c>
      <c r="K3331">
        <v>1</v>
      </c>
      <c r="L3331">
        <v>2</v>
      </c>
      <c r="M3331">
        <v>171</v>
      </c>
      <c r="N3331">
        <v>452</v>
      </c>
      <c r="O3331" t="s">
        <v>315</v>
      </c>
      <c r="P3331">
        <v>452</v>
      </c>
      <c r="Q3331">
        <v>19</v>
      </c>
      <c r="R3331">
        <v>147</v>
      </c>
      <c r="S3331">
        <v>133</v>
      </c>
      <c r="T3331">
        <v>6</v>
      </c>
      <c r="U3331">
        <v>11</v>
      </c>
      <c r="V3331">
        <v>2</v>
      </c>
      <c r="W3331">
        <v>3</v>
      </c>
      <c r="X3331">
        <v>1</v>
      </c>
      <c r="Y3331">
        <v>101</v>
      </c>
      <c r="Z3331">
        <v>6</v>
      </c>
      <c r="AA3331">
        <v>0</v>
      </c>
      <c r="AC3331">
        <v>0</v>
      </c>
      <c r="AD3331">
        <v>1</v>
      </c>
      <c r="AE3331">
        <v>0</v>
      </c>
      <c r="AF3331">
        <v>0</v>
      </c>
      <c r="AK3331">
        <v>4</v>
      </c>
      <c r="AL3331">
        <v>2</v>
      </c>
      <c r="AM3331">
        <v>0</v>
      </c>
      <c r="AN3331">
        <v>0</v>
      </c>
      <c r="AO3331">
        <v>0</v>
      </c>
      <c r="AP3331">
        <v>2</v>
      </c>
      <c r="AQ3331">
        <v>0</v>
      </c>
      <c r="AR3331">
        <v>0</v>
      </c>
      <c r="AT3331">
        <v>0</v>
      </c>
      <c r="AU3331">
        <v>14</v>
      </c>
      <c r="AV3331">
        <v>452</v>
      </c>
      <c r="AW3331">
        <v>452</v>
      </c>
      <c r="AX3331">
        <v>601</v>
      </c>
      <c r="BA3331">
        <v>1</v>
      </c>
      <c r="BC3331" t="s">
        <v>6766</v>
      </c>
      <c r="BD3331" s="4">
        <v>43283.272222222222</v>
      </c>
      <c r="BE3331" s="4">
        <v>43283.339895833335</v>
      </c>
      <c r="BF3331" s="4">
        <v>43283.339895833335</v>
      </c>
      <c r="BG3331" t="s">
        <v>83</v>
      </c>
      <c r="BH3331" t="s">
        <v>84</v>
      </c>
      <c r="BI3331" t="s">
        <v>85</v>
      </c>
    </row>
    <row r="3332" spans="1:61" x14ac:dyDescent="0.3">
      <c r="A3332" t="str">
        <f>"200112C0100"</f>
        <v>200112C0100</v>
      </c>
      <c r="B3332" t="s">
        <v>6767</v>
      </c>
      <c r="C3332">
        <v>20</v>
      </c>
      <c r="D3332" t="s">
        <v>79</v>
      </c>
      <c r="E3332">
        <v>16</v>
      </c>
      <c r="F3332" t="s">
        <v>6725</v>
      </c>
      <c r="G3332">
        <v>112</v>
      </c>
      <c r="H3332">
        <v>1</v>
      </c>
      <c r="I3332" t="s">
        <v>89</v>
      </c>
      <c r="J3332">
        <v>0</v>
      </c>
      <c r="K3332">
        <v>1</v>
      </c>
      <c r="L3332">
        <v>2</v>
      </c>
      <c r="M3332">
        <v>153</v>
      </c>
      <c r="N3332">
        <v>469</v>
      </c>
      <c r="O3332">
        <v>3</v>
      </c>
      <c r="P3332">
        <v>469</v>
      </c>
      <c r="Q3332">
        <v>17</v>
      </c>
      <c r="R3332">
        <v>173</v>
      </c>
      <c r="S3332">
        <v>133</v>
      </c>
      <c r="T3332">
        <v>4</v>
      </c>
      <c r="U3332">
        <v>12</v>
      </c>
      <c r="V3332">
        <v>0</v>
      </c>
      <c r="W3332">
        <v>2</v>
      </c>
      <c r="X3332">
        <v>1</v>
      </c>
      <c r="Y3332">
        <v>90</v>
      </c>
      <c r="Z3332">
        <v>8</v>
      </c>
      <c r="AA3332">
        <v>3</v>
      </c>
      <c r="AC3332">
        <v>1</v>
      </c>
      <c r="AD3332">
        <v>1</v>
      </c>
      <c r="AE3332">
        <v>0</v>
      </c>
      <c r="AF3332">
        <v>0</v>
      </c>
      <c r="AK3332">
        <v>0</v>
      </c>
      <c r="AL3332">
        <v>1</v>
      </c>
      <c r="AM3332">
        <v>0</v>
      </c>
      <c r="AN3332">
        <v>0</v>
      </c>
      <c r="AO3332">
        <v>0</v>
      </c>
      <c r="AP3332">
        <v>0</v>
      </c>
      <c r="AQ3332">
        <v>0</v>
      </c>
      <c r="AR3332">
        <v>0</v>
      </c>
      <c r="AT3332">
        <v>0</v>
      </c>
      <c r="AU3332">
        <v>22</v>
      </c>
      <c r="AV3332">
        <v>469</v>
      </c>
      <c r="AW3332">
        <v>468</v>
      </c>
      <c r="AX3332">
        <v>600</v>
      </c>
      <c r="BA3332">
        <v>1</v>
      </c>
      <c r="BC3332" t="s">
        <v>6768</v>
      </c>
      <c r="BD3332" s="4">
        <v>43283.271527777775</v>
      </c>
      <c r="BE3332" s="4">
        <v>43283.328148148146</v>
      </c>
      <c r="BF3332" s="4">
        <v>43283.328148148146</v>
      </c>
      <c r="BG3332" t="s">
        <v>83</v>
      </c>
      <c r="BH3332" t="s">
        <v>84</v>
      </c>
      <c r="BI3332" t="s">
        <v>85</v>
      </c>
    </row>
    <row r="3333" spans="1:61" x14ac:dyDescent="0.3">
      <c r="A3333" t="str">
        <f>"200373B0100"</f>
        <v>200373B0100</v>
      </c>
      <c r="B3333" t="s">
        <v>6769</v>
      </c>
      <c r="C3333">
        <v>20</v>
      </c>
      <c r="D3333" t="s">
        <v>79</v>
      </c>
      <c r="E3333">
        <v>16</v>
      </c>
      <c r="F3333" t="s">
        <v>6725</v>
      </c>
      <c r="G3333">
        <v>373</v>
      </c>
      <c r="H3333">
        <v>1</v>
      </c>
      <c r="I3333" t="s">
        <v>81</v>
      </c>
      <c r="J3333">
        <v>0</v>
      </c>
      <c r="K3333">
        <v>2</v>
      </c>
      <c r="L3333">
        <v>2</v>
      </c>
      <c r="M3333">
        <v>133</v>
      </c>
      <c r="N3333">
        <v>274</v>
      </c>
      <c r="O3333">
        <v>0</v>
      </c>
      <c r="P3333">
        <v>274</v>
      </c>
      <c r="Q3333">
        <v>10</v>
      </c>
      <c r="R3333">
        <v>4</v>
      </c>
      <c r="S3333">
        <v>30</v>
      </c>
      <c r="T3333">
        <v>0</v>
      </c>
      <c r="U3333">
        <v>20</v>
      </c>
      <c r="V3333">
        <v>8</v>
      </c>
      <c r="W3333">
        <v>2</v>
      </c>
      <c r="X3333">
        <v>2</v>
      </c>
      <c r="Y3333">
        <v>159</v>
      </c>
      <c r="Z3333">
        <v>6</v>
      </c>
      <c r="AA3333">
        <v>1</v>
      </c>
      <c r="AC3333">
        <v>1</v>
      </c>
      <c r="AD3333">
        <v>1</v>
      </c>
      <c r="AE3333">
        <v>0</v>
      </c>
      <c r="AF3333">
        <v>0</v>
      </c>
      <c r="AK3333">
        <v>9</v>
      </c>
      <c r="AL3333">
        <v>5</v>
      </c>
      <c r="AM3333">
        <v>0</v>
      </c>
      <c r="AN3333">
        <v>1</v>
      </c>
      <c r="AO3333">
        <v>0</v>
      </c>
      <c r="AP3333">
        <v>1</v>
      </c>
      <c r="AQ3333">
        <v>0</v>
      </c>
      <c r="AR3333">
        <v>0</v>
      </c>
      <c r="AT3333">
        <v>0</v>
      </c>
      <c r="AU3333">
        <v>14</v>
      </c>
      <c r="AV3333">
        <v>274</v>
      </c>
      <c r="AW3333">
        <v>274</v>
      </c>
      <c r="AX3333">
        <v>385</v>
      </c>
      <c r="BA3333">
        <v>1</v>
      </c>
      <c r="BC3333" t="s">
        <v>6770</v>
      </c>
      <c r="BD3333" s="4">
        <v>43283.182638888888</v>
      </c>
      <c r="BE3333" s="4">
        <v>43283.2190625</v>
      </c>
      <c r="BF3333" s="4">
        <v>43283.2190625</v>
      </c>
      <c r="BG3333" t="s">
        <v>83</v>
      </c>
      <c r="BH3333" t="s">
        <v>84</v>
      </c>
      <c r="BI3333" t="s">
        <v>85</v>
      </c>
    </row>
    <row r="3334" spans="1:61" x14ac:dyDescent="0.3">
      <c r="A3334" t="str">
        <f>"200373E0100"</f>
        <v>200373E0100</v>
      </c>
      <c r="B3334" s="2" t="s">
        <v>6771</v>
      </c>
      <c r="C3334">
        <v>20</v>
      </c>
      <c r="D3334" t="s">
        <v>79</v>
      </c>
      <c r="E3334">
        <v>16</v>
      </c>
      <c r="F3334" t="s">
        <v>6725</v>
      </c>
      <c r="G3334">
        <v>373</v>
      </c>
      <c r="H3334">
        <v>1</v>
      </c>
      <c r="I3334" t="s">
        <v>145</v>
      </c>
      <c r="J3334">
        <v>0</v>
      </c>
      <c r="K3334">
        <v>2</v>
      </c>
      <c r="L3334">
        <v>2</v>
      </c>
      <c r="M3334">
        <v>145</v>
      </c>
      <c r="N3334">
        <v>256</v>
      </c>
      <c r="O3334">
        <v>3</v>
      </c>
      <c r="P3334">
        <v>256</v>
      </c>
      <c r="Q3334">
        <v>4</v>
      </c>
      <c r="R3334">
        <v>57</v>
      </c>
      <c r="S3334">
        <v>19</v>
      </c>
      <c r="T3334">
        <v>3</v>
      </c>
      <c r="U3334">
        <v>11</v>
      </c>
      <c r="V3334">
        <v>2</v>
      </c>
      <c r="W3334">
        <v>11</v>
      </c>
      <c r="X3334">
        <v>1</v>
      </c>
      <c r="Y3334">
        <v>135</v>
      </c>
      <c r="Z3334">
        <v>5</v>
      </c>
      <c r="AA3334">
        <v>0</v>
      </c>
      <c r="AC3334">
        <v>0</v>
      </c>
      <c r="AD3334">
        <v>0</v>
      </c>
      <c r="AE3334">
        <v>0</v>
      </c>
      <c r="AF3334">
        <v>0</v>
      </c>
      <c r="AK3334">
        <v>2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0</v>
      </c>
      <c r="AR3334">
        <v>0</v>
      </c>
      <c r="AT3334">
        <v>0</v>
      </c>
      <c r="AU3334">
        <v>6</v>
      </c>
      <c r="AV3334">
        <v>256</v>
      </c>
      <c r="AW3334">
        <v>256</v>
      </c>
      <c r="AX3334">
        <v>379</v>
      </c>
      <c r="BA3334">
        <v>1</v>
      </c>
      <c r="BC3334" t="s">
        <v>6772</v>
      </c>
      <c r="BD3334" s="4">
        <v>43283.181944444441</v>
      </c>
      <c r="BE3334" s="4">
        <v>43283.221342592595</v>
      </c>
      <c r="BF3334" s="4">
        <v>43283.221342592595</v>
      </c>
      <c r="BG3334" t="s">
        <v>83</v>
      </c>
      <c r="BH3334" t="s">
        <v>84</v>
      </c>
      <c r="BI3334" t="s">
        <v>85</v>
      </c>
    </row>
    <row r="3335" spans="1:61" x14ac:dyDescent="0.3">
      <c r="A3335" t="str">
        <f>"200617B0100"</f>
        <v>200617B0100</v>
      </c>
      <c r="B3335" t="s">
        <v>6773</v>
      </c>
      <c r="C3335">
        <v>20</v>
      </c>
      <c r="D3335" t="s">
        <v>79</v>
      </c>
      <c r="E3335">
        <v>16</v>
      </c>
      <c r="F3335" t="s">
        <v>6725</v>
      </c>
      <c r="G3335">
        <v>617</v>
      </c>
      <c r="H3335">
        <v>1</v>
      </c>
      <c r="I3335" t="s">
        <v>81</v>
      </c>
      <c r="J3335">
        <v>0</v>
      </c>
      <c r="K3335">
        <v>2</v>
      </c>
      <c r="L3335">
        <v>2</v>
      </c>
      <c r="M3335">
        <v>205</v>
      </c>
      <c r="N3335">
        <v>567</v>
      </c>
      <c r="O3335">
        <v>3</v>
      </c>
      <c r="P3335">
        <v>564</v>
      </c>
      <c r="Q3335">
        <v>32</v>
      </c>
      <c r="R3335">
        <v>147</v>
      </c>
      <c r="S3335">
        <v>58</v>
      </c>
      <c r="T3335">
        <v>6</v>
      </c>
      <c r="U3335">
        <v>5</v>
      </c>
      <c r="V3335">
        <v>15</v>
      </c>
      <c r="W3335">
        <v>4</v>
      </c>
      <c r="X3335">
        <v>7</v>
      </c>
      <c r="Y3335">
        <v>242</v>
      </c>
      <c r="Z3335">
        <v>4</v>
      </c>
      <c r="AA3335">
        <v>6</v>
      </c>
      <c r="AC3335">
        <v>0</v>
      </c>
      <c r="AD3335">
        <v>0</v>
      </c>
      <c r="AE3335">
        <v>0</v>
      </c>
      <c r="AF3335">
        <v>0</v>
      </c>
      <c r="AK3335">
        <v>2</v>
      </c>
      <c r="AL3335">
        <v>1</v>
      </c>
      <c r="AM3335">
        <v>1</v>
      </c>
      <c r="AN3335">
        <v>2</v>
      </c>
      <c r="AO3335">
        <v>1</v>
      </c>
      <c r="AP3335">
        <v>2</v>
      </c>
      <c r="AQ3335">
        <v>0</v>
      </c>
      <c r="AR3335">
        <v>0</v>
      </c>
      <c r="AT3335">
        <v>0</v>
      </c>
      <c r="AU3335">
        <v>30</v>
      </c>
      <c r="AV3335">
        <v>565</v>
      </c>
      <c r="AW3335">
        <v>565</v>
      </c>
      <c r="AX3335">
        <v>748</v>
      </c>
      <c r="BA3335">
        <v>1</v>
      </c>
      <c r="BC3335" t="s">
        <v>6774</v>
      </c>
      <c r="BD3335" s="4">
        <v>43283.270833333336</v>
      </c>
      <c r="BE3335" s="4">
        <v>43283.331875000003</v>
      </c>
      <c r="BF3335" s="4">
        <v>43283.331875000003</v>
      </c>
      <c r="BG3335" t="s">
        <v>83</v>
      </c>
      <c r="BH3335" t="s">
        <v>84</v>
      </c>
      <c r="BI3335" t="s">
        <v>85</v>
      </c>
    </row>
    <row r="3336" spans="1:61" x14ac:dyDescent="0.3">
      <c r="A3336" t="str">
        <f>"200617C0100"</f>
        <v>200617C0100</v>
      </c>
      <c r="B3336" t="s">
        <v>6775</v>
      </c>
      <c r="C3336">
        <v>20</v>
      </c>
      <c r="D3336" t="s">
        <v>79</v>
      </c>
      <c r="E3336">
        <v>16</v>
      </c>
      <c r="F3336" t="s">
        <v>6725</v>
      </c>
      <c r="G3336">
        <v>617</v>
      </c>
      <c r="H3336">
        <v>1</v>
      </c>
      <c r="I3336" t="s">
        <v>89</v>
      </c>
      <c r="J3336">
        <v>0</v>
      </c>
      <c r="K3336">
        <v>2</v>
      </c>
      <c r="L3336">
        <v>2</v>
      </c>
      <c r="M3336">
        <v>249</v>
      </c>
      <c r="N3336">
        <v>522</v>
      </c>
      <c r="O3336">
        <v>6</v>
      </c>
      <c r="P3336">
        <v>522</v>
      </c>
      <c r="Q3336">
        <v>33</v>
      </c>
      <c r="R3336">
        <v>140</v>
      </c>
      <c r="S3336">
        <v>41</v>
      </c>
      <c r="T3336">
        <v>9</v>
      </c>
      <c r="U3336">
        <v>12</v>
      </c>
      <c r="V3336">
        <v>15</v>
      </c>
      <c r="W3336">
        <v>2</v>
      </c>
      <c r="X3336">
        <v>16</v>
      </c>
      <c r="Y3336">
        <v>193</v>
      </c>
      <c r="Z3336">
        <v>9</v>
      </c>
      <c r="AA3336">
        <v>6</v>
      </c>
      <c r="AC3336">
        <v>1</v>
      </c>
      <c r="AD3336">
        <v>0</v>
      </c>
      <c r="AE3336">
        <v>0</v>
      </c>
      <c r="AF3336">
        <v>0</v>
      </c>
      <c r="AK3336">
        <v>3</v>
      </c>
      <c r="AL3336">
        <v>3</v>
      </c>
      <c r="AM3336">
        <v>0</v>
      </c>
      <c r="AN3336">
        <v>1</v>
      </c>
      <c r="AO3336">
        <v>1</v>
      </c>
      <c r="AP3336">
        <v>3</v>
      </c>
      <c r="AQ3336">
        <v>1</v>
      </c>
      <c r="AR3336">
        <v>0</v>
      </c>
      <c r="AT3336">
        <v>0</v>
      </c>
      <c r="AU3336">
        <v>28</v>
      </c>
      <c r="AV3336">
        <v>517</v>
      </c>
      <c r="AW3336">
        <v>517</v>
      </c>
      <c r="AX3336">
        <v>748</v>
      </c>
      <c r="BA3336">
        <v>1</v>
      </c>
      <c r="BC3336" t="s">
        <v>6776</v>
      </c>
      <c r="BD3336" s="4">
        <v>43283.270833333336</v>
      </c>
      <c r="BE3336" s="4">
        <v>43283.329756944448</v>
      </c>
      <c r="BF3336" s="4">
        <v>43283.329756944448</v>
      </c>
      <c r="BG3336" t="s">
        <v>83</v>
      </c>
      <c r="BH3336" t="s">
        <v>84</v>
      </c>
      <c r="BI3336" t="s">
        <v>85</v>
      </c>
    </row>
    <row r="3337" spans="1:61" x14ac:dyDescent="0.3">
      <c r="A3337" t="str">
        <f>"200617S0100"</f>
        <v>200617S0100</v>
      </c>
      <c r="B3337" t="s">
        <v>6777</v>
      </c>
      <c r="C3337">
        <v>20</v>
      </c>
      <c r="D3337" t="s">
        <v>79</v>
      </c>
      <c r="E3337">
        <v>16</v>
      </c>
      <c r="F3337" t="s">
        <v>6725</v>
      </c>
      <c r="G3337">
        <v>617</v>
      </c>
      <c r="H3337">
        <v>1</v>
      </c>
      <c r="I3337" t="s">
        <v>104</v>
      </c>
      <c r="J3337">
        <v>0</v>
      </c>
      <c r="K3337">
        <v>2</v>
      </c>
      <c r="L3337">
        <v>3</v>
      </c>
      <c r="AX3337">
        <v>0</v>
      </c>
      <c r="AZ3337" t="s">
        <v>156</v>
      </c>
      <c r="BA3337">
        <v>0</v>
      </c>
      <c r="BC3337" t="s">
        <v>6778</v>
      </c>
      <c r="BD3337" s="4">
        <v>43283.590277777781</v>
      </c>
      <c r="BE3337" s="4">
        <v>43283.593078703707</v>
      </c>
      <c r="BF3337" s="4">
        <v>43283.593078703707</v>
      </c>
      <c r="BG3337" t="s">
        <v>83</v>
      </c>
      <c r="BH3337" t="s">
        <v>84</v>
      </c>
      <c r="BI3337" t="s">
        <v>85</v>
      </c>
    </row>
    <row r="3338" spans="1:61" x14ac:dyDescent="0.3">
      <c r="A3338" t="str">
        <f>"200618B0100"</f>
        <v>200618B0100</v>
      </c>
      <c r="B3338" t="s">
        <v>6779</v>
      </c>
      <c r="C3338">
        <v>20</v>
      </c>
      <c r="D3338" t="s">
        <v>79</v>
      </c>
      <c r="E3338">
        <v>16</v>
      </c>
      <c r="F3338" t="s">
        <v>6725</v>
      </c>
      <c r="G3338">
        <v>618</v>
      </c>
      <c r="H3338">
        <v>1</v>
      </c>
      <c r="I3338" t="s">
        <v>81</v>
      </c>
      <c r="J3338">
        <v>0</v>
      </c>
      <c r="K3338">
        <v>2</v>
      </c>
      <c r="L3338">
        <v>2</v>
      </c>
      <c r="M3338">
        <v>161</v>
      </c>
      <c r="N3338">
        <v>418</v>
      </c>
      <c r="O3338">
        <v>6</v>
      </c>
      <c r="P3338">
        <v>418</v>
      </c>
      <c r="Q3338">
        <v>21</v>
      </c>
      <c r="R3338">
        <v>97</v>
      </c>
      <c r="S3338">
        <v>58</v>
      </c>
      <c r="T3338">
        <v>11</v>
      </c>
      <c r="U3338">
        <v>13</v>
      </c>
      <c r="V3338">
        <v>17</v>
      </c>
      <c r="W3338">
        <v>3</v>
      </c>
      <c r="X3338">
        <v>5</v>
      </c>
      <c r="Y3338">
        <v>153</v>
      </c>
      <c r="Z3338">
        <v>11</v>
      </c>
      <c r="AA3338">
        <v>8</v>
      </c>
      <c r="AC3338">
        <v>0</v>
      </c>
      <c r="AD3338">
        <v>0</v>
      </c>
      <c r="AE3338">
        <v>0</v>
      </c>
      <c r="AF3338">
        <v>1</v>
      </c>
      <c r="AK3338">
        <v>1</v>
      </c>
      <c r="AL3338">
        <v>1</v>
      </c>
      <c r="AM3338">
        <v>0</v>
      </c>
      <c r="AN3338">
        <v>0</v>
      </c>
      <c r="AO3338">
        <v>0</v>
      </c>
      <c r="AP3338">
        <v>0</v>
      </c>
      <c r="AQ3338">
        <v>0</v>
      </c>
      <c r="AR3338">
        <v>0</v>
      </c>
      <c r="AT3338">
        <v>0</v>
      </c>
      <c r="AU3338">
        <v>17</v>
      </c>
      <c r="AV3338">
        <v>417</v>
      </c>
      <c r="AW3338">
        <v>417</v>
      </c>
      <c r="AX3338">
        <v>555</v>
      </c>
      <c r="BA3338">
        <v>1</v>
      </c>
      <c r="BC3338" t="s">
        <v>6780</v>
      </c>
      <c r="BD3338" s="4">
        <v>43283.271527777775</v>
      </c>
      <c r="BE3338" s="4">
        <v>43283.338726851849</v>
      </c>
      <c r="BF3338" s="4">
        <v>43283.338726851849</v>
      </c>
      <c r="BG3338" t="s">
        <v>83</v>
      </c>
      <c r="BH3338" t="s">
        <v>84</v>
      </c>
      <c r="BI3338" t="s">
        <v>85</v>
      </c>
    </row>
    <row r="3339" spans="1:61" x14ac:dyDescent="0.3">
      <c r="A3339" t="str">
        <f>"200618C0100"</f>
        <v>200618C0100</v>
      </c>
      <c r="B3339" t="s">
        <v>6781</v>
      </c>
      <c r="C3339">
        <v>20</v>
      </c>
      <c r="D3339" t="s">
        <v>79</v>
      </c>
      <c r="E3339">
        <v>16</v>
      </c>
      <c r="F3339" t="s">
        <v>6725</v>
      </c>
      <c r="G3339">
        <v>618</v>
      </c>
      <c r="H3339">
        <v>1</v>
      </c>
      <c r="I3339" t="s">
        <v>89</v>
      </c>
      <c r="J3339">
        <v>0</v>
      </c>
      <c r="K3339">
        <v>2</v>
      </c>
      <c r="L3339">
        <v>2</v>
      </c>
      <c r="M3339">
        <v>157</v>
      </c>
      <c r="N3339">
        <v>419</v>
      </c>
      <c r="O3339">
        <v>6</v>
      </c>
      <c r="P3339">
        <v>419</v>
      </c>
      <c r="Q3339">
        <v>35</v>
      </c>
      <c r="R3339">
        <v>83</v>
      </c>
      <c r="S3339">
        <v>59</v>
      </c>
      <c r="T3339">
        <v>5</v>
      </c>
      <c r="U3339">
        <v>12</v>
      </c>
      <c r="V3339">
        <v>19</v>
      </c>
      <c r="W3339">
        <v>7</v>
      </c>
      <c r="X3339">
        <v>6</v>
      </c>
      <c r="Y3339">
        <v>151</v>
      </c>
      <c r="Z3339">
        <v>7</v>
      </c>
      <c r="AA3339">
        <v>6</v>
      </c>
      <c r="AC3339" t="s">
        <v>100</v>
      </c>
      <c r="AD3339" t="s">
        <v>100</v>
      </c>
      <c r="AE3339">
        <v>1</v>
      </c>
      <c r="AF3339" t="s">
        <v>100</v>
      </c>
      <c r="AK3339">
        <v>1</v>
      </c>
      <c r="AL3339">
        <v>2</v>
      </c>
      <c r="AM3339" t="s">
        <v>100</v>
      </c>
      <c r="AN3339">
        <v>2</v>
      </c>
      <c r="AO3339" t="s">
        <v>100</v>
      </c>
      <c r="AP3339">
        <v>1</v>
      </c>
      <c r="AQ3339">
        <v>1</v>
      </c>
      <c r="AR3339">
        <v>1</v>
      </c>
      <c r="AT3339">
        <v>0</v>
      </c>
      <c r="AU3339">
        <v>20</v>
      </c>
      <c r="AV3339">
        <v>419</v>
      </c>
      <c r="AW3339">
        <v>419</v>
      </c>
      <c r="AX3339">
        <v>554</v>
      </c>
      <c r="AZ3339" t="s">
        <v>101</v>
      </c>
      <c r="BA3339">
        <v>1</v>
      </c>
      <c r="BC3339" t="s">
        <v>6782</v>
      </c>
      <c r="BD3339" s="4">
        <v>43283.271527777775</v>
      </c>
      <c r="BE3339" s="4">
        <v>43283.334953703707</v>
      </c>
      <c r="BF3339" s="4">
        <v>43283.334953703707</v>
      </c>
      <c r="BG3339" t="s">
        <v>83</v>
      </c>
      <c r="BH3339" t="s">
        <v>84</v>
      </c>
      <c r="BI3339" t="s">
        <v>85</v>
      </c>
    </row>
    <row r="3340" spans="1:61" x14ac:dyDescent="0.3">
      <c r="A3340" t="str">
        <f>"200618C0200"</f>
        <v>200618C0200</v>
      </c>
      <c r="B3340" t="s">
        <v>6783</v>
      </c>
      <c r="C3340">
        <v>20</v>
      </c>
      <c r="D3340" t="s">
        <v>79</v>
      </c>
      <c r="E3340">
        <v>16</v>
      </c>
      <c r="F3340" t="s">
        <v>6725</v>
      </c>
      <c r="G3340">
        <v>618</v>
      </c>
      <c r="H3340">
        <v>2</v>
      </c>
      <c r="I3340" t="s">
        <v>89</v>
      </c>
      <c r="J3340">
        <v>0</v>
      </c>
      <c r="K3340">
        <v>2</v>
      </c>
      <c r="L3340">
        <v>2</v>
      </c>
      <c r="M3340">
        <v>174</v>
      </c>
      <c r="N3340">
        <v>402</v>
      </c>
      <c r="O3340">
        <v>8</v>
      </c>
      <c r="P3340">
        <v>402</v>
      </c>
      <c r="Q3340">
        <v>18</v>
      </c>
      <c r="R3340">
        <v>96</v>
      </c>
      <c r="S3340">
        <v>44</v>
      </c>
      <c r="T3340">
        <v>8</v>
      </c>
      <c r="U3340">
        <v>18</v>
      </c>
      <c r="V3340">
        <v>22</v>
      </c>
      <c r="W3340">
        <v>3</v>
      </c>
      <c r="X3340">
        <v>13</v>
      </c>
      <c r="Y3340">
        <v>143</v>
      </c>
      <c r="Z3340">
        <v>5</v>
      </c>
      <c r="AA3340">
        <v>6</v>
      </c>
      <c r="AC3340">
        <v>0</v>
      </c>
      <c r="AD3340">
        <v>0</v>
      </c>
      <c r="AE3340">
        <v>0</v>
      </c>
      <c r="AF3340">
        <v>0</v>
      </c>
      <c r="AK3340">
        <v>4</v>
      </c>
      <c r="AL3340">
        <v>1</v>
      </c>
      <c r="AM3340">
        <v>1</v>
      </c>
      <c r="AN3340">
        <v>0</v>
      </c>
      <c r="AO3340">
        <v>0</v>
      </c>
      <c r="AP3340">
        <v>1</v>
      </c>
      <c r="AQ3340">
        <v>0</v>
      </c>
      <c r="AR3340">
        <v>0</v>
      </c>
      <c r="AT3340">
        <v>2</v>
      </c>
      <c r="AU3340">
        <v>17</v>
      </c>
      <c r="AV3340">
        <v>402</v>
      </c>
      <c r="AW3340">
        <v>402</v>
      </c>
      <c r="AX3340">
        <v>554</v>
      </c>
      <c r="BA3340">
        <v>1</v>
      </c>
      <c r="BC3340" t="s">
        <v>6784</v>
      </c>
      <c r="BD3340" s="4">
        <v>43283.271527777775</v>
      </c>
      <c r="BE3340" s="4">
        <v>43283.326724537037</v>
      </c>
      <c r="BF3340" s="4">
        <v>43283.326724537037</v>
      </c>
      <c r="BG3340" t="s">
        <v>83</v>
      </c>
      <c r="BH3340" t="s">
        <v>84</v>
      </c>
      <c r="BI3340" t="s">
        <v>85</v>
      </c>
    </row>
    <row r="3341" spans="1:61" x14ac:dyDescent="0.3">
      <c r="A3341" t="str">
        <f>"200619B0100"</f>
        <v>200619B0100</v>
      </c>
      <c r="B3341" t="s">
        <v>6785</v>
      </c>
      <c r="C3341">
        <v>20</v>
      </c>
      <c r="D3341" t="s">
        <v>79</v>
      </c>
      <c r="E3341">
        <v>16</v>
      </c>
      <c r="F3341" t="s">
        <v>6725</v>
      </c>
      <c r="G3341">
        <v>619</v>
      </c>
      <c r="H3341">
        <v>1</v>
      </c>
      <c r="I3341" t="s">
        <v>81</v>
      </c>
      <c r="J3341">
        <v>0</v>
      </c>
      <c r="K3341">
        <v>2</v>
      </c>
      <c r="L3341">
        <v>2</v>
      </c>
      <c r="M3341">
        <v>213</v>
      </c>
      <c r="N3341">
        <v>481</v>
      </c>
      <c r="O3341">
        <v>6</v>
      </c>
      <c r="P3341">
        <v>487</v>
      </c>
      <c r="Q3341">
        <v>39</v>
      </c>
      <c r="R3341">
        <v>87</v>
      </c>
      <c r="S3341">
        <v>74</v>
      </c>
      <c r="T3341">
        <v>11</v>
      </c>
      <c r="U3341">
        <v>11</v>
      </c>
      <c r="V3341">
        <v>20</v>
      </c>
      <c r="W3341">
        <v>7</v>
      </c>
      <c r="X3341">
        <v>9</v>
      </c>
      <c r="Y3341">
        <v>177</v>
      </c>
      <c r="Z3341">
        <v>12</v>
      </c>
      <c r="AA3341">
        <v>5</v>
      </c>
      <c r="AC3341">
        <v>1</v>
      </c>
      <c r="AD3341" t="s">
        <v>100</v>
      </c>
      <c r="AE3341" t="s">
        <v>100</v>
      </c>
      <c r="AF3341" t="s">
        <v>100</v>
      </c>
      <c r="AK3341">
        <v>12</v>
      </c>
      <c r="AL3341" t="s">
        <v>100</v>
      </c>
      <c r="AM3341" t="s">
        <v>100</v>
      </c>
      <c r="AN3341" t="s">
        <v>100</v>
      </c>
      <c r="AO3341">
        <v>1</v>
      </c>
      <c r="AP3341" t="s">
        <v>100</v>
      </c>
      <c r="AQ3341" t="s">
        <v>100</v>
      </c>
      <c r="AR3341" t="s">
        <v>100</v>
      </c>
      <c r="AT3341" t="s">
        <v>100</v>
      </c>
      <c r="AU3341">
        <v>21</v>
      </c>
      <c r="AV3341">
        <v>487</v>
      </c>
      <c r="AW3341">
        <v>487</v>
      </c>
      <c r="AX3341">
        <v>677</v>
      </c>
      <c r="AZ3341" t="s">
        <v>101</v>
      </c>
      <c r="BA3341">
        <v>1</v>
      </c>
      <c r="BC3341" t="s">
        <v>6786</v>
      </c>
      <c r="BD3341" s="4">
        <v>43283.19027777778</v>
      </c>
      <c r="BE3341" s="4">
        <v>43283.232685185183</v>
      </c>
      <c r="BF3341" s="4">
        <v>43283.232685185183</v>
      </c>
      <c r="BG3341" t="s">
        <v>83</v>
      </c>
      <c r="BH3341" t="s">
        <v>84</v>
      </c>
      <c r="BI3341" t="s">
        <v>85</v>
      </c>
    </row>
    <row r="3342" spans="1:61" x14ac:dyDescent="0.3">
      <c r="A3342" t="str">
        <f>"200619C0100"</f>
        <v>200619C0100</v>
      </c>
      <c r="B3342" t="s">
        <v>6787</v>
      </c>
      <c r="C3342">
        <v>20</v>
      </c>
      <c r="D3342" t="s">
        <v>79</v>
      </c>
      <c r="E3342">
        <v>16</v>
      </c>
      <c r="F3342" t="s">
        <v>6725</v>
      </c>
      <c r="G3342">
        <v>619</v>
      </c>
      <c r="H3342">
        <v>1</v>
      </c>
      <c r="I3342" t="s">
        <v>89</v>
      </c>
      <c r="J3342">
        <v>0</v>
      </c>
      <c r="K3342">
        <v>2</v>
      </c>
      <c r="L3342">
        <v>2</v>
      </c>
      <c r="M3342">
        <v>215</v>
      </c>
      <c r="N3342">
        <v>483</v>
      </c>
      <c r="O3342">
        <v>3</v>
      </c>
      <c r="P3342">
        <v>484</v>
      </c>
      <c r="Q3342">
        <v>34</v>
      </c>
      <c r="R3342">
        <v>122</v>
      </c>
      <c r="S3342">
        <v>74</v>
      </c>
      <c r="T3342">
        <v>2</v>
      </c>
      <c r="U3342">
        <v>10</v>
      </c>
      <c r="V3342">
        <v>12</v>
      </c>
      <c r="W3342">
        <v>2</v>
      </c>
      <c r="X3342">
        <v>8</v>
      </c>
      <c r="Y3342">
        <v>182</v>
      </c>
      <c r="Z3342">
        <v>5</v>
      </c>
      <c r="AA3342">
        <v>7</v>
      </c>
      <c r="AC3342">
        <v>1</v>
      </c>
      <c r="AD3342">
        <v>1</v>
      </c>
      <c r="AE3342">
        <v>0</v>
      </c>
      <c r="AF3342">
        <v>1</v>
      </c>
      <c r="AK3342">
        <v>2</v>
      </c>
      <c r="AL3342">
        <v>0</v>
      </c>
      <c r="AM3342">
        <v>0</v>
      </c>
      <c r="AN3342">
        <v>1</v>
      </c>
      <c r="AO3342">
        <v>2</v>
      </c>
      <c r="AP3342">
        <v>3</v>
      </c>
      <c r="AQ3342">
        <v>0</v>
      </c>
      <c r="AR3342">
        <v>0</v>
      </c>
      <c r="AT3342">
        <v>0</v>
      </c>
      <c r="AU3342">
        <v>15</v>
      </c>
      <c r="AV3342">
        <v>484</v>
      </c>
      <c r="AW3342">
        <v>484</v>
      </c>
      <c r="AX3342">
        <v>677</v>
      </c>
      <c r="BA3342">
        <v>1</v>
      </c>
      <c r="BC3342" t="s">
        <v>6788</v>
      </c>
      <c r="BD3342" s="4">
        <v>43283.19027777778</v>
      </c>
      <c r="BE3342" s="4">
        <v>43283.283726851849</v>
      </c>
      <c r="BF3342" s="4">
        <v>43283.283726851849</v>
      </c>
      <c r="BG3342" t="s">
        <v>83</v>
      </c>
      <c r="BH3342" t="s">
        <v>84</v>
      </c>
      <c r="BI3342" t="s">
        <v>85</v>
      </c>
    </row>
    <row r="3343" spans="1:61" x14ac:dyDescent="0.3">
      <c r="A3343" t="str">
        <f>"200619C0200"</f>
        <v>200619C0200</v>
      </c>
      <c r="B3343" t="s">
        <v>6789</v>
      </c>
      <c r="C3343">
        <v>20</v>
      </c>
      <c r="D3343" t="s">
        <v>79</v>
      </c>
      <c r="E3343">
        <v>16</v>
      </c>
      <c r="F3343" t="s">
        <v>6725</v>
      </c>
      <c r="G3343">
        <v>619</v>
      </c>
      <c r="H3343">
        <v>2</v>
      </c>
      <c r="I3343" t="s">
        <v>89</v>
      </c>
      <c r="J3343">
        <v>0</v>
      </c>
      <c r="K3343">
        <v>2</v>
      </c>
      <c r="L3343">
        <v>2</v>
      </c>
      <c r="M3343">
        <v>186</v>
      </c>
      <c r="N3343" t="s">
        <v>315</v>
      </c>
      <c r="O3343">
        <v>6</v>
      </c>
      <c r="P3343">
        <v>514</v>
      </c>
      <c r="Q3343">
        <v>25</v>
      </c>
      <c r="R3343">
        <v>107</v>
      </c>
      <c r="S3343">
        <v>88</v>
      </c>
      <c r="T3343">
        <v>12</v>
      </c>
      <c r="U3343">
        <v>14</v>
      </c>
      <c r="V3343">
        <v>12</v>
      </c>
      <c r="W3343">
        <v>8</v>
      </c>
      <c r="X3343">
        <v>11</v>
      </c>
      <c r="Y3343">
        <v>195</v>
      </c>
      <c r="Z3343">
        <v>9</v>
      </c>
      <c r="AA3343">
        <v>1</v>
      </c>
      <c r="AC3343">
        <v>2</v>
      </c>
      <c r="AD3343">
        <v>2</v>
      </c>
      <c r="AE3343">
        <v>0</v>
      </c>
      <c r="AF3343">
        <v>2</v>
      </c>
      <c r="AK3343">
        <v>2</v>
      </c>
      <c r="AL3343">
        <v>1</v>
      </c>
      <c r="AM3343">
        <v>0</v>
      </c>
      <c r="AN3343">
        <v>1</v>
      </c>
      <c r="AO3343">
        <v>2</v>
      </c>
      <c r="AP3343">
        <v>0</v>
      </c>
      <c r="AQ3343">
        <v>1</v>
      </c>
      <c r="AR3343">
        <v>0</v>
      </c>
      <c r="AT3343">
        <v>0</v>
      </c>
      <c r="AU3343">
        <v>19</v>
      </c>
      <c r="AV3343">
        <v>514</v>
      </c>
      <c r="AW3343">
        <v>514</v>
      </c>
      <c r="AX3343">
        <v>677</v>
      </c>
      <c r="BA3343">
        <v>1</v>
      </c>
      <c r="BC3343" t="s">
        <v>6790</v>
      </c>
      <c r="BD3343" s="4">
        <v>43283.19027777778</v>
      </c>
      <c r="BE3343" s="4">
        <v>43283.235393518517</v>
      </c>
      <c r="BF3343" s="4">
        <v>43283.235393518517</v>
      </c>
      <c r="BG3343" t="s">
        <v>83</v>
      </c>
      <c r="BH3343" t="s">
        <v>84</v>
      </c>
      <c r="BI3343" t="s">
        <v>85</v>
      </c>
    </row>
    <row r="3344" spans="1:61" x14ac:dyDescent="0.3">
      <c r="A3344" t="str">
        <f>"200620B0100"</f>
        <v>200620B0100</v>
      </c>
      <c r="B3344" t="s">
        <v>6791</v>
      </c>
      <c r="C3344">
        <v>20</v>
      </c>
      <c r="D3344" t="s">
        <v>79</v>
      </c>
      <c r="E3344">
        <v>16</v>
      </c>
      <c r="F3344" t="s">
        <v>6725</v>
      </c>
      <c r="G3344">
        <v>620</v>
      </c>
      <c r="H3344">
        <v>1</v>
      </c>
      <c r="I3344" t="s">
        <v>81</v>
      </c>
      <c r="J3344">
        <v>0</v>
      </c>
      <c r="K3344">
        <v>1</v>
      </c>
      <c r="L3344">
        <v>2</v>
      </c>
      <c r="M3344">
        <v>184</v>
      </c>
      <c r="N3344">
        <v>506</v>
      </c>
      <c r="O3344">
        <v>4</v>
      </c>
      <c r="P3344">
        <v>506</v>
      </c>
      <c r="Q3344">
        <v>42</v>
      </c>
      <c r="R3344">
        <v>85</v>
      </c>
      <c r="S3344">
        <v>104</v>
      </c>
      <c r="T3344">
        <v>7</v>
      </c>
      <c r="U3344">
        <v>10</v>
      </c>
      <c r="V3344">
        <v>12</v>
      </c>
      <c r="W3344">
        <v>6</v>
      </c>
      <c r="X3344">
        <v>8</v>
      </c>
      <c r="Y3344">
        <v>189</v>
      </c>
      <c r="Z3344">
        <v>8</v>
      </c>
      <c r="AA3344">
        <v>2</v>
      </c>
      <c r="AC3344">
        <v>3</v>
      </c>
      <c r="AD3344">
        <v>1</v>
      </c>
      <c r="AE3344">
        <v>3</v>
      </c>
      <c r="AF3344">
        <v>0</v>
      </c>
      <c r="AK3344">
        <v>2</v>
      </c>
      <c r="AL3344">
        <v>0</v>
      </c>
      <c r="AM3344">
        <v>1</v>
      </c>
      <c r="AN3344">
        <v>2</v>
      </c>
      <c r="AO3344">
        <v>2</v>
      </c>
      <c r="AP3344">
        <v>0</v>
      </c>
      <c r="AQ3344">
        <v>0</v>
      </c>
      <c r="AR3344">
        <v>0</v>
      </c>
      <c r="AT3344">
        <v>0</v>
      </c>
      <c r="AU3344">
        <v>19</v>
      </c>
      <c r="AV3344">
        <v>506</v>
      </c>
      <c r="AW3344">
        <v>506</v>
      </c>
      <c r="AX3344">
        <v>667</v>
      </c>
      <c r="BA3344">
        <v>1</v>
      </c>
      <c r="BC3344" t="s">
        <v>6792</v>
      </c>
      <c r="BD3344" s="4">
        <v>43283.212500000001</v>
      </c>
      <c r="BE3344" s="4">
        <v>43283.275833333333</v>
      </c>
      <c r="BF3344" s="4">
        <v>43283.275833333333</v>
      </c>
      <c r="BG3344" t="s">
        <v>83</v>
      </c>
      <c r="BH3344" t="s">
        <v>84</v>
      </c>
      <c r="BI3344" t="s">
        <v>85</v>
      </c>
    </row>
    <row r="3345" spans="1:61" x14ac:dyDescent="0.3">
      <c r="A3345" t="str">
        <f>"200620C0100"</f>
        <v>200620C0100</v>
      </c>
      <c r="B3345" t="s">
        <v>6793</v>
      </c>
      <c r="C3345">
        <v>20</v>
      </c>
      <c r="D3345" t="s">
        <v>79</v>
      </c>
      <c r="E3345">
        <v>16</v>
      </c>
      <c r="F3345" t="s">
        <v>6725</v>
      </c>
      <c r="G3345">
        <v>620</v>
      </c>
      <c r="H3345">
        <v>1</v>
      </c>
      <c r="I3345" t="s">
        <v>89</v>
      </c>
      <c r="J3345">
        <v>0</v>
      </c>
      <c r="K3345">
        <v>1</v>
      </c>
      <c r="L3345">
        <v>2</v>
      </c>
      <c r="M3345">
        <v>194</v>
      </c>
      <c r="N3345">
        <v>493</v>
      </c>
      <c r="O3345">
        <v>2</v>
      </c>
      <c r="P3345">
        <v>495</v>
      </c>
      <c r="Q3345">
        <v>47</v>
      </c>
      <c r="R3345">
        <v>104</v>
      </c>
      <c r="S3345">
        <v>92</v>
      </c>
      <c r="T3345">
        <v>11</v>
      </c>
      <c r="U3345">
        <v>11</v>
      </c>
      <c r="V3345">
        <v>9</v>
      </c>
      <c r="W3345">
        <v>4</v>
      </c>
      <c r="X3345">
        <v>10</v>
      </c>
      <c r="Y3345">
        <v>160</v>
      </c>
      <c r="Z3345">
        <v>10</v>
      </c>
      <c r="AA3345">
        <v>3</v>
      </c>
      <c r="AC3345">
        <v>1</v>
      </c>
      <c r="AD3345">
        <v>2</v>
      </c>
      <c r="AE3345">
        <v>0</v>
      </c>
      <c r="AF3345">
        <v>1</v>
      </c>
      <c r="AK3345">
        <v>4</v>
      </c>
      <c r="AL3345">
        <v>2</v>
      </c>
      <c r="AM3345">
        <v>0</v>
      </c>
      <c r="AN3345">
        <v>1</v>
      </c>
      <c r="AO3345">
        <v>2</v>
      </c>
      <c r="AP3345">
        <v>0</v>
      </c>
      <c r="AQ3345">
        <v>0</v>
      </c>
      <c r="AR3345">
        <v>0</v>
      </c>
      <c r="AT3345">
        <v>0</v>
      </c>
      <c r="AU3345">
        <v>21</v>
      </c>
      <c r="AV3345">
        <v>495</v>
      </c>
      <c r="AW3345">
        <v>495</v>
      </c>
      <c r="AX3345">
        <v>666</v>
      </c>
      <c r="BA3345">
        <v>1</v>
      </c>
      <c r="BC3345" t="s">
        <v>6794</v>
      </c>
      <c r="BD3345" s="4">
        <v>43283.212500000001</v>
      </c>
      <c r="BE3345" s="4">
        <v>43283.265648148146</v>
      </c>
      <c r="BF3345" s="4">
        <v>43283.265648148146</v>
      </c>
      <c r="BG3345" t="s">
        <v>83</v>
      </c>
      <c r="BH3345" t="s">
        <v>84</v>
      </c>
      <c r="BI3345" t="s">
        <v>85</v>
      </c>
    </row>
    <row r="3346" spans="1:61" x14ac:dyDescent="0.3">
      <c r="A3346" t="str">
        <f>"200620C0200"</f>
        <v>200620C0200</v>
      </c>
      <c r="B3346" t="s">
        <v>6795</v>
      </c>
      <c r="C3346">
        <v>20</v>
      </c>
      <c r="D3346" t="s">
        <v>79</v>
      </c>
      <c r="E3346">
        <v>16</v>
      </c>
      <c r="F3346" t="s">
        <v>6725</v>
      </c>
      <c r="G3346">
        <v>620</v>
      </c>
      <c r="H3346">
        <v>2</v>
      </c>
      <c r="I3346" t="s">
        <v>89</v>
      </c>
      <c r="J3346">
        <v>0</v>
      </c>
      <c r="K3346">
        <v>1</v>
      </c>
      <c r="L3346">
        <v>2</v>
      </c>
      <c r="M3346">
        <v>210</v>
      </c>
      <c r="N3346">
        <v>479</v>
      </c>
      <c r="O3346">
        <v>4</v>
      </c>
      <c r="P3346">
        <v>452</v>
      </c>
      <c r="Q3346">
        <v>44</v>
      </c>
      <c r="R3346">
        <v>122</v>
      </c>
      <c r="S3346">
        <v>77</v>
      </c>
      <c r="T3346">
        <v>11</v>
      </c>
      <c r="U3346">
        <v>10</v>
      </c>
      <c r="V3346">
        <v>19</v>
      </c>
      <c r="W3346">
        <v>1</v>
      </c>
      <c r="X3346">
        <v>12</v>
      </c>
      <c r="Y3346">
        <v>137</v>
      </c>
      <c r="Z3346">
        <v>10</v>
      </c>
      <c r="AA3346">
        <v>4</v>
      </c>
      <c r="AC3346">
        <v>3</v>
      </c>
      <c r="AD3346">
        <v>4</v>
      </c>
      <c r="AE3346">
        <v>0</v>
      </c>
      <c r="AF3346">
        <v>0</v>
      </c>
      <c r="AK3346">
        <v>3</v>
      </c>
      <c r="AL3346">
        <v>2</v>
      </c>
      <c r="AM3346">
        <v>0</v>
      </c>
      <c r="AN3346">
        <v>1</v>
      </c>
      <c r="AO3346">
        <v>1</v>
      </c>
      <c r="AP3346">
        <v>1</v>
      </c>
      <c r="AQ3346">
        <v>0</v>
      </c>
      <c r="AR3346">
        <v>0</v>
      </c>
      <c r="AT3346">
        <v>0</v>
      </c>
      <c r="AU3346">
        <v>17</v>
      </c>
      <c r="AV3346">
        <v>479</v>
      </c>
      <c r="AW3346">
        <v>479</v>
      </c>
      <c r="AX3346">
        <v>666</v>
      </c>
      <c r="BA3346">
        <v>1</v>
      </c>
      <c r="BC3346" t="s">
        <v>6796</v>
      </c>
      <c r="BD3346" s="4">
        <v>43283.212500000001</v>
      </c>
      <c r="BE3346" s="4">
        <v>43283.262881944444</v>
      </c>
      <c r="BF3346" s="4">
        <v>43283.262881944444</v>
      </c>
      <c r="BG3346" t="s">
        <v>83</v>
      </c>
      <c r="BH3346" t="s">
        <v>84</v>
      </c>
      <c r="BI3346" t="s">
        <v>85</v>
      </c>
    </row>
    <row r="3347" spans="1:61" x14ac:dyDescent="0.3">
      <c r="A3347" t="str">
        <f>"200620C0300"</f>
        <v>200620C0300</v>
      </c>
      <c r="B3347" t="s">
        <v>6797</v>
      </c>
      <c r="C3347">
        <v>20</v>
      </c>
      <c r="D3347" t="s">
        <v>79</v>
      </c>
      <c r="E3347">
        <v>16</v>
      </c>
      <c r="F3347" t="s">
        <v>6725</v>
      </c>
      <c r="G3347">
        <v>620</v>
      </c>
      <c r="H3347">
        <v>3</v>
      </c>
      <c r="I3347" t="s">
        <v>89</v>
      </c>
      <c r="J3347">
        <v>0</v>
      </c>
      <c r="K3347">
        <v>1</v>
      </c>
      <c r="L3347">
        <v>2</v>
      </c>
      <c r="M3347">
        <v>189</v>
      </c>
      <c r="N3347">
        <v>500</v>
      </c>
      <c r="O3347">
        <v>4</v>
      </c>
      <c r="P3347">
        <v>500</v>
      </c>
      <c r="Q3347">
        <v>36</v>
      </c>
      <c r="R3347">
        <v>98</v>
      </c>
      <c r="S3347">
        <v>112</v>
      </c>
      <c r="T3347">
        <v>6</v>
      </c>
      <c r="U3347">
        <v>13</v>
      </c>
      <c r="V3347">
        <v>10</v>
      </c>
      <c r="W3347">
        <v>7</v>
      </c>
      <c r="X3347">
        <v>11</v>
      </c>
      <c r="Y3347">
        <v>159</v>
      </c>
      <c r="Z3347">
        <v>4</v>
      </c>
      <c r="AA3347">
        <v>4</v>
      </c>
      <c r="AC3347">
        <v>0</v>
      </c>
      <c r="AD3347">
        <v>2</v>
      </c>
      <c r="AE3347">
        <v>0</v>
      </c>
      <c r="AF3347">
        <v>1</v>
      </c>
      <c r="AK3347">
        <v>4</v>
      </c>
      <c r="AL3347">
        <v>2</v>
      </c>
      <c r="AM3347">
        <v>0</v>
      </c>
      <c r="AN3347">
        <v>0</v>
      </c>
      <c r="AO3347">
        <v>4</v>
      </c>
      <c r="AP3347">
        <v>2</v>
      </c>
      <c r="AQ3347">
        <v>2</v>
      </c>
      <c r="AR3347">
        <v>0</v>
      </c>
      <c r="AT3347">
        <v>0</v>
      </c>
      <c r="AU3347">
        <v>23</v>
      </c>
      <c r="AV3347">
        <v>500</v>
      </c>
      <c r="AW3347">
        <v>500</v>
      </c>
      <c r="AX3347">
        <v>666</v>
      </c>
      <c r="BA3347">
        <v>1</v>
      </c>
      <c r="BC3347" t="s">
        <v>6798</v>
      </c>
      <c r="BD3347" s="4">
        <v>43283.212500000001</v>
      </c>
      <c r="BE3347" s="4">
        <v>43283.26829861111</v>
      </c>
      <c r="BF3347" s="4">
        <v>43283.26829861111</v>
      </c>
      <c r="BG3347" t="s">
        <v>83</v>
      </c>
      <c r="BH3347" t="s">
        <v>84</v>
      </c>
      <c r="BI3347" t="s">
        <v>85</v>
      </c>
    </row>
    <row r="3348" spans="1:61" x14ac:dyDescent="0.3">
      <c r="A3348" t="str">
        <f>"200621B0100"</f>
        <v>200621B0100</v>
      </c>
      <c r="B3348" t="s">
        <v>6799</v>
      </c>
      <c r="C3348">
        <v>20</v>
      </c>
      <c r="D3348" t="s">
        <v>79</v>
      </c>
      <c r="E3348">
        <v>16</v>
      </c>
      <c r="F3348" t="s">
        <v>6725</v>
      </c>
      <c r="G3348">
        <v>621</v>
      </c>
      <c r="H3348">
        <v>1</v>
      </c>
      <c r="I3348" t="s">
        <v>81</v>
      </c>
      <c r="J3348">
        <v>0</v>
      </c>
      <c r="K3348">
        <v>1</v>
      </c>
      <c r="L3348">
        <v>2</v>
      </c>
      <c r="M3348">
        <v>148</v>
      </c>
      <c r="N3348">
        <v>385</v>
      </c>
      <c r="O3348">
        <v>0</v>
      </c>
      <c r="P3348" t="s">
        <v>100</v>
      </c>
      <c r="Q3348">
        <v>29</v>
      </c>
      <c r="R3348">
        <v>68</v>
      </c>
      <c r="S3348">
        <v>48</v>
      </c>
      <c r="T3348">
        <v>2</v>
      </c>
      <c r="U3348">
        <v>4</v>
      </c>
      <c r="V3348">
        <v>6</v>
      </c>
      <c r="W3348">
        <v>4</v>
      </c>
      <c r="X3348">
        <v>2</v>
      </c>
      <c r="Y3348">
        <v>177</v>
      </c>
      <c r="Z3348">
        <v>3</v>
      </c>
      <c r="AA3348">
        <v>4</v>
      </c>
      <c r="AC3348">
        <v>0</v>
      </c>
      <c r="AD3348">
        <v>1</v>
      </c>
      <c r="AE3348">
        <v>1</v>
      </c>
      <c r="AF3348">
        <v>0</v>
      </c>
      <c r="AK3348">
        <v>4</v>
      </c>
      <c r="AL3348">
        <v>0</v>
      </c>
      <c r="AM3348">
        <v>0</v>
      </c>
      <c r="AN3348">
        <v>0</v>
      </c>
      <c r="AO3348">
        <v>1</v>
      </c>
      <c r="AP3348">
        <v>1</v>
      </c>
      <c r="AQ3348">
        <v>0</v>
      </c>
      <c r="AR3348">
        <v>0</v>
      </c>
      <c r="AT3348" t="s">
        <v>100</v>
      </c>
      <c r="AU3348">
        <v>19</v>
      </c>
      <c r="AV3348" t="s">
        <v>100</v>
      </c>
      <c r="AW3348">
        <v>374</v>
      </c>
      <c r="AX3348">
        <v>510</v>
      </c>
      <c r="AZ3348" t="s">
        <v>101</v>
      </c>
      <c r="BA3348">
        <v>1</v>
      </c>
      <c r="BC3348" t="s">
        <v>6800</v>
      </c>
      <c r="BD3348" s="4">
        <v>43283.19027777778</v>
      </c>
      <c r="BE3348" s="4">
        <v>43283.312048611115</v>
      </c>
      <c r="BF3348" s="4">
        <v>43283.312048611115</v>
      </c>
      <c r="BG3348" t="s">
        <v>83</v>
      </c>
      <c r="BH3348" t="s">
        <v>84</v>
      </c>
      <c r="BI3348" t="s">
        <v>85</v>
      </c>
    </row>
    <row r="3349" spans="1:61" x14ac:dyDescent="0.3">
      <c r="A3349" t="str">
        <f>"200621C0100"</f>
        <v>200621C0100</v>
      </c>
      <c r="B3349" t="s">
        <v>6801</v>
      </c>
      <c r="C3349">
        <v>20</v>
      </c>
      <c r="D3349" t="s">
        <v>79</v>
      </c>
      <c r="E3349">
        <v>16</v>
      </c>
      <c r="F3349" t="s">
        <v>6725</v>
      </c>
      <c r="G3349">
        <v>621</v>
      </c>
      <c r="H3349">
        <v>1</v>
      </c>
      <c r="I3349" t="s">
        <v>89</v>
      </c>
      <c r="J3349">
        <v>0</v>
      </c>
      <c r="K3349">
        <v>1</v>
      </c>
      <c r="L3349">
        <v>2</v>
      </c>
      <c r="M3349">
        <v>169</v>
      </c>
      <c r="N3349">
        <v>364</v>
      </c>
      <c r="O3349">
        <v>0</v>
      </c>
      <c r="P3349">
        <v>364</v>
      </c>
      <c r="Q3349">
        <v>33</v>
      </c>
      <c r="R3349">
        <v>76</v>
      </c>
      <c r="S3349">
        <v>41</v>
      </c>
      <c r="T3349">
        <v>4</v>
      </c>
      <c r="U3349">
        <v>7</v>
      </c>
      <c r="V3349">
        <v>13</v>
      </c>
      <c r="W3349">
        <v>2</v>
      </c>
      <c r="X3349">
        <v>4</v>
      </c>
      <c r="Y3349">
        <v>139</v>
      </c>
      <c r="Z3349">
        <v>14</v>
      </c>
      <c r="AA3349">
        <v>2</v>
      </c>
      <c r="AC3349">
        <v>3</v>
      </c>
      <c r="AD3349">
        <v>0</v>
      </c>
      <c r="AE3349">
        <v>0</v>
      </c>
      <c r="AF3349">
        <v>0</v>
      </c>
      <c r="AK3349">
        <v>2</v>
      </c>
      <c r="AL3349">
        <v>2</v>
      </c>
      <c r="AM3349">
        <v>0</v>
      </c>
      <c r="AN3349">
        <v>1</v>
      </c>
      <c r="AO3349">
        <v>3</v>
      </c>
      <c r="AP3349">
        <v>1</v>
      </c>
      <c r="AQ3349">
        <v>0</v>
      </c>
      <c r="AR3349">
        <v>0</v>
      </c>
      <c r="AT3349">
        <v>0</v>
      </c>
      <c r="AU3349">
        <v>17</v>
      </c>
      <c r="AV3349" t="s">
        <v>100</v>
      </c>
      <c r="AW3349">
        <v>364</v>
      </c>
      <c r="AX3349">
        <v>510</v>
      </c>
      <c r="BA3349">
        <v>1</v>
      </c>
      <c r="BC3349" t="s">
        <v>6802</v>
      </c>
      <c r="BD3349" s="4">
        <v>43283.19027777778</v>
      </c>
      <c r="BE3349" s="4">
        <v>43283.278495370374</v>
      </c>
      <c r="BF3349" s="4">
        <v>43283.278495370374</v>
      </c>
      <c r="BG3349" t="s">
        <v>83</v>
      </c>
      <c r="BH3349" t="s">
        <v>84</v>
      </c>
      <c r="BI3349" t="s">
        <v>85</v>
      </c>
    </row>
    <row r="3350" spans="1:61" x14ac:dyDescent="0.3">
      <c r="A3350" t="str">
        <f>"200621C0200"</f>
        <v>200621C0200</v>
      </c>
      <c r="B3350" t="s">
        <v>6803</v>
      </c>
      <c r="C3350">
        <v>20</v>
      </c>
      <c r="D3350" t="s">
        <v>79</v>
      </c>
      <c r="E3350">
        <v>16</v>
      </c>
      <c r="F3350" t="s">
        <v>6725</v>
      </c>
      <c r="G3350">
        <v>621</v>
      </c>
      <c r="H3350">
        <v>2</v>
      </c>
      <c r="I3350" t="s">
        <v>89</v>
      </c>
      <c r="J3350">
        <v>0</v>
      </c>
      <c r="K3350">
        <v>1</v>
      </c>
      <c r="L3350">
        <v>2</v>
      </c>
      <c r="M3350">
        <v>173</v>
      </c>
      <c r="N3350">
        <v>358</v>
      </c>
      <c r="O3350">
        <v>2</v>
      </c>
      <c r="P3350">
        <v>358</v>
      </c>
      <c r="Q3350">
        <v>24</v>
      </c>
      <c r="R3350">
        <v>60</v>
      </c>
      <c r="S3350">
        <v>62</v>
      </c>
      <c r="T3350">
        <v>2</v>
      </c>
      <c r="U3350">
        <v>2</v>
      </c>
      <c r="V3350">
        <v>7</v>
      </c>
      <c r="W3350">
        <v>8</v>
      </c>
      <c r="X3350">
        <v>5</v>
      </c>
      <c r="Y3350">
        <v>154</v>
      </c>
      <c r="Z3350">
        <v>7</v>
      </c>
      <c r="AA3350">
        <v>3</v>
      </c>
      <c r="AC3350">
        <v>2</v>
      </c>
      <c r="AD3350">
        <v>1</v>
      </c>
      <c r="AE3350">
        <v>0</v>
      </c>
      <c r="AF3350">
        <v>0</v>
      </c>
      <c r="AK3350">
        <v>6</v>
      </c>
      <c r="AL3350">
        <v>0</v>
      </c>
      <c r="AM3350">
        <v>1</v>
      </c>
      <c r="AN3350">
        <v>0</v>
      </c>
      <c r="AO3350">
        <v>1</v>
      </c>
      <c r="AP3350">
        <v>0</v>
      </c>
      <c r="AQ3350">
        <v>0</v>
      </c>
      <c r="AR3350">
        <v>0</v>
      </c>
      <c r="AT3350">
        <v>0</v>
      </c>
      <c r="AU3350">
        <v>14</v>
      </c>
      <c r="AV3350">
        <v>360</v>
      </c>
      <c r="AW3350">
        <v>359</v>
      </c>
      <c r="AX3350">
        <v>510</v>
      </c>
      <c r="BA3350">
        <v>1</v>
      </c>
      <c r="BC3350" t="s">
        <v>6804</v>
      </c>
      <c r="BD3350" s="4">
        <v>43283.19027777778</v>
      </c>
      <c r="BE3350" s="4">
        <v>43283.232523148145</v>
      </c>
      <c r="BF3350" s="4">
        <v>43283.232523148145</v>
      </c>
      <c r="BG3350" t="s">
        <v>83</v>
      </c>
      <c r="BH3350" t="s">
        <v>84</v>
      </c>
      <c r="BI3350" t="s">
        <v>85</v>
      </c>
    </row>
    <row r="3351" spans="1:61" x14ac:dyDescent="0.3">
      <c r="A3351" t="str">
        <f>"200622B0100"</f>
        <v>200622B0100</v>
      </c>
      <c r="B3351" t="s">
        <v>6805</v>
      </c>
      <c r="C3351">
        <v>20</v>
      </c>
      <c r="D3351" t="s">
        <v>79</v>
      </c>
      <c r="E3351">
        <v>16</v>
      </c>
      <c r="F3351" t="s">
        <v>6725</v>
      </c>
      <c r="G3351">
        <v>622</v>
      </c>
      <c r="H3351">
        <v>1</v>
      </c>
      <c r="I3351" t="s">
        <v>81</v>
      </c>
      <c r="J3351">
        <v>0</v>
      </c>
      <c r="K3351">
        <v>1</v>
      </c>
      <c r="L3351">
        <v>2</v>
      </c>
      <c r="M3351">
        <v>175</v>
      </c>
      <c r="N3351">
        <v>519</v>
      </c>
      <c r="O3351">
        <v>2</v>
      </c>
      <c r="P3351">
        <v>517</v>
      </c>
      <c r="Q3351">
        <v>40</v>
      </c>
      <c r="R3351">
        <v>121</v>
      </c>
      <c r="S3351">
        <v>60</v>
      </c>
      <c r="T3351">
        <v>8</v>
      </c>
      <c r="U3351">
        <v>11</v>
      </c>
      <c r="V3351">
        <v>10</v>
      </c>
      <c r="W3351">
        <v>5</v>
      </c>
      <c r="X3351">
        <v>5</v>
      </c>
      <c r="Y3351">
        <v>206</v>
      </c>
      <c r="Z3351">
        <v>8</v>
      </c>
      <c r="AA3351">
        <v>6</v>
      </c>
      <c r="AC3351">
        <v>5</v>
      </c>
      <c r="AD3351">
        <v>3</v>
      </c>
      <c r="AE3351">
        <v>0</v>
      </c>
      <c r="AF3351">
        <v>1</v>
      </c>
      <c r="AK3351">
        <v>1</v>
      </c>
      <c r="AL3351">
        <v>0</v>
      </c>
      <c r="AM3351">
        <v>0</v>
      </c>
      <c r="AN3351">
        <v>1</v>
      </c>
      <c r="AO3351">
        <v>3</v>
      </c>
      <c r="AP3351">
        <v>3</v>
      </c>
      <c r="AQ3351">
        <v>0</v>
      </c>
      <c r="AR3351">
        <v>0</v>
      </c>
      <c r="AT3351">
        <v>1</v>
      </c>
      <c r="AU3351">
        <v>21</v>
      </c>
      <c r="AV3351">
        <v>519</v>
      </c>
      <c r="AW3351">
        <v>519</v>
      </c>
      <c r="AX3351">
        <v>671</v>
      </c>
      <c r="BA3351">
        <v>1</v>
      </c>
      <c r="BC3351" t="s">
        <v>6806</v>
      </c>
      <c r="BD3351" s="4">
        <v>43283.212500000001</v>
      </c>
      <c r="BE3351" s="4">
        <v>43283.265405092592</v>
      </c>
      <c r="BF3351" s="4">
        <v>43283.265405092592</v>
      </c>
      <c r="BG3351" t="s">
        <v>83</v>
      </c>
      <c r="BH3351" t="s">
        <v>84</v>
      </c>
      <c r="BI3351" t="s">
        <v>85</v>
      </c>
    </row>
    <row r="3352" spans="1:61" x14ac:dyDescent="0.3">
      <c r="A3352" t="str">
        <f>"200622C0100"</f>
        <v>200622C0100</v>
      </c>
      <c r="B3352" t="s">
        <v>6807</v>
      </c>
      <c r="C3352">
        <v>20</v>
      </c>
      <c r="D3352" t="s">
        <v>79</v>
      </c>
      <c r="E3352">
        <v>16</v>
      </c>
      <c r="F3352" t="s">
        <v>6725</v>
      </c>
      <c r="G3352">
        <v>622</v>
      </c>
      <c r="H3352">
        <v>1</v>
      </c>
      <c r="I3352" t="s">
        <v>89</v>
      </c>
      <c r="J3352">
        <v>0</v>
      </c>
      <c r="K3352">
        <v>1</v>
      </c>
      <c r="L3352">
        <v>2</v>
      </c>
      <c r="M3352">
        <v>183</v>
      </c>
      <c r="N3352">
        <v>511</v>
      </c>
      <c r="O3352">
        <v>1</v>
      </c>
      <c r="P3352">
        <v>511</v>
      </c>
      <c r="Q3352">
        <v>34</v>
      </c>
      <c r="R3352">
        <v>123</v>
      </c>
      <c r="S3352">
        <v>80</v>
      </c>
      <c r="T3352">
        <v>6</v>
      </c>
      <c r="U3352">
        <v>12</v>
      </c>
      <c r="V3352">
        <v>10</v>
      </c>
      <c r="W3352">
        <v>7</v>
      </c>
      <c r="X3352">
        <v>11</v>
      </c>
      <c r="Y3352">
        <v>189</v>
      </c>
      <c r="Z3352">
        <v>7</v>
      </c>
      <c r="AA3352">
        <v>1</v>
      </c>
      <c r="AC3352">
        <v>3</v>
      </c>
      <c r="AD3352">
        <v>0</v>
      </c>
      <c r="AE3352">
        <v>0</v>
      </c>
      <c r="AF3352">
        <v>0</v>
      </c>
      <c r="AK3352">
        <v>3</v>
      </c>
      <c r="AL3352">
        <v>1</v>
      </c>
      <c r="AM3352">
        <v>0</v>
      </c>
      <c r="AN3352">
        <v>2</v>
      </c>
      <c r="AO3352">
        <v>2</v>
      </c>
      <c r="AP3352">
        <v>0</v>
      </c>
      <c r="AQ3352">
        <v>1</v>
      </c>
      <c r="AR3352">
        <v>0</v>
      </c>
      <c r="AT3352">
        <v>0</v>
      </c>
      <c r="AU3352">
        <v>19</v>
      </c>
      <c r="AV3352" t="s">
        <v>100</v>
      </c>
      <c r="AW3352">
        <v>511</v>
      </c>
      <c r="AX3352">
        <v>671</v>
      </c>
      <c r="BA3352">
        <v>1</v>
      </c>
      <c r="BC3352" t="s">
        <v>6808</v>
      </c>
      <c r="BD3352" s="4">
        <v>43283.212500000001</v>
      </c>
      <c r="BE3352" s="4">
        <v>43283.259525462963</v>
      </c>
      <c r="BF3352" s="4">
        <v>43283.259525462963</v>
      </c>
      <c r="BG3352" t="s">
        <v>83</v>
      </c>
      <c r="BH3352" t="s">
        <v>84</v>
      </c>
      <c r="BI3352" t="s">
        <v>85</v>
      </c>
    </row>
    <row r="3353" spans="1:61" x14ac:dyDescent="0.3">
      <c r="A3353" t="str">
        <f>"200622C0200"</f>
        <v>200622C0200</v>
      </c>
      <c r="B3353" t="s">
        <v>6809</v>
      </c>
      <c r="C3353">
        <v>20</v>
      </c>
      <c r="D3353" t="s">
        <v>79</v>
      </c>
      <c r="E3353">
        <v>16</v>
      </c>
      <c r="F3353" t="s">
        <v>6725</v>
      </c>
      <c r="G3353">
        <v>622</v>
      </c>
      <c r="H3353">
        <v>2</v>
      </c>
      <c r="I3353" t="s">
        <v>89</v>
      </c>
      <c r="J3353">
        <v>0</v>
      </c>
      <c r="K3353">
        <v>1</v>
      </c>
      <c r="L3353">
        <v>2</v>
      </c>
      <c r="M3353">
        <v>206</v>
      </c>
      <c r="N3353">
        <v>486</v>
      </c>
      <c r="O3353">
        <v>1</v>
      </c>
      <c r="P3353">
        <v>486</v>
      </c>
      <c r="Q3353">
        <v>35</v>
      </c>
      <c r="R3353">
        <v>110</v>
      </c>
      <c r="S3353">
        <v>79</v>
      </c>
      <c r="T3353">
        <v>9</v>
      </c>
      <c r="U3353">
        <v>17</v>
      </c>
      <c r="V3353">
        <v>11</v>
      </c>
      <c r="W3353">
        <v>4</v>
      </c>
      <c r="X3353">
        <v>5</v>
      </c>
      <c r="Y3353">
        <v>171</v>
      </c>
      <c r="Z3353">
        <v>11</v>
      </c>
      <c r="AA3353">
        <v>2</v>
      </c>
      <c r="AC3353">
        <v>0</v>
      </c>
      <c r="AD3353">
        <v>0</v>
      </c>
      <c r="AE3353">
        <v>0</v>
      </c>
      <c r="AF3353">
        <v>1</v>
      </c>
      <c r="AK3353">
        <v>2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2</v>
      </c>
      <c r="AR3353">
        <v>0</v>
      </c>
      <c r="AT3353">
        <v>0</v>
      </c>
      <c r="AU3353">
        <v>27</v>
      </c>
      <c r="AV3353">
        <v>486</v>
      </c>
      <c r="AW3353">
        <v>486</v>
      </c>
      <c r="AX3353">
        <v>670</v>
      </c>
      <c r="BA3353">
        <v>1</v>
      </c>
      <c r="BC3353" t="s">
        <v>6810</v>
      </c>
      <c r="BD3353" s="4">
        <v>43283.129166666666</v>
      </c>
      <c r="BE3353" s="4">
        <v>43283.268321759257</v>
      </c>
      <c r="BF3353" s="4">
        <v>43283.268321759257</v>
      </c>
      <c r="BG3353" t="s">
        <v>83</v>
      </c>
      <c r="BH3353" t="s">
        <v>84</v>
      </c>
      <c r="BI3353" t="s">
        <v>85</v>
      </c>
    </row>
    <row r="3354" spans="1:61" x14ac:dyDescent="0.3">
      <c r="A3354" t="str">
        <f>"200623B0100"</f>
        <v>200623B0100</v>
      </c>
      <c r="B3354" t="s">
        <v>6811</v>
      </c>
      <c r="C3354">
        <v>20</v>
      </c>
      <c r="D3354" t="s">
        <v>79</v>
      </c>
      <c r="E3354">
        <v>16</v>
      </c>
      <c r="F3354" t="s">
        <v>6725</v>
      </c>
      <c r="G3354">
        <v>623</v>
      </c>
      <c r="H3354">
        <v>1</v>
      </c>
      <c r="I3354" t="s">
        <v>81</v>
      </c>
      <c r="J3354">
        <v>0</v>
      </c>
      <c r="K3354">
        <v>2</v>
      </c>
      <c r="L3354">
        <v>2</v>
      </c>
      <c r="M3354">
        <v>108</v>
      </c>
      <c r="N3354">
        <v>357</v>
      </c>
      <c r="O3354">
        <v>5</v>
      </c>
      <c r="P3354">
        <v>352</v>
      </c>
      <c r="Q3354">
        <v>27</v>
      </c>
      <c r="R3354">
        <v>44</v>
      </c>
      <c r="S3354">
        <v>93</v>
      </c>
      <c r="T3354">
        <v>2</v>
      </c>
      <c r="U3354">
        <v>7</v>
      </c>
      <c r="V3354">
        <v>13</v>
      </c>
      <c r="W3354">
        <v>5</v>
      </c>
      <c r="X3354">
        <v>3</v>
      </c>
      <c r="Y3354">
        <v>130</v>
      </c>
      <c r="Z3354">
        <v>4</v>
      </c>
      <c r="AA3354">
        <v>3</v>
      </c>
      <c r="AC3354">
        <v>1</v>
      </c>
      <c r="AD3354">
        <v>1</v>
      </c>
      <c r="AE3354">
        <v>0</v>
      </c>
      <c r="AF3354">
        <v>0</v>
      </c>
      <c r="AK3354">
        <v>4</v>
      </c>
      <c r="AL3354">
        <v>0</v>
      </c>
      <c r="AM3354">
        <v>0</v>
      </c>
      <c r="AN3354">
        <v>1</v>
      </c>
      <c r="AO3354">
        <v>1</v>
      </c>
      <c r="AP3354">
        <v>0</v>
      </c>
      <c r="AQ3354">
        <v>0</v>
      </c>
      <c r="AR3354">
        <v>0</v>
      </c>
      <c r="AT3354">
        <v>1</v>
      </c>
      <c r="AU3354">
        <v>15</v>
      </c>
      <c r="AV3354">
        <v>355</v>
      </c>
      <c r="AW3354">
        <v>355</v>
      </c>
      <c r="AX3354">
        <v>442</v>
      </c>
      <c r="BA3354">
        <v>1</v>
      </c>
      <c r="BC3354" t="s">
        <v>6812</v>
      </c>
      <c r="BD3354" s="4">
        <v>43283.212500000001</v>
      </c>
      <c r="BE3354" s="4">
        <v>43283.263599537036</v>
      </c>
      <c r="BF3354" s="4">
        <v>43283.263599537036</v>
      </c>
      <c r="BG3354" t="s">
        <v>83</v>
      </c>
      <c r="BH3354" t="s">
        <v>84</v>
      </c>
      <c r="BI3354" t="s">
        <v>85</v>
      </c>
    </row>
    <row r="3355" spans="1:61" x14ac:dyDescent="0.3">
      <c r="A3355" t="str">
        <f>"200623C0100"</f>
        <v>200623C0100</v>
      </c>
      <c r="B3355" t="s">
        <v>6813</v>
      </c>
      <c r="C3355">
        <v>20</v>
      </c>
      <c r="D3355" t="s">
        <v>79</v>
      </c>
      <c r="E3355">
        <v>16</v>
      </c>
      <c r="F3355" t="s">
        <v>6725</v>
      </c>
      <c r="G3355">
        <v>623</v>
      </c>
      <c r="H3355">
        <v>1</v>
      </c>
      <c r="I3355" t="s">
        <v>89</v>
      </c>
      <c r="J3355">
        <v>0</v>
      </c>
      <c r="K3355">
        <v>2</v>
      </c>
      <c r="L3355">
        <v>2</v>
      </c>
      <c r="M3355">
        <v>119</v>
      </c>
      <c r="N3355">
        <v>346</v>
      </c>
      <c r="O3355">
        <v>1</v>
      </c>
      <c r="P3355">
        <v>346</v>
      </c>
      <c r="Q3355">
        <v>21</v>
      </c>
      <c r="R3355">
        <v>35</v>
      </c>
      <c r="S3355">
        <v>86</v>
      </c>
      <c r="T3355">
        <v>2</v>
      </c>
      <c r="U3355">
        <v>8</v>
      </c>
      <c r="V3355">
        <v>12</v>
      </c>
      <c r="W3355">
        <v>2</v>
      </c>
      <c r="X3355">
        <v>6</v>
      </c>
      <c r="Y3355">
        <v>135</v>
      </c>
      <c r="Z3355">
        <v>4</v>
      </c>
      <c r="AA3355">
        <v>3</v>
      </c>
      <c r="AC3355">
        <v>1</v>
      </c>
      <c r="AD3355">
        <v>1</v>
      </c>
      <c r="AE3355">
        <v>0</v>
      </c>
      <c r="AF3355">
        <v>0</v>
      </c>
      <c r="AK3355">
        <v>3</v>
      </c>
      <c r="AL3355">
        <v>4</v>
      </c>
      <c r="AM3355">
        <v>0</v>
      </c>
      <c r="AN3355">
        <v>1</v>
      </c>
      <c r="AO3355">
        <v>0</v>
      </c>
      <c r="AP3355">
        <v>1</v>
      </c>
      <c r="AQ3355">
        <v>0</v>
      </c>
      <c r="AR3355">
        <v>0</v>
      </c>
      <c r="AT3355">
        <v>0</v>
      </c>
      <c r="AU3355">
        <v>22</v>
      </c>
      <c r="AV3355">
        <v>347</v>
      </c>
      <c r="AW3355">
        <v>347</v>
      </c>
      <c r="AX3355">
        <v>442</v>
      </c>
      <c r="BA3355">
        <v>1</v>
      </c>
      <c r="BC3355" t="s">
        <v>6814</v>
      </c>
      <c r="BD3355" s="4">
        <v>43283.212500000001</v>
      </c>
      <c r="BE3355" s="4">
        <v>43283.262615740743</v>
      </c>
      <c r="BF3355" s="4">
        <v>43283.262615740743</v>
      </c>
      <c r="BG3355" t="s">
        <v>83</v>
      </c>
      <c r="BH3355" t="s">
        <v>84</v>
      </c>
      <c r="BI3355" t="s">
        <v>85</v>
      </c>
    </row>
    <row r="3356" spans="1:61" x14ac:dyDescent="0.3">
      <c r="A3356" t="str">
        <f>"200624B0100"</f>
        <v>200624B0100</v>
      </c>
      <c r="B3356" t="s">
        <v>6815</v>
      </c>
      <c r="C3356">
        <v>20</v>
      </c>
      <c r="D3356" t="s">
        <v>79</v>
      </c>
      <c r="E3356">
        <v>16</v>
      </c>
      <c r="F3356" t="s">
        <v>6725</v>
      </c>
      <c r="G3356">
        <v>624</v>
      </c>
      <c r="H3356">
        <v>1</v>
      </c>
      <c r="I3356" t="s">
        <v>81</v>
      </c>
      <c r="J3356">
        <v>0</v>
      </c>
      <c r="K3356">
        <v>2</v>
      </c>
      <c r="L3356">
        <v>2</v>
      </c>
      <c r="M3356">
        <v>221</v>
      </c>
      <c r="N3356">
        <v>477</v>
      </c>
      <c r="O3356">
        <v>1</v>
      </c>
      <c r="P3356">
        <v>477</v>
      </c>
      <c r="Q3356">
        <v>33</v>
      </c>
      <c r="R3356">
        <v>42</v>
      </c>
      <c r="S3356">
        <v>129</v>
      </c>
      <c r="T3356">
        <v>10</v>
      </c>
      <c r="U3356">
        <v>9</v>
      </c>
      <c r="V3356">
        <v>19</v>
      </c>
      <c r="W3356">
        <v>14</v>
      </c>
      <c r="X3356">
        <v>6</v>
      </c>
      <c r="Y3356">
        <v>167</v>
      </c>
      <c r="Z3356">
        <v>5</v>
      </c>
      <c r="AA3356">
        <v>7</v>
      </c>
      <c r="AC3356">
        <v>0</v>
      </c>
      <c r="AD3356">
        <v>4</v>
      </c>
      <c r="AE3356">
        <v>1</v>
      </c>
      <c r="AF3356">
        <v>0</v>
      </c>
      <c r="AK3356">
        <v>1</v>
      </c>
      <c r="AL3356">
        <v>1</v>
      </c>
      <c r="AM3356">
        <v>0</v>
      </c>
      <c r="AN3356">
        <v>0</v>
      </c>
      <c r="AO3356">
        <v>1</v>
      </c>
      <c r="AP3356">
        <v>0</v>
      </c>
      <c r="AQ3356">
        <v>0</v>
      </c>
      <c r="AR3356">
        <v>0</v>
      </c>
      <c r="AT3356">
        <v>0</v>
      </c>
      <c r="AU3356">
        <v>28</v>
      </c>
      <c r="AV3356">
        <v>477</v>
      </c>
      <c r="AW3356">
        <v>477</v>
      </c>
      <c r="AX3356">
        <v>676</v>
      </c>
      <c r="BA3356">
        <v>1</v>
      </c>
      <c r="BC3356" t="s">
        <v>6816</v>
      </c>
      <c r="BD3356" s="4">
        <v>43283.340277777781</v>
      </c>
      <c r="BE3356" s="4">
        <v>43283.363668981481</v>
      </c>
      <c r="BF3356" s="4">
        <v>43283.363668981481</v>
      </c>
      <c r="BG3356" t="s">
        <v>83</v>
      </c>
      <c r="BH3356" t="s">
        <v>84</v>
      </c>
      <c r="BI3356" t="s">
        <v>85</v>
      </c>
    </row>
    <row r="3357" spans="1:61" x14ac:dyDescent="0.3">
      <c r="A3357" t="str">
        <f>"200625B0100"</f>
        <v>200625B0100</v>
      </c>
      <c r="B3357" t="s">
        <v>6817</v>
      </c>
      <c r="C3357">
        <v>20</v>
      </c>
      <c r="D3357" t="s">
        <v>79</v>
      </c>
      <c r="E3357">
        <v>16</v>
      </c>
      <c r="F3357" t="s">
        <v>6725</v>
      </c>
      <c r="G3357">
        <v>625</v>
      </c>
      <c r="H3357">
        <v>1</v>
      </c>
      <c r="I3357" t="s">
        <v>81</v>
      </c>
      <c r="J3357">
        <v>0</v>
      </c>
      <c r="K3357">
        <v>2</v>
      </c>
      <c r="L3357">
        <v>2</v>
      </c>
      <c r="M3357">
        <v>114</v>
      </c>
      <c r="N3357">
        <v>388</v>
      </c>
      <c r="O3357">
        <v>2</v>
      </c>
      <c r="P3357">
        <v>388</v>
      </c>
      <c r="Q3357">
        <v>27</v>
      </c>
      <c r="R3357">
        <v>52</v>
      </c>
      <c r="S3357">
        <v>49</v>
      </c>
      <c r="T3357">
        <v>8</v>
      </c>
      <c r="U3357">
        <v>17</v>
      </c>
      <c r="V3357">
        <v>26</v>
      </c>
      <c r="W3357">
        <v>7</v>
      </c>
      <c r="X3357">
        <v>11</v>
      </c>
      <c r="Y3357">
        <v>158</v>
      </c>
      <c r="Z3357">
        <v>7</v>
      </c>
      <c r="AA3357">
        <v>5</v>
      </c>
      <c r="AC3357">
        <v>0</v>
      </c>
      <c r="AD3357">
        <v>0</v>
      </c>
      <c r="AE3357">
        <v>0</v>
      </c>
      <c r="AF3357">
        <v>0</v>
      </c>
      <c r="AK3357">
        <v>2</v>
      </c>
      <c r="AL3357">
        <v>1</v>
      </c>
      <c r="AM3357">
        <v>0</v>
      </c>
      <c r="AN3357">
        <v>1</v>
      </c>
      <c r="AO3357">
        <v>0</v>
      </c>
      <c r="AP3357">
        <v>1</v>
      </c>
      <c r="AQ3357">
        <v>0</v>
      </c>
      <c r="AR3357">
        <v>0</v>
      </c>
      <c r="AT3357">
        <v>0</v>
      </c>
      <c r="AU3357">
        <v>16</v>
      </c>
      <c r="AV3357">
        <v>388</v>
      </c>
      <c r="AW3357">
        <v>388</v>
      </c>
      <c r="AX3357">
        <v>479</v>
      </c>
      <c r="BA3357">
        <v>1</v>
      </c>
      <c r="BC3357" t="s">
        <v>6818</v>
      </c>
      <c r="BD3357" s="4">
        <v>43283.123611111114</v>
      </c>
      <c r="BE3357" s="4">
        <v>43283.167071759257</v>
      </c>
      <c r="BF3357" s="4">
        <v>43283.167071759257</v>
      </c>
      <c r="BG3357" t="s">
        <v>83</v>
      </c>
      <c r="BH3357" t="s">
        <v>84</v>
      </c>
      <c r="BI3357" t="s">
        <v>85</v>
      </c>
    </row>
    <row r="3358" spans="1:61" x14ac:dyDescent="0.3">
      <c r="A3358" t="str">
        <f>"200626B0100"</f>
        <v>200626B0100</v>
      </c>
      <c r="B3358" t="s">
        <v>6819</v>
      </c>
      <c r="C3358">
        <v>20</v>
      </c>
      <c r="D3358" t="s">
        <v>79</v>
      </c>
      <c r="E3358">
        <v>16</v>
      </c>
      <c r="F3358" t="s">
        <v>6725</v>
      </c>
      <c r="G3358">
        <v>626</v>
      </c>
      <c r="H3358">
        <v>1</v>
      </c>
      <c r="I3358" t="s">
        <v>81</v>
      </c>
      <c r="J3358">
        <v>0</v>
      </c>
      <c r="K3358">
        <v>2</v>
      </c>
      <c r="L3358">
        <v>2</v>
      </c>
      <c r="M3358">
        <v>154</v>
      </c>
      <c r="N3358">
        <v>296</v>
      </c>
      <c r="O3358">
        <v>1</v>
      </c>
      <c r="P3358">
        <v>296</v>
      </c>
      <c r="Q3358">
        <v>27</v>
      </c>
      <c r="R3358">
        <v>25</v>
      </c>
      <c r="S3358">
        <v>79</v>
      </c>
      <c r="T3358">
        <v>3</v>
      </c>
      <c r="U3358">
        <v>9</v>
      </c>
      <c r="V3358">
        <v>12</v>
      </c>
      <c r="W3358">
        <v>8</v>
      </c>
      <c r="X3358">
        <v>6</v>
      </c>
      <c r="Y3358">
        <v>100</v>
      </c>
      <c r="Z3358">
        <v>4</v>
      </c>
      <c r="AA3358">
        <v>0</v>
      </c>
      <c r="AC3358">
        <v>3</v>
      </c>
      <c r="AD3358">
        <v>0</v>
      </c>
      <c r="AE3358">
        <v>0</v>
      </c>
      <c r="AF3358">
        <v>0</v>
      </c>
      <c r="AK3358">
        <v>3</v>
      </c>
      <c r="AL3358">
        <v>0</v>
      </c>
      <c r="AM3358">
        <v>0</v>
      </c>
      <c r="AN3358">
        <v>1</v>
      </c>
      <c r="AO3358">
        <v>0</v>
      </c>
      <c r="AP3358">
        <v>0</v>
      </c>
      <c r="AQ3358">
        <v>0</v>
      </c>
      <c r="AR3358">
        <v>0</v>
      </c>
      <c r="AT3358">
        <v>0</v>
      </c>
      <c r="AU3358">
        <v>16</v>
      </c>
      <c r="AV3358">
        <v>296</v>
      </c>
      <c r="AW3358">
        <v>296</v>
      </c>
      <c r="AX3358">
        <v>427</v>
      </c>
      <c r="BA3358">
        <v>1</v>
      </c>
      <c r="BC3358" t="s">
        <v>6820</v>
      </c>
      <c r="BD3358" s="4">
        <v>43283.211111111108</v>
      </c>
      <c r="BE3358" s="4">
        <v>43283.273333333331</v>
      </c>
      <c r="BF3358" s="4">
        <v>43283.273333333331</v>
      </c>
      <c r="BG3358" t="s">
        <v>83</v>
      </c>
      <c r="BH3358" t="s">
        <v>84</v>
      </c>
      <c r="BI3358" t="s">
        <v>85</v>
      </c>
    </row>
    <row r="3359" spans="1:61" x14ac:dyDescent="0.3">
      <c r="A3359" t="str">
        <f>"200627B0100"</f>
        <v>200627B0100</v>
      </c>
      <c r="B3359" t="s">
        <v>6821</v>
      </c>
      <c r="C3359">
        <v>20</v>
      </c>
      <c r="D3359" t="s">
        <v>79</v>
      </c>
      <c r="E3359">
        <v>16</v>
      </c>
      <c r="F3359" t="s">
        <v>6725</v>
      </c>
      <c r="G3359">
        <v>627</v>
      </c>
      <c r="H3359">
        <v>1</v>
      </c>
      <c r="I3359" t="s">
        <v>81</v>
      </c>
      <c r="J3359">
        <v>0</v>
      </c>
      <c r="K3359">
        <v>2</v>
      </c>
      <c r="L3359">
        <v>2</v>
      </c>
      <c r="M3359">
        <v>55</v>
      </c>
      <c r="N3359">
        <v>170</v>
      </c>
      <c r="O3359">
        <v>2</v>
      </c>
      <c r="P3359">
        <v>170</v>
      </c>
      <c r="Q3359">
        <v>10</v>
      </c>
      <c r="R3359">
        <v>44</v>
      </c>
      <c r="S3359">
        <v>24</v>
      </c>
      <c r="T3359">
        <v>3</v>
      </c>
      <c r="U3359">
        <v>6</v>
      </c>
      <c r="V3359">
        <v>10</v>
      </c>
      <c r="W3359">
        <v>2</v>
      </c>
      <c r="X3359">
        <v>5</v>
      </c>
      <c r="Y3359">
        <v>54</v>
      </c>
      <c r="Z3359">
        <v>2</v>
      </c>
      <c r="AA3359">
        <v>0</v>
      </c>
      <c r="AC3359">
        <v>0</v>
      </c>
      <c r="AD3359">
        <v>0</v>
      </c>
      <c r="AE3359">
        <v>1</v>
      </c>
      <c r="AF3359">
        <v>0</v>
      </c>
      <c r="AK3359">
        <v>0</v>
      </c>
      <c r="AL3359">
        <v>2</v>
      </c>
      <c r="AM3359">
        <v>0</v>
      </c>
      <c r="AN3359">
        <v>1</v>
      </c>
      <c r="AO3359">
        <v>0</v>
      </c>
      <c r="AP3359">
        <v>0</v>
      </c>
      <c r="AQ3359">
        <v>0</v>
      </c>
      <c r="AR3359">
        <v>0</v>
      </c>
      <c r="AT3359">
        <v>0</v>
      </c>
      <c r="AU3359">
        <v>6</v>
      </c>
      <c r="AV3359">
        <v>170</v>
      </c>
      <c r="AW3359">
        <v>170</v>
      </c>
      <c r="AX3359">
        <v>202</v>
      </c>
      <c r="BA3359">
        <v>1</v>
      </c>
      <c r="BC3359" t="s">
        <v>6822</v>
      </c>
      <c r="BD3359" s="4">
        <v>43283.209722222222</v>
      </c>
      <c r="BE3359" s="4">
        <v>43283.269108796296</v>
      </c>
      <c r="BF3359" s="4">
        <v>43283.269108796296</v>
      </c>
      <c r="BG3359" t="s">
        <v>83</v>
      </c>
      <c r="BH3359" t="s">
        <v>84</v>
      </c>
      <c r="BI3359" t="s">
        <v>85</v>
      </c>
    </row>
    <row r="3360" spans="1:61" x14ac:dyDescent="0.3">
      <c r="A3360" t="str">
        <f>"200628B0100"</f>
        <v>200628B0100</v>
      </c>
      <c r="B3360" t="s">
        <v>6823</v>
      </c>
      <c r="C3360">
        <v>20</v>
      </c>
      <c r="D3360" t="s">
        <v>79</v>
      </c>
      <c r="E3360">
        <v>16</v>
      </c>
      <c r="F3360" t="s">
        <v>6725</v>
      </c>
      <c r="G3360">
        <v>628</v>
      </c>
      <c r="H3360">
        <v>1</v>
      </c>
      <c r="I3360" t="s">
        <v>81</v>
      </c>
      <c r="J3360">
        <v>0</v>
      </c>
      <c r="K3360">
        <v>2</v>
      </c>
      <c r="L3360">
        <v>2</v>
      </c>
      <c r="M3360">
        <v>249</v>
      </c>
      <c r="N3360">
        <v>364</v>
      </c>
      <c r="O3360">
        <v>2</v>
      </c>
      <c r="P3360">
        <v>364</v>
      </c>
      <c r="Q3360">
        <v>29</v>
      </c>
      <c r="R3360">
        <v>55</v>
      </c>
      <c r="S3360">
        <v>76</v>
      </c>
      <c r="T3360">
        <v>4</v>
      </c>
      <c r="U3360">
        <v>12</v>
      </c>
      <c r="V3360">
        <v>14</v>
      </c>
      <c r="W3360">
        <v>6</v>
      </c>
      <c r="X3360">
        <v>9</v>
      </c>
      <c r="Y3360">
        <v>100</v>
      </c>
      <c r="Z3360">
        <v>11</v>
      </c>
      <c r="AA3360">
        <v>4</v>
      </c>
      <c r="AC3360">
        <v>1</v>
      </c>
      <c r="AD3360" t="s">
        <v>100</v>
      </c>
      <c r="AE3360" t="s">
        <v>100</v>
      </c>
      <c r="AF3360" t="s">
        <v>100</v>
      </c>
      <c r="AK3360" t="s">
        <v>100</v>
      </c>
      <c r="AL3360" t="s">
        <v>100</v>
      </c>
      <c r="AM3360" t="s">
        <v>100</v>
      </c>
      <c r="AN3360" t="s">
        <v>100</v>
      </c>
      <c r="AO3360">
        <v>1</v>
      </c>
      <c r="AP3360" t="s">
        <v>100</v>
      </c>
      <c r="AQ3360" t="s">
        <v>100</v>
      </c>
      <c r="AR3360" t="s">
        <v>100</v>
      </c>
      <c r="AT3360" t="s">
        <v>100</v>
      </c>
      <c r="AU3360">
        <v>42</v>
      </c>
      <c r="AV3360">
        <v>364</v>
      </c>
      <c r="AW3360">
        <v>364</v>
      </c>
      <c r="AX3360">
        <v>590</v>
      </c>
      <c r="AZ3360" t="s">
        <v>101</v>
      </c>
      <c r="BA3360">
        <v>1</v>
      </c>
      <c r="BC3360" t="s">
        <v>6824</v>
      </c>
      <c r="BD3360" s="4">
        <v>43283.273611111108</v>
      </c>
      <c r="BE3360" s="4">
        <v>43283.341874999998</v>
      </c>
      <c r="BF3360" s="4">
        <v>43283.341874999998</v>
      </c>
      <c r="BG3360" t="s">
        <v>83</v>
      </c>
      <c r="BH3360" t="s">
        <v>84</v>
      </c>
      <c r="BI3360" t="s">
        <v>85</v>
      </c>
    </row>
    <row r="3361" spans="1:61" x14ac:dyDescent="0.3">
      <c r="A3361" t="str">
        <f>"200629B0100"</f>
        <v>200629B0100</v>
      </c>
      <c r="B3361" t="s">
        <v>6825</v>
      </c>
      <c r="C3361">
        <v>20</v>
      </c>
      <c r="D3361" t="s">
        <v>79</v>
      </c>
      <c r="E3361">
        <v>16</v>
      </c>
      <c r="F3361" t="s">
        <v>6725</v>
      </c>
      <c r="G3361">
        <v>629</v>
      </c>
      <c r="H3361">
        <v>1</v>
      </c>
      <c r="I3361" t="s">
        <v>81</v>
      </c>
      <c r="J3361">
        <v>0</v>
      </c>
      <c r="K3361">
        <v>2</v>
      </c>
      <c r="L3361">
        <v>2</v>
      </c>
      <c r="M3361">
        <v>61</v>
      </c>
      <c r="N3361">
        <v>157</v>
      </c>
      <c r="O3361">
        <v>1</v>
      </c>
      <c r="P3361">
        <v>157</v>
      </c>
      <c r="Q3361">
        <v>9</v>
      </c>
      <c r="R3361">
        <v>5</v>
      </c>
      <c r="S3361">
        <v>48</v>
      </c>
      <c r="T3361">
        <v>2</v>
      </c>
      <c r="U3361">
        <v>3</v>
      </c>
      <c r="V3361">
        <v>5</v>
      </c>
      <c r="W3361">
        <v>5</v>
      </c>
      <c r="X3361">
        <v>7</v>
      </c>
      <c r="Y3361">
        <v>58</v>
      </c>
      <c r="Z3361">
        <v>0</v>
      </c>
      <c r="AA3361">
        <v>0</v>
      </c>
      <c r="AC3361">
        <v>2</v>
      </c>
      <c r="AD3361">
        <v>1</v>
      </c>
      <c r="AE3361">
        <v>0</v>
      </c>
      <c r="AF3361">
        <v>0</v>
      </c>
      <c r="AK3361">
        <v>4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0</v>
      </c>
      <c r="AR3361">
        <v>0</v>
      </c>
      <c r="AT3361">
        <v>0</v>
      </c>
      <c r="AU3361">
        <v>5</v>
      </c>
      <c r="AV3361">
        <v>157</v>
      </c>
      <c r="AW3361">
        <v>154</v>
      </c>
      <c r="AX3361">
        <v>195</v>
      </c>
      <c r="BA3361">
        <v>1</v>
      </c>
      <c r="BC3361" t="s">
        <v>6826</v>
      </c>
      <c r="BD3361" s="4">
        <v>43283.273611111108</v>
      </c>
      <c r="BE3361" s="4">
        <v>43283.343611111108</v>
      </c>
      <c r="BF3361" s="4">
        <v>43283.343611111108</v>
      </c>
      <c r="BG3361" t="s">
        <v>83</v>
      </c>
      <c r="BH3361" t="s">
        <v>84</v>
      </c>
      <c r="BI3361" t="s">
        <v>85</v>
      </c>
    </row>
    <row r="3362" spans="1:61" x14ac:dyDescent="0.3">
      <c r="A3362" t="str">
        <f>"200630B0100"</f>
        <v>200630B0100</v>
      </c>
      <c r="B3362" t="s">
        <v>6827</v>
      </c>
      <c r="C3362">
        <v>20</v>
      </c>
      <c r="D3362" t="s">
        <v>79</v>
      </c>
      <c r="E3362">
        <v>16</v>
      </c>
      <c r="F3362" t="s">
        <v>6725</v>
      </c>
      <c r="G3362">
        <v>630</v>
      </c>
      <c r="H3362">
        <v>1</v>
      </c>
      <c r="I3362" t="s">
        <v>81</v>
      </c>
      <c r="J3362">
        <v>0</v>
      </c>
      <c r="K3362">
        <v>2</v>
      </c>
      <c r="L3362">
        <v>2</v>
      </c>
      <c r="M3362">
        <v>168</v>
      </c>
      <c r="N3362">
        <v>360</v>
      </c>
      <c r="O3362">
        <v>2</v>
      </c>
      <c r="P3362">
        <v>360</v>
      </c>
      <c r="Q3362">
        <v>38</v>
      </c>
      <c r="R3362">
        <v>66</v>
      </c>
      <c r="S3362">
        <v>95</v>
      </c>
      <c r="T3362">
        <v>8</v>
      </c>
      <c r="U3362">
        <v>6</v>
      </c>
      <c r="V3362">
        <v>24</v>
      </c>
      <c r="W3362">
        <v>9</v>
      </c>
      <c r="X3362">
        <v>10</v>
      </c>
      <c r="Y3362">
        <v>63</v>
      </c>
      <c r="Z3362">
        <v>6</v>
      </c>
      <c r="AA3362">
        <v>2</v>
      </c>
      <c r="AC3362">
        <v>1</v>
      </c>
      <c r="AD3362">
        <v>1</v>
      </c>
      <c r="AE3362" t="s">
        <v>100</v>
      </c>
      <c r="AF3362" t="s">
        <v>100</v>
      </c>
      <c r="AK3362" t="s">
        <v>100</v>
      </c>
      <c r="AL3362" t="s">
        <v>100</v>
      </c>
      <c r="AM3362">
        <v>1</v>
      </c>
      <c r="AN3362">
        <v>1</v>
      </c>
      <c r="AO3362" t="s">
        <v>100</v>
      </c>
      <c r="AP3362">
        <v>1</v>
      </c>
      <c r="AQ3362" t="s">
        <v>100</v>
      </c>
      <c r="AR3362" t="s">
        <v>100</v>
      </c>
      <c r="AT3362" t="s">
        <v>100</v>
      </c>
      <c r="AU3362">
        <v>28</v>
      </c>
      <c r="AV3362" t="s">
        <v>100</v>
      </c>
      <c r="AW3362">
        <v>360</v>
      </c>
      <c r="AX3362">
        <v>505</v>
      </c>
      <c r="AZ3362" t="s">
        <v>101</v>
      </c>
      <c r="BA3362">
        <v>1</v>
      </c>
      <c r="BC3362" t="s">
        <v>6828</v>
      </c>
      <c r="BD3362" s="4">
        <v>43283.209722222222</v>
      </c>
      <c r="BE3362" s="4">
        <v>43283.269375000003</v>
      </c>
      <c r="BF3362" s="4">
        <v>43283.269375000003</v>
      </c>
      <c r="BG3362" t="s">
        <v>83</v>
      </c>
      <c r="BH3362" t="s">
        <v>84</v>
      </c>
      <c r="BI3362" t="s">
        <v>85</v>
      </c>
    </row>
    <row r="3363" spans="1:61" x14ac:dyDescent="0.3">
      <c r="A3363" t="str">
        <f>"200630C0100"</f>
        <v>200630C0100</v>
      </c>
      <c r="B3363" t="s">
        <v>6829</v>
      </c>
      <c r="C3363">
        <v>20</v>
      </c>
      <c r="D3363" t="s">
        <v>79</v>
      </c>
      <c r="E3363">
        <v>16</v>
      </c>
      <c r="F3363" t="s">
        <v>6725</v>
      </c>
      <c r="G3363">
        <v>630</v>
      </c>
      <c r="H3363">
        <v>1</v>
      </c>
      <c r="I3363" t="s">
        <v>89</v>
      </c>
      <c r="J3363">
        <v>0</v>
      </c>
      <c r="K3363">
        <v>2</v>
      </c>
      <c r="L3363">
        <v>2</v>
      </c>
      <c r="M3363">
        <v>167</v>
      </c>
      <c r="N3363">
        <v>357</v>
      </c>
      <c r="O3363">
        <v>2</v>
      </c>
      <c r="P3363">
        <v>360</v>
      </c>
      <c r="Q3363">
        <v>44</v>
      </c>
      <c r="R3363">
        <v>52</v>
      </c>
      <c r="S3363">
        <v>96</v>
      </c>
      <c r="T3363">
        <v>3</v>
      </c>
      <c r="U3363">
        <v>10</v>
      </c>
      <c r="V3363">
        <v>19</v>
      </c>
      <c r="W3363">
        <v>11</v>
      </c>
      <c r="X3363">
        <v>15</v>
      </c>
      <c r="Y3363">
        <v>64</v>
      </c>
      <c r="Z3363">
        <v>7</v>
      </c>
      <c r="AA3363">
        <v>2</v>
      </c>
      <c r="AC3363" t="s">
        <v>100</v>
      </c>
      <c r="AD3363" t="s">
        <v>100</v>
      </c>
      <c r="AE3363" t="s">
        <v>100</v>
      </c>
      <c r="AF3363" t="s">
        <v>100</v>
      </c>
      <c r="AK3363" t="s">
        <v>100</v>
      </c>
      <c r="AL3363" t="s">
        <v>100</v>
      </c>
      <c r="AM3363" t="s">
        <v>100</v>
      </c>
      <c r="AN3363" t="s">
        <v>100</v>
      </c>
      <c r="AO3363" t="s">
        <v>100</v>
      </c>
      <c r="AP3363" t="s">
        <v>100</v>
      </c>
      <c r="AQ3363" t="s">
        <v>100</v>
      </c>
      <c r="AR3363" t="s">
        <v>100</v>
      </c>
      <c r="AT3363" t="s">
        <v>100</v>
      </c>
      <c r="AU3363">
        <v>37</v>
      </c>
      <c r="AV3363">
        <v>360</v>
      </c>
      <c r="AW3363">
        <v>360</v>
      </c>
      <c r="AX3363">
        <v>505</v>
      </c>
      <c r="AZ3363" t="s">
        <v>101</v>
      </c>
      <c r="BA3363">
        <v>1</v>
      </c>
      <c r="BC3363" t="s">
        <v>6830</v>
      </c>
      <c r="BD3363" s="4">
        <v>43283.209722222222</v>
      </c>
      <c r="BE3363" s="4">
        <v>43283.269849537035</v>
      </c>
      <c r="BF3363" s="4">
        <v>43283.269849537035</v>
      </c>
      <c r="BG3363" t="s">
        <v>83</v>
      </c>
      <c r="BH3363" t="s">
        <v>84</v>
      </c>
      <c r="BI3363" t="s">
        <v>85</v>
      </c>
    </row>
    <row r="3364" spans="1:61" x14ac:dyDescent="0.3">
      <c r="A3364" t="str">
        <f>"200631B0100"</f>
        <v>200631B0100</v>
      </c>
      <c r="B3364" t="s">
        <v>6831</v>
      </c>
      <c r="C3364">
        <v>20</v>
      </c>
      <c r="D3364" t="s">
        <v>79</v>
      </c>
      <c r="E3364">
        <v>16</v>
      </c>
      <c r="F3364" t="s">
        <v>6725</v>
      </c>
      <c r="G3364">
        <v>631</v>
      </c>
      <c r="H3364">
        <v>1</v>
      </c>
      <c r="I3364" t="s">
        <v>81</v>
      </c>
      <c r="J3364">
        <v>0</v>
      </c>
      <c r="K3364">
        <v>2</v>
      </c>
      <c r="L3364">
        <v>2</v>
      </c>
      <c r="M3364">
        <v>128</v>
      </c>
      <c r="N3364">
        <v>254</v>
      </c>
      <c r="O3364">
        <v>3</v>
      </c>
      <c r="P3364">
        <v>253</v>
      </c>
      <c r="Q3364">
        <v>8</v>
      </c>
      <c r="R3364">
        <v>57</v>
      </c>
      <c r="S3364">
        <v>32</v>
      </c>
      <c r="T3364">
        <v>7</v>
      </c>
      <c r="U3364">
        <v>1</v>
      </c>
      <c r="V3364">
        <v>7</v>
      </c>
      <c r="W3364">
        <v>3</v>
      </c>
      <c r="X3364">
        <v>4</v>
      </c>
      <c r="Y3364">
        <v>77</v>
      </c>
      <c r="Z3364">
        <v>27</v>
      </c>
      <c r="AA3364">
        <v>1</v>
      </c>
      <c r="AC3364">
        <v>2</v>
      </c>
      <c r="AD3364">
        <v>0</v>
      </c>
      <c r="AE3364">
        <v>0</v>
      </c>
      <c r="AF3364">
        <v>0</v>
      </c>
      <c r="AK3364">
        <v>1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0</v>
      </c>
      <c r="AR3364">
        <v>0</v>
      </c>
      <c r="AT3364">
        <v>0</v>
      </c>
      <c r="AU3364">
        <v>26</v>
      </c>
      <c r="AV3364">
        <v>253</v>
      </c>
      <c r="AW3364">
        <v>253</v>
      </c>
      <c r="AX3364">
        <v>359</v>
      </c>
      <c r="BA3364">
        <v>1</v>
      </c>
      <c r="BC3364" t="s">
        <v>6832</v>
      </c>
      <c r="BD3364" s="4">
        <v>43283.273611111108</v>
      </c>
      <c r="BE3364" s="4">
        <v>43283.33792824074</v>
      </c>
      <c r="BF3364" s="4">
        <v>43283.33792824074</v>
      </c>
      <c r="BG3364" t="s">
        <v>83</v>
      </c>
      <c r="BH3364" t="s">
        <v>84</v>
      </c>
      <c r="BI3364" t="s">
        <v>85</v>
      </c>
    </row>
    <row r="3365" spans="1:61" x14ac:dyDescent="0.3">
      <c r="A3365" t="str">
        <f>"200717B0100"</f>
        <v>200717B0100</v>
      </c>
      <c r="B3365" t="s">
        <v>6833</v>
      </c>
      <c r="C3365">
        <v>20</v>
      </c>
      <c r="D3365" t="s">
        <v>79</v>
      </c>
      <c r="E3365">
        <v>16</v>
      </c>
      <c r="F3365" t="s">
        <v>6725</v>
      </c>
      <c r="G3365">
        <v>717</v>
      </c>
      <c r="H3365">
        <v>1</v>
      </c>
      <c r="I3365" t="s">
        <v>81</v>
      </c>
      <c r="J3365">
        <v>0</v>
      </c>
      <c r="K3365">
        <v>1</v>
      </c>
      <c r="L3365">
        <v>2</v>
      </c>
      <c r="M3365">
        <v>297</v>
      </c>
      <c r="N3365">
        <v>410</v>
      </c>
      <c r="O3365">
        <v>1</v>
      </c>
      <c r="P3365">
        <v>409</v>
      </c>
      <c r="Q3365">
        <v>28</v>
      </c>
      <c r="R3365">
        <v>32</v>
      </c>
      <c r="S3365">
        <v>20</v>
      </c>
      <c r="T3365">
        <v>12</v>
      </c>
      <c r="U3365">
        <v>18</v>
      </c>
      <c r="V3365">
        <v>10</v>
      </c>
      <c r="W3365">
        <v>13</v>
      </c>
      <c r="X3365">
        <v>7</v>
      </c>
      <c r="Y3365">
        <v>240</v>
      </c>
      <c r="Z3365">
        <v>4</v>
      </c>
      <c r="AA3365">
        <v>2</v>
      </c>
      <c r="AC3365">
        <v>0</v>
      </c>
      <c r="AD3365">
        <v>0</v>
      </c>
      <c r="AE3365">
        <v>0</v>
      </c>
      <c r="AF3365">
        <v>0</v>
      </c>
      <c r="AK3365">
        <v>7</v>
      </c>
      <c r="AL3365">
        <v>1</v>
      </c>
      <c r="AM3365">
        <v>0</v>
      </c>
      <c r="AN3365">
        <v>1</v>
      </c>
      <c r="AO3365">
        <v>0</v>
      </c>
      <c r="AP3365">
        <v>1</v>
      </c>
      <c r="AQ3365">
        <v>0</v>
      </c>
      <c r="AR3365">
        <v>0</v>
      </c>
      <c r="AT3365">
        <v>0</v>
      </c>
      <c r="AU3365">
        <v>13</v>
      </c>
      <c r="AV3365">
        <v>409</v>
      </c>
      <c r="AW3365">
        <v>409</v>
      </c>
      <c r="AX3365">
        <v>685</v>
      </c>
      <c r="BA3365">
        <v>1</v>
      </c>
      <c r="BC3365" t="s">
        <v>6834</v>
      </c>
      <c r="BD3365" s="4">
        <v>43283.085416666669</v>
      </c>
      <c r="BE3365" s="4">
        <v>43283.17119212963</v>
      </c>
      <c r="BF3365" s="4">
        <v>43283.17119212963</v>
      </c>
      <c r="BG3365" t="s">
        <v>83</v>
      </c>
      <c r="BH3365" t="s">
        <v>84</v>
      </c>
      <c r="BI3365" t="s">
        <v>85</v>
      </c>
    </row>
    <row r="3366" spans="1:61" x14ac:dyDescent="0.3">
      <c r="A3366" t="str">
        <f>"200717C0100"</f>
        <v>200717C0100</v>
      </c>
      <c r="B3366" t="s">
        <v>6835</v>
      </c>
      <c r="C3366">
        <v>20</v>
      </c>
      <c r="D3366" t="s">
        <v>79</v>
      </c>
      <c r="E3366">
        <v>16</v>
      </c>
      <c r="F3366" t="s">
        <v>6725</v>
      </c>
      <c r="G3366">
        <v>717</v>
      </c>
      <c r="H3366">
        <v>1</v>
      </c>
      <c r="I3366" t="s">
        <v>89</v>
      </c>
      <c r="J3366">
        <v>0</v>
      </c>
      <c r="K3366">
        <v>1</v>
      </c>
      <c r="L3366">
        <v>2</v>
      </c>
      <c r="M3366">
        <v>292</v>
      </c>
      <c r="N3366">
        <v>415</v>
      </c>
      <c r="O3366">
        <v>0</v>
      </c>
      <c r="P3366">
        <v>415</v>
      </c>
      <c r="Q3366">
        <v>29</v>
      </c>
      <c r="R3366">
        <v>46</v>
      </c>
      <c r="S3366">
        <v>28</v>
      </c>
      <c r="T3366">
        <v>16</v>
      </c>
      <c r="U3366">
        <v>37</v>
      </c>
      <c r="V3366">
        <v>8</v>
      </c>
      <c r="W3366">
        <v>9</v>
      </c>
      <c r="X3366">
        <v>3</v>
      </c>
      <c r="Y3366">
        <v>207</v>
      </c>
      <c r="Z3366">
        <v>8</v>
      </c>
      <c r="AA3366">
        <v>1</v>
      </c>
      <c r="AC3366">
        <v>1</v>
      </c>
      <c r="AD3366">
        <v>0</v>
      </c>
      <c r="AE3366">
        <v>0</v>
      </c>
      <c r="AF3366">
        <v>0</v>
      </c>
      <c r="AK3366">
        <v>8</v>
      </c>
      <c r="AL3366">
        <v>2</v>
      </c>
      <c r="AM3366">
        <v>0</v>
      </c>
      <c r="AN3366">
        <v>0</v>
      </c>
      <c r="AO3366">
        <v>0</v>
      </c>
      <c r="AP3366">
        <v>1</v>
      </c>
      <c r="AQ3366">
        <v>0</v>
      </c>
      <c r="AR3366">
        <v>0</v>
      </c>
      <c r="AT3366">
        <v>0</v>
      </c>
      <c r="AU3366">
        <v>11</v>
      </c>
      <c r="AV3366">
        <v>415</v>
      </c>
      <c r="AW3366">
        <v>415</v>
      </c>
      <c r="AX3366">
        <v>685</v>
      </c>
      <c r="BA3366">
        <v>1</v>
      </c>
      <c r="BC3366" t="s">
        <v>6836</v>
      </c>
      <c r="BD3366" s="4">
        <v>43283.084722222222</v>
      </c>
      <c r="BE3366" s="4">
        <v>43283.20244212963</v>
      </c>
      <c r="BF3366" s="4">
        <v>43283.20244212963</v>
      </c>
      <c r="BG3366" t="s">
        <v>83</v>
      </c>
      <c r="BH3366" t="s">
        <v>84</v>
      </c>
      <c r="BI3366" t="s">
        <v>85</v>
      </c>
    </row>
    <row r="3367" spans="1:61" x14ac:dyDescent="0.3">
      <c r="A3367" t="str">
        <f>"200717C0200"</f>
        <v>200717C0200</v>
      </c>
      <c r="B3367" t="s">
        <v>6837</v>
      </c>
      <c r="C3367">
        <v>20</v>
      </c>
      <c r="D3367" t="s">
        <v>79</v>
      </c>
      <c r="E3367">
        <v>16</v>
      </c>
      <c r="F3367" t="s">
        <v>6725</v>
      </c>
      <c r="G3367">
        <v>717</v>
      </c>
      <c r="H3367">
        <v>2</v>
      </c>
      <c r="I3367" t="s">
        <v>89</v>
      </c>
      <c r="J3367">
        <v>0</v>
      </c>
      <c r="K3367">
        <v>1</v>
      </c>
      <c r="L3367">
        <v>2</v>
      </c>
      <c r="M3367">
        <v>295</v>
      </c>
      <c r="N3367" t="s">
        <v>100</v>
      </c>
      <c r="O3367">
        <v>0</v>
      </c>
      <c r="P3367">
        <v>412</v>
      </c>
      <c r="Q3367">
        <v>32</v>
      </c>
      <c r="R3367">
        <v>48</v>
      </c>
      <c r="S3367">
        <v>34</v>
      </c>
      <c r="T3367">
        <v>16</v>
      </c>
      <c r="U3367">
        <v>30</v>
      </c>
      <c r="V3367">
        <v>10</v>
      </c>
      <c r="W3367">
        <v>5</v>
      </c>
      <c r="X3367">
        <v>6</v>
      </c>
      <c r="Y3367">
        <v>194</v>
      </c>
      <c r="Z3367">
        <v>10</v>
      </c>
      <c r="AA3367">
        <v>1</v>
      </c>
      <c r="AC3367">
        <v>2</v>
      </c>
      <c r="AD3367">
        <v>0</v>
      </c>
      <c r="AE3367">
        <v>0</v>
      </c>
      <c r="AF3367">
        <v>0</v>
      </c>
      <c r="AK3367">
        <v>9</v>
      </c>
      <c r="AL3367">
        <v>2</v>
      </c>
      <c r="AM3367">
        <v>0</v>
      </c>
      <c r="AN3367">
        <v>3</v>
      </c>
      <c r="AO3367">
        <v>0</v>
      </c>
      <c r="AP3367">
        <v>0</v>
      </c>
      <c r="AQ3367">
        <v>0</v>
      </c>
      <c r="AR3367">
        <v>0</v>
      </c>
      <c r="AT3367">
        <v>0</v>
      </c>
      <c r="AU3367">
        <v>10</v>
      </c>
      <c r="AV3367">
        <v>412</v>
      </c>
      <c r="AW3367">
        <v>412</v>
      </c>
      <c r="AX3367">
        <v>685</v>
      </c>
      <c r="BA3367">
        <v>1</v>
      </c>
      <c r="BC3367" t="s">
        <v>6838</v>
      </c>
      <c r="BD3367" s="4">
        <v>43283.085416666669</v>
      </c>
      <c r="BE3367" s="4">
        <v>43283.342638888891</v>
      </c>
      <c r="BF3367" s="4">
        <v>43283.342638888891</v>
      </c>
      <c r="BG3367" t="s">
        <v>83</v>
      </c>
      <c r="BH3367" t="s">
        <v>84</v>
      </c>
      <c r="BI3367" t="s">
        <v>85</v>
      </c>
    </row>
    <row r="3368" spans="1:61" x14ac:dyDescent="0.3">
      <c r="A3368" t="str">
        <f>"200717C0300"</f>
        <v>200717C0300</v>
      </c>
      <c r="B3368" t="s">
        <v>6839</v>
      </c>
      <c r="C3368">
        <v>20</v>
      </c>
      <c r="D3368" t="s">
        <v>79</v>
      </c>
      <c r="E3368">
        <v>16</v>
      </c>
      <c r="F3368" t="s">
        <v>6725</v>
      </c>
      <c r="G3368">
        <v>717</v>
      </c>
      <c r="H3368">
        <v>3</v>
      </c>
      <c r="I3368" t="s">
        <v>89</v>
      </c>
      <c r="J3368">
        <v>0</v>
      </c>
      <c r="K3368">
        <v>1</v>
      </c>
      <c r="L3368">
        <v>2</v>
      </c>
      <c r="M3368">
        <v>294</v>
      </c>
      <c r="N3368">
        <v>410</v>
      </c>
      <c r="O3368">
        <v>1</v>
      </c>
      <c r="P3368">
        <v>410</v>
      </c>
      <c r="Q3368">
        <v>23</v>
      </c>
      <c r="R3368">
        <v>37</v>
      </c>
      <c r="S3368">
        <v>26</v>
      </c>
      <c r="T3368">
        <v>8</v>
      </c>
      <c r="U3368">
        <v>31</v>
      </c>
      <c r="V3368">
        <v>8</v>
      </c>
      <c r="W3368">
        <v>8</v>
      </c>
      <c r="X3368">
        <v>2</v>
      </c>
      <c r="Y3368">
        <v>225</v>
      </c>
      <c r="Z3368">
        <v>2</v>
      </c>
      <c r="AA3368">
        <v>6</v>
      </c>
      <c r="AC3368">
        <v>2</v>
      </c>
      <c r="AD3368">
        <v>0</v>
      </c>
      <c r="AE3368">
        <v>0</v>
      </c>
      <c r="AF3368">
        <v>0</v>
      </c>
      <c r="AK3368">
        <v>5</v>
      </c>
      <c r="AL3368">
        <v>2</v>
      </c>
      <c r="AM3368">
        <v>1</v>
      </c>
      <c r="AN3368">
        <v>2</v>
      </c>
      <c r="AO3368">
        <v>0</v>
      </c>
      <c r="AP3368">
        <v>0</v>
      </c>
      <c r="AQ3368">
        <v>0</v>
      </c>
      <c r="AR3368">
        <v>0</v>
      </c>
      <c r="AT3368" t="s">
        <v>100</v>
      </c>
      <c r="AU3368">
        <v>21</v>
      </c>
      <c r="AV3368">
        <v>410</v>
      </c>
      <c r="AW3368">
        <v>409</v>
      </c>
      <c r="AX3368">
        <v>685</v>
      </c>
      <c r="AZ3368" t="s">
        <v>101</v>
      </c>
      <c r="BA3368">
        <v>1</v>
      </c>
      <c r="BC3368" t="s">
        <v>6840</v>
      </c>
      <c r="BD3368" s="4">
        <v>43283.080555555556</v>
      </c>
      <c r="BE3368" s="4">
        <v>43283.316608796296</v>
      </c>
      <c r="BF3368" s="4">
        <v>43283.316608796296</v>
      </c>
      <c r="BG3368" t="s">
        <v>83</v>
      </c>
      <c r="BH3368" t="s">
        <v>84</v>
      </c>
      <c r="BI3368" t="s">
        <v>85</v>
      </c>
    </row>
    <row r="3369" spans="1:61" x14ac:dyDescent="0.3">
      <c r="A3369" t="str">
        <f>"200717C0400"</f>
        <v>200717C0400</v>
      </c>
      <c r="B3369" t="s">
        <v>6841</v>
      </c>
      <c r="C3369">
        <v>20</v>
      </c>
      <c r="D3369" t="s">
        <v>79</v>
      </c>
      <c r="E3369">
        <v>16</v>
      </c>
      <c r="F3369" t="s">
        <v>6725</v>
      </c>
      <c r="G3369">
        <v>717</v>
      </c>
      <c r="H3369">
        <v>4</v>
      </c>
      <c r="I3369" t="s">
        <v>89</v>
      </c>
      <c r="J3369">
        <v>0</v>
      </c>
      <c r="K3369">
        <v>1</v>
      </c>
      <c r="L3369">
        <v>2</v>
      </c>
      <c r="M3369">
        <v>276</v>
      </c>
      <c r="N3369">
        <v>428</v>
      </c>
      <c r="O3369">
        <v>5</v>
      </c>
      <c r="P3369">
        <v>431</v>
      </c>
      <c r="Q3369">
        <v>45</v>
      </c>
      <c r="R3369">
        <v>38</v>
      </c>
      <c r="S3369">
        <v>21</v>
      </c>
      <c r="T3369">
        <v>10</v>
      </c>
      <c r="U3369">
        <v>18</v>
      </c>
      <c r="V3369">
        <v>10</v>
      </c>
      <c r="W3369">
        <v>11</v>
      </c>
      <c r="X3369">
        <v>8</v>
      </c>
      <c r="Y3369">
        <v>237</v>
      </c>
      <c r="Z3369">
        <v>6</v>
      </c>
      <c r="AA3369">
        <v>5</v>
      </c>
      <c r="AC3369">
        <v>1</v>
      </c>
      <c r="AD3369">
        <v>0</v>
      </c>
      <c r="AE3369">
        <v>0</v>
      </c>
      <c r="AF3369">
        <v>0</v>
      </c>
      <c r="AK3369">
        <v>2</v>
      </c>
      <c r="AL3369">
        <v>3</v>
      </c>
      <c r="AM3369">
        <v>0</v>
      </c>
      <c r="AN3369">
        <v>0</v>
      </c>
      <c r="AO3369">
        <v>2</v>
      </c>
      <c r="AP3369">
        <v>1</v>
      </c>
      <c r="AQ3369">
        <v>0</v>
      </c>
      <c r="AR3369">
        <v>0</v>
      </c>
      <c r="AT3369">
        <v>0</v>
      </c>
      <c r="AU3369">
        <v>13</v>
      </c>
      <c r="AV3369">
        <v>431</v>
      </c>
      <c r="AW3369">
        <v>431</v>
      </c>
      <c r="AX3369">
        <v>684</v>
      </c>
      <c r="BA3369">
        <v>1</v>
      </c>
      <c r="BC3369" t="s">
        <v>6842</v>
      </c>
      <c r="BD3369" s="4">
        <v>43283.083333333336</v>
      </c>
      <c r="BE3369" s="4">
        <v>43283.177037037036</v>
      </c>
      <c r="BF3369" s="4">
        <v>43283.177037037036</v>
      </c>
      <c r="BG3369" t="s">
        <v>83</v>
      </c>
      <c r="BH3369" t="s">
        <v>84</v>
      </c>
      <c r="BI3369" t="s">
        <v>85</v>
      </c>
    </row>
    <row r="3370" spans="1:61" x14ac:dyDescent="0.3">
      <c r="A3370" t="str">
        <f>"200718B0100"</f>
        <v>200718B0100</v>
      </c>
      <c r="B3370" t="s">
        <v>6843</v>
      </c>
      <c r="C3370">
        <v>20</v>
      </c>
      <c r="D3370" t="s">
        <v>79</v>
      </c>
      <c r="E3370">
        <v>16</v>
      </c>
      <c r="F3370" t="s">
        <v>6725</v>
      </c>
      <c r="G3370">
        <v>718</v>
      </c>
      <c r="H3370">
        <v>1</v>
      </c>
      <c r="I3370" t="s">
        <v>81</v>
      </c>
      <c r="J3370">
        <v>0</v>
      </c>
      <c r="K3370">
        <v>1</v>
      </c>
      <c r="L3370">
        <v>2</v>
      </c>
      <c r="M3370">
        <v>256</v>
      </c>
      <c r="N3370">
        <v>415</v>
      </c>
      <c r="O3370">
        <v>1</v>
      </c>
      <c r="P3370">
        <v>415</v>
      </c>
      <c r="Q3370">
        <v>41</v>
      </c>
      <c r="R3370">
        <v>33</v>
      </c>
      <c r="S3370">
        <v>41</v>
      </c>
      <c r="T3370">
        <v>13</v>
      </c>
      <c r="U3370">
        <v>24</v>
      </c>
      <c r="V3370">
        <v>13</v>
      </c>
      <c r="W3370">
        <v>10</v>
      </c>
      <c r="X3370">
        <v>7</v>
      </c>
      <c r="Y3370">
        <v>201</v>
      </c>
      <c r="Z3370">
        <v>12</v>
      </c>
      <c r="AA3370">
        <v>2</v>
      </c>
      <c r="AC3370">
        <v>0</v>
      </c>
      <c r="AD3370">
        <v>1</v>
      </c>
      <c r="AE3370">
        <v>1</v>
      </c>
      <c r="AF3370">
        <v>0</v>
      </c>
      <c r="AK3370">
        <v>2</v>
      </c>
      <c r="AL3370">
        <v>1</v>
      </c>
      <c r="AM3370">
        <v>0</v>
      </c>
      <c r="AN3370">
        <v>0</v>
      </c>
      <c r="AO3370">
        <v>1</v>
      </c>
      <c r="AP3370">
        <v>0</v>
      </c>
      <c r="AQ3370">
        <v>0</v>
      </c>
      <c r="AR3370">
        <v>0</v>
      </c>
      <c r="AT3370">
        <v>0</v>
      </c>
      <c r="AU3370">
        <v>12</v>
      </c>
      <c r="AV3370">
        <v>415</v>
      </c>
      <c r="AW3370">
        <v>415</v>
      </c>
      <c r="AX3370">
        <v>649</v>
      </c>
      <c r="BA3370">
        <v>1</v>
      </c>
      <c r="BC3370" t="s">
        <v>6844</v>
      </c>
      <c r="BD3370" s="4">
        <v>43283.081944444442</v>
      </c>
      <c r="BE3370" s="4">
        <v>43283.174803240741</v>
      </c>
      <c r="BF3370" s="4">
        <v>43283.174803240741</v>
      </c>
      <c r="BG3370" t="s">
        <v>83</v>
      </c>
      <c r="BH3370" t="s">
        <v>84</v>
      </c>
      <c r="BI3370" t="s">
        <v>85</v>
      </c>
    </row>
    <row r="3371" spans="1:61" x14ac:dyDescent="0.3">
      <c r="A3371" t="str">
        <f>"200718C0100"</f>
        <v>200718C0100</v>
      </c>
      <c r="B3371" t="s">
        <v>6845</v>
      </c>
      <c r="C3371">
        <v>20</v>
      </c>
      <c r="D3371" t="s">
        <v>79</v>
      </c>
      <c r="E3371">
        <v>16</v>
      </c>
      <c r="F3371" t="s">
        <v>6725</v>
      </c>
      <c r="G3371">
        <v>718</v>
      </c>
      <c r="H3371">
        <v>1</v>
      </c>
      <c r="I3371" t="s">
        <v>89</v>
      </c>
      <c r="J3371">
        <v>0</v>
      </c>
      <c r="K3371">
        <v>1</v>
      </c>
      <c r="L3371">
        <v>2</v>
      </c>
      <c r="M3371">
        <v>281</v>
      </c>
      <c r="N3371">
        <v>390</v>
      </c>
      <c r="O3371">
        <v>0</v>
      </c>
      <c r="P3371">
        <v>390</v>
      </c>
      <c r="Q3371">
        <v>37</v>
      </c>
      <c r="R3371">
        <v>45</v>
      </c>
      <c r="S3371">
        <v>33</v>
      </c>
      <c r="T3371">
        <v>10</v>
      </c>
      <c r="U3371">
        <v>28</v>
      </c>
      <c r="V3371">
        <v>13</v>
      </c>
      <c r="W3371">
        <v>6</v>
      </c>
      <c r="X3371">
        <v>2</v>
      </c>
      <c r="Y3371">
        <v>182</v>
      </c>
      <c r="Z3371">
        <v>3</v>
      </c>
      <c r="AA3371">
        <v>4</v>
      </c>
      <c r="AC3371">
        <v>2</v>
      </c>
      <c r="AD3371">
        <v>1</v>
      </c>
      <c r="AE3371">
        <v>0</v>
      </c>
      <c r="AF3371">
        <v>0</v>
      </c>
      <c r="AK3371">
        <v>1</v>
      </c>
      <c r="AL3371">
        <v>2</v>
      </c>
      <c r="AM3371">
        <v>0</v>
      </c>
      <c r="AN3371">
        <v>0</v>
      </c>
      <c r="AO3371">
        <v>0</v>
      </c>
      <c r="AP3371">
        <v>1</v>
      </c>
      <c r="AQ3371">
        <v>0</v>
      </c>
      <c r="AR3371">
        <v>0</v>
      </c>
      <c r="AT3371">
        <v>0</v>
      </c>
      <c r="AU3371">
        <v>20</v>
      </c>
      <c r="AV3371">
        <v>390</v>
      </c>
      <c r="AW3371">
        <v>390</v>
      </c>
      <c r="AX3371">
        <v>649</v>
      </c>
      <c r="BA3371">
        <v>1</v>
      </c>
      <c r="BC3371" t="s">
        <v>6846</v>
      </c>
      <c r="BD3371" s="4">
        <v>43283.081944444442</v>
      </c>
      <c r="BE3371" s="4">
        <v>43283.174039351848</v>
      </c>
      <c r="BF3371" s="4">
        <v>43283.174039351848</v>
      </c>
      <c r="BG3371" t="s">
        <v>83</v>
      </c>
      <c r="BH3371" t="s">
        <v>84</v>
      </c>
      <c r="BI3371" t="s">
        <v>85</v>
      </c>
    </row>
    <row r="3372" spans="1:61" x14ac:dyDescent="0.3">
      <c r="A3372" t="str">
        <f>"200718C0200"</f>
        <v>200718C0200</v>
      </c>
      <c r="B3372" t="s">
        <v>6847</v>
      </c>
      <c r="C3372">
        <v>20</v>
      </c>
      <c r="D3372" t="s">
        <v>79</v>
      </c>
      <c r="E3372">
        <v>16</v>
      </c>
      <c r="F3372" t="s">
        <v>6725</v>
      </c>
      <c r="G3372">
        <v>718</v>
      </c>
      <c r="H3372">
        <v>2</v>
      </c>
      <c r="I3372" t="s">
        <v>89</v>
      </c>
      <c r="J3372">
        <v>0</v>
      </c>
      <c r="K3372">
        <v>1</v>
      </c>
      <c r="L3372">
        <v>2</v>
      </c>
      <c r="M3372">
        <v>281</v>
      </c>
      <c r="N3372">
        <v>390</v>
      </c>
      <c r="O3372">
        <v>1</v>
      </c>
      <c r="P3372">
        <v>390</v>
      </c>
      <c r="Q3372">
        <v>36</v>
      </c>
      <c r="R3372">
        <v>36</v>
      </c>
      <c r="S3372">
        <v>37</v>
      </c>
      <c r="T3372">
        <v>12</v>
      </c>
      <c r="U3372">
        <v>29</v>
      </c>
      <c r="V3372">
        <v>6</v>
      </c>
      <c r="W3372">
        <v>13</v>
      </c>
      <c r="X3372">
        <v>1</v>
      </c>
      <c r="Y3372">
        <v>172</v>
      </c>
      <c r="Z3372">
        <v>10</v>
      </c>
      <c r="AA3372">
        <v>2</v>
      </c>
      <c r="AC3372">
        <v>1</v>
      </c>
      <c r="AD3372">
        <v>0</v>
      </c>
      <c r="AE3372">
        <v>0</v>
      </c>
      <c r="AF3372">
        <v>0</v>
      </c>
      <c r="AK3372">
        <v>11</v>
      </c>
      <c r="AL3372">
        <v>4</v>
      </c>
      <c r="AM3372">
        <v>0</v>
      </c>
      <c r="AN3372">
        <v>0</v>
      </c>
      <c r="AO3372">
        <v>0</v>
      </c>
      <c r="AP3372">
        <v>3</v>
      </c>
      <c r="AQ3372">
        <v>0</v>
      </c>
      <c r="AR3372">
        <v>0</v>
      </c>
      <c r="AT3372">
        <v>0</v>
      </c>
      <c r="AU3372">
        <v>17</v>
      </c>
      <c r="AV3372">
        <v>390</v>
      </c>
      <c r="AW3372">
        <v>390</v>
      </c>
      <c r="AX3372">
        <v>649</v>
      </c>
      <c r="BA3372">
        <v>1</v>
      </c>
      <c r="BC3372" t="s">
        <v>6848</v>
      </c>
      <c r="BD3372" s="4">
        <v>43283.080555555556</v>
      </c>
      <c r="BE3372" s="4">
        <v>43283.316435185188</v>
      </c>
      <c r="BF3372" s="4">
        <v>43283.316435185188</v>
      </c>
      <c r="BG3372" t="s">
        <v>83</v>
      </c>
      <c r="BH3372" t="s">
        <v>84</v>
      </c>
      <c r="BI3372" t="s">
        <v>85</v>
      </c>
    </row>
    <row r="3373" spans="1:61" x14ac:dyDescent="0.3">
      <c r="A3373" t="str">
        <f>"200718C0300"</f>
        <v>200718C0300</v>
      </c>
      <c r="B3373" t="s">
        <v>6849</v>
      </c>
      <c r="C3373">
        <v>20</v>
      </c>
      <c r="D3373" t="s">
        <v>79</v>
      </c>
      <c r="E3373">
        <v>16</v>
      </c>
      <c r="F3373" t="s">
        <v>6725</v>
      </c>
      <c r="G3373">
        <v>718</v>
      </c>
      <c r="H3373">
        <v>3</v>
      </c>
      <c r="I3373" t="s">
        <v>89</v>
      </c>
      <c r="J3373">
        <v>0</v>
      </c>
      <c r="K3373">
        <v>1</v>
      </c>
      <c r="L3373">
        <v>2</v>
      </c>
      <c r="M3373">
        <v>270</v>
      </c>
      <c r="N3373" t="s">
        <v>315</v>
      </c>
      <c r="O3373">
        <v>1</v>
      </c>
      <c r="P3373">
        <v>399</v>
      </c>
      <c r="Q3373">
        <v>25</v>
      </c>
      <c r="R3373">
        <v>29</v>
      </c>
      <c r="S3373">
        <v>41</v>
      </c>
      <c r="T3373">
        <v>8</v>
      </c>
      <c r="U3373">
        <v>24</v>
      </c>
      <c r="V3373">
        <v>11</v>
      </c>
      <c r="W3373">
        <v>10</v>
      </c>
      <c r="X3373">
        <v>2</v>
      </c>
      <c r="Y3373">
        <v>200</v>
      </c>
      <c r="Z3373">
        <v>8</v>
      </c>
      <c r="AA3373">
        <v>5</v>
      </c>
      <c r="AC3373">
        <v>0</v>
      </c>
      <c r="AD3373">
        <v>1</v>
      </c>
      <c r="AE3373">
        <v>0</v>
      </c>
      <c r="AF3373">
        <v>0</v>
      </c>
      <c r="AK3373">
        <v>4</v>
      </c>
      <c r="AL3373">
        <v>3</v>
      </c>
      <c r="AM3373">
        <v>0</v>
      </c>
      <c r="AN3373">
        <v>3</v>
      </c>
      <c r="AO3373">
        <v>1</v>
      </c>
      <c r="AP3373">
        <v>2</v>
      </c>
      <c r="AQ3373">
        <v>0</v>
      </c>
      <c r="AR3373">
        <v>0</v>
      </c>
      <c r="AT3373">
        <v>0</v>
      </c>
      <c r="AU3373">
        <v>22</v>
      </c>
      <c r="AV3373">
        <v>399</v>
      </c>
      <c r="AW3373">
        <v>399</v>
      </c>
      <c r="AX3373">
        <v>648</v>
      </c>
      <c r="BA3373">
        <v>1</v>
      </c>
      <c r="BC3373" t="s">
        <v>6850</v>
      </c>
      <c r="BD3373" s="4">
        <v>43283.083333333336</v>
      </c>
      <c r="BE3373" s="4">
        <v>43283.319131944445</v>
      </c>
      <c r="BF3373" s="4">
        <v>43283.319131944445</v>
      </c>
      <c r="BG3373" t="s">
        <v>83</v>
      </c>
      <c r="BH3373" t="s">
        <v>84</v>
      </c>
      <c r="BI3373" t="s">
        <v>85</v>
      </c>
    </row>
    <row r="3374" spans="1:61" x14ac:dyDescent="0.3">
      <c r="A3374" t="str">
        <f>"200718C0400"</f>
        <v>200718C0400</v>
      </c>
      <c r="B3374" t="s">
        <v>6851</v>
      </c>
      <c r="C3374">
        <v>20</v>
      </c>
      <c r="D3374" t="s">
        <v>79</v>
      </c>
      <c r="E3374">
        <v>16</v>
      </c>
      <c r="F3374" t="s">
        <v>6725</v>
      </c>
      <c r="G3374">
        <v>718</v>
      </c>
      <c r="H3374">
        <v>4</v>
      </c>
      <c r="I3374" t="s">
        <v>89</v>
      </c>
      <c r="J3374">
        <v>0</v>
      </c>
      <c r="K3374">
        <v>1</v>
      </c>
      <c r="L3374">
        <v>2</v>
      </c>
      <c r="M3374">
        <v>267</v>
      </c>
      <c r="N3374">
        <v>403</v>
      </c>
      <c r="O3374">
        <v>0</v>
      </c>
      <c r="P3374">
        <v>402</v>
      </c>
      <c r="Q3374">
        <v>35</v>
      </c>
      <c r="R3374">
        <v>47</v>
      </c>
      <c r="S3374">
        <v>40</v>
      </c>
      <c r="T3374">
        <v>8</v>
      </c>
      <c r="U3374">
        <v>22</v>
      </c>
      <c r="V3374">
        <v>10</v>
      </c>
      <c r="W3374">
        <v>9</v>
      </c>
      <c r="X3374">
        <v>3</v>
      </c>
      <c r="Y3374">
        <v>186</v>
      </c>
      <c r="Z3374">
        <v>5</v>
      </c>
      <c r="AA3374">
        <v>5</v>
      </c>
      <c r="AC3374">
        <v>0</v>
      </c>
      <c r="AD3374">
        <v>1</v>
      </c>
      <c r="AE3374">
        <v>1</v>
      </c>
      <c r="AF3374">
        <v>0</v>
      </c>
      <c r="AK3374">
        <v>5</v>
      </c>
      <c r="AL3374">
        <v>4</v>
      </c>
      <c r="AM3374">
        <v>0</v>
      </c>
      <c r="AN3374">
        <v>2</v>
      </c>
      <c r="AO3374">
        <v>2</v>
      </c>
      <c r="AP3374">
        <v>1</v>
      </c>
      <c r="AQ3374">
        <v>0</v>
      </c>
      <c r="AR3374">
        <v>0</v>
      </c>
      <c r="AT3374">
        <v>1</v>
      </c>
      <c r="AU3374">
        <v>15</v>
      </c>
      <c r="AV3374">
        <v>402</v>
      </c>
      <c r="AW3374">
        <v>402</v>
      </c>
      <c r="AX3374">
        <v>648</v>
      </c>
      <c r="BA3374">
        <v>1</v>
      </c>
      <c r="BC3374" t="s">
        <v>6852</v>
      </c>
      <c r="BD3374" s="4">
        <v>43283.085416666669</v>
      </c>
      <c r="BE3374" s="4">
        <v>43283.178113425929</v>
      </c>
      <c r="BF3374" s="4">
        <v>43283.178113425929</v>
      </c>
      <c r="BG3374" t="s">
        <v>83</v>
      </c>
      <c r="BH3374" t="s">
        <v>84</v>
      </c>
      <c r="BI3374" t="s">
        <v>85</v>
      </c>
    </row>
    <row r="3375" spans="1:61" x14ac:dyDescent="0.3">
      <c r="A3375" t="str">
        <f>"200763B0100"</f>
        <v>200763B0100</v>
      </c>
      <c r="B3375" t="s">
        <v>6853</v>
      </c>
      <c r="C3375">
        <v>20</v>
      </c>
      <c r="D3375" t="s">
        <v>79</v>
      </c>
      <c r="E3375">
        <v>16</v>
      </c>
      <c r="F3375" t="s">
        <v>6725</v>
      </c>
      <c r="G3375">
        <v>763</v>
      </c>
      <c r="H3375">
        <v>1</v>
      </c>
      <c r="I3375" t="s">
        <v>81</v>
      </c>
      <c r="J3375">
        <v>0</v>
      </c>
      <c r="K3375">
        <v>2</v>
      </c>
      <c r="L3375">
        <v>2</v>
      </c>
      <c r="M3375">
        <v>253</v>
      </c>
      <c r="N3375" t="s">
        <v>100</v>
      </c>
      <c r="O3375" t="s">
        <v>100</v>
      </c>
      <c r="P3375">
        <v>408</v>
      </c>
      <c r="Q3375">
        <v>34</v>
      </c>
      <c r="R3375">
        <v>105</v>
      </c>
      <c r="S3375">
        <v>32</v>
      </c>
      <c r="T3375">
        <v>4</v>
      </c>
      <c r="U3375">
        <v>21</v>
      </c>
      <c r="V3375">
        <v>2</v>
      </c>
      <c r="W3375">
        <v>2</v>
      </c>
      <c r="X3375">
        <v>1</v>
      </c>
      <c r="Y3375">
        <v>148</v>
      </c>
      <c r="Z3375">
        <v>8</v>
      </c>
      <c r="AA3375">
        <v>1</v>
      </c>
      <c r="AC3375">
        <v>1</v>
      </c>
      <c r="AD3375">
        <v>1</v>
      </c>
      <c r="AE3375">
        <v>1</v>
      </c>
      <c r="AF3375">
        <v>0</v>
      </c>
      <c r="AK3375">
        <v>6</v>
      </c>
      <c r="AL3375">
        <v>1</v>
      </c>
      <c r="AM3375">
        <v>0</v>
      </c>
      <c r="AN3375">
        <v>5</v>
      </c>
      <c r="AO3375">
        <v>1</v>
      </c>
      <c r="AP3375">
        <v>6</v>
      </c>
      <c r="AQ3375">
        <v>0</v>
      </c>
      <c r="AR3375">
        <v>0</v>
      </c>
      <c r="AT3375">
        <v>0</v>
      </c>
      <c r="AU3375">
        <v>28</v>
      </c>
      <c r="AV3375">
        <v>408</v>
      </c>
      <c r="AW3375">
        <v>408</v>
      </c>
      <c r="AX3375">
        <v>639</v>
      </c>
      <c r="BA3375">
        <v>1</v>
      </c>
      <c r="BC3375" t="s">
        <v>6854</v>
      </c>
      <c r="BD3375" s="4">
        <v>43283.094444444447</v>
      </c>
      <c r="BE3375" s="4">
        <v>43283.186655092592</v>
      </c>
      <c r="BF3375" s="4">
        <v>43283.186655092592</v>
      </c>
      <c r="BG3375" t="s">
        <v>83</v>
      </c>
      <c r="BH3375" t="s">
        <v>84</v>
      </c>
      <c r="BI3375" t="s">
        <v>85</v>
      </c>
    </row>
    <row r="3376" spans="1:61" x14ac:dyDescent="0.3">
      <c r="A3376" t="str">
        <f>"200766B0100"</f>
        <v>200766B0100</v>
      </c>
      <c r="B3376" t="s">
        <v>6855</v>
      </c>
      <c r="C3376">
        <v>20</v>
      </c>
      <c r="D3376" t="s">
        <v>79</v>
      </c>
      <c r="E3376">
        <v>16</v>
      </c>
      <c r="F3376" t="s">
        <v>6725</v>
      </c>
      <c r="G3376">
        <v>766</v>
      </c>
      <c r="H3376">
        <v>1</v>
      </c>
      <c r="I3376" t="s">
        <v>81</v>
      </c>
      <c r="J3376">
        <v>0</v>
      </c>
      <c r="K3376">
        <v>1</v>
      </c>
      <c r="L3376">
        <v>2</v>
      </c>
      <c r="M3376">
        <v>253</v>
      </c>
      <c r="N3376" t="s">
        <v>100</v>
      </c>
      <c r="O3376" t="s">
        <v>100</v>
      </c>
      <c r="P3376" t="s">
        <v>100</v>
      </c>
      <c r="Q3376">
        <v>19</v>
      </c>
      <c r="R3376">
        <v>84</v>
      </c>
      <c r="S3376">
        <v>53</v>
      </c>
      <c r="T3376">
        <v>16</v>
      </c>
      <c r="U3376">
        <v>14</v>
      </c>
      <c r="V3376">
        <v>11</v>
      </c>
      <c r="W3376">
        <v>10</v>
      </c>
      <c r="X3376">
        <v>2</v>
      </c>
      <c r="Y3376">
        <v>142</v>
      </c>
      <c r="Z3376">
        <v>5</v>
      </c>
      <c r="AA3376">
        <v>12</v>
      </c>
      <c r="AC3376">
        <v>0</v>
      </c>
      <c r="AD3376">
        <v>0</v>
      </c>
      <c r="AE3376">
        <v>1</v>
      </c>
      <c r="AF3376">
        <v>1</v>
      </c>
      <c r="AK3376">
        <v>0</v>
      </c>
      <c r="AL3376">
        <v>2</v>
      </c>
      <c r="AM3376">
        <v>1</v>
      </c>
      <c r="AN3376">
        <v>6</v>
      </c>
      <c r="AO3376">
        <v>0</v>
      </c>
      <c r="AP3376">
        <v>1</v>
      </c>
      <c r="AQ3376">
        <v>0</v>
      </c>
      <c r="AR3376">
        <v>0</v>
      </c>
      <c r="AT3376">
        <v>0</v>
      </c>
      <c r="AU3376">
        <v>35</v>
      </c>
      <c r="AV3376">
        <v>415</v>
      </c>
      <c r="AW3376">
        <v>415</v>
      </c>
      <c r="AX3376">
        <v>646</v>
      </c>
      <c r="BA3376">
        <v>1</v>
      </c>
      <c r="BC3376" t="s">
        <v>6856</v>
      </c>
      <c r="BD3376" s="4">
        <v>43283.171527777777</v>
      </c>
      <c r="BE3376" s="4">
        <v>43283.28833333333</v>
      </c>
      <c r="BF3376" s="4">
        <v>43283.28833333333</v>
      </c>
      <c r="BG3376" t="s">
        <v>83</v>
      </c>
      <c r="BH3376" t="s">
        <v>84</v>
      </c>
      <c r="BI3376" t="s">
        <v>85</v>
      </c>
    </row>
    <row r="3377" spans="1:61" x14ac:dyDescent="0.3">
      <c r="A3377" t="str">
        <f>"200766C0100"</f>
        <v>200766C0100</v>
      </c>
      <c r="B3377" t="s">
        <v>6857</v>
      </c>
      <c r="C3377">
        <v>20</v>
      </c>
      <c r="D3377" t="s">
        <v>79</v>
      </c>
      <c r="E3377">
        <v>16</v>
      </c>
      <c r="F3377" t="s">
        <v>6725</v>
      </c>
      <c r="G3377">
        <v>766</v>
      </c>
      <c r="H3377">
        <v>1</v>
      </c>
      <c r="I3377" t="s">
        <v>89</v>
      </c>
      <c r="J3377">
        <v>0</v>
      </c>
      <c r="K3377">
        <v>1</v>
      </c>
      <c r="L3377">
        <v>2</v>
      </c>
      <c r="M3377">
        <v>237</v>
      </c>
      <c r="N3377">
        <v>431</v>
      </c>
      <c r="O3377">
        <v>1</v>
      </c>
      <c r="P3377">
        <v>431</v>
      </c>
      <c r="Q3377">
        <v>10</v>
      </c>
      <c r="R3377">
        <v>115</v>
      </c>
      <c r="S3377">
        <v>34</v>
      </c>
      <c r="T3377">
        <v>4</v>
      </c>
      <c r="U3377">
        <v>12</v>
      </c>
      <c r="V3377">
        <v>10</v>
      </c>
      <c r="W3377">
        <v>21</v>
      </c>
      <c r="X3377">
        <v>7</v>
      </c>
      <c r="Y3377">
        <v>149</v>
      </c>
      <c r="Z3377">
        <v>13</v>
      </c>
      <c r="AA3377">
        <v>24</v>
      </c>
      <c r="AC3377">
        <v>0</v>
      </c>
      <c r="AD3377">
        <v>0</v>
      </c>
      <c r="AE3377">
        <v>0</v>
      </c>
      <c r="AF3377">
        <v>0</v>
      </c>
      <c r="AK3377">
        <v>3</v>
      </c>
      <c r="AL3377">
        <v>0</v>
      </c>
      <c r="AM3377">
        <v>0</v>
      </c>
      <c r="AN3377">
        <v>2</v>
      </c>
      <c r="AO3377">
        <v>1</v>
      </c>
      <c r="AP3377">
        <v>2</v>
      </c>
      <c r="AQ3377">
        <v>0</v>
      </c>
      <c r="AR3377">
        <v>0</v>
      </c>
      <c r="AT3377">
        <v>0</v>
      </c>
      <c r="AU3377">
        <v>24</v>
      </c>
      <c r="AV3377">
        <v>431</v>
      </c>
      <c r="AW3377">
        <v>431</v>
      </c>
      <c r="AX3377">
        <v>646</v>
      </c>
      <c r="BA3377">
        <v>1</v>
      </c>
      <c r="BC3377" t="s">
        <v>6858</v>
      </c>
      <c r="BD3377" s="4">
        <v>43283.171527777777</v>
      </c>
      <c r="BE3377" s="4">
        <v>43283.19427083333</v>
      </c>
      <c r="BF3377" s="4">
        <v>43283.19427083333</v>
      </c>
      <c r="BG3377" t="s">
        <v>83</v>
      </c>
      <c r="BH3377" t="s">
        <v>84</v>
      </c>
      <c r="BI3377" t="s">
        <v>85</v>
      </c>
    </row>
    <row r="3378" spans="1:61" x14ac:dyDescent="0.3">
      <c r="A3378" t="str">
        <f>"200767B0100"</f>
        <v>200767B0100</v>
      </c>
      <c r="B3378" t="s">
        <v>6859</v>
      </c>
      <c r="C3378">
        <v>20</v>
      </c>
      <c r="D3378" t="s">
        <v>79</v>
      </c>
      <c r="E3378">
        <v>16</v>
      </c>
      <c r="F3378" t="s">
        <v>6725</v>
      </c>
      <c r="G3378">
        <v>767</v>
      </c>
      <c r="H3378">
        <v>1</v>
      </c>
      <c r="I3378" t="s">
        <v>81</v>
      </c>
      <c r="J3378">
        <v>0</v>
      </c>
      <c r="K3378">
        <v>2</v>
      </c>
      <c r="L3378">
        <v>2</v>
      </c>
      <c r="M3378">
        <v>175</v>
      </c>
      <c r="N3378">
        <v>334</v>
      </c>
      <c r="O3378">
        <v>0</v>
      </c>
      <c r="P3378">
        <v>334</v>
      </c>
      <c r="Q3378">
        <v>8</v>
      </c>
      <c r="R3378">
        <v>59</v>
      </c>
      <c r="S3378">
        <v>36</v>
      </c>
      <c r="T3378">
        <v>9</v>
      </c>
      <c r="U3378">
        <v>14</v>
      </c>
      <c r="V3378">
        <v>2</v>
      </c>
      <c r="W3378">
        <v>8</v>
      </c>
      <c r="X3378">
        <v>1</v>
      </c>
      <c r="Y3378">
        <v>149</v>
      </c>
      <c r="Z3378">
        <v>8</v>
      </c>
      <c r="AA3378">
        <v>14</v>
      </c>
      <c r="AC3378">
        <v>0</v>
      </c>
      <c r="AD3378">
        <v>2</v>
      </c>
      <c r="AE3378">
        <v>0</v>
      </c>
      <c r="AF3378">
        <v>0</v>
      </c>
      <c r="AK3378">
        <v>4</v>
      </c>
      <c r="AL3378">
        <v>2</v>
      </c>
      <c r="AM3378">
        <v>0</v>
      </c>
      <c r="AN3378">
        <v>1</v>
      </c>
      <c r="AO3378">
        <v>0</v>
      </c>
      <c r="AP3378">
        <v>2</v>
      </c>
      <c r="AQ3378">
        <v>0</v>
      </c>
      <c r="AR3378">
        <v>0</v>
      </c>
      <c r="AT3378">
        <v>0</v>
      </c>
      <c r="AU3378">
        <v>16</v>
      </c>
      <c r="AV3378">
        <v>335</v>
      </c>
      <c r="AW3378">
        <v>335</v>
      </c>
      <c r="AX3378">
        <v>488</v>
      </c>
      <c r="BA3378">
        <v>1</v>
      </c>
      <c r="BC3378" t="s">
        <v>6860</v>
      </c>
      <c r="BD3378" s="4">
        <v>43283.171527777777</v>
      </c>
      <c r="BE3378" s="4">
        <v>43283.280682870369</v>
      </c>
      <c r="BF3378" s="4">
        <v>43283.280682870369</v>
      </c>
      <c r="BG3378" t="s">
        <v>83</v>
      </c>
      <c r="BH3378" t="s">
        <v>84</v>
      </c>
      <c r="BI3378" t="s">
        <v>85</v>
      </c>
    </row>
    <row r="3379" spans="1:61" x14ac:dyDescent="0.3">
      <c r="A3379" t="str">
        <f>"200767C0100"</f>
        <v>200767C0100</v>
      </c>
      <c r="B3379" t="s">
        <v>6861</v>
      </c>
      <c r="C3379">
        <v>20</v>
      </c>
      <c r="D3379" t="s">
        <v>79</v>
      </c>
      <c r="E3379">
        <v>16</v>
      </c>
      <c r="F3379" t="s">
        <v>6725</v>
      </c>
      <c r="G3379">
        <v>767</v>
      </c>
      <c r="H3379">
        <v>1</v>
      </c>
      <c r="I3379" t="s">
        <v>89</v>
      </c>
      <c r="J3379">
        <v>0</v>
      </c>
      <c r="K3379">
        <v>2</v>
      </c>
      <c r="L3379">
        <v>2</v>
      </c>
      <c r="M3379">
        <v>184</v>
      </c>
      <c r="N3379">
        <v>326</v>
      </c>
      <c r="O3379">
        <v>0</v>
      </c>
      <c r="P3379">
        <v>0</v>
      </c>
      <c r="Q3379">
        <v>12</v>
      </c>
      <c r="R3379">
        <v>69</v>
      </c>
      <c r="S3379">
        <v>26</v>
      </c>
      <c r="T3379">
        <v>12</v>
      </c>
      <c r="U3379">
        <v>15</v>
      </c>
      <c r="V3379">
        <v>4</v>
      </c>
      <c r="W3379">
        <v>3</v>
      </c>
      <c r="X3379">
        <v>4</v>
      </c>
      <c r="Y3379">
        <v>123</v>
      </c>
      <c r="Z3379">
        <v>12</v>
      </c>
      <c r="AA3379">
        <v>15</v>
      </c>
      <c r="AC3379">
        <v>1</v>
      </c>
      <c r="AD3379">
        <v>1</v>
      </c>
      <c r="AE3379">
        <v>0</v>
      </c>
      <c r="AF3379">
        <v>0</v>
      </c>
      <c r="AK3379">
        <v>8</v>
      </c>
      <c r="AL3379">
        <v>0</v>
      </c>
      <c r="AM3379">
        <v>0</v>
      </c>
      <c r="AN3379">
        <v>0</v>
      </c>
      <c r="AO3379">
        <v>0</v>
      </c>
      <c r="AP3379">
        <v>2</v>
      </c>
      <c r="AQ3379">
        <v>0</v>
      </c>
      <c r="AR3379">
        <v>0</v>
      </c>
      <c r="AT3379">
        <v>0</v>
      </c>
      <c r="AU3379">
        <v>19</v>
      </c>
      <c r="AV3379">
        <v>326</v>
      </c>
      <c r="AW3379">
        <v>326</v>
      </c>
      <c r="AX3379">
        <v>488</v>
      </c>
      <c r="BA3379">
        <v>1</v>
      </c>
      <c r="BC3379" t="s">
        <v>6862</v>
      </c>
      <c r="BD3379" s="4">
        <v>43283.171527777777</v>
      </c>
      <c r="BE3379" s="4">
        <v>43283.196296296293</v>
      </c>
      <c r="BF3379" s="4">
        <v>43283.196296296293</v>
      </c>
      <c r="BG3379" t="s">
        <v>83</v>
      </c>
      <c r="BH3379" t="s">
        <v>84</v>
      </c>
      <c r="BI3379" t="s">
        <v>85</v>
      </c>
    </row>
    <row r="3380" spans="1:61" x14ac:dyDescent="0.3">
      <c r="A3380" t="str">
        <f>"200768B0100"</f>
        <v>200768B0100</v>
      </c>
      <c r="B3380" t="s">
        <v>6863</v>
      </c>
      <c r="C3380">
        <v>20</v>
      </c>
      <c r="D3380" t="s">
        <v>79</v>
      </c>
      <c r="E3380">
        <v>16</v>
      </c>
      <c r="F3380" t="s">
        <v>6725</v>
      </c>
      <c r="G3380">
        <v>768</v>
      </c>
      <c r="H3380">
        <v>1</v>
      </c>
      <c r="I3380" t="s">
        <v>81</v>
      </c>
      <c r="J3380">
        <v>0</v>
      </c>
      <c r="K3380">
        <v>2</v>
      </c>
      <c r="L3380">
        <v>2</v>
      </c>
      <c r="M3380">
        <v>137</v>
      </c>
      <c r="N3380">
        <v>331</v>
      </c>
      <c r="O3380">
        <v>0</v>
      </c>
      <c r="P3380">
        <v>331</v>
      </c>
      <c r="Q3380">
        <v>12</v>
      </c>
      <c r="R3380">
        <v>43</v>
      </c>
      <c r="S3380">
        <v>31</v>
      </c>
      <c r="T3380">
        <v>10</v>
      </c>
      <c r="U3380">
        <v>9</v>
      </c>
      <c r="V3380">
        <v>9</v>
      </c>
      <c r="W3380">
        <v>8</v>
      </c>
      <c r="X3380">
        <v>3</v>
      </c>
      <c r="Y3380">
        <v>156</v>
      </c>
      <c r="Z3380">
        <v>10</v>
      </c>
      <c r="AA3380">
        <v>13</v>
      </c>
      <c r="AC3380">
        <v>0</v>
      </c>
      <c r="AD3380">
        <v>0</v>
      </c>
      <c r="AE3380">
        <v>0</v>
      </c>
      <c r="AF3380">
        <v>0</v>
      </c>
      <c r="AK3380">
        <v>6</v>
      </c>
      <c r="AL3380">
        <v>0</v>
      </c>
      <c r="AM3380">
        <v>1</v>
      </c>
      <c r="AN3380">
        <v>4</v>
      </c>
      <c r="AO3380">
        <v>0</v>
      </c>
      <c r="AP3380">
        <v>0</v>
      </c>
      <c r="AQ3380">
        <v>0</v>
      </c>
      <c r="AR3380">
        <v>0</v>
      </c>
      <c r="AT3380">
        <v>0</v>
      </c>
      <c r="AU3380">
        <v>16</v>
      </c>
      <c r="AV3380">
        <v>331</v>
      </c>
      <c r="AW3380">
        <v>331</v>
      </c>
      <c r="AX3380">
        <v>446</v>
      </c>
      <c r="BA3380">
        <v>1</v>
      </c>
      <c r="BC3380" t="s">
        <v>6864</v>
      </c>
      <c r="BD3380" s="4">
        <v>43283.168055555558</v>
      </c>
      <c r="BE3380" s="4">
        <v>43283.279444444444</v>
      </c>
      <c r="BF3380" s="4">
        <v>43283.279444444444</v>
      </c>
      <c r="BG3380" t="s">
        <v>83</v>
      </c>
      <c r="BH3380" t="s">
        <v>84</v>
      </c>
      <c r="BI3380" t="s">
        <v>85</v>
      </c>
    </row>
    <row r="3381" spans="1:61" x14ac:dyDescent="0.3">
      <c r="A3381" t="str">
        <f>"200768C0100"</f>
        <v>200768C0100</v>
      </c>
      <c r="B3381" t="s">
        <v>6865</v>
      </c>
      <c r="C3381">
        <v>20</v>
      </c>
      <c r="D3381" t="s">
        <v>79</v>
      </c>
      <c r="E3381">
        <v>16</v>
      </c>
      <c r="F3381" t="s">
        <v>6725</v>
      </c>
      <c r="G3381">
        <v>768</v>
      </c>
      <c r="H3381">
        <v>1</v>
      </c>
      <c r="I3381" t="s">
        <v>89</v>
      </c>
      <c r="J3381">
        <v>0</v>
      </c>
      <c r="K3381">
        <v>1</v>
      </c>
      <c r="L3381">
        <v>2</v>
      </c>
      <c r="M3381">
        <v>174</v>
      </c>
      <c r="N3381">
        <v>294</v>
      </c>
      <c r="O3381">
        <v>0</v>
      </c>
      <c r="P3381">
        <v>294</v>
      </c>
      <c r="Q3381">
        <v>18</v>
      </c>
      <c r="R3381">
        <v>27</v>
      </c>
      <c r="S3381">
        <v>33</v>
      </c>
      <c r="T3381">
        <v>6</v>
      </c>
      <c r="U3381">
        <v>22</v>
      </c>
      <c r="V3381">
        <v>11</v>
      </c>
      <c r="W3381">
        <v>5</v>
      </c>
      <c r="X3381">
        <v>2</v>
      </c>
      <c r="Y3381">
        <v>133</v>
      </c>
      <c r="Z3381">
        <v>4</v>
      </c>
      <c r="AA3381">
        <v>10</v>
      </c>
      <c r="AC3381">
        <v>3</v>
      </c>
      <c r="AD3381">
        <v>0</v>
      </c>
      <c r="AE3381">
        <v>0</v>
      </c>
      <c r="AF3381">
        <v>0</v>
      </c>
      <c r="AK3381">
        <v>4</v>
      </c>
      <c r="AL3381">
        <v>0</v>
      </c>
      <c r="AM3381">
        <v>2</v>
      </c>
      <c r="AN3381">
        <v>3</v>
      </c>
      <c r="AO3381">
        <v>0</v>
      </c>
      <c r="AP3381">
        <v>0</v>
      </c>
      <c r="AQ3381">
        <v>0</v>
      </c>
      <c r="AR3381">
        <v>0</v>
      </c>
      <c r="AT3381">
        <v>0</v>
      </c>
      <c r="AU3381">
        <v>11</v>
      </c>
      <c r="AV3381">
        <v>294</v>
      </c>
      <c r="AW3381">
        <v>294</v>
      </c>
      <c r="AX3381">
        <v>446</v>
      </c>
      <c r="BA3381">
        <v>1</v>
      </c>
      <c r="BC3381" t="s">
        <v>6866</v>
      </c>
      <c r="BD3381" s="4">
        <v>43283.171527777777</v>
      </c>
      <c r="BE3381" s="4">
        <v>43283.28665509259</v>
      </c>
      <c r="BF3381" s="4">
        <v>43283.28665509259</v>
      </c>
      <c r="BG3381" t="s">
        <v>83</v>
      </c>
      <c r="BH3381" t="s">
        <v>84</v>
      </c>
      <c r="BI3381" t="s">
        <v>85</v>
      </c>
    </row>
    <row r="3382" spans="1:61" x14ac:dyDescent="0.3">
      <c r="A3382" t="str">
        <f>"200769B0100"</f>
        <v>200769B0100</v>
      </c>
      <c r="B3382" t="s">
        <v>6867</v>
      </c>
      <c r="C3382">
        <v>20</v>
      </c>
      <c r="D3382" t="s">
        <v>79</v>
      </c>
      <c r="E3382">
        <v>16</v>
      </c>
      <c r="F3382" t="s">
        <v>6725</v>
      </c>
      <c r="G3382">
        <v>769</v>
      </c>
      <c r="H3382">
        <v>1</v>
      </c>
      <c r="I3382" t="s">
        <v>81</v>
      </c>
      <c r="J3382">
        <v>0</v>
      </c>
      <c r="K3382">
        <v>1</v>
      </c>
      <c r="L3382">
        <v>2</v>
      </c>
      <c r="M3382">
        <v>182</v>
      </c>
      <c r="N3382">
        <v>383</v>
      </c>
      <c r="O3382">
        <v>4</v>
      </c>
      <c r="P3382">
        <v>383</v>
      </c>
      <c r="Q3382">
        <v>19</v>
      </c>
      <c r="R3382">
        <v>61</v>
      </c>
      <c r="S3382">
        <v>44</v>
      </c>
      <c r="T3382">
        <v>11</v>
      </c>
      <c r="U3382">
        <v>14</v>
      </c>
      <c r="V3382">
        <v>11</v>
      </c>
      <c r="W3382">
        <v>3</v>
      </c>
      <c r="X3382">
        <v>1</v>
      </c>
      <c r="Y3382">
        <v>160</v>
      </c>
      <c r="Z3382">
        <v>21</v>
      </c>
      <c r="AA3382">
        <v>8</v>
      </c>
      <c r="AC3382">
        <v>0</v>
      </c>
      <c r="AD3382">
        <v>2</v>
      </c>
      <c r="AE3382">
        <v>0</v>
      </c>
      <c r="AF3382">
        <v>1</v>
      </c>
      <c r="AK3382">
        <v>3</v>
      </c>
      <c r="AL3382">
        <v>1</v>
      </c>
      <c r="AM3382">
        <v>0</v>
      </c>
      <c r="AN3382">
        <v>1</v>
      </c>
      <c r="AO3382">
        <v>1</v>
      </c>
      <c r="AP3382">
        <v>1</v>
      </c>
      <c r="AQ3382">
        <v>0</v>
      </c>
      <c r="AR3382">
        <v>0</v>
      </c>
      <c r="AT3382">
        <v>0</v>
      </c>
      <c r="AU3382">
        <v>20</v>
      </c>
      <c r="AV3382">
        <v>383</v>
      </c>
      <c r="AW3382">
        <v>383</v>
      </c>
      <c r="AX3382">
        <v>543</v>
      </c>
      <c r="BA3382">
        <v>1</v>
      </c>
      <c r="BC3382" t="s">
        <v>6868</v>
      </c>
      <c r="BD3382" s="4">
        <v>43283.171527777777</v>
      </c>
      <c r="BE3382" s="4">
        <v>43283.283182870371</v>
      </c>
      <c r="BF3382" s="4">
        <v>43283.283182870371</v>
      </c>
      <c r="BG3382" t="s">
        <v>83</v>
      </c>
      <c r="BH3382" t="s">
        <v>84</v>
      </c>
      <c r="BI3382" t="s">
        <v>85</v>
      </c>
    </row>
    <row r="3383" spans="1:61" x14ac:dyDescent="0.3">
      <c r="A3383" t="str">
        <f>"200769C0100"</f>
        <v>200769C0100</v>
      </c>
      <c r="B3383" t="s">
        <v>6869</v>
      </c>
      <c r="C3383">
        <v>20</v>
      </c>
      <c r="D3383" t="s">
        <v>79</v>
      </c>
      <c r="E3383">
        <v>16</v>
      </c>
      <c r="F3383" t="s">
        <v>6725</v>
      </c>
      <c r="G3383">
        <v>769</v>
      </c>
      <c r="H3383">
        <v>1</v>
      </c>
      <c r="I3383" t="s">
        <v>89</v>
      </c>
      <c r="J3383">
        <v>0</v>
      </c>
      <c r="K3383">
        <v>1</v>
      </c>
      <c r="L3383">
        <v>2</v>
      </c>
      <c r="M3383">
        <v>201</v>
      </c>
      <c r="N3383">
        <v>366</v>
      </c>
      <c r="O3383">
        <v>1</v>
      </c>
      <c r="P3383">
        <v>365</v>
      </c>
      <c r="Q3383">
        <v>16</v>
      </c>
      <c r="R3383">
        <v>46</v>
      </c>
      <c r="S3383">
        <v>48</v>
      </c>
      <c r="T3383">
        <v>15</v>
      </c>
      <c r="U3383">
        <v>14</v>
      </c>
      <c r="V3383">
        <v>10</v>
      </c>
      <c r="W3383">
        <v>6</v>
      </c>
      <c r="X3383">
        <v>2</v>
      </c>
      <c r="Y3383">
        <v>138</v>
      </c>
      <c r="Z3383">
        <v>10</v>
      </c>
      <c r="AA3383">
        <v>15</v>
      </c>
      <c r="AC3383">
        <v>0</v>
      </c>
      <c r="AD3383">
        <v>0</v>
      </c>
      <c r="AE3383">
        <v>0</v>
      </c>
      <c r="AF3383">
        <v>1</v>
      </c>
      <c r="AK3383">
        <v>1</v>
      </c>
      <c r="AL3383">
        <v>3</v>
      </c>
      <c r="AM3383">
        <v>0</v>
      </c>
      <c r="AN3383">
        <v>1</v>
      </c>
      <c r="AO3383">
        <v>1</v>
      </c>
      <c r="AP3383">
        <v>3</v>
      </c>
      <c r="AQ3383">
        <v>0</v>
      </c>
      <c r="AR3383">
        <v>0</v>
      </c>
      <c r="AT3383">
        <v>0</v>
      </c>
      <c r="AU3383">
        <v>35</v>
      </c>
      <c r="AV3383">
        <v>365</v>
      </c>
      <c r="AW3383">
        <v>365</v>
      </c>
      <c r="AX3383">
        <v>543</v>
      </c>
      <c r="BA3383">
        <v>1</v>
      </c>
      <c r="BC3383" t="s">
        <v>6870</v>
      </c>
      <c r="BD3383" s="4">
        <v>43283.171527777777</v>
      </c>
      <c r="BE3383" s="4">
        <v>43283.281759259262</v>
      </c>
      <c r="BF3383" s="4">
        <v>43283.281759259262</v>
      </c>
      <c r="BG3383" t="s">
        <v>83</v>
      </c>
      <c r="BH3383" t="s">
        <v>84</v>
      </c>
      <c r="BI3383" t="s">
        <v>85</v>
      </c>
    </row>
    <row r="3384" spans="1:61" x14ac:dyDescent="0.3">
      <c r="A3384" t="str">
        <f>"200770B0100"</f>
        <v>200770B0100</v>
      </c>
      <c r="B3384" t="s">
        <v>6871</v>
      </c>
      <c r="C3384">
        <v>20</v>
      </c>
      <c r="D3384" t="s">
        <v>79</v>
      </c>
      <c r="E3384">
        <v>16</v>
      </c>
      <c r="F3384" t="s">
        <v>6725</v>
      </c>
      <c r="G3384">
        <v>770</v>
      </c>
      <c r="H3384">
        <v>1</v>
      </c>
      <c r="I3384" t="s">
        <v>81</v>
      </c>
      <c r="J3384">
        <v>0</v>
      </c>
      <c r="K3384">
        <v>2</v>
      </c>
      <c r="L3384">
        <v>2</v>
      </c>
      <c r="M3384">
        <v>287</v>
      </c>
      <c r="N3384">
        <v>359</v>
      </c>
      <c r="O3384">
        <v>0</v>
      </c>
      <c r="P3384">
        <v>359</v>
      </c>
      <c r="Q3384">
        <v>23</v>
      </c>
      <c r="R3384">
        <v>39</v>
      </c>
      <c r="S3384">
        <v>84</v>
      </c>
      <c r="T3384">
        <v>8</v>
      </c>
      <c r="U3384">
        <v>19</v>
      </c>
      <c r="V3384">
        <v>6</v>
      </c>
      <c r="W3384">
        <v>4</v>
      </c>
      <c r="X3384">
        <v>3</v>
      </c>
      <c r="Y3384">
        <v>135</v>
      </c>
      <c r="Z3384">
        <v>7</v>
      </c>
      <c r="AA3384">
        <v>1</v>
      </c>
      <c r="AC3384">
        <v>1</v>
      </c>
      <c r="AD3384">
        <v>2</v>
      </c>
      <c r="AE3384">
        <v>0</v>
      </c>
      <c r="AF3384">
        <v>0</v>
      </c>
      <c r="AK3384">
        <v>1</v>
      </c>
      <c r="AL3384">
        <v>1</v>
      </c>
      <c r="AM3384">
        <v>0</v>
      </c>
      <c r="AN3384">
        <v>0</v>
      </c>
      <c r="AO3384">
        <v>2</v>
      </c>
      <c r="AP3384">
        <v>1</v>
      </c>
      <c r="AQ3384">
        <v>0</v>
      </c>
      <c r="AR3384">
        <v>0</v>
      </c>
      <c r="AT3384">
        <v>0</v>
      </c>
      <c r="AU3384">
        <v>22</v>
      </c>
      <c r="AV3384">
        <v>359</v>
      </c>
      <c r="AW3384">
        <v>359</v>
      </c>
      <c r="AX3384">
        <v>624</v>
      </c>
      <c r="BA3384">
        <v>1</v>
      </c>
      <c r="BC3384" t="s">
        <v>6872</v>
      </c>
      <c r="BD3384" s="4">
        <v>43283.28402777778</v>
      </c>
      <c r="BE3384" s="4">
        <v>43283.326631944445</v>
      </c>
      <c r="BF3384" s="4">
        <v>43283.326631944445</v>
      </c>
      <c r="BG3384" t="s">
        <v>83</v>
      </c>
      <c r="BH3384" t="s">
        <v>84</v>
      </c>
      <c r="BI3384" t="s">
        <v>85</v>
      </c>
    </row>
    <row r="3385" spans="1:61" x14ac:dyDescent="0.3">
      <c r="A3385" t="str">
        <f>"200770C0100"</f>
        <v>200770C0100</v>
      </c>
      <c r="B3385" t="s">
        <v>6873</v>
      </c>
      <c r="C3385">
        <v>20</v>
      </c>
      <c r="D3385" t="s">
        <v>79</v>
      </c>
      <c r="E3385">
        <v>16</v>
      </c>
      <c r="F3385" t="s">
        <v>6725</v>
      </c>
      <c r="G3385">
        <v>770</v>
      </c>
      <c r="H3385">
        <v>1</v>
      </c>
      <c r="I3385" t="s">
        <v>89</v>
      </c>
      <c r="J3385">
        <v>0</v>
      </c>
      <c r="K3385">
        <v>2</v>
      </c>
      <c r="L3385">
        <v>2</v>
      </c>
      <c r="M3385">
        <v>295</v>
      </c>
      <c r="N3385">
        <v>327</v>
      </c>
      <c r="O3385">
        <v>5</v>
      </c>
      <c r="P3385">
        <v>0</v>
      </c>
      <c r="Q3385">
        <v>14</v>
      </c>
      <c r="R3385">
        <v>28</v>
      </c>
      <c r="S3385">
        <v>69</v>
      </c>
      <c r="T3385">
        <v>7</v>
      </c>
      <c r="U3385">
        <v>26</v>
      </c>
      <c r="V3385">
        <v>15</v>
      </c>
      <c r="W3385">
        <v>4</v>
      </c>
      <c r="X3385">
        <v>11</v>
      </c>
      <c r="Y3385">
        <v>133</v>
      </c>
      <c r="Z3385">
        <v>4</v>
      </c>
      <c r="AA3385">
        <v>0</v>
      </c>
      <c r="AC3385">
        <v>0</v>
      </c>
      <c r="AD3385">
        <v>1</v>
      </c>
      <c r="AE3385">
        <v>1</v>
      </c>
      <c r="AF3385">
        <v>1</v>
      </c>
      <c r="AK3385">
        <v>6</v>
      </c>
      <c r="AL3385">
        <v>1</v>
      </c>
      <c r="AM3385">
        <v>1</v>
      </c>
      <c r="AN3385">
        <v>3</v>
      </c>
      <c r="AO3385">
        <v>0</v>
      </c>
      <c r="AP3385">
        <v>2</v>
      </c>
      <c r="AQ3385">
        <v>0</v>
      </c>
      <c r="AR3385">
        <v>0</v>
      </c>
      <c r="AT3385">
        <v>0</v>
      </c>
      <c r="AU3385">
        <v>24</v>
      </c>
      <c r="AV3385">
        <v>351</v>
      </c>
      <c r="AW3385">
        <v>351</v>
      </c>
      <c r="AX3385">
        <v>624</v>
      </c>
      <c r="BA3385">
        <v>1</v>
      </c>
      <c r="BC3385" t="s">
        <v>6874</v>
      </c>
      <c r="BD3385" s="4">
        <v>43283.28402777778</v>
      </c>
      <c r="BE3385" s="4">
        <v>43283.33898148148</v>
      </c>
      <c r="BF3385" s="4">
        <v>43283.33898148148</v>
      </c>
      <c r="BG3385" t="s">
        <v>83</v>
      </c>
      <c r="BH3385" t="s">
        <v>84</v>
      </c>
      <c r="BI3385" t="s">
        <v>85</v>
      </c>
    </row>
    <row r="3386" spans="1:61" x14ac:dyDescent="0.3">
      <c r="A3386" t="str">
        <f>"200770E0100"</f>
        <v>200770E0100</v>
      </c>
      <c r="B3386" s="2" t="s">
        <v>6875</v>
      </c>
      <c r="C3386">
        <v>20</v>
      </c>
      <c r="D3386" t="s">
        <v>79</v>
      </c>
      <c r="E3386">
        <v>16</v>
      </c>
      <c r="F3386" t="s">
        <v>6725</v>
      </c>
      <c r="G3386">
        <v>770</v>
      </c>
      <c r="H3386">
        <v>1</v>
      </c>
      <c r="I3386" t="s">
        <v>145</v>
      </c>
      <c r="J3386">
        <v>0</v>
      </c>
      <c r="K3386">
        <v>2</v>
      </c>
      <c r="L3386">
        <v>2</v>
      </c>
      <c r="M3386">
        <v>83</v>
      </c>
      <c r="N3386">
        <v>201</v>
      </c>
      <c r="O3386">
        <v>3</v>
      </c>
      <c r="P3386">
        <v>201</v>
      </c>
      <c r="Q3386">
        <v>8</v>
      </c>
      <c r="R3386">
        <v>40</v>
      </c>
      <c r="S3386">
        <v>24</v>
      </c>
      <c r="T3386">
        <v>1</v>
      </c>
      <c r="U3386">
        <v>15</v>
      </c>
      <c r="V3386">
        <v>4</v>
      </c>
      <c r="W3386">
        <v>0</v>
      </c>
      <c r="X3386">
        <v>2</v>
      </c>
      <c r="Y3386">
        <v>87</v>
      </c>
      <c r="Z3386">
        <v>5</v>
      </c>
      <c r="AA3386">
        <v>0</v>
      </c>
      <c r="AC3386">
        <v>1</v>
      </c>
      <c r="AD3386" t="s">
        <v>100</v>
      </c>
      <c r="AE3386" t="s">
        <v>100</v>
      </c>
      <c r="AF3386" t="s">
        <v>100</v>
      </c>
      <c r="AK3386">
        <v>5</v>
      </c>
      <c r="AL3386">
        <v>1</v>
      </c>
      <c r="AM3386" t="s">
        <v>100</v>
      </c>
      <c r="AN3386" t="s">
        <v>100</v>
      </c>
      <c r="AO3386" t="s">
        <v>100</v>
      </c>
      <c r="AP3386" t="s">
        <v>100</v>
      </c>
      <c r="AQ3386" t="s">
        <v>100</v>
      </c>
      <c r="AR3386" t="s">
        <v>100</v>
      </c>
      <c r="AT3386" t="s">
        <v>100</v>
      </c>
      <c r="AU3386">
        <v>8</v>
      </c>
      <c r="AV3386">
        <v>201</v>
      </c>
      <c r="AW3386">
        <v>201</v>
      </c>
      <c r="AX3386">
        <v>262</v>
      </c>
      <c r="AZ3386" t="s">
        <v>101</v>
      </c>
      <c r="BA3386">
        <v>1</v>
      </c>
      <c r="BC3386" t="s">
        <v>6876</v>
      </c>
      <c r="BD3386" s="4">
        <v>43283.28402777778</v>
      </c>
      <c r="BE3386" s="4">
        <v>43283.328668981485</v>
      </c>
      <c r="BF3386" s="4">
        <v>43283.328668981485</v>
      </c>
      <c r="BG3386" t="s">
        <v>83</v>
      </c>
      <c r="BH3386" t="s">
        <v>84</v>
      </c>
      <c r="BI3386" t="s">
        <v>85</v>
      </c>
    </row>
    <row r="3387" spans="1:61" x14ac:dyDescent="0.3">
      <c r="A3387" t="str">
        <f>"200771B0100"</f>
        <v>200771B0100</v>
      </c>
      <c r="B3387" t="s">
        <v>6877</v>
      </c>
      <c r="C3387">
        <v>20</v>
      </c>
      <c r="D3387" t="s">
        <v>79</v>
      </c>
      <c r="E3387">
        <v>16</v>
      </c>
      <c r="F3387" t="s">
        <v>6725</v>
      </c>
      <c r="G3387">
        <v>771</v>
      </c>
      <c r="H3387">
        <v>1</v>
      </c>
      <c r="I3387" t="s">
        <v>81</v>
      </c>
      <c r="J3387">
        <v>0</v>
      </c>
      <c r="K3387">
        <v>2</v>
      </c>
      <c r="L3387">
        <v>2</v>
      </c>
      <c r="M3387">
        <v>72</v>
      </c>
      <c r="N3387">
        <v>242</v>
      </c>
      <c r="O3387">
        <v>0</v>
      </c>
      <c r="P3387">
        <v>170</v>
      </c>
      <c r="Q3387">
        <v>4</v>
      </c>
      <c r="R3387">
        <v>41</v>
      </c>
      <c r="S3387">
        <v>24</v>
      </c>
      <c r="T3387">
        <v>1</v>
      </c>
      <c r="U3387">
        <v>6</v>
      </c>
      <c r="V3387">
        <v>8</v>
      </c>
      <c r="W3387">
        <v>0</v>
      </c>
      <c r="X3387">
        <v>0</v>
      </c>
      <c r="Y3387">
        <v>79</v>
      </c>
      <c r="Z3387">
        <v>0</v>
      </c>
      <c r="AA3387">
        <v>0</v>
      </c>
      <c r="AC3387">
        <v>0</v>
      </c>
      <c r="AD3387">
        <v>0</v>
      </c>
      <c r="AE3387">
        <v>0</v>
      </c>
      <c r="AF3387">
        <v>0</v>
      </c>
      <c r="AK3387">
        <v>3</v>
      </c>
      <c r="AL3387">
        <v>0</v>
      </c>
      <c r="AM3387">
        <v>0</v>
      </c>
      <c r="AN3387">
        <v>0</v>
      </c>
      <c r="AO3387">
        <v>1</v>
      </c>
      <c r="AP3387">
        <v>0</v>
      </c>
      <c r="AQ3387">
        <v>0</v>
      </c>
      <c r="AR3387">
        <v>0</v>
      </c>
      <c r="AT3387">
        <v>0</v>
      </c>
      <c r="AU3387">
        <v>4</v>
      </c>
      <c r="AV3387">
        <v>170</v>
      </c>
      <c r="AW3387">
        <v>171</v>
      </c>
      <c r="AX3387">
        <v>220</v>
      </c>
      <c r="BA3387">
        <v>1</v>
      </c>
      <c r="BC3387" t="s">
        <v>6878</v>
      </c>
      <c r="BD3387" s="4">
        <v>43283.28402777778</v>
      </c>
      <c r="BE3387" s="4">
        <v>43283.335023148145</v>
      </c>
      <c r="BF3387" s="4">
        <v>43283.335023148145</v>
      </c>
      <c r="BG3387" t="s">
        <v>83</v>
      </c>
      <c r="BH3387" t="s">
        <v>84</v>
      </c>
      <c r="BI3387" t="s">
        <v>85</v>
      </c>
    </row>
    <row r="3388" spans="1:61" x14ac:dyDescent="0.3">
      <c r="A3388" t="str">
        <f>"200782B0100"</f>
        <v>200782B0100</v>
      </c>
      <c r="B3388" t="s">
        <v>6879</v>
      </c>
      <c r="C3388">
        <v>20</v>
      </c>
      <c r="D3388" t="s">
        <v>79</v>
      </c>
      <c r="E3388">
        <v>16</v>
      </c>
      <c r="F3388" t="s">
        <v>6725</v>
      </c>
      <c r="G3388">
        <v>782</v>
      </c>
      <c r="H3388">
        <v>1</v>
      </c>
      <c r="I3388" t="s">
        <v>81</v>
      </c>
      <c r="J3388">
        <v>0</v>
      </c>
      <c r="K3388">
        <v>2</v>
      </c>
      <c r="L3388">
        <v>2</v>
      </c>
      <c r="M3388">
        <v>227</v>
      </c>
      <c r="N3388">
        <v>377</v>
      </c>
      <c r="O3388">
        <v>10</v>
      </c>
      <c r="P3388">
        <v>377</v>
      </c>
      <c r="Q3388">
        <v>17</v>
      </c>
      <c r="R3388">
        <v>18</v>
      </c>
      <c r="S3388">
        <v>89</v>
      </c>
      <c r="T3388">
        <v>2</v>
      </c>
      <c r="U3388">
        <v>44</v>
      </c>
      <c r="V3388">
        <v>5</v>
      </c>
      <c r="W3388">
        <v>6</v>
      </c>
      <c r="X3388">
        <v>3</v>
      </c>
      <c r="Y3388">
        <v>155</v>
      </c>
      <c r="Z3388">
        <v>13</v>
      </c>
      <c r="AA3388">
        <v>2</v>
      </c>
      <c r="AC3388">
        <v>1</v>
      </c>
      <c r="AD3388">
        <v>1</v>
      </c>
      <c r="AE3388">
        <v>0</v>
      </c>
      <c r="AF3388">
        <v>0</v>
      </c>
      <c r="AK3388">
        <v>1</v>
      </c>
      <c r="AL3388">
        <v>2</v>
      </c>
      <c r="AM3388">
        <v>0</v>
      </c>
      <c r="AN3388">
        <v>3</v>
      </c>
      <c r="AO3388">
        <v>0</v>
      </c>
      <c r="AP3388">
        <v>0</v>
      </c>
      <c r="AQ3388">
        <v>0</v>
      </c>
      <c r="AR3388">
        <v>1</v>
      </c>
      <c r="AT3388">
        <v>0</v>
      </c>
      <c r="AU3388">
        <v>14</v>
      </c>
      <c r="AV3388">
        <v>377</v>
      </c>
      <c r="AW3388">
        <v>377</v>
      </c>
      <c r="AX3388">
        <v>582</v>
      </c>
      <c r="BA3388">
        <v>1</v>
      </c>
      <c r="BC3388" t="s">
        <v>6880</v>
      </c>
      <c r="BD3388" s="4">
        <v>43283.330555555556</v>
      </c>
      <c r="BE3388" s="4">
        <v>43283.369375000002</v>
      </c>
      <c r="BF3388" s="4">
        <v>43283.369375000002</v>
      </c>
      <c r="BG3388" t="s">
        <v>83</v>
      </c>
      <c r="BH3388" t="s">
        <v>84</v>
      </c>
      <c r="BI3388" t="s">
        <v>85</v>
      </c>
    </row>
    <row r="3389" spans="1:61" x14ac:dyDescent="0.3">
      <c r="A3389" t="str">
        <f>"200783B0100"</f>
        <v>200783B0100</v>
      </c>
      <c r="B3389" t="s">
        <v>6881</v>
      </c>
      <c r="C3389">
        <v>20</v>
      </c>
      <c r="D3389" t="s">
        <v>79</v>
      </c>
      <c r="E3389">
        <v>16</v>
      </c>
      <c r="F3389" t="s">
        <v>6725</v>
      </c>
      <c r="G3389">
        <v>783</v>
      </c>
      <c r="H3389">
        <v>1</v>
      </c>
      <c r="I3389" t="s">
        <v>81</v>
      </c>
      <c r="J3389">
        <v>0</v>
      </c>
      <c r="K3389">
        <v>2</v>
      </c>
      <c r="L3389">
        <v>2</v>
      </c>
      <c r="M3389">
        <v>313</v>
      </c>
      <c r="N3389">
        <v>458</v>
      </c>
      <c r="O3389">
        <v>2</v>
      </c>
      <c r="P3389">
        <v>458</v>
      </c>
      <c r="Q3389">
        <v>17</v>
      </c>
      <c r="R3389">
        <v>18</v>
      </c>
      <c r="S3389">
        <v>128</v>
      </c>
      <c r="T3389">
        <v>5</v>
      </c>
      <c r="U3389">
        <v>54</v>
      </c>
      <c r="V3389">
        <v>3</v>
      </c>
      <c r="W3389">
        <v>13</v>
      </c>
      <c r="X3389">
        <v>5</v>
      </c>
      <c r="Y3389">
        <v>186</v>
      </c>
      <c r="Z3389">
        <v>4</v>
      </c>
      <c r="AA3389">
        <v>1</v>
      </c>
      <c r="AC3389">
        <v>0</v>
      </c>
      <c r="AD3389">
        <v>2</v>
      </c>
      <c r="AE3389">
        <v>0</v>
      </c>
      <c r="AF3389">
        <v>1</v>
      </c>
      <c r="AK3389">
        <v>2</v>
      </c>
      <c r="AL3389">
        <v>4</v>
      </c>
      <c r="AM3389">
        <v>0</v>
      </c>
      <c r="AN3389">
        <v>0</v>
      </c>
      <c r="AO3389">
        <v>0</v>
      </c>
      <c r="AP3389">
        <v>0</v>
      </c>
      <c r="AQ3389">
        <v>0</v>
      </c>
      <c r="AR3389">
        <v>0</v>
      </c>
      <c r="AT3389">
        <v>0</v>
      </c>
      <c r="AU3389">
        <v>15</v>
      </c>
      <c r="AV3389">
        <v>458</v>
      </c>
      <c r="AW3389">
        <v>458</v>
      </c>
      <c r="AX3389">
        <v>750</v>
      </c>
      <c r="BA3389">
        <v>1</v>
      </c>
      <c r="BC3389" t="s">
        <v>6882</v>
      </c>
      <c r="BD3389" s="4">
        <v>43283.435416666667</v>
      </c>
      <c r="BE3389" s="4">
        <v>43283.438668981478</v>
      </c>
      <c r="BF3389" s="4">
        <v>43283.438668981478</v>
      </c>
      <c r="BG3389" t="s">
        <v>83</v>
      </c>
      <c r="BH3389" t="s">
        <v>84</v>
      </c>
      <c r="BI3389" t="s">
        <v>85</v>
      </c>
    </row>
    <row r="3390" spans="1:61" x14ac:dyDescent="0.3">
      <c r="A3390" t="str">
        <f>"200784B0100"</f>
        <v>200784B0100</v>
      </c>
      <c r="B3390" t="s">
        <v>6883</v>
      </c>
      <c r="C3390">
        <v>20</v>
      </c>
      <c r="D3390" t="s">
        <v>79</v>
      </c>
      <c r="E3390">
        <v>16</v>
      </c>
      <c r="F3390" t="s">
        <v>6725</v>
      </c>
      <c r="G3390">
        <v>784</v>
      </c>
      <c r="H3390">
        <v>1</v>
      </c>
      <c r="I3390" t="s">
        <v>81</v>
      </c>
      <c r="J3390">
        <v>0</v>
      </c>
      <c r="K3390">
        <v>2</v>
      </c>
      <c r="L3390">
        <v>2</v>
      </c>
      <c r="M3390">
        <v>61</v>
      </c>
      <c r="N3390">
        <v>61</v>
      </c>
      <c r="O3390">
        <v>3</v>
      </c>
      <c r="P3390">
        <v>61</v>
      </c>
      <c r="Q3390">
        <v>0</v>
      </c>
      <c r="R3390">
        <v>4</v>
      </c>
      <c r="S3390">
        <v>6</v>
      </c>
      <c r="T3390">
        <v>0</v>
      </c>
      <c r="U3390">
        <v>3</v>
      </c>
      <c r="V3390">
        <v>0</v>
      </c>
      <c r="W3390">
        <v>2</v>
      </c>
      <c r="X3390">
        <v>2</v>
      </c>
      <c r="Y3390">
        <v>34</v>
      </c>
      <c r="Z3390">
        <v>1</v>
      </c>
      <c r="AA3390">
        <v>0</v>
      </c>
      <c r="AC3390">
        <v>0</v>
      </c>
      <c r="AD3390">
        <v>0</v>
      </c>
      <c r="AE3390">
        <v>0</v>
      </c>
      <c r="AF3390">
        <v>0</v>
      </c>
      <c r="AK3390">
        <v>3</v>
      </c>
      <c r="AL3390">
        <v>3</v>
      </c>
      <c r="AM3390">
        <v>0</v>
      </c>
      <c r="AN3390">
        <v>0</v>
      </c>
      <c r="AO3390">
        <v>0</v>
      </c>
      <c r="AP3390">
        <v>0</v>
      </c>
      <c r="AQ3390">
        <v>0</v>
      </c>
      <c r="AR3390">
        <v>0</v>
      </c>
      <c r="AT3390">
        <v>0</v>
      </c>
      <c r="AU3390">
        <v>3</v>
      </c>
      <c r="AV3390">
        <v>61</v>
      </c>
      <c r="AW3390">
        <v>61</v>
      </c>
      <c r="AX3390">
        <v>99</v>
      </c>
      <c r="BA3390">
        <v>1</v>
      </c>
      <c r="BC3390" t="s">
        <v>6884</v>
      </c>
      <c r="BD3390" s="4">
        <v>43283.17083333333</v>
      </c>
      <c r="BE3390" s="4">
        <v>43283.22</v>
      </c>
      <c r="BF3390" s="4">
        <v>43283.22</v>
      </c>
      <c r="BG3390" t="s">
        <v>83</v>
      </c>
      <c r="BH3390" t="s">
        <v>84</v>
      </c>
      <c r="BI3390" t="s">
        <v>85</v>
      </c>
    </row>
    <row r="3391" spans="1:61" x14ac:dyDescent="0.3">
      <c r="A3391" t="str">
        <f>"200785B0100"</f>
        <v>200785B0100</v>
      </c>
      <c r="B3391" t="s">
        <v>6885</v>
      </c>
      <c r="C3391">
        <v>20</v>
      </c>
      <c r="D3391" t="s">
        <v>79</v>
      </c>
      <c r="E3391">
        <v>16</v>
      </c>
      <c r="F3391" t="s">
        <v>6725</v>
      </c>
      <c r="G3391">
        <v>785</v>
      </c>
      <c r="H3391">
        <v>1</v>
      </c>
      <c r="I3391" t="s">
        <v>81</v>
      </c>
      <c r="J3391">
        <v>0</v>
      </c>
      <c r="K3391">
        <v>2</v>
      </c>
      <c r="L3391">
        <v>2</v>
      </c>
      <c r="M3391">
        <v>40</v>
      </c>
      <c r="N3391">
        <v>205</v>
      </c>
      <c r="O3391">
        <v>5</v>
      </c>
      <c r="P3391">
        <v>205</v>
      </c>
      <c r="Q3391">
        <v>3</v>
      </c>
      <c r="R3391">
        <v>2</v>
      </c>
      <c r="S3391">
        <v>13</v>
      </c>
      <c r="T3391">
        <v>0</v>
      </c>
      <c r="U3391">
        <v>58</v>
      </c>
      <c r="V3391">
        <v>1</v>
      </c>
      <c r="W3391">
        <v>12</v>
      </c>
      <c r="X3391">
        <v>0</v>
      </c>
      <c r="Y3391">
        <v>87</v>
      </c>
      <c r="Z3391">
        <v>5</v>
      </c>
      <c r="AA3391">
        <v>0</v>
      </c>
      <c r="AC3391">
        <v>0</v>
      </c>
      <c r="AD3391">
        <v>0</v>
      </c>
      <c r="AE3391">
        <v>0</v>
      </c>
      <c r="AF3391">
        <v>0</v>
      </c>
      <c r="AK3391">
        <v>6</v>
      </c>
      <c r="AL3391">
        <v>11</v>
      </c>
      <c r="AM3391">
        <v>2</v>
      </c>
      <c r="AN3391">
        <v>0</v>
      </c>
      <c r="AO3391">
        <v>0</v>
      </c>
      <c r="AP3391">
        <v>0</v>
      </c>
      <c r="AQ3391">
        <v>0</v>
      </c>
      <c r="AR3391">
        <v>0</v>
      </c>
      <c r="AT3391">
        <v>0</v>
      </c>
      <c r="AU3391">
        <v>5</v>
      </c>
      <c r="AV3391">
        <v>205</v>
      </c>
      <c r="AW3391">
        <v>205</v>
      </c>
      <c r="AX3391">
        <v>223</v>
      </c>
      <c r="BA3391">
        <v>1</v>
      </c>
      <c r="BC3391" t="s">
        <v>6886</v>
      </c>
      <c r="BD3391" s="4">
        <v>43283.330555555556</v>
      </c>
      <c r="BE3391" s="4">
        <v>43283.367523148147</v>
      </c>
      <c r="BF3391" s="4">
        <v>43283.367523148147</v>
      </c>
      <c r="BG3391" t="s">
        <v>83</v>
      </c>
      <c r="BH3391" t="s">
        <v>84</v>
      </c>
      <c r="BI3391" t="s">
        <v>85</v>
      </c>
    </row>
    <row r="3392" spans="1:61" x14ac:dyDescent="0.3">
      <c r="A3392" t="str">
        <f>"200786B0100"</f>
        <v>200786B0100</v>
      </c>
      <c r="B3392" t="s">
        <v>6887</v>
      </c>
      <c r="C3392">
        <v>20</v>
      </c>
      <c r="D3392" t="s">
        <v>79</v>
      </c>
      <c r="E3392">
        <v>16</v>
      </c>
      <c r="F3392" t="s">
        <v>6725</v>
      </c>
      <c r="G3392">
        <v>786</v>
      </c>
      <c r="H3392">
        <v>1</v>
      </c>
      <c r="I3392" t="s">
        <v>81</v>
      </c>
      <c r="J3392">
        <v>0</v>
      </c>
      <c r="K3392">
        <v>2</v>
      </c>
      <c r="L3392">
        <v>2</v>
      </c>
      <c r="M3392">
        <v>120</v>
      </c>
      <c r="N3392">
        <v>216</v>
      </c>
      <c r="O3392">
        <v>5</v>
      </c>
      <c r="P3392">
        <v>216</v>
      </c>
      <c r="Q3392">
        <v>1</v>
      </c>
      <c r="R3392">
        <v>4</v>
      </c>
      <c r="S3392">
        <v>8</v>
      </c>
      <c r="T3392">
        <v>3</v>
      </c>
      <c r="U3392">
        <v>15</v>
      </c>
      <c r="V3392">
        <v>2</v>
      </c>
      <c r="W3392">
        <v>6</v>
      </c>
      <c r="X3392">
        <v>0</v>
      </c>
      <c r="Y3392">
        <v>147</v>
      </c>
      <c r="Z3392">
        <v>5</v>
      </c>
      <c r="AA3392">
        <v>3</v>
      </c>
      <c r="AC3392">
        <v>0</v>
      </c>
      <c r="AD3392">
        <v>0</v>
      </c>
      <c r="AE3392">
        <v>0</v>
      </c>
      <c r="AF3392">
        <v>0</v>
      </c>
      <c r="AK3392">
        <v>4</v>
      </c>
      <c r="AL3392">
        <v>2</v>
      </c>
      <c r="AM3392">
        <v>1</v>
      </c>
      <c r="AN3392">
        <v>4</v>
      </c>
      <c r="AO3392">
        <v>0</v>
      </c>
      <c r="AP3392">
        <v>0</v>
      </c>
      <c r="AQ3392">
        <v>0</v>
      </c>
      <c r="AR3392">
        <v>0</v>
      </c>
      <c r="AT3392">
        <v>0</v>
      </c>
      <c r="AU3392">
        <v>11</v>
      </c>
      <c r="AV3392">
        <v>216</v>
      </c>
      <c r="AW3392">
        <v>216</v>
      </c>
      <c r="AX3392">
        <v>314</v>
      </c>
      <c r="BA3392">
        <v>1</v>
      </c>
      <c r="BC3392" t="s">
        <v>6888</v>
      </c>
      <c r="BD3392" s="4">
        <v>43283.330555555556</v>
      </c>
      <c r="BE3392" s="4">
        <v>43283.366678240738</v>
      </c>
      <c r="BF3392" s="4">
        <v>43283.366678240738</v>
      </c>
      <c r="BG3392" t="s">
        <v>83</v>
      </c>
      <c r="BH3392" t="s">
        <v>84</v>
      </c>
      <c r="BI3392" t="s">
        <v>85</v>
      </c>
    </row>
    <row r="3393" spans="1:61" x14ac:dyDescent="0.3">
      <c r="A3393" t="str">
        <f>"200787B0100"</f>
        <v>200787B0100</v>
      </c>
      <c r="B3393" t="s">
        <v>6889</v>
      </c>
      <c r="C3393">
        <v>20</v>
      </c>
      <c r="D3393" t="s">
        <v>79</v>
      </c>
      <c r="E3393">
        <v>16</v>
      </c>
      <c r="F3393" t="s">
        <v>6725</v>
      </c>
      <c r="G3393">
        <v>787</v>
      </c>
      <c r="H3393">
        <v>1</v>
      </c>
      <c r="I3393" t="s">
        <v>81</v>
      </c>
      <c r="J3393">
        <v>0</v>
      </c>
      <c r="K3393">
        <v>2</v>
      </c>
      <c r="L3393">
        <v>2</v>
      </c>
      <c r="M3393">
        <v>85</v>
      </c>
      <c r="N3393">
        <v>166</v>
      </c>
      <c r="O3393" t="s">
        <v>100</v>
      </c>
      <c r="P3393">
        <v>166</v>
      </c>
      <c r="Q3393">
        <v>1</v>
      </c>
      <c r="R3393">
        <v>2</v>
      </c>
      <c r="S3393">
        <v>23</v>
      </c>
      <c r="T3393">
        <v>0</v>
      </c>
      <c r="U3393">
        <v>15</v>
      </c>
      <c r="V3393">
        <v>5</v>
      </c>
      <c r="W3393">
        <v>0</v>
      </c>
      <c r="X3393">
        <v>1</v>
      </c>
      <c r="Y3393">
        <v>103</v>
      </c>
      <c r="Z3393">
        <v>4</v>
      </c>
      <c r="AA3393">
        <v>0</v>
      </c>
      <c r="AC3393">
        <v>0</v>
      </c>
      <c r="AD3393">
        <v>0</v>
      </c>
      <c r="AE3393">
        <v>0</v>
      </c>
      <c r="AF3393">
        <v>0</v>
      </c>
      <c r="AK3393">
        <v>3</v>
      </c>
      <c r="AL3393">
        <v>4</v>
      </c>
      <c r="AM3393">
        <v>0</v>
      </c>
      <c r="AN3393">
        <v>0</v>
      </c>
      <c r="AO3393">
        <v>0</v>
      </c>
      <c r="AP3393">
        <v>0</v>
      </c>
      <c r="AQ3393">
        <v>0</v>
      </c>
      <c r="AR3393">
        <v>0</v>
      </c>
      <c r="AT3393">
        <v>0</v>
      </c>
      <c r="AU3393">
        <v>5</v>
      </c>
      <c r="AV3393">
        <v>166</v>
      </c>
      <c r="AW3393">
        <v>166</v>
      </c>
      <c r="AX3393">
        <v>229</v>
      </c>
      <c r="BA3393">
        <v>1</v>
      </c>
      <c r="BC3393" t="s">
        <v>6890</v>
      </c>
      <c r="BD3393" s="4">
        <v>43283.330555555556</v>
      </c>
      <c r="BE3393" s="4">
        <v>43283.367314814815</v>
      </c>
      <c r="BF3393" s="4">
        <v>43283.367314814815</v>
      </c>
      <c r="BG3393" t="s">
        <v>83</v>
      </c>
      <c r="BH3393" t="s">
        <v>84</v>
      </c>
      <c r="BI3393" t="s">
        <v>85</v>
      </c>
    </row>
    <row r="3394" spans="1:61" x14ac:dyDescent="0.3">
      <c r="A3394" t="str">
        <f>"200798B0100"</f>
        <v>200798B0100</v>
      </c>
      <c r="B3394" t="s">
        <v>6891</v>
      </c>
      <c r="C3394">
        <v>20</v>
      </c>
      <c r="D3394" t="s">
        <v>79</v>
      </c>
      <c r="E3394">
        <v>16</v>
      </c>
      <c r="F3394" t="s">
        <v>6725</v>
      </c>
      <c r="G3394">
        <v>798</v>
      </c>
      <c r="H3394">
        <v>1</v>
      </c>
      <c r="I3394" t="s">
        <v>81</v>
      </c>
      <c r="J3394">
        <v>0</v>
      </c>
      <c r="K3394">
        <v>1</v>
      </c>
      <c r="L3394">
        <v>2</v>
      </c>
      <c r="M3394">
        <v>206</v>
      </c>
      <c r="N3394">
        <v>327</v>
      </c>
      <c r="O3394">
        <v>0</v>
      </c>
      <c r="P3394">
        <v>327</v>
      </c>
      <c r="Q3394">
        <v>10</v>
      </c>
      <c r="R3394">
        <v>45</v>
      </c>
      <c r="S3394">
        <v>7</v>
      </c>
      <c r="T3394">
        <v>11</v>
      </c>
      <c r="U3394">
        <v>28</v>
      </c>
      <c r="V3394">
        <v>5</v>
      </c>
      <c r="W3394">
        <v>3</v>
      </c>
      <c r="X3394">
        <v>1</v>
      </c>
      <c r="Y3394">
        <v>178</v>
      </c>
      <c r="Z3394">
        <v>14</v>
      </c>
      <c r="AA3394">
        <v>5</v>
      </c>
      <c r="AC3394">
        <v>0</v>
      </c>
      <c r="AD3394">
        <v>0</v>
      </c>
      <c r="AE3394">
        <v>2</v>
      </c>
      <c r="AF3394">
        <v>0</v>
      </c>
      <c r="AK3394">
        <v>2</v>
      </c>
      <c r="AL3394">
        <v>2</v>
      </c>
      <c r="AM3394">
        <v>1</v>
      </c>
      <c r="AN3394">
        <v>1</v>
      </c>
      <c r="AO3394">
        <v>2</v>
      </c>
      <c r="AP3394">
        <v>1</v>
      </c>
      <c r="AQ3394">
        <v>0</v>
      </c>
      <c r="AR3394">
        <v>0</v>
      </c>
      <c r="AT3394">
        <v>0</v>
      </c>
      <c r="AU3394">
        <v>9</v>
      </c>
      <c r="AV3394">
        <v>327</v>
      </c>
      <c r="AW3394">
        <v>327</v>
      </c>
      <c r="AX3394">
        <v>511</v>
      </c>
      <c r="BA3394">
        <v>1</v>
      </c>
      <c r="BC3394" t="s">
        <v>6892</v>
      </c>
      <c r="BD3394" s="4">
        <v>43283.140277777777</v>
      </c>
      <c r="BE3394" s="4">
        <v>43283.291319444441</v>
      </c>
      <c r="BF3394" s="4">
        <v>43283.291319444441</v>
      </c>
      <c r="BG3394" t="s">
        <v>83</v>
      </c>
      <c r="BH3394" t="s">
        <v>84</v>
      </c>
      <c r="BI3394" t="s">
        <v>85</v>
      </c>
    </row>
    <row r="3395" spans="1:61" x14ac:dyDescent="0.3">
      <c r="A3395" t="str">
        <f>"200798C0100"</f>
        <v>200798C0100</v>
      </c>
      <c r="B3395" t="s">
        <v>6893</v>
      </c>
      <c r="C3395">
        <v>20</v>
      </c>
      <c r="D3395" t="s">
        <v>79</v>
      </c>
      <c r="E3395">
        <v>16</v>
      </c>
      <c r="F3395" t="s">
        <v>6725</v>
      </c>
      <c r="G3395">
        <v>798</v>
      </c>
      <c r="H3395">
        <v>1</v>
      </c>
      <c r="I3395" t="s">
        <v>89</v>
      </c>
      <c r="J3395">
        <v>0</v>
      </c>
      <c r="K3395">
        <v>1</v>
      </c>
      <c r="L3395">
        <v>2</v>
      </c>
      <c r="M3395">
        <v>209</v>
      </c>
      <c r="N3395">
        <v>321</v>
      </c>
      <c r="O3395">
        <v>3</v>
      </c>
      <c r="P3395">
        <v>322</v>
      </c>
      <c r="Q3395">
        <v>23</v>
      </c>
      <c r="R3395">
        <v>31</v>
      </c>
      <c r="S3395">
        <v>16</v>
      </c>
      <c r="T3395">
        <v>8</v>
      </c>
      <c r="U3395">
        <v>20</v>
      </c>
      <c r="V3395">
        <v>8</v>
      </c>
      <c r="W3395">
        <v>5</v>
      </c>
      <c r="X3395">
        <v>5</v>
      </c>
      <c r="Y3395">
        <v>182</v>
      </c>
      <c r="Z3395">
        <v>7</v>
      </c>
      <c r="AA3395">
        <v>4</v>
      </c>
      <c r="AC3395" t="s">
        <v>100</v>
      </c>
      <c r="AD3395" t="s">
        <v>100</v>
      </c>
      <c r="AE3395" t="s">
        <v>100</v>
      </c>
      <c r="AF3395" t="s">
        <v>100</v>
      </c>
      <c r="AK3395">
        <v>5</v>
      </c>
      <c r="AL3395">
        <v>2</v>
      </c>
      <c r="AM3395" t="s">
        <v>100</v>
      </c>
      <c r="AN3395" t="s">
        <v>100</v>
      </c>
      <c r="AO3395" t="s">
        <v>100</v>
      </c>
      <c r="AP3395" t="s">
        <v>100</v>
      </c>
      <c r="AQ3395" t="s">
        <v>100</v>
      </c>
      <c r="AR3395" t="s">
        <v>100</v>
      </c>
      <c r="AT3395" t="s">
        <v>100</v>
      </c>
      <c r="AU3395">
        <v>6</v>
      </c>
      <c r="AV3395">
        <v>322</v>
      </c>
      <c r="AW3395">
        <v>322</v>
      </c>
      <c r="AX3395">
        <v>510</v>
      </c>
      <c r="AZ3395" t="s">
        <v>101</v>
      </c>
      <c r="BA3395">
        <v>1</v>
      </c>
      <c r="BC3395" t="s">
        <v>6894</v>
      </c>
      <c r="BD3395" s="4">
        <v>43283.13958333333</v>
      </c>
      <c r="BE3395" s="4">
        <v>43283.584224537037</v>
      </c>
      <c r="BF3395" s="4">
        <v>43283.584224537037</v>
      </c>
      <c r="BG3395" t="s">
        <v>83</v>
      </c>
      <c r="BH3395" t="s">
        <v>84</v>
      </c>
      <c r="BI3395" t="s">
        <v>85</v>
      </c>
    </row>
    <row r="3396" spans="1:61" x14ac:dyDescent="0.3">
      <c r="A3396" t="str">
        <f>"200798C0200"</f>
        <v>200798C0200</v>
      </c>
      <c r="B3396" t="s">
        <v>6895</v>
      </c>
      <c r="C3396">
        <v>20</v>
      </c>
      <c r="D3396" t="s">
        <v>79</v>
      </c>
      <c r="E3396">
        <v>16</v>
      </c>
      <c r="F3396" t="s">
        <v>6725</v>
      </c>
      <c r="G3396">
        <v>798</v>
      </c>
      <c r="H3396">
        <v>2</v>
      </c>
      <c r="I3396" t="s">
        <v>89</v>
      </c>
      <c r="J3396">
        <v>0</v>
      </c>
      <c r="K3396">
        <v>1</v>
      </c>
      <c r="L3396">
        <v>2</v>
      </c>
      <c r="M3396">
        <v>231</v>
      </c>
      <c r="N3396">
        <v>300</v>
      </c>
      <c r="O3396">
        <v>0</v>
      </c>
      <c r="P3396">
        <v>300</v>
      </c>
      <c r="Q3396">
        <v>8</v>
      </c>
      <c r="R3396">
        <v>33</v>
      </c>
      <c r="S3396">
        <v>9</v>
      </c>
      <c r="T3396">
        <v>6</v>
      </c>
      <c r="U3396">
        <v>24</v>
      </c>
      <c r="V3396">
        <v>6</v>
      </c>
      <c r="W3396">
        <v>4</v>
      </c>
      <c r="X3396">
        <v>3</v>
      </c>
      <c r="Y3396">
        <v>172</v>
      </c>
      <c r="Z3396">
        <v>5</v>
      </c>
      <c r="AA3396">
        <v>2</v>
      </c>
      <c r="AC3396">
        <v>2</v>
      </c>
      <c r="AD3396">
        <v>0</v>
      </c>
      <c r="AE3396">
        <v>0</v>
      </c>
      <c r="AF3396">
        <v>0</v>
      </c>
      <c r="AK3396">
        <v>5</v>
      </c>
      <c r="AL3396">
        <v>6</v>
      </c>
      <c r="AM3396">
        <v>0</v>
      </c>
      <c r="AN3396">
        <v>3</v>
      </c>
      <c r="AO3396">
        <v>3</v>
      </c>
      <c r="AP3396">
        <v>0</v>
      </c>
      <c r="AQ3396">
        <v>0</v>
      </c>
      <c r="AR3396">
        <v>0</v>
      </c>
      <c r="AT3396">
        <v>0</v>
      </c>
      <c r="AU3396">
        <v>8</v>
      </c>
      <c r="AV3396" t="s">
        <v>100</v>
      </c>
      <c r="AW3396">
        <v>299</v>
      </c>
      <c r="AX3396">
        <v>510</v>
      </c>
      <c r="BA3396">
        <v>1</v>
      </c>
      <c r="BC3396" t="s">
        <v>6896</v>
      </c>
      <c r="BD3396" s="4">
        <v>43283.136805555558</v>
      </c>
      <c r="BE3396" s="4">
        <v>43283.211504629631</v>
      </c>
      <c r="BF3396" s="4">
        <v>43283.211504629631</v>
      </c>
      <c r="BG3396" t="s">
        <v>83</v>
      </c>
      <c r="BH3396" t="s">
        <v>84</v>
      </c>
      <c r="BI3396" t="s">
        <v>85</v>
      </c>
    </row>
    <row r="3397" spans="1:61" x14ac:dyDescent="0.3">
      <c r="A3397" t="str">
        <f>"200798S0100"</f>
        <v>200798S0100</v>
      </c>
      <c r="B3397" t="s">
        <v>6897</v>
      </c>
      <c r="C3397">
        <v>20</v>
      </c>
      <c r="D3397" t="s">
        <v>79</v>
      </c>
      <c r="E3397">
        <v>16</v>
      </c>
      <c r="F3397" t="s">
        <v>6725</v>
      </c>
      <c r="G3397">
        <v>798</v>
      </c>
      <c r="H3397">
        <v>1</v>
      </c>
      <c r="I3397" t="s">
        <v>104</v>
      </c>
      <c r="J3397">
        <v>0</v>
      </c>
      <c r="K3397">
        <v>1</v>
      </c>
      <c r="L3397">
        <v>3</v>
      </c>
      <c r="AX3397">
        <v>0</v>
      </c>
      <c r="AZ3397" t="s">
        <v>156</v>
      </c>
      <c r="BA3397">
        <v>0</v>
      </c>
      <c r="BC3397" t="s">
        <v>6898</v>
      </c>
      <c r="BD3397" s="4">
        <v>43283.607638888891</v>
      </c>
      <c r="BE3397" s="4">
        <v>43283.615891203706</v>
      </c>
      <c r="BF3397" s="4">
        <v>43283.615891203706</v>
      </c>
      <c r="BG3397" t="s">
        <v>83</v>
      </c>
      <c r="BH3397" t="s">
        <v>84</v>
      </c>
      <c r="BI3397" t="s">
        <v>85</v>
      </c>
    </row>
    <row r="3398" spans="1:61" x14ac:dyDescent="0.3">
      <c r="A3398" t="str">
        <f>"200799B0100"</f>
        <v>200799B0100</v>
      </c>
      <c r="B3398" t="s">
        <v>6899</v>
      </c>
      <c r="C3398">
        <v>20</v>
      </c>
      <c r="D3398" t="s">
        <v>79</v>
      </c>
      <c r="E3398">
        <v>16</v>
      </c>
      <c r="F3398" t="s">
        <v>6725</v>
      </c>
      <c r="G3398">
        <v>799</v>
      </c>
      <c r="H3398">
        <v>1</v>
      </c>
      <c r="I3398" t="s">
        <v>81</v>
      </c>
      <c r="J3398">
        <v>0</v>
      </c>
      <c r="K3398">
        <v>1</v>
      </c>
      <c r="L3398">
        <v>2</v>
      </c>
      <c r="M3398">
        <v>289</v>
      </c>
      <c r="N3398">
        <v>312</v>
      </c>
      <c r="O3398">
        <v>0</v>
      </c>
      <c r="P3398">
        <v>312</v>
      </c>
      <c r="Q3398">
        <v>19</v>
      </c>
      <c r="R3398">
        <v>25</v>
      </c>
      <c r="S3398">
        <v>18</v>
      </c>
      <c r="T3398">
        <v>10</v>
      </c>
      <c r="U3398">
        <v>28</v>
      </c>
      <c r="V3398">
        <v>4</v>
      </c>
      <c r="W3398">
        <v>8</v>
      </c>
      <c r="X3398">
        <v>4</v>
      </c>
      <c r="Y3398">
        <v>168</v>
      </c>
      <c r="Z3398">
        <v>7</v>
      </c>
      <c r="AA3398">
        <v>8</v>
      </c>
      <c r="AC3398">
        <v>1</v>
      </c>
      <c r="AD3398">
        <v>0</v>
      </c>
      <c r="AE3398">
        <v>1</v>
      </c>
      <c r="AF3398">
        <v>0</v>
      </c>
      <c r="AK3398">
        <v>4</v>
      </c>
      <c r="AL3398">
        <v>2</v>
      </c>
      <c r="AM3398">
        <v>0</v>
      </c>
      <c r="AN3398">
        <v>0</v>
      </c>
      <c r="AO3398">
        <v>0</v>
      </c>
      <c r="AP3398">
        <v>0</v>
      </c>
      <c r="AQ3398">
        <v>0</v>
      </c>
      <c r="AR3398">
        <v>0</v>
      </c>
      <c r="AT3398">
        <v>0</v>
      </c>
      <c r="AU3398">
        <v>5</v>
      </c>
      <c r="AV3398">
        <v>312</v>
      </c>
      <c r="AW3398">
        <v>312</v>
      </c>
      <c r="AX3398">
        <v>579</v>
      </c>
      <c r="BA3398">
        <v>1</v>
      </c>
      <c r="BC3398" t="s">
        <v>6900</v>
      </c>
      <c r="BD3398" s="4">
        <v>43283.13958333333</v>
      </c>
      <c r="BE3398" s="4">
        <v>43283.215219907404</v>
      </c>
      <c r="BF3398" s="4">
        <v>43283.215219907404</v>
      </c>
      <c r="BG3398" t="s">
        <v>83</v>
      </c>
      <c r="BH3398" t="s">
        <v>84</v>
      </c>
      <c r="BI3398" t="s">
        <v>85</v>
      </c>
    </row>
    <row r="3399" spans="1:61" x14ac:dyDescent="0.3">
      <c r="A3399" t="str">
        <f>"200799C0100"</f>
        <v>200799C0100</v>
      </c>
      <c r="B3399" t="s">
        <v>6901</v>
      </c>
      <c r="C3399">
        <v>20</v>
      </c>
      <c r="D3399" t="s">
        <v>79</v>
      </c>
      <c r="E3399">
        <v>16</v>
      </c>
      <c r="F3399" t="s">
        <v>6725</v>
      </c>
      <c r="G3399">
        <v>799</v>
      </c>
      <c r="H3399">
        <v>1</v>
      </c>
      <c r="I3399" t="s">
        <v>89</v>
      </c>
      <c r="J3399">
        <v>0</v>
      </c>
      <c r="K3399">
        <v>1</v>
      </c>
      <c r="L3399">
        <v>2</v>
      </c>
      <c r="M3399">
        <v>289</v>
      </c>
      <c r="N3399">
        <v>312</v>
      </c>
      <c r="O3399">
        <v>0</v>
      </c>
      <c r="P3399">
        <v>312</v>
      </c>
      <c r="Q3399">
        <v>19</v>
      </c>
      <c r="R3399">
        <v>24</v>
      </c>
      <c r="S3399">
        <v>12</v>
      </c>
      <c r="T3399">
        <v>5</v>
      </c>
      <c r="U3399">
        <v>27</v>
      </c>
      <c r="V3399">
        <v>9</v>
      </c>
      <c r="W3399">
        <v>5</v>
      </c>
      <c r="X3399">
        <v>0</v>
      </c>
      <c r="Y3399">
        <v>193</v>
      </c>
      <c r="Z3399">
        <v>5</v>
      </c>
      <c r="AA3399">
        <v>0</v>
      </c>
      <c r="AC3399">
        <v>3</v>
      </c>
      <c r="AD3399">
        <v>0</v>
      </c>
      <c r="AE3399">
        <v>0</v>
      </c>
      <c r="AF3399">
        <v>0</v>
      </c>
      <c r="AK3399">
        <v>2</v>
      </c>
      <c r="AL3399">
        <v>1</v>
      </c>
      <c r="AM3399">
        <v>1</v>
      </c>
      <c r="AN3399">
        <v>0</v>
      </c>
      <c r="AO3399">
        <v>0</v>
      </c>
      <c r="AP3399">
        <v>0</v>
      </c>
      <c r="AQ3399">
        <v>0</v>
      </c>
      <c r="AR3399">
        <v>0</v>
      </c>
      <c r="AT3399">
        <v>0</v>
      </c>
      <c r="AU3399">
        <v>6</v>
      </c>
      <c r="AV3399">
        <v>312</v>
      </c>
      <c r="AW3399">
        <v>312</v>
      </c>
      <c r="AX3399">
        <v>579</v>
      </c>
      <c r="BA3399">
        <v>1</v>
      </c>
      <c r="BC3399" t="s">
        <v>6902</v>
      </c>
      <c r="BD3399" s="4">
        <v>43283.13958333333</v>
      </c>
      <c r="BE3399" s="4">
        <v>43283.585798611108</v>
      </c>
      <c r="BF3399" s="4">
        <v>43283.585798611108</v>
      </c>
      <c r="BG3399" t="s">
        <v>83</v>
      </c>
      <c r="BH3399" t="s">
        <v>84</v>
      </c>
      <c r="BI3399" t="s">
        <v>85</v>
      </c>
    </row>
    <row r="3400" spans="1:61" x14ac:dyDescent="0.3">
      <c r="A3400" t="str">
        <f>"200799C0200"</f>
        <v>200799C0200</v>
      </c>
      <c r="B3400" t="s">
        <v>6903</v>
      </c>
      <c r="C3400">
        <v>20</v>
      </c>
      <c r="D3400" t="s">
        <v>79</v>
      </c>
      <c r="E3400">
        <v>16</v>
      </c>
      <c r="F3400" t="s">
        <v>6725</v>
      </c>
      <c r="G3400">
        <v>799</v>
      </c>
      <c r="H3400">
        <v>2</v>
      </c>
      <c r="I3400" t="s">
        <v>89</v>
      </c>
      <c r="J3400">
        <v>0</v>
      </c>
      <c r="K3400">
        <v>1</v>
      </c>
      <c r="L3400">
        <v>2</v>
      </c>
      <c r="M3400">
        <v>256</v>
      </c>
      <c r="N3400">
        <v>345</v>
      </c>
      <c r="O3400">
        <v>0</v>
      </c>
      <c r="P3400">
        <v>345</v>
      </c>
      <c r="Q3400">
        <v>32</v>
      </c>
      <c r="R3400">
        <v>42</v>
      </c>
      <c r="S3400">
        <v>11</v>
      </c>
      <c r="T3400">
        <v>7</v>
      </c>
      <c r="U3400">
        <v>17</v>
      </c>
      <c r="V3400">
        <v>2</v>
      </c>
      <c r="W3400">
        <v>6</v>
      </c>
      <c r="X3400">
        <v>3</v>
      </c>
      <c r="Y3400">
        <v>190</v>
      </c>
      <c r="Z3400">
        <v>6</v>
      </c>
      <c r="AA3400">
        <v>5</v>
      </c>
      <c r="AC3400" t="s">
        <v>100</v>
      </c>
      <c r="AD3400" t="s">
        <v>100</v>
      </c>
      <c r="AE3400" t="s">
        <v>100</v>
      </c>
      <c r="AF3400" t="s">
        <v>100</v>
      </c>
      <c r="AK3400">
        <v>11</v>
      </c>
      <c r="AL3400" t="s">
        <v>100</v>
      </c>
      <c r="AM3400">
        <v>2</v>
      </c>
      <c r="AN3400">
        <v>1</v>
      </c>
      <c r="AO3400" t="s">
        <v>100</v>
      </c>
      <c r="AP3400" t="s">
        <v>100</v>
      </c>
      <c r="AQ3400" t="s">
        <v>100</v>
      </c>
      <c r="AR3400" t="s">
        <v>100</v>
      </c>
      <c r="AT3400" t="s">
        <v>100</v>
      </c>
      <c r="AU3400">
        <v>10</v>
      </c>
      <c r="AV3400" t="s">
        <v>100</v>
      </c>
      <c r="AW3400">
        <v>345</v>
      </c>
      <c r="AX3400">
        <v>579</v>
      </c>
      <c r="AZ3400" t="s">
        <v>101</v>
      </c>
      <c r="BA3400">
        <v>1</v>
      </c>
      <c r="BC3400" t="s">
        <v>6904</v>
      </c>
      <c r="BD3400" s="4">
        <v>43283.140277777777</v>
      </c>
      <c r="BE3400" s="4">
        <v>43283.287511574075</v>
      </c>
      <c r="BF3400" s="4">
        <v>43283.287511574075</v>
      </c>
      <c r="BG3400" t="s">
        <v>83</v>
      </c>
      <c r="BH3400" t="s">
        <v>84</v>
      </c>
      <c r="BI3400" t="s">
        <v>85</v>
      </c>
    </row>
    <row r="3401" spans="1:61" x14ac:dyDescent="0.3">
      <c r="A3401" t="str">
        <f>"200799C0300"</f>
        <v>200799C0300</v>
      </c>
      <c r="B3401" t="s">
        <v>6905</v>
      </c>
      <c r="C3401">
        <v>20</v>
      </c>
      <c r="D3401" t="s">
        <v>79</v>
      </c>
      <c r="E3401">
        <v>16</v>
      </c>
      <c r="F3401" t="s">
        <v>6725</v>
      </c>
      <c r="G3401">
        <v>799</v>
      </c>
      <c r="H3401">
        <v>3</v>
      </c>
      <c r="I3401" t="s">
        <v>89</v>
      </c>
      <c r="J3401">
        <v>0</v>
      </c>
      <c r="K3401">
        <v>1</v>
      </c>
      <c r="L3401">
        <v>2</v>
      </c>
      <c r="M3401">
        <v>256</v>
      </c>
      <c r="N3401">
        <v>344</v>
      </c>
      <c r="O3401">
        <v>0</v>
      </c>
      <c r="P3401">
        <v>344</v>
      </c>
      <c r="Q3401">
        <v>20</v>
      </c>
      <c r="R3401">
        <v>30</v>
      </c>
      <c r="S3401">
        <v>13</v>
      </c>
      <c r="T3401">
        <v>4</v>
      </c>
      <c r="U3401">
        <v>30</v>
      </c>
      <c r="V3401">
        <v>2</v>
      </c>
      <c r="W3401">
        <v>2</v>
      </c>
      <c r="X3401">
        <v>2</v>
      </c>
      <c r="Y3401">
        <v>199</v>
      </c>
      <c r="Z3401">
        <v>6</v>
      </c>
      <c r="AA3401">
        <v>5</v>
      </c>
      <c r="AC3401">
        <v>4</v>
      </c>
      <c r="AD3401">
        <v>0</v>
      </c>
      <c r="AE3401">
        <v>0</v>
      </c>
      <c r="AF3401">
        <v>0</v>
      </c>
      <c r="AK3401">
        <v>9</v>
      </c>
      <c r="AL3401">
        <v>0</v>
      </c>
      <c r="AM3401">
        <v>0</v>
      </c>
      <c r="AN3401">
        <v>0</v>
      </c>
      <c r="AO3401">
        <v>5</v>
      </c>
      <c r="AP3401">
        <v>0</v>
      </c>
      <c r="AQ3401">
        <v>0</v>
      </c>
      <c r="AR3401">
        <v>0</v>
      </c>
      <c r="AT3401">
        <v>0</v>
      </c>
      <c r="AU3401">
        <v>13</v>
      </c>
      <c r="AV3401">
        <v>344</v>
      </c>
      <c r="AW3401">
        <v>344</v>
      </c>
      <c r="AX3401">
        <v>578</v>
      </c>
      <c r="BA3401">
        <v>1</v>
      </c>
      <c r="BC3401" t="s">
        <v>6906</v>
      </c>
      <c r="BD3401" s="4">
        <v>43283.136805555558</v>
      </c>
      <c r="BE3401" s="4">
        <v>43283.585243055553</v>
      </c>
      <c r="BF3401" s="4">
        <v>43283.585243055553</v>
      </c>
      <c r="BG3401" t="s">
        <v>83</v>
      </c>
      <c r="BH3401" t="s">
        <v>84</v>
      </c>
      <c r="BI3401" t="s">
        <v>85</v>
      </c>
    </row>
    <row r="3402" spans="1:61" x14ac:dyDescent="0.3">
      <c r="A3402" t="str">
        <f>"200800B0100"</f>
        <v>200800B0100</v>
      </c>
      <c r="B3402" t="s">
        <v>6907</v>
      </c>
      <c r="C3402">
        <v>20</v>
      </c>
      <c r="D3402" t="s">
        <v>79</v>
      </c>
      <c r="E3402">
        <v>16</v>
      </c>
      <c r="F3402" t="s">
        <v>6725</v>
      </c>
      <c r="G3402">
        <v>800</v>
      </c>
      <c r="H3402">
        <v>1</v>
      </c>
      <c r="I3402" t="s">
        <v>81</v>
      </c>
      <c r="J3402">
        <v>0</v>
      </c>
      <c r="K3402">
        <v>1</v>
      </c>
      <c r="L3402">
        <v>2</v>
      </c>
      <c r="M3402">
        <v>272</v>
      </c>
      <c r="N3402">
        <v>462</v>
      </c>
      <c r="O3402">
        <v>1</v>
      </c>
      <c r="P3402">
        <v>463</v>
      </c>
      <c r="Q3402">
        <v>22</v>
      </c>
      <c r="R3402">
        <v>75</v>
      </c>
      <c r="S3402">
        <v>11</v>
      </c>
      <c r="T3402">
        <v>7</v>
      </c>
      <c r="U3402">
        <v>25</v>
      </c>
      <c r="V3402">
        <v>6</v>
      </c>
      <c r="W3402">
        <v>10</v>
      </c>
      <c r="X3402">
        <v>6</v>
      </c>
      <c r="Y3402">
        <v>269</v>
      </c>
      <c r="Z3402">
        <v>9</v>
      </c>
      <c r="AA3402">
        <v>3</v>
      </c>
      <c r="AC3402">
        <v>1</v>
      </c>
      <c r="AD3402">
        <v>1</v>
      </c>
      <c r="AE3402">
        <v>0</v>
      </c>
      <c r="AF3402">
        <v>0</v>
      </c>
      <c r="AK3402">
        <v>3</v>
      </c>
      <c r="AL3402">
        <v>3</v>
      </c>
      <c r="AM3402">
        <v>0</v>
      </c>
      <c r="AN3402">
        <v>0</v>
      </c>
      <c r="AO3402">
        <v>1</v>
      </c>
      <c r="AP3402">
        <v>2</v>
      </c>
      <c r="AQ3402">
        <v>0</v>
      </c>
      <c r="AR3402">
        <v>0</v>
      </c>
      <c r="AT3402">
        <v>1</v>
      </c>
      <c r="AU3402">
        <v>8</v>
      </c>
      <c r="AV3402">
        <v>463</v>
      </c>
      <c r="AW3402">
        <v>463</v>
      </c>
      <c r="AX3402">
        <v>712</v>
      </c>
      <c r="BA3402">
        <v>1</v>
      </c>
      <c r="BC3402" t="s">
        <v>6908</v>
      </c>
      <c r="BD3402" s="4">
        <v>43283.13958333333</v>
      </c>
      <c r="BE3402" s="4">
        <v>43283.210601851853</v>
      </c>
      <c r="BF3402" s="4">
        <v>43283.210601851853</v>
      </c>
      <c r="BG3402" t="s">
        <v>83</v>
      </c>
      <c r="BH3402" t="s">
        <v>84</v>
      </c>
      <c r="BI3402" t="s">
        <v>85</v>
      </c>
    </row>
    <row r="3403" spans="1:61" x14ac:dyDescent="0.3">
      <c r="A3403" t="str">
        <f>"200800C0100"</f>
        <v>200800C0100</v>
      </c>
      <c r="B3403" t="s">
        <v>6909</v>
      </c>
      <c r="C3403">
        <v>20</v>
      </c>
      <c r="D3403" t="s">
        <v>79</v>
      </c>
      <c r="E3403">
        <v>16</v>
      </c>
      <c r="F3403" t="s">
        <v>6725</v>
      </c>
      <c r="G3403">
        <v>800</v>
      </c>
      <c r="H3403">
        <v>1</v>
      </c>
      <c r="I3403" t="s">
        <v>89</v>
      </c>
      <c r="J3403">
        <v>0</v>
      </c>
      <c r="K3403">
        <v>1</v>
      </c>
      <c r="L3403">
        <v>2</v>
      </c>
      <c r="M3403">
        <v>280</v>
      </c>
      <c r="N3403">
        <v>454</v>
      </c>
      <c r="O3403">
        <v>0</v>
      </c>
      <c r="P3403">
        <v>454</v>
      </c>
      <c r="Q3403">
        <v>24</v>
      </c>
      <c r="R3403">
        <v>53</v>
      </c>
      <c r="S3403">
        <v>9</v>
      </c>
      <c r="T3403">
        <v>13</v>
      </c>
      <c r="U3403">
        <v>30</v>
      </c>
      <c r="V3403">
        <v>6</v>
      </c>
      <c r="W3403">
        <v>11</v>
      </c>
      <c r="X3403">
        <v>5</v>
      </c>
      <c r="Y3403">
        <v>255</v>
      </c>
      <c r="Z3403">
        <v>13</v>
      </c>
      <c r="AA3403">
        <v>3</v>
      </c>
      <c r="AC3403">
        <v>0</v>
      </c>
      <c r="AD3403">
        <v>0</v>
      </c>
      <c r="AE3403">
        <v>1</v>
      </c>
      <c r="AF3403">
        <v>0</v>
      </c>
      <c r="AK3403">
        <v>11</v>
      </c>
      <c r="AL3403">
        <v>1</v>
      </c>
      <c r="AM3403">
        <v>1</v>
      </c>
      <c r="AN3403">
        <v>2</v>
      </c>
      <c r="AO3403">
        <v>1</v>
      </c>
      <c r="AP3403">
        <v>1</v>
      </c>
      <c r="AQ3403">
        <v>0</v>
      </c>
      <c r="AR3403">
        <v>0</v>
      </c>
      <c r="AT3403">
        <v>2</v>
      </c>
      <c r="AU3403">
        <v>12</v>
      </c>
      <c r="AV3403">
        <v>454</v>
      </c>
      <c r="AW3403">
        <v>454</v>
      </c>
      <c r="AX3403">
        <v>712</v>
      </c>
      <c r="BA3403">
        <v>1</v>
      </c>
      <c r="BC3403" t="s">
        <v>6910</v>
      </c>
      <c r="BD3403" s="4">
        <v>43283.136805555558</v>
      </c>
      <c r="BE3403" s="4">
        <v>43283.318402777775</v>
      </c>
      <c r="BF3403" s="4">
        <v>43283.318402777775</v>
      </c>
      <c r="BG3403" t="s">
        <v>83</v>
      </c>
      <c r="BH3403" t="s">
        <v>84</v>
      </c>
      <c r="BI3403" t="s">
        <v>85</v>
      </c>
    </row>
    <row r="3404" spans="1:61" x14ac:dyDescent="0.3">
      <c r="A3404" t="str">
        <f>"200800C0200"</f>
        <v>200800C0200</v>
      </c>
      <c r="B3404" t="s">
        <v>6911</v>
      </c>
      <c r="C3404">
        <v>20</v>
      </c>
      <c r="D3404" t="s">
        <v>79</v>
      </c>
      <c r="E3404">
        <v>16</v>
      </c>
      <c r="F3404" t="s">
        <v>6725</v>
      </c>
      <c r="G3404">
        <v>800</v>
      </c>
      <c r="H3404">
        <v>2</v>
      </c>
      <c r="I3404" t="s">
        <v>89</v>
      </c>
      <c r="J3404">
        <v>0</v>
      </c>
      <c r="K3404">
        <v>1</v>
      </c>
      <c r="L3404">
        <v>2</v>
      </c>
      <c r="M3404">
        <v>283</v>
      </c>
      <c r="N3404">
        <v>451</v>
      </c>
      <c r="O3404">
        <v>0</v>
      </c>
      <c r="P3404">
        <v>449</v>
      </c>
      <c r="Q3404">
        <v>26</v>
      </c>
      <c r="R3404">
        <v>52</v>
      </c>
      <c r="S3404">
        <v>11</v>
      </c>
      <c r="T3404">
        <v>7</v>
      </c>
      <c r="U3404">
        <v>24</v>
      </c>
      <c r="V3404">
        <v>7</v>
      </c>
      <c r="W3404">
        <v>10</v>
      </c>
      <c r="X3404">
        <v>2</v>
      </c>
      <c r="Y3404">
        <v>269</v>
      </c>
      <c r="Z3404">
        <v>12</v>
      </c>
      <c r="AA3404">
        <v>6</v>
      </c>
      <c r="AC3404" t="s">
        <v>100</v>
      </c>
      <c r="AD3404">
        <v>1</v>
      </c>
      <c r="AE3404" t="s">
        <v>100</v>
      </c>
      <c r="AF3404" t="s">
        <v>100</v>
      </c>
      <c r="AK3404">
        <v>6</v>
      </c>
      <c r="AL3404">
        <v>6</v>
      </c>
      <c r="AM3404" t="s">
        <v>100</v>
      </c>
      <c r="AN3404" t="s">
        <v>100</v>
      </c>
      <c r="AO3404">
        <v>2</v>
      </c>
      <c r="AP3404" t="s">
        <v>100</v>
      </c>
      <c r="AQ3404" t="s">
        <v>100</v>
      </c>
      <c r="AR3404" t="s">
        <v>100</v>
      </c>
      <c r="AT3404" t="s">
        <v>100</v>
      </c>
      <c r="AU3404">
        <v>8</v>
      </c>
      <c r="AV3404">
        <v>449</v>
      </c>
      <c r="AW3404">
        <v>449</v>
      </c>
      <c r="AX3404">
        <v>712</v>
      </c>
      <c r="AZ3404" t="s">
        <v>101</v>
      </c>
      <c r="BA3404">
        <v>1</v>
      </c>
      <c r="BC3404" t="s">
        <v>6912</v>
      </c>
      <c r="BD3404" s="4">
        <v>43283.136805555558</v>
      </c>
      <c r="BE3404" s="4">
        <v>43283.213506944441</v>
      </c>
      <c r="BF3404" s="4">
        <v>43283.213506944441</v>
      </c>
      <c r="BG3404" t="s">
        <v>83</v>
      </c>
      <c r="BH3404" t="s">
        <v>84</v>
      </c>
      <c r="BI3404" t="s">
        <v>85</v>
      </c>
    </row>
    <row r="3405" spans="1:61" x14ac:dyDescent="0.3">
      <c r="A3405" t="str">
        <f>"200800C0300"</f>
        <v>200800C0300</v>
      </c>
      <c r="B3405" t="s">
        <v>6913</v>
      </c>
      <c r="C3405">
        <v>20</v>
      </c>
      <c r="D3405" t="s">
        <v>79</v>
      </c>
      <c r="E3405">
        <v>16</v>
      </c>
      <c r="F3405" t="s">
        <v>6725</v>
      </c>
      <c r="G3405">
        <v>800</v>
      </c>
      <c r="H3405">
        <v>3</v>
      </c>
      <c r="I3405" t="s">
        <v>89</v>
      </c>
      <c r="J3405">
        <v>0</v>
      </c>
      <c r="K3405">
        <v>1</v>
      </c>
      <c r="L3405">
        <v>2</v>
      </c>
      <c r="M3405">
        <v>272</v>
      </c>
      <c r="N3405">
        <v>462</v>
      </c>
      <c r="O3405">
        <v>0</v>
      </c>
      <c r="P3405">
        <v>462</v>
      </c>
      <c r="Q3405">
        <v>34</v>
      </c>
      <c r="R3405">
        <v>51</v>
      </c>
      <c r="S3405">
        <v>7</v>
      </c>
      <c r="T3405">
        <v>11</v>
      </c>
      <c r="U3405">
        <v>29</v>
      </c>
      <c r="V3405">
        <v>10</v>
      </c>
      <c r="W3405">
        <v>10</v>
      </c>
      <c r="X3405">
        <v>8</v>
      </c>
      <c r="Y3405">
        <v>258</v>
      </c>
      <c r="Z3405">
        <v>7</v>
      </c>
      <c r="AA3405">
        <v>4</v>
      </c>
      <c r="AC3405">
        <v>0</v>
      </c>
      <c r="AD3405">
        <v>0</v>
      </c>
      <c r="AE3405">
        <v>0</v>
      </c>
      <c r="AF3405">
        <v>0</v>
      </c>
      <c r="AK3405">
        <v>3</v>
      </c>
      <c r="AL3405">
        <v>3</v>
      </c>
      <c r="AM3405">
        <v>0</v>
      </c>
      <c r="AN3405">
        <v>1</v>
      </c>
      <c r="AO3405">
        <v>4</v>
      </c>
      <c r="AP3405">
        <v>1</v>
      </c>
      <c r="AQ3405">
        <v>0</v>
      </c>
      <c r="AR3405">
        <v>0</v>
      </c>
      <c r="AT3405">
        <v>0</v>
      </c>
      <c r="AU3405">
        <v>21</v>
      </c>
      <c r="AV3405">
        <v>462</v>
      </c>
      <c r="AW3405">
        <v>462</v>
      </c>
      <c r="AX3405">
        <v>712</v>
      </c>
      <c r="BA3405">
        <v>1</v>
      </c>
      <c r="BC3405" t="s">
        <v>6914</v>
      </c>
      <c r="BD3405" s="4">
        <v>43283.140277777777</v>
      </c>
      <c r="BE3405" s="4">
        <v>43283.264560185184</v>
      </c>
      <c r="BF3405" s="4">
        <v>43283.264560185184</v>
      </c>
      <c r="BG3405" t="s">
        <v>83</v>
      </c>
      <c r="BH3405" t="s">
        <v>84</v>
      </c>
      <c r="BI3405" t="s">
        <v>85</v>
      </c>
    </row>
    <row r="3406" spans="1:61" x14ac:dyDescent="0.3">
      <c r="A3406" t="str">
        <f>"200812B0100"</f>
        <v>200812B0100</v>
      </c>
      <c r="B3406" t="s">
        <v>6915</v>
      </c>
      <c r="C3406">
        <v>20</v>
      </c>
      <c r="D3406" t="s">
        <v>79</v>
      </c>
      <c r="E3406">
        <v>16</v>
      </c>
      <c r="F3406" t="s">
        <v>6725</v>
      </c>
      <c r="G3406">
        <v>812</v>
      </c>
      <c r="H3406">
        <v>1</v>
      </c>
      <c r="I3406" t="s">
        <v>81</v>
      </c>
      <c r="J3406">
        <v>0</v>
      </c>
      <c r="K3406">
        <v>2</v>
      </c>
      <c r="L3406">
        <v>2</v>
      </c>
      <c r="AX3406">
        <v>428</v>
      </c>
      <c r="AZ3406" t="s">
        <v>156</v>
      </c>
      <c r="BA3406">
        <v>0</v>
      </c>
      <c r="BC3406" t="s">
        <v>6916</v>
      </c>
      <c r="BD3406" s="4">
        <v>43283.590277777781</v>
      </c>
      <c r="BE3406" s="4">
        <v>43283.591736111113</v>
      </c>
      <c r="BF3406" s="4">
        <v>43283.591736111113</v>
      </c>
      <c r="BG3406" t="s">
        <v>83</v>
      </c>
      <c r="BH3406" t="s">
        <v>84</v>
      </c>
      <c r="BI3406" t="s">
        <v>85</v>
      </c>
    </row>
    <row r="3407" spans="1:61" x14ac:dyDescent="0.3">
      <c r="A3407" t="str">
        <f>"200812E0100"</f>
        <v>200812E0100</v>
      </c>
      <c r="B3407" s="2" t="s">
        <v>6917</v>
      </c>
      <c r="C3407">
        <v>20</v>
      </c>
      <c r="D3407" t="s">
        <v>79</v>
      </c>
      <c r="E3407">
        <v>16</v>
      </c>
      <c r="F3407" t="s">
        <v>6725</v>
      </c>
      <c r="G3407">
        <v>812</v>
      </c>
      <c r="H3407">
        <v>1</v>
      </c>
      <c r="I3407" t="s">
        <v>145</v>
      </c>
      <c r="J3407">
        <v>0</v>
      </c>
      <c r="K3407">
        <v>2</v>
      </c>
      <c r="L3407">
        <v>2</v>
      </c>
      <c r="M3407">
        <v>135</v>
      </c>
      <c r="N3407">
        <v>279</v>
      </c>
      <c r="O3407">
        <v>11</v>
      </c>
      <c r="P3407">
        <v>279</v>
      </c>
      <c r="Q3407">
        <v>8</v>
      </c>
      <c r="R3407">
        <v>13</v>
      </c>
      <c r="S3407">
        <v>48</v>
      </c>
      <c r="T3407">
        <v>3</v>
      </c>
      <c r="U3407">
        <v>18</v>
      </c>
      <c r="V3407">
        <v>6</v>
      </c>
      <c r="W3407">
        <v>0</v>
      </c>
      <c r="X3407">
        <v>3</v>
      </c>
      <c r="Y3407">
        <v>119</v>
      </c>
      <c r="Z3407">
        <v>33</v>
      </c>
      <c r="AA3407">
        <v>3</v>
      </c>
      <c r="AC3407">
        <v>0</v>
      </c>
      <c r="AD3407">
        <v>0</v>
      </c>
      <c r="AE3407">
        <v>0</v>
      </c>
      <c r="AF3407">
        <v>0</v>
      </c>
      <c r="AK3407">
        <v>9</v>
      </c>
      <c r="AL3407">
        <v>0</v>
      </c>
      <c r="AM3407">
        <v>1</v>
      </c>
      <c r="AN3407">
        <v>6</v>
      </c>
      <c r="AO3407">
        <v>0</v>
      </c>
      <c r="AP3407">
        <v>0</v>
      </c>
      <c r="AQ3407">
        <v>0</v>
      </c>
      <c r="AR3407">
        <v>0</v>
      </c>
      <c r="AT3407">
        <v>0</v>
      </c>
      <c r="AU3407">
        <v>9</v>
      </c>
      <c r="AV3407">
        <v>279</v>
      </c>
      <c r="AW3407">
        <v>279</v>
      </c>
      <c r="AX3407">
        <v>392</v>
      </c>
      <c r="BA3407">
        <v>1</v>
      </c>
      <c r="BC3407" t="s">
        <v>6918</v>
      </c>
      <c r="BD3407" s="4">
        <v>43283.111805555556</v>
      </c>
      <c r="BE3407" s="4">
        <v>43283.15216435185</v>
      </c>
      <c r="BF3407" s="4">
        <v>43283.15216435185</v>
      </c>
      <c r="BG3407" t="s">
        <v>83</v>
      </c>
      <c r="BH3407" t="s">
        <v>84</v>
      </c>
      <c r="BI3407" t="s">
        <v>85</v>
      </c>
    </row>
    <row r="3408" spans="1:61" x14ac:dyDescent="0.3">
      <c r="A3408" t="str">
        <f>"200813B0100"</f>
        <v>200813B0100</v>
      </c>
      <c r="B3408" t="s">
        <v>6919</v>
      </c>
      <c r="C3408">
        <v>20</v>
      </c>
      <c r="D3408" t="s">
        <v>79</v>
      </c>
      <c r="E3408">
        <v>16</v>
      </c>
      <c r="F3408" t="s">
        <v>6725</v>
      </c>
      <c r="G3408">
        <v>813</v>
      </c>
      <c r="H3408">
        <v>1</v>
      </c>
      <c r="I3408" t="s">
        <v>81</v>
      </c>
      <c r="J3408">
        <v>0</v>
      </c>
      <c r="K3408">
        <v>2</v>
      </c>
      <c r="L3408">
        <v>2</v>
      </c>
      <c r="AX3408">
        <v>670</v>
      </c>
      <c r="AZ3408" t="s">
        <v>156</v>
      </c>
      <c r="BA3408">
        <v>0</v>
      </c>
      <c r="BC3408" t="s">
        <v>6920</v>
      </c>
      <c r="BD3408" s="4">
        <v>43283.590277777781</v>
      </c>
      <c r="BE3408" s="4">
        <v>43283.591909722221</v>
      </c>
      <c r="BF3408" s="4">
        <v>43283.591909722221</v>
      </c>
      <c r="BG3408" t="s">
        <v>83</v>
      </c>
      <c r="BH3408" t="s">
        <v>84</v>
      </c>
      <c r="BI3408" t="s">
        <v>85</v>
      </c>
    </row>
    <row r="3409" spans="1:61" x14ac:dyDescent="0.3">
      <c r="A3409" t="str">
        <f>"200813C0100"</f>
        <v>200813C0100</v>
      </c>
      <c r="B3409" t="s">
        <v>6921</v>
      </c>
      <c r="C3409">
        <v>20</v>
      </c>
      <c r="D3409" t="s">
        <v>79</v>
      </c>
      <c r="E3409">
        <v>16</v>
      </c>
      <c r="F3409" t="s">
        <v>6725</v>
      </c>
      <c r="G3409">
        <v>813</v>
      </c>
      <c r="H3409">
        <v>1</v>
      </c>
      <c r="I3409" t="s">
        <v>89</v>
      </c>
      <c r="J3409">
        <v>0</v>
      </c>
      <c r="K3409">
        <v>2</v>
      </c>
      <c r="L3409">
        <v>2</v>
      </c>
      <c r="M3409">
        <v>315</v>
      </c>
      <c r="N3409">
        <v>375</v>
      </c>
      <c r="O3409">
        <v>0</v>
      </c>
      <c r="P3409">
        <v>375</v>
      </c>
      <c r="Q3409">
        <v>46</v>
      </c>
      <c r="R3409">
        <v>56</v>
      </c>
      <c r="S3409">
        <v>56</v>
      </c>
      <c r="T3409">
        <v>4</v>
      </c>
      <c r="U3409">
        <v>20</v>
      </c>
      <c r="V3409">
        <v>11</v>
      </c>
      <c r="W3409">
        <v>12</v>
      </c>
      <c r="X3409">
        <v>4</v>
      </c>
      <c r="Y3409">
        <v>129</v>
      </c>
      <c r="Z3409">
        <v>8</v>
      </c>
      <c r="AA3409">
        <v>2</v>
      </c>
      <c r="AC3409">
        <v>1</v>
      </c>
      <c r="AD3409">
        <v>1</v>
      </c>
      <c r="AE3409">
        <v>0</v>
      </c>
      <c r="AF3409">
        <v>0</v>
      </c>
      <c r="AK3409">
        <v>2</v>
      </c>
      <c r="AL3409">
        <v>2</v>
      </c>
      <c r="AM3409">
        <v>0</v>
      </c>
      <c r="AN3409">
        <v>0</v>
      </c>
      <c r="AO3409">
        <v>0</v>
      </c>
      <c r="AP3409">
        <v>0</v>
      </c>
      <c r="AQ3409">
        <v>0</v>
      </c>
      <c r="AR3409">
        <v>0</v>
      </c>
      <c r="AT3409">
        <v>0</v>
      </c>
      <c r="AU3409">
        <v>21</v>
      </c>
      <c r="AV3409">
        <v>375</v>
      </c>
      <c r="AW3409">
        <v>375</v>
      </c>
      <c r="AX3409">
        <v>669</v>
      </c>
      <c r="BA3409">
        <v>1</v>
      </c>
      <c r="BC3409" t="s">
        <v>6922</v>
      </c>
      <c r="BD3409" s="4">
        <v>43283.118750000001</v>
      </c>
      <c r="BE3409" s="4">
        <v>43283.158715277779</v>
      </c>
      <c r="BF3409" s="4">
        <v>43283.158715277779</v>
      </c>
      <c r="BG3409" t="s">
        <v>83</v>
      </c>
      <c r="BH3409" t="s">
        <v>84</v>
      </c>
      <c r="BI3409" t="s">
        <v>85</v>
      </c>
    </row>
    <row r="3410" spans="1:61" x14ac:dyDescent="0.3">
      <c r="A3410" t="str">
        <f>"200846B0100"</f>
        <v>200846B0100</v>
      </c>
      <c r="B3410" t="s">
        <v>6923</v>
      </c>
      <c r="C3410">
        <v>20</v>
      </c>
      <c r="D3410" t="s">
        <v>79</v>
      </c>
      <c r="E3410">
        <v>16</v>
      </c>
      <c r="F3410" t="s">
        <v>6725</v>
      </c>
      <c r="G3410">
        <v>846</v>
      </c>
      <c r="H3410">
        <v>1</v>
      </c>
      <c r="I3410" t="s">
        <v>81</v>
      </c>
      <c r="J3410">
        <v>0</v>
      </c>
      <c r="K3410">
        <v>2</v>
      </c>
      <c r="L3410">
        <v>2</v>
      </c>
      <c r="M3410">
        <v>250</v>
      </c>
      <c r="N3410">
        <v>264</v>
      </c>
      <c r="O3410">
        <v>0</v>
      </c>
      <c r="P3410">
        <v>264</v>
      </c>
      <c r="Q3410">
        <v>18</v>
      </c>
      <c r="R3410">
        <v>50</v>
      </c>
      <c r="S3410">
        <v>42</v>
      </c>
      <c r="T3410">
        <v>3</v>
      </c>
      <c r="U3410">
        <v>14</v>
      </c>
      <c r="V3410">
        <v>8</v>
      </c>
      <c r="W3410">
        <v>1</v>
      </c>
      <c r="X3410">
        <v>1</v>
      </c>
      <c r="Y3410">
        <v>99</v>
      </c>
      <c r="Z3410">
        <v>2</v>
      </c>
      <c r="AA3410">
        <v>2</v>
      </c>
      <c r="AC3410">
        <v>1</v>
      </c>
      <c r="AD3410">
        <v>0</v>
      </c>
      <c r="AE3410">
        <v>0</v>
      </c>
      <c r="AF3410">
        <v>1</v>
      </c>
      <c r="AK3410">
        <v>2</v>
      </c>
      <c r="AL3410">
        <v>1</v>
      </c>
      <c r="AM3410">
        <v>0</v>
      </c>
      <c r="AN3410">
        <v>3</v>
      </c>
      <c r="AO3410">
        <v>2</v>
      </c>
      <c r="AP3410">
        <v>1</v>
      </c>
      <c r="AQ3410">
        <v>0</v>
      </c>
      <c r="AR3410">
        <v>0</v>
      </c>
      <c r="AT3410">
        <v>0</v>
      </c>
      <c r="AU3410">
        <v>13</v>
      </c>
      <c r="AV3410">
        <v>264</v>
      </c>
      <c r="AW3410">
        <v>264</v>
      </c>
      <c r="AX3410">
        <v>492</v>
      </c>
      <c r="BA3410">
        <v>1</v>
      </c>
      <c r="BC3410" t="s">
        <v>6924</v>
      </c>
      <c r="BD3410" s="4">
        <v>43283.211111111108</v>
      </c>
      <c r="BE3410" s="4">
        <v>43283.25818287037</v>
      </c>
      <c r="BF3410" s="4">
        <v>43283.25818287037</v>
      </c>
      <c r="BG3410" t="s">
        <v>83</v>
      </c>
      <c r="BH3410" t="s">
        <v>84</v>
      </c>
      <c r="BI3410" t="s">
        <v>85</v>
      </c>
    </row>
    <row r="3411" spans="1:61" x14ac:dyDescent="0.3">
      <c r="A3411" t="str">
        <f>"200846C0100"</f>
        <v>200846C0100</v>
      </c>
      <c r="B3411" t="s">
        <v>6925</v>
      </c>
      <c r="C3411">
        <v>20</v>
      </c>
      <c r="D3411" t="s">
        <v>79</v>
      </c>
      <c r="E3411">
        <v>16</v>
      </c>
      <c r="F3411" t="s">
        <v>6725</v>
      </c>
      <c r="G3411">
        <v>846</v>
      </c>
      <c r="H3411">
        <v>1</v>
      </c>
      <c r="I3411" t="s">
        <v>89</v>
      </c>
      <c r="J3411">
        <v>0</v>
      </c>
      <c r="K3411">
        <v>2</v>
      </c>
      <c r="L3411">
        <v>2</v>
      </c>
      <c r="M3411">
        <v>206</v>
      </c>
      <c r="N3411">
        <v>307</v>
      </c>
      <c r="O3411">
        <v>0</v>
      </c>
      <c r="P3411">
        <v>307</v>
      </c>
      <c r="Q3411">
        <v>29</v>
      </c>
      <c r="R3411">
        <v>60</v>
      </c>
      <c r="S3411">
        <v>49</v>
      </c>
      <c r="T3411">
        <v>8</v>
      </c>
      <c r="U3411">
        <v>16</v>
      </c>
      <c r="V3411">
        <v>3</v>
      </c>
      <c r="W3411">
        <v>2</v>
      </c>
      <c r="X3411">
        <v>3</v>
      </c>
      <c r="Y3411">
        <v>114</v>
      </c>
      <c r="Z3411">
        <v>2</v>
      </c>
      <c r="AA3411">
        <v>1</v>
      </c>
      <c r="AC3411">
        <v>2</v>
      </c>
      <c r="AD3411">
        <v>0</v>
      </c>
      <c r="AE3411">
        <v>0</v>
      </c>
      <c r="AF3411">
        <v>0</v>
      </c>
      <c r="AK3411">
        <v>4</v>
      </c>
      <c r="AL3411">
        <v>2</v>
      </c>
      <c r="AM3411">
        <v>0</v>
      </c>
      <c r="AN3411">
        <v>0</v>
      </c>
      <c r="AO3411">
        <v>0</v>
      </c>
      <c r="AP3411">
        <v>1</v>
      </c>
      <c r="AQ3411">
        <v>0</v>
      </c>
      <c r="AR3411">
        <v>0</v>
      </c>
      <c r="AT3411">
        <v>0</v>
      </c>
      <c r="AU3411">
        <v>11</v>
      </c>
      <c r="AV3411">
        <v>307</v>
      </c>
      <c r="AW3411">
        <v>307</v>
      </c>
      <c r="AX3411">
        <v>491</v>
      </c>
      <c r="BA3411">
        <v>1</v>
      </c>
      <c r="BC3411" t="s">
        <v>6926</v>
      </c>
      <c r="BD3411" s="4">
        <v>43283.12777777778</v>
      </c>
      <c r="BE3411" s="4">
        <v>43283.26803240741</v>
      </c>
      <c r="BF3411" s="4">
        <v>43283.26803240741</v>
      </c>
      <c r="BG3411" t="s">
        <v>83</v>
      </c>
      <c r="BH3411" t="s">
        <v>84</v>
      </c>
      <c r="BI3411" t="s">
        <v>85</v>
      </c>
    </row>
    <row r="3412" spans="1:61" x14ac:dyDescent="0.3">
      <c r="A3412" t="str">
        <f>"201107B0100"</f>
        <v>201107B0100</v>
      </c>
      <c r="B3412" t="s">
        <v>6927</v>
      </c>
      <c r="C3412">
        <v>20</v>
      </c>
      <c r="D3412" t="s">
        <v>79</v>
      </c>
      <c r="E3412">
        <v>16</v>
      </c>
      <c r="F3412" t="s">
        <v>6725</v>
      </c>
      <c r="G3412">
        <v>1107</v>
      </c>
      <c r="H3412">
        <v>1</v>
      </c>
      <c r="I3412" t="s">
        <v>81</v>
      </c>
      <c r="J3412">
        <v>0</v>
      </c>
      <c r="K3412">
        <v>1</v>
      </c>
      <c r="L3412">
        <v>2</v>
      </c>
      <c r="M3412">
        <v>180</v>
      </c>
      <c r="N3412">
        <v>449</v>
      </c>
      <c r="O3412">
        <v>1</v>
      </c>
      <c r="P3412">
        <v>449</v>
      </c>
      <c r="Q3412">
        <v>26</v>
      </c>
      <c r="R3412">
        <v>68</v>
      </c>
      <c r="S3412">
        <v>139</v>
      </c>
      <c r="T3412">
        <v>1</v>
      </c>
      <c r="U3412">
        <v>7</v>
      </c>
      <c r="V3412">
        <v>12</v>
      </c>
      <c r="W3412">
        <v>1</v>
      </c>
      <c r="X3412">
        <v>1</v>
      </c>
      <c r="Y3412">
        <v>156</v>
      </c>
      <c r="Z3412">
        <v>2</v>
      </c>
      <c r="AA3412">
        <v>5</v>
      </c>
      <c r="AC3412">
        <v>3</v>
      </c>
      <c r="AD3412">
        <v>2</v>
      </c>
      <c r="AE3412">
        <v>0</v>
      </c>
      <c r="AF3412">
        <v>0</v>
      </c>
      <c r="AK3412">
        <v>2</v>
      </c>
      <c r="AL3412">
        <v>0</v>
      </c>
      <c r="AM3412">
        <v>0</v>
      </c>
      <c r="AN3412">
        <v>0</v>
      </c>
      <c r="AO3412">
        <v>0</v>
      </c>
      <c r="AP3412">
        <v>1</v>
      </c>
      <c r="AQ3412">
        <v>0</v>
      </c>
      <c r="AR3412">
        <v>0</v>
      </c>
      <c r="AT3412">
        <v>1</v>
      </c>
      <c r="AU3412">
        <v>23</v>
      </c>
      <c r="AV3412">
        <v>449</v>
      </c>
      <c r="AW3412">
        <v>450</v>
      </c>
      <c r="AX3412">
        <v>607</v>
      </c>
      <c r="BA3412">
        <v>1</v>
      </c>
      <c r="BC3412" t="s">
        <v>6928</v>
      </c>
      <c r="BD3412" s="4">
        <v>43283.123611111114</v>
      </c>
      <c r="BE3412" s="4">
        <v>43283.16128472222</v>
      </c>
      <c r="BF3412" s="4">
        <v>43283.16128472222</v>
      </c>
      <c r="BG3412" t="s">
        <v>83</v>
      </c>
      <c r="BH3412" t="s">
        <v>84</v>
      </c>
      <c r="BI3412" t="s">
        <v>85</v>
      </c>
    </row>
    <row r="3413" spans="1:61" x14ac:dyDescent="0.3">
      <c r="A3413" t="str">
        <f>"201107C0100"</f>
        <v>201107C0100</v>
      </c>
      <c r="B3413" t="s">
        <v>6929</v>
      </c>
      <c r="C3413">
        <v>20</v>
      </c>
      <c r="D3413" t="s">
        <v>79</v>
      </c>
      <c r="E3413">
        <v>16</v>
      </c>
      <c r="F3413" t="s">
        <v>6725</v>
      </c>
      <c r="G3413">
        <v>1107</v>
      </c>
      <c r="H3413">
        <v>1</v>
      </c>
      <c r="I3413" t="s">
        <v>89</v>
      </c>
      <c r="J3413">
        <v>0</v>
      </c>
      <c r="K3413">
        <v>1</v>
      </c>
      <c r="L3413">
        <v>2</v>
      </c>
      <c r="M3413">
        <v>151</v>
      </c>
      <c r="N3413">
        <v>476</v>
      </c>
      <c r="O3413">
        <v>0</v>
      </c>
      <c r="P3413">
        <v>476</v>
      </c>
      <c r="Q3413">
        <v>20</v>
      </c>
      <c r="R3413">
        <v>55</v>
      </c>
      <c r="S3413">
        <v>151</v>
      </c>
      <c r="T3413">
        <v>6</v>
      </c>
      <c r="U3413">
        <v>13</v>
      </c>
      <c r="V3413">
        <v>12</v>
      </c>
      <c r="W3413">
        <v>4</v>
      </c>
      <c r="X3413">
        <v>2</v>
      </c>
      <c r="Y3413">
        <v>174</v>
      </c>
      <c r="Z3413">
        <v>11</v>
      </c>
      <c r="AA3413">
        <v>1</v>
      </c>
      <c r="AC3413">
        <v>0</v>
      </c>
      <c r="AD3413">
        <v>1</v>
      </c>
      <c r="AE3413">
        <v>0</v>
      </c>
      <c r="AF3413">
        <v>0</v>
      </c>
      <c r="AK3413">
        <v>3</v>
      </c>
      <c r="AL3413">
        <v>2</v>
      </c>
      <c r="AM3413">
        <v>1</v>
      </c>
      <c r="AN3413">
        <v>0</v>
      </c>
      <c r="AO3413">
        <v>2</v>
      </c>
      <c r="AP3413">
        <v>1</v>
      </c>
      <c r="AQ3413">
        <v>1</v>
      </c>
      <c r="AR3413">
        <v>0</v>
      </c>
      <c r="AT3413">
        <v>0</v>
      </c>
      <c r="AU3413">
        <v>16</v>
      </c>
      <c r="AV3413">
        <v>476</v>
      </c>
      <c r="AW3413">
        <v>476</v>
      </c>
      <c r="AX3413">
        <v>606</v>
      </c>
      <c r="BA3413">
        <v>1</v>
      </c>
      <c r="BC3413" t="s">
        <v>6930</v>
      </c>
      <c r="BD3413" s="4">
        <v>43283.123611111114</v>
      </c>
      <c r="BE3413" s="4">
        <v>43283.159120370372</v>
      </c>
      <c r="BF3413" s="4">
        <v>43283.159120370372</v>
      </c>
      <c r="BG3413" t="s">
        <v>83</v>
      </c>
      <c r="BH3413" t="s">
        <v>84</v>
      </c>
      <c r="BI3413" t="s">
        <v>85</v>
      </c>
    </row>
    <row r="3414" spans="1:61" x14ac:dyDescent="0.3">
      <c r="A3414" t="str">
        <f>"201285B0100"</f>
        <v>201285B0100</v>
      </c>
      <c r="B3414" t="s">
        <v>6931</v>
      </c>
      <c r="C3414">
        <v>20</v>
      </c>
      <c r="D3414" t="s">
        <v>79</v>
      </c>
      <c r="E3414">
        <v>16</v>
      </c>
      <c r="F3414" t="s">
        <v>6725</v>
      </c>
      <c r="G3414">
        <v>1285</v>
      </c>
      <c r="H3414">
        <v>1</v>
      </c>
      <c r="I3414" t="s">
        <v>81</v>
      </c>
      <c r="J3414">
        <v>0</v>
      </c>
      <c r="K3414">
        <v>2</v>
      </c>
      <c r="L3414">
        <v>2</v>
      </c>
      <c r="M3414">
        <v>149</v>
      </c>
      <c r="N3414">
        <v>313</v>
      </c>
      <c r="O3414">
        <v>0</v>
      </c>
      <c r="P3414">
        <v>313</v>
      </c>
      <c r="Q3414">
        <v>24</v>
      </c>
      <c r="R3414">
        <v>74</v>
      </c>
      <c r="S3414">
        <v>40</v>
      </c>
      <c r="T3414">
        <v>1</v>
      </c>
      <c r="U3414">
        <v>19</v>
      </c>
      <c r="V3414">
        <v>5</v>
      </c>
      <c r="W3414">
        <v>15</v>
      </c>
      <c r="X3414">
        <v>1</v>
      </c>
      <c r="Y3414">
        <v>97</v>
      </c>
      <c r="Z3414">
        <v>4</v>
      </c>
      <c r="AA3414">
        <v>0</v>
      </c>
      <c r="AC3414">
        <v>1</v>
      </c>
      <c r="AD3414">
        <v>4</v>
      </c>
      <c r="AE3414">
        <v>0</v>
      </c>
      <c r="AF3414">
        <v>0</v>
      </c>
      <c r="AK3414">
        <v>2</v>
      </c>
      <c r="AL3414">
        <v>1</v>
      </c>
      <c r="AM3414">
        <v>0</v>
      </c>
      <c r="AN3414">
        <v>0</v>
      </c>
      <c r="AO3414">
        <v>2</v>
      </c>
      <c r="AP3414">
        <v>1</v>
      </c>
      <c r="AQ3414">
        <v>0</v>
      </c>
      <c r="AR3414">
        <v>0</v>
      </c>
      <c r="AT3414">
        <v>0</v>
      </c>
      <c r="AU3414">
        <v>22</v>
      </c>
      <c r="AV3414">
        <v>313</v>
      </c>
      <c r="AW3414">
        <v>313</v>
      </c>
      <c r="AX3414">
        <v>440</v>
      </c>
      <c r="BA3414">
        <v>1</v>
      </c>
      <c r="BC3414" t="s">
        <v>6932</v>
      </c>
      <c r="BD3414" s="4">
        <v>43283.094444444447</v>
      </c>
      <c r="BE3414" s="4">
        <v>43283.189756944441</v>
      </c>
      <c r="BF3414" s="4">
        <v>43283.189756944441</v>
      </c>
      <c r="BG3414" t="s">
        <v>83</v>
      </c>
      <c r="BH3414" t="s">
        <v>84</v>
      </c>
      <c r="BI3414" t="s">
        <v>85</v>
      </c>
    </row>
    <row r="3415" spans="1:61" x14ac:dyDescent="0.3">
      <c r="A3415" t="str">
        <f>"201285C0100"</f>
        <v>201285C0100</v>
      </c>
      <c r="B3415" t="s">
        <v>6933</v>
      </c>
      <c r="C3415">
        <v>20</v>
      </c>
      <c r="D3415" t="s">
        <v>79</v>
      </c>
      <c r="E3415">
        <v>16</v>
      </c>
      <c r="F3415" t="s">
        <v>6725</v>
      </c>
      <c r="G3415">
        <v>1285</v>
      </c>
      <c r="H3415">
        <v>1</v>
      </c>
      <c r="I3415" t="s">
        <v>89</v>
      </c>
      <c r="J3415">
        <v>0</v>
      </c>
      <c r="K3415">
        <v>2</v>
      </c>
      <c r="L3415">
        <v>2</v>
      </c>
      <c r="M3415">
        <v>181</v>
      </c>
      <c r="N3415" t="s">
        <v>100</v>
      </c>
      <c r="O3415">
        <v>0</v>
      </c>
      <c r="P3415">
        <v>267</v>
      </c>
      <c r="Q3415">
        <v>18</v>
      </c>
      <c r="R3415">
        <v>42</v>
      </c>
      <c r="S3415">
        <v>37</v>
      </c>
      <c r="T3415">
        <v>2</v>
      </c>
      <c r="U3415">
        <v>13</v>
      </c>
      <c r="V3415">
        <v>7</v>
      </c>
      <c r="W3415">
        <v>11</v>
      </c>
      <c r="X3415">
        <v>3</v>
      </c>
      <c r="Y3415">
        <v>113</v>
      </c>
      <c r="Z3415">
        <v>7</v>
      </c>
      <c r="AA3415">
        <v>1</v>
      </c>
      <c r="AC3415">
        <v>4</v>
      </c>
      <c r="AD3415">
        <v>3</v>
      </c>
      <c r="AE3415" t="s">
        <v>100</v>
      </c>
      <c r="AF3415" t="s">
        <v>100</v>
      </c>
      <c r="AK3415" t="s">
        <v>100</v>
      </c>
      <c r="AL3415" t="s">
        <v>100</v>
      </c>
      <c r="AM3415" t="s">
        <v>100</v>
      </c>
      <c r="AN3415" t="s">
        <v>100</v>
      </c>
      <c r="AO3415" t="s">
        <v>100</v>
      </c>
      <c r="AP3415" t="s">
        <v>100</v>
      </c>
      <c r="AQ3415" t="s">
        <v>100</v>
      </c>
      <c r="AR3415" t="s">
        <v>100</v>
      </c>
      <c r="AT3415" t="s">
        <v>100</v>
      </c>
      <c r="AU3415" t="s">
        <v>100</v>
      </c>
      <c r="AV3415">
        <v>267</v>
      </c>
      <c r="AW3415">
        <v>261</v>
      </c>
      <c r="AX3415">
        <v>439</v>
      </c>
      <c r="AZ3415" t="s">
        <v>101</v>
      </c>
      <c r="BA3415">
        <v>1</v>
      </c>
      <c r="BC3415" t="s">
        <v>6934</v>
      </c>
      <c r="BD3415" s="4">
        <v>43283.094444444447</v>
      </c>
      <c r="BE3415" s="4">
        <v>43283.18209490741</v>
      </c>
      <c r="BF3415" s="4">
        <v>43283.18209490741</v>
      </c>
      <c r="BG3415" t="s">
        <v>83</v>
      </c>
      <c r="BH3415" t="s">
        <v>84</v>
      </c>
      <c r="BI3415" t="s">
        <v>85</v>
      </c>
    </row>
    <row r="3416" spans="1:61" x14ac:dyDescent="0.3">
      <c r="A3416" t="str">
        <f>"201291B0100"</f>
        <v>201291B0100</v>
      </c>
      <c r="B3416" t="s">
        <v>6935</v>
      </c>
      <c r="C3416">
        <v>20</v>
      </c>
      <c r="D3416" t="s">
        <v>79</v>
      </c>
      <c r="E3416">
        <v>16</v>
      </c>
      <c r="F3416" t="s">
        <v>6725</v>
      </c>
      <c r="G3416">
        <v>1291</v>
      </c>
      <c r="H3416">
        <v>1</v>
      </c>
      <c r="I3416" t="s">
        <v>81</v>
      </c>
      <c r="J3416">
        <v>0</v>
      </c>
      <c r="K3416">
        <v>1</v>
      </c>
      <c r="L3416">
        <v>2</v>
      </c>
      <c r="M3416">
        <v>348</v>
      </c>
      <c r="N3416">
        <v>376</v>
      </c>
      <c r="O3416">
        <v>0</v>
      </c>
      <c r="P3416">
        <v>377</v>
      </c>
      <c r="Q3416">
        <v>22</v>
      </c>
      <c r="R3416">
        <v>38</v>
      </c>
      <c r="S3416">
        <v>77</v>
      </c>
      <c r="T3416">
        <v>2</v>
      </c>
      <c r="U3416">
        <v>15</v>
      </c>
      <c r="V3416">
        <v>14</v>
      </c>
      <c r="W3416">
        <v>2</v>
      </c>
      <c r="X3416">
        <v>3</v>
      </c>
      <c r="Y3416">
        <v>165</v>
      </c>
      <c r="Z3416">
        <v>7</v>
      </c>
      <c r="AA3416">
        <v>0</v>
      </c>
      <c r="AC3416">
        <v>5</v>
      </c>
      <c r="AD3416">
        <v>0</v>
      </c>
      <c r="AE3416">
        <v>0</v>
      </c>
      <c r="AF3416">
        <v>0</v>
      </c>
      <c r="AK3416">
        <v>6</v>
      </c>
      <c r="AL3416">
        <v>2</v>
      </c>
      <c r="AM3416">
        <v>0</v>
      </c>
      <c r="AN3416">
        <v>1</v>
      </c>
      <c r="AO3416">
        <v>0</v>
      </c>
      <c r="AP3416">
        <v>0</v>
      </c>
      <c r="AQ3416">
        <v>0</v>
      </c>
      <c r="AR3416">
        <v>0</v>
      </c>
      <c r="AT3416">
        <v>0</v>
      </c>
      <c r="AU3416">
        <v>19</v>
      </c>
      <c r="AV3416">
        <v>377</v>
      </c>
      <c r="AW3416">
        <v>378</v>
      </c>
      <c r="AX3416">
        <v>703</v>
      </c>
      <c r="BA3416">
        <v>1</v>
      </c>
      <c r="BC3416" t="s">
        <v>6936</v>
      </c>
      <c r="BD3416" s="4">
        <v>43283.123611111114</v>
      </c>
      <c r="BE3416" s="4">
        <v>43283.157384259262</v>
      </c>
      <c r="BF3416" s="4">
        <v>43283.157384259262</v>
      </c>
      <c r="BG3416" t="s">
        <v>83</v>
      </c>
      <c r="BH3416" t="s">
        <v>84</v>
      </c>
      <c r="BI3416" t="s">
        <v>85</v>
      </c>
    </row>
    <row r="3417" spans="1:61" x14ac:dyDescent="0.3">
      <c r="A3417" t="str">
        <f>"201291C0100"</f>
        <v>201291C0100</v>
      </c>
      <c r="B3417" t="s">
        <v>6937</v>
      </c>
      <c r="C3417">
        <v>20</v>
      </c>
      <c r="D3417" t="s">
        <v>79</v>
      </c>
      <c r="E3417">
        <v>16</v>
      </c>
      <c r="F3417" t="s">
        <v>6725</v>
      </c>
      <c r="G3417">
        <v>1291</v>
      </c>
      <c r="H3417">
        <v>1</v>
      </c>
      <c r="I3417" t="s">
        <v>89</v>
      </c>
      <c r="J3417">
        <v>0</v>
      </c>
      <c r="K3417">
        <v>1</v>
      </c>
      <c r="L3417">
        <v>2</v>
      </c>
      <c r="M3417">
        <v>355</v>
      </c>
      <c r="N3417">
        <v>369</v>
      </c>
      <c r="O3417">
        <v>0</v>
      </c>
      <c r="P3417">
        <v>368</v>
      </c>
      <c r="Q3417">
        <v>34</v>
      </c>
      <c r="R3417">
        <v>48</v>
      </c>
      <c r="S3417">
        <v>83</v>
      </c>
      <c r="T3417">
        <v>4</v>
      </c>
      <c r="U3417">
        <v>18</v>
      </c>
      <c r="V3417">
        <v>14</v>
      </c>
      <c r="W3417">
        <v>5</v>
      </c>
      <c r="X3417">
        <v>3</v>
      </c>
      <c r="Y3417">
        <v>119</v>
      </c>
      <c r="Z3417">
        <v>12</v>
      </c>
      <c r="AA3417">
        <v>0</v>
      </c>
      <c r="AC3417">
        <v>1</v>
      </c>
      <c r="AD3417">
        <v>3</v>
      </c>
      <c r="AE3417">
        <v>0</v>
      </c>
      <c r="AF3417">
        <v>0</v>
      </c>
      <c r="AK3417">
        <v>6</v>
      </c>
      <c r="AL3417">
        <v>1</v>
      </c>
      <c r="AM3417">
        <v>0</v>
      </c>
      <c r="AN3417">
        <v>0</v>
      </c>
      <c r="AO3417">
        <v>0</v>
      </c>
      <c r="AP3417">
        <v>0</v>
      </c>
      <c r="AQ3417">
        <v>0</v>
      </c>
      <c r="AR3417">
        <v>0</v>
      </c>
      <c r="AT3417">
        <v>0</v>
      </c>
      <c r="AU3417">
        <v>17</v>
      </c>
      <c r="AV3417">
        <v>368</v>
      </c>
      <c r="AW3417">
        <v>368</v>
      </c>
      <c r="AX3417">
        <v>702</v>
      </c>
      <c r="BA3417">
        <v>1</v>
      </c>
      <c r="BC3417" t="s">
        <v>6938</v>
      </c>
      <c r="BD3417" s="4">
        <v>43283.123611111114</v>
      </c>
      <c r="BE3417" s="4">
        <v>43283.196550925924</v>
      </c>
      <c r="BF3417" s="4">
        <v>43283.196550925924</v>
      </c>
      <c r="BG3417" t="s">
        <v>83</v>
      </c>
      <c r="BH3417" t="s">
        <v>84</v>
      </c>
      <c r="BI3417" t="s">
        <v>85</v>
      </c>
    </row>
    <row r="3418" spans="1:61" x14ac:dyDescent="0.3">
      <c r="A3418" t="str">
        <f>"201361B0100"</f>
        <v>201361B0100</v>
      </c>
      <c r="B3418" t="s">
        <v>6939</v>
      </c>
      <c r="C3418">
        <v>20</v>
      </c>
      <c r="D3418" t="s">
        <v>79</v>
      </c>
      <c r="E3418">
        <v>16</v>
      </c>
      <c r="F3418" t="s">
        <v>6725</v>
      </c>
      <c r="G3418">
        <v>1361</v>
      </c>
      <c r="H3418">
        <v>1</v>
      </c>
      <c r="I3418" t="s">
        <v>81</v>
      </c>
      <c r="J3418">
        <v>0</v>
      </c>
      <c r="K3418">
        <v>2</v>
      </c>
      <c r="L3418">
        <v>2</v>
      </c>
      <c r="M3418">
        <v>179</v>
      </c>
      <c r="N3418">
        <v>294</v>
      </c>
      <c r="O3418">
        <v>1</v>
      </c>
      <c r="P3418">
        <v>294</v>
      </c>
      <c r="Q3418">
        <v>24</v>
      </c>
      <c r="R3418">
        <v>37</v>
      </c>
      <c r="S3418">
        <v>49</v>
      </c>
      <c r="T3418">
        <v>1</v>
      </c>
      <c r="U3418">
        <v>15</v>
      </c>
      <c r="V3418">
        <v>3</v>
      </c>
      <c r="W3418">
        <v>6</v>
      </c>
      <c r="X3418">
        <v>3</v>
      </c>
      <c r="Y3418">
        <v>112</v>
      </c>
      <c r="Z3418">
        <v>6</v>
      </c>
      <c r="AA3418">
        <v>0</v>
      </c>
      <c r="AC3418">
        <v>0</v>
      </c>
      <c r="AD3418">
        <v>4</v>
      </c>
      <c r="AE3418">
        <v>0</v>
      </c>
      <c r="AF3418">
        <v>0</v>
      </c>
      <c r="AK3418">
        <v>4</v>
      </c>
      <c r="AL3418">
        <v>0</v>
      </c>
      <c r="AM3418">
        <v>1</v>
      </c>
      <c r="AN3418">
        <v>2</v>
      </c>
      <c r="AO3418">
        <v>1</v>
      </c>
      <c r="AP3418">
        <v>1</v>
      </c>
      <c r="AQ3418">
        <v>1</v>
      </c>
      <c r="AR3418">
        <v>0</v>
      </c>
      <c r="AT3418">
        <v>0</v>
      </c>
      <c r="AU3418">
        <v>24</v>
      </c>
      <c r="AV3418">
        <v>294</v>
      </c>
      <c r="AW3418">
        <v>294</v>
      </c>
      <c r="AX3418">
        <v>451</v>
      </c>
      <c r="BA3418">
        <v>1</v>
      </c>
      <c r="BC3418" t="s">
        <v>6940</v>
      </c>
      <c r="BD3418" s="4">
        <v>43283.125</v>
      </c>
      <c r="BE3418" s="4">
        <v>43283.281666666669</v>
      </c>
      <c r="BF3418" s="4">
        <v>43283.281666666669</v>
      </c>
      <c r="BG3418" t="s">
        <v>83</v>
      </c>
      <c r="BH3418" t="s">
        <v>84</v>
      </c>
      <c r="BI3418" t="s">
        <v>85</v>
      </c>
    </row>
    <row r="3419" spans="1:61" x14ac:dyDescent="0.3">
      <c r="A3419" t="str">
        <f>"201361C0100"</f>
        <v>201361C0100</v>
      </c>
      <c r="B3419" t="s">
        <v>6941</v>
      </c>
      <c r="C3419">
        <v>20</v>
      </c>
      <c r="D3419" t="s">
        <v>79</v>
      </c>
      <c r="E3419">
        <v>16</v>
      </c>
      <c r="F3419" t="s">
        <v>6725</v>
      </c>
      <c r="G3419">
        <v>1361</v>
      </c>
      <c r="H3419">
        <v>1</v>
      </c>
      <c r="I3419" t="s">
        <v>89</v>
      </c>
      <c r="J3419">
        <v>0</v>
      </c>
      <c r="K3419">
        <v>2</v>
      </c>
      <c r="L3419">
        <v>2</v>
      </c>
      <c r="AX3419">
        <v>451</v>
      </c>
      <c r="AZ3419" t="s">
        <v>156</v>
      </c>
      <c r="BA3419">
        <v>0</v>
      </c>
      <c r="BC3419" t="s">
        <v>6942</v>
      </c>
      <c r="BD3419" s="4">
        <v>43283.590277777781</v>
      </c>
      <c r="BE3419" s="4">
        <v>43283.592488425929</v>
      </c>
      <c r="BF3419" s="4">
        <v>43283.592488425929</v>
      </c>
      <c r="BG3419" t="s">
        <v>83</v>
      </c>
      <c r="BH3419" t="s">
        <v>84</v>
      </c>
      <c r="BI3419" t="s">
        <v>85</v>
      </c>
    </row>
    <row r="3420" spans="1:61" x14ac:dyDescent="0.3">
      <c r="A3420" t="str">
        <f>"201362B0100"</f>
        <v>201362B0100</v>
      </c>
      <c r="B3420" t="s">
        <v>6943</v>
      </c>
      <c r="C3420">
        <v>20</v>
      </c>
      <c r="D3420" t="s">
        <v>79</v>
      </c>
      <c r="E3420">
        <v>16</v>
      </c>
      <c r="F3420" t="s">
        <v>6725</v>
      </c>
      <c r="G3420">
        <v>1362</v>
      </c>
      <c r="H3420">
        <v>1</v>
      </c>
      <c r="I3420" t="s">
        <v>81</v>
      </c>
      <c r="J3420">
        <v>0</v>
      </c>
      <c r="K3420">
        <v>2</v>
      </c>
      <c r="L3420">
        <v>2</v>
      </c>
      <c r="M3420">
        <v>243</v>
      </c>
      <c r="N3420">
        <v>445</v>
      </c>
      <c r="O3420">
        <v>9</v>
      </c>
      <c r="P3420">
        <v>445</v>
      </c>
      <c r="Q3420">
        <v>15</v>
      </c>
      <c r="R3420">
        <v>8</v>
      </c>
      <c r="S3420">
        <v>172</v>
      </c>
      <c r="T3420">
        <v>6</v>
      </c>
      <c r="U3420">
        <v>18</v>
      </c>
      <c r="V3420">
        <v>2</v>
      </c>
      <c r="W3420">
        <v>1</v>
      </c>
      <c r="X3420">
        <v>2</v>
      </c>
      <c r="Y3420">
        <v>188</v>
      </c>
      <c r="Z3420">
        <v>12</v>
      </c>
      <c r="AA3420">
        <v>0</v>
      </c>
      <c r="AC3420">
        <v>0</v>
      </c>
      <c r="AD3420">
        <v>0</v>
      </c>
      <c r="AE3420">
        <v>0</v>
      </c>
      <c r="AF3420">
        <v>1</v>
      </c>
      <c r="AK3420">
        <v>1</v>
      </c>
      <c r="AL3420">
        <v>2</v>
      </c>
      <c r="AM3420">
        <v>0</v>
      </c>
      <c r="AN3420">
        <v>1</v>
      </c>
      <c r="AO3420">
        <v>0</v>
      </c>
      <c r="AP3420">
        <v>0</v>
      </c>
      <c r="AQ3420">
        <v>0</v>
      </c>
      <c r="AR3420">
        <v>0</v>
      </c>
      <c r="AT3420">
        <v>0</v>
      </c>
      <c r="AU3420">
        <v>18</v>
      </c>
      <c r="AV3420">
        <v>445</v>
      </c>
      <c r="AW3420">
        <v>447</v>
      </c>
      <c r="AX3420">
        <v>666</v>
      </c>
      <c r="BA3420">
        <v>1</v>
      </c>
      <c r="BC3420" t="s">
        <v>6944</v>
      </c>
      <c r="BD3420" s="4">
        <v>43283.18472222222</v>
      </c>
      <c r="BE3420" s="4">
        <v>43283.235775462963</v>
      </c>
      <c r="BF3420" s="4">
        <v>43283.235775462963</v>
      </c>
      <c r="BG3420" t="s">
        <v>83</v>
      </c>
      <c r="BH3420" t="s">
        <v>84</v>
      </c>
      <c r="BI3420" t="s">
        <v>85</v>
      </c>
    </row>
    <row r="3421" spans="1:61" x14ac:dyDescent="0.3">
      <c r="A3421" t="str">
        <f>"201362E0100"</f>
        <v>201362E0100</v>
      </c>
      <c r="B3421" s="2" t="s">
        <v>6945</v>
      </c>
      <c r="C3421">
        <v>20</v>
      </c>
      <c r="D3421" t="s">
        <v>79</v>
      </c>
      <c r="E3421">
        <v>16</v>
      </c>
      <c r="F3421" t="s">
        <v>6725</v>
      </c>
      <c r="G3421">
        <v>1362</v>
      </c>
      <c r="H3421">
        <v>1</v>
      </c>
      <c r="I3421" t="s">
        <v>145</v>
      </c>
      <c r="J3421">
        <v>0</v>
      </c>
      <c r="K3421">
        <v>2</v>
      </c>
      <c r="L3421">
        <v>2</v>
      </c>
      <c r="M3421">
        <v>190</v>
      </c>
      <c r="N3421">
        <v>315</v>
      </c>
      <c r="O3421">
        <v>6</v>
      </c>
      <c r="P3421" t="s">
        <v>100</v>
      </c>
      <c r="Q3421">
        <v>25</v>
      </c>
      <c r="R3421">
        <v>20</v>
      </c>
      <c r="S3421">
        <v>47</v>
      </c>
      <c r="T3421">
        <v>4</v>
      </c>
      <c r="U3421">
        <v>23</v>
      </c>
      <c r="V3421">
        <v>8</v>
      </c>
      <c r="W3421">
        <v>10</v>
      </c>
      <c r="X3421">
        <v>6</v>
      </c>
      <c r="Y3421">
        <v>133</v>
      </c>
      <c r="Z3421">
        <v>11</v>
      </c>
      <c r="AA3421">
        <v>2</v>
      </c>
      <c r="AC3421">
        <v>1</v>
      </c>
      <c r="AD3421">
        <v>1</v>
      </c>
      <c r="AE3421" t="s">
        <v>100</v>
      </c>
      <c r="AF3421" t="s">
        <v>100</v>
      </c>
      <c r="AK3421">
        <v>3</v>
      </c>
      <c r="AL3421">
        <v>1</v>
      </c>
      <c r="AM3421" t="s">
        <v>100</v>
      </c>
      <c r="AN3421" t="s">
        <v>100</v>
      </c>
      <c r="AO3421" t="s">
        <v>100</v>
      </c>
      <c r="AP3421" t="s">
        <v>100</v>
      </c>
      <c r="AQ3421" t="s">
        <v>100</v>
      </c>
      <c r="AR3421" t="s">
        <v>100</v>
      </c>
      <c r="AT3421" t="s">
        <v>100</v>
      </c>
      <c r="AU3421">
        <v>20</v>
      </c>
      <c r="AV3421">
        <v>315</v>
      </c>
      <c r="AW3421">
        <v>315</v>
      </c>
      <c r="AX3421">
        <v>483</v>
      </c>
      <c r="AZ3421" t="s">
        <v>101</v>
      </c>
      <c r="BA3421">
        <v>1</v>
      </c>
      <c r="BC3421" t="s">
        <v>6946</v>
      </c>
      <c r="BD3421" s="4">
        <v>43283.077777777777</v>
      </c>
      <c r="BE3421" s="4">
        <v>43283.336145833331</v>
      </c>
      <c r="BF3421" s="4">
        <v>43283.336145833331</v>
      </c>
      <c r="BG3421" t="s">
        <v>83</v>
      </c>
      <c r="BH3421" t="s">
        <v>84</v>
      </c>
      <c r="BI3421" t="s">
        <v>85</v>
      </c>
    </row>
    <row r="3422" spans="1:61" x14ac:dyDescent="0.3">
      <c r="A3422" t="str">
        <f>"201422B0100"</f>
        <v>201422B0100</v>
      </c>
      <c r="B3422" t="s">
        <v>6947</v>
      </c>
      <c r="C3422">
        <v>20</v>
      </c>
      <c r="D3422" t="s">
        <v>79</v>
      </c>
      <c r="E3422">
        <v>16</v>
      </c>
      <c r="F3422" t="s">
        <v>6725</v>
      </c>
      <c r="G3422">
        <v>1422</v>
      </c>
      <c r="H3422">
        <v>1</v>
      </c>
      <c r="I3422" t="s">
        <v>81</v>
      </c>
      <c r="J3422">
        <v>0</v>
      </c>
      <c r="K3422">
        <v>2</v>
      </c>
      <c r="L3422">
        <v>2</v>
      </c>
      <c r="M3422">
        <v>291</v>
      </c>
      <c r="N3422">
        <v>410</v>
      </c>
      <c r="O3422">
        <v>8</v>
      </c>
      <c r="P3422">
        <v>410</v>
      </c>
      <c r="Q3422">
        <v>13</v>
      </c>
      <c r="R3422">
        <v>111</v>
      </c>
      <c r="S3422">
        <v>37</v>
      </c>
      <c r="T3422">
        <v>15</v>
      </c>
      <c r="U3422">
        <v>23</v>
      </c>
      <c r="V3422">
        <v>12</v>
      </c>
      <c r="W3422">
        <v>12</v>
      </c>
      <c r="X3422">
        <v>11</v>
      </c>
      <c r="Y3422">
        <v>135</v>
      </c>
      <c r="Z3422">
        <v>4</v>
      </c>
      <c r="AA3422">
        <v>2</v>
      </c>
      <c r="AC3422">
        <v>0</v>
      </c>
      <c r="AD3422">
        <v>0</v>
      </c>
      <c r="AE3422">
        <v>1</v>
      </c>
      <c r="AF3422">
        <v>1</v>
      </c>
      <c r="AK3422">
        <v>2</v>
      </c>
      <c r="AL3422">
        <v>2</v>
      </c>
      <c r="AM3422">
        <v>1</v>
      </c>
      <c r="AN3422">
        <v>1</v>
      </c>
      <c r="AO3422">
        <v>0</v>
      </c>
      <c r="AP3422">
        <v>2</v>
      </c>
      <c r="AQ3422">
        <v>0</v>
      </c>
      <c r="AR3422">
        <v>0</v>
      </c>
      <c r="AT3422">
        <v>0</v>
      </c>
      <c r="AU3422">
        <v>25</v>
      </c>
      <c r="AV3422">
        <v>410</v>
      </c>
      <c r="AW3422">
        <v>410</v>
      </c>
      <c r="AX3422">
        <v>679</v>
      </c>
      <c r="BA3422">
        <v>1</v>
      </c>
      <c r="BC3422" t="s">
        <v>6948</v>
      </c>
      <c r="BD3422" s="4">
        <v>43283.059027777781</v>
      </c>
      <c r="BE3422" s="4">
        <v>43283.069791666669</v>
      </c>
      <c r="BF3422" s="4">
        <v>43283.069791666669</v>
      </c>
      <c r="BG3422" t="s">
        <v>83</v>
      </c>
      <c r="BH3422" t="s">
        <v>84</v>
      </c>
      <c r="BI3422" t="s">
        <v>85</v>
      </c>
    </row>
    <row r="3423" spans="1:61" x14ac:dyDescent="0.3">
      <c r="A3423" t="str">
        <f>"201422E0100"</f>
        <v>201422E0100</v>
      </c>
      <c r="B3423" s="2" t="s">
        <v>6949</v>
      </c>
      <c r="C3423">
        <v>20</v>
      </c>
      <c r="D3423" t="s">
        <v>79</v>
      </c>
      <c r="E3423">
        <v>16</v>
      </c>
      <c r="F3423" t="s">
        <v>6725</v>
      </c>
      <c r="G3423">
        <v>1422</v>
      </c>
      <c r="H3423">
        <v>1</v>
      </c>
      <c r="I3423" t="s">
        <v>145</v>
      </c>
      <c r="J3423">
        <v>0</v>
      </c>
      <c r="K3423">
        <v>2</v>
      </c>
      <c r="L3423">
        <v>2</v>
      </c>
      <c r="M3423">
        <v>91</v>
      </c>
      <c r="N3423">
        <v>236</v>
      </c>
      <c r="O3423">
        <v>3</v>
      </c>
      <c r="P3423">
        <v>236</v>
      </c>
      <c r="Q3423">
        <v>4</v>
      </c>
      <c r="R3423">
        <v>14</v>
      </c>
      <c r="S3423">
        <v>4</v>
      </c>
      <c r="T3423">
        <v>1</v>
      </c>
      <c r="U3423">
        <v>30</v>
      </c>
      <c r="V3423">
        <v>4</v>
      </c>
      <c r="W3423">
        <v>11</v>
      </c>
      <c r="X3423">
        <v>5</v>
      </c>
      <c r="Y3423">
        <v>138</v>
      </c>
      <c r="Z3423">
        <v>6</v>
      </c>
      <c r="AA3423">
        <v>1</v>
      </c>
      <c r="AC3423">
        <v>0</v>
      </c>
      <c r="AD3423">
        <v>0</v>
      </c>
      <c r="AE3423">
        <v>0</v>
      </c>
      <c r="AF3423">
        <v>0</v>
      </c>
      <c r="AK3423">
        <v>3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0</v>
      </c>
      <c r="AR3423">
        <v>0</v>
      </c>
      <c r="AT3423">
        <v>0</v>
      </c>
      <c r="AU3423">
        <v>15</v>
      </c>
      <c r="AV3423">
        <v>236</v>
      </c>
      <c r="AW3423">
        <v>236</v>
      </c>
      <c r="AX3423">
        <v>305</v>
      </c>
      <c r="BA3423">
        <v>1</v>
      </c>
      <c r="BC3423" t="s">
        <v>6950</v>
      </c>
      <c r="BD3423" s="4">
        <v>43283.05972222222</v>
      </c>
      <c r="BE3423" s="4">
        <v>43283.06927083333</v>
      </c>
      <c r="BF3423" s="4">
        <v>43283.06927083333</v>
      </c>
      <c r="BG3423" t="s">
        <v>83</v>
      </c>
      <c r="BH3423" t="s">
        <v>84</v>
      </c>
      <c r="BI3423" t="s">
        <v>85</v>
      </c>
    </row>
    <row r="3424" spans="1:61" x14ac:dyDescent="0.3">
      <c r="A3424" t="str">
        <f>"201431B0100"</f>
        <v>201431B0100</v>
      </c>
      <c r="B3424" t="s">
        <v>6951</v>
      </c>
      <c r="C3424">
        <v>20</v>
      </c>
      <c r="D3424" t="s">
        <v>79</v>
      </c>
      <c r="E3424">
        <v>16</v>
      </c>
      <c r="F3424" t="s">
        <v>6725</v>
      </c>
      <c r="G3424">
        <v>1431</v>
      </c>
      <c r="H3424">
        <v>1</v>
      </c>
      <c r="I3424" t="s">
        <v>81</v>
      </c>
      <c r="J3424">
        <v>0</v>
      </c>
      <c r="K3424">
        <v>1</v>
      </c>
      <c r="L3424">
        <v>2</v>
      </c>
      <c r="M3424">
        <v>189</v>
      </c>
      <c r="N3424">
        <v>553</v>
      </c>
      <c r="O3424">
        <v>0</v>
      </c>
      <c r="P3424">
        <v>553</v>
      </c>
      <c r="Q3424">
        <v>56</v>
      </c>
      <c r="R3424">
        <v>151</v>
      </c>
      <c r="S3424">
        <v>52</v>
      </c>
      <c r="T3424">
        <v>6</v>
      </c>
      <c r="U3424">
        <v>34</v>
      </c>
      <c r="V3424">
        <v>19</v>
      </c>
      <c r="W3424">
        <v>6</v>
      </c>
      <c r="X3424">
        <v>2</v>
      </c>
      <c r="Y3424">
        <v>193</v>
      </c>
      <c r="Z3424">
        <v>3</v>
      </c>
      <c r="AA3424">
        <v>1</v>
      </c>
      <c r="AC3424">
        <v>2</v>
      </c>
      <c r="AD3424">
        <v>1</v>
      </c>
      <c r="AE3424">
        <v>0</v>
      </c>
      <c r="AF3424">
        <v>0</v>
      </c>
      <c r="AK3424">
        <v>1</v>
      </c>
      <c r="AL3424">
        <v>1</v>
      </c>
      <c r="AM3424">
        <v>0</v>
      </c>
      <c r="AN3424">
        <v>0</v>
      </c>
      <c r="AO3424">
        <v>1</v>
      </c>
      <c r="AP3424">
        <v>0</v>
      </c>
      <c r="AQ3424">
        <v>0</v>
      </c>
      <c r="AR3424">
        <v>0</v>
      </c>
      <c r="AT3424">
        <v>0</v>
      </c>
      <c r="AU3424">
        <v>24</v>
      </c>
      <c r="AV3424">
        <v>553</v>
      </c>
      <c r="AW3424">
        <v>553</v>
      </c>
      <c r="AX3424">
        <v>719</v>
      </c>
      <c r="BA3424">
        <v>1</v>
      </c>
      <c r="BC3424" t="s">
        <v>6952</v>
      </c>
      <c r="BD3424" s="4">
        <v>43283.128472222219</v>
      </c>
      <c r="BE3424" s="4">
        <v>43283.276030092595</v>
      </c>
      <c r="BF3424" s="4">
        <v>43283.276030092595</v>
      </c>
      <c r="BG3424" t="s">
        <v>83</v>
      </c>
      <c r="BH3424" t="s">
        <v>84</v>
      </c>
      <c r="BI3424" t="s">
        <v>85</v>
      </c>
    </row>
    <row r="3425" spans="1:61" x14ac:dyDescent="0.3">
      <c r="A3425" t="str">
        <f>"201431C0100"</f>
        <v>201431C0100</v>
      </c>
      <c r="B3425" t="s">
        <v>6953</v>
      </c>
      <c r="C3425">
        <v>20</v>
      </c>
      <c r="D3425" t="s">
        <v>79</v>
      </c>
      <c r="E3425">
        <v>16</v>
      </c>
      <c r="F3425" t="s">
        <v>6725</v>
      </c>
      <c r="G3425">
        <v>1431</v>
      </c>
      <c r="H3425">
        <v>1</v>
      </c>
      <c r="I3425" t="s">
        <v>89</v>
      </c>
      <c r="J3425">
        <v>0</v>
      </c>
      <c r="K3425">
        <v>1</v>
      </c>
      <c r="L3425">
        <v>2</v>
      </c>
      <c r="M3425">
        <v>187</v>
      </c>
      <c r="N3425" t="s">
        <v>100</v>
      </c>
      <c r="O3425" t="s">
        <v>100</v>
      </c>
      <c r="P3425">
        <v>555</v>
      </c>
      <c r="Q3425">
        <v>67</v>
      </c>
      <c r="R3425">
        <v>127</v>
      </c>
      <c r="S3425">
        <v>60</v>
      </c>
      <c r="T3425">
        <v>6</v>
      </c>
      <c r="U3425">
        <v>26</v>
      </c>
      <c r="V3425">
        <v>8</v>
      </c>
      <c r="W3425">
        <v>7</v>
      </c>
      <c r="X3425">
        <v>6</v>
      </c>
      <c r="Y3425">
        <v>201</v>
      </c>
      <c r="Z3425">
        <v>6</v>
      </c>
      <c r="AA3425">
        <v>7</v>
      </c>
      <c r="AC3425">
        <v>2</v>
      </c>
      <c r="AD3425" t="s">
        <v>100</v>
      </c>
      <c r="AE3425" t="s">
        <v>100</v>
      </c>
      <c r="AF3425" t="s">
        <v>100</v>
      </c>
      <c r="AK3425">
        <v>5</v>
      </c>
      <c r="AL3425" t="s">
        <v>100</v>
      </c>
      <c r="AM3425" t="s">
        <v>100</v>
      </c>
      <c r="AN3425" t="s">
        <v>100</v>
      </c>
      <c r="AO3425">
        <v>2</v>
      </c>
      <c r="AP3425" t="s">
        <v>100</v>
      </c>
      <c r="AQ3425" t="s">
        <v>100</v>
      </c>
      <c r="AR3425" t="s">
        <v>100</v>
      </c>
      <c r="AT3425" t="s">
        <v>100</v>
      </c>
      <c r="AU3425">
        <v>25</v>
      </c>
      <c r="AV3425">
        <v>555</v>
      </c>
      <c r="AW3425">
        <v>555</v>
      </c>
      <c r="AX3425">
        <v>719</v>
      </c>
      <c r="AZ3425" t="s">
        <v>101</v>
      </c>
      <c r="BA3425">
        <v>1</v>
      </c>
      <c r="BC3425" t="s">
        <v>6954</v>
      </c>
      <c r="BD3425" s="4">
        <v>43283.128472222219</v>
      </c>
      <c r="BE3425" s="4">
        <v>43283.193958333337</v>
      </c>
      <c r="BF3425" s="4">
        <v>43283.193958333337</v>
      </c>
      <c r="BG3425" t="s">
        <v>83</v>
      </c>
      <c r="BH3425" t="s">
        <v>84</v>
      </c>
      <c r="BI3425" t="s">
        <v>85</v>
      </c>
    </row>
    <row r="3426" spans="1:61" x14ac:dyDescent="0.3">
      <c r="A3426" t="str">
        <f>"201432B0100"</f>
        <v>201432B0100</v>
      </c>
      <c r="B3426" t="s">
        <v>6955</v>
      </c>
      <c r="C3426">
        <v>20</v>
      </c>
      <c r="D3426" t="s">
        <v>79</v>
      </c>
      <c r="E3426">
        <v>16</v>
      </c>
      <c r="F3426" t="s">
        <v>6725</v>
      </c>
      <c r="G3426">
        <v>1432</v>
      </c>
      <c r="H3426">
        <v>1</v>
      </c>
      <c r="I3426" t="s">
        <v>81</v>
      </c>
      <c r="J3426">
        <v>0</v>
      </c>
      <c r="K3426">
        <v>1</v>
      </c>
      <c r="L3426">
        <v>2</v>
      </c>
      <c r="M3426">
        <v>185</v>
      </c>
      <c r="N3426">
        <v>494</v>
      </c>
      <c r="O3426">
        <v>3</v>
      </c>
      <c r="P3426">
        <v>494</v>
      </c>
      <c r="Q3426">
        <v>71</v>
      </c>
      <c r="R3426">
        <v>94</v>
      </c>
      <c r="S3426">
        <v>40</v>
      </c>
      <c r="T3426">
        <v>9</v>
      </c>
      <c r="U3426">
        <v>32</v>
      </c>
      <c r="V3426">
        <v>6</v>
      </c>
      <c r="W3426">
        <v>6</v>
      </c>
      <c r="X3426">
        <v>4</v>
      </c>
      <c r="Y3426">
        <v>177</v>
      </c>
      <c r="Z3426">
        <v>6</v>
      </c>
      <c r="AA3426">
        <v>3</v>
      </c>
      <c r="AC3426">
        <v>4</v>
      </c>
      <c r="AD3426">
        <v>1</v>
      </c>
      <c r="AE3426">
        <v>1</v>
      </c>
      <c r="AF3426">
        <v>1</v>
      </c>
      <c r="AK3426">
        <v>4</v>
      </c>
      <c r="AL3426">
        <v>1</v>
      </c>
      <c r="AM3426">
        <v>0</v>
      </c>
      <c r="AN3426">
        <v>1</v>
      </c>
      <c r="AO3426">
        <v>3</v>
      </c>
      <c r="AP3426">
        <v>1</v>
      </c>
      <c r="AQ3426">
        <v>1</v>
      </c>
      <c r="AR3426">
        <v>0</v>
      </c>
      <c r="AT3426">
        <v>0</v>
      </c>
      <c r="AU3426">
        <v>26</v>
      </c>
      <c r="AV3426">
        <v>492</v>
      </c>
      <c r="AW3426">
        <v>492</v>
      </c>
      <c r="AX3426">
        <v>656</v>
      </c>
      <c r="BA3426">
        <v>1</v>
      </c>
      <c r="BC3426" t="s">
        <v>6956</v>
      </c>
      <c r="BD3426" s="4">
        <v>43283.128472222219</v>
      </c>
      <c r="BE3426" s="4">
        <v>43283.143923611111</v>
      </c>
      <c r="BF3426" s="4">
        <v>43283.143923611111</v>
      </c>
      <c r="BG3426" t="s">
        <v>83</v>
      </c>
      <c r="BH3426" t="s">
        <v>84</v>
      </c>
      <c r="BI3426" t="s">
        <v>85</v>
      </c>
    </row>
    <row r="3427" spans="1:61" x14ac:dyDescent="0.3">
      <c r="A3427" t="str">
        <f>"201432C0100"</f>
        <v>201432C0100</v>
      </c>
      <c r="B3427" t="s">
        <v>6957</v>
      </c>
      <c r="C3427">
        <v>20</v>
      </c>
      <c r="D3427" t="s">
        <v>79</v>
      </c>
      <c r="E3427">
        <v>16</v>
      </c>
      <c r="F3427" t="s">
        <v>6725</v>
      </c>
      <c r="G3427">
        <v>1432</v>
      </c>
      <c r="H3427">
        <v>1</v>
      </c>
      <c r="I3427" t="s">
        <v>89</v>
      </c>
      <c r="J3427">
        <v>0</v>
      </c>
      <c r="K3427">
        <v>1</v>
      </c>
      <c r="L3427">
        <v>2</v>
      </c>
      <c r="M3427">
        <v>187</v>
      </c>
      <c r="N3427">
        <v>491</v>
      </c>
      <c r="O3427">
        <v>3</v>
      </c>
      <c r="P3427">
        <v>491</v>
      </c>
      <c r="Q3427">
        <v>50</v>
      </c>
      <c r="R3427">
        <v>118</v>
      </c>
      <c r="S3427">
        <v>39</v>
      </c>
      <c r="T3427">
        <v>9</v>
      </c>
      <c r="U3427">
        <v>42</v>
      </c>
      <c r="V3427">
        <v>13</v>
      </c>
      <c r="W3427">
        <v>4</v>
      </c>
      <c r="X3427">
        <v>3</v>
      </c>
      <c r="Y3427">
        <v>165</v>
      </c>
      <c r="Z3427">
        <v>6</v>
      </c>
      <c r="AA3427">
        <v>2</v>
      </c>
      <c r="AC3427">
        <v>1</v>
      </c>
      <c r="AD3427">
        <v>0</v>
      </c>
      <c r="AE3427">
        <v>0</v>
      </c>
      <c r="AF3427">
        <v>1</v>
      </c>
      <c r="AK3427">
        <v>0</v>
      </c>
      <c r="AL3427">
        <v>2</v>
      </c>
      <c r="AM3427">
        <v>1</v>
      </c>
      <c r="AN3427">
        <v>2</v>
      </c>
      <c r="AO3427">
        <v>0</v>
      </c>
      <c r="AP3427">
        <v>2</v>
      </c>
      <c r="AQ3427">
        <v>0</v>
      </c>
      <c r="AR3427">
        <v>0</v>
      </c>
      <c r="AT3427">
        <v>0</v>
      </c>
      <c r="AU3427">
        <v>31</v>
      </c>
      <c r="AV3427">
        <v>491</v>
      </c>
      <c r="AW3427">
        <v>491</v>
      </c>
      <c r="AX3427">
        <v>655</v>
      </c>
      <c r="BA3427">
        <v>1</v>
      </c>
      <c r="BC3427" t="s">
        <v>6958</v>
      </c>
      <c r="BD3427" s="4">
        <v>43283.128472222219</v>
      </c>
      <c r="BE3427" s="4">
        <v>43283.195833333331</v>
      </c>
      <c r="BF3427" s="4">
        <v>43283.195833333331</v>
      </c>
      <c r="BG3427" t="s">
        <v>83</v>
      </c>
      <c r="BH3427" t="s">
        <v>84</v>
      </c>
      <c r="BI3427" t="s">
        <v>85</v>
      </c>
    </row>
    <row r="3428" spans="1:61" x14ac:dyDescent="0.3">
      <c r="A3428" t="str">
        <f>"201433B0100"</f>
        <v>201433B0100</v>
      </c>
      <c r="B3428" t="s">
        <v>6959</v>
      </c>
      <c r="C3428">
        <v>20</v>
      </c>
      <c r="D3428" t="s">
        <v>79</v>
      </c>
      <c r="E3428">
        <v>16</v>
      </c>
      <c r="F3428" t="s">
        <v>6725</v>
      </c>
      <c r="G3428">
        <v>1433</v>
      </c>
      <c r="H3428">
        <v>1</v>
      </c>
      <c r="I3428" t="s">
        <v>81</v>
      </c>
      <c r="J3428">
        <v>0</v>
      </c>
      <c r="K3428">
        <v>1</v>
      </c>
      <c r="L3428">
        <v>2</v>
      </c>
      <c r="M3428">
        <v>155</v>
      </c>
      <c r="N3428">
        <v>495</v>
      </c>
      <c r="O3428">
        <v>2</v>
      </c>
      <c r="P3428">
        <v>499</v>
      </c>
      <c r="Q3428">
        <v>58</v>
      </c>
      <c r="R3428">
        <v>121</v>
      </c>
      <c r="S3428">
        <v>38</v>
      </c>
      <c r="T3428">
        <v>5</v>
      </c>
      <c r="U3428">
        <v>41</v>
      </c>
      <c r="V3428">
        <v>6</v>
      </c>
      <c r="W3428">
        <v>5</v>
      </c>
      <c r="X3428">
        <v>3</v>
      </c>
      <c r="Y3428">
        <v>185</v>
      </c>
      <c r="Z3428">
        <v>2</v>
      </c>
      <c r="AA3428">
        <v>0</v>
      </c>
      <c r="AC3428">
        <v>0</v>
      </c>
      <c r="AD3428">
        <v>2</v>
      </c>
      <c r="AE3428">
        <v>0</v>
      </c>
      <c r="AF3428">
        <v>0</v>
      </c>
      <c r="AK3428">
        <v>3</v>
      </c>
      <c r="AL3428">
        <v>1</v>
      </c>
      <c r="AM3428">
        <v>0</v>
      </c>
      <c r="AN3428">
        <v>1</v>
      </c>
      <c r="AO3428">
        <v>0</v>
      </c>
      <c r="AP3428">
        <v>0</v>
      </c>
      <c r="AQ3428">
        <v>0</v>
      </c>
      <c r="AR3428">
        <v>0</v>
      </c>
      <c r="AT3428">
        <v>0</v>
      </c>
      <c r="AU3428">
        <v>30</v>
      </c>
      <c r="AV3428">
        <v>501</v>
      </c>
      <c r="AW3428">
        <v>501</v>
      </c>
      <c r="AX3428">
        <v>633</v>
      </c>
      <c r="BA3428">
        <v>1</v>
      </c>
      <c r="BC3428" t="s">
        <v>6960</v>
      </c>
      <c r="BD3428" s="4">
        <v>43283.128472222219</v>
      </c>
      <c r="BE3428" s="4">
        <v>43283.216944444444</v>
      </c>
      <c r="BF3428" s="4">
        <v>43283.216944444444</v>
      </c>
      <c r="BG3428" t="s">
        <v>83</v>
      </c>
      <c r="BH3428" t="s">
        <v>84</v>
      </c>
      <c r="BI3428" t="s">
        <v>85</v>
      </c>
    </row>
    <row r="3429" spans="1:61" x14ac:dyDescent="0.3">
      <c r="A3429" t="str">
        <f>"201433C0100"</f>
        <v>201433C0100</v>
      </c>
      <c r="B3429" t="s">
        <v>6961</v>
      </c>
      <c r="C3429">
        <v>20</v>
      </c>
      <c r="D3429" t="s">
        <v>79</v>
      </c>
      <c r="E3429">
        <v>16</v>
      </c>
      <c r="F3429" t="s">
        <v>6725</v>
      </c>
      <c r="G3429">
        <v>1433</v>
      </c>
      <c r="H3429">
        <v>1</v>
      </c>
      <c r="I3429" t="s">
        <v>89</v>
      </c>
      <c r="J3429">
        <v>0</v>
      </c>
      <c r="K3429">
        <v>1</v>
      </c>
      <c r="L3429">
        <v>2</v>
      </c>
      <c r="M3429">
        <v>172</v>
      </c>
      <c r="N3429">
        <v>483</v>
      </c>
      <c r="O3429">
        <v>4</v>
      </c>
      <c r="P3429">
        <v>481</v>
      </c>
      <c r="Q3429">
        <v>67</v>
      </c>
      <c r="R3429">
        <v>90</v>
      </c>
      <c r="S3429">
        <v>49</v>
      </c>
      <c r="T3429">
        <v>8</v>
      </c>
      <c r="U3429">
        <v>31</v>
      </c>
      <c r="V3429">
        <v>6</v>
      </c>
      <c r="W3429">
        <v>2</v>
      </c>
      <c r="X3429">
        <v>9</v>
      </c>
      <c r="Y3429">
        <v>181</v>
      </c>
      <c r="Z3429">
        <v>2</v>
      </c>
      <c r="AA3429">
        <v>1</v>
      </c>
      <c r="AC3429">
        <v>1</v>
      </c>
      <c r="AD3429">
        <v>0</v>
      </c>
      <c r="AE3429">
        <v>0</v>
      </c>
      <c r="AF3429">
        <v>0</v>
      </c>
      <c r="AK3429">
        <v>3</v>
      </c>
      <c r="AL3429">
        <v>4</v>
      </c>
      <c r="AM3429">
        <v>0</v>
      </c>
      <c r="AN3429">
        <v>0</v>
      </c>
      <c r="AO3429">
        <v>0</v>
      </c>
      <c r="AP3429">
        <v>1</v>
      </c>
      <c r="AQ3429">
        <v>1</v>
      </c>
      <c r="AR3429">
        <v>0</v>
      </c>
      <c r="AT3429">
        <v>0</v>
      </c>
      <c r="AU3429">
        <v>28</v>
      </c>
      <c r="AV3429">
        <v>484</v>
      </c>
      <c r="AW3429">
        <v>484</v>
      </c>
      <c r="AX3429">
        <v>632</v>
      </c>
      <c r="BA3429">
        <v>1</v>
      </c>
      <c r="BC3429" t="s">
        <v>6962</v>
      </c>
      <c r="BD3429" s="4">
        <v>43283.128472222219</v>
      </c>
      <c r="BE3429" s="4">
        <v>43283.275833333333</v>
      </c>
      <c r="BF3429" s="4">
        <v>43283.275833333333</v>
      </c>
      <c r="BG3429" t="s">
        <v>83</v>
      </c>
      <c r="BH3429" t="s">
        <v>84</v>
      </c>
      <c r="BI3429" t="s">
        <v>85</v>
      </c>
    </row>
    <row r="3430" spans="1:61" x14ac:dyDescent="0.3">
      <c r="A3430" t="str">
        <f>"201434B0100"</f>
        <v>201434B0100</v>
      </c>
      <c r="B3430" t="s">
        <v>6963</v>
      </c>
      <c r="C3430">
        <v>20</v>
      </c>
      <c r="D3430" t="s">
        <v>79</v>
      </c>
      <c r="E3430">
        <v>16</v>
      </c>
      <c r="F3430" t="s">
        <v>6725</v>
      </c>
      <c r="G3430">
        <v>1434</v>
      </c>
      <c r="H3430">
        <v>1</v>
      </c>
      <c r="I3430" t="s">
        <v>81</v>
      </c>
      <c r="J3430">
        <v>0</v>
      </c>
      <c r="K3430">
        <v>1</v>
      </c>
      <c r="L3430">
        <v>2</v>
      </c>
      <c r="M3430">
        <v>146</v>
      </c>
      <c r="N3430">
        <v>426</v>
      </c>
      <c r="O3430">
        <v>4</v>
      </c>
      <c r="P3430">
        <v>426</v>
      </c>
      <c r="Q3430">
        <v>42</v>
      </c>
      <c r="R3430">
        <v>133</v>
      </c>
      <c r="S3430">
        <v>36</v>
      </c>
      <c r="T3430">
        <v>4</v>
      </c>
      <c r="U3430">
        <v>27</v>
      </c>
      <c r="V3430">
        <v>7</v>
      </c>
      <c r="W3430">
        <v>5</v>
      </c>
      <c r="X3430">
        <v>0</v>
      </c>
      <c r="Y3430">
        <v>137</v>
      </c>
      <c r="Z3430">
        <v>5</v>
      </c>
      <c r="AA3430">
        <v>4</v>
      </c>
      <c r="AC3430" t="s">
        <v>100</v>
      </c>
      <c r="AD3430" t="s">
        <v>100</v>
      </c>
      <c r="AE3430" t="s">
        <v>100</v>
      </c>
      <c r="AF3430" t="s">
        <v>100</v>
      </c>
      <c r="AK3430" t="s">
        <v>100</v>
      </c>
      <c r="AL3430">
        <v>3</v>
      </c>
      <c r="AM3430" t="s">
        <v>100</v>
      </c>
      <c r="AN3430" t="s">
        <v>100</v>
      </c>
      <c r="AO3430">
        <v>2</v>
      </c>
      <c r="AP3430" t="s">
        <v>100</v>
      </c>
      <c r="AQ3430" t="s">
        <v>100</v>
      </c>
      <c r="AR3430" t="s">
        <v>100</v>
      </c>
      <c r="AT3430" t="s">
        <v>100</v>
      </c>
      <c r="AU3430">
        <v>21</v>
      </c>
      <c r="AV3430">
        <v>426</v>
      </c>
      <c r="AW3430">
        <v>426</v>
      </c>
      <c r="AX3430">
        <v>549</v>
      </c>
      <c r="AZ3430" t="s">
        <v>101</v>
      </c>
      <c r="BA3430">
        <v>1</v>
      </c>
      <c r="BC3430" t="s">
        <v>6964</v>
      </c>
      <c r="BD3430" s="4">
        <v>43283.109027777777</v>
      </c>
      <c r="BE3430" s="4">
        <v>43283.129178240742</v>
      </c>
      <c r="BF3430" s="4">
        <v>43283.129178240742</v>
      </c>
      <c r="BG3430" t="s">
        <v>83</v>
      </c>
      <c r="BH3430" t="s">
        <v>84</v>
      </c>
      <c r="BI3430" t="s">
        <v>85</v>
      </c>
    </row>
    <row r="3431" spans="1:61" x14ac:dyDescent="0.3">
      <c r="A3431" t="str">
        <f>"201434C0100"</f>
        <v>201434C0100</v>
      </c>
      <c r="B3431" t="s">
        <v>6965</v>
      </c>
      <c r="C3431">
        <v>20</v>
      </c>
      <c r="D3431" t="s">
        <v>79</v>
      </c>
      <c r="E3431">
        <v>16</v>
      </c>
      <c r="F3431" t="s">
        <v>6725</v>
      </c>
      <c r="G3431">
        <v>1434</v>
      </c>
      <c r="H3431">
        <v>1</v>
      </c>
      <c r="I3431" t="s">
        <v>89</v>
      </c>
      <c r="J3431">
        <v>0</v>
      </c>
      <c r="K3431">
        <v>1</v>
      </c>
      <c r="L3431">
        <v>2</v>
      </c>
      <c r="M3431">
        <v>152</v>
      </c>
      <c r="N3431">
        <v>419</v>
      </c>
      <c r="O3431">
        <v>1</v>
      </c>
      <c r="P3431">
        <v>419</v>
      </c>
      <c r="Q3431">
        <v>42</v>
      </c>
      <c r="R3431">
        <v>135</v>
      </c>
      <c r="S3431">
        <v>22</v>
      </c>
      <c r="T3431">
        <v>7</v>
      </c>
      <c r="U3431">
        <v>31</v>
      </c>
      <c r="V3431">
        <v>8</v>
      </c>
      <c r="W3431">
        <v>5</v>
      </c>
      <c r="X3431">
        <v>3</v>
      </c>
      <c r="Y3431">
        <v>130</v>
      </c>
      <c r="Z3431">
        <v>6</v>
      </c>
      <c r="AA3431">
        <v>0</v>
      </c>
      <c r="AC3431">
        <v>1</v>
      </c>
      <c r="AD3431">
        <v>1</v>
      </c>
      <c r="AE3431">
        <v>1</v>
      </c>
      <c r="AF3431">
        <v>1</v>
      </c>
      <c r="AK3431">
        <v>2</v>
      </c>
      <c r="AL3431">
        <v>4</v>
      </c>
      <c r="AM3431">
        <v>0</v>
      </c>
      <c r="AN3431">
        <v>0</v>
      </c>
      <c r="AO3431">
        <v>2</v>
      </c>
      <c r="AP3431">
        <v>4</v>
      </c>
      <c r="AQ3431">
        <v>0</v>
      </c>
      <c r="AR3431">
        <v>0</v>
      </c>
      <c r="AT3431">
        <v>0</v>
      </c>
      <c r="AU3431">
        <v>14</v>
      </c>
      <c r="AV3431">
        <v>419</v>
      </c>
      <c r="AW3431">
        <v>419</v>
      </c>
      <c r="AX3431">
        <v>549</v>
      </c>
      <c r="BA3431">
        <v>1</v>
      </c>
      <c r="BC3431" t="s">
        <v>6966</v>
      </c>
      <c r="BD3431" s="4">
        <v>43283.109027777777</v>
      </c>
      <c r="BE3431" s="4">
        <v>43283.240810185183</v>
      </c>
      <c r="BF3431" s="4">
        <v>43283.240810185183</v>
      </c>
      <c r="BG3431" t="s">
        <v>83</v>
      </c>
      <c r="BH3431" t="s">
        <v>84</v>
      </c>
      <c r="BI3431" t="s">
        <v>85</v>
      </c>
    </row>
    <row r="3432" spans="1:61" x14ac:dyDescent="0.3">
      <c r="A3432" t="str">
        <f>"201435B0100"</f>
        <v>201435B0100</v>
      </c>
      <c r="B3432" t="s">
        <v>6967</v>
      </c>
      <c r="C3432">
        <v>20</v>
      </c>
      <c r="D3432" t="s">
        <v>79</v>
      </c>
      <c r="E3432">
        <v>16</v>
      </c>
      <c r="F3432" t="s">
        <v>6725</v>
      </c>
      <c r="G3432">
        <v>1435</v>
      </c>
      <c r="H3432">
        <v>1</v>
      </c>
      <c r="I3432" t="s">
        <v>81</v>
      </c>
      <c r="J3432">
        <v>0</v>
      </c>
      <c r="K3432">
        <v>1</v>
      </c>
      <c r="L3432">
        <v>2</v>
      </c>
      <c r="M3432">
        <v>151</v>
      </c>
      <c r="N3432">
        <v>360</v>
      </c>
      <c r="O3432">
        <v>0</v>
      </c>
      <c r="P3432">
        <v>360</v>
      </c>
      <c r="Q3432">
        <v>48</v>
      </c>
      <c r="R3432">
        <v>115</v>
      </c>
      <c r="S3432">
        <v>23</v>
      </c>
      <c r="T3432">
        <v>3</v>
      </c>
      <c r="U3432">
        <v>34</v>
      </c>
      <c r="V3432">
        <v>9</v>
      </c>
      <c r="W3432">
        <v>0</v>
      </c>
      <c r="X3432">
        <v>2</v>
      </c>
      <c r="Y3432">
        <v>97</v>
      </c>
      <c r="Z3432">
        <v>5</v>
      </c>
      <c r="AA3432">
        <v>2</v>
      </c>
      <c r="AC3432">
        <v>1</v>
      </c>
      <c r="AD3432">
        <v>0</v>
      </c>
      <c r="AE3432">
        <v>0</v>
      </c>
      <c r="AF3432">
        <v>0</v>
      </c>
      <c r="AK3432">
        <v>2</v>
      </c>
      <c r="AL3432">
        <v>2</v>
      </c>
      <c r="AM3432">
        <v>1</v>
      </c>
      <c r="AN3432">
        <v>0</v>
      </c>
      <c r="AO3432">
        <v>1</v>
      </c>
      <c r="AP3432">
        <v>0</v>
      </c>
      <c r="AQ3432">
        <v>0</v>
      </c>
      <c r="AR3432">
        <v>0</v>
      </c>
      <c r="AT3432">
        <v>0</v>
      </c>
      <c r="AU3432">
        <v>15</v>
      </c>
      <c r="AV3432">
        <v>360</v>
      </c>
      <c r="AW3432">
        <v>360</v>
      </c>
      <c r="AX3432">
        <v>488</v>
      </c>
      <c r="BA3432">
        <v>1</v>
      </c>
      <c r="BC3432" t="s">
        <v>6968</v>
      </c>
      <c r="BD3432" s="4">
        <v>43283.109027777777</v>
      </c>
      <c r="BE3432" s="4">
        <v>43283.127500000002</v>
      </c>
      <c r="BF3432" s="4">
        <v>43283.127500000002</v>
      </c>
      <c r="BG3432" t="s">
        <v>83</v>
      </c>
      <c r="BH3432" t="s">
        <v>84</v>
      </c>
      <c r="BI3432" t="s">
        <v>85</v>
      </c>
    </row>
    <row r="3433" spans="1:61" x14ac:dyDescent="0.3">
      <c r="A3433" t="str">
        <f>"201435C0100"</f>
        <v>201435C0100</v>
      </c>
      <c r="B3433" t="s">
        <v>6969</v>
      </c>
      <c r="C3433">
        <v>20</v>
      </c>
      <c r="D3433" t="s">
        <v>79</v>
      </c>
      <c r="E3433">
        <v>16</v>
      </c>
      <c r="F3433" t="s">
        <v>6725</v>
      </c>
      <c r="G3433">
        <v>1435</v>
      </c>
      <c r="H3433">
        <v>1</v>
      </c>
      <c r="I3433" t="s">
        <v>89</v>
      </c>
      <c r="J3433">
        <v>0</v>
      </c>
      <c r="K3433">
        <v>1</v>
      </c>
      <c r="L3433">
        <v>2</v>
      </c>
      <c r="M3433">
        <v>150</v>
      </c>
      <c r="N3433">
        <v>361</v>
      </c>
      <c r="O3433">
        <v>8</v>
      </c>
      <c r="P3433">
        <v>361</v>
      </c>
      <c r="Q3433">
        <v>38</v>
      </c>
      <c r="R3433">
        <v>112</v>
      </c>
      <c r="S3433">
        <v>32</v>
      </c>
      <c r="T3433">
        <v>5</v>
      </c>
      <c r="U3433">
        <v>31</v>
      </c>
      <c r="V3433">
        <v>6</v>
      </c>
      <c r="W3433">
        <v>2</v>
      </c>
      <c r="X3433">
        <v>4</v>
      </c>
      <c r="Y3433">
        <v>103</v>
      </c>
      <c r="Z3433">
        <v>1</v>
      </c>
      <c r="AA3433">
        <v>1</v>
      </c>
      <c r="AC3433">
        <v>0</v>
      </c>
      <c r="AD3433">
        <v>2</v>
      </c>
      <c r="AE3433">
        <v>0</v>
      </c>
      <c r="AF3433">
        <v>0</v>
      </c>
      <c r="AK3433">
        <v>3</v>
      </c>
      <c r="AL3433">
        <v>2</v>
      </c>
      <c r="AM3433">
        <v>0</v>
      </c>
      <c r="AN3433">
        <v>0</v>
      </c>
      <c r="AO3433">
        <v>0</v>
      </c>
      <c r="AP3433">
        <v>3</v>
      </c>
      <c r="AQ3433">
        <v>0</v>
      </c>
      <c r="AR3433">
        <v>0</v>
      </c>
      <c r="AT3433">
        <v>1</v>
      </c>
      <c r="AU3433">
        <v>15</v>
      </c>
      <c r="AV3433">
        <v>361</v>
      </c>
      <c r="AW3433">
        <v>361</v>
      </c>
      <c r="AX3433">
        <v>488</v>
      </c>
      <c r="BA3433">
        <v>1</v>
      </c>
      <c r="BC3433" t="s">
        <v>6970</v>
      </c>
      <c r="BD3433" s="4">
        <v>43283.109027777777</v>
      </c>
      <c r="BE3433" s="4">
        <v>43283.199120370373</v>
      </c>
      <c r="BF3433" s="4">
        <v>43283.199120370373</v>
      </c>
      <c r="BG3433" t="s">
        <v>83</v>
      </c>
      <c r="BH3433" t="s">
        <v>84</v>
      </c>
      <c r="BI3433" t="s">
        <v>85</v>
      </c>
    </row>
    <row r="3434" spans="1:61" x14ac:dyDescent="0.3">
      <c r="A3434" t="str">
        <f>"201436B0100"</f>
        <v>201436B0100</v>
      </c>
      <c r="B3434" t="s">
        <v>6971</v>
      </c>
      <c r="C3434">
        <v>20</v>
      </c>
      <c r="D3434" t="s">
        <v>79</v>
      </c>
      <c r="E3434">
        <v>16</v>
      </c>
      <c r="F3434" t="s">
        <v>6725</v>
      </c>
      <c r="G3434">
        <v>1436</v>
      </c>
      <c r="H3434">
        <v>1</v>
      </c>
      <c r="I3434" t="s">
        <v>81</v>
      </c>
      <c r="J3434">
        <v>0</v>
      </c>
      <c r="K3434">
        <v>1</v>
      </c>
      <c r="L3434">
        <v>2</v>
      </c>
      <c r="M3434">
        <v>165</v>
      </c>
      <c r="N3434">
        <v>442</v>
      </c>
      <c r="O3434">
        <v>0</v>
      </c>
      <c r="P3434">
        <v>0</v>
      </c>
      <c r="Q3434">
        <v>41</v>
      </c>
      <c r="R3434">
        <v>160</v>
      </c>
      <c r="S3434">
        <v>40</v>
      </c>
      <c r="T3434">
        <v>3</v>
      </c>
      <c r="U3434">
        <v>34</v>
      </c>
      <c r="V3434">
        <v>4</v>
      </c>
      <c r="W3434">
        <v>0</v>
      </c>
      <c r="X3434">
        <v>4</v>
      </c>
      <c r="Y3434">
        <v>106</v>
      </c>
      <c r="Z3434">
        <v>6</v>
      </c>
      <c r="AA3434">
        <v>6</v>
      </c>
      <c r="AC3434">
        <v>0</v>
      </c>
      <c r="AD3434">
        <v>1</v>
      </c>
      <c r="AE3434">
        <v>0</v>
      </c>
      <c r="AF3434">
        <v>0</v>
      </c>
      <c r="AK3434">
        <v>1</v>
      </c>
      <c r="AL3434">
        <v>5</v>
      </c>
      <c r="AM3434">
        <v>0</v>
      </c>
      <c r="AN3434">
        <v>1</v>
      </c>
      <c r="AO3434">
        <v>1</v>
      </c>
      <c r="AP3434">
        <v>2</v>
      </c>
      <c r="AQ3434">
        <v>0</v>
      </c>
      <c r="AR3434">
        <v>0</v>
      </c>
      <c r="AT3434">
        <v>0</v>
      </c>
      <c r="AU3434">
        <v>26</v>
      </c>
      <c r="AV3434">
        <v>442</v>
      </c>
      <c r="AW3434">
        <v>441</v>
      </c>
      <c r="AX3434">
        <v>584</v>
      </c>
      <c r="BA3434">
        <v>1</v>
      </c>
      <c r="BC3434" t="s">
        <v>6972</v>
      </c>
      <c r="BD3434" s="4">
        <v>43283.109027777777</v>
      </c>
      <c r="BE3434" s="4">
        <v>43283.149456018517</v>
      </c>
      <c r="BF3434" s="4">
        <v>43283.149456018517</v>
      </c>
      <c r="BG3434" t="s">
        <v>83</v>
      </c>
      <c r="BH3434" t="s">
        <v>84</v>
      </c>
      <c r="BI3434" t="s">
        <v>85</v>
      </c>
    </row>
    <row r="3435" spans="1:61" x14ac:dyDescent="0.3">
      <c r="A3435" t="str">
        <f>"201436C0100"</f>
        <v>201436C0100</v>
      </c>
      <c r="B3435" t="s">
        <v>6973</v>
      </c>
      <c r="C3435">
        <v>20</v>
      </c>
      <c r="D3435" t="s">
        <v>79</v>
      </c>
      <c r="E3435">
        <v>16</v>
      </c>
      <c r="F3435" t="s">
        <v>6725</v>
      </c>
      <c r="G3435">
        <v>1436</v>
      </c>
      <c r="H3435">
        <v>1</v>
      </c>
      <c r="I3435" t="s">
        <v>89</v>
      </c>
      <c r="J3435">
        <v>0</v>
      </c>
      <c r="K3435">
        <v>1</v>
      </c>
      <c r="L3435">
        <v>2</v>
      </c>
      <c r="M3435">
        <v>162</v>
      </c>
      <c r="N3435">
        <v>445</v>
      </c>
      <c r="O3435">
        <v>1</v>
      </c>
      <c r="P3435">
        <v>446</v>
      </c>
      <c r="Q3435">
        <v>33</v>
      </c>
      <c r="R3435">
        <v>162</v>
      </c>
      <c r="S3435">
        <v>37</v>
      </c>
      <c r="T3435">
        <v>8</v>
      </c>
      <c r="U3435">
        <v>34</v>
      </c>
      <c r="V3435">
        <v>5</v>
      </c>
      <c r="W3435">
        <v>2</v>
      </c>
      <c r="X3435">
        <v>3</v>
      </c>
      <c r="Y3435">
        <v>120</v>
      </c>
      <c r="Z3435">
        <v>4</v>
      </c>
      <c r="AA3435">
        <v>2</v>
      </c>
      <c r="AC3435">
        <v>0</v>
      </c>
      <c r="AD3435">
        <v>0</v>
      </c>
      <c r="AE3435">
        <v>0</v>
      </c>
      <c r="AF3435">
        <v>1</v>
      </c>
      <c r="AK3435">
        <v>4</v>
      </c>
      <c r="AL3435">
        <v>4</v>
      </c>
      <c r="AM3435">
        <v>0</v>
      </c>
      <c r="AN3435">
        <v>0</v>
      </c>
      <c r="AO3435">
        <v>1</v>
      </c>
      <c r="AP3435">
        <v>2</v>
      </c>
      <c r="AQ3435">
        <v>0</v>
      </c>
      <c r="AR3435">
        <v>0</v>
      </c>
      <c r="AT3435">
        <v>0</v>
      </c>
      <c r="AU3435">
        <v>25</v>
      </c>
      <c r="AV3435">
        <v>447</v>
      </c>
      <c r="AW3435">
        <v>447</v>
      </c>
      <c r="AX3435">
        <v>584</v>
      </c>
      <c r="BA3435">
        <v>1</v>
      </c>
      <c r="BC3435" t="s">
        <v>6974</v>
      </c>
      <c r="BD3435" s="4">
        <v>43283.109027777777</v>
      </c>
      <c r="BE3435" s="4">
        <v>43283.143171296295</v>
      </c>
      <c r="BF3435" s="4">
        <v>43283.143171296295</v>
      </c>
      <c r="BG3435" t="s">
        <v>83</v>
      </c>
      <c r="BH3435" t="s">
        <v>84</v>
      </c>
      <c r="BI3435" t="s">
        <v>85</v>
      </c>
    </row>
    <row r="3436" spans="1:61" x14ac:dyDescent="0.3">
      <c r="A3436" t="str">
        <f>"201452B0100"</f>
        <v>201452B0100</v>
      </c>
      <c r="B3436" t="s">
        <v>6975</v>
      </c>
      <c r="C3436">
        <v>20</v>
      </c>
      <c r="D3436" t="s">
        <v>79</v>
      </c>
      <c r="E3436">
        <v>16</v>
      </c>
      <c r="F3436" t="s">
        <v>6725</v>
      </c>
      <c r="G3436">
        <v>1452</v>
      </c>
      <c r="H3436">
        <v>1</v>
      </c>
      <c r="I3436" t="s">
        <v>81</v>
      </c>
      <c r="J3436">
        <v>0</v>
      </c>
      <c r="K3436">
        <v>2</v>
      </c>
      <c r="L3436">
        <v>2</v>
      </c>
      <c r="M3436">
        <v>270</v>
      </c>
      <c r="N3436">
        <v>271</v>
      </c>
      <c r="O3436">
        <v>2</v>
      </c>
      <c r="P3436">
        <v>271</v>
      </c>
      <c r="Q3436">
        <v>22</v>
      </c>
      <c r="R3436">
        <v>34</v>
      </c>
      <c r="S3436">
        <v>36</v>
      </c>
      <c r="T3436">
        <v>8</v>
      </c>
      <c r="U3436">
        <v>7</v>
      </c>
      <c r="V3436">
        <v>16</v>
      </c>
      <c r="W3436">
        <v>3</v>
      </c>
      <c r="X3436">
        <v>2</v>
      </c>
      <c r="Y3436">
        <v>119</v>
      </c>
      <c r="Z3436">
        <v>1</v>
      </c>
      <c r="AA3436">
        <v>3</v>
      </c>
      <c r="AC3436">
        <v>0</v>
      </c>
      <c r="AD3436">
        <v>1</v>
      </c>
      <c r="AE3436">
        <v>0</v>
      </c>
      <c r="AF3436">
        <v>0</v>
      </c>
      <c r="AK3436">
        <v>5</v>
      </c>
      <c r="AL3436">
        <v>2</v>
      </c>
      <c r="AM3436">
        <v>0</v>
      </c>
      <c r="AN3436">
        <v>0</v>
      </c>
      <c r="AO3436">
        <v>0</v>
      </c>
      <c r="AP3436">
        <v>0</v>
      </c>
      <c r="AQ3436">
        <v>0</v>
      </c>
      <c r="AR3436">
        <v>0</v>
      </c>
      <c r="AT3436">
        <v>0</v>
      </c>
      <c r="AU3436">
        <v>12</v>
      </c>
      <c r="AV3436">
        <v>271</v>
      </c>
      <c r="AW3436">
        <v>271</v>
      </c>
      <c r="AX3436">
        <v>519</v>
      </c>
      <c r="BA3436">
        <v>1</v>
      </c>
      <c r="BC3436" t="s">
        <v>6976</v>
      </c>
      <c r="BD3436" s="4">
        <v>43283.211111111108</v>
      </c>
      <c r="BE3436" s="4">
        <v>43283.266886574071</v>
      </c>
      <c r="BF3436" s="4">
        <v>43283.266886574071</v>
      </c>
      <c r="BG3436" t="s">
        <v>83</v>
      </c>
      <c r="BH3436" t="s">
        <v>84</v>
      </c>
      <c r="BI3436" t="s">
        <v>85</v>
      </c>
    </row>
    <row r="3437" spans="1:61" x14ac:dyDescent="0.3">
      <c r="A3437" t="str">
        <f>"201453B0100"</f>
        <v>201453B0100</v>
      </c>
      <c r="B3437" t="s">
        <v>6977</v>
      </c>
      <c r="C3437">
        <v>20</v>
      </c>
      <c r="D3437" t="s">
        <v>79</v>
      </c>
      <c r="E3437">
        <v>16</v>
      </c>
      <c r="F3437" t="s">
        <v>6725</v>
      </c>
      <c r="G3437">
        <v>1453</v>
      </c>
      <c r="H3437">
        <v>1</v>
      </c>
      <c r="I3437" t="s">
        <v>81</v>
      </c>
      <c r="J3437">
        <v>0</v>
      </c>
      <c r="K3437">
        <v>1</v>
      </c>
      <c r="L3437">
        <v>2</v>
      </c>
      <c r="M3437">
        <v>374</v>
      </c>
      <c r="N3437">
        <v>398</v>
      </c>
      <c r="O3437">
        <v>0</v>
      </c>
      <c r="P3437">
        <v>398</v>
      </c>
      <c r="Q3437">
        <v>30</v>
      </c>
      <c r="R3437">
        <v>41</v>
      </c>
      <c r="S3437">
        <v>64</v>
      </c>
      <c r="T3437">
        <v>8</v>
      </c>
      <c r="U3437">
        <v>19</v>
      </c>
      <c r="V3437">
        <v>16</v>
      </c>
      <c r="W3437">
        <v>3</v>
      </c>
      <c r="X3437">
        <v>1</v>
      </c>
      <c r="Y3437">
        <v>185</v>
      </c>
      <c r="Z3437">
        <v>6</v>
      </c>
      <c r="AA3437">
        <v>1</v>
      </c>
      <c r="AC3437">
        <v>2</v>
      </c>
      <c r="AD3437">
        <v>0</v>
      </c>
      <c r="AE3437">
        <v>0</v>
      </c>
      <c r="AF3437">
        <v>0</v>
      </c>
      <c r="AK3437">
        <v>3</v>
      </c>
      <c r="AL3437">
        <v>3</v>
      </c>
      <c r="AM3437">
        <v>0</v>
      </c>
      <c r="AN3437">
        <v>1</v>
      </c>
      <c r="AO3437">
        <v>0</v>
      </c>
      <c r="AP3437">
        <v>0</v>
      </c>
      <c r="AQ3437">
        <v>0</v>
      </c>
      <c r="AR3437">
        <v>0</v>
      </c>
      <c r="AT3437">
        <v>0</v>
      </c>
      <c r="AU3437">
        <v>15</v>
      </c>
      <c r="AV3437">
        <v>398</v>
      </c>
      <c r="AW3437">
        <v>398</v>
      </c>
      <c r="AX3437">
        <v>750</v>
      </c>
      <c r="BA3437">
        <v>1</v>
      </c>
      <c r="BC3437" t="s">
        <v>6978</v>
      </c>
      <c r="BD3437" s="4">
        <v>43283.211111111108</v>
      </c>
      <c r="BE3437" s="4">
        <v>43283.27008101852</v>
      </c>
      <c r="BF3437" s="4">
        <v>43283.27008101852</v>
      </c>
      <c r="BG3437" t="s">
        <v>83</v>
      </c>
      <c r="BH3437" t="s">
        <v>84</v>
      </c>
      <c r="BI3437" t="s">
        <v>85</v>
      </c>
    </row>
    <row r="3438" spans="1:61" x14ac:dyDescent="0.3">
      <c r="A3438" t="str">
        <f>"201494B0100"</f>
        <v>201494B0100</v>
      </c>
      <c r="B3438" t="s">
        <v>6979</v>
      </c>
      <c r="C3438">
        <v>20</v>
      </c>
      <c r="D3438" t="s">
        <v>79</v>
      </c>
      <c r="E3438">
        <v>16</v>
      </c>
      <c r="F3438" t="s">
        <v>6725</v>
      </c>
      <c r="G3438">
        <v>1494</v>
      </c>
      <c r="H3438">
        <v>1</v>
      </c>
      <c r="I3438" t="s">
        <v>81</v>
      </c>
      <c r="J3438">
        <v>0</v>
      </c>
      <c r="K3438">
        <v>1</v>
      </c>
      <c r="L3438">
        <v>2</v>
      </c>
      <c r="M3438">
        <v>333</v>
      </c>
      <c r="N3438">
        <v>0</v>
      </c>
      <c r="O3438">
        <v>0</v>
      </c>
      <c r="P3438" t="s">
        <v>100</v>
      </c>
      <c r="Q3438">
        <v>38</v>
      </c>
      <c r="R3438">
        <v>49</v>
      </c>
      <c r="S3438" t="s">
        <v>100</v>
      </c>
      <c r="T3438">
        <v>0</v>
      </c>
      <c r="U3438">
        <v>0</v>
      </c>
      <c r="V3438">
        <v>0</v>
      </c>
      <c r="W3438">
        <v>6</v>
      </c>
      <c r="X3438">
        <v>0</v>
      </c>
      <c r="Y3438">
        <v>182</v>
      </c>
      <c r="Z3438">
        <v>0</v>
      </c>
      <c r="AA3438">
        <v>2</v>
      </c>
      <c r="AC3438">
        <v>6</v>
      </c>
      <c r="AD3438">
        <v>0</v>
      </c>
      <c r="AE3438">
        <v>0</v>
      </c>
      <c r="AF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0</v>
      </c>
      <c r="AR3438">
        <v>0</v>
      </c>
      <c r="AT3438">
        <v>0</v>
      </c>
      <c r="AU3438">
        <v>0</v>
      </c>
      <c r="AV3438">
        <v>0</v>
      </c>
      <c r="AW3438">
        <v>283</v>
      </c>
      <c r="AX3438">
        <v>692</v>
      </c>
      <c r="AZ3438" t="s">
        <v>101</v>
      </c>
      <c r="BA3438">
        <v>1</v>
      </c>
      <c r="BC3438" t="s">
        <v>6980</v>
      </c>
      <c r="BD3438" s="4">
        <v>43283.273611111108</v>
      </c>
      <c r="BE3438" s="4">
        <v>43283.341284722221</v>
      </c>
      <c r="BF3438" s="4">
        <v>43283.341284722221</v>
      </c>
      <c r="BG3438" t="s">
        <v>83</v>
      </c>
      <c r="BH3438" t="s">
        <v>84</v>
      </c>
      <c r="BI3438" t="s">
        <v>85</v>
      </c>
    </row>
    <row r="3439" spans="1:61" x14ac:dyDescent="0.3">
      <c r="A3439" t="str">
        <f>"201494C0100"</f>
        <v>201494C0100</v>
      </c>
      <c r="B3439" t="s">
        <v>6981</v>
      </c>
      <c r="C3439">
        <v>20</v>
      </c>
      <c r="D3439" t="s">
        <v>79</v>
      </c>
      <c r="E3439">
        <v>16</v>
      </c>
      <c r="F3439" t="s">
        <v>6725</v>
      </c>
      <c r="G3439">
        <v>1494</v>
      </c>
      <c r="H3439">
        <v>1</v>
      </c>
      <c r="I3439" t="s">
        <v>89</v>
      </c>
      <c r="J3439">
        <v>0</v>
      </c>
      <c r="K3439">
        <v>1</v>
      </c>
      <c r="L3439">
        <v>2</v>
      </c>
      <c r="M3439">
        <v>345</v>
      </c>
      <c r="N3439">
        <v>370</v>
      </c>
      <c r="O3439">
        <v>0</v>
      </c>
      <c r="P3439">
        <v>0</v>
      </c>
      <c r="Q3439">
        <v>20</v>
      </c>
      <c r="R3439">
        <v>57</v>
      </c>
      <c r="S3439">
        <v>62</v>
      </c>
      <c r="T3439">
        <v>6</v>
      </c>
      <c r="U3439">
        <v>18</v>
      </c>
      <c r="V3439">
        <v>6</v>
      </c>
      <c r="W3439">
        <v>6</v>
      </c>
      <c r="X3439">
        <v>11</v>
      </c>
      <c r="Y3439">
        <v>125</v>
      </c>
      <c r="Z3439">
        <v>6</v>
      </c>
      <c r="AA3439">
        <v>1</v>
      </c>
      <c r="AC3439">
        <v>0</v>
      </c>
      <c r="AD3439">
        <v>0</v>
      </c>
      <c r="AE3439">
        <v>0</v>
      </c>
      <c r="AF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0</v>
      </c>
      <c r="AR3439">
        <v>0</v>
      </c>
      <c r="AT3439">
        <v>0</v>
      </c>
      <c r="AU3439">
        <v>35</v>
      </c>
      <c r="AV3439">
        <v>353</v>
      </c>
      <c r="AW3439">
        <v>353</v>
      </c>
      <c r="AX3439">
        <v>692</v>
      </c>
      <c r="BA3439">
        <v>1</v>
      </c>
      <c r="BC3439" t="s">
        <v>6982</v>
      </c>
      <c r="BD3439" s="4">
        <v>43283.273611111108</v>
      </c>
      <c r="BE3439" s="4">
        <v>43283.341886574075</v>
      </c>
      <c r="BF3439" s="4">
        <v>43283.341886574075</v>
      </c>
      <c r="BG3439" t="s">
        <v>83</v>
      </c>
      <c r="BH3439" t="s">
        <v>84</v>
      </c>
      <c r="BI3439" t="s">
        <v>85</v>
      </c>
    </row>
    <row r="3440" spans="1:61" x14ac:dyDescent="0.3">
      <c r="A3440" t="str">
        <f>"201639B0100"</f>
        <v>201639B0100</v>
      </c>
      <c r="B3440" t="s">
        <v>6983</v>
      </c>
      <c r="C3440">
        <v>20</v>
      </c>
      <c r="D3440" t="s">
        <v>79</v>
      </c>
      <c r="E3440">
        <v>16</v>
      </c>
      <c r="F3440" t="s">
        <v>6725</v>
      </c>
      <c r="G3440">
        <v>1639</v>
      </c>
      <c r="H3440">
        <v>1</v>
      </c>
      <c r="I3440" t="s">
        <v>81</v>
      </c>
      <c r="J3440">
        <v>0</v>
      </c>
      <c r="K3440">
        <v>2</v>
      </c>
      <c r="L3440">
        <v>2</v>
      </c>
      <c r="M3440">
        <v>189</v>
      </c>
      <c r="N3440">
        <v>337</v>
      </c>
      <c r="O3440">
        <v>0</v>
      </c>
      <c r="P3440">
        <v>337</v>
      </c>
      <c r="Q3440">
        <v>10</v>
      </c>
      <c r="R3440">
        <v>32</v>
      </c>
      <c r="S3440">
        <v>86</v>
      </c>
      <c r="T3440">
        <v>5</v>
      </c>
      <c r="U3440">
        <v>13</v>
      </c>
      <c r="V3440">
        <v>4</v>
      </c>
      <c r="W3440">
        <v>2</v>
      </c>
      <c r="X3440">
        <v>2</v>
      </c>
      <c r="Y3440">
        <v>168</v>
      </c>
      <c r="Z3440">
        <v>2</v>
      </c>
      <c r="AA3440">
        <v>0</v>
      </c>
      <c r="AC3440">
        <v>0</v>
      </c>
      <c r="AD3440">
        <v>0</v>
      </c>
      <c r="AE3440">
        <v>0</v>
      </c>
      <c r="AF3440">
        <v>0</v>
      </c>
      <c r="AK3440">
        <v>2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0</v>
      </c>
      <c r="AR3440">
        <v>0</v>
      </c>
      <c r="AT3440">
        <v>0</v>
      </c>
      <c r="AU3440">
        <v>11</v>
      </c>
      <c r="AV3440">
        <v>337</v>
      </c>
      <c r="AW3440">
        <v>337</v>
      </c>
      <c r="AX3440">
        <v>504</v>
      </c>
      <c r="BA3440">
        <v>1</v>
      </c>
      <c r="BC3440" t="s">
        <v>6984</v>
      </c>
      <c r="BD3440" s="4">
        <v>43283.144444444442</v>
      </c>
      <c r="BE3440" s="4">
        <v>43283.62835648148</v>
      </c>
      <c r="BF3440" s="4">
        <v>43283.62835648148</v>
      </c>
      <c r="BG3440" t="s">
        <v>83</v>
      </c>
      <c r="BH3440" t="s">
        <v>84</v>
      </c>
      <c r="BI3440" t="s">
        <v>85</v>
      </c>
    </row>
    <row r="3441" spans="1:61" x14ac:dyDescent="0.3">
      <c r="A3441" t="str">
        <f>"201639C0100"</f>
        <v>201639C0100</v>
      </c>
      <c r="B3441" t="s">
        <v>6985</v>
      </c>
      <c r="C3441">
        <v>20</v>
      </c>
      <c r="D3441" t="s">
        <v>79</v>
      </c>
      <c r="E3441">
        <v>16</v>
      </c>
      <c r="F3441" t="s">
        <v>6725</v>
      </c>
      <c r="G3441">
        <v>1639</v>
      </c>
      <c r="H3441">
        <v>1</v>
      </c>
      <c r="I3441" t="s">
        <v>89</v>
      </c>
      <c r="J3441">
        <v>0</v>
      </c>
      <c r="K3441">
        <v>2</v>
      </c>
      <c r="L3441">
        <v>2</v>
      </c>
      <c r="M3441">
        <v>232</v>
      </c>
      <c r="N3441">
        <v>294</v>
      </c>
      <c r="O3441">
        <v>0</v>
      </c>
      <c r="P3441">
        <v>294</v>
      </c>
      <c r="Q3441">
        <v>15</v>
      </c>
      <c r="R3441">
        <v>30</v>
      </c>
      <c r="S3441">
        <v>72</v>
      </c>
      <c r="T3441">
        <v>7</v>
      </c>
      <c r="U3441">
        <v>7</v>
      </c>
      <c r="V3441">
        <v>7</v>
      </c>
      <c r="W3441">
        <v>4</v>
      </c>
      <c r="X3441">
        <v>2</v>
      </c>
      <c r="Y3441">
        <v>125</v>
      </c>
      <c r="Z3441">
        <v>5</v>
      </c>
      <c r="AA3441">
        <v>1</v>
      </c>
      <c r="AC3441">
        <v>0</v>
      </c>
      <c r="AD3441">
        <v>1</v>
      </c>
      <c r="AE3441">
        <v>0</v>
      </c>
      <c r="AF3441">
        <v>0</v>
      </c>
      <c r="AK3441">
        <v>3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0</v>
      </c>
      <c r="AR3441">
        <v>0</v>
      </c>
      <c r="AT3441">
        <v>0</v>
      </c>
      <c r="AU3441">
        <v>19</v>
      </c>
      <c r="AV3441">
        <v>294</v>
      </c>
      <c r="AW3441">
        <v>298</v>
      </c>
      <c r="AX3441">
        <v>504</v>
      </c>
      <c r="BA3441">
        <v>1</v>
      </c>
      <c r="BC3441" t="s">
        <v>6986</v>
      </c>
      <c r="BD3441" s="4">
        <v>43283.144444444442</v>
      </c>
      <c r="BE3441" s="4">
        <v>43283.214861111112</v>
      </c>
      <c r="BF3441" s="4">
        <v>43283.214861111112</v>
      </c>
      <c r="BG3441" t="s">
        <v>83</v>
      </c>
      <c r="BH3441" t="s">
        <v>84</v>
      </c>
      <c r="BI3441" t="s">
        <v>85</v>
      </c>
    </row>
    <row r="3442" spans="1:61" x14ac:dyDescent="0.3">
      <c r="A3442" t="str">
        <f>"201639E0100"</f>
        <v>201639E0100</v>
      </c>
      <c r="B3442" s="2" t="s">
        <v>6987</v>
      </c>
      <c r="C3442">
        <v>20</v>
      </c>
      <c r="D3442" t="s">
        <v>79</v>
      </c>
      <c r="E3442">
        <v>16</v>
      </c>
      <c r="F3442" t="s">
        <v>6725</v>
      </c>
      <c r="G3442">
        <v>1639</v>
      </c>
      <c r="H3442">
        <v>1</v>
      </c>
      <c r="I3442" t="s">
        <v>145</v>
      </c>
      <c r="J3442">
        <v>0</v>
      </c>
      <c r="K3442">
        <v>2</v>
      </c>
      <c r="L3442">
        <v>2</v>
      </c>
      <c r="M3442">
        <v>232</v>
      </c>
      <c r="N3442">
        <v>297</v>
      </c>
      <c r="O3442">
        <v>6</v>
      </c>
      <c r="P3442">
        <v>297</v>
      </c>
      <c r="Q3442">
        <v>5</v>
      </c>
      <c r="R3442">
        <v>27</v>
      </c>
      <c r="S3442">
        <v>53</v>
      </c>
      <c r="T3442">
        <v>22</v>
      </c>
      <c r="U3442">
        <v>29</v>
      </c>
      <c r="V3442">
        <v>8</v>
      </c>
      <c r="W3442">
        <v>9</v>
      </c>
      <c r="X3442">
        <v>11</v>
      </c>
      <c r="Y3442">
        <v>106</v>
      </c>
      <c r="Z3442">
        <v>11</v>
      </c>
      <c r="AA3442">
        <v>0</v>
      </c>
      <c r="AC3442">
        <v>0</v>
      </c>
      <c r="AD3442">
        <v>0</v>
      </c>
      <c r="AE3442">
        <v>0</v>
      </c>
      <c r="AF3442">
        <v>0</v>
      </c>
      <c r="AK3442">
        <v>1</v>
      </c>
      <c r="AL3442">
        <v>1</v>
      </c>
      <c r="AM3442">
        <v>0</v>
      </c>
      <c r="AN3442">
        <v>1</v>
      </c>
      <c r="AO3442">
        <v>0</v>
      </c>
      <c r="AP3442">
        <v>0</v>
      </c>
      <c r="AQ3442">
        <v>0</v>
      </c>
      <c r="AR3442">
        <v>0</v>
      </c>
      <c r="AT3442">
        <v>0</v>
      </c>
      <c r="AU3442">
        <v>0</v>
      </c>
      <c r="AV3442">
        <v>297</v>
      </c>
      <c r="AW3442">
        <v>284</v>
      </c>
      <c r="AX3442">
        <v>510</v>
      </c>
      <c r="BA3442">
        <v>1</v>
      </c>
      <c r="BC3442" t="s">
        <v>6988</v>
      </c>
      <c r="BD3442" s="4">
        <v>43283.215277777781</v>
      </c>
      <c r="BE3442" s="4">
        <v>43283.270196759258</v>
      </c>
      <c r="BF3442" s="4">
        <v>43283.270196759258</v>
      </c>
      <c r="BG3442" t="s">
        <v>83</v>
      </c>
      <c r="BH3442" t="s">
        <v>84</v>
      </c>
      <c r="BI3442" t="s">
        <v>85</v>
      </c>
    </row>
    <row r="3443" spans="1:61" x14ac:dyDescent="0.3">
      <c r="A3443" t="str">
        <f>"201639E0101"</f>
        <v>201639E0101</v>
      </c>
      <c r="B3443" s="2" t="s">
        <v>6989</v>
      </c>
      <c r="C3443">
        <v>20</v>
      </c>
      <c r="D3443" t="s">
        <v>79</v>
      </c>
      <c r="E3443">
        <v>16</v>
      </c>
      <c r="F3443" t="s">
        <v>6725</v>
      </c>
      <c r="G3443">
        <v>1639</v>
      </c>
      <c r="H3443">
        <v>1</v>
      </c>
      <c r="I3443" t="s">
        <v>145</v>
      </c>
      <c r="J3443">
        <v>1</v>
      </c>
      <c r="K3443">
        <v>2</v>
      </c>
      <c r="L3443">
        <v>2</v>
      </c>
      <c r="M3443">
        <v>257</v>
      </c>
      <c r="N3443">
        <v>274</v>
      </c>
      <c r="O3443">
        <v>1</v>
      </c>
      <c r="P3443">
        <v>274</v>
      </c>
      <c r="Q3443">
        <v>13</v>
      </c>
      <c r="R3443">
        <v>27</v>
      </c>
      <c r="S3443">
        <v>37</v>
      </c>
      <c r="T3443">
        <v>2</v>
      </c>
      <c r="U3443">
        <v>23</v>
      </c>
      <c r="V3443">
        <v>5</v>
      </c>
      <c r="W3443">
        <v>9</v>
      </c>
      <c r="X3443">
        <v>4</v>
      </c>
      <c r="Y3443">
        <v>134</v>
      </c>
      <c r="Z3443">
        <v>3</v>
      </c>
      <c r="AA3443">
        <v>1</v>
      </c>
      <c r="AC3443">
        <v>0</v>
      </c>
      <c r="AD3443">
        <v>0</v>
      </c>
      <c r="AE3443">
        <v>0</v>
      </c>
      <c r="AF3443">
        <v>0</v>
      </c>
      <c r="AK3443">
        <v>1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0</v>
      </c>
      <c r="AR3443">
        <v>0</v>
      </c>
      <c r="AT3443">
        <v>0</v>
      </c>
      <c r="AU3443">
        <v>15</v>
      </c>
      <c r="AV3443">
        <v>274</v>
      </c>
      <c r="AW3443">
        <v>274</v>
      </c>
      <c r="AX3443">
        <v>509</v>
      </c>
      <c r="BA3443">
        <v>1</v>
      </c>
      <c r="BC3443" t="s">
        <v>6990</v>
      </c>
      <c r="BD3443" s="4">
        <v>43283.215277777781</v>
      </c>
      <c r="BE3443" s="4">
        <v>43283.264884259261</v>
      </c>
      <c r="BF3443" s="4">
        <v>43283.264884259261</v>
      </c>
      <c r="BG3443" t="s">
        <v>83</v>
      </c>
      <c r="BH3443" t="s">
        <v>84</v>
      </c>
      <c r="BI3443" t="s">
        <v>85</v>
      </c>
    </row>
    <row r="3444" spans="1:61" x14ac:dyDescent="0.3">
      <c r="A3444" t="str">
        <f>"201647B0100"</f>
        <v>201647B0100</v>
      </c>
      <c r="B3444" t="s">
        <v>6991</v>
      </c>
      <c r="C3444">
        <v>20</v>
      </c>
      <c r="D3444" t="s">
        <v>79</v>
      </c>
      <c r="E3444">
        <v>16</v>
      </c>
      <c r="F3444" t="s">
        <v>6725</v>
      </c>
      <c r="G3444">
        <v>1647</v>
      </c>
      <c r="H3444">
        <v>1</v>
      </c>
      <c r="I3444" t="s">
        <v>81</v>
      </c>
      <c r="J3444">
        <v>0</v>
      </c>
      <c r="K3444">
        <v>2</v>
      </c>
      <c r="L3444">
        <v>2</v>
      </c>
      <c r="M3444">
        <v>198</v>
      </c>
      <c r="N3444">
        <v>307</v>
      </c>
      <c r="O3444">
        <v>0</v>
      </c>
      <c r="P3444">
        <v>0</v>
      </c>
      <c r="Q3444">
        <v>85</v>
      </c>
      <c r="R3444">
        <v>31</v>
      </c>
      <c r="S3444">
        <v>12</v>
      </c>
      <c r="T3444">
        <v>0</v>
      </c>
      <c r="U3444">
        <v>7</v>
      </c>
      <c r="V3444">
        <v>2</v>
      </c>
      <c r="W3444">
        <v>2</v>
      </c>
      <c r="X3444">
        <v>2</v>
      </c>
      <c r="Y3444">
        <v>130</v>
      </c>
      <c r="Z3444">
        <v>9</v>
      </c>
      <c r="AA3444">
        <v>2</v>
      </c>
      <c r="AC3444">
        <v>2</v>
      </c>
      <c r="AD3444">
        <v>3</v>
      </c>
      <c r="AE3444">
        <v>0</v>
      </c>
      <c r="AF3444">
        <v>0</v>
      </c>
      <c r="AK3444">
        <v>2</v>
      </c>
      <c r="AL3444">
        <v>3</v>
      </c>
      <c r="AM3444">
        <v>0</v>
      </c>
      <c r="AN3444">
        <v>2</v>
      </c>
      <c r="AO3444">
        <v>0</v>
      </c>
      <c r="AP3444">
        <v>1</v>
      </c>
      <c r="AQ3444">
        <v>0</v>
      </c>
      <c r="AR3444">
        <v>0</v>
      </c>
      <c r="AT3444">
        <v>0</v>
      </c>
      <c r="AU3444">
        <v>12</v>
      </c>
      <c r="AV3444">
        <v>307</v>
      </c>
      <c r="AW3444">
        <v>307</v>
      </c>
      <c r="AX3444">
        <v>483</v>
      </c>
      <c r="BA3444">
        <v>1</v>
      </c>
      <c r="BC3444" t="s">
        <v>6992</v>
      </c>
      <c r="BD3444" s="4">
        <v>43283.020138888889</v>
      </c>
      <c r="BE3444" s="4">
        <v>43283.029282407406</v>
      </c>
      <c r="BF3444" s="4">
        <v>43283.029282407406</v>
      </c>
      <c r="BG3444" t="s">
        <v>83</v>
      </c>
      <c r="BH3444" t="s">
        <v>84</v>
      </c>
      <c r="BI3444" t="s">
        <v>85</v>
      </c>
    </row>
    <row r="3445" spans="1:61" x14ac:dyDescent="0.3">
      <c r="A3445" t="str">
        <f>"201647C0100"</f>
        <v>201647C0100</v>
      </c>
      <c r="B3445" t="s">
        <v>6993</v>
      </c>
      <c r="C3445">
        <v>20</v>
      </c>
      <c r="D3445" t="s">
        <v>79</v>
      </c>
      <c r="E3445">
        <v>16</v>
      </c>
      <c r="F3445" t="s">
        <v>6725</v>
      </c>
      <c r="G3445">
        <v>1647</v>
      </c>
      <c r="H3445">
        <v>1</v>
      </c>
      <c r="I3445" t="s">
        <v>89</v>
      </c>
      <c r="J3445">
        <v>0</v>
      </c>
      <c r="K3445">
        <v>2</v>
      </c>
      <c r="L3445">
        <v>2</v>
      </c>
      <c r="M3445">
        <v>181</v>
      </c>
      <c r="N3445">
        <v>324</v>
      </c>
      <c r="O3445">
        <v>0</v>
      </c>
      <c r="P3445">
        <v>324</v>
      </c>
      <c r="Q3445">
        <v>92</v>
      </c>
      <c r="R3445">
        <v>38</v>
      </c>
      <c r="S3445">
        <v>9</v>
      </c>
      <c r="T3445">
        <v>2</v>
      </c>
      <c r="U3445">
        <v>4</v>
      </c>
      <c r="V3445">
        <v>4</v>
      </c>
      <c r="W3445">
        <v>0</v>
      </c>
      <c r="X3445">
        <v>4</v>
      </c>
      <c r="Y3445">
        <v>134</v>
      </c>
      <c r="Z3445">
        <v>3</v>
      </c>
      <c r="AA3445">
        <v>0</v>
      </c>
      <c r="AC3445">
        <v>1</v>
      </c>
      <c r="AD3445">
        <v>0</v>
      </c>
      <c r="AE3445">
        <v>1</v>
      </c>
      <c r="AF3445">
        <v>1</v>
      </c>
      <c r="AK3445">
        <v>7</v>
      </c>
      <c r="AL3445">
        <v>3</v>
      </c>
      <c r="AM3445">
        <v>1</v>
      </c>
      <c r="AN3445">
        <v>1</v>
      </c>
      <c r="AO3445">
        <v>1</v>
      </c>
      <c r="AP3445">
        <v>2</v>
      </c>
      <c r="AQ3445">
        <v>1</v>
      </c>
      <c r="AR3445">
        <v>0</v>
      </c>
      <c r="AT3445">
        <v>0</v>
      </c>
      <c r="AU3445">
        <v>16</v>
      </c>
      <c r="AV3445">
        <v>324</v>
      </c>
      <c r="AW3445">
        <v>325</v>
      </c>
      <c r="AX3445">
        <v>483</v>
      </c>
      <c r="BA3445">
        <v>1</v>
      </c>
      <c r="BC3445" t="s">
        <v>6994</v>
      </c>
      <c r="BD3445" s="4">
        <v>43283.020138888889</v>
      </c>
      <c r="BE3445" s="4">
        <v>43283.034849537034</v>
      </c>
      <c r="BF3445" s="4">
        <v>43283.034849537034</v>
      </c>
      <c r="BG3445" t="s">
        <v>83</v>
      </c>
      <c r="BH3445" t="s">
        <v>84</v>
      </c>
      <c r="BI3445" t="s">
        <v>85</v>
      </c>
    </row>
    <row r="3446" spans="1:61" x14ac:dyDescent="0.3">
      <c r="A3446" t="str">
        <f>"201648B0100"</f>
        <v>201648B0100</v>
      </c>
      <c r="B3446" t="s">
        <v>6995</v>
      </c>
      <c r="C3446">
        <v>20</v>
      </c>
      <c r="D3446" t="s">
        <v>79</v>
      </c>
      <c r="E3446">
        <v>16</v>
      </c>
      <c r="F3446" t="s">
        <v>6725</v>
      </c>
      <c r="G3446">
        <v>1648</v>
      </c>
      <c r="H3446">
        <v>1</v>
      </c>
      <c r="I3446" t="s">
        <v>81</v>
      </c>
      <c r="J3446">
        <v>0</v>
      </c>
      <c r="K3446">
        <v>2</v>
      </c>
      <c r="L3446">
        <v>2</v>
      </c>
      <c r="M3446">
        <v>343</v>
      </c>
      <c r="N3446">
        <v>371</v>
      </c>
      <c r="O3446">
        <v>0</v>
      </c>
      <c r="P3446">
        <v>370</v>
      </c>
      <c r="Q3446">
        <v>116</v>
      </c>
      <c r="R3446">
        <v>23</v>
      </c>
      <c r="S3446">
        <v>39</v>
      </c>
      <c r="T3446">
        <v>3</v>
      </c>
      <c r="U3446">
        <v>15</v>
      </c>
      <c r="V3446">
        <v>6</v>
      </c>
      <c r="W3446">
        <v>5</v>
      </c>
      <c r="X3446">
        <v>5</v>
      </c>
      <c r="Y3446">
        <v>115</v>
      </c>
      <c r="Z3446">
        <v>4</v>
      </c>
      <c r="AA3446">
        <v>1</v>
      </c>
      <c r="AC3446">
        <v>2</v>
      </c>
      <c r="AD3446">
        <v>6</v>
      </c>
      <c r="AE3446">
        <v>0</v>
      </c>
      <c r="AF3446">
        <v>0</v>
      </c>
      <c r="AK3446">
        <v>7</v>
      </c>
      <c r="AL3446">
        <v>1</v>
      </c>
      <c r="AM3446">
        <v>1</v>
      </c>
      <c r="AN3446">
        <v>0</v>
      </c>
      <c r="AO3446">
        <v>0</v>
      </c>
      <c r="AP3446">
        <v>1</v>
      </c>
      <c r="AQ3446">
        <v>0</v>
      </c>
      <c r="AR3446">
        <v>0</v>
      </c>
      <c r="AT3446">
        <v>0</v>
      </c>
      <c r="AU3446">
        <v>19</v>
      </c>
      <c r="AV3446">
        <v>370</v>
      </c>
      <c r="AW3446">
        <v>369</v>
      </c>
      <c r="AX3446">
        <v>691</v>
      </c>
      <c r="BA3446">
        <v>1</v>
      </c>
      <c r="BC3446" t="s">
        <v>6996</v>
      </c>
      <c r="BD3446" s="4">
        <v>43283.064583333333</v>
      </c>
      <c r="BE3446" s="4">
        <v>43283.073240740741</v>
      </c>
      <c r="BF3446" s="4">
        <v>43283.073240740741</v>
      </c>
      <c r="BG3446" t="s">
        <v>83</v>
      </c>
      <c r="BH3446" t="s">
        <v>84</v>
      </c>
      <c r="BI3446" t="s">
        <v>85</v>
      </c>
    </row>
    <row r="3447" spans="1:61" x14ac:dyDescent="0.3">
      <c r="A3447" t="str">
        <f>"201650B0100"</f>
        <v>201650B0100</v>
      </c>
      <c r="B3447" t="s">
        <v>6997</v>
      </c>
      <c r="C3447">
        <v>20</v>
      </c>
      <c r="D3447" t="s">
        <v>79</v>
      </c>
      <c r="E3447">
        <v>16</v>
      </c>
      <c r="F3447" t="s">
        <v>6725</v>
      </c>
      <c r="G3447">
        <v>1650</v>
      </c>
      <c r="H3447">
        <v>1</v>
      </c>
      <c r="I3447" t="s">
        <v>81</v>
      </c>
      <c r="J3447">
        <v>0</v>
      </c>
      <c r="K3447">
        <v>2</v>
      </c>
      <c r="L3447">
        <v>2</v>
      </c>
      <c r="M3447">
        <v>221</v>
      </c>
      <c r="N3447">
        <v>522</v>
      </c>
      <c r="O3447">
        <v>0</v>
      </c>
      <c r="P3447">
        <v>523</v>
      </c>
      <c r="Q3447">
        <v>9</v>
      </c>
      <c r="R3447">
        <v>55</v>
      </c>
      <c r="S3447">
        <v>205</v>
      </c>
      <c r="T3447">
        <v>4</v>
      </c>
      <c r="U3447">
        <v>15</v>
      </c>
      <c r="V3447">
        <v>6</v>
      </c>
      <c r="W3447">
        <v>2</v>
      </c>
      <c r="X3447">
        <v>106</v>
      </c>
      <c r="Y3447">
        <v>63</v>
      </c>
      <c r="Z3447">
        <v>7</v>
      </c>
      <c r="AA3447">
        <v>0</v>
      </c>
      <c r="AC3447">
        <v>0</v>
      </c>
      <c r="AD3447">
        <v>2</v>
      </c>
      <c r="AE3447">
        <v>0</v>
      </c>
      <c r="AF3447">
        <v>1</v>
      </c>
      <c r="AK3447">
        <v>1</v>
      </c>
      <c r="AL3447">
        <v>0</v>
      </c>
      <c r="AM3447">
        <v>0</v>
      </c>
      <c r="AN3447">
        <v>2</v>
      </c>
      <c r="AO3447">
        <v>4</v>
      </c>
      <c r="AP3447">
        <v>1</v>
      </c>
      <c r="AQ3447">
        <v>2</v>
      </c>
      <c r="AR3447">
        <v>0</v>
      </c>
      <c r="AT3447">
        <v>0</v>
      </c>
      <c r="AU3447">
        <v>38</v>
      </c>
      <c r="AV3447">
        <v>523</v>
      </c>
      <c r="AW3447">
        <v>523</v>
      </c>
      <c r="AX3447">
        <v>722</v>
      </c>
      <c r="BA3447">
        <v>1</v>
      </c>
      <c r="BC3447" t="s">
        <v>6998</v>
      </c>
      <c r="BD3447" s="4">
        <v>43283.228472222225</v>
      </c>
      <c r="BE3447" s="4">
        <v>43283.292025462964</v>
      </c>
      <c r="BF3447" s="4">
        <v>43283.292025462964</v>
      </c>
      <c r="BG3447" t="s">
        <v>83</v>
      </c>
      <c r="BH3447" t="s">
        <v>84</v>
      </c>
      <c r="BI3447" t="s">
        <v>85</v>
      </c>
    </row>
    <row r="3448" spans="1:61" x14ac:dyDescent="0.3">
      <c r="A3448" t="str">
        <f>"201650C0100"</f>
        <v>201650C0100</v>
      </c>
      <c r="B3448" t="s">
        <v>6999</v>
      </c>
      <c r="C3448">
        <v>20</v>
      </c>
      <c r="D3448" t="s">
        <v>79</v>
      </c>
      <c r="E3448">
        <v>16</v>
      </c>
      <c r="F3448" t="s">
        <v>6725</v>
      </c>
      <c r="G3448">
        <v>1650</v>
      </c>
      <c r="H3448">
        <v>1</v>
      </c>
      <c r="I3448" t="s">
        <v>89</v>
      </c>
      <c r="J3448">
        <v>0</v>
      </c>
      <c r="K3448">
        <v>2</v>
      </c>
      <c r="L3448">
        <v>2</v>
      </c>
      <c r="M3448">
        <v>227</v>
      </c>
      <c r="N3448">
        <v>10</v>
      </c>
      <c r="O3448">
        <v>10</v>
      </c>
      <c r="P3448">
        <v>505</v>
      </c>
      <c r="Q3448">
        <v>14</v>
      </c>
      <c r="R3448">
        <v>31</v>
      </c>
      <c r="S3448">
        <v>226</v>
      </c>
      <c r="T3448">
        <v>7</v>
      </c>
      <c r="U3448">
        <v>20</v>
      </c>
      <c r="V3448">
        <v>6</v>
      </c>
      <c r="W3448">
        <v>4</v>
      </c>
      <c r="X3448">
        <v>69</v>
      </c>
      <c r="Y3448">
        <v>89</v>
      </c>
      <c r="Z3448">
        <v>5</v>
      </c>
      <c r="AA3448">
        <v>0</v>
      </c>
      <c r="AC3448">
        <v>0</v>
      </c>
      <c r="AD3448">
        <v>4</v>
      </c>
      <c r="AE3448">
        <v>2</v>
      </c>
      <c r="AF3448">
        <v>3</v>
      </c>
      <c r="AK3448">
        <v>3</v>
      </c>
      <c r="AL3448">
        <v>1</v>
      </c>
      <c r="AM3448">
        <v>0</v>
      </c>
      <c r="AN3448">
        <v>0</v>
      </c>
      <c r="AO3448">
        <v>2</v>
      </c>
      <c r="AP3448">
        <v>0</v>
      </c>
      <c r="AQ3448">
        <v>1</v>
      </c>
      <c r="AR3448">
        <v>0</v>
      </c>
      <c r="AT3448">
        <v>1</v>
      </c>
      <c r="AU3448">
        <v>27</v>
      </c>
      <c r="AV3448">
        <v>515</v>
      </c>
      <c r="AW3448">
        <v>515</v>
      </c>
      <c r="AX3448">
        <v>722</v>
      </c>
      <c r="BA3448">
        <v>1</v>
      </c>
      <c r="BC3448" t="s">
        <v>7000</v>
      </c>
      <c r="BD3448" s="4">
        <v>43283.228472222225</v>
      </c>
      <c r="BE3448" s="4">
        <v>43283.288969907408</v>
      </c>
      <c r="BF3448" s="4">
        <v>43283.288969907408</v>
      </c>
      <c r="BG3448" t="s">
        <v>83</v>
      </c>
      <c r="BH3448" t="s">
        <v>84</v>
      </c>
      <c r="BI3448" t="s">
        <v>85</v>
      </c>
    </row>
    <row r="3449" spans="1:61" x14ac:dyDescent="0.3">
      <c r="A3449" t="str">
        <f>"201650E0100"</f>
        <v>201650E0100</v>
      </c>
      <c r="B3449" s="2" t="s">
        <v>7001</v>
      </c>
      <c r="C3449">
        <v>20</v>
      </c>
      <c r="D3449" t="s">
        <v>79</v>
      </c>
      <c r="E3449">
        <v>16</v>
      </c>
      <c r="F3449" t="s">
        <v>6725</v>
      </c>
      <c r="G3449">
        <v>1650</v>
      </c>
      <c r="H3449">
        <v>1</v>
      </c>
      <c r="I3449" t="s">
        <v>145</v>
      </c>
      <c r="J3449">
        <v>0</v>
      </c>
      <c r="K3449">
        <v>2</v>
      </c>
      <c r="L3449">
        <v>2</v>
      </c>
      <c r="M3449">
        <v>88</v>
      </c>
      <c r="N3449">
        <v>199</v>
      </c>
      <c r="O3449">
        <v>6</v>
      </c>
      <c r="P3449">
        <v>199</v>
      </c>
      <c r="Q3449">
        <v>6</v>
      </c>
      <c r="R3449">
        <v>11</v>
      </c>
      <c r="S3449">
        <v>96</v>
      </c>
      <c r="T3449">
        <v>2</v>
      </c>
      <c r="U3449">
        <v>6</v>
      </c>
      <c r="V3449">
        <v>4</v>
      </c>
      <c r="W3449">
        <v>2</v>
      </c>
      <c r="X3449">
        <v>21</v>
      </c>
      <c r="Y3449">
        <v>38</v>
      </c>
      <c r="Z3449">
        <v>3</v>
      </c>
      <c r="AA3449">
        <v>0</v>
      </c>
      <c r="AC3449">
        <v>0</v>
      </c>
      <c r="AD3449">
        <v>2</v>
      </c>
      <c r="AE3449">
        <v>0</v>
      </c>
      <c r="AF3449">
        <v>1</v>
      </c>
      <c r="AK3449">
        <v>2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0</v>
      </c>
      <c r="AR3449">
        <v>0</v>
      </c>
      <c r="AT3449">
        <v>0</v>
      </c>
      <c r="AU3449">
        <v>5</v>
      </c>
      <c r="AV3449">
        <v>199</v>
      </c>
      <c r="AW3449">
        <v>199</v>
      </c>
      <c r="AX3449">
        <v>265</v>
      </c>
      <c r="BA3449">
        <v>1</v>
      </c>
      <c r="BC3449" t="s">
        <v>7002</v>
      </c>
      <c r="BD3449" s="4">
        <v>43283.228472222225</v>
      </c>
      <c r="BE3449" s="4">
        <v>43283.28564814815</v>
      </c>
      <c r="BF3449" s="4">
        <v>43283.28564814815</v>
      </c>
      <c r="BG3449" t="s">
        <v>83</v>
      </c>
      <c r="BH3449" t="s">
        <v>84</v>
      </c>
      <c r="BI3449" t="s">
        <v>85</v>
      </c>
    </row>
    <row r="3450" spans="1:61" x14ac:dyDescent="0.3">
      <c r="A3450" t="str">
        <f>"201651B0100"</f>
        <v>201651B0100</v>
      </c>
      <c r="B3450" t="s">
        <v>7003</v>
      </c>
      <c r="C3450">
        <v>20</v>
      </c>
      <c r="D3450" t="s">
        <v>79</v>
      </c>
      <c r="E3450">
        <v>16</v>
      </c>
      <c r="F3450" t="s">
        <v>6725</v>
      </c>
      <c r="G3450">
        <v>1651</v>
      </c>
      <c r="H3450">
        <v>1</v>
      </c>
      <c r="I3450" t="s">
        <v>81</v>
      </c>
      <c r="J3450">
        <v>0</v>
      </c>
      <c r="K3450">
        <v>2</v>
      </c>
      <c r="L3450">
        <v>2</v>
      </c>
      <c r="M3450">
        <v>165</v>
      </c>
      <c r="N3450">
        <v>467</v>
      </c>
      <c r="O3450">
        <v>3</v>
      </c>
      <c r="P3450">
        <v>468</v>
      </c>
      <c r="Q3450">
        <v>11</v>
      </c>
      <c r="R3450">
        <v>33</v>
      </c>
      <c r="S3450">
        <v>241</v>
      </c>
      <c r="T3450">
        <v>8</v>
      </c>
      <c r="U3450">
        <v>5</v>
      </c>
      <c r="V3450">
        <v>0</v>
      </c>
      <c r="W3450">
        <v>0</v>
      </c>
      <c r="X3450">
        <v>136</v>
      </c>
      <c r="Y3450">
        <v>37</v>
      </c>
      <c r="Z3450">
        <v>2</v>
      </c>
      <c r="AA3450">
        <v>0</v>
      </c>
      <c r="AC3450">
        <v>0</v>
      </c>
      <c r="AD3450">
        <v>1</v>
      </c>
      <c r="AE3450">
        <v>0</v>
      </c>
      <c r="AF3450">
        <v>1</v>
      </c>
      <c r="AK3450">
        <v>1</v>
      </c>
      <c r="AL3450">
        <v>1</v>
      </c>
      <c r="AM3450">
        <v>0</v>
      </c>
      <c r="AN3450">
        <v>0</v>
      </c>
      <c r="AO3450">
        <v>0</v>
      </c>
      <c r="AP3450">
        <v>0</v>
      </c>
      <c r="AQ3450">
        <v>0</v>
      </c>
      <c r="AR3450">
        <v>2</v>
      </c>
      <c r="AT3450">
        <v>19</v>
      </c>
      <c r="AU3450" t="s">
        <v>100</v>
      </c>
      <c r="AV3450">
        <v>468</v>
      </c>
      <c r="AW3450">
        <v>498</v>
      </c>
      <c r="AX3450">
        <v>612</v>
      </c>
      <c r="AZ3450" t="s">
        <v>101</v>
      </c>
      <c r="BA3450">
        <v>1</v>
      </c>
      <c r="BC3450" s="2" t="s">
        <v>7004</v>
      </c>
      <c r="BD3450" s="4">
        <v>43283.212500000001</v>
      </c>
      <c r="BE3450" s="4">
        <v>43283.239004629628</v>
      </c>
      <c r="BF3450" s="4">
        <v>43283.239004629628</v>
      </c>
      <c r="BG3450" t="s">
        <v>83</v>
      </c>
      <c r="BH3450" t="s">
        <v>84</v>
      </c>
      <c r="BI3450" t="s">
        <v>85</v>
      </c>
    </row>
    <row r="3451" spans="1:61" x14ac:dyDescent="0.3">
      <c r="A3451" t="str">
        <f>"201651C0100"</f>
        <v>201651C0100</v>
      </c>
      <c r="B3451" t="s">
        <v>7005</v>
      </c>
      <c r="C3451">
        <v>20</v>
      </c>
      <c r="D3451" t="s">
        <v>79</v>
      </c>
      <c r="E3451">
        <v>16</v>
      </c>
      <c r="F3451" t="s">
        <v>6725</v>
      </c>
      <c r="G3451">
        <v>1651</v>
      </c>
      <c r="H3451">
        <v>1</v>
      </c>
      <c r="I3451" t="s">
        <v>89</v>
      </c>
      <c r="J3451">
        <v>0</v>
      </c>
      <c r="K3451">
        <v>2</v>
      </c>
      <c r="L3451">
        <v>2</v>
      </c>
      <c r="M3451">
        <v>179</v>
      </c>
      <c r="N3451">
        <v>455</v>
      </c>
      <c r="O3451">
        <v>1</v>
      </c>
      <c r="P3451">
        <v>455</v>
      </c>
      <c r="Q3451">
        <v>5</v>
      </c>
      <c r="R3451">
        <v>35</v>
      </c>
      <c r="S3451">
        <v>216</v>
      </c>
      <c r="T3451">
        <v>4</v>
      </c>
      <c r="U3451">
        <v>11</v>
      </c>
      <c r="V3451">
        <v>1</v>
      </c>
      <c r="W3451">
        <v>5</v>
      </c>
      <c r="X3451">
        <v>53</v>
      </c>
      <c r="Y3451">
        <v>85</v>
      </c>
      <c r="Z3451">
        <v>3</v>
      </c>
      <c r="AA3451">
        <v>2</v>
      </c>
      <c r="AC3451">
        <v>0</v>
      </c>
      <c r="AD3451">
        <v>3</v>
      </c>
      <c r="AE3451">
        <v>0</v>
      </c>
      <c r="AF3451">
        <v>2</v>
      </c>
      <c r="AK3451">
        <v>0</v>
      </c>
      <c r="AL3451">
        <v>0</v>
      </c>
      <c r="AM3451">
        <v>3</v>
      </c>
      <c r="AN3451">
        <v>1</v>
      </c>
      <c r="AO3451">
        <v>2</v>
      </c>
      <c r="AP3451">
        <v>0</v>
      </c>
      <c r="AQ3451">
        <v>1</v>
      </c>
      <c r="AR3451">
        <v>0</v>
      </c>
      <c r="AT3451">
        <v>0</v>
      </c>
      <c r="AU3451">
        <v>23</v>
      </c>
      <c r="AV3451" t="s">
        <v>100</v>
      </c>
      <c r="AW3451">
        <v>455</v>
      </c>
      <c r="AX3451">
        <v>612</v>
      </c>
      <c r="BA3451">
        <v>1</v>
      </c>
      <c r="BC3451" t="s">
        <v>7006</v>
      </c>
      <c r="BD3451" s="4">
        <v>43283.228472222225</v>
      </c>
      <c r="BE3451" s="4">
        <v>43283.286620370367</v>
      </c>
      <c r="BF3451" s="4">
        <v>43283.286620370367</v>
      </c>
      <c r="BG3451" t="s">
        <v>83</v>
      </c>
      <c r="BH3451" t="s">
        <v>84</v>
      </c>
      <c r="BI3451" t="s">
        <v>85</v>
      </c>
    </row>
    <row r="3452" spans="1:61" x14ac:dyDescent="0.3">
      <c r="A3452" t="str">
        <f>"201675B0100"</f>
        <v>201675B0100</v>
      </c>
      <c r="B3452" t="s">
        <v>7007</v>
      </c>
      <c r="C3452">
        <v>20</v>
      </c>
      <c r="D3452" t="s">
        <v>79</v>
      </c>
      <c r="E3452">
        <v>16</v>
      </c>
      <c r="F3452" t="s">
        <v>6725</v>
      </c>
      <c r="G3452">
        <v>1675</v>
      </c>
      <c r="H3452">
        <v>1</v>
      </c>
      <c r="I3452" t="s">
        <v>81</v>
      </c>
      <c r="J3452">
        <v>0</v>
      </c>
      <c r="K3452">
        <v>1</v>
      </c>
      <c r="L3452">
        <v>2</v>
      </c>
      <c r="M3452">
        <v>191</v>
      </c>
      <c r="N3452">
        <v>361</v>
      </c>
      <c r="O3452">
        <v>0</v>
      </c>
      <c r="P3452">
        <v>361</v>
      </c>
      <c r="Q3452">
        <v>27</v>
      </c>
      <c r="R3452">
        <v>61</v>
      </c>
      <c r="S3452">
        <v>26</v>
      </c>
      <c r="T3452">
        <v>6</v>
      </c>
      <c r="U3452">
        <v>21</v>
      </c>
      <c r="V3452">
        <v>3</v>
      </c>
      <c r="W3452">
        <v>2</v>
      </c>
      <c r="X3452">
        <v>5</v>
      </c>
      <c r="Y3452">
        <v>172</v>
      </c>
      <c r="Z3452">
        <v>8</v>
      </c>
      <c r="AA3452">
        <v>2</v>
      </c>
      <c r="AC3452">
        <v>0</v>
      </c>
      <c r="AD3452">
        <v>0</v>
      </c>
      <c r="AE3452">
        <v>0</v>
      </c>
      <c r="AF3452">
        <v>0</v>
      </c>
      <c r="AK3452">
        <v>6</v>
      </c>
      <c r="AL3452">
        <v>1</v>
      </c>
      <c r="AM3452">
        <v>0</v>
      </c>
      <c r="AN3452">
        <v>1</v>
      </c>
      <c r="AO3452">
        <v>1</v>
      </c>
      <c r="AP3452">
        <v>0</v>
      </c>
      <c r="AQ3452">
        <v>0</v>
      </c>
      <c r="AR3452">
        <v>0</v>
      </c>
      <c r="AT3452">
        <v>0</v>
      </c>
      <c r="AU3452">
        <v>19</v>
      </c>
      <c r="AV3452">
        <v>361</v>
      </c>
      <c r="AW3452">
        <v>361</v>
      </c>
      <c r="AX3452">
        <v>530</v>
      </c>
      <c r="BA3452">
        <v>1</v>
      </c>
      <c r="BC3452" t="s">
        <v>7008</v>
      </c>
      <c r="BD3452" s="4">
        <v>43283.272222222222</v>
      </c>
      <c r="BE3452" s="4">
        <v>43283.326874999999</v>
      </c>
      <c r="BF3452" s="4">
        <v>43283.326874999999</v>
      </c>
      <c r="BG3452" t="s">
        <v>83</v>
      </c>
      <c r="BH3452" t="s">
        <v>84</v>
      </c>
      <c r="BI3452" t="s">
        <v>85</v>
      </c>
    </row>
    <row r="3453" spans="1:61" x14ac:dyDescent="0.3">
      <c r="A3453" t="str">
        <f>"201675C0100"</f>
        <v>201675C0100</v>
      </c>
      <c r="B3453" t="s">
        <v>7009</v>
      </c>
      <c r="C3453">
        <v>20</v>
      </c>
      <c r="D3453" t="s">
        <v>79</v>
      </c>
      <c r="E3453">
        <v>16</v>
      </c>
      <c r="F3453" t="s">
        <v>6725</v>
      </c>
      <c r="G3453">
        <v>1675</v>
      </c>
      <c r="H3453">
        <v>1</v>
      </c>
      <c r="I3453" t="s">
        <v>89</v>
      </c>
      <c r="J3453">
        <v>0</v>
      </c>
      <c r="K3453">
        <v>1</v>
      </c>
      <c r="L3453">
        <v>2</v>
      </c>
      <c r="M3453">
        <v>201</v>
      </c>
      <c r="N3453">
        <v>350</v>
      </c>
      <c r="O3453">
        <v>7</v>
      </c>
      <c r="P3453">
        <v>351</v>
      </c>
      <c r="Q3453">
        <v>21</v>
      </c>
      <c r="R3453">
        <v>44</v>
      </c>
      <c r="S3453">
        <v>30</v>
      </c>
      <c r="T3453">
        <v>10</v>
      </c>
      <c r="U3453">
        <v>17</v>
      </c>
      <c r="V3453">
        <v>8</v>
      </c>
      <c r="W3453">
        <v>2</v>
      </c>
      <c r="X3453">
        <v>1</v>
      </c>
      <c r="Y3453">
        <v>172</v>
      </c>
      <c r="Z3453">
        <v>14</v>
      </c>
      <c r="AA3453">
        <v>2</v>
      </c>
      <c r="AC3453">
        <v>2</v>
      </c>
      <c r="AD3453">
        <v>0</v>
      </c>
      <c r="AE3453">
        <v>0</v>
      </c>
      <c r="AF3453">
        <v>0</v>
      </c>
      <c r="AK3453">
        <v>10</v>
      </c>
      <c r="AL3453">
        <v>2</v>
      </c>
      <c r="AM3453">
        <v>1</v>
      </c>
      <c r="AN3453">
        <v>2</v>
      </c>
      <c r="AO3453">
        <v>1</v>
      </c>
      <c r="AP3453">
        <v>0</v>
      </c>
      <c r="AQ3453">
        <v>0</v>
      </c>
      <c r="AR3453">
        <v>0</v>
      </c>
      <c r="AT3453">
        <v>0</v>
      </c>
      <c r="AU3453">
        <v>12</v>
      </c>
      <c r="AV3453">
        <v>351</v>
      </c>
      <c r="AW3453">
        <v>351</v>
      </c>
      <c r="AX3453">
        <v>530</v>
      </c>
      <c r="BA3453">
        <v>1</v>
      </c>
      <c r="BC3453" t="s">
        <v>7010</v>
      </c>
      <c r="BD3453" s="4">
        <v>43283.272222222222</v>
      </c>
      <c r="BE3453" s="4">
        <v>43283.342268518521</v>
      </c>
      <c r="BF3453" s="4">
        <v>43283.342268518521</v>
      </c>
      <c r="BG3453" t="s">
        <v>83</v>
      </c>
      <c r="BH3453" t="s">
        <v>84</v>
      </c>
      <c r="BI3453" t="s">
        <v>85</v>
      </c>
    </row>
    <row r="3454" spans="1:61" x14ac:dyDescent="0.3">
      <c r="A3454" t="str">
        <f>"201675C0200"</f>
        <v>201675C0200</v>
      </c>
      <c r="B3454" t="s">
        <v>7011</v>
      </c>
      <c r="C3454">
        <v>20</v>
      </c>
      <c r="D3454" t="s">
        <v>79</v>
      </c>
      <c r="E3454">
        <v>16</v>
      </c>
      <c r="F3454" t="s">
        <v>6725</v>
      </c>
      <c r="G3454">
        <v>1675</v>
      </c>
      <c r="H3454">
        <v>2</v>
      </c>
      <c r="I3454" t="s">
        <v>89</v>
      </c>
      <c r="J3454">
        <v>0</v>
      </c>
      <c r="K3454">
        <v>1</v>
      </c>
      <c r="L3454">
        <v>2</v>
      </c>
      <c r="M3454">
        <v>213</v>
      </c>
      <c r="N3454">
        <v>551</v>
      </c>
      <c r="O3454">
        <v>0</v>
      </c>
      <c r="P3454">
        <v>338</v>
      </c>
      <c r="Q3454">
        <v>26</v>
      </c>
      <c r="R3454">
        <v>35</v>
      </c>
      <c r="S3454">
        <v>15</v>
      </c>
      <c r="T3454">
        <v>6</v>
      </c>
      <c r="U3454">
        <v>27</v>
      </c>
      <c r="V3454">
        <v>7</v>
      </c>
      <c r="W3454">
        <v>5</v>
      </c>
      <c r="X3454">
        <v>3</v>
      </c>
      <c r="Y3454">
        <v>181</v>
      </c>
      <c r="Z3454">
        <v>3</v>
      </c>
      <c r="AA3454">
        <v>1</v>
      </c>
      <c r="AC3454">
        <v>0</v>
      </c>
      <c r="AD3454">
        <v>0</v>
      </c>
      <c r="AE3454">
        <v>1</v>
      </c>
      <c r="AF3454">
        <v>0</v>
      </c>
      <c r="AK3454">
        <v>4</v>
      </c>
      <c r="AL3454">
        <v>3</v>
      </c>
      <c r="AM3454">
        <v>0</v>
      </c>
      <c r="AN3454">
        <v>4</v>
      </c>
      <c r="AO3454">
        <v>0</v>
      </c>
      <c r="AP3454">
        <v>1</v>
      </c>
      <c r="AQ3454">
        <v>0</v>
      </c>
      <c r="AR3454">
        <v>0</v>
      </c>
      <c r="AT3454">
        <v>0</v>
      </c>
      <c r="AU3454">
        <v>16</v>
      </c>
      <c r="AV3454">
        <v>338</v>
      </c>
      <c r="AW3454">
        <v>338</v>
      </c>
      <c r="AX3454">
        <v>529</v>
      </c>
      <c r="BA3454">
        <v>1</v>
      </c>
      <c r="BC3454" t="s">
        <v>7012</v>
      </c>
      <c r="BD3454" s="4">
        <v>43283.272222222222</v>
      </c>
      <c r="BE3454" s="4">
        <v>43283.325972222221</v>
      </c>
      <c r="BF3454" s="4">
        <v>43283.325972222221</v>
      </c>
      <c r="BG3454" t="s">
        <v>83</v>
      </c>
      <c r="BH3454" t="s">
        <v>84</v>
      </c>
      <c r="BI3454" t="s">
        <v>85</v>
      </c>
    </row>
    <row r="3455" spans="1:61" x14ac:dyDescent="0.3">
      <c r="A3455" t="str">
        <f>"201699B0100"</f>
        <v>201699B0100</v>
      </c>
      <c r="B3455" t="s">
        <v>7013</v>
      </c>
      <c r="C3455">
        <v>20</v>
      </c>
      <c r="D3455" t="s">
        <v>79</v>
      </c>
      <c r="E3455">
        <v>16</v>
      </c>
      <c r="F3455" t="s">
        <v>6725</v>
      </c>
      <c r="G3455">
        <v>1699</v>
      </c>
      <c r="H3455">
        <v>1</v>
      </c>
      <c r="I3455" t="s">
        <v>81</v>
      </c>
      <c r="J3455">
        <v>0</v>
      </c>
      <c r="K3455">
        <v>2</v>
      </c>
      <c r="L3455">
        <v>2</v>
      </c>
      <c r="M3455">
        <v>199</v>
      </c>
      <c r="N3455">
        <v>379</v>
      </c>
      <c r="O3455">
        <v>0</v>
      </c>
      <c r="P3455">
        <v>379</v>
      </c>
      <c r="Q3455">
        <v>48</v>
      </c>
      <c r="R3455">
        <v>64</v>
      </c>
      <c r="S3455">
        <v>76</v>
      </c>
      <c r="T3455">
        <v>7</v>
      </c>
      <c r="U3455">
        <v>14</v>
      </c>
      <c r="V3455">
        <v>5</v>
      </c>
      <c r="W3455">
        <v>3</v>
      </c>
      <c r="X3455">
        <v>2</v>
      </c>
      <c r="Y3455">
        <v>3</v>
      </c>
      <c r="Z3455">
        <v>5</v>
      </c>
      <c r="AA3455">
        <v>1</v>
      </c>
      <c r="AC3455">
        <v>5</v>
      </c>
      <c r="AD3455">
        <v>1</v>
      </c>
      <c r="AE3455">
        <v>0</v>
      </c>
      <c r="AF3455">
        <v>0</v>
      </c>
      <c r="AK3455">
        <v>1</v>
      </c>
      <c r="AL3455">
        <v>3</v>
      </c>
      <c r="AM3455">
        <v>0</v>
      </c>
      <c r="AN3455">
        <v>1</v>
      </c>
      <c r="AO3455">
        <v>0</v>
      </c>
      <c r="AP3455">
        <v>0</v>
      </c>
      <c r="AQ3455">
        <v>0</v>
      </c>
      <c r="AR3455">
        <v>1</v>
      </c>
      <c r="AT3455">
        <v>0</v>
      </c>
      <c r="AU3455">
        <v>19</v>
      </c>
      <c r="AV3455">
        <v>379</v>
      </c>
      <c r="AW3455">
        <v>259</v>
      </c>
      <c r="AX3455">
        <v>556</v>
      </c>
      <c r="BA3455">
        <v>1</v>
      </c>
      <c r="BC3455" t="s">
        <v>7014</v>
      </c>
      <c r="BD3455" s="4">
        <v>43283.18472222222</v>
      </c>
      <c r="BE3455" s="4">
        <v>43283.313842592594</v>
      </c>
      <c r="BF3455" s="4">
        <v>43283.313842592594</v>
      </c>
      <c r="BG3455" t="s">
        <v>83</v>
      </c>
      <c r="BH3455" t="s">
        <v>84</v>
      </c>
      <c r="BI3455" t="s">
        <v>85</v>
      </c>
    </row>
    <row r="3456" spans="1:61" x14ac:dyDescent="0.3">
      <c r="A3456" t="str">
        <f>"201699C0100"</f>
        <v>201699C0100</v>
      </c>
      <c r="B3456" t="s">
        <v>7015</v>
      </c>
      <c r="C3456">
        <v>20</v>
      </c>
      <c r="D3456" t="s">
        <v>79</v>
      </c>
      <c r="E3456">
        <v>16</v>
      </c>
      <c r="F3456" t="s">
        <v>6725</v>
      </c>
      <c r="G3456">
        <v>1699</v>
      </c>
      <c r="H3456">
        <v>1</v>
      </c>
      <c r="I3456" t="s">
        <v>89</v>
      </c>
      <c r="J3456">
        <v>0</v>
      </c>
      <c r="K3456">
        <v>2</v>
      </c>
      <c r="L3456">
        <v>2</v>
      </c>
      <c r="M3456">
        <v>199</v>
      </c>
      <c r="N3456">
        <v>378</v>
      </c>
      <c r="O3456">
        <v>0</v>
      </c>
      <c r="P3456">
        <v>378</v>
      </c>
      <c r="Q3456">
        <v>25</v>
      </c>
      <c r="R3456">
        <v>76</v>
      </c>
      <c r="S3456">
        <v>77</v>
      </c>
      <c r="T3456">
        <v>6</v>
      </c>
      <c r="U3456">
        <v>15</v>
      </c>
      <c r="V3456">
        <v>5</v>
      </c>
      <c r="W3456">
        <v>4</v>
      </c>
      <c r="X3456">
        <v>0</v>
      </c>
      <c r="Y3456">
        <v>132</v>
      </c>
      <c r="Z3456">
        <v>5</v>
      </c>
      <c r="AA3456">
        <v>0</v>
      </c>
      <c r="AC3456">
        <v>2</v>
      </c>
      <c r="AD3456">
        <v>1</v>
      </c>
      <c r="AE3456">
        <v>0</v>
      </c>
      <c r="AF3456">
        <v>1</v>
      </c>
      <c r="AK3456">
        <v>4</v>
      </c>
      <c r="AL3456">
        <v>1</v>
      </c>
      <c r="AM3456">
        <v>0</v>
      </c>
      <c r="AN3456">
        <v>1</v>
      </c>
      <c r="AO3456">
        <v>0</v>
      </c>
      <c r="AP3456">
        <v>2</v>
      </c>
      <c r="AQ3456">
        <v>0</v>
      </c>
      <c r="AR3456">
        <v>0</v>
      </c>
      <c r="AT3456">
        <v>0</v>
      </c>
      <c r="AU3456">
        <v>21</v>
      </c>
      <c r="AV3456">
        <v>378</v>
      </c>
      <c r="AW3456">
        <v>378</v>
      </c>
      <c r="AX3456">
        <v>555</v>
      </c>
      <c r="BA3456">
        <v>1</v>
      </c>
      <c r="BC3456" t="s">
        <v>7016</v>
      </c>
      <c r="BD3456" s="4">
        <v>43283.18472222222</v>
      </c>
      <c r="BE3456" s="4">
        <v>43283.317314814813</v>
      </c>
      <c r="BF3456" s="4">
        <v>43283.317314814813</v>
      </c>
      <c r="BG3456" t="s">
        <v>83</v>
      </c>
      <c r="BH3456" t="s">
        <v>84</v>
      </c>
      <c r="BI3456" t="s">
        <v>85</v>
      </c>
    </row>
    <row r="3457" spans="1:61" x14ac:dyDescent="0.3">
      <c r="A3457" t="str">
        <f>"201700B0100"</f>
        <v>201700B0100</v>
      </c>
      <c r="B3457" t="s">
        <v>7017</v>
      </c>
      <c r="C3457">
        <v>20</v>
      </c>
      <c r="D3457" t="s">
        <v>79</v>
      </c>
      <c r="E3457">
        <v>16</v>
      </c>
      <c r="F3457" t="s">
        <v>6725</v>
      </c>
      <c r="G3457">
        <v>1700</v>
      </c>
      <c r="H3457">
        <v>1</v>
      </c>
      <c r="I3457" t="s">
        <v>81</v>
      </c>
      <c r="J3457">
        <v>0</v>
      </c>
      <c r="K3457">
        <v>2</v>
      </c>
      <c r="L3457">
        <v>2</v>
      </c>
      <c r="M3457">
        <v>206</v>
      </c>
      <c r="N3457">
        <v>323</v>
      </c>
      <c r="O3457">
        <v>2</v>
      </c>
      <c r="P3457">
        <v>323</v>
      </c>
      <c r="Q3457">
        <v>4</v>
      </c>
      <c r="R3457">
        <v>11</v>
      </c>
      <c r="S3457">
        <v>6</v>
      </c>
      <c r="T3457">
        <v>1</v>
      </c>
      <c r="U3457">
        <v>20</v>
      </c>
      <c r="V3457">
        <v>5</v>
      </c>
      <c r="W3457">
        <v>3</v>
      </c>
      <c r="X3457">
        <v>8</v>
      </c>
      <c r="Y3457">
        <v>235</v>
      </c>
      <c r="Z3457">
        <v>10</v>
      </c>
      <c r="AA3457">
        <v>0</v>
      </c>
      <c r="AC3457">
        <v>0</v>
      </c>
      <c r="AD3457">
        <v>0</v>
      </c>
      <c r="AE3457">
        <v>0</v>
      </c>
      <c r="AF3457">
        <v>0</v>
      </c>
      <c r="AK3457">
        <v>3</v>
      </c>
      <c r="AL3457">
        <v>2</v>
      </c>
      <c r="AM3457">
        <v>1</v>
      </c>
      <c r="AN3457">
        <v>0</v>
      </c>
      <c r="AO3457">
        <v>0</v>
      </c>
      <c r="AP3457">
        <v>0</v>
      </c>
      <c r="AQ3457">
        <v>0</v>
      </c>
      <c r="AR3457">
        <v>0</v>
      </c>
      <c r="AT3457">
        <v>14</v>
      </c>
      <c r="AU3457">
        <v>114</v>
      </c>
      <c r="AV3457" t="s">
        <v>100</v>
      </c>
      <c r="AW3457">
        <v>437</v>
      </c>
      <c r="AX3457">
        <v>507</v>
      </c>
      <c r="BA3457">
        <v>1</v>
      </c>
      <c r="BC3457" t="s">
        <v>7018</v>
      </c>
      <c r="BD3457" s="4">
        <v>43283.125</v>
      </c>
      <c r="BE3457" s="4">
        <v>43283.277002314811</v>
      </c>
      <c r="BF3457" s="4">
        <v>43283.277002314811</v>
      </c>
      <c r="BG3457" t="s">
        <v>83</v>
      </c>
      <c r="BH3457" t="s">
        <v>84</v>
      </c>
      <c r="BI3457" t="s">
        <v>85</v>
      </c>
    </row>
    <row r="3458" spans="1:61" x14ac:dyDescent="0.3">
      <c r="A3458" t="str">
        <f>"201701B0100"</f>
        <v>201701B0100</v>
      </c>
      <c r="B3458" t="s">
        <v>7019</v>
      </c>
      <c r="C3458">
        <v>20</v>
      </c>
      <c r="D3458" t="s">
        <v>79</v>
      </c>
      <c r="E3458">
        <v>16</v>
      </c>
      <c r="F3458" t="s">
        <v>6725</v>
      </c>
      <c r="G3458">
        <v>1701</v>
      </c>
      <c r="H3458">
        <v>1</v>
      </c>
      <c r="I3458" t="s">
        <v>81</v>
      </c>
      <c r="J3458">
        <v>0</v>
      </c>
      <c r="K3458">
        <v>2</v>
      </c>
      <c r="L3458">
        <v>2</v>
      </c>
      <c r="M3458">
        <v>241</v>
      </c>
      <c r="N3458">
        <v>303</v>
      </c>
      <c r="O3458">
        <v>1</v>
      </c>
      <c r="P3458">
        <v>303</v>
      </c>
      <c r="Q3458">
        <v>38</v>
      </c>
      <c r="R3458">
        <v>25</v>
      </c>
      <c r="S3458">
        <v>28</v>
      </c>
      <c r="T3458">
        <v>6</v>
      </c>
      <c r="U3458">
        <v>12</v>
      </c>
      <c r="V3458">
        <v>4</v>
      </c>
      <c r="W3458">
        <v>12</v>
      </c>
      <c r="X3458">
        <v>0</v>
      </c>
      <c r="Y3458">
        <v>143</v>
      </c>
      <c r="Z3458">
        <v>11</v>
      </c>
      <c r="AA3458">
        <v>0</v>
      </c>
      <c r="AC3458">
        <v>0</v>
      </c>
      <c r="AD3458">
        <v>2</v>
      </c>
      <c r="AE3458">
        <v>0</v>
      </c>
      <c r="AF3458">
        <v>0</v>
      </c>
      <c r="AK3458">
        <v>6</v>
      </c>
      <c r="AL3458">
        <v>1</v>
      </c>
      <c r="AM3458">
        <v>0</v>
      </c>
      <c r="AN3458">
        <v>1</v>
      </c>
      <c r="AO3458">
        <v>0</v>
      </c>
      <c r="AP3458">
        <v>0</v>
      </c>
      <c r="AQ3458">
        <v>0</v>
      </c>
      <c r="AR3458">
        <v>0</v>
      </c>
      <c r="AT3458">
        <v>1</v>
      </c>
      <c r="AU3458">
        <v>13</v>
      </c>
      <c r="AV3458">
        <v>303</v>
      </c>
      <c r="AW3458">
        <v>303</v>
      </c>
      <c r="AX3458">
        <v>522</v>
      </c>
      <c r="BA3458">
        <v>1</v>
      </c>
      <c r="BC3458" t="s">
        <v>7020</v>
      </c>
      <c r="BD3458" s="4">
        <v>43283.01458333333</v>
      </c>
      <c r="BE3458" s="4">
        <v>43283.024872685186</v>
      </c>
      <c r="BF3458" s="4">
        <v>43283.024872685186</v>
      </c>
      <c r="BG3458" t="s">
        <v>83</v>
      </c>
      <c r="BH3458" t="s">
        <v>84</v>
      </c>
      <c r="BI3458" t="s">
        <v>85</v>
      </c>
    </row>
    <row r="3459" spans="1:61" x14ac:dyDescent="0.3">
      <c r="A3459" t="str">
        <f>"201701C0100"</f>
        <v>201701C0100</v>
      </c>
      <c r="B3459" t="s">
        <v>7021</v>
      </c>
      <c r="C3459">
        <v>20</v>
      </c>
      <c r="D3459" t="s">
        <v>79</v>
      </c>
      <c r="E3459">
        <v>16</v>
      </c>
      <c r="F3459" t="s">
        <v>6725</v>
      </c>
      <c r="G3459">
        <v>1701</v>
      </c>
      <c r="H3459">
        <v>1</v>
      </c>
      <c r="I3459" t="s">
        <v>89</v>
      </c>
      <c r="J3459">
        <v>0</v>
      </c>
      <c r="K3459">
        <v>2</v>
      </c>
      <c r="L3459">
        <v>2</v>
      </c>
      <c r="M3459">
        <v>241</v>
      </c>
      <c r="N3459">
        <v>303</v>
      </c>
      <c r="O3459">
        <v>0</v>
      </c>
      <c r="P3459">
        <v>303</v>
      </c>
      <c r="Q3459">
        <v>27</v>
      </c>
      <c r="R3459">
        <v>39</v>
      </c>
      <c r="S3459">
        <v>24</v>
      </c>
      <c r="T3459">
        <v>5</v>
      </c>
      <c r="U3459">
        <v>17</v>
      </c>
      <c r="V3459">
        <v>5</v>
      </c>
      <c r="W3459">
        <v>11</v>
      </c>
      <c r="X3459">
        <v>4</v>
      </c>
      <c r="Y3459">
        <v>138</v>
      </c>
      <c r="Z3459">
        <v>9</v>
      </c>
      <c r="AA3459">
        <v>0</v>
      </c>
      <c r="AC3459">
        <v>0</v>
      </c>
      <c r="AD3459">
        <v>3</v>
      </c>
      <c r="AE3459">
        <v>0</v>
      </c>
      <c r="AF3459">
        <v>0</v>
      </c>
      <c r="AK3459">
        <v>4</v>
      </c>
      <c r="AL3459">
        <v>1</v>
      </c>
      <c r="AM3459">
        <v>0</v>
      </c>
      <c r="AN3459">
        <v>2</v>
      </c>
      <c r="AO3459">
        <v>0</v>
      </c>
      <c r="AP3459">
        <v>1</v>
      </c>
      <c r="AQ3459">
        <v>0</v>
      </c>
      <c r="AR3459">
        <v>0</v>
      </c>
      <c r="AT3459" t="s">
        <v>100</v>
      </c>
      <c r="AU3459">
        <v>13</v>
      </c>
      <c r="AV3459" t="s">
        <v>100</v>
      </c>
      <c r="AW3459">
        <v>303</v>
      </c>
      <c r="AX3459">
        <v>522</v>
      </c>
      <c r="AZ3459" t="s">
        <v>101</v>
      </c>
      <c r="BA3459">
        <v>1</v>
      </c>
      <c r="BC3459" t="s">
        <v>7022</v>
      </c>
      <c r="BD3459" s="4">
        <v>43283.01458333333</v>
      </c>
      <c r="BE3459" s="4">
        <v>43283.022291666668</v>
      </c>
      <c r="BF3459" s="4">
        <v>43283.022291666668</v>
      </c>
      <c r="BG3459" t="s">
        <v>83</v>
      </c>
      <c r="BH3459" t="s">
        <v>84</v>
      </c>
      <c r="BI3459" t="s">
        <v>85</v>
      </c>
    </row>
    <row r="3460" spans="1:61" x14ac:dyDescent="0.3">
      <c r="A3460" t="str">
        <f>"201738B0100"</f>
        <v>201738B0100</v>
      </c>
      <c r="B3460" t="s">
        <v>7023</v>
      </c>
      <c r="C3460">
        <v>20</v>
      </c>
      <c r="D3460" t="s">
        <v>79</v>
      </c>
      <c r="E3460">
        <v>16</v>
      </c>
      <c r="F3460" t="s">
        <v>6725</v>
      </c>
      <c r="G3460">
        <v>1738</v>
      </c>
      <c r="H3460">
        <v>1</v>
      </c>
      <c r="I3460" t="s">
        <v>81</v>
      </c>
      <c r="J3460">
        <v>0</v>
      </c>
      <c r="K3460">
        <v>2</v>
      </c>
      <c r="L3460">
        <v>2</v>
      </c>
      <c r="M3460">
        <v>154</v>
      </c>
      <c r="N3460">
        <v>410</v>
      </c>
      <c r="O3460">
        <v>1</v>
      </c>
      <c r="P3460">
        <v>410</v>
      </c>
      <c r="Q3460">
        <v>15</v>
      </c>
      <c r="R3460">
        <v>148</v>
      </c>
      <c r="S3460">
        <v>46</v>
      </c>
      <c r="T3460">
        <v>8</v>
      </c>
      <c r="U3460">
        <v>8</v>
      </c>
      <c r="V3460">
        <v>5</v>
      </c>
      <c r="W3460">
        <v>7</v>
      </c>
      <c r="X3460">
        <v>3</v>
      </c>
      <c r="Y3460">
        <v>139</v>
      </c>
      <c r="Z3460">
        <v>1</v>
      </c>
      <c r="AA3460">
        <v>0</v>
      </c>
      <c r="AC3460">
        <v>0</v>
      </c>
      <c r="AD3460">
        <v>1</v>
      </c>
      <c r="AE3460">
        <v>0</v>
      </c>
      <c r="AF3460">
        <v>0</v>
      </c>
      <c r="AK3460">
        <v>1</v>
      </c>
      <c r="AL3460">
        <v>1</v>
      </c>
      <c r="AM3460">
        <v>0</v>
      </c>
      <c r="AN3460">
        <v>0</v>
      </c>
      <c r="AO3460">
        <v>1</v>
      </c>
      <c r="AP3460">
        <v>2</v>
      </c>
      <c r="AQ3460">
        <v>1</v>
      </c>
      <c r="AR3460">
        <v>0</v>
      </c>
      <c r="AT3460">
        <v>0</v>
      </c>
      <c r="AU3460">
        <v>23</v>
      </c>
      <c r="AV3460">
        <v>410</v>
      </c>
      <c r="AW3460">
        <v>410</v>
      </c>
      <c r="AX3460">
        <v>541</v>
      </c>
      <c r="BA3460">
        <v>1</v>
      </c>
      <c r="BC3460" t="s">
        <v>7024</v>
      </c>
      <c r="BD3460" s="4">
        <v>43283.163194444445</v>
      </c>
      <c r="BE3460" s="4">
        <v>43283.319050925929</v>
      </c>
      <c r="BF3460" s="4">
        <v>43283.319050925929</v>
      </c>
      <c r="BG3460" t="s">
        <v>83</v>
      </c>
      <c r="BH3460" t="s">
        <v>84</v>
      </c>
      <c r="BI3460" t="s">
        <v>85</v>
      </c>
    </row>
    <row r="3461" spans="1:61" x14ac:dyDescent="0.3">
      <c r="A3461" t="str">
        <f>"201738C0100"</f>
        <v>201738C0100</v>
      </c>
      <c r="B3461" t="s">
        <v>7025</v>
      </c>
      <c r="C3461">
        <v>20</v>
      </c>
      <c r="D3461" t="s">
        <v>79</v>
      </c>
      <c r="E3461">
        <v>16</v>
      </c>
      <c r="F3461" t="s">
        <v>6725</v>
      </c>
      <c r="G3461">
        <v>1738</v>
      </c>
      <c r="H3461">
        <v>1</v>
      </c>
      <c r="I3461" t="s">
        <v>89</v>
      </c>
      <c r="J3461">
        <v>0</v>
      </c>
      <c r="K3461">
        <v>2</v>
      </c>
      <c r="L3461">
        <v>2</v>
      </c>
      <c r="M3461">
        <v>153</v>
      </c>
      <c r="N3461">
        <v>411</v>
      </c>
      <c r="O3461">
        <v>1</v>
      </c>
      <c r="P3461">
        <v>411</v>
      </c>
      <c r="Q3461">
        <v>13</v>
      </c>
      <c r="R3461">
        <v>148</v>
      </c>
      <c r="S3461">
        <v>38</v>
      </c>
      <c r="T3461">
        <v>1</v>
      </c>
      <c r="U3461">
        <v>8</v>
      </c>
      <c r="V3461">
        <v>2</v>
      </c>
      <c r="W3461">
        <v>6</v>
      </c>
      <c r="X3461">
        <v>4</v>
      </c>
      <c r="Y3461">
        <v>158</v>
      </c>
      <c r="Z3461">
        <v>4</v>
      </c>
      <c r="AA3461">
        <v>2</v>
      </c>
      <c r="AC3461">
        <v>1</v>
      </c>
      <c r="AD3461">
        <v>1</v>
      </c>
      <c r="AE3461">
        <v>0</v>
      </c>
      <c r="AF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1</v>
      </c>
      <c r="AQ3461">
        <v>0</v>
      </c>
      <c r="AR3461">
        <v>0</v>
      </c>
      <c r="AT3461">
        <v>0</v>
      </c>
      <c r="AU3461">
        <v>24</v>
      </c>
      <c r="AV3461">
        <v>411</v>
      </c>
      <c r="AW3461">
        <v>411</v>
      </c>
      <c r="AX3461">
        <v>541</v>
      </c>
      <c r="BA3461">
        <v>1</v>
      </c>
      <c r="BC3461" t="s">
        <v>7026</v>
      </c>
      <c r="BD3461" s="4">
        <v>43283.163194444445</v>
      </c>
      <c r="BE3461" s="4">
        <v>43283.314375000002</v>
      </c>
      <c r="BF3461" s="4">
        <v>43283.314375000002</v>
      </c>
      <c r="BG3461" t="s">
        <v>83</v>
      </c>
      <c r="BH3461" t="s">
        <v>84</v>
      </c>
      <c r="BI3461" t="s">
        <v>85</v>
      </c>
    </row>
    <row r="3462" spans="1:61" x14ac:dyDescent="0.3">
      <c r="A3462" t="str">
        <f>"201739B0100"</f>
        <v>201739B0100</v>
      </c>
      <c r="B3462" t="s">
        <v>7027</v>
      </c>
      <c r="C3462">
        <v>20</v>
      </c>
      <c r="D3462" t="s">
        <v>79</v>
      </c>
      <c r="E3462">
        <v>16</v>
      </c>
      <c r="F3462" t="s">
        <v>6725</v>
      </c>
      <c r="G3462">
        <v>1739</v>
      </c>
      <c r="H3462">
        <v>1</v>
      </c>
      <c r="I3462" t="s">
        <v>81</v>
      </c>
      <c r="J3462">
        <v>0</v>
      </c>
      <c r="K3462">
        <v>1</v>
      </c>
      <c r="L3462">
        <v>2</v>
      </c>
      <c r="M3462">
        <v>188</v>
      </c>
      <c r="N3462">
        <v>364</v>
      </c>
      <c r="O3462">
        <v>0</v>
      </c>
      <c r="P3462">
        <v>364</v>
      </c>
      <c r="Q3462">
        <v>18</v>
      </c>
      <c r="R3462">
        <v>139</v>
      </c>
      <c r="S3462">
        <v>21</v>
      </c>
      <c r="T3462">
        <v>10</v>
      </c>
      <c r="U3462">
        <v>8</v>
      </c>
      <c r="V3462">
        <v>4</v>
      </c>
      <c r="W3462">
        <v>5</v>
      </c>
      <c r="X3462">
        <v>6</v>
      </c>
      <c r="Y3462">
        <v>117</v>
      </c>
      <c r="Z3462">
        <v>2</v>
      </c>
      <c r="AA3462">
        <v>0</v>
      </c>
      <c r="AC3462">
        <v>1</v>
      </c>
      <c r="AD3462">
        <v>0</v>
      </c>
      <c r="AE3462">
        <v>1</v>
      </c>
      <c r="AF3462">
        <v>0</v>
      </c>
      <c r="AK3462">
        <v>1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0</v>
      </c>
      <c r="AR3462">
        <v>0</v>
      </c>
      <c r="AT3462">
        <v>0</v>
      </c>
      <c r="AU3462">
        <v>31</v>
      </c>
      <c r="AV3462">
        <v>364</v>
      </c>
      <c r="AW3462">
        <v>364</v>
      </c>
      <c r="AX3462">
        <v>527</v>
      </c>
      <c r="BA3462">
        <v>1</v>
      </c>
      <c r="BC3462" t="s">
        <v>7028</v>
      </c>
      <c r="BD3462" s="4">
        <v>43283.163194444445</v>
      </c>
      <c r="BE3462" s="4">
        <v>43283.315011574072</v>
      </c>
      <c r="BF3462" s="4">
        <v>43283.315011574072</v>
      </c>
      <c r="BG3462" t="s">
        <v>83</v>
      </c>
      <c r="BH3462" t="s">
        <v>84</v>
      </c>
      <c r="BI3462" t="s">
        <v>85</v>
      </c>
    </row>
    <row r="3463" spans="1:61" x14ac:dyDescent="0.3">
      <c r="A3463" t="str">
        <f>"201739C0100"</f>
        <v>201739C0100</v>
      </c>
      <c r="B3463" t="s">
        <v>7029</v>
      </c>
      <c r="C3463">
        <v>20</v>
      </c>
      <c r="D3463" t="s">
        <v>79</v>
      </c>
      <c r="E3463">
        <v>16</v>
      </c>
      <c r="F3463" t="s">
        <v>6725</v>
      </c>
      <c r="G3463">
        <v>1739</v>
      </c>
      <c r="H3463">
        <v>1</v>
      </c>
      <c r="I3463" t="s">
        <v>89</v>
      </c>
      <c r="J3463">
        <v>0</v>
      </c>
      <c r="K3463">
        <v>1</v>
      </c>
      <c r="L3463">
        <v>2</v>
      </c>
      <c r="M3463">
        <v>149</v>
      </c>
      <c r="N3463">
        <v>400</v>
      </c>
      <c r="O3463">
        <v>3</v>
      </c>
      <c r="P3463">
        <v>402</v>
      </c>
      <c r="Q3463">
        <v>18</v>
      </c>
      <c r="R3463">
        <v>135</v>
      </c>
      <c r="S3463">
        <v>35</v>
      </c>
      <c r="T3463">
        <v>6</v>
      </c>
      <c r="U3463">
        <v>9</v>
      </c>
      <c r="V3463">
        <v>4</v>
      </c>
      <c r="W3463">
        <v>6</v>
      </c>
      <c r="X3463">
        <v>4</v>
      </c>
      <c r="Y3463">
        <v>158</v>
      </c>
      <c r="Z3463">
        <v>4</v>
      </c>
      <c r="AA3463">
        <v>3</v>
      </c>
      <c r="AC3463">
        <v>0</v>
      </c>
      <c r="AD3463">
        <v>0</v>
      </c>
      <c r="AE3463">
        <v>0</v>
      </c>
      <c r="AF3463">
        <v>0</v>
      </c>
      <c r="AK3463">
        <v>0</v>
      </c>
      <c r="AL3463">
        <v>0</v>
      </c>
      <c r="AM3463">
        <v>0</v>
      </c>
      <c r="AN3463">
        <v>1</v>
      </c>
      <c r="AO3463">
        <v>1</v>
      </c>
      <c r="AP3463">
        <v>0</v>
      </c>
      <c r="AQ3463">
        <v>0</v>
      </c>
      <c r="AR3463">
        <v>0</v>
      </c>
      <c r="AT3463">
        <v>0</v>
      </c>
      <c r="AU3463">
        <v>18</v>
      </c>
      <c r="AV3463">
        <v>402</v>
      </c>
      <c r="AW3463">
        <v>402</v>
      </c>
      <c r="AX3463">
        <v>526</v>
      </c>
      <c r="BA3463">
        <v>1</v>
      </c>
      <c r="BC3463" t="s">
        <v>7030</v>
      </c>
      <c r="BD3463" s="4">
        <v>43283.163194444445</v>
      </c>
      <c r="BE3463" s="4">
        <v>43283.312534722223</v>
      </c>
      <c r="BF3463" s="4">
        <v>43283.312534722223</v>
      </c>
      <c r="BG3463" t="s">
        <v>83</v>
      </c>
      <c r="BH3463" t="s">
        <v>84</v>
      </c>
      <c r="BI3463" t="s">
        <v>85</v>
      </c>
    </row>
    <row r="3464" spans="1:61" x14ac:dyDescent="0.3">
      <c r="A3464" t="str">
        <f>"201740B0100"</f>
        <v>201740B0100</v>
      </c>
      <c r="B3464" t="s">
        <v>7031</v>
      </c>
      <c r="C3464">
        <v>20</v>
      </c>
      <c r="D3464" t="s">
        <v>79</v>
      </c>
      <c r="E3464">
        <v>16</v>
      </c>
      <c r="F3464" t="s">
        <v>6725</v>
      </c>
      <c r="G3464">
        <v>1740</v>
      </c>
      <c r="H3464">
        <v>1</v>
      </c>
      <c r="I3464" t="s">
        <v>81</v>
      </c>
      <c r="J3464">
        <v>0</v>
      </c>
      <c r="K3464">
        <v>2</v>
      </c>
      <c r="L3464">
        <v>2</v>
      </c>
      <c r="M3464">
        <v>95</v>
      </c>
      <c r="N3464">
        <v>95</v>
      </c>
      <c r="O3464" t="s">
        <v>100</v>
      </c>
      <c r="P3464">
        <v>231</v>
      </c>
      <c r="Q3464">
        <v>20</v>
      </c>
      <c r="R3464">
        <v>59</v>
      </c>
      <c r="S3464">
        <v>55</v>
      </c>
      <c r="T3464">
        <v>1</v>
      </c>
      <c r="U3464">
        <v>4</v>
      </c>
      <c r="V3464">
        <v>2</v>
      </c>
      <c r="W3464">
        <v>4</v>
      </c>
      <c r="X3464">
        <v>0</v>
      </c>
      <c r="Y3464">
        <v>64</v>
      </c>
      <c r="Z3464">
        <v>2</v>
      </c>
      <c r="AA3464">
        <v>0</v>
      </c>
      <c r="AC3464" t="s">
        <v>100</v>
      </c>
      <c r="AD3464">
        <v>1</v>
      </c>
      <c r="AE3464" t="s">
        <v>100</v>
      </c>
      <c r="AF3464" t="s">
        <v>100</v>
      </c>
      <c r="AK3464">
        <v>1</v>
      </c>
      <c r="AL3464" t="s">
        <v>100</v>
      </c>
      <c r="AM3464" t="s">
        <v>100</v>
      </c>
      <c r="AN3464">
        <v>1</v>
      </c>
      <c r="AO3464" t="s">
        <v>100</v>
      </c>
      <c r="AP3464">
        <v>2</v>
      </c>
      <c r="AQ3464" t="s">
        <v>100</v>
      </c>
      <c r="AR3464" t="s">
        <v>100</v>
      </c>
      <c r="AT3464" t="s">
        <v>100</v>
      </c>
      <c r="AU3464">
        <v>15</v>
      </c>
      <c r="AV3464">
        <v>231</v>
      </c>
      <c r="AW3464">
        <v>231</v>
      </c>
      <c r="AX3464">
        <v>303</v>
      </c>
      <c r="AZ3464" t="s">
        <v>101</v>
      </c>
      <c r="BA3464">
        <v>1</v>
      </c>
      <c r="BC3464" t="s">
        <v>7032</v>
      </c>
      <c r="BD3464" s="4">
        <v>43283.163194444445</v>
      </c>
      <c r="BE3464" s="4">
        <v>43283.280243055553</v>
      </c>
      <c r="BF3464" s="4">
        <v>43283.280243055553</v>
      </c>
      <c r="BG3464" t="s">
        <v>83</v>
      </c>
      <c r="BH3464" t="s">
        <v>84</v>
      </c>
      <c r="BI3464" t="s">
        <v>85</v>
      </c>
    </row>
    <row r="3465" spans="1:61" x14ac:dyDescent="0.3">
      <c r="A3465" t="str">
        <f>"201741B0100"</f>
        <v>201741B0100</v>
      </c>
      <c r="B3465" t="s">
        <v>7033</v>
      </c>
      <c r="C3465">
        <v>20</v>
      </c>
      <c r="D3465" t="s">
        <v>79</v>
      </c>
      <c r="E3465">
        <v>16</v>
      </c>
      <c r="F3465" t="s">
        <v>6725</v>
      </c>
      <c r="G3465">
        <v>1741</v>
      </c>
      <c r="H3465">
        <v>1</v>
      </c>
      <c r="I3465" t="s">
        <v>81</v>
      </c>
      <c r="J3465">
        <v>0</v>
      </c>
      <c r="K3465">
        <v>2</v>
      </c>
      <c r="L3465">
        <v>2</v>
      </c>
      <c r="M3465">
        <v>329</v>
      </c>
      <c r="N3465">
        <v>364</v>
      </c>
      <c r="O3465">
        <v>0</v>
      </c>
      <c r="P3465">
        <v>364</v>
      </c>
      <c r="Q3465">
        <v>23</v>
      </c>
      <c r="R3465">
        <v>62</v>
      </c>
      <c r="S3465">
        <v>48</v>
      </c>
      <c r="T3465">
        <v>5</v>
      </c>
      <c r="U3465">
        <v>37</v>
      </c>
      <c r="V3465">
        <v>5</v>
      </c>
      <c r="W3465">
        <v>3</v>
      </c>
      <c r="X3465">
        <v>2</v>
      </c>
      <c r="Y3465">
        <v>19</v>
      </c>
      <c r="Z3465">
        <v>8</v>
      </c>
      <c r="AA3465">
        <v>3</v>
      </c>
      <c r="AC3465">
        <v>2</v>
      </c>
      <c r="AD3465">
        <v>4</v>
      </c>
      <c r="AE3465" t="s">
        <v>100</v>
      </c>
      <c r="AF3465" t="s">
        <v>100</v>
      </c>
      <c r="AK3465">
        <v>6</v>
      </c>
      <c r="AL3465">
        <v>4</v>
      </c>
      <c r="AM3465" t="s">
        <v>100</v>
      </c>
      <c r="AN3465">
        <v>3</v>
      </c>
      <c r="AO3465" t="s">
        <v>100</v>
      </c>
      <c r="AP3465">
        <v>2</v>
      </c>
      <c r="AQ3465" t="s">
        <v>100</v>
      </c>
      <c r="AR3465" t="s">
        <v>100</v>
      </c>
      <c r="AT3465" t="s">
        <v>100</v>
      </c>
      <c r="AU3465">
        <v>28</v>
      </c>
      <c r="AV3465" t="s">
        <v>100</v>
      </c>
      <c r="AW3465">
        <v>264</v>
      </c>
      <c r="AX3465">
        <v>671</v>
      </c>
      <c r="AZ3465" t="s">
        <v>101</v>
      </c>
      <c r="BA3465">
        <v>1</v>
      </c>
      <c r="BC3465" t="s">
        <v>7034</v>
      </c>
      <c r="BD3465" s="4">
        <v>43283.32916666667</v>
      </c>
      <c r="BE3465" s="4">
        <v>43283.371249999997</v>
      </c>
      <c r="BF3465" s="4">
        <v>43283.371249999997</v>
      </c>
      <c r="BG3465" t="s">
        <v>83</v>
      </c>
      <c r="BH3465" t="s">
        <v>84</v>
      </c>
      <c r="BI3465" t="s">
        <v>85</v>
      </c>
    </row>
    <row r="3466" spans="1:61" x14ac:dyDescent="0.3">
      <c r="A3466" t="str">
        <f>"201741E0100"</f>
        <v>201741E0100</v>
      </c>
      <c r="B3466" s="2" t="s">
        <v>7035</v>
      </c>
      <c r="C3466">
        <v>20</v>
      </c>
      <c r="D3466" t="s">
        <v>79</v>
      </c>
      <c r="E3466">
        <v>16</v>
      </c>
      <c r="F3466" t="s">
        <v>6725</v>
      </c>
      <c r="G3466">
        <v>1741</v>
      </c>
      <c r="H3466">
        <v>1</v>
      </c>
      <c r="I3466" t="s">
        <v>145</v>
      </c>
      <c r="J3466">
        <v>0</v>
      </c>
      <c r="K3466">
        <v>2</v>
      </c>
      <c r="L3466">
        <v>2</v>
      </c>
      <c r="M3466">
        <v>204</v>
      </c>
      <c r="N3466" t="s">
        <v>100</v>
      </c>
      <c r="O3466" t="s">
        <v>100</v>
      </c>
      <c r="P3466" t="s">
        <v>100</v>
      </c>
      <c r="Q3466">
        <v>8</v>
      </c>
      <c r="R3466">
        <v>22</v>
      </c>
      <c r="S3466">
        <v>22</v>
      </c>
      <c r="T3466">
        <v>3</v>
      </c>
      <c r="U3466">
        <v>29</v>
      </c>
      <c r="V3466">
        <v>3</v>
      </c>
      <c r="W3466">
        <v>2</v>
      </c>
      <c r="X3466">
        <v>3</v>
      </c>
      <c r="Y3466" t="s">
        <v>315</v>
      </c>
      <c r="Z3466">
        <v>11</v>
      </c>
      <c r="AA3466" t="s">
        <v>100</v>
      </c>
      <c r="AC3466" t="s">
        <v>100</v>
      </c>
      <c r="AD3466" t="s">
        <v>100</v>
      </c>
      <c r="AE3466" t="s">
        <v>100</v>
      </c>
      <c r="AF3466" t="s">
        <v>100</v>
      </c>
      <c r="AK3466">
        <v>6</v>
      </c>
      <c r="AL3466">
        <v>2</v>
      </c>
      <c r="AM3466">
        <v>3</v>
      </c>
      <c r="AN3466">
        <v>3</v>
      </c>
      <c r="AO3466" t="s">
        <v>100</v>
      </c>
      <c r="AP3466" t="s">
        <v>100</v>
      </c>
      <c r="AQ3466" t="s">
        <v>100</v>
      </c>
      <c r="AR3466" t="s">
        <v>100</v>
      </c>
      <c r="AT3466" t="s">
        <v>100</v>
      </c>
      <c r="AU3466" t="s">
        <v>100</v>
      </c>
      <c r="AV3466">
        <v>241</v>
      </c>
      <c r="AW3466">
        <v>117</v>
      </c>
      <c r="AX3466">
        <v>423</v>
      </c>
      <c r="AZ3466" t="s">
        <v>101</v>
      </c>
      <c r="BA3466">
        <v>1</v>
      </c>
      <c r="BC3466" t="s">
        <v>7036</v>
      </c>
      <c r="BD3466" s="4">
        <v>43283.32916666667</v>
      </c>
      <c r="BE3466" s="4">
        <v>43283.400567129633</v>
      </c>
      <c r="BF3466" s="4">
        <v>43283.400567129633</v>
      </c>
      <c r="BG3466" t="s">
        <v>83</v>
      </c>
      <c r="BH3466" t="s">
        <v>84</v>
      </c>
      <c r="BI3466" t="s">
        <v>85</v>
      </c>
    </row>
    <row r="3467" spans="1:61" x14ac:dyDescent="0.3">
      <c r="A3467" t="str">
        <f>"201741E0200"</f>
        <v>201741E0200</v>
      </c>
      <c r="B3467" s="2" t="s">
        <v>7037</v>
      </c>
      <c r="C3467">
        <v>20</v>
      </c>
      <c r="D3467" t="s">
        <v>79</v>
      </c>
      <c r="E3467">
        <v>16</v>
      </c>
      <c r="F3467" t="s">
        <v>6725</v>
      </c>
      <c r="G3467">
        <v>1741</v>
      </c>
      <c r="H3467">
        <v>2</v>
      </c>
      <c r="I3467" t="s">
        <v>145</v>
      </c>
      <c r="J3467">
        <v>0</v>
      </c>
      <c r="K3467">
        <v>2</v>
      </c>
      <c r="L3467">
        <v>2</v>
      </c>
      <c r="M3467">
        <v>216</v>
      </c>
      <c r="N3467">
        <v>256</v>
      </c>
      <c r="O3467">
        <v>0</v>
      </c>
      <c r="P3467">
        <v>256</v>
      </c>
      <c r="Q3467">
        <v>15</v>
      </c>
      <c r="R3467">
        <v>26</v>
      </c>
      <c r="S3467">
        <v>29</v>
      </c>
      <c r="T3467">
        <v>9</v>
      </c>
      <c r="U3467">
        <v>31</v>
      </c>
      <c r="V3467">
        <v>0</v>
      </c>
      <c r="W3467">
        <v>13</v>
      </c>
      <c r="X3467">
        <v>5</v>
      </c>
      <c r="Y3467">
        <v>98</v>
      </c>
      <c r="Z3467">
        <v>5</v>
      </c>
      <c r="AA3467">
        <v>0</v>
      </c>
      <c r="AC3467">
        <v>2</v>
      </c>
      <c r="AD3467">
        <v>0</v>
      </c>
      <c r="AE3467">
        <v>0</v>
      </c>
      <c r="AF3467">
        <v>0</v>
      </c>
      <c r="AK3467">
        <v>2</v>
      </c>
      <c r="AL3467">
        <v>0</v>
      </c>
      <c r="AM3467">
        <v>0</v>
      </c>
      <c r="AN3467">
        <v>0</v>
      </c>
      <c r="AO3467">
        <v>0</v>
      </c>
      <c r="AP3467">
        <v>1</v>
      </c>
      <c r="AQ3467">
        <v>0</v>
      </c>
      <c r="AR3467">
        <v>0</v>
      </c>
      <c r="AT3467">
        <v>0</v>
      </c>
      <c r="AU3467">
        <v>20</v>
      </c>
      <c r="AV3467">
        <v>256</v>
      </c>
      <c r="AW3467">
        <v>256</v>
      </c>
      <c r="AX3467">
        <v>450</v>
      </c>
      <c r="BA3467">
        <v>1</v>
      </c>
      <c r="BC3467" t="s">
        <v>7038</v>
      </c>
      <c r="BD3467" s="4">
        <v>43283.32916666667</v>
      </c>
      <c r="BE3467" s="4">
        <v>43283.368020833332</v>
      </c>
      <c r="BF3467" s="4">
        <v>43283.368020833332</v>
      </c>
      <c r="BG3467" t="s">
        <v>83</v>
      </c>
      <c r="BH3467" t="s">
        <v>84</v>
      </c>
      <c r="BI3467" t="s">
        <v>85</v>
      </c>
    </row>
    <row r="3468" spans="1:61" x14ac:dyDescent="0.3">
      <c r="A3468" t="str">
        <f>"201741E0300"</f>
        <v>201741E0300</v>
      </c>
      <c r="B3468" s="2" t="s">
        <v>7039</v>
      </c>
      <c r="C3468">
        <v>20</v>
      </c>
      <c r="D3468" t="s">
        <v>79</v>
      </c>
      <c r="E3468">
        <v>16</v>
      </c>
      <c r="F3468" t="s">
        <v>6725</v>
      </c>
      <c r="G3468">
        <v>1741</v>
      </c>
      <c r="H3468">
        <v>3</v>
      </c>
      <c r="I3468" t="s">
        <v>145</v>
      </c>
      <c r="J3468">
        <v>0</v>
      </c>
      <c r="K3468">
        <v>2</v>
      </c>
      <c r="L3468">
        <v>2</v>
      </c>
      <c r="M3468">
        <v>86</v>
      </c>
      <c r="N3468">
        <v>104</v>
      </c>
      <c r="O3468">
        <v>5</v>
      </c>
      <c r="P3468">
        <v>104</v>
      </c>
      <c r="Q3468">
        <v>7</v>
      </c>
      <c r="R3468">
        <v>6</v>
      </c>
      <c r="S3468">
        <v>8</v>
      </c>
      <c r="T3468">
        <v>4</v>
      </c>
      <c r="U3468">
        <v>22</v>
      </c>
      <c r="V3468">
        <v>3</v>
      </c>
      <c r="W3468">
        <v>2</v>
      </c>
      <c r="X3468">
        <v>2</v>
      </c>
      <c r="Y3468">
        <v>32</v>
      </c>
      <c r="Z3468">
        <v>7</v>
      </c>
      <c r="AA3468">
        <v>0</v>
      </c>
      <c r="AC3468">
        <v>0</v>
      </c>
      <c r="AD3468">
        <v>0</v>
      </c>
      <c r="AE3468">
        <v>0</v>
      </c>
      <c r="AF3468">
        <v>0</v>
      </c>
      <c r="AK3468">
        <v>1</v>
      </c>
      <c r="AL3468">
        <v>1</v>
      </c>
      <c r="AM3468">
        <v>1</v>
      </c>
      <c r="AN3468">
        <v>1</v>
      </c>
      <c r="AO3468">
        <v>0</v>
      </c>
      <c r="AP3468">
        <v>0</v>
      </c>
      <c r="AQ3468">
        <v>0</v>
      </c>
      <c r="AR3468">
        <v>0</v>
      </c>
      <c r="AT3468">
        <v>0</v>
      </c>
      <c r="AU3468">
        <v>7</v>
      </c>
      <c r="AV3468">
        <v>104</v>
      </c>
      <c r="AW3468">
        <v>104</v>
      </c>
      <c r="AX3468">
        <v>168</v>
      </c>
      <c r="BA3468">
        <v>1</v>
      </c>
      <c r="BC3468" t="s">
        <v>7040</v>
      </c>
      <c r="BD3468" s="4">
        <v>43283.32916666667</v>
      </c>
      <c r="BE3468" s="4">
        <v>43283.36755787037</v>
      </c>
      <c r="BF3468" s="4">
        <v>43283.36755787037</v>
      </c>
      <c r="BG3468" t="s">
        <v>83</v>
      </c>
      <c r="BH3468" t="s">
        <v>84</v>
      </c>
      <c r="BI3468" t="s">
        <v>85</v>
      </c>
    </row>
    <row r="3469" spans="1:61" x14ac:dyDescent="0.3">
      <c r="A3469" t="str">
        <f>"201742B0100"</f>
        <v>201742B0100</v>
      </c>
      <c r="B3469" t="s">
        <v>7041</v>
      </c>
      <c r="C3469">
        <v>20</v>
      </c>
      <c r="D3469" t="s">
        <v>79</v>
      </c>
      <c r="E3469">
        <v>16</v>
      </c>
      <c r="F3469" t="s">
        <v>6725</v>
      </c>
      <c r="G3469">
        <v>1742</v>
      </c>
      <c r="H3469">
        <v>1</v>
      </c>
      <c r="I3469" t="s">
        <v>81</v>
      </c>
      <c r="J3469">
        <v>0</v>
      </c>
      <c r="K3469">
        <v>1</v>
      </c>
      <c r="L3469">
        <v>2</v>
      </c>
      <c r="M3469">
        <v>291</v>
      </c>
      <c r="N3469">
        <v>291</v>
      </c>
      <c r="O3469">
        <v>0</v>
      </c>
      <c r="P3469">
        <v>145</v>
      </c>
      <c r="Q3469">
        <v>11</v>
      </c>
      <c r="R3469">
        <v>43</v>
      </c>
      <c r="S3469">
        <v>15</v>
      </c>
      <c r="T3469">
        <v>3</v>
      </c>
      <c r="U3469">
        <v>8</v>
      </c>
      <c r="V3469">
        <v>3</v>
      </c>
      <c r="W3469">
        <v>0</v>
      </c>
      <c r="X3469">
        <v>2</v>
      </c>
      <c r="Y3469">
        <v>44</v>
      </c>
      <c r="Z3469">
        <v>5</v>
      </c>
      <c r="AA3469">
        <v>1</v>
      </c>
      <c r="AC3469">
        <v>0</v>
      </c>
      <c r="AD3469">
        <v>2</v>
      </c>
      <c r="AE3469">
        <v>0</v>
      </c>
      <c r="AF3469">
        <v>0</v>
      </c>
      <c r="AK3469">
        <v>0</v>
      </c>
      <c r="AL3469">
        <v>0</v>
      </c>
      <c r="AM3469">
        <v>0</v>
      </c>
      <c r="AN3469">
        <v>1</v>
      </c>
      <c r="AO3469">
        <v>0</v>
      </c>
      <c r="AP3469">
        <v>0</v>
      </c>
      <c r="AQ3469">
        <v>0</v>
      </c>
      <c r="AR3469">
        <v>0</v>
      </c>
      <c r="AT3469">
        <v>0</v>
      </c>
      <c r="AU3469">
        <v>7</v>
      </c>
      <c r="AV3469">
        <v>145</v>
      </c>
      <c r="AW3469">
        <v>145</v>
      </c>
      <c r="AX3469">
        <v>414</v>
      </c>
      <c r="BA3469">
        <v>1</v>
      </c>
      <c r="BC3469" t="s">
        <v>7042</v>
      </c>
      <c r="BD3469" s="4">
        <v>43283.068055555559</v>
      </c>
      <c r="BE3469" s="4">
        <v>43283.171307870369</v>
      </c>
      <c r="BF3469" s="4">
        <v>43283.171307870369</v>
      </c>
      <c r="BG3469" t="s">
        <v>83</v>
      </c>
      <c r="BH3469" t="s">
        <v>84</v>
      </c>
      <c r="BI3469" t="s">
        <v>85</v>
      </c>
    </row>
    <row r="3470" spans="1:61" x14ac:dyDescent="0.3">
      <c r="A3470" t="str">
        <f>"201742C0100"</f>
        <v>201742C0100</v>
      </c>
      <c r="B3470" t="s">
        <v>7043</v>
      </c>
      <c r="C3470">
        <v>20</v>
      </c>
      <c r="D3470" t="s">
        <v>79</v>
      </c>
      <c r="E3470">
        <v>16</v>
      </c>
      <c r="F3470" t="s">
        <v>6725</v>
      </c>
      <c r="G3470">
        <v>1742</v>
      </c>
      <c r="H3470">
        <v>1</v>
      </c>
      <c r="I3470" t="s">
        <v>89</v>
      </c>
      <c r="J3470">
        <v>0</v>
      </c>
      <c r="K3470">
        <v>1</v>
      </c>
      <c r="L3470">
        <v>2</v>
      </c>
      <c r="M3470">
        <v>272</v>
      </c>
      <c r="N3470">
        <v>163</v>
      </c>
      <c r="O3470">
        <v>0</v>
      </c>
      <c r="P3470">
        <v>163</v>
      </c>
      <c r="Q3470">
        <v>15</v>
      </c>
      <c r="R3470">
        <v>42</v>
      </c>
      <c r="S3470">
        <v>14</v>
      </c>
      <c r="T3470">
        <v>1</v>
      </c>
      <c r="U3470">
        <v>7</v>
      </c>
      <c r="V3470">
        <v>3</v>
      </c>
      <c r="W3470">
        <v>0</v>
      </c>
      <c r="X3470">
        <v>2</v>
      </c>
      <c r="Y3470">
        <v>53</v>
      </c>
      <c r="Z3470">
        <v>2</v>
      </c>
      <c r="AA3470">
        <v>1</v>
      </c>
      <c r="AC3470">
        <v>0</v>
      </c>
      <c r="AD3470">
        <v>1</v>
      </c>
      <c r="AE3470">
        <v>0</v>
      </c>
      <c r="AF3470">
        <v>0</v>
      </c>
      <c r="AK3470">
        <v>1</v>
      </c>
      <c r="AL3470">
        <v>1</v>
      </c>
      <c r="AM3470">
        <v>1</v>
      </c>
      <c r="AN3470">
        <v>3</v>
      </c>
      <c r="AO3470">
        <v>0</v>
      </c>
      <c r="AP3470">
        <v>0</v>
      </c>
      <c r="AQ3470">
        <v>0</v>
      </c>
      <c r="AR3470">
        <v>0</v>
      </c>
      <c r="AT3470">
        <v>0</v>
      </c>
      <c r="AU3470">
        <v>16</v>
      </c>
      <c r="AV3470" t="s">
        <v>315</v>
      </c>
      <c r="AW3470">
        <v>163</v>
      </c>
      <c r="AX3470">
        <v>413</v>
      </c>
      <c r="BA3470">
        <v>1</v>
      </c>
      <c r="BC3470" t="s">
        <v>7044</v>
      </c>
      <c r="BD3470" s="4">
        <v>43283.068055555559</v>
      </c>
      <c r="BE3470" s="4">
        <v>43283.162939814814</v>
      </c>
      <c r="BF3470" s="4">
        <v>43283.162939814814</v>
      </c>
      <c r="BG3470" t="s">
        <v>83</v>
      </c>
      <c r="BH3470" t="s">
        <v>84</v>
      </c>
      <c r="BI3470" t="s">
        <v>85</v>
      </c>
    </row>
    <row r="3471" spans="1:61" x14ac:dyDescent="0.3">
      <c r="A3471" t="str">
        <f>"201776B0100"</f>
        <v>201776B0100</v>
      </c>
      <c r="B3471" t="s">
        <v>7045</v>
      </c>
      <c r="C3471">
        <v>20</v>
      </c>
      <c r="D3471" t="s">
        <v>79</v>
      </c>
      <c r="E3471">
        <v>16</v>
      </c>
      <c r="F3471" t="s">
        <v>6725</v>
      </c>
      <c r="G3471">
        <v>1776</v>
      </c>
      <c r="H3471">
        <v>1</v>
      </c>
      <c r="I3471" t="s">
        <v>81</v>
      </c>
      <c r="J3471">
        <v>0</v>
      </c>
      <c r="K3471">
        <v>2</v>
      </c>
      <c r="L3471">
        <v>2</v>
      </c>
      <c r="M3471">
        <v>423</v>
      </c>
      <c r="N3471">
        <v>286</v>
      </c>
      <c r="O3471">
        <v>0</v>
      </c>
      <c r="P3471">
        <v>286</v>
      </c>
      <c r="Q3471">
        <v>15</v>
      </c>
      <c r="R3471">
        <v>68</v>
      </c>
      <c r="S3471">
        <v>48</v>
      </c>
      <c r="T3471">
        <v>5</v>
      </c>
      <c r="U3471">
        <v>15</v>
      </c>
      <c r="V3471">
        <v>7</v>
      </c>
      <c r="W3471">
        <v>3</v>
      </c>
      <c r="X3471">
        <v>3</v>
      </c>
      <c r="Y3471">
        <v>94</v>
      </c>
      <c r="Z3471">
        <v>4</v>
      </c>
      <c r="AA3471">
        <v>2</v>
      </c>
      <c r="AC3471">
        <v>2</v>
      </c>
      <c r="AD3471">
        <v>0</v>
      </c>
      <c r="AE3471">
        <v>0</v>
      </c>
      <c r="AF3471">
        <v>0</v>
      </c>
      <c r="AK3471">
        <v>3</v>
      </c>
      <c r="AL3471">
        <v>3</v>
      </c>
      <c r="AM3471">
        <v>0</v>
      </c>
      <c r="AN3471">
        <v>0</v>
      </c>
      <c r="AO3471">
        <v>0</v>
      </c>
      <c r="AP3471">
        <v>2</v>
      </c>
      <c r="AQ3471">
        <v>0</v>
      </c>
      <c r="AR3471">
        <v>0</v>
      </c>
      <c r="AT3471">
        <v>0</v>
      </c>
      <c r="AU3471">
        <v>12</v>
      </c>
      <c r="AV3471">
        <v>286</v>
      </c>
      <c r="AW3471">
        <v>286</v>
      </c>
      <c r="AX3471">
        <v>691</v>
      </c>
      <c r="BA3471">
        <v>1</v>
      </c>
      <c r="BC3471" t="s">
        <v>7046</v>
      </c>
      <c r="BD3471" s="4">
        <v>43283.279861111114</v>
      </c>
      <c r="BE3471" s="4">
        <v>43283.337094907409</v>
      </c>
      <c r="BF3471" s="4">
        <v>43283.337094907409</v>
      </c>
      <c r="BG3471" t="s">
        <v>83</v>
      </c>
      <c r="BH3471" t="s">
        <v>84</v>
      </c>
      <c r="BI3471" t="s">
        <v>85</v>
      </c>
    </row>
    <row r="3472" spans="1:61" x14ac:dyDescent="0.3">
      <c r="A3472" t="str">
        <f>"201776C0100"</f>
        <v>201776C0100</v>
      </c>
      <c r="B3472" t="s">
        <v>7047</v>
      </c>
      <c r="C3472">
        <v>20</v>
      </c>
      <c r="D3472" t="s">
        <v>79</v>
      </c>
      <c r="E3472">
        <v>16</v>
      </c>
      <c r="F3472" t="s">
        <v>6725</v>
      </c>
      <c r="G3472">
        <v>1776</v>
      </c>
      <c r="H3472">
        <v>1</v>
      </c>
      <c r="I3472" t="s">
        <v>89</v>
      </c>
      <c r="J3472">
        <v>0</v>
      </c>
      <c r="K3472">
        <v>2</v>
      </c>
      <c r="L3472">
        <v>2</v>
      </c>
      <c r="AX3472">
        <v>691</v>
      </c>
      <c r="AZ3472" t="s">
        <v>156</v>
      </c>
      <c r="BA3472">
        <v>0</v>
      </c>
      <c r="BC3472" t="s">
        <v>7048</v>
      </c>
      <c r="BD3472" s="4">
        <v>43283.646527777775</v>
      </c>
      <c r="BE3472" s="4">
        <v>43283.652175925927</v>
      </c>
      <c r="BF3472" s="4">
        <v>43283.652175925927</v>
      </c>
      <c r="BG3472" t="s">
        <v>83</v>
      </c>
      <c r="BH3472" t="s">
        <v>84</v>
      </c>
      <c r="BI3472" t="s">
        <v>85</v>
      </c>
    </row>
    <row r="3473" spans="1:61" x14ac:dyDescent="0.3">
      <c r="A3473" t="str">
        <f>"201776C0200"</f>
        <v>201776C0200</v>
      </c>
      <c r="B3473" t="s">
        <v>7049</v>
      </c>
      <c r="C3473">
        <v>20</v>
      </c>
      <c r="D3473" t="s">
        <v>79</v>
      </c>
      <c r="E3473">
        <v>16</v>
      </c>
      <c r="F3473" t="s">
        <v>6725</v>
      </c>
      <c r="G3473">
        <v>1776</v>
      </c>
      <c r="H3473">
        <v>2</v>
      </c>
      <c r="I3473" t="s">
        <v>89</v>
      </c>
      <c r="J3473">
        <v>0</v>
      </c>
      <c r="K3473">
        <v>2</v>
      </c>
      <c r="L3473">
        <v>2</v>
      </c>
      <c r="M3473">
        <v>413</v>
      </c>
      <c r="N3473">
        <v>299</v>
      </c>
      <c r="O3473">
        <v>7</v>
      </c>
      <c r="P3473">
        <v>300</v>
      </c>
      <c r="Q3473">
        <v>19</v>
      </c>
      <c r="R3473">
        <v>69</v>
      </c>
      <c r="S3473">
        <v>50</v>
      </c>
      <c r="T3473">
        <v>9</v>
      </c>
      <c r="U3473">
        <v>19</v>
      </c>
      <c r="V3473">
        <v>4</v>
      </c>
      <c r="W3473">
        <v>4</v>
      </c>
      <c r="X3473">
        <v>3</v>
      </c>
      <c r="Y3473">
        <v>97</v>
      </c>
      <c r="Z3473">
        <v>4</v>
      </c>
      <c r="AA3473">
        <v>0</v>
      </c>
      <c r="AC3473">
        <v>2</v>
      </c>
      <c r="AD3473">
        <v>0</v>
      </c>
      <c r="AE3473">
        <v>0</v>
      </c>
      <c r="AF3473">
        <v>1</v>
      </c>
      <c r="AK3473">
        <v>3</v>
      </c>
      <c r="AL3473">
        <v>5</v>
      </c>
      <c r="AM3473">
        <v>0</v>
      </c>
      <c r="AN3473">
        <v>0</v>
      </c>
      <c r="AO3473">
        <v>0</v>
      </c>
      <c r="AP3473">
        <v>0</v>
      </c>
      <c r="AQ3473">
        <v>0</v>
      </c>
      <c r="AR3473">
        <v>0</v>
      </c>
      <c r="AT3473">
        <v>0</v>
      </c>
      <c r="AU3473">
        <v>11</v>
      </c>
      <c r="AV3473">
        <v>300</v>
      </c>
      <c r="AW3473">
        <v>300</v>
      </c>
      <c r="AX3473">
        <v>691</v>
      </c>
      <c r="BA3473">
        <v>1</v>
      </c>
      <c r="BC3473" t="s">
        <v>7050</v>
      </c>
      <c r="BD3473" s="4">
        <v>43283.279861111114</v>
      </c>
      <c r="BE3473" s="4">
        <v>43283.337152777778</v>
      </c>
      <c r="BF3473" s="4">
        <v>43283.337152777778</v>
      </c>
      <c r="BG3473" t="s">
        <v>83</v>
      </c>
      <c r="BH3473" t="s">
        <v>84</v>
      </c>
      <c r="BI3473" t="s">
        <v>85</v>
      </c>
    </row>
    <row r="3474" spans="1:61" x14ac:dyDescent="0.3">
      <c r="A3474" t="str">
        <f>"201776C0300"</f>
        <v>201776C0300</v>
      </c>
      <c r="B3474" t="s">
        <v>7051</v>
      </c>
      <c r="C3474">
        <v>20</v>
      </c>
      <c r="D3474" t="s">
        <v>79</v>
      </c>
      <c r="E3474">
        <v>16</v>
      </c>
      <c r="F3474" t="s">
        <v>6725</v>
      </c>
      <c r="G3474">
        <v>1776</v>
      </c>
      <c r="H3474">
        <v>3</v>
      </c>
      <c r="I3474" t="s">
        <v>89</v>
      </c>
      <c r="J3474">
        <v>0</v>
      </c>
      <c r="K3474">
        <v>2</v>
      </c>
      <c r="L3474">
        <v>2</v>
      </c>
      <c r="M3474">
        <v>422</v>
      </c>
      <c r="N3474">
        <v>293</v>
      </c>
      <c r="O3474">
        <v>4</v>
      </c>
      <c r="P3474" t="s">
        <v>100</v>
      </c>
      <c r="Q3474">
        <v>20</v>
      </c>
      <c r="R3474">
        <v>57</v>
      </c>
      <c r="S3474">
        <v>46</v>
      </c>
      <c r="T3474">
        <v>1</v>
      </c>
      <c r="U3474">
        <v>13</v>
      </c>
      <c r="V3474">
        <v>3</v>
      </c>
      <c r="W3474">
        <v>6</v>
      </c>
      <c r="X3474">
        <v>2</v>
      </c>
      <c r="Y3474">
        <v>101</v>
      </c>
      <c r="Z3474">
        <v>3</v>
      </c>
      <c r="AA3474">
        <v>0</v>
      </c>
      <c r="AC3474">
        <v>1</v>
      </c>
      <c r="AD3474">
        <v>1</v>
      </c>
      <c r="AE3474">
        <v>0</v>
      </c>
      <c r="AF3474">
        <v>0</v>
      </c>
      <c r="AK3474">
        <v>10</v>
      </c>
      <c r="AL3474">
        <v>2</v>
      </c>
      <c r="AM3474">
        <v>1</v>
      </c>
      <c r="AN3474">
        <v>0</v>
      </c>
      <c r="AO3474">
        <v>0</v>
      </c>
      <c r="AP3474">
        <v>0</v>
      </c>
      <c r="AQ3474">
        <v>0</v>
      </c>
      <c r="AR3474">
        <v>0</v>
      </c>
      <c r="AT3474">
        <v>1</v>
      </c>
      <c r="AU3474">
        <v>11</v>
      </c>
      <c r="AV3474">
        <v>11</v>
      </c>
      <c r="AW3474">
        <v>279</v>
      </c>
      <c r="AX3474">
        <v>691</v>
      </c>
      <c r="BA3474">
        <v>1</v>
      </c>
      <c r="BC3474" t="s">
        <v>7052</v>
      </c>
      <c r="BD3474" s="4">
        <v>43283.279861111114</v>
      </c>
      <c r="BE3474" s="4">
        <v>43283.331041666665</v>
      </c>
      <c r="BF3474" s="4">
        <v>43283.331041666665</v>
      </c>
      <c r="BG3474" t="s">
        <v>83</v>
      </c>
      <c r="BH3474" t="s">
        <v>84</v>
      </c>
      <c r="BI3474" t="s">
        <v>85</v>
      </c>
    </row>
    <row r="3475" spans="1:61" x14ac:dyDescent="0.3">
      <c r="A3475" t="str">
        <f>"201827B0100"</f>
        <v>201827B0100</v>
      </c>
      <c r="B3475" t="s">
        <v>7053</v>
      </c>
      <c r="C3475">
        <v>20</v>
      </c>
      <c r="D3475" t="s">
        <v>79</v>
      </c>
      <c r="E3475">
        <v>16</v>
      </c>
      <c r="F3475" t="s">
        <v>6725</v>
      </c>
      <c r="G3475">
        <v>1827</v>
      </c>
      <c r="H3475">
        <v>1</v>
      </c>
      <c r="I3475" t="s">
        <v>81</v>
      </c>
      <c r="J3475">
        <v>0</v>
      </c>
      <c r="K3475">
        <v>2</v>
      </c>
      <c r="L3475">
        <v>2</v>
      </c>
      <c r="M3475">
        <v>304</v>
      </c>
      <c r="N3475">
        <v>447</v>
      </c>
      <c r="O3475">
        <v>0</v>
      </c>
      <c r="P3475">
        <v>455</v>
      </c>
      <c r="Q3475">
        <v>29</v>
      </c>
      <c r="R3475">
        <v>74</v>
      </c>
      <c r="S3475">
        <v>32</v>
      </c>
      <c r="T3475">
        <v>13</v>
      </c>
      <c r="U3475">
        <v>40</v>
      </c>
      <c r="V3475">
        <v>7</v>
      </c>
      <c r="W3475">
        <v>7</v>
      </c>
      <c r="X3475">
        <v>8</v>
      </c>
      <c r="Y3475">
        <v>189</v>
      </c>
      <c r="Z3475">
        <v>17</v>
      </c>
      <c r="AA3475">
        <v>2</v>
      </c>
      <c r="AC3475">
        <v>5</v>
      </c>
      <c r="AD3475">
        <v>0</v>
      </c>
      <c r="AE3475">
        <v>0</v>
      </c>
      <c r="AF3475">
        <v>0</v>
      </c>
      <c r="AK3475">
        <v>6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2</v>
      </c>
      <c r="AR3475">
        <v>0</v>
      </c>
      <c r="AT3475">
        <v>0</v>
      </c>
      <c r="AU3475">
        <v>17</v>
      </c>
      <c r="AV3475">
        <v>455</v>
      </c>
      <c r="AW3475">
        <v>448</v>
      </c>
      <c r="AX3475">
        <v>730</v>
      </c>
      <c r="BA3475">
        <v>1</v>
      </c>
      <c r="BC3475" t="s">
        <v>7054</v>
      </c>
      <c r="BD3475" s="4">
        <v>43283.523611111108</v>
      </c>
      <c r="BE3475" s="4">
        <v>43283.535046296296</v>
      </c>
      <c r="BF3475" s="4">
        <v>43283.535046296296</v>
      </c>
      <c r="BG3475" t="s">
        <v>83</v>
      </c>
      <c r="BH3475" t="s">
        <v>84</v>
      </c>
      <c r="BI3475" t="s">
        <v>85</v>
      </c>
    </row>
    <row r="3476" spans="1:61" x14ac:dyDescent="0.3">
      <c r="A3476" t="str">
        <f>"201827C0100"</f>
        <v>201827C0100</v>
      </c>
      <c r="B3476" t="s">
        <v>7055</v>
      </c>
      <c r="C3476">
        <v>20</v>
      </c>
      <c r="D3476" t="s">
        <v>79</v>
      </c>
      <c r="E3476">
        <v>16</v>
      </c>
      <c r="F3476" t="s">
        <v>6725</v>
      </c>
      <c r="G3476">
        <v>1827</v>
      </c>
      <c r="H3476">
        <v>1</v>
      </c>
      <c r="I3476" t="s">
        <v>89</v>
      </c>
      <c r="J3476">
        <v>0</v>
      </c>
      <c r="K3476">
        <v>2</v>
      </c>
      <c r="L3476">
        <v>2</v>
      </c>
      <c r="M3476">
        <v>322</v>
      </c>
      <c r="N3476">
        <v>431</v>
      </c>
      <c r="O3476">
        <v>0</v>
      </c>
      <c r="P3476">
        <v>431</v>
      </c>
      <c r="Q3476">
        <v>30</v>
      </c>
      <c r="R3476">
        <v>68</v>
      </c>
      <c r="S3476">
        <v>22</v>
      </c>
      <c r="T3476">
        <v>10</v>
      </c>
      <c r="U3476">
        <v>23</v>
      </c>
      <c r="V3476">
        <v>10</v>
      </c>
      <c r="W3476">
        <v>6</v>
      </c>
      <c r="X3476">
        <v>6</v>
      </c>
      <c r="Y3476">
        <v>204</v>
      </c>
      <c r="Z3476">
        <v>13</v>
      </c>
      <c r="AA3476">
        <v>2</v>
      </c>
      <c r="AC3476">
        <v>1</v>
      </c>
      <c r="AD3476">
        <v>0</v>
      </c>
      <c r="AE3476">
        <v>0</v>
      </c>
      <c r="AF3476">
        <v>0</v>
      </c>
      <c r="AK3476">
        <v>11</v>
      </c>
      <c r="AL3476">
        <v>3</v>
      </c>
      <c r="AM3476">
        <v>2</v>
      </c>
      <c r="AN3476">
        <v>1</v>
      </c>
      <c r="AO3476">
        <v>0</v>
      </c>
      <c r="AP3476">
        <v>3</v>
      </c>
      <c r="AQ3476">
        <v>0</v>
      </c>
      <c r="AR3476">
        <v>0</v>
      </c>
      <c r="AT3476">
        <v>0</v>
      </c>
      <c r="AU3476">
        <v>15</v>
      </c>
      <c r="AV3476">
        <v>431</v>
      </c>
      <c r="AW3476">
        <v>430</v>
      </c>
      <c r="AX3476">
        <v>730</v>
      </c>
      <c r="BA3476">
        <v>1</v>
      </c>
      <c r="BC3476" t="s">
        <v>7056</v>
      </c>
      <c r="BD3476" s="4">
        <v>43283.523611111108</v>
      </c>
      <c r="BE3476" s="4">
        <v>43283.534895833334</v>
      </c>
      <c r="BF3476" s="4">
        <v>43283.534895833334</v>
      </c>
      <c r="BG3476" t="s">
        <v>83</v>
      </c>
      <c r="BH3476" t="s">
        <v>84</v>
      </c>
      <c r="BI3476" t="s">
        <v>85</v>
      </c>
    </row>
    <row r="3477" spans="1:61" x14ac:dyDescent="0.3">
      <c r="A3477" t="str">
        <f>"201827C0200"</f>
        <v>201827C0200</v>
      </c>
      <c r="B3477" t="s">
        <v>7057</v>
      </c>
      <c r="C3477">
        <v>20</v>
      </c>
      <c r="D3477" t="s">
        <v>79</v>
      </c>
      <c r="E3477">
        <v>16</v>
      </c>
      <c r="F3477" t="s">
        <v>6725</v>
      </c>
      <c r="G3477">
        <v>1827</v>
      </c>
      <c r="H3477">
        <v>2</v>
      </c>
      <c r="I3477" t="s">
        <v>89</v>
      </c>
      <c r="J3477">
        <v>0</v>
      </c>
      <c r="K3477">
        <v>2</v>
      </c>
      <c r="L3477">
        <v>2</v>
      </c>
      <c r="M3477">
        <v>295</v>
      </c>
      <c r="N3477">
        <v>456</v>
      </c>
      <c r="O3477">
        <v>1</v>
      </c>
      <c r="P3477">
        <v>457</v>
      </c>
      <c r="Q3477">
        <v>29</v>
      </c>
      <c r="R3477">
        <v>75</v>
      </c>
      <c r="S3477">
        <v>23</v>
      </c>
      <c r="T3477">
        <v>10</v>
      </c>
      <c r="U3477">
        <v>27</v>
      </c>
      <c r="V3477">
        <v>10</v>
      </c>
      <c r="W3477">
        <v>8</v>
      </c>
      <c r="X3477">
        <v>9</v>
      </c>
      <c r="Y3477">
        <v>212</v>
      </c>
      <c r="Z3477">
        <v>12</v>
      </c>
      <c r="AA3477">
        <v>3</v>
      </c>
      <c r="AC3477">
        <v>0</v>
      </c>
      <c r="AD3477">
        <v>0</v>
      </c>
      <c r="AE3477">
        <v>1</v>
      </c>
      <c r="AF3477">
        <v>1</v>
      </c>
      <c r="AK3477">
        <v>5</v>
      </c>
      <c r="AL3477">
        <v>0</v>
      </c>
      <c r="AM3477">
        <v>0</v>
      </c>
      <c r="AN3477">
        <v>5</v>
      </c>
      <c r="AO3477">
        <v>0</v>
      </c>
      <c r="AP3477">
        <v>5</v>
      </c>
      <c r="AQ3477">
        <v>0</v>
      </c>
      <c r="AR3477">
        <v>0</v>
      </c>
      <c r="AT3477">
        <v>0</v>
      </c>
      <c r="AU3477">
        <v>21</v>
      </c>
      <c r="AV3477">
        <v>457</v>
      </c>
      <c r="AW3477">
        <v>456</v>
      </c>
      <c r="AX3477">
        <v>729</v>
      </c>
      <c r="BA3477">
        <v>1</v>
      </c>
      <c r="BC3477" t="s">
        <v>7058</v>
      </c>
      <c r="BD3477" s="4">
        <v>43283.523611111108</v>
      </c>
      <c r="BE3477" s="4">
        <v>43283.539664351854</v>
      </c>
      <c r="BF3477" s="4">
        <v>43283.539664351854</v>
      </c>
      <c r="BG3477" t="s">
        <v>83</v>
      </c>
      <c r="BH3477" t="s">
        <v>84</v>
      </c>
      <c r="BI3477" t="s">
        <v>85</v>
      </c>
    </row>
    <row r="3478" spans="1:61" x14ac:dyDescent="0.3">
      <c r="A3478" t="str">
        <f>"201874B0100"</f>
        <v>201874B0100</v>
      </c>
      <c r="B3478" t="s">
        <v>7059</v>
      </c>
      <c r="C3478">
        <v>20</v>
      </c>
      <c r="D3478" t="s">
        <v>79</v>
      </c>
      <c r="E3478">
        <v>16</v>
      </c>
      <c r="F3478" t="s">
        <v>6725</v>
      </c>
      <c r="G3478">
        <v>1874</v>
      </c>
      <c r="H3478">
        <v>1</v>
      </c>
      <c r="I3478" t="s">
        <v>81</v>
      </c>
      <c r="J3478">
        <v>0</v>
      </c>
      <c r="K3478">
        <v>2</v>
      </c>
      <c r="L3478">
        <v>2</v>
      </c>
      <c r="M3478">
        <v>122</v>
      </c>
      <c r="N3478">
        <v>346</v>
      </c>
      <c r="O3478" t="s">
        <v>100</v>
      </c>
      <c r="P3478" t="s">
        <v>100</v>
      </c>
      <c r="Q3478">
        <v>12</v>
      </c>
      <c r="R3478">
        <v>25</v>
      </c>
      <c r="S3478">
        <v>91</v>
      </c>
      <c r="T3478">
        <v>4</v>
      </c>
      <c r="U3478">
        <v>6</v>
      </c>
      <c r="V3478">
        <v>15</v>
      </c>
      <c r="W3478">
        <v>1</v>
      </c>
      <c r="X3478">
        <v>4</v>
      </c>
      <c r="Y3478">
        <v>159</v>
      </c>
      <c r="Z3478">
        <v>3</v>
      </c>
      <c r="AA3478">
        <v>2</v>
      </c>
      <c r="AC3478">
        <v>1</v>
      </c>
      <c r="AD3478">
        <v>0</v>
      </c>
      <c r="AE3478">
        <v>0</v>
      </c>
      <c r="AF3478">
        <v>5</v>
      </c>
      <c r="AK3478">
        <v>2</v>
      </c>
      <c r="AL3478">
        <v>1</v>
      </c>
      <c r="AM3478">
        <v>0</v>
      </c>
      <c r="AN3478">
        <v>0</v>
      </c>
      <c r="AO3478">
        <v>0</v>
      </c>
      <c r="AP3478">
        <v>1</v>
      </c>
      <c r="AQ3478">
        <v>0</v>
      </c>
      <c r="AR3478">
        <v>0</v>
      </c>
      <c r="AT3478">
        <v>0</v>
      </c>
      <c r="AU3478">
        <v>13</v>
      </c>
      <c r="AV3478">
        <v>345</v>
      </c>
      <c r="AW3478">
        <v>345</v>
      </c>
      <c r="AX3478">
        <v>446</v>
      </c>
      <c r="BA3478">
        <v>1</v>
      </c>
      <c r="BC3478" t="s">
        <v>7060</v>
      </c>
      <c r="BD3478" s="4">
        <v>43283.18472222222</v>
      </c>
      <c r="BE3478" s="4">
        <v>43283.229722222219</v>
      </c>
      <c r="BF3478" s="4">
        <v>43283.229722222219</v>
      </c>
      <c r="BG3478" t="s">
        <v>83</v>
      </c>
      <c r="BH3478" t="s">
        <v>84</v>
      </c>
      <c r="BI3478" t="s">
        <v>85</v>
      </c>
    </row>
    <row r="3479" spans="1:61" x14ac:dyDescent="0.3">
      <c r="A3479" t="str">
        <f>"201874C0100"</f>
        <v>201874C0100</v>
      </c>
      <c r="B3479" t="s">
        <v>7061</v>
      </c>
      <c r="C3479">
        <v>20</v>
      </c>
      <c r="D3479" t="s">
        <v>79</v>
      </c>
      <c r="E3479">
        <v>16</v>
      </c>
      <c r="F3479" t="s">
        <v>6725</v>
      </c>
      <c r="G3479">
        <v>1874</v>
      </c>
      <c r="H3479">
        <v>1</v>
      </c>
      <c r="I3479" t="s">
        <v>89</v>
      </c>
      <c r="J3479">
        <v>0</v>
      </c>
      <c r="K3479">
        <v>2</v>
      </c>
      <c r="L3479">
        <v>2</v>
      </c>
      <c r="M3479">
        <v>137</v>
      </c>
      <c r="N3479">
        <v>330</v>
      </c>
      <c r="O3479">
        <v>0</v>
      </c>
      <c r="P3479">
        <v>330</v>
      </c>
      <c r="Q3479">
        <v>14</v>
      </c>
      <c r="R3479">
        <v>43</v>
      </c>
      <c r="S3479">
        <v>90</v>
      </c>
      <c r="T3479">
        <v>3</v>
      </c>
      <c r="U3479">
        <v>7</v>
      </c>
      <c r="V3479">
        <v>5</v>
      </c>
      <c r="W3479">
        <v>2</v>
      </c>
      <c r="X3479">
        <v>0</v>
      </c>
      <c r="Y3479">
        <v>136</v>
      </c>
      <c r="Z3479">
        <v>5</v>
      </c>
      <c r="AA3479">
        <v>2</v>
      </c>
      <c r="AC3479">
        <v>1</v>
      </c>
      <c r="AD3479">
        <v>0</v>
      </c>
      <c r="AE3479">
        <v>0</v>
      </c>
      <c r="AF3479">
        <v>2</v>
      </c>
      <c r="AK3479">
        <v>3</v>
      </c>
      <c r="AL3479">
        <v>3</v>
      </c>
      <c r="AM3479">
        <v>0</v>
      </c>
      <c r="AN3479">
        <v>0</v>
      </c>
      <c r="AO3479">
        <v>0</v>
      </c>
      <c r="AP3479">
        <v>1</v>
      </c>
      <c r="AQ3479">
        <v>0</v>
      </c>
      <c r="AR3479">
        <v>0</v>
      </c>
      <c r="AT3479">
        <v>0</v>
      </c>
      <c r="AU3479">
        <v>13</v>
      </c>
      <c r="AV3479">
        <v>330</v>
      </c>
      <c r="AW3479">
        <v>330</v>
      </c>
      <c r="AX3479">
        <v>445</v>
      </c>
      <c r="BA3479">
        <v>1</v>
      </c>
      <c r="BC3479" t="s">
        <v>7062</v>
      </c>
      <c r="BD3479" s="4">
        <v>43283.18472222222</v>
      </c>
      <c r="BE3479" s="4">
        <v>43283.230902777781</v>
      </c>
      <c r="BF3479" s="4">
        <v>43283.230902777781</v>
      </c>
      <c r="BG3479" t="s">
        <v>83</v>
      </c>
      <c r="BH3479" t="s">
        <v>84</v>
      </c>
      <c r="BI3479" t="s">
        <v>85</v>
      </c>
    </row>
    <row r="3480" spans="1:61" x14ac:dyDescent="0.3">
      <c r="A3480" t="str">
        <f>"201874E0100"</f>
        <v>201874E0100</v>
      </c>
      <c r="B3480" s="2" t="s">
        <v>7063</v>
      </c>
      <c r="C3480">
        <v>20</v>
      </c>
      <c r="D3480" t="s">
        <v>79</v>
      </c>
      <c r="E3480">
        <v>16</v>
      </c>
      <c r="F3480" t="s">
        <v>6725</v>
      </c>
      <c r="G3480">
        <v>1874</v>
      </c>
      <c r="H3480">
        <v>1</v>
      </c>
      <c r="I3480" t="s">
        <v>145</v>
      </c>
      <c r="J3480">
        <v>0</v>
      </c>
      <c r="K3480">
        <v>2</v>
      </c>
      <c r="L3480">
        <v>2</v>
      </c>
      <c r="M3480">
        <v>88</v>
      </c>
      <c r="N3480">
        <v>180</v>
      </c>
      <c r="O3480">
        <v>12</v>
      </c>
      <c r="P3480">
        <v>180</v>
      </c>
      <c r="Q3480">
        <v>0</v>
      </c>
      <c r="R3480">
        <v>8</v>
      </c>
      <c r="S3480">
        <v>105</v>
      </c>
      <c r="T3480">
        <v>1</v>
      </c>
      <c r="U3480">
        <v>7</v>
      </c>
      <c r="V3480">
        <v>1</v>
      </c>
      <c r="W3480">
        <v>0</v>
      </c>
      <c r="X3480">
        <v>2</v>
      </c>
      <c r="Y3480">
        <v>41</v>
      </c>
      <c r="Z3480">
        <v>4</v>
      </c>
      <c r="AA3480">
        <v>1</v>
      </c>
      <c r="AC3480">
        <v>0</v>
      </c>
      <c r="AD3480">
        <v>0</v>
      </c>
      <c r="AE3480">
        <v>0</v>
      </c>
      <c r="AF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0</v>
      </c>
      <c r="AR3480">
        <v>0</v>
      </c>
      <c r="AT3480">
        <v>0</v>
      </c>
      <c r="AU3480">
        <v>9</v>
      </c>
      <c r="AV3480">
        <v>180</v>
      </c>
      <c r="AW3480">
        <v>179</v>
      </c>
      <c r="AX3480">
        <v>245</v>
      </c>
      <c r="BA3480">
        <v>1</v>
      </c>
      <c r="BC3480" t="s">
        <v>7064</v>
      </c>
      <c r="BD3480" s="4">
        <v>43283.215277777781</v>
      </c>
      <c r="BE3480" s="4">
        <v>43283.259444444448</v>
      </c>
      <c r="BF3480" s="4">
        <v>43283.259444444448</v>
      </c>
      <c r="BG3480" t="s">
        <v>83</v>
      </c>
      <c r="BH3480" t="s">
        <v>84</v>
      </c>
      <c r="BI3480" t="s">
        <v>85</v>
      </c>
    </row>
    <row r="3481" spans="1:61" x14ac:dyDescent="0.3">
      <c r="A3481" t="str">
        <f>"201904B0100"</f>
        <v>201904B0100</v>
      </c>
      <c r="B3481" t="s">
        <v>7065</v>
      </c>
      <c r="C3481">
        <v>20</v>
      </c>
      <c r="D3481" t="s">
        <v>79</v>
      </c>
      <c r="E3481">
        <v>16</v>
      </c>
      <c r="F3481" t="s">
        <v>6725</v>
      </c>
      <c r="G3481">
        <v>1904</v>
      </c>
      <c r="H3481">
        <v>1</v>
      </c>
      <c r="I3481" t="s">
        <v>81</v>
      </c>
      <c r="J3481">
        <v>0</v>
      </c>
      <c r="K3481">
        <v>2</v>
      </c>
      <c r="L3481">
        <v>2</v>
      </c>
      <c r="M3481">
        <v>233</v>
      </c>
      <c r="N3481">
        <v>422</v>
      </c>
      <c r="O3481">
        <v>0</v>
      </c>
      <c r="P3481">
        <v>422</v>
      </c>
      <c r="Q3481">
        <v>146</v>
      </c>
      <c r="R3481">
        <v>78</v>
      </c>
      <c r="S3481">
        <v>0</v>
      </c>
      <c r="T3481">
        <v>0</v>
      </c>
      <c r="U3481">
        <v>0</v>
      </c>
      <c r="V3481">
        <v>0</v>
      </c>
      <c r="W3481">
        <v>5</v>
      </c>
      <c r="X3481">
        <v>0</v>
      </c>
      <c r="Y3481">
        <v>166</v>
      </c>
      <c r="Z3481">
        <v>0</v>
      </c>
      <c r="AA3481">
        <v>1</v>
      </c>
      <c r="AC3481">
        <v>0</v>
      </c>
      <c r="AD3481">
        <v>0</v>
      </c>
      <c r="AE3481">
        <v>0</v>
      </c>
      <c r="AF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0</v>
      </c>
      <c r="AR3481">
        <v>0</v>
      </c>
      <c r="AT3481">
        <v>0</v>
      </c>
      <c r="AU3481">
        <v>26</v>
      </c>
      <c r="AV3481">
        <v>422</v>
      </c>
      <c r="AW3481">
        <v>422</v>
      </c>
      <c r="AX3481">
        <v>634</v>
      </c>
      <c r="BA3481">
        <v>1</v>
      </c>
      <c r="BC3481" t="s">
        <v>7066</v>
      </c>
      <c r="BD3481" s="4">
        <v>43283.461111111108</v>
      </c>
      <c r="BE3481" s="4">
        <v>43283.471041666664</v>
      </c>
      <c r="BF3481" s="4">
        <v>43283.471041666664</v>
      </c>
      <c r="BG3481" t="s">
        <v>83</v>
      </c>
      <c r="BH3481" t="s">
        <v>84</v>
      </c>
      <c r="BI3481" t="s">
        <v>85</v>
      </c>
    </row>
    <row r="3482" spans="1:61" x14ac:dyDescent="0.3">
      <c r="A3482" t="str">
        <f>"201904E0100"</f>
        <v>201904E0100</v>
      </c>
      <c r="B3482" s="2" t="s">
        <v>7067</v>
      </c>
      <c r="C3482">
        <v>20</v>
      </c>
      <c r="D3482" t="s">
        <v>79</v>
      </c>
      <c r="E3482">
        <v>16</v>
      </c>
      <c r="F3482" t="s">
        <v>6725</v>
      </c>
      <c r="G3482">
        <v>1904</v>
      </c>
      <c r="H3482">
        <v>1</v>
      </c>
      <c r="I3482" t="s">
        <v>145</v>
      </c>
      <c r="J3482">
        <v>0</v>
      </c>
      <c r="K3482">
        <v>2</v>
      </c>
      <c r="L3482">
        <v>2</v>
      </c>
      <c r="M3482">
        <v>137</v>
      </c>
      <c r="N3482">
        <v>387</v>
      </c>
      <c r="O3482">
        <v>0</v>
      </c>
      <c r="P3482">
        <v>387</v>
      </c>
      <c r="Q3482">
        <v>29</v>
      </c>
      <c r="R3482">
        <v>12</v>
      </c>
      <c r="S3482">
        <v>154</v>
      </c>
      <c r="T3482">
        <v>4</v>
      </c>
      <c r="U3482">
        <v>19</v>
      </c>
      <c r="V3482">
        <v>10</v>
      </c>
      <c r="W3482">
        <v>3</v>
      </c>
      <c r="X3482">
        <v>4</v>
      </c>
      <c r="Y3482">
        <v>36</v>
      </c>
      <c r="Z3482">
        <v>41</v>
      </c>
      <c r="AA3482">
        <v>0</v>
      </c>
      <c r="AC3482">
        <v>7</v>
      </c>
      <c r="AD3482">
        <v>5</v>
      </c>
      <c r="AE3482">
        <v>1</v>
      </c>
      <c r="AF3482">
        <v>5</v>
      </c>
      <c r="AK3482">
        <v>2</v>
      </c>
      <c r="AL3482">
        <v>0</v>
      </c>
      <c r="AM3482">
        <v>0</v>
      </c>
      <c r="AN3482">
        <v>3</v>
      </c>
      <c r="AO3482">
        <v>0</v>
      </c>
      <c r="AP3482">
        <v>0</v>
      </c>
      <c r="AQ3482">
        <v>0</v>
      </c>
      <c r="AR3482">
        <v>0</v>
      </c>
      <c r="AT3482">
        <v>0</v>
      </c>
      <c r="AU3482">
        <v>52</v>
      </c>
      <c r="AV3482">
        <v>387</v>
      </c>
      <c r="AW3482">
        <v>387</v>
      </c>
      <c r="AX3482">
        <v>502</v>
      </c>
      <c r="BA3482">
        <v>1</v>
      </c>
      <c r="BC3482" t="s">
        <v>7068</v>
      </c>
      <c r="BD3482" s="4">
        <v>43283.461111111108</v>
      </c>
      <c r="BE3482" s="4">
        <v>43283.47184027778</v>
      </c>
      <c r="BF3482" s="4">
        <v>43283.47184027778</v>
      </c>
      <c r="BG3482" t="s">
        <v>83</v>
      </c>
      <c r="BH3482" t="s">
        <v>84</v>
      </c>
      <c r="BI3482" t="s">
        <v>85</v>
      </c>
    </row>
    <row r="3483" spans="1:61" x14ac:dyDescent="0.3">
      <c r="A3483" t="str">
        <f>"201962B0100"</f>
        <v>201962B0100</v>
      </c>
      <c r="B3483" t="s">
        <v>7069</v>
      </c>
      <c r="C3483">
        <v>20</v>
      </c>
      <c r="D3483" t="s">
        <v>79</v>
      </c>
      <c r="E3483">
        <v>16</v>
      </c>
      <c r="F3483" t="s">
        <v>6725</v>
      </c>
      <c r="G3483">
        <v>1962</v>
      </c>
      <c r="H3483">
        <v>1</v>
      </c>
      <c r="I3483" t="s">
        <v>81</v>
      </c>
      <c r="J3483">
        <v>0</v>
      </c>
      <c r="K3483">
        <v>1</v>
      </c>
      <c r="L3483">
        <v>2</v>
      </c>
      <c r="M3483">
        <v>278</v>
      </c>
      <c r="N3483">
        <v>207</v>
      </c>
      <c r="O3483">
        <v>4</v>
      </c>
      <c r="P3483">
        <v>207</v>
      </c>
      <c r="Q3483">
        <v>13</v>
      </c>
      <c r="R3483">
        <v>24</v>
      </c>
      <c r="S3483">
        <v>28</v>
      </c>
      <c r="T3483">
        <v>3</v>
      </c>
      <c r="U3483">
        <v>20</v>
      </c>
      <c r="V3483">
        <v>3</v>
      </c>
      <c r="W3483">
        <v>3</v>
      </c>
      <c r="X3483">
        <v>4</v>
      </c>
      <c r="Y3483">
        <v>85</v>
      </c>
      <c r="Z3483">
        <v>4</v>
      </c>
      <c r="AA3483">
        <v>2</v>
      </c>
      <c r="AC3483">
        <v>0</v>
      </c>
      <c r="AD3483">
        <v>1</v>
      </c>
      <c r="AE3483">
        <v>0</v>
      </c>
      <c r="AF3483">
        <v>1</v>
      </c>
      <c r="AK3483">
        <v>1</v>
      </c>
      <c r="AL3483">
        <v>2</v>
      </c>
      <c r="AM3483">
        <v>0</v>
      </c>
      <c r="AN3483">
        <v>0</v>
      </c>
      <c r="AO3483">
        <v>1</v>
      </c>
      <c r="AP3483">
        <v>0</v>
      </c>
      <c r="AQ3483">
        <v>0</v>
      </c>
      <c r="AR3483">
        <v>0</v>
      </c>
      <c r="AT3483">
        <v>0</v>
      </c>
      <c r="AU3483">
        <v>12</v>
      </c>
      <c r="AV3483">
        <v>207</v>
      </c>
      <c r="AW3483">
        <v>207</v>
      </c>
      <c r="AX3483">
        <v>463</v>
      </c>
      <c r="BA3483">
        <v>1</v>
      </c>
      <c r="BC3483" s="2" t="s">
        <v>7070</v>
      </c>
      <c r="BD3483" s="4">
        <v>43283.070138888892</v>
      </c>
      <c r="BE3483" s="4">
        <v>43283.295694444445</v>
      </c>
      <c r="BF3483" s="4">
        <v>43283.295694444445</v>
      </c>
      <c r="BG3483" t="s">
        <v>83</v>
      </c>
      <c r="BH3483" t="s">
        <v>84</v>
      </c>
      <c r="BI3483" t="s">
        <v>85</v>
      </c>
    </row>
    <row r="3484" spans="1:61" x14ac:dyDescent="0.3">
      <c r="A3484" t="str">
        <f>"201962C0100"</f>
        <v>201962C0100</v>
      </c>
      <c r="B3484" t="s">
        <v>7071</v>
      </c>
      <c r="C3484">
        <v>20</v>
      </c>
      <c r="D3484" t="s">
        <v>79</v>
      </c>
      <c r="E3484">
        <v>16</v>
      </c>
      <c r="F3484" t="s">
        <v>6725</v>
      </c>
      <c r="G3484">
        <v>1962</v>
      </c>
      <c r="H3484">
        <v>1</v>
      </c>
      <c r="I3484" t="s">
        <v>89</v>
      </c>
      <c r="J3484">
        <v>0</v>
      </c>
      <c r="K3484">
        <v>1</v>
      </c>
      <c r="L3484">
        <v>2</v>
      </c>
      <c r="M3484">
        <v>304</v>
      </c>
      <c r="N3484">
        <v>178</v>
      </c>
      <c r="O3484">
        <v>3</v>
      </c>
      <c r="P3484">
        <v>180</v>
      </c>
      <c r="Q3484">
        <v>14</v>
      </c>
      <c r="R3484">
        <v>25</v>
      </c>
      <c r="S3484">
        <v>16</v>
      </c>
      <c r="T3484">
        <v>3</v>
      </c>
      <c r="U3484">
        <v>10</v>
      </c>
      <c r="V3484">
        <v>4</v>
      </c>
      <c r="W3484">
        <v>1</v>
      </c>
      <c r="X3484">
        <v>3</v>
      </c>
      <c r="Y3484">
        <v>81</v>
      </c>
      <c r="Z3484">
        <v>4</v>
      </c>
      <c r="AA3484">
        <v>1</v>
      </c>
      <c r="AC3484">
        <v>0</v>
      </c>
      <c r="AD3484">
        <v>0</v>
      </c>
      <c r="AE3484">
        <v>0</v>
      </c>
      <c r="AF3484">
        <v>0</v>
      </c>
      <c r="AK3484">
        <v>0</v>
      </c>
      <c r="AL3484">
        <v>0</v>
      </c>
      <c r="AM3484">
        <v>0</v>
      </c>
      <c r="AN3484">
        <v>1</v>
      </c>
      <c r="AO3484">
        <v>0</v>
      </c>
      <c r="AP3484">
        <v>0</v>
      </c>
      <c r="AQ3484">
        <v>0</v>
      </c>
      <c r="AR3484">
        <v>0</v>
      </c>
      <c r="AT3484">
        <v>0</v>
      </c>
      <c r="AU3484">
        <v>17</v>
      </c>
      <c r="AV3484">
        <v>180</v>
      </c>
      <c r="AW3484">
        <v>180</v>
      </c>
      <c r="AX3484">
        <v>462</v>
      </c>
      <c r="BA3484">
        <v>1</v>
      </c>
      <c r="BC3484" t="s">
        <v>7072</v>
      </c>
      <c r="BD3484" s="4">
        <v>43283.072916666664</v>
      </c>
      <c r="BE3484" s="4">
        <v>43283.291284722225</v>
      </c>
      <c r="BF3484" s="4">
        <v>43283.291284722225</v>
      </c>
      <c r="BG3484" t="s">
        <v>83</v>
      </c>
      <c r="BH3484" t="s">
        <v>84</v>
      </c>
      <c r="BI3484" t="s">
        <v>85</v>
      </c>
    </row>
    <row r="3485" spans="1:61" x14ac:dyDescent="0.3">
      <c r="A3485" t="str">
        <f>"201963B0100"</f>
        <v>201963B0100</v>
      </c>
      <c r="B3485" t="s">
        <v>7073</v>
      </c>
      <c r="C3485">
        <v>20</v>
      </c>
      <c r="D3485" t="s">
        <v>79</v>
      </c>
      <c r="E3485">
        <v>16</v>
      </c>
      <c r="F3485" t="s">
        <v>6725</v>
      </c>
      <c r="G3485">
        <v>1963</v>
      </c>
      <c r="H3485">
        <v>1</v>
      </c>
      <c r="I3485" t="s">
        <v>81</v>
      </c>
      <c r="J3485">
        <v>0</v>
      </c>
      <c r="K3485">
        <v>1</v>
      </c>
      <c r="L3485">
        <v>2</v>
      </c>
      <c r="M3485">
        <v>379</v>
      </c>
      <c r="N3485">
        <v>341</v>
      </c>
      <c r="O3485">
        <v>1</v>
      </c>
      <c r="P3485">
        <v>341</v>
      </c>
      <c r="Q3485">
        <v>31</v>
      </c>
      <c r="R3485">
        <v>38</v>
      </c>
      <c r="S3485">
        <v>61</v>
      </c>
      <c r="T3485">
        <v>3</v>
      </c>
      <c r="U3485">
        <v>24</v>
      </c>
      <c r="V3485">
        <v>6</v>
      </c>
      <c r="W3485">
        <v>4</v>
      </c>
      <c r="X3485">
        <v>6</v>
      </c>
      <c r="Y3485">
        <v>125</v>
      </c>
      <c r="Z3485">
        <v>1</v>
      </c>
      <c r="AA3485">
        <v>4</v>
      </c>
      <c r="AC3485">
        <v>0</v>
      </c>
      <c r="AD3485">
        <v>6</v>
      </c>
      <c r="AE3485">
        <v>0</v>
      </c>
      <c r="AF3485">
        <v>2</v>
      </c>
      <c r="AK3485">
        <v>4</v>
      </c>
      <c r="AL3485">
        <v>1</v>
      </c>
      <c r="AM3485">
        <v>0</v>
      </c>
      <c r="AN3485">
        <v>2</v>
      </c>
      <c r="AO3485">
        <v>1</v>
      </c>
      <c r="AP3485">
        <v>1</v>
      </c>
      <c r="AQ3485">
        <v>0</v>
      </c>
      <c r="AR3485">
        <v>0</v>
      </c>
      <c r="AT3485">
        <v>0</v>
      </c>
      <c r="AU3485">
        <v>21</v>
      </c>
      <c r="AV3485">
        <v>341</v>
      </c>
      <c r="AW3485">
        <v>341</v>
      </c>
      <c r="AX3485">
        <v>698</v>
      </c>
      <c r="BA3485">
        <v>1</v>
      </c>
      <c r="BC3485" t="s">
        <v>7074</v>
      </c>
      <c r="BD3485" s="4">
        <v>43283.068749999999</v>
      </c>
      <c r="BE3485" s="4">
        <v>43283.175115740742</v>
      </c>
      <c r="BF3485" s="4">
        <v>43283.175115740742</v>
      </c>
      <c r="BG3485" t="s">
        <v>83</v>
      </c>
      <c r="BH3485" t="s">
        <v>84</v>
      </c>
      <c r="BI3485" t="s">
        <v>85</v>
      </c>
    </row>
    <row r="3486" spans="1:61" x14ac:dyDescent="0.3">
      <c r="A3486" t="str">
        <f>"201963C0100"</f>
        <v>201963C0100</v>
      </c>
      <c r="B3486" t="s">
        <v>7075</v>
      </c>
      <c r="C3486">
        <v>20</v>
      </c>
      <c r="D3486" t="s">
        <v>79</v>
      </c>
      <c r="E3486">
        <v>16</v>
      </c>
      <c r="F3486" t="s">
        <v>6725</v>
      </c>
      <c r="G3486">
        <v>1963</v>
      </c>
      <c r="H3486">
        <v>1</v>
      </c>
      <c r="I3486" t="s">
        <v>89</v>
      </c>
      <c r="J3486">
        <v>0</v>
      </c>
      <c r="K3486">
        <v>1</v>
      </c>
      <c r="L3486">
        <v>2</v>
      </c>
      <c r="M3486">
        <v>388</v>
      </c>
      <c r="N3486">
        <v>332</v>
      </c>
      <c r="O3486">
        <v>2</v>
      </c>
      <c r="P3486">
        <v>332</v>
      </c>
      <c r="Q3486">
        <v>23</v>
      </c>
      <c r="R3486">
        <v>41</v>
      </c>
      <c r="S3486">
        <v>44</v>
      </c>
      <c r="T3486">
        <v>6</v>
      </c>
      <c r="U3486">
        <v>20</v>
      </c>
      <c r="V3486">
        <v>6</v>
      </c>
      <c r="W3486">
        <v>2</v>
      </c>
      <c r="X3486">
        <v>6</v>
      </c>
      <c r="Y3486">
        <v>137</v>
      </c>
      <c r="Z3486">
        <v>5</v>
      </c>
      <c r="AA3486">
        <v>3</v>
      </c>
      <c r="AC3486">
        <v>0</v>
      </c>
      <c r="AD3486">
        <v>0</v>
      </c>
      <c r="AE3486">
        <v>1</v>
      </c>
      <c r="AF3486">
        <v>0</v>
      </c>
      <c r="AK3486">
        <v>8</v>
      </c>
      <c r="AL3486">
        <v>3</v>
      </c>
      <c r="AM3486">
        <v>1</v>
      </c>
      <c r="AN3486">
        <v>2</v>
      </c>
      <c r="AO3486">
        <v>0</v>
      </c>
      <c r="AP3486">
        <v>2</v>
      </c>
      <c r="AQ3486">
        <v>0</v>
      </c>
      <c r="AR3486">
        <v>0</v>
      </c>
      <c r="AT3486">
        <v>0</v>
      </c>
      <c r="AU3486">
        <v>22</v>
      </c>
      <c r="AV3486">
        <v>332</v>
      </c>
      <c r="AW3486">
        <v>332</v>
      </c>
      <c r="AX3486">
        <v>698</v>
      </c>
      <c r="BA3486">
        <v>1</v>
      </c>
      <c r="BC3486" t="s">
        <v>7076</v>
      </c>
      <c r="BD3486" s="4">
        <v>43283.068749999999</v>
      </c>
      <c r="BE3486" s="4">
        <v>43283.172789351855</v>
      </c>
      <c r="BF3486" s="4">
        <v>43283.172789351855</v>
      </c>
      <c r="BG3486" t="s">
        <v>83</v>
      </c>
      <c r="BH3486" t="s">
        <v>84</v>
      </c>
      <c r="BI3486" t="s">
        <v>85</v>
      </c>
    </row>
    <row r="3487" spans="1:61" x14ac:dyDescent="0.3">
      <c r="A3487" t="str">
        <f>"201964B0100"</f>
        <v>201964B0100</v>
      </c>
      <c r="B3487" t="s">
        <v>7077</v>
      </c>
      <c r="C3487">
        <v>20</v>
      </c>
      <c r="D3487" t="s">
        <v>79</v>
      </c>
      <c r="E3487">
        <v>16</v>
      </c>
      <c r="F3487" t="s">
        <v>6725</v>
      </c>
      <c r="G3487">
        <v>1964</v>
      </c>
      <c r="H3487">
        <v>1</v>
      </c>
      <c r="I3487" t="s">
        <v>81</v>
      </c>
      <c r="J3487">
        <v>0</v>
      </c>
      <c r="K3487">
        <v>2</v>
      </c>
      <c r="L3487">
        <v>2</v>
      </c>
      <c r="M3487">
        <v>288</v>
      </c>
      <c r="N3487">
        <v>234</v>
      </c>
      <c r="O3487">
        <v>0</v>
      </c>
      <c r="P3487">
        <v>234</v>
      </c>
      <c r="Q3487">
        <v>17</v>
      </c>
      <c r="R3487">
        <v>22</v>
      </c>
      <c r="S3487">
        <v>36</v>
      </c>
      <c r="T3487">
        <v>3</v>
      </c>
      <c r="U3487">
        <v>8</v>
      </c>
      <c r="V3487">
        <v>11</v>
      </c>
      <c r="W3487">
        <v>4</v>
      </c>
      <c r="X3487">
        <v>4</v>
      </c>
      <c r="Y3487">
        <v>95</v>
      </c>
      <c r="Z3487">
        <v>5</v>
      </c>
      <c r="AA3487">
        <v>2</v>
      </c>
      <c r="AC3487">
        <v>1</v>
      </c>
      <c r="AD3487">
        <v>0</v>
      </c>
      <c r="AE3487">
        <v>0</v>
      </c>
      <c r="AF3487">
        <v>2</v>
      </c>
      <c r="AK3487">
        <v>3</v>
      </c>
      <c r="AL3487">
        <v>3</v>
      </c>
      <c r="AM3487">
        <v>0</v>
      </c>
      <c r="AN3487">
        <v>0</v>
      </c>
      <c r="AO3487">
        <v>0</v>
      </c>
      <c r="AP3487">
        <v>0</v>
      </c>
      <c r="AQ3487">
        <v>0</v>
      </c>
      <c r="AR3487">
        <v>0</v>
      </c>
      <c r="AT3487">
        <v>0</v>
      </c>
      <c r="AU3487">
        <v>18</v>
      </c>
      <c r="AV3487">
        <v>234</v>
      </c>
      <c r="AW3487">
        <v>234</v>
      </c>
      <c r="AX3487">
        <v>500</v>
      </c>
      <c r="BA3487">
        <v>1</v>
      </c>
      <c r="BC3487" t="s">
        <v>7078</v>
      </c>
      <c r="BD3487" s="4">
        <v>43283.071527777778</v>
      </c>
      <c r="BE3487" s="4">
        <v>43283.169444444444</v>
      </c>
      <c r="BF3487" s="4">
        <v>43283.169444444444</v>
      </c>
      <c r="BG3487" t="s">
        <v>83</v>
      </c>
      <c r="BH3487" t="s">
        <v>84</v>
      </c>
      <c r="BI3487" t="s">
        <v>85</v>
      </c>
    </row>
    <row r="3488" spans="1:61" x14ac:dyDescent="0.3">
      <c r="A3488" t="str">
        <f>"201964C0100"</f>
        <v>201964C0100</v>
      </c>
      <c r="B3488" t="s">
        <v>7079</v>
      </c>
      <c r="C3488">
        <v>20</v>
      </c>
      <c r="D3488" t="s">
        <v>79</v>
      </c>
      <c r="E3488">
        <v>16</v>
      </c>
      <c r="F3488" t="s">
        <v>6725</v>
      </c>
      <c r="G3488">
        <v>1964</v>
      </c>
      <c r="H3488">
        <v>1</v>
      </c>
      <c r="I3488" t="s">
        <v>89</v>
      </c>
      <c r="J3488">
        <v>0</v>
      </c>
      <c r="K3488">
        <v>2</v>
      </c>
      <c r="L3488">
        <v>2</v>
      </c>
      <c r="M3488">
        <v>272</v>
      </c>
      <c r="N3488">
        <v>250</v>
      </c>
      <c r="O3488">
        <v>0</v>
      </c>
      <c r="P3488">
        <v>4</v>
      </c>
      <c r="Q3488">
        <v>20</v>
      </c>
      <c r="R3488">
        <v>30</v>
      </c>
      <c r="S3488">
        <v>31</v>
      </c>
      <c r="T3488">
        <v>6</v>
      </c>
      <c r="U3488">
        <v>17</v>
      </c>
      <c r="V3488">
        <v>4</v>
      </c>
      <c r="W3488">
        <v>2</v>
      </c>
      <c r="X3488">
        <v>5</v>
      </c>
      <c r="Y3488">
        <v>102</v>
      </c>
      <c r="Z3488">
        <v>6</v>
      </c>
      <c r="AA3488">
        <v>1</v>
      </c>
      <c r="AC3488">
        <v>3</v>
      </c>
      <c r="AD3488">
        <v>0</v>
      </c>
      <c r="AE3488">
        <v>0</v>
      </c>
      <c r="AF3488">
        <v>0</v>
      </c>
      <c r="AK3488">
        <v>3</v>
      </c>
      <c r="AL3488">
        <v>1</v>
      </c>
      <c r="AM3488">
        <v>0</v>
      </c>
      <c r="AN3488">
        <v>2</v>
      </c>
      <c r="AO3488">
        <v>0</v>
      </c>
      <c r="AP3488">
        <v>1</v>
      </c>
      <c r="AQ3488">
        <v>0</v>
      </c>
      <c r="AR3488">
        <v>0</v>
      </c>
      <c r="AT3488">
        <v>0</v>
      </c>
      <c r="AU3488">
        <v>16</v>
      </c>
      <c r="AV3488">
        <v>250</v>
      </c>
      <c r="AW3488">
        <v>250</v>
      </c>
      <c r="AX3488">
        <v>500</v>
      </c>
      <c r="BA3488">
        <v>1</v>
      </c>
      <c r="BC3488" t="s">
        <v>7080</v>
      </c>
      <c r="BD3488" s="4">
        <v>43283.068055555559</v>
      </c>
      <c r="BE3488" s="4">
        <v>43283.169965277775</v>
      </c>
      <c r="BF3488" s="4">
        <v>43283.169965277775</v>
      </c>
      <c r="BG3488" t="s">
        <v>83</v>
      </c>
      <c r="BH3488" t="s">
        <v>84</v>
      </c>
      <c r="BI3488" t="s">
        <v>85</v>
      </c>
    </row>
    <row r="3489" spans="1:61" x14ac:dyDescent="0.3">
      <c r="A3489" t="str">
        <f>"202258B0100"</f>
        <v>202258B0100</v>
      </c>
      <c r="B3489" t="s">
        <v>7081</v>
      </c>
      <c r="C3489">
        <v>20</v>
      </c>
      <c r="D3489" t="s">
        <v>79</v>
      </c>
      <c r="E3489">
        <v>16</v>
      </c>
      <c r="F3489" t="s">
        <v>6725</v>
      </c>
      <c r="G3489">
        <v>2258</v>
      </c>
      <c r="H3489">
        <v>1</v>
      </c>
      <c r="I3489" t="s">
        <v>81</v>
      </c>
      <c r="J3489">
        <v>0</v>
      </c>
      <c r="K3489">
        <v>1</v>
      </c>
      <c r="L3489">
        <v>2</v>
      </c>
      <c r="M3489">
        <v>167</v>
      </c>
      <c r="N3489">
        <v>329</v>
      </c>
      <c r="O3489">
        <v>0</v>
      </c>
      <c r="P3489">
        <v>329</v>
      </c>
      <c r="Q3489">
        <v>21</v>
      </c>
      <c r="R3489">
        <v>41</v>
      </c>
      <c r="S3489">
        <v>78</v>
      </c>
      <c r="T3489">
        <v>5</v>
      </c>
      <c r="U3489">
        <v>18</v>
      </c>
      <c r="V3489">
        <v>6</v>
      </c>
      <c r="W3489">
        <v>2</v>
      </c>
      <c r="X3489">
        <v>4</v>
      </c>
      <c r="Y3489">
        <v>117</v>
      </c>
      <c r="Z3489">
        <v>7</v>
      </c>
      <c r="AA3489">
        <v>2</v>
      </c>
      <c r="AC3489">
        <v>2</v>
      </c>
      <c r="AD3489">
        <v>2</v>
      </c>
      <c r="AE3489">
        <v>0</v>
      </c>
      <c r="AF3489">
        <v>2</v>
      </c>
      <c r="AK3489">
        <v>5</v>
      </c>
      <c r="AL3489">
        <v>1</v>
      </c>
      <c r="AM3489">
        <v>1</v>
      </c>
      <c r="AN3489">
        <v>0</v>
      </c>
      <c r="AO3489">
        <v>2</v>
      </c>
      <c r="AP3489">
        <v>0</v>
      </c>
      <c r="AQ3489">
        <v>0</v>
      </c>
      <c r="AR3489">
        <v>0</v>
      </c>
      <c r="AT3489">
        <v>0</v>
      </c>
      <c r="AU3489">
        <v>13</v>
      </c>
      <c r="AV3489">
        <v>329</v>
      </c>
      <c r="AW3489">
        <v>329</v>
      </c>
      <c r="AX3489">
        <v>474</v>
      </c>
      <c r="BA3489">
        <v>1</v>
      </c>
      <c r="BC3489" t="s">
        <v>7082</v>
      </c>
      <c r="BD3489" s="4">
        <v>43283.340277777781</v>
      </c>
      <c r="BE3489" s="4">
        <v>43283.364953703705</v>
      </c>
      <c r="BF3489" s="4">
        <v>43283.364953703705</v>
      </c>
      <c r="BG3489" t="s">
        <v>83</v>
      </c>
      <c r="BH3489" t="s">
        <v>84</v>
      </c>
      <c r="BI3489" t="s">
        <v>85</v>
      </c>
    </row>
    <row r="3490" spans="1:61" x14ac:dyDescent="0.3">
      <c r="A3490" t="str">
        <f>"202259B0100"</f>
        <v>202259B0100</v>
      </c>
      <c r="B3490" t="s">
        <v>7083</v>
      </c>
      <c r="C3490">
        <v>20</v>
      </c>
      <c r="D3490" t="s">
        <v>79</v>
      </c>
      <c r="E3490">
        <v>16</v>
      </c>
      <c r="F3490" t="s">
        <v>6725</v>
      </c>
      <c r="G3490">
        <v>2259</v>
      </c>
      <c r="H3490">
        <v>1</v>
      </c>
      <c r="I3490" t="s">
        <v>81</v>
      </c>
      <c r="J3490">
        <v>0</v>
      </c>
      <c r="K3490">
        <v>2</v>
      </c>
      <c r="L3490">
        <v>2</v>
      </c>
      <c r="M3490">
        <v>126</v>
      </c>
      <c r="N3490" t="s">
        <v>100</v>
      </c>
      <c r="O3490" t="s">
        <v>100</v>
      </c>
      <c r="P3490">
        <v>311</v>
      </c>
      <c r="Q3490">
        <v>29</v>
      </c>
      <c r="R3490">
        <v>41</v>
      </c>
      <c r="S3490">
        <v>91</v>
      </c>
      <c r="T3490">
        <v>5</v>
      </c>
      <c r="U3490">
        <v>13</v>
      </c>
      <c r="V3490">
        <v>6</v>
      </c>
      <c r="W3490">
        <v>3</v>
      </c>
      <c r="X3490">
        <v>2</v>
      </c>
      <c r="Y3490">
        <v>102</v>
      </c>
      <c r="Z3490">
        <v>6</v>
      </c>
      <c r="AA3490">
        <v>1</v>
      </c>
      <c r="AC3490">
        <v>1</v>
      </c>
      <c r="AD3490">
        <v>1</v>
      </c>
      <c r="AE3490">
        <v>0</v>
      </c>
      <c r="AF3490">
        <v>0</v>
      </c>
      <c r="AK3490">
        <v>1</v>
      </c>
      <c r="AL3490">
        <v>1</v>
      </c>
      <c r="AM3490">
        <v>1</v>
      </c>
      <c r="AN3490">
        <v>0</v>
      </c>
      <c r="AO3490">
        <v>1</v>
      </c>
      <c r="AP3490">
        <v>1</v>
      </c>
      <c r="AQ3490">
        <v>1</v>
      </c>
      <c r="AR3490">
        <v>0</v>
      </c>
      <c r="AT3490" t="s">
        <v>315</v>
      </c>
      <c r="AU3490">
        <v>4</v>
      </c>
      <c r="AV3490">
        <v>311</v>
      </c>
      <c r="AW3490">
        <v>311</v>
      </c>
      <c r="AX3490">
        <v>415</v>
      </c>
      <c r="AZ3490" t="s">
        <v>101</v>
      </c>
      <c r="BA3490">
        <v>1</v>
      </c>
      <c r="BC3490" t="s">
        <v>7084</v>
      </c>
      <c r="BD3490" s="4">
        <v>43283.340277777781</v>
      </c>
      <c r="BE3490" s="4">
        <v>43283.385868055557</v>
      </c>
      <c r="BF3490" s="4">
        <v>43283.385868055557</v>
      </c>
      <c r="BG3490" t="s">
        <v>83</v>
      </c>
      <c r="BH3490" t="s">
        <v>84</v>
      </c>
      <c r="BI3490" t="s">
        <v>85</v>
      </c>
    </row>
    <row r="3491" spans="1:61" x14ac:dyDescent="0.3">
      <c r="A3491" t="str">
        <f>"202260B0100"</f>
        <v>202260B0100</v>
      </c>
      <c r="B3491" t="s">
        <v>7085</v>
      </c>
      <c r="C3491">
        <v>20</v>
      </c>
      <c r="D3491" t="s">
        <v>79</v>
      </c>
      <c r="E3491">
        <v>16</v>
      </c>
      <c r="F3491" t="s">
        <v>6725</v>
      </c>
      <c r="G3491">
        <v>2260</v>
      </c>
      <c r="H3491">
        <v>1</v>
      </c>
      <c r="I3491" t="s">
        <v>81</v>
      </c>
      <c r="J3491">
        <v>0</v>
      </c>
      <c r="K3491">
        <v>2</v>
      </c>
      <c r="L3491">
        <v>2</v>
      </c>
      <c r="M3491">
        <v>228</v>
      </c>
      <c r="N3491">
        <v>478</v>
      </c>
      <c r="O3491">
        <v>0</v>
      </c>
      <c r="P3491">
        <v>250</v>
      </c>
      <c r="Q3491">
        <v>10</v>
      </c>
      <c r="R3491">
        <v>34</v>
      </c>
      <c r="S3491">
        <v>87</v>
      </c>
      <c r="T3491">
        <v>3</v>
      </c>
      <c r="U3491">
        <v>13</v>
      </c>
      <c r="V3491">
        <v>7</v>
      </c>
      <c r="W3491">
        <v>2</v>
      </c>
      <c r="X3491">
        <v>4</v>
      </c>
      <c r="Y3491">
        <v>62</v>
      </c>
      <c r="Z3491">
        <v>2</v>
      </c>
      <c r="AA3491">
        <v>1</v>
      </c>
      <c r="AC3491">
        <v>0</v>
      </c>
      <c r="AD3491">
        <v>0</v>
      </c>
      <c r="AE3491">
        <v>0</v>
      </c>
      <c r="AF3491">
        <v>1</v>
      </c>
      <c r="AK3491">
        <v>4</v>
      </c>
      <c r="AL3491">
        <v>1</v>
      </c>
      <c r="AM3491">
        <v>0</v>
      </c>
      <c r="AN3491">
        <v>1</v>
      </c>
      <c r="AO3491">
        <v>1</v>
      </c>
      <c r="AP3491">
        <v>0</v>
      </c>
      <c r="AQ3491">
        <v>0</v>
      </c>
      <c r="AR3491">
        <v>0</v>
      </c>
      <c r="AT3491">
        <v>0</v>
      </c>
      <c r="AU3491">
        <v>17</v>
      </c>
      <c r="AV3491">
        <v>250</v>
      </c>
      <c r="AW3491">
        <v>250</v>
      </c>
      <c r="AX3491">
        <v>456</v>
      </c>
      <c r="BA3491">
        <v>1</v>
      </c>
      <c r="BC3491" t="s">
        <v>7086</v>
      </c>
      <c r="BD3491" s="4">
        <v>43283.340277777781</v>
      </c>
      <c r="BE3491" s="4">
        <v>43283.371828703705</v>
      </c>
      <c r="BF3491" s="4">
        <v>43283.371828703705</v>
      </c>
      <c r="BG3491" t="s">
        <v>83</v>
      </c>
      <c r="BH3491" t="s">
        <v>84</v>
      </c>
      <c r="BI3491" t="s">
        <v>85</v>
      </c>
    </row>
    <row r="3492" spans="1:61" x14ac:dyDescent="0.3">
      <c r="A3492" t="str">
        <f>"202260C0100"</f>
        <v>202260C0100</v>
      </c>
      <c r="B3492" t="s">
        <v>7087</v>
      </c>
      <c r="C3492">
        <v>20</v>
      </c>
      <c r="D3492" t="s">
        <v>79</v>
      </c>
      <c r="E3492">
        <v>16</v>
      </c>
      <c r="F3492" t="s">
        <v>6725</v>
      </c>
      <c r="G3492">
        <v>2260</v>
      </c>
      <c r="H3492">
        <v>1</v>
      </c>
      <c r="I3492" t="s">
        <v>89</v>
      </c>
      <c r="J3492">
        <v>0</v>
      </c>
      <c r="K3492">
        <v>2</v>
      </c>
      <c r="L3492">
        <v>2</v>
      </c>
      <c r="M3492">
        <v>240</v>
      </c>
      <c r="N3492">
        <v>238</v>
      </c>
      <c r="O3492">
        <v>0</v>
      </c>
      <c r="P3492">
        <v>238</v>
      </c>
      <c r="Q3492">
        <v>9</v>
      </c>
      <c r="R3492">
        <v>32</v>
      </c>
      <c r="S3492">
        <v>102</v>
      </c>
      <c r="T3492">
        <v>1</v>
      </c>
      <c r="U3492">
        <v>14</v>
      </c>
      <c r="V3492">
        <v>4</v>
      </c>
      <c r="W3492">
        <v>2</v>
      </c>
      <c r="X3492">
        <v>2</v>
      </c>
      <c r="Y3492">
        <v>53</v>
      </c>
      <c r="Z3492">
        <v>0</v>
      </c>
      <c r="AA3492">
        <v>6</v>
      </c>
      <c r="AC3492">
        <v>0</v>
      </c>
      <c r="AD3492">
        <v>0</v>
      </c>
      <c r="AE3492">
        <v>0</v>
      </c>
      <c r="AF3492">
        <v>0</v>
      </c>
      <c r="AK3492">
        <v>2</v>
      </c>
      <c r="AL3492">
        <v>0</v>
      </c>
      <c r="AM3492">
        <v>0</v>
      </c>
      <c r="AN3492">
        <v>0</v>
      </c>
      <c r="AO3492">
        <v>1</v>
      </c>
      <c r="AP3492">
        <v>0</v>
      </c>
      <c r="AQ3492">
        <v>0</v>
      </c>
      <c r="AR3492">
        <v>0</v>
      </c>
      <c r="AT3492" t="s">
        <v>100</v>
      </c>
      <c r="AU3492">
        <v>10</v>
      </c>
      <c r="AV3492">
        <v>238</v>
      </c>
      <c r="AW3492">
        <v>238</v>
      </c>
      <c r="AX3492">
        <v>456</v>
      </c>
      <c r="AZ3492" t="s">
        <v>101</v>
      </c>
      <c r="BA3492">
        <v>1</v>
      </c>
      <c r="BC3492" t="s">
        <v>7088</v>
      </c>
      <c r="BD3492" s="4">
        <v>43283.340277777781</v>
      </c>
      <c r="BE3492" s="4">
        <v>43283.370671296296</v>
      </c>
      <c r="BF3492" s="4">
        <v>43283.370671296296</v>
      </c>
      <c r="BG3492" t="s">
        <v>83</v>
      </c>
      <c r="BH3492" t="s">
        <v>84</v>
      </c>
      <c r="BI3492" t="s">
        <v>85</v>
      </c>
    </row>
    <row r="3493" spans="1:61" x14ac:dyDescent="0.3">
      <c r="A3493" t="str">
        <f>"202260E0100"</f>
        <v>202260E0100</v>
      </c>
      <c r="B3493" s="2" t="s">
        <v>7089</v>
      </c>
      <c r="C3493">
        <v>20</v>
      </c>
      <c r="D3493" t="s">
        <v>79</v>
      </c>
      <c r="E3493">
        <v>16</v>
      </c>
      <c r="F3493" t="s">
        <v>6725</v>
      </c>
      <c r="G3493">
        <v>2260</v>
      </c>
      <c r="H3493">
        <v>1</v>
      </c>
      <c r="I3493" t="s">
        <v>145</v>
      </c>
      <c r="J3493">
        <v>0</v>
      </c>
      <c r="K3493">
        <v>2</v>
      </c>
      <c r="L3493">
        <v>2</v>
      </c>
      <c r="M3493">
        <v>265</v>
      </c>
      <c r="N3493">
        <v>435</v>
      </c>
      <c r="O3493">
        <v>1</v>
      </c>
      <c r="P3493">
        <v>435</v>
      </c>
      <c r="Q3493">
        <v>30</v>
      </c>
      <c r="R3493">
        <v>64</v>
      </c>
      <c r="S3493">
        <v>235</v>
      </c>
      <c r="T3493">
        <v>3</v>
      </c>
      <c r="U3493">
        <v>15</v>
      </c>
      <c r="V3493">
        <v>9</v>
      </c>
      <c r="W3493">
        <v>0</v>
      </c>
      <c r="X3493">
        <v>5</v>
      </c>
      <c r="Y3493">
        <v>47</v>
      </c>
      <c r="Z3493">
        <v>0</v>
      </c>
      <c r="AA3493">
        <v>1</v>
      </c>
      <c r="AC3493">
        <v>0</v>
      </c>
      <c r="AD3493">
        <v>3</v>
      </c>
      <c r="AE3493">
        <v>1</v>
      </c>
      <c r="AF3493">
        <v>1</v>
      </c>
      <c r="AK3493">
        <v>1</v>
      </c>
      <c r="AL3493">
        <v>0</v>
      </c>
      <c r="AM3493">
        <v>0</v>
      </c>
      <c r="AN3493">
        <v>1</v>
      </c>
      <c r="AO3493">
        <v>0</v>
      </c>
      <c r="AP3493">
        <v>0</v>
      </c>
      <c r="AQ3493">
        <v>0</v>
      </c>
      <c r="AR3493">
        <v>1</v>
      </c>
      <c r="AT3493">
        <v>0</v>
      </c>
      <c r="AU3493">
        <v>18</v>
      </c>
      <c r="AV3493">
        <v>435</v>
      </c>
      <c r="AW3493">
        <v>435</v>
      </c>
      <c r="AX3493">
        <v>679</v>
      </c>
      <c r="BA3493">
        <v>1</v>
      </c>
      <c r="BC3493" t="s">
        <v>7090</v>
      </c>
      <c r="BD3493" s="4">
        <v>43283.340277777781</v>
      </c>
      <c r="BE3493" s="4">
        <v>43283.370520833334</v>
      </c>
      <c r="BF3493" s="4">
        <v>43283.370520833334</v>
      </c>
      <c r="BG3493" t="s">
        <v>83</v>
      </c>
      <c r="BH3493" t="s">
        <v>84</v>
      </c>
      <c r="BI3493" t="s">
        <v>85</v>
      </c>
    </row>
    <row r="3494" spans="1:61" x14ac:dyDescent="0.3">
      <c r="A3494" t="str">
        <f>"202391B0100"</f>
        <v>202391B0100</v>
      </c>
      <c r="B3494" t="s">
        <v>7091</v>
      </c>
      <c r="C3494">
        <v>20</v>
      </c>
      <c r="D3494" t="s">
        <v>79</v>
      </c>
      <c r="E3494">
        <v>16</v>
      </c>
      <c r="F3494" t="s">
        <v>6725</v>
      </c>
      <c r="G3494">
        <v>2391</v>
      </c>
      <c r="H3494">
        <v>1</v>
      </c>
      <c r="I3494" t="s">
        <v>81</v>
      </c>
      <c r="J3494">
        <v>0</v>
      </c>
      <c r="K3494">
        <v>2</v>
      </c>
      <c r="L3494">
        <v>2</v>
      </c>
      <c r="M3494">
        <v>130</v>
      </c>
      <c r="N3494">
        <v>306</v>
      </c>
      <c r="O3494">
        <v>2</v>
      </c>
      <c r="P3494">
        <v>306</v>
      </c>
      <c r="Q3494">
        <v>4</v>
      </c>
      <c r="R3494">
        <v>92</v>
      </c>
      <c r="S3494">
        <v>70</v>
      </c>
      <c r="T3494">
        <v>4</v>
      </c>
      <c r="U3494">
        <v>14</v>
      </c>
      <c r="V3494">
        <v>3</v>
      </c>
      <c r="W3494">
        <v>6</v>
      </c>
      <c r="X3494" t="s">
        <v>100</v>
      </c>
      <c r="Y3494">
        <v>84</v>
      </c>
      <c r="Z3494">
        <v>2</v>
      </c>
      <c r="AA3494" t="s">
        <v>100</v>
      </c>
      <c r="AC3494" t="s">
        <v>100</v>
      </c>
      <c r="AD3494">
        <v>1</v>
      </c>
      <c r="AE3494" t="s">
        <v>100</v>
      </c>
      <c r="AF3494">
        <v>1</v>
      </c>
      <c r="AK3494" t="s">
        <v>100</v>
      </c>
      <c r="AL3494" t="s">
        <v>100</v>
      </c>
      <c r="AM3494" t="s">
        <v>100</v>
      </c>
      <c r="AN3494" t="s">
        <v>100</v>
      </c>
      <c r="AO3494" t="s">
        <v>100</v>
      </c>
      <c r="AP3494" t="s">
        <v>100</v>
      </c>
      <c r="AQ3494" t="s">
        <v>100</v>
      </c>
      <c r="AR3494" t="s">
        <v>100</v>
      </c>
      <c r="AT3494">
        <v>1</v>
      </c>
      <c r="AU3494" t="s">
        <v>100</v>
      </c>
      <c r="AV3494">
        <v>306</v>
      </c>
      <c r="AW3494">
        <v>282</v>
      </c>
      <c r="AX3494">
        <v>414</v>
      </c>
      <c r="AZ3494" t="s">
        <v>101</v>
      </c>
      <c r="BA3494">
        <v>1</v>
      </c>
      <c r="BC3494" t="s">
        <v>7092</v>
      </c>
      <c r="BD3494" s="4">
        <v>43283.271527777775</v>
      </c>
      <c r="BE3494" s="4">
        <v>43283.327800925923</v>
      </c>
      <c r="BF3494" s="4">
        <v>43283.327800925923</v>
      </c>
      <c r="BG3494" t="s">
        <v>83</v>
      </c>
      <c r="BH3494" t="s">
        <v>84</v>
      </c>
      <c r="BI3494" t="s">
        <v>85</v>
      </c>
    </row>
    <row r="3495" spans="1:61" x14ac:dyDescent="0.3">
      <c r="A3495" t="str">
        <f>"202391C0100"</f>
        <v>202391C0100</v>
      </c>
      <c r="B3495" t="s">
        <v>7093</v>
      </c>
      <c r="C3495">
        <v>20</v>
      </c>
      <c r="D3495" t="s">
        <v>79</v>
      </c>
      <c r="E3495">
        <v>16</v>
      </c>
      <c r="F3495" t="s">
        <v>6725</v>
      </c>
      <c r="G3495">
        <v>2391</v>
      </c>
      <c r="H3495">
        <v>1</v>
      </c>
      <c r="I3495" t="s">
        <v>89</v>
      </c>
      <c r="J3495">
        <v>0</v>
      </c>
      <c r="K3495">
        <v>2</v>
      </c>
      <c r="L3495">
        <v>2</v>
      </c>
      <c r="M3495">
        <v>120</v>
      </c>
      <c r="N3495" t="s">
        <v>100</v>
      </c>
      <c r="O3495">
        <v>5</v>
      </c>
      <c r="P3495">
        <v>315</v>
      </c>
      <c r="Q3495">
        <v>4</v>
      </c>
      <c r="R3495">
        <v>112</v>
      </c>
      <c r="S3495">
        <v>60</v>
      </c>
      <c r="T3495">
        <v>2</v>
      </c>
      <c r="U3495">
        <v>8</v>
      </c>
      <c r="V3495">
        <v>3</v>
      </c>
      <c r="W3495">
        <v>6</v>
      </c>
      <c r="X3495">
        <v>1</v>
      </c>
      <c r="Y3495">
        <v>91</v>
      </c>
      <c r="Z3495">
        <v>3</v>
      </c>
      <c r="AA3495">
        <v>1</v>
      </c>
      <c r="AC3495">
        <v>0</v>
      </c>
      <c r="AD3495">
        <v>0</v>
      </c>
      <c r="AE3495">
        <v>0</v>
      </c>
      <c r="AF3495">
        <v>0</v>
      </c>
      <c r="AK3495">
        <v>2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0</v>
      </c>
      <c r="AR3495">
        <v>0</v>
      </c>
      <c r="AT3495" t="s">
        <v>100</v>
      </c>
      <c r="AU3495" t="s">
        <v>100</v>
      </c>
      <c r="AV3495" t="s">
        <v>100</v>
      </c>
      <c r="AW3495">
        <v>293</v>
      </c>
      <c r="AX3495">
        <v>413</v>
      </c>
      <c r="AZ3495" t="s">
        <v>101</v>
      </c>
      <c r="BA3495">
        <v>1</v>
      </c>
      <c r="BC3495" t="s">
        <v>7094</v>
      </c>
      <c r="BD3495" s="4">
        <v>43283.272222222222</v>
      </c>
      <c r="BE3495" s="4">
        <v>43283.347256944442</v>
      </c>
      <c r="BF3495" s="4">
        <v>43283.347256944442</v>
      </c>
      <c r="BG3495" t="s">
        <v>83</v>
      </c>
      <c r="BH3495" t="s">
        <v>84</v>
      </c>
      <c r="BI3495" t="s">
        <v>85</v>
      </c>
    </row>
    <row r="3496" spans="1:61" x14ac:dyDescent="0.3">
      <c r="A3496" t="str">
        <f>"202391E0100"</f>
        <v>202391E0100</v>
      </c>
      <c r="B3496" s="2" t="s">
        <v>7095</v>
      </c>
      <c r="C3496">
        <v>20</v>
      </c>
      <c r="D3496" t="s">
        <v>79</v>
      </c>
      <c r="E3496">
        <v>16</v>
      </c>
      <c r="F3496" t="s">
        <v>6725</v>
      </c>
      <c r="G3496">
        <v>2391</v>
      </c>
      <c r="H3496">
        <v>1</v>
      </c>
      <c r="I3496" t="s">
        <v>145</v>
      </c>
      <c r="J3496">
        <v>0</v>
      </c>
      <c r="K3496">
        <v>2</v>
      </c>
      <c r="L3496">
        <v>2</v>
      </c>
      <c r="M3496">
        <v>141</v>
      </c>
      <c r="N3496">
        <v>402</v>
      </c>
      <c r="O3496">
        <v>7</v>
      </c>
      <c r="P3496">
        <v>402</v>
      </c>
      <c r="Q3496">
        <v>6</v>
      </c>
      <c r="R3496">
        <v>85</v>
      </c>
      <c r="S3496">
        <v>144</v>
      </c>
      <c r="T3496">
        <v>2</v>
      </c>
      <c r="U3496">
        <v>10</v>
      </c>
      <c r="V3496">
        <v>2</v>
      </c>
      <c r="W3496">
        <v>3</v>
      </c>
      <c r="X3496">
        <v>4</v>
      </c>
      <c r="Y3496">
        <v>116</v>
      </c>
      <c r="Z3496">
        <v>4</v>
      </c>
      <c r="AA3496" t="s">
        <v>100</v>
      </c>
      <c r="AC3496">
        <v>4</v>
      </c>
      <c r="AD3496">
        <v>1</v>
      </c>
      <c r="AE3496" t="s">
        <v>100</v>
      </c>
      <c r="AF3496">
        <v>2</v>
      </c>
      <c r="AK3496">
        <v>1</v>
      </c>
      <c r="AL3496" t="s">
        <v>100</v>
      </c>
      <c r="AM3496" t="s">
        <v>100</v>
      </c>
      <c r="AN3496" t="s">
        <v>100</v>
      </c>
      <c r="AO3496" t="s">
        <v>100</v>
      </c>
      <c r="AP3496">
        <v>1</v>
      </c>
      <c r="AQ3496" t="s">
        <v>100</v>
      </c>
      <c r="AR3496" t="s">
        <v>100</v>
      </c>
      <c r="AT3496" t="s">
        <v>100</v>
      </c>
      <c r="AU3496">
        <v>17</v>
      </c>
      <c r="AV3496">
        <v>402</v>
      </c>
      <c r="AW3496">
        <v>402</v>
      </c>
      <c r="AX3496">
        <v>521</v>
      </c>
      <c r="AZ3496" t="s">
        <v>101</v>
      </c>
      <c r="BA3496">
        <v>1</v>
      </c>
      <c r="BC3496" t="s">
        <v>7096</v>
      </c>
      <c r="BD3496" s="4">
        <v>43283.271527777775</v>
      </c>
      <c r="BE3496" s="4">
        <v>43283.326006944444</v>
      </c>
      <c r="BF3496" s="4">
        <v>43283.326006944444</v>
      </c>
      <c r="BG3496" t="s">
        <v>83</v>
      </c>
      <c r="BH3496" t="s">
        <v>84</v>
      </c>
      <c r="BI3496" t="s">
        <v>85</v>
      </c>
    </row>
    <row r="3497" spans="1:61" x14ac:dyDescent="0.3">
      <c r="A3497" t="str">
        <f>"202392B0100"</f>
        <v>202392B0100</v>
      </c>
      <c r="B3497" t="s">
        <v>7097</v>
      </c>
      <c r="C3497">
        <v>20</v>
      </c>
      <c r="D3497" t="s">
        <v>79</v>
      </c>
      <c r="E3497">
        <v>16</v>
      </c>
      <c r="F3497" t="s">
        <v>6725</v>
      </c>
      <c r="G3497">
        <v>2392</v>
      </c>
      <c r="H3497">
        <v>1</v>
      </c>
      <c r="I3497" t="s">
        <v>81</v>
      </c>
      <c r="J3497">
        <v>0</v>
      </c>
      <c r="K3497">
        <v>2</v>
      </c>
      <c r="L3497">
        <v>2</v>
      </c>
      <c r="M3497">
        <v>192</v>
      </c>
      <c r="N3497">
        <v>529</v>
      </c>
      <c r="O3497" t="s">
        <v>100</v>
      </c>
      <c r="P3497">
        <v>337</v>
      </c>
      <c r="Q3497">
        <v>12</v>
      </c>
      <c r="R3497">
        <v>20</v>
      </c>
      <c r="S3497">
        <v>150</v>
      </c>
      <c r="T3497">
        <v>1</v>
      </c>
      <c r="U3497">
        <v>11</v>
      </c>
      <c r="V3497">
        <v>9</v>
      </c>
      <c r="W3497">
        <v>5</v>
      </c>
      <c r="X3497">
        <v>3</v>
      </c>
      <c r="Y3497">
        <v>91</v>
      </c>
      <c r="Z3497">
        <v>5</v>
      </c>
      <c r="AA3497">
        <v>3</v>
      </c>
      <c r="AC3497">
        <v>2</v>
      </c>
      <c r="AD3497">
        <v>3</v>
      </c>
      <c r="AE3497">
        <v>0</v>
      </c>
      <c r="AF3497">
        <v>0</v>
      </c>
      <c r="AK3497">
        <v>1</v>
      </c>
      <c r="AL3497">
        <v>1</v>
      </c>
      <c r="AM3497">
        <v>0</v>
      </c>
      <c r="AN3497">
        <v>0</v>
      </c>
      <c r="AO3497">
        <v>0</v>
      </c>
      <c r="AP3497">
        <v>0</v>
      </c>
      <c r="AQ3497">
        <v>0</v>
      </c>
      <c r="AR3497">
        <v>1</v>
      </c>
      <c r="AT3497">
        <v>0</v>
      </c>
      <c r="AU3497">
        <v>19</v>
      </c>
      <c r="AV3497">
        <v>337</v>
      </c>
      <c r="AW3497">
        <v>337</v>
      </c>
      <c r="AX3497">
        <v>507</v>
      </c>
      <c r="BA3497">
        <v>1</v>
      </c>
      <c r="BC3497" t="s">
        <v>7098</v>
      </c>
      <c r="BD3497" s="4">
        <v>43283.271527777775</v>
      </c>
      <c r="BE3497" s="4">
        <v>43283.345324074071</v>
      </c>
      <c r="BF3497" s="4">
        <v>43283.345324074071</v>
      </c>
      <c r="BG3497" t="s">
        <v>83</v>
      </c>
      <c r="BH3497" t="s">
        <v>84</v>
      </c>
      <c r="BI3497" t="s">
        <v>85</v>
      </c>
    </row>
    <row r="3498" spans="1:61" x14ac:dyDescent="0.3">
      <c r="A3498" t="str">
        <f>"202392C0100"</f>
        <v>202392C0100</v>
      </c>
      <c r="B3498" t="s">
        <v>7099</v>
      </c>
      <c r="C3498">
        <v>20</v>
      </c>
      <c r="D3498" t="s">
        <v>79</v>
      </c>
      <c r="E3498">
        <v>16</v>
      </c>
      <c r="F3498" t="s">
        <v>6725</v>
      </c>
      <c r="G3498">
        <v>2392</v>
      </c>
      <c r="H3498">
        <v>1</v>
      </c>
      <c r="I3498" t="s">
        <v>89</v>
      </c>
      <c r="J3498">
        <v>0</v>
      </c>
      <c r="K3498">
        <v>2</v>
      </c>
      <c r="L3498">
        <v>2</v>
      </c>
      <c r="M3498">
        <v>191</v>
      </c>
      <c r="N3498">
        <v>338</v>
      </c>
      <c r="O3498">
        <v>3</v>
      </c>
      <c r="P3498" t="s">
        <v>100</v>
      </c>
      <c r="Q3498">
        <v>6</v>
      </c>
      <c r="R3498">
        <v>25</v>
      </c>
      <c r="S3498">
        <v>178</v>
      </c>
      <c r="T3498">
        <v>3</v>
      </c>
      <c r="U3498">
        <v>6</v>
      </c>
      <c r="V3498">
        <v>1</v>
      </c>
      <c r="W3498">
        <v>2</v>
      </c>
      <c r="X3498">
        <v>2</v>
      </c>
      <c r="Y3498">
        <v>74</v>
      </c>
      <c r="Z3498">
        <v>2</v>
      </c>
      <c r="AA3498">
        <v>3</v>
      </c>
      <c r="AC3498">
        <v>2</v>
      </c>
      <c r="AD3498">
        <v>1</v>
      </c>
      <c r="AE3498">
        <v>0</v>
      </c>
      <c r="AF3498">
        <v>2</v>
      </c>
      <c r="AK3498">
        <v>2</v>
      </c>
      <c r="AL3498">
        <v>0</v>
      </c>
      <c r="AM3498">
        <v>0</v>
      </c>
      <c r="AN3498">
        <v>2</v>
      </c>
      <c r="AO3498">
        <v>0</v>
      </c>
      <c r="AP3498">
        <v>0</v>
      </c>
      <c r="AQ3498">
        <v>1</v>
      </c>
      <c r="AR3498">
        <v>0</v>
      </c>
      <c r="AT3498">
        <v>0</v>
      </c>
      <c r="AU3498">
        <v>23</v>
      </c>
      <c r="AV3498">
        <v>335</v>
      </c>
      <c r="AW3498">
        <v>335</v>
      </c>
      <c r="AX3498">
        <v>507</v>
      </c>
      <c r="BA3498">
        <v>1</v>
      </c>
      <c r="BC3498" t="s">
        <v>7100</v>
      </c>
      <c r="BD3498" s="4">
        <v>43283.271527777775</v>
      </c>
      <c r="BE3498" s="4">
        <v>43283.339722222219</v>
      </c>
      <c r="BF3498" s="4">
        <v>43283.339722222219</v>
      </c>
      <c r="BG3498" t="s">
        <v>83</v>
      </c>
      <c r="BH3498" t="s">
        <v>84</v>
      </c>
      <c r="BI3498" t="s">
        <v>85</v>
      </c>
    </row>
    <row r="3499" spans="1:61" x14ac:dyDescent="0.3">
      <c r="A3499" t="str">
        <f>"202436B0100"</f>
        <v>202436B0100</v>
      </c>
      <c r="B3499" t="s">
        <v>7101</v>
      </c>
      <c r="C3499">
        <v>20</v>
      </c>
      <c r="D3499" t="s">
        <v>79</v>
      </c>
      <c r="E3499">
        <v>16</v>
      </c>
      <c r="F3499" t="s">
        <v>6725</v>
      </c>
      <c r="G3499">
        <v>2436</v>
      </c>
      <c r="H3499">
        <v>1</v>
      </c>
      <c r="I3499" t="s">
        <v>81</v>
      </c>
      <c r="J3499">
        <v>0</v>
      </c>
      <c r="K3499">
        <v>2</v>
      </c>
      <c r="L3499">
        <v>2</v>
      </c>
      <c r="M3499">
        <v>151</v>
      </c>
      <c r="N3499">
        <v>499</v>
      </c>
      <c r="O3499">
        <v>5</v>
      </c>
      <c r="P3499">
        <v>498</v>
      </c>
      <c r="Q3499">
        <v>105</v>
      </c>
      <c r="R3499">
        <v>44</v>
      </c>
      <c r="S3499">
        <v>58</v>
      </c>
      <c r="T3499">
        <v>11</v>
      </c>
      <c r="U3499">
        <v>12</v>
      </c>
      <c r="V3499">
        <v>14</v>
      </c>
      <c r="W3499">
        <v>2</v>
      </c>
      <c r="X3499">
        <v>4</v>
      </c>
      <c r="Y3499">
        <v>185</v>
      </c>
      <c r="Z3499">
        <v>7</v>
      </c>
      <c r="AA3499">
        <v>23</v>
      </c>
      <c r="AC3499">
        <v>4</v>
      </c>
      <c r="AD3499">
        <v>4</v>
      </c>
      <c r="AE3499">
        <v>0</v>
      </c>
      <c r="AF3499">
        <v>0</v>
      </c>
      <c r="AK3499">
        <v>2</v>
      </c>
      <c r="AL3499">
        <v>2</v>
      </c>
      <c r="AM3499">
        <v>0</v>
      </c>
      <c r="AN3499">
        <v>1</v>
      </c>
      <c r="AO3499">
        <v>1</v>
      </c>
      <c r="AP3499">
        <v>0</v>
      </c>
      <c r="AQ3499">
        <v>0</v>
      </c>
      <c r="AR3499">
        <v>0</v>
      </c>
      <c r="AT3499">
        <v>0</v>
      </c>
      <c r="AU3499">
        <v>19</v>
      </c>
      <c r="AV3499">
        <v>498</v>
      </c>
      <c r="AW3499">
        <v>498</v>
      </c>
      <c r="AX3499">
        <v>629</v>
      </c>
      <c r="BA3499">
        <v>1</v>
      </c>
      <c r="BC3499" t="s">
        <v>7102</v>
      </c>
      <c r="BD3499" s="4">
        <v>43283.1</v>
      </c>
      <c r="BE3499" s="4">
        <v>43283.162835648145</v>
      </c>
      <c r="BF3499" s="4">
        <v>43283.162835648145</v>
      </c>
      <c r="BG3499" t="s">
        <v>83</v>
      </c>
      <c r="BH3499" t="s">
        <v>84</v>
      </c>
      <c r="BI3499" t="s">
        <v>85</v>
      </c>
    </row>
    <row r="3500" spans="1:61" x14ac:dyDescent="0.3">
      <c r="A3500" t="str">
        <f>"202436C0100"</f>
        <v>202436C0100</v>
      </c>
      <c r="B3500" t="s">
        <v>7103</v>
      </c>
      <c r="C3500">
        <v>20</v>
      </c>
      <c r="D3500" t="s">
        <v>79</v>
      </c>
      <c r="E3500">
        <v>16</v>
      </c>
      <c r="F3500" t="s">
        <v>6725</v>
      </c>
      <c r="G3500">
        <v>2436</v>
      </c>
      <c r="H3500">
        <v>1</v>
      </c>
      <c r="I3500" t="s">
        <v>89</v>
      </c>
      <c r="J3500">
        <v>0</v>
      </c>
      <c r="K3500">
        <v>2</v>
      </c>
      <c r="L3500">
        <v>2</v>
      </c>
      <c r="M3500" t="s">
        <v>100</v>
      </c>
      <c r="N3500" t="s">
        <v>315</v>
      </c>
      <c r="O3500" t="s">
        <v>100</v>
      </c>
      <c r="P3500" t="s">
        <v>100</v>
      </c>
      <c r="Q3500">
        <v>109</v>
      </c>
      <c r="R3500">
        <v>63</v>
      </c>
      <c r="S3500">
        <v>56</v>
      </c>
      <c r="T3500">
        <v>17</v>
      </c>
      <c r="U3500">
        <v>14</v>
      </c>
      <c r="V3500">
        <v>7</v>
      </c>
      <c r="W3500">
        <v>7</v>
      </c>
      <c r="X3500">
        <v>5</v>
      </c>
      <c r="Y3500">
        <v>142</v>
      </c>
      <c r="Z3500">
        <v>8</v>
      </c>
      <c r="AA3500">
        <v>14</v>
      </c>
      <c r="AC3500">
        <v>1</v>
      </c>
      <c r="AD3500">
        <v>3</v>
      </c>
      <c r="AE3500">
        <v>0</v>
      </c>
      <c r="AF3500">
        <v>0</v>
      </c>
      <c r="AK3500">
        <v>0</v>
      </c>
      <c r="AL3500">
        <v>1</v>
      </c>
      <c r="AM3500">
        <v>1</v>
      </c>
      <c r="AN3500">
        <v>2</v>
      </c>
      <c r="AO3500">
        <v>0</v>
      </c>
      <c r="AP3500">
        <v>1</v>
      </c>
      <c r="AQ3500">
        <v>0</v>
      </c>
      <c r="AR3500">
        <v>0</v>
      </c>
      <c r="AT3500">
        <v>0</v>
      </c>
      <c r="AU3500">
        <v>26</v>
      </c>
      <c r="AV3500">
        <v>477</v>
      </c>
      <c r="AW3500">
        <v>477</v>
      </c>
      <c r="AX3500">
        <v>629</v>
      </c>
      <c r="BA3500">
        <v>1</v>
      </c>
      <c r="BC3500" t="s">
        <v>7104</v>
      </c>
      <c r="BD3500" s="4">
        <v>43283.1</v>
      </c>
      <c r="BE3500" s="4">
        <v>43283.275439814817</v>
      </c>
      <c r="BF3500" s="4">
        <v>43283.275439814817</v>
      </c>
      <c r="BG3500" t="s">
        <v>83</v>
      </c>
      <c r="BH3500" t="s">
        <v>84</v>
      </c>
      <c r="BI3500" t="s">
        <v>85</v>
      </c>
    </row>
    <row r="3501" spans="1:61" x14ac:dyDescent="0.3">
      <c r="A3501" t="str">
        <f>"202437B0100"</f>
        <v>202437B0100</v>
      </c>
      <c r="B3501" t="s">
        <v>7105</v>
      </c>
      <c r="C3501">
        <v>20</v>
      </c>
      <c r="D3501" t="s">
        <v>79</v>
      </c>
      <c r="E3501">
        <v>16</v>
      </c>
      <c r="F3501" t="s">
        <v>6725</v>
      </c>
      <c r="G3501">
        <v>2437</v>
      </c>
      <c r="H3501">
        <v>1</v>
      </c>
      <c r="I3501" t="s">
        <v>81</v>
      </c>
      <c r="J3501">
        <v>0</v>
      </c>
      <c r="K3501">
        <v>2</v>
      </c>
      <c r="L3501">
        <v>2</v>
      </c>
      <c r="M3501" t="s">
        <v>100</v>
      </c>
      <c r="N3501">
        <v>512</v>
      </c>
      <c r="O3501">
        <v>4</v>
      </c>
      <c r="P3501">
        <v>510</v>
      </c>
      <c r="Q3501">
        <v>131</v>
      </c>
      <c r="R3501">
        <v>41</v>
      </c>
      <c r="S3501">
        <v>59</v>
      </c>
      <c r="T3501">
        <v>12</v>
      </c>
      <c r="U3501">
        <v>16</v>
      </c>
      <c r="V3501">
        <v>12</v>
      </c>
      <c r="W3501">
        <v>4</v>
      </c>
      <c r="X3501">
        <v>5</v>
      </c>
      <c r="Y3501">
        <v>157</v>
      </c>
      <c r="Z3501">
        <v>7</v>
      </c>
      <c r="AA3501">
        <v>28</v>
      </c>
      <c r="AC3501">
        <v>2</v>
      </c>
      <c r="AD3501">
        <v>4</v>
      </c>
      <c r="AE3501">
        <v>0</v>
      </c>
      <c r="AF3501">
        <v>0</v>
      </c>
      <c r="AK3501">
        <v>3</v>
      </c>
      <c r="AL3501">
        <v>1</v>
      </c>
      <c r="AM3501">
        <v>0</v>
      </c>
      <c r="AN3501">
        <v>1</v>
      </c>
      <c r="AO3501">
        <v>0</v>
      </c>
      <c r="AP3501">
        <v>0</v>
      </c>
      <c r="AQ3501">
        <v>0</v>
      </c>
      <c r="AR3501">
        <v>0</v>
      </c>
      <c r="AT3501">
        <v>0</v>
      </c>
      <c r="AU3501">
        <v>27</v>
      </c>
      <c r="AV3501">
        <v>510</v>
      </c>
      <c r="AW3501">
        <v>510</v>
      </c>
      <c r="AX3501">
        <v>655</v>
      </c>
      <c r="BA3501">
        <v>1</v>
      </c>
      <c r="BC3501" t="s">
        <v>7106</v>
      </c>
      <c r="BD3501" s="4">
        <v>43283.076388888891</v>
      </c>
      <c r="BE3501" s="4">
        <v>43283.16306712963</v>
      </c>
      <c r="BF3501" s="4">
        <v>43283.16306712963</v>
      </c>
      <c r="BG3501" t="s">
        <v>83</v>
      </c>
      <c r="BH3501" t="s">
        <v>84</v>
      </c>
      <c r="BI3501" t="s">
        <v>85</v>
      </c>
    </row>
    <row r="3502" spans="1:61" x14ac:dyDescent="0.3">
      <c r="A3502" t="str">
        <f>"202437C0100"</f>
        <v>202437C0100</v>
      </c>
      <c r="B3502" t="s">
        <v>7107</v>
      </c>
      <c r="C3502">
        <v>20</v>
      </c>
      <c r="D3502" t="s">
        <v>79</v>
      </c>
      <c r="E3502">
        <v>16</v>
      </c>
      <c r="F3502" t="s">
        <v>6725</v>
      </c>
      <c r="G3502">
        <v>2437</v>
      </c>
      <c r="H3502">
        <v>1</v>
      </c>
      <c r="I3502" t="s">
        <v>89</v>
      </c>
      <c r="J3502">
        <v>0</v>
      </c>
      <c r="K3502">
        <v>2</v>
      </c>
      <c r="L3502">
        <v>2</v>
      </c>
      <c r="M3502">
        <v>165</v>
      </c>
      <c r="N3502">
        <v>511</v>
      </c>
      <c r="O3502">
        <v>3</v>
      </c>
      <c r="P3502">
        <v>511</v>
      </c>
      <c r="Q3502">
        <v>123</v>
      </c>
      <c r="R3502">
        <v>37</v>
      </c>
      <c r="S3502">
        <v>65</v>
      </c>
      <c r="T3502">
        <v>11</v>
      </c>
      <c r="U3502">
        <v>27</v>
      </c>
      <c r="V3502">
        <v>14</v>
      </c>
      <c r="W3502">
        <v>6</v>
      </c>
      <c r="X3502">
        <v>9</v>
      </c>
      <c r="Y3502">
        <v>153</v>
      </c>
      <c r="Z3502">
        <v>7</v>
      </c>
      <c r="AA3502">
        <v>22</v>
      </c>
      <c r="AC3502">
        <v>0</v>
      </c>
      <c r="AD3502">
        <v>4</v>
      </c>
      <c r="AE3502">
        <v>0</v>
      </c>
      <c r="AF3502">
        <v>0</v>
      </c>
      <c r="AK3502">
        <v>1</v>
      </c>
      <c r="AL3502">
        <v>4</v>
      </c>
      <c r="AM3502">
        <v>0</v>
      </c>
      <c r="AN3502">
        <v>0</v>
      </c>
      <c r="AO3502">
        <v>0</v>
      </c>
      <c r="AP3502">
        <v>0</v>
      </c>
      <c r="AQ3502">
        <v>0</v>
      </c>
      <c r="AR3502">
        <v>0</v>
      </c>
      <c r="AT3502">
        <v>0</v>
      </c>
      <c r="AU3502">
        <v>33</v>
      </c>
      <c r="AV3502">
        <v>516</v>
      </c>
      <c r="AW3502">
        <v>516</v>
      </c>
      <c r="AX3502">
        <v>655</v>
      </c>
      <c r="BA3502">
        <v>1</v>
      </c>
      <c r="BC3502" t="s">
        <v>7108</v>
      </c>
      <c r="BD3502" s="4">
        <v>43283.075694444444</v>
      </c>
      <c r="BE3502" s="4">
        <v>43283.18277777778</v>
      </c>
      <c r="BF3502" s="4">
        <v>43283.18277777778</v>
      </c>
      <c r="BG3502" t="s">
        <v>83</v>
      </c>
      <c r="BH3502" t="s">
        <v>84</v>
      </c>
      <c r="BI3502" t="s">
        <v>85</v>
      </c>
    </row>
    <row r="3503" spans="1:61" x14ac:dyDescent="0.3">
      <c r="A3503" t="str">
        <f>"202437C0200"</f>
        <v>202437C0200</v>
      </c>
      <c r="B3503" t="s">
        <v>7109</v>
      </c>
      <c r="C3503">
        <v>20</v>
      </c>
      <c r="D3503" t="s">
        <v>79</v>
      </c>
      <c r="E3503">
        <v>16</v>
      </c>
      <c r="F3503" t="s">
        <v>6725</v>
      </c>
      <c r="G3503">
        <v>2437</v>
      </c>
      <c r="H3503">
        <v>2</v>
      </c>
      <c r="I3503" t="s">
        <v>89</v>
      </c>
      <c r="J3503">
        <v>0</v>
      </c>
      <c r="K3503">
        <v>2</v>
      </c>
      <c r="L3503">
        <v>2</v>
      </c>
      <c r="M3503">
        <v>167</v>
      </c>
      <c r="N3503">
        <v>509</v>
      </c>
      <c r="O3503">
        <v>4</v>
      </c>
      <c r="P3503">
        <v>506</v>
      </c>
      <c r="Q3503">
        <v>130</v>
      </c>
      <c r="R3503">
        <v>45</v>
      </c>
      <c r="S3503">
        <v>58</v>
      </c>
      <c r="T3503">
        <v>8</v>
      </c>
      <c r="U3503">
        <v>11</v>
      </c>
      <c r="V3503">
        <v>11</v>
      </c>
      <c r="W3503">
        <v>5</v>
      </c>
      <c r="X3503">
        <v>6</v>
      </c>
      <c r="Y3503">
        <v>178</v>
      </c>
      <c r="Z3503">
        <v>6</v>
      </c>
      <c r="AA3503">
        <v>12</v>
      </c>
      <c r="AC3503">
        <v>2</v>
      </c>
      <c r="AD3503">
        <v>1</v>
      </c>
      <c r="AE3503">
        <v>0</v>
      </c>
      <c r="AF3503">
        <v>0</v>
      </c>
      <c r="AK3503">
        <v>3</v>
      </c>
      <c r="AL3503">
        <v>2</v>
      </c>
      <c r="AM3503">
        <v>0</v>
      </c>
      <c r="AN3503">
        <v>0</v>
      </c>
      <c r="AO3503">
        <v>0</v>
      </c>
      <c r="AP3503">
        <v>0</v>
      </c>
      <c r="AQ3503">
        <v>0</v>
      </c>
      <c r="AR3503">
        <v>0</v>
      </c>
      <c r="AT3503">
        <v>0</v>
      </c>
      <c r="AU3503">
        <v>28</v>
      </c>
      <c r="AV3503">
        <v>506</v>
      </c>
      <c r="AW3503">
        <v>506</v>
      </c>
      <c r="AX3503">
        <v>654</v>
      </c>
      <c r="BA3503">
        <v>1</v>
      </c>
      <c r="BC3503" t="s">
        <v>7110</v>
      </c>
      <c r="BD3503" s="4">
        <v>43283.076388888891</v>
      </c>
      <c r="BE3503" s="4">
        <v>43283.179710648146</v>
      </c>
      <c r="BF3503" s="4">
        <v>43283.179710648146</v>
      </c>
      <c r="BG3503" t="s">
        <v>83</v>
      </c>
      <c r="BH3503" t="s">
        <v>84</v>
      </c>
      <c r="BI3503" t="s">
        <v>85</v>
      </c>
    </row>
    <row r="3504" spans="1:61" x14ac:dyDescent="0.3">
      <c r="A3504" t="str">
        <f>"202438B0100"</f>
        <v>202438B0100</v>
      </c>
      <c r="B3504" t="s">
        <v>7111</v>
      </c>
      <c r="C3504">
        <v>20</v>
      </c>
      <c r="D3504" t="s">
        <v>79</v>
      </c>
      <c r="E3504">
        <v>16</v>
      </c>
      <c r="F3504" t="s">
        <v>6725</v>
      </c>
      <c r="G3504">
        <v>2438</v>
      </c>
      <c r="H3504">
        <v>1</v>
      </c>
      <c r="I3504" t="s">
        <v>81</v>
      </c>
      <c r="J3504">
        <v>0</v>
      </c>
      <c r="K3504">
        <v>2</v>
      </c>
      <c r="L3504">
        <v>2</v>
      </c>
      <c r="M3504">
        <v>162</v>
      </c>
      <c r="N3504">
        <v>409</v>
      </c>
      <c r="O3504">
        <v>3</v>
      </c>
      <c r="P3504">
        <v>409</v>
      </c>
      <c r="Q3504">
        <v>90</v>
      </c>
      <c r="R3504">
        <v>35</v>
      </c>
      <c r="S3504">
        <v>48</v>
      </c>
      <c r="T3504">
        <v>12</v>
      </c>
      <c r="U3504">
        <v>13</v>
      </c>
      <c r="V3504">
        <v>4</v>
      </c>
      <c r="W3504">
        <v>6</v>
      </c>
      <c r="X3504">
        <v>2</v>
      </c>
      <c r="Y3504">
        <v>138</v>
      </c>
      <c r="Z3504">
        <v>3</v>
      </c>
      <c r="AA3504">
        <v>19</v>
      </c>
      <c r="AC3504">
        <v>2</v>
      </c>
      <c r="AD3504">
        <v>3</v>
      </c>
      <c r="AE3504">
        <v>1</v>
      </c>
      <c r="AF3504">
        <v>0</v>
      </c>
      <c r="AK3504">
        <v>2</v>
      </c>
      <c r="AL3504">
        <v>0</v>
      </c>
      <c r="AM3504">
        <v>0</v>
      </c>
      <c r="AN3504">
        <v>0</v>
      </c>
      <c r="AO3504">
        <v>0</v>
      </c>
      <c r="AP3504">
        <v>1</v>
      </c>
      <c r="AQ3504">
        <v>0</v>
      </c>
      <c r="AR3504">
        <v>0</v>
      </c>
      <c r="AT3504">
        <v>0</v>
      </c>
      <c r="AU3504">
        <v>30</v>
      </c>
      <c r="AV3504">
        <v>409</v>
      </c>
      <c r="AW3504">
        <v>409</v>
      </c>
      <c r="AX3504">
        <v>549</v>
      </c>
      <c r="BA3504">
        <v>1</v>
      </c>
      <c r="BC3504" t="s">
        <v>7112</v>
      </c>
      <c r="BD3504" s="4">
        <v>43283.095833333333</v>
      </c>
      <c r="BE3504" s="4">
        <v>43283.1325</v>
      </c>
      <c r="BF3504" s="4">
        <v>43283.1325</v>
      </c>
      <c r="BG3504" t="s">
        <v>83</v>
      </c>
      <c r="BH3504" t="s">
        <v>84</v>
      </c>
      <c r="BI3504" t="s">
        <v>85</v>
      </c>
    </row>
    <row r="3505" spans="1:61" x14ac:dyDescent="0.3">
      <c r="A3505" t="str">
        <f>"202438C0100"</f>
        <v>202438C0100</v>
      </c>
      <c r="B3505" t="s">
        <v>7113</v>
      </c>
      <c r="C3505">
        <v>20</v>
      </c>
      <c r="D3505" t="s">
        <v>79</v>
      </c>
      <c r="E3505">
        <v>16</v>
      </c>
      <c r="F3505" t="s">
        <v>6725</v>
      </c>
      <c r="G3505">
        <v>2438</v>
      </c>
      <c r="H3505">
        <v>1</v>
      </c>
      <c r="I3505" t="s">
        <v>89</v>
      </c>
      <c r="J3505">
        <v>0</v>
      </c>
      <c r="K3505">
        <v>2</v>
      </c>
      <c r="L3505">
        <v>2</v>
      </c>
      <c r="M3505" t="s">
        <v>100</v>
      </c>
      <c r="N3505" t="s">
        <v>100</v>
      </c>
      <c r="O3505" t="s">
        <v>100</v>
      </c>
      <c r="P3505" t="s">
        <v>100</v>
      </c>
      <c r="Q3505">
        <v>82</v>
      </c>
      <c r="R3505">
        <v>36</v>
      </c>
      <c r="S3505">
        <v>22</v>
      </c>
      <c r="T3505">
        <v>7</v>
      </c>
      <c r="U3505">
        <v>20</v>
      </c>
      <c r="V3505">
        <v>5</v>
      </c>
      <c r="W3505">
        <v>3</v>
      </c>
      <c r="X3505">
        <v>7</v>
      </c>
      <c r="Y3505">
        <v>117</v>
      </c>
      <c r="Z3505">
        <v>6</v>
      </c>
      <c r="AA3505">
        <v>17</v>
      </c>
      <c r="AC3505">
        <v>4</v>
      </c>
      <c r="AD3505">
        <v>1</v>
      </c>
      <c r="AE3505">
        <v>0</v>
      </c>
      <c r="AF3505">
        <v>0</v>
      </c>
      <c r="AK3505">
        <v>7</v>
      </c>
      <c r="AL3505">
        <v>0</v>
      </c>
      <c r="AM3505">
        <v>0</v>
      </c>
      <c r="AN3505">
        <v>2</v>
      </c>
      <c r="AO3505">
        <v>0</v>
      </c>
      <c r="AP3505">
        <v>0</v>
      </c>
      <c r="AQ3505">
        <v>1</v>
      </c>
      <c r="AR3505">
        <v>0</v>
      </c>
      <c r="AT3505">
        <v>0</v>
      </c>
      <c r="AU3505">
        <v>32</v>
      </c>
      <c r="AV3505">
        <v>369</v>
      </c>
      <c r="AW3505">
        <v>369</v>
      </c>
      <c r="AX3505">
        <v>548</v>
      </c>
      <c r="BA3505">
        <v>1</v>
      </c>
      <c r="BC3505" t="s">
        <v>7114</v>
      </c>
      <c r="BD3505" s="4">
        <v>43283.158333333333</v>
      </c>
      <c r="BE3505" s="4">
        <v>43283.214085648149</v>
      </c>
      <c r="BF3505" s="4">
        <v>43283.214085648149</v>
      </c>
      <c r="BG3505" t="s">
        <v>83</v>
      </c>
      <c r="BH3505" t="s">
        <v>84</v>
      </c>
      <c r="BI3505" t="s">
        <v>85</v>
      </c>
    </row>
    <row r="3506" spans="1:61" x14ac:dyDescent="0.3">
      <c r="A3506" t="str">
        <f>"202439B0100"</f>
        <v>202439B0100</v>
      </c>
      <c r="B3506" t="s">
        <v>7115</v>
      </c>
      <c r="C3506">
        <v>20</v>
      </c>
      <c r="D3506" t="s">
        <v>79</v>
      </c>
      <c r="E3506">
        <v>16</v>
      </c>
      <c r="F3506" t="s">
        <v>6725</v>
      </c>
      <c r="G3506">
        <v>2439</v>
      </c>
      <c r="H3506">
        <v>1</v>
      </c>
      <c r="I3506" t="s">
        <v>81</v>
      </c>
      <c r="J3506">
        <v>0</v>
      </c>
      <c r="K3506">
        <v>2</v>
      </c>
      <c r="L3506">
        <v>2</v>
      </c>
      <c r="M3506">
        <v>150</v>
      </c>
      <c r="N3506">
        <v>509</v>
      </c>
      <c r="O3506">
        <v>9</v>
      </c>
      <c r="P3506">
        <v>509</v>
      </c>
      <c r="Q3506">
        <v>113</v>
      </c>
      <c r="R3506">
        <v>51</v>
      </c>
      <c r="S3506">
        <v>41</v>
      </c>
      <c r="T3506">
        <v>8</v>
      </c>
      <c r="U3506">
        <v>11</v>
      </c>
      <c r="V3506">
        <v>11</v>
      </c>
      <c r="W3506">
        <v>8</v>
      </c>
      <c r="X3506">
        <v>7</v>
      </c>
      <c r="Y3506">
        <v>203</v>
      </c>
      <c r="Z3506">
        <v>7</v>
      </c>
      <c r="AA3506">
        <v>8</v>
      </c>
      <c r="AC3506">
        <v>2</v>
      </c>
      <c r="AD3506">
        <v>1</v>
      </c>
      <c r="AE3506">
        <v>1</v>
      </c>
      <c r="AF3506">
        <v>0</v>
      </c>
      <c r="AK3506">
        <v>0</v>
      </c>
      <c r="AL3506">
        <v>2</v>
      </c>
      <c r="AM3506">
        <v>0</v>
      </c>
      <c r="AN3506">
        <v>0</v>
      </c>
      <c r="AO3506">
        <v>0</v>
      </c>
      <c r="AP3506">
        <v>0</v>
      </c>
      <c r="AQ3506">
        <v>0</v>
      </c>
      <c r="AR3506">
        <v>0</v>
      </c>
      <c r="AT3506" t="s">
        <v>100</v>
      </c>
      <c r="AU3506">
        <v>35</v>
      </c>
      <c r="AV3506">
        <v>509</v>
      </c>
      <c r="AW3506">
        <v>509</v>
      </c>
      <c r="AX3506">
        <v>637</v>
      </c>
      <c r="AZ3506" t="s">
        <v>101</v>
      </c>
      <c r="BA3506">
        <v>1</v>
      </c>
      <c r="BC3506" t="s">
        <v>7116</v>
      </c>
      <c r="BD3506" s="4">
        <v>43283.003472222219</v>
      </c>
      <c r="BE3506" s="4">
        <v>43283.023125</v>
      </c>
      <c r="BF3506" s="4">
        <v>43283.023125</v>
      </c>
      <c r="BG3506" t="s">
        <v>83</v>
      </c>
      <c r="BH3506" t="s">
        <v>84</v>
      </c>
      <c r="BI3506" t="s">
        <v>85</v>
      </c>
    </row>
    <row r="3507" spans="1:61" x14ac:dyDescent="0.3">
      <c r="A3507" t="str">
        <f>"202439C0100"</f>
        <v>202439C0100</v>
      </c>
      <c r="B3507" t="s">
        <v>7117</v>
      </c>
      <c r="C3507">
        <v>20</v>
      </c>
      <c r="D3507" t="s">
        <v>79</v>
      </c>
      <c r="E3507">
        <v>16</v>
      </c>
      <c r="F3507" t="s">
        <v>6725</v>
      </c>
      <c r="G3507">
        <v>2439</v>
      </c>
      <c r="H3507">
        <v>1</v>
      </c>
      <c r="I3507" t="s">
        <v>89</v>
      </c>
      <c r="J3507">
        <v>0</v>
      </c>
      <c r="K3507">
        <v>2</v>
      </c>
      <c r="L3507">
        <v>2</v>
      </c>
      <c r="M3507">
        <v>173</v>
      </c>
      <c r="N3507">
        <v>485</v>
      </c>
      <c r="O3507">
        <v>4</v>
      </c>
      <c r="P3507" t="s">
        <v>100</v>
      </c>
      <c r="Q3507">
        <v>106</v>
      </c>
      <c r="R3507">
        <v>45</v>
      </c>
      <c r="S3507">
        <v>48</v>
      </c>
      <c r="T3507">
        <v>9</v>
      </c>
      <c r="U3507">
        <v>18</v>
      </c>
      <c r="V3507">
        <v>6</v>
      </c>
      <c r="W3507">
        <v>4</v>
      </c>
      <c r="X3507">
        <v>6</v>
      </c>
      <c r="Y3507">
        <v>174</v>
      </c>
      <c r="Z3507">
        <v>8</v>
      </c>
      <c r="AA3507">
        <v>10</v>
      </c>
      <c r="AC3507">
        <v>0</v>
      </c>
      <c r="AD3507">
        <v>3</v>
      </c>
      <c r="AE3507">
        <v>1</v>
      </c>
      <c r="AF3507">
        <v>1</v>
      </c>
      <c r="AK3507">
        <v>2</v>
      </c>
      <c r="AL3507">
        <v>1</v>
      </c>
      <c r="AM3507">
        <v>0</v>
      </c>
      <c r="AN3507">
        <v>1</v>
      </c>
      <c r="AO3507">
        <v>0</v>
      </c>
      <c r="AP3507">
        <v>0</v>
      </c>
      <c r="AQ3507">
        <v>0</v>
      </c>
      <c r="AR3507">
        <v>0</v>
      </c>
      <c r="AT3507" t="s">
        <v>100</v>
      </c>
      <c r="AU3507">
        <v>42</v>
      </c>
      <c r="AV3507">
        <v>485</v>
      </c>
      <c r="AW3507">
        <v>485</v>
      </c>
      <c r="AX3507">
        <v>636</v>
      </c>
      <c r="AZ3507" t="s">
        <v>101</v>
      </c>
      <c r="BA3507">
        <v>1</v>
      </c>
      <c r="BC3507" t="s">
        <v>7118</v>
      </c>
      <c r="BD3507" s="4">
        <v>43283.040277777778</v>
      </c>
      <c r="BE3507" s="4">
        <v>43283.050393518519</v>
      </c>
      <c r="BF3507" s="4">
        <v>43283.050393518519</v>
      </c>
      <c r="BG3507" t="s">
        <v>83</v>
      </c>
      <c r="BH3507" t="s">
        <v>84</v>
      </c>
      <c r="BI3507" t="s">
        <v>85</v>
      </c>
    </row>
    <row r="3508" spans="1:61" x14ac:dyDescent="0.3">
      <c r="A3508" t="str">
        <f>"202439S0100"</f>
        <v>202439S0100</v>
      </c>
      <c r="B3508" t="s">
        <v>7119</v>
      </c>
      <c r="C3508">
        <v>20</v>
      </c>
      <c r="D3508" t="s">
        <v>79</v>
      </c>
      <c r="E3508">
        <v>16</v>
      </c>
      <c r="F3508" t="s">
        <v>6725</v>
      </c>
      <c r="G3508">
        <v>2439</v>
      </c>
      <c r="H3508">
        <v>1</v>
      </c>
      <c r="I3508" t="s">
        <v>104</v>
      </c>
      <c r="J3508">
        <v>0</v>
      </c>
      <c r="K3508">
        <v>2</v>
      </c>
      <c r="L3508">
        <v>3</v>
      </c>
      <c r="M3508">
        <v>245</v>
      </c>
      <c r="N3508">
        <v>91</v>
      </c>
      <c r="O3508">
        <v>0</v>
      </c>
      <c r="P3508">
        <v>91</v>
      </c>
      <c r="Q3508">
        <v>11</v>
      </c>
      <c r="R3508">
        <v>13</v>
      </c>
      <c r="S3508">
        <v>7</v>
      </c>
      <c r="T3508">
        <v>2</v>
      </c>
      <c r="U3508">
        <v>3</v>
      </c>
      <c r="V3508">
        <v>2</v>
      </c>
      <c r="W3508">
        <v>2</v>
      </c>
      <c r="X3508">
        <v>0</v>
      </c>
      <c r="Y3508">
        <v>47</v>
      </c>
      <c r="Z3508">
        <v>2</v>
      </c>
      <c r="AA3508">
        <v>0</v>
      </c>
      <c r="AC3508">
        <v>0</v>
      </c>
      <c r="AD3508">
        <v>0</v>
      </c>
      <c r="AE3508">
        <v>0</v>
      </c>
      <c r="AF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0</v>
      </c>
      <c r="AR3508">
        <v>0</v>
      </c>
      <c r="AT3508">
        <v>0</v>
      </c>
      <c r="AU3508">
        <v>2</v>
      </c>
      <c r="AV3508">
        <v>91</v>
      </c>
      <c r="AW3508">
        <v>91</v>
      </c>
      <c r="AX3508">
        <v>0</v>
      </c>
      <c r="BA3508">
        <v>1</v>
      </c>
      <c r="BC3508" t="s">
        <v>7120</v>
      </c>
      <c r="BD3508" s="4">
        <v>43283.021527777775</v>
      </c>
      <c r="BE3508" s="4">
        <v>43283.033680555556</v>
      </c>
      <c r="BF3508" s="4">
        <v>43283.033680555556</v>
      </c>
      <c r="BG3508" t="s">
        <v>83</v>
      </c>
      <c r="BH3508" t="s">
        <v>84</v>
      </c>
      <c r="BI3508" t="s">
        <v>85</v>
      </c>
    </row>
    <row r="3509" spans="1:61" x14ac:dyDescent="0.3">
      <c r="A3509" t="str">
        <f>"202440B0100"</f>
        <v>202440B0100</v>
      </c>
      <c r="B3509" t="s">
        <v>7121</v>
      </c>
      <c r="C3509">
        <v>20</v>
      </c>
      <c r="D3509" t="s">
        <v>79</v>
      </c>
      <c r="E3509">
        <v>16</v>
      </c>
      <c r="F3509" t="s">
        <v>6725</v>
      </c>
      <c r="G3509">
        <v>2440</v>
      </c>
      <c r="H3509">
        <v>1</v>
      </c>
      <c r="I3509" t="s">
        <v>81</v>
      </c>
      <c r="J3509">
        <v>0</v>
      </c>
      <c r="K3509">
        <v>2</v>
      </c>
      <c r="L3509">
        <v>2</v>
      </c>
      <c r="M3509">
        <v>187</v>
      </c>
      <c r="N3509">
        <v>583</v>
      </c>
      <c r="O3509">
        <v>4</v>
      </c>
      <c r="P3509">
        <v>581</v>
      </c>
      <c r="Q3509">
        <v>141</v>
      </c>
      <c r="R3509">
        <v>70</v>
      </c>
      <c r="S3509">
        <v>64</v>
      </c>
      <c r="T3509">
        <v>12</v>
      </c>
      <c r="U3509">
        <v>20</v>
      </c>
      <c r="V3509">
        <v>11</v>
      </c>
      <c r="W3509">
        <v>2</v>
      </c>
      <c r="X3509">
        <v>7</v>
      </c>
      <c r="Y3509">
        <v>202</v>
      </c>
      <c r="Z3509">
        <v>8</v>
      </c>
      <c r="AA3509">
        <v>12</v>
      </c>
      <c r="AC3509">
        <v>4</v>
      </c>
      <c r="AD3509">
        <v>1</v>
      </c>
      <c r="AE3509">
        <v>1</v>
      </c>
      <c r="AF3509">
        <v>0</v>
      </c>
      <c r="AK3509">
        <v>0</v>
      </c>
      <c r="AL3509">
        <v>0</v>
      </c>
      <c r="AM3509">
        <v>0</v>
      </c>
      <c r="AN3509">
        <v>0</v>
      </c>
      <c r="AO3509">
        <v>1</v>
      </c>
      <c r="AP3509">
        <v>0</v>
      </c>
      <c r="AQ3509">
        <v>0</v>
      </c>
      <c r="AR3509">
        <v>0</v>
      </c>
      <c r="AT3509">
        <v>0</v>
      </c>
      <c r="AU3509">
        <v>25</v>
      </c>
      <c r="AV3509">
        <v>581</v>
      </c>
      <c r="AW3509">
        <v>581</v>
      </c>
      <c r="AX3509">
        <v>748</v>
      </c>
      <c r="BA3509">
        <v>1</v>
      </c>
      <c r="BC3509" t="s">
        <v>7122</v>
      </c>
      <c r="BD3509" s="4">
        <v>43283.002754629626</v>
      </c>
      <c r="BE3509" s="4">
        <v>43283.008472222224</v>
      </c>
      <c r="BF3509" s="4">
        <v>43283.008472222224</v>
      </c>
      <c r="BG3509" t="s">
        <v>373</v>
      </c>
      <c r="BH3509" t="s">
        <v>374</v>
      </c>
      <c r="BI3509" t="s">
        <v>85</v>
      </c>
    </row>
    <row r="3510" spans="1:61" x14ac:dyDescent="0.3">
      <c r="A3510" t="str">
        <f>"202440C0100"</f>
        <v>202440C0100</v>
      </c>
      <c r="B3510" t="s">
        <v>7123</v>
      </c>
      <c r="C3510">
        <v>20</v>
      </c>
      <c r="D3510" t="s">
        <v>79</v>
      </c>
      <c r="E3510">
        <v>16</v>
      </c>
      <c r="F3510" t="s">
        <v>6725</v>
      </c>
      <c r="G3510">
        <v>2440</v>
      </c>
      <c r="H3510">
        <v>1</v>
      </c>
      <c r="I3510" t="s">
        <v>89</v>
      </c>
      <c r="J3510">
        <v>0</v>
      </c>
      <c r="K3510">
        <v>2</v>
      </c>
      <c r="L3510">
        <v>2</v>
      </c>
      <c r="M3510">
        <v>181</v>
      </c>
      <c r="N3510">
        <v>588</v>
      </c>
      <c r="O3510">
        <v>5</v>
      </c>
      <c r="P3510">
        <v>590</v>
      </c>
      <c r="Q3510">
        <v>135</v>
      </c>
      <c r="R3510">
        <v>74</v>
      </c>
      <c r="S3510">
        <v>71</v>
      </c>
      <c r="T3510">
        <v>9</v>
      </c>
      <c r="U3510">
        <v>17</v>
      </c>
      <c r="V3510">
        <v>2</v>
      </c>
      <c r="W3510">
        <v>1</v>
      </c>
      <c r="X3510">
        <v>2</v>
      </c>
      <c r="Y3510">
        <v>195</v>
      </c>
      <c r="Z3510">
        <v>12</v>
      </c>
      <c r="AA3510">
        <v>20</v>
      </c>
      <c r="AC3510">
        <v>1</v>
      </c>
      <c r="AD3510">
        <v>3</v>
      </c>
      <c r="AE3510">
        <v>2</v>
      </c>
      <c r="AF3510">
        <v>0</v>
      </c>
      <c r="AK3510">
        <v>4</v>
      </c>
      <c r="AL3510">
        <v>0</v>
      </c>
      <c r="AM3510">
        <v>0</v>
      </c>
      <c r="AN3510">
        <v>1</v>
      </c>
      <c r="AO3510">
        <v>1</v>
      </c>
      <c r="AP3510">
        <v>2</v>
      </c>
      <c r="AQ3510">
        <v>0</v>
      </c>
      <c r="AR3510">
        <v>0</v>
      </c>
      <c r="AT3510">
        <v>1</v>
      </c>
      <c r="AU3510">
        <v>37</v>
      </c>
      <c r="AV3510">
        <v>590</v>
      </c>
      <c r="AW3510">
        <v>590</v>
      </c>
      <c r="AX3510">
        <v>747</v>
      </c>
      <c r="BA3510">
        <v>1</v>
      </c>
      <c r="BC3510" t="s">
        <v>7124</v>
      </c>
      <c r="BD3510" s="4">
        <v>43283.088194444441</v>
      </c>
      <c r="BE3510" s="4">
        <v>43283.179386574076</v>
      </c>
      <c r="BF3510" s="4">
        <v>43283.179386574076</v>
      </c>
      <c r="BG3510" t="s">
        <v>83</v>
      </c>
      <c r="BH3510" t="s">
        <v>84</v>
      </c>
      <c r="BI3510" t="s">
        <v>85</v>
      </c>
    </row>
    <row r="3511" spans="1:61" x14ac:dyDescent="0.3">
      <c r="A3511" t="str">
        <f>"202441B0100"</f>
        <v>202441B0100</v>
      </c>
      <c r="B3511" t="s">
        <v>7125</v>
      </c>
      <c r="C3511">
        <v>20</v>
      </c>
      <c r="D3511" t="s">
        <v>79</v>
      </c>
      <c r="E3511">
        <v>16</v>
      </c>
      <c r="F3511" t="s">
        <v>6725</v>
      </c>
      <c r="G3511">
        <v>2441</v>
      </c>
      <c r="H3511">
        <v>1</v>
      </c>
      <c r="I3511" t="s">
        <v>81</v>
      </c>
      <c r="J3511">
        <v>0</v>
      </c>
      <c r="K3511">
        <v>2</v>
      </c>
      <c r="L3511">
        <v>2</v>
      </c>
      <c r="M3511">
        <v>145</v>
      </c>
      <c r="N3511">
        <v>554</v>
      </c>
      <c r="O3511">
        <v>5</v>
      </c>
      <c r="P3511">
        <v>547</v>
      </c>
      <c r="Q3511">
        <v>152</v>
      </c>
      <c r="R3511">
        <v>48</v>
      </c>
      <c r="S3511">
        <v>68</v>
      </c>
      <c r="T3511">
        <v>12</v>
      </c>
      <c r="U3511">
        <v>19</v>
      </c>
      <c r="V3511">
        <v>3</v>
      </c>
      <c r="W3511">
        <v>10</v>
      </c>
      <c r="X3511">
        <v>3</v>
      </c>
      <c r="Y3511">
        <v>163</v>
      </c>
      <c r="Z3511">
        <v>5</v>
      </c>
      <c r="AA3511">
        <v>20</v>
      </c>
      <c r="AC3511">
        <v>3</v>
      </c>
      <c r="AD3511">
        <v>4</v>
      </c>
      <c r="AE3511">
        <v>2</v>
      </c>
      <c r="AF3511">
        <v>0</v>
      </c>
      <c r="AK3511">
        <v>2</v>
      </c>
      <c r="AL3511">
        <v>2</v>
      </c>
      <c r="AM3511">
        <v>0</v>
      </c>
      <c r="AN3511">
        <v>2</v>
      </c>
      <c r="AO3511">
        <v>2</v>
      </c>
      <c r="AP3511">
        <v>1</v>
      </c>
      <c r="AQ3511">
        <v>0</v>
      </c>
      <c r="AR3511">
        <v>0</v>
      </c>
      <c r="AT3511">
        <v>0</v>
      </c>
      <c r="AU3511">
        <v>26</v>
      </c>
      <c r="AV3511">
        <v>547</v>
      </c>
      <c r="AW3511">
        <v>547</v>
      </c>
      <c r="AX3511">
        <v>677</v>
      </c>
      <c r="BA3511">
        <v>1</v>
      </c>
      <c r="BC3511" t="s">
        <v>7126</v>
      </c>
      <c r="BD3511" s="4">
        <v>43283.090277777781</v>
      </c>
      <c r="BE3511" s="4">
        <v>43283.190046296295</v>
      </c>
      <c r="BF3511" s="4">
        <v>43283.190046296295</v>
      </c>
      <c r="BG3511" t="s">
        <v>83</v>
      </c>
      <c r="BH3511" t="s">
        <v>84</v>
      </c>
      <c r="BI3511" t="s">
        <v>85</v>
      </c>
    </row>
    <row r="3512" spans="1:61" x14ac:dyDescent="0.3">
      <c r="A3512" t="str">
        <f>"202441C0100"</f>
        <v>202441C0100</v>
      </c>
      <c r="B3512" t="s">
        <v>7127</v>
      </c>
      <c r="C3512">
        <v>20</v>
      </c>
      <c r="D3512" t="s">
        <v>79</v>
      </c>
      <c r="E3512">
        <v>16</v>
      </c>
      <c r="F3512" t="s">
        <v>6725</v>
      </c>
      <c r="G3512">
        <v>2441</v>
      </c>
      <c r="H3512">
        <v>1</v>
      </c>
      <c r="I3512" t="s">
        <v>89</v>
      </c>
      <c r="J3512">
        <v>0</v>
      </c>
      <c r="K3512">
        <v>2</v>
      </c>
      <c r="L3512">
        <v>2</v>
      </c>
      <c r="M3512">
        <v>175</v>
      </c>
      <c r="N3512">
        <v>523</v>
      </c>
      <c r="O3512">
        <v>0</v>
      </c>
      <c r="P3512">
        <v>523</v>
      </c>
      <c r="Q3512">
        <v>144</v>
      </c>
      <c r="R3512">
        <v>35</v>
      </c>
      <c r="S3512">
        <v>68</v>
      </c>
      <c r="T3512">
        <v>11</v>
      </c>
      <c r="U3512">
        <v>15</v>
      </c>
      <c r="V3512">
        <v>7</v>
      </c>
      <c r="W3512">
        <v>5</v>
      </c>
      <c r="X3512">
        <v>9</v>
      </c>
      <c r="Y3512">
        <v>175</v>
      </c>
      <c r="Z3512">
        <v>7</v>
      </c>
      <c r="AA3512">
        <v>17</v>
      </c>
      <c r="AC3512">
        <v>1</v>
      </c>
      <c r="AD3512">
        <v>2</v>
      </c>
      <c r="AE3512">
        <v>2</v>
      </c>
      <c r="AF3512">
        <v>0</v>
      </c>
      <c r="AK3512">
        <v>6</v>
      </c>
      <c r="AL3512">
        <v>0</v>
      </c>
      <c r="AM3512">
        <v>0</v>
      </c>
      <c r="AN3512">
        <v>0</v>
      </c>
      <c r="AO3512">
        <v>0</v>
      </c>
      <c r="AP3512">
        <v>3</v>
      </c>
      <c r="AQ3512">
        <v>0</v>
      </c>
      <c r="AR3512">
        <v>0</v>
      </c>
      <c r="AT3512">
        <v>0</v>
      </c>
      <c r="AU3512">
        <v>16</v>
      </c>
      <c r="AV3512">
        <v>523</v>
      </c>
      <c r="AW3512">
        <v>523</v>
      </c>
      <c r="AX3512">
        <v>676</v>
      </c>
      <c r="BA3512">
        <v>1</v>
      </c>
      <c r="BC3512" t="s">
        <v>7128</v>
      </c>
      <c r="BD3512" s="4">
        <v>43283.089583333334</v>
      </c>
      <c r="BE3512" s="4">
        <v>43283.189409722225</v>
      </c>
      <c r="BF3512" s="4">
        <v>43283.189409722225</v>
      </c>
      <c r="BG3512" t="s">
        <v>83</v>
      </c>
      <c r="BH3512" t="s">
        <v>84</v>
      </c>
      <c r="BI3512" t="s">
        <v>85</v>
      </c>
    </row>
    <row r="3513" spans="1:61" x14ac:dyDescent="0.3">
      <c r="A3513" t="str">
        <f>"202441C0200"</f>
        <v>202441C0200</v>
      </c>
      <c r="B3513" t="s">
        <v>7129</v>
      </c>
      <c r="C3513">
        <v>20</v>
      </c>
      <c r="D3513" t="s">
        <v>79</v>
      </c>
      <c r="E3513">
        <v>16</v>
      </c>
      <c r="F3513" t="s">
        <v>6725</v>
      </c>
      <c r="G3513">
        <v>2441</v>
      </c>
      <c r="H3513">
        <v>2</v>
      </c>
      <c r="I3513" t="s">
        <v>89</v>
      </c>
      <c r="J3513">
        <v>0</v>
      </c>
      <c r="K3513">
        <v>2</v>
      </c>
      <c r="L3513">
        <v>2</v>
      </c>
      <c r="M3513">
        <v>168</v>
      </c>
      <c r="N3513">
        <v>530</v>
      </c>
      <c r="O3513">
        <v>5</v>
      </c>
      <c r="P3513" t="s">
        <v>100</v>
      </c>
      <c r="Q3513">
        <v>122</v>
      </c>
      <c r="R3513">
        <v>55</v>
      </c>
      <c r="S3513">
        <v>59</v>
      </c>
      <c r="T3513">
        <v>18</v>
      </c>
      <c r="U3513">
        <v>17</v>
      </c>
      <c r="V3513">
        <v>3</v>
      </c>
      <c r="W3513">
        <v>7</v>
      </c>
      <c r="X3513">
        <v>11</v>
      </c>
      <c r="Y3513">
        <v>177</v>
      </c>
      <c r="Z3513">
        <v>5</v>
      </c>
      <c r="AA3513">
        <v>13</v>
      </c>
      <c r="AC3513">
        <v>1</v>
      </c>
      <c r="AD3513">
        <v>3</v>
      </c>
      <c r="AE3513">
        <v>0</v>
      </c>
      <c r="AF3513">
        <v>1</v>
      </c>
      <c r="AK3513">
        <v>2</v>
      </c>
      <c r="AL3513">
        <v>0</v>
      </c>
      <c r="AM3513">
        <v>0</v>
      </c>
      <c r="AN3513">
        <v>3</v>
      </c>
      <c r="AO3513">
        <v>1</v>
      </c>
      <c r="AP3513">
        <v>2</v>
      </c>
      <c r="AQ3513">
        <v>0</v>
      </c>
      <c r="AR3513">
        <v>0</v>
      </c>
      <c r="AT3513">
        <v>0</v>
      </c>
      <c r="AU3513">
        <v>30</v>
      </c>
      <c r="AV3513">
        <v>529</v>
      </c>
      <c r="AW3513">
        <v>530</v>
      </c>
      <c r="AX3513">
        <v>676</v>
      </c>
      <c r="BA3513">
        <v>1</v>
      </c>
      <c r="BC3513" t="s">
        <v>7130</v>
      </c>
      <c r="BD3513" s="4">
        <v>43283.09652777778</v>
      </c>
      <c r="BE3513" s="4">
        <v>43283.187418981484</v>
      </c>
      <c r="BF3513" s="4">
        <v>43283.187418981484</v>
      </c>
      <c r="BG3513" t="s">
        <v>83</v>
      </c>
      <c r="BH3513" t="s">
        <v>84</v>
      </c>
      <c r="BI3513" t="s">
        <v>85</v>
      </c>
    </row>
    <row r="3514" spans="1:61" x14ac:dyDescent="0.3">
      <c r="A3514" t="str">
        <f>"202442B0100"</f>
        <v>202442B0100</v>
      </c>
      <c r="B3514" t="s">
        <v>7131</v>
      </c>
      <c r="C3514">
        <v>20</v>
      </c>
      <c r="D3514" t="s">
        <v>79</v>
      </c>
      <c r="E3514">
        <v>16</v>
      </c>
      <c r="F3514" t="s">
        <v>6725</v>
      </c>
      <c r="G3514">
        <v>2442</v>
      </c>
      <c r="H3514">
        <v>1</v>
      </c>
      <c r="I3514" t="s">
        <v>81</v>
      </c>
      <c r="J3514">
        <v>0</v>
      </c>
      <c r="K3514">
        <v>2</v>
      </c>
      <c r="L3514">
        <v>2</v>
      </c>
      <c r="M3514">
        <v>187</v>
      </c>
      <c r="N3514">
        <v>461</v>
      </c>
      <c r="O3514">
        <v>9</v>
      </c>
      <c r="P3514">
        <v>3</v>
      </c>
      <c r="Q3514">
        <v>94</v>
      </c>
      <c r="R3514">
        <v>66</v>
      </c>
      <c r="S3514">
        <v>56</v>
      </c>
      <c r="T3514">
        <v>11</v>
      </c>
      <c r="U3514">
        <v>12</v>
      </c>
      <c r="V3514">
        <v>9</v>
      </c>
      <c r="W3514">
        <v>5</v>
      </c>
      <c r="X3514">
        <v>5</v>
      </c>
      <c r="Y3514">
        <v>132</v>
      </c>
      <c r="Z3514">
        <v>8</v>
      </c>
      <c r="AA3514">
        <v>23</v>
      </c>
      <c r="AC3514">
        <v>0</v>
      </c>
      <c r="AD3514">
        <v>3</v>
      </c>
      <c r="AE3514">
        <v>0</v>
      </c>
      <c r="AF3514">
        <v>0</v>
      </c>
      <c r="AK3514">
        <v>2</v>
      </c>
      <c r="AL3514">
        <v>3</v>
      </c>
      <c r="AM3514">
        <v>1</v>
      </c>
      <c r="AN3514">
        <v>0</v>
      </c>
      <c r="AO3514">
        <v>0</v>
      </c>
      <c r="AP3514">
        <v>0</v>
      </c>
      <c r="AQ3514">
        <v>0</v>
      </c>
      <c r="AR3514">
        <v>0</v>
      </c>
      <c r="AT3514">
        <v>0</v>
      </c>
      <c r="AU3514">
        <v>32</v>
      </c>
      <c r="AV3514" t="s">
        <v>100</v>
      </c>
      <c r="AW3514">
        <v>462</v>
      </c>
      <c r="AX3514">
        <v>627</v>
      </c>
      <c r="BA3514">
        <v>1</v>
      </c>
      <c r="BC3514" t="s">
        <v>7132</v>
      </c>
      <c r="BD3514" s="4">
        <v>43283.129861111112</v>
      </c>
      <c r="BE3514" s="4">
        <v>43283.190740740742</v>
      </c>
      <c r="BF3514" s="4">
        <v>43283.190740740742</v>
      </c>
      <c r="BG3514" t="s">
        <v>83</v>
      </c>
      <c r="BH3514" t="s">
        <v>84</v>
      </c>
      <c r="BI3514" t="s">
        <v>85</v>
      </c>
    </row>
    <row r="3515" spans="1:61" x14ac:dyDescent="0.3">
      <c r="A3515" t="str">
        <f>"202442C0100"</f>
        <v>202442C0100</v>
      </c>
      <c r="B3515" t="s">
        <v>7133</v>
      </c>
      <c r="C3515">
        <v>20</v>
      </c>
      <c r="D3515" t="s">
        <v>79</v>
      </c>
      <c r="E3515">
        <v>16</v>
      </c>
      <c r="F3515" t="s">
        <v>6725</v>
      </c>
      <c r="G3515">
        <v>2442</v>
      </c>
      <c r="H3515">
        <v>1</v>
      </c>
      <c r="I3515" t="s">
        <v>89</v>
      </c>
      <c r="J3515">
        <v>0</v>
      </c>
      <c r="K3515">
        <v>2</v>
      </c>
      <c r="L3515">
        <v>2</v>
      </c>
      <c r="M3515">
        <v>243</v>
      </c>
      <c r="N3515">
        <v>406</v>
      </c>
      <c r="O3515">
        <v>4</v>
      </c>
      <c r="P3515" t="s">
        <v>100</v>
      </c>
      <c r="Q3515">
        <v>88</v>
      </c>
      <c r="R3515">
        <v>68</v>
      </c>
      <c r="S3515">
        <v>52</v>
      </c>
      <c r="T3515">
        <v>13</v>
      </c>
      <c r="U3515">
        <v>15</v>
      </c>
      <c r="V3515">
        <v>10</v>
      </c>
      <c r="W3515">
        <v>4</v>
      </c>
      <c r="X3515">
        <v>4</v>
      </c>
      <c r="Y3515">
        <v>83</v>
      </c>
      <c r="Z3515">
        <v>3</v>
      </c>
      <c r="AA3515">
        <v>25</v>
      </c>
      <c r="AC3515">
        <v>0</v>
      </c>
      <c r="AD3515">
        <v>2</v>
      </c>
      <c r="AE3515">
        <v>0</v>
      </c>
      <c r="AF3515">
        <v>0</v>
      </c>
      <c r="AK3515">
        <v>2</v>
      </c>
      <c r="AL3515">
        <v>0</v>
      </c>
      <c r="AM3515">
        <v>0</v>
      </c>
      <c r="AN3515">
        <v>1</v>
      </c>
      <c r="AO3515">
        <v>0</v>
      </c>
      <c r="AP3515">
        <v>1</v>
      </c>
      <c r="AQ3515">
        <v>0</v>
      </c>
      <c r="AR3515">
        <v>0</v>
      </c>
      <c r="AT3515">
        <v>0</v>
      </c>
      <c r="AU3515">
        <v>35</v>
      </c>
      <c r="AV3515">
        <v>406</v>
      </c>
      <c r="AW3515">
        <v>406</v>
      </c>
      <c r="AX3515">
        <v>627</v>
      </c>
      <c r="BA3515">
        <v>1</v>
      </c>
      <c r="BC3515" t="s">
        <v>7134</v>
      </c>
      <c r="BD3515" s="4">
        <v>43283.132638888892</v>
      </c>
      <c r="BE3515" s="4">
        <v>43283.195462962962</v>
      </c>
      <c r="BF3515" s="4">
        <v>43283.195462962962</v>
      </c>
      <c r="BG3515" t="s">
        <v>83</v>
      </c>
      <c r="BH3515" t="s">
        <v>84</v>
      </c>
      <c r="BI3515" t="s">
        <v>85</v>
      </c>
    </row>
    <row r="3516" spans="1:61" x14ac:dyDescent="0.3">
      <c r="A3516" t="str">
        <f>"202442C0200"</f>
        <v>202442C0200</v>
      </c>
      <c r="B3516" t="s">
        <v>7135</v>
      </c>
      <c r="C3516">
        <v>20</v>
      </c>
      <c r="D3516" t="s">
        <v>79</v>
      </c>
      <c r="E3516">
        <v>16</v>
      </c>
      <c r="F3516" t="s">
        <v>6725</v>
      </c>
      <c r="G3516">
        <v>2442</v>
      </c>
      <c r="H3516">
        <v>2</v>
      </c>
      <c r="I3516" t="s">
        <v>89</v>
      </c>
      <c r="J3516">
        <v>0</v>
      </c>
      <c r="K3516">
        <v>2</v>
      </c>
      <c r="L3516">
        <v>2</v>
      </c>
      <c r="M3516">
        <v>190</v>
      </c>
      <c r="N3516">
        <v>457</v>
      </c>
      <c r="O3516">
        <v>3</v>
      </c>
      <c r="P3516" t="s">
        <v>100</v>
      </c>
      <c r="Q3516">
        <v>80</v>
      </c>
      <c r="R3516">
        <v>37</v>
      </c>
      <c r="S3516">
        <v>40</v>
      </c>
      <c r="T3516">
        <v>15</v>
      </c>
      <c r="U3516">
        <v>20</v>
      </c>
      <c r="V3516">
        <v>11</v>
      </c>
      <c r="W3516">
        <v>4</v>
      </c>
      <c r="X3516">
        <v>9</v>
      </c>
      <c r="Y3516">
        <v>161</v>
      </c>
      <c r="Z3516">
        <v>11</v>
      </c>
      <c r="AA3516">
        <v>20</v>
      </c>
      <c r="AC3516">
        <v>1</v>
      </c>
      <c r="AD3516">
        <v>3</v>
      </c>
      <c r="AE3516">
        <v>0</v>
      </c>
      <c r="AF3516">
        <v>0</v>
      </c>
      <c r="AK3516">
        <v>2</v>
      </c>
      <c r="AL3516">
        <v>0</v>
      </c>
      <c r="AM3516">
        <v>0</v>
      </c>
      <c r="AN3516">
        <v>0</v>
      </c>
      <c r="AO3516">
        <v>0</v>
      </c>
      <c r="AP3516">
        <v>2</v>
      </c>
      <c r="AQ3516">
        <v>0</v>
      </c>
      <c r="AR3516">
        <v>0</v>
      </c>
      <c r="AT3516">
        <v>0</v>
      </c>
      <c r="AU3516">
        <v>39</v>
      </c>
      <c r="AV3516">
        <v>455</v>
      </c>
      <c r="AW3516">
        <v>455</v>
      </c>
      <c r="AX3516">
        <v>627</v>
      </c>
      <c r="BA3516">
        <v>1</v>
      </c>
      <c r="BC3516" t="s">
        <v>7136</v>
      </c>
      <c r="BD3516" s="4">
        <v>43283.129861111112</v>
      </c>
      <c r="BE3516" s="4">
        <v>43283.277812499997</v>
      </c>
      <c r="BF3516" s="4">
        <v>43283.277812499997</v>
      </c>
      <c r="BG3516" t="s">
        <v>83</v>
      </c>
      <c r="BH3516" t="s">
        <v>84</v>
      </c>
      <c r="BI3516" t="s">
        <v>85</v>
      </c>
    </row>
    <row r="3517" spans="1:61" x14ac:dyDescent="0.3">
      <c r="A3517" t="str">
        <f>"202442C0300"</f>
        <v>202442C0300</v>
      </c>
      <c r="B3517" t="s">
        <v>7137</v>
      </c>
      <c r="C3517">
        <v>20</v>
      </c>
      <c r="D3517" t="s">
        <v>79</v>
      </c>
      <c r="E3517">
        <v>16</v>
      </c>
      <c r="F3517" t="s">
        <v>6725</v>
      </c>
      <c r="G3517">
        <v>2442</v>
      </c>
      <c r="H3517">
        <v>3</v>
      </c>
      <c r="I3517" t="s">
        <v>89</v>
      </c>
      <c r="J3517">
        <v>0</v>
      </c>
      <c r="K3517">
        <v>2</v>
      </c>
      <c r="L3517">
        <v>2</v>
      </c>
      <c r="M3517">
        <v>229</v>
      </c>
      <c r="N3517">
        <v>419</v>
      </c>
      <c r="O3517">
        <v>4</v>
      </c>
      <c r="P3517">
        <v>420</v>
      </c>
      <c r="Q3517">
        <v>89</v>
      </c>
      <c r="R3517">
        <v>38</v>
      </c>
      <c r="S3517">
        <v>40</v>
      </c>
      <c r="T3517">
        <v>13</v>
      </c>
      <c r="U3517">
        <v>16</v>
      </c>
      <c r="V3517">
        <v>7</v>
      </c>
      <c r="W3517">
        <v>4</v>
      </c>
      <c r="X3517">
        <v>5</v>
      </c>
      <c r="Y3517">
        <v>133</v>
      </c>
      <c r="Z3517">
        <v>11</v>
      </c>
      <c r="AA3517">
        <v>25</v>
      </c>
      <c r="AC3517">
        <v>0</v>
      </c>
      <c r="AD3517">
        <v>1</v>
      </c>
      <c r="AE3517">
        <v>0</v>
      </c>
      <c r="AF3517">
        <v>0</v>
      </c>
      <c r="AK3517">
        <v>2</v>
      </c>
      <c r="AL3517">
        <v>0</v>
      </c>
      <c r="AM3517">
        <v>0</v>
      </c>
      <c r="AN3517">
        <v>1</v>
      </c>
      <c r="AO3517">
        <v>0</v>
      </c>
      <c r="AP3517">
        <v>0</v>
      </c>
      <c r="AQ3517">
        <v>1</v>
      </c>
      <c r="AR3517">
        <v>0</v>
      </c>
      <c r="AT3517">
        <v>0</v>
      </c>
      <c r="AU3517">
        <v>34</v>
      </c>
      <c r="AV3517">
        <v>420</v>
      </c>
      <c r="AW3517">
        <v>420</v>
      </c>
      <c r="AX3517">
        <v>627</v>
      </c>
      <c r="BA3517">
        <v>1</v>
      </c>
      <c r="BC3517" t="s">
        <v>7138</v>
      </c>
      <c r="BD3517" s="4">
        <v>43283.129861111112</v>
      </c>
      <c r="BE3517" s="4">
        <v>43283.199837962966</v>
      </c>
      <c r="BF3517" s="4">
        <v>43283.199837962966</v>
      </c>
      <c r="BG3517" t="s">
        <v>83</v>
      </c>
      <c r="BH3517" t="s">
        <v>84</v>
      </c>
      <c r="BI3517" t="s">
        <v>85</v>
      </c>
    </row>
    <row r="3518" spans="1:61" x14ac:dyDescent="0.3">
      <c r="A3518" t="str">
        <f>"202443B0100"</f>
        <v>202443B0100</v>
      </c>
      <c r="B3518" t="s">
        <v>7139</v>
      </c>
      <c r="C3518">
        <v>20</v>
      </c>
      <c r="D3518" t="s">
        <v>79</v>
      </c>
      <c r="E3518">
        <v>16</v>
      </c>
      <c r="F3518" t="s">
        <v>6725</v>
      </c>
      <c r="G3518">
        <v>2443</v>
      </c>
      <c r="H3518">
        <v>1</v>
      </c>
      <c r="I3518" t="s">
        <v>81</v>
      </c>
      <c r="J3518">
        <v>0</v>
      </c>
      <c r="K3518">
        <v>2</v>
      </c>
      <c r="L3518">
        <v>2</v>
      </c>
      <c r="M3518">
        <v>157</v>
      </c>
      <c r="N3518">
        <v>405</v>
      </c>
      <c r="O3518">
        <v>6</v>
      </c>
      <c r="P3518">
        <v>405</v>
      </c>
      <c r="Q3518">
        <v>39</v>
      </c>
      <c r="R3518">
        <v>9</v>
      </c>
      <c r="S3518">
        <v>26</v>
      </c>
      <c r="T3518">
        <v>3</v>
      </c>
      <c r="U3518">
        <v>13</v>
      </c>
      <c r="V3518">
        <v>8</v>
      </c>
      <c r="W3518">
        <v>10</v>
      </c>
      <c r="X3518">
        <v>5</v>
      </c>
      <c r="Y3518">
        <v>75</v>
      </c>
      <c r="Z3518">
        <v>132</v>
      </c>
      <c r="AA3518">
        <v>27</v>
      </c>
      <c r="AC3518">
        <v>0</v>
      </c>
      <c r="AD3518">
        <v>0</v>
      </c>
      <c r="AE3518">
        <v>0</v>
      </c>
      <c r="AF3518">
        <v>0</v>
      </c>
      <c r="AK3518">
        <v>0</v>
      </c>
      <c r="AL3518">
        <v>0</v>
      </c>
      <c r="AM3518">
        <v>1</v>
      </c>
      <c r="AN3518">
        <v>3</v>
      </c>
      <c r="AO3518">
        <v>0</v>
      </c>
      <c r="AP3518">
        <v>1</v>
      </c>
      <c r="AQ3518">
        <v>0</v>
      </c>
      <c r="AR3518">
        <v>0</v>
      </c>
      <c r="AT3518">
        <v>0</v>
      </c>
      <c r="AU3518">
        <v>53</v>
      </c>
      <c r="AV3518">
        <v>405</v>
      </c>
      <c r="AW3518">
        <v>405</v>
      </c>
      <c r="AX3518">
        <v>540</v>
      </c>
      <c r="BA3518">
        <v>1</v>
      </c>
      <c r="BC3518" t="s">
        <v>7140</v>
      </c>
      <c r="BD3518" s="4">
        <v>43283.157638888886</v>
      </c>
      <c r="BE3518" s="4">
        <v>43283.31459490741</v>
      </c>
      <c r="BF3518" s="4">
        <v>43283.31459490741</v>
      </c>
      <c r="BG3518" t="s">
        <v>83</v>
      </c>
      <c r="BH3518" t="s">
        <v>84</v>
      </c>
      <c r="BI3518" t="s">
        <v>85</v>
      </c>
    </row>
    <row r="3519" spans="1:61" x14ac:dyDescent="0.3">
      <c r="A3519" t="str">
        <f>"202444B0100"</f>
        <v>202444B0100</v>
      </c>
      <c r="B3519" t="s">
        <v>7141</v>
      </c>
      <c r="C3519">
        <v>20</v>
      </c>
      <c r="D3519" t="s">
        <v>79</v>
      </c>
      <c r="E3519">
        <v>16</v>
      </c>
      <c r="F3519" t="s">
        <v>6725</v>
      </c>
      <c r="G3519">
        <v>2444</v>
      </c>
      <c r="H3519">
        <v>1</v>
      </c>
      <c r="I3519" t="s">
        <v>81</v>
      </c>
      <c r="J3519">
        <v>0</v>
      </c>
      <c r="K3519">
        <v>2</v>
      </c>
      <c r="L3519">
        <v>2</v>
      </c>
      <c r="AX3519">
        <v>329</v>
      </c>
      <c r="AZ3519" t="s">
        <v>156</v>
      </c>
      <c r="BA3519">
        <v>0</v>
      </c>
      <c r="BC3519" t="s">
        <v>7142</v>
      </c>
      <c r="BD3519" s="4">
        <v>43283.590277777781</v>
      </c>
      <c r="BE3519" s="4">
        <v>43283.592662037037</v>
      </c>
      <c r="BF3519" s="4">
        <v>43283.592662037037</v>
      </c>
      <c r="BG3519" t="s">
        <v>83</v>
      </c>
      <c r="BH3519" t="s">
        <v>84</v>
      </c>
      <c r="BI3519" t="s">
        <v>85</v>
      </c>
    </row>
    <row r="3520" spans="1:61" x14ac:dyDescent="0.3">
      <c r="A3520" t="str">
        <f>"202445B0100"</f>
        <v>202445B0100</v>
      </c>
      <c r="B3520" t="s">
        <v>7143</v>
      </c>
      <c r="C3520">
        <v>20</v>
      </c>
      <c r="D3520" t="s">
        <v>79</v>
      </c>
      <c r="E3520">
        <v>16</v>
      </c>
      <c r="F3520" t="s">
        <v>6725</v>
      </c>
      <c r="G3520">
        <v>2445</v>
      </c>
      <c r="H3520">
        <v>1</v>
      </c>
      <c r="I3520" t="s">
        <v>81</v>
      </c>
      <c r="J3520">
        <v>0</v>
      </c>
      <c r="K3520">
        <v>2</v>
      </c>
      <c r="L3520">
        <v>2</v>
      </c>
      <c r="M3520">
        <v>353</v>
      </c>
      <c r="N3520">
        <v>448</v>
      </c>
      <c r="O3520">
        <v>2</v>
      </c>
      <c r="P3520">
        <v>448</v>
      </c>
      <c r="Q3520">
        <v>151</v>
      </c>
      <c r="R3520">
        <v>17</v>
      </c>
      <c r="S3520">
        <v>23</v>
      </c>
      <c r="T3520">
        <v>3</v>
      </c>
      <c r="U3520">
        <v>24</v>
      </c>
      <c r="V3520">
        <v>5</v>
      </c>
      <c r="W3520">
        <v>2</v>
      </c>
      <c r="X3520">
        <v>2</v>
      </c>
      <c r="Y3520">
        <v>143</v>
      </c>
      <c r="Z3520">
        <v>7</v>
      </c>
      <c r="AA3520">
        <v>37</v>
      </c>
      <c r="AC3520">
        <v>4</v>
      </c>
      <c r="AD3520">
        <v>0</v>
      </c>
      <c r="AE3520">
        <v>1</v>
      </c>
      <c r="AF3520">
        <v>0</v>
      </c>
      <c r="AK3520">
        <v>6</v>
      </c>
      <c r="AL3520">
        <v>1</v>
      </c>
      <c r="AM3520">
        <v>0</v>
      </c>
      <c r="AN3520">
        <v>2</v>
      </c>
      <c r="AO3520">
        <v>0</v>
      </c>
      <c r="AP3520">
        <v>0</v>
      </c>
      <c r="AQ3520">
        <v>2</v>
      </c>
      <c r="AR3520">
        <v>0</v>
      </c>
      <c r="AT3520" t="s">
        <v>100</v>
      </c>
      <c r="AU3520">
        <v>16</v>
      </c>
      <c r="AV3520">
        <v>446</v>
      </c>
      <c r="AW3520">
        <v>446</v>
      </c>
      <c r="AX3520">
        <v>778</v>
      </c>
      <c r="AZ3520" t="s">
        <v>101</v>
      </c>
      <c r="BA3520">
        <v>1</v>
      </c>
      <c r="BC3520" t="s">
        <v>7144</v>
      </c>
      <c r="BD3520" s="4">
        <v>43283.240277777775</v>
      </c>
      <c r="BE3520" s="4">
        <v>43283.270543981482</v>
      </c>
      <c r="BF3520" s="4">
        <v>43283.270543981482</v>
      </c>
      <c r="BG3520" t="s">
        <v>83</v>
      </c>
      <c r="BH3520" t="s">
        <v>84</v>
      </c>
      <c r="BI3520" t="s">
        <v>85</v>
      </c>
    </row>
    <row r="3521" spans="1:61" x14ac:dyDescent="0.3">
      <c r="A3521" t="str">
        <f>"202446B0100"</f>
        <v>202446B0100</v>
      </c>
      <c r="B3521" t="s">
        <v>7145</v>
      </c>
      <c r="C3521">
        <v>20</v>
      </c>
      <c r="D3521" t="s">
        <v>79</v>
      </c>
      <c r="E3521">
        <v>16</v>
      </c>
      <c r="F3521" t="s">
        <v>6725</v>
      </c>
      <c r="G3521">
        <v>2446</v>
      </c>
      <c r="H3521">
        <v>1</v>
      </c>
      <c r="I3521" t="s">
        <v>81</v>
      </c>
      <c r="J3521">
        <v>0</v>
      </c>
      <c r="K3521">
        <v>2</v>
      </c>
      <c r="L3521">
        <v>2</v>
      </c>
      <c r="M3521">
        <v>90</v>
      </c>
      <c r="N3521">
        <v>182</v>
      </c>
      <c r="O3521">
        <v>2</v>
      </c>
      <c r="P3521">
        <v>182</v>
      </c>
      <c r="Q3521">
        <v>12</v>
      </c>
      <c r="R3521">
        <v>3</v>
      </c>
      <c r="S3521">
        <v>52</v>
      </c>
      <c r="T3521">
        <v>4</v>
      </c>
      <c r="U3521">
        <v>2</v>
      </c>
      <c r="V3521">
        <v>5</v>
      </c>
      <c r="W3521">
        <v>24</v>
      </c>
      <c r="X3521">
        <v>2</v>
      </c>
      <c r="Y3521">
        <v>24</v>
      </c>
      <c r="Z3521">
        <v>0</v>
      </c>
      <c r="AA3521">
        <v>21</v>
      </c>
      <c r="AC3521">
        <v>1</v>
      </c>
      <c r="AD3521">
        <v>1</v>
      </c>
      <c r="AE3521">
        <v>1</v>
      </c>
      <c r="AF3521">
        <v>0</v>
      </c>
      <c r="AK3521">
        <v>1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0</v>
      </c>
      <c r="AR3521">
        <v>0</v>
      </c>
      <c r="AT3521">
        <v>0</v>
      </c>
      <c r="AU3521">
        <v>18</v>
      </c>
      <c r="AV3521">
        <v>182</v>
      </c>
      <c r="AW3521">
        <v>171</v>
      </c>
      <c r="AX3521">
        <v>250</v>
      </c>
      <c r="BA3521">
        <v>1</v>
      </c>
      <c r="BC3521" t="s">
        <v>7146</v>
      </c>
      <c r="BD3521" s="4">
        <v>43283.18472222222</v>
      </c>
      <c r="BE3521" s="4">
        <v>43283.318437499998</v>
      </c>
      <c r="BF3521" s="4">
        <v>43283.318437499998</v>
      </c>
      <c r="BG3521" t="s">
        <v>83</v>
      </c>
      <c r="BH3521" t="s">
        <v>84</v>
      </c>
      <c r="BI3521" t="s">
        <v>85</v>
      </c>
    </row>
    <row r="3522" spans="1:61" x14ac:dyDescent="0.3">
      <c r="A3522" t="str">
        <f>"202446E0100"</f>
        <v>202446E0100</v>
      </c>
      <c r="B3522" s="2" t="s">
        <v>7147</v>
      </c>
      <c r="C3522">
        <v>20</v>
      </c>
      <c r="D3522" t="s">
        <v>79</v>
      </c>
      <c r="E3522">
        <v>16</v>
      </c>
      <c r="F3522" t="s">
        <v>6725</v>
      </c>
      <c r="G3522">
        <v>2446</v>
      </c>
      <c r="H3522">
        <v>1</v>
      </c>
      <c r="I3522" t="s">
        <v>145</v>
      </c>
      <c r="J3522">
        <v>0</v>
      </c>
      <c r="K3522">
        <v>2</v>
      </c>
      <c r="L3522">
        <v>2</v>
      </c>
      <c r="M3522">
        <v>137</v>
      </c>
      <c r="N3522">
        <v>113</v>
      </c>
      <c r="O3522">
        <v>6</v>
      </c>
      <c r="P3522">
        <v>113</v>
      </c>
      <c r="Q3522">
        <v>53</v>
      </c>
      <c r="R3522">
        <v>5</v>
      </c>
      <c r="S3522">
        <v>3</v>
      </c>
      <c r="T3522">
        <v>0</v>
      </c>
      <c r="U3522">
        <v>7</v>
      </c>
      <c r="V3522">
        <v>2</v>
      </c>
      <c r="W3522">
        <v>0</v>
      </c>
      <c r="X3522">
        <v>1</v>
      </c>
      <c r="Y3522">
        <v>29</v>
      </c>
      <c r="Z3522">
        <v>2</v>
      </c>
      <c r="AA3522">
        <v>6</v>
      </c>
      <c r="AC3522">
        <v>0</v>
      </c>
      <c r="AD3522">
        <v>0</v>
      </c>
      <c r="AE3522">
        <v>0</v>
      </c>
      <c r="AF3522">
        <v>0</v>
      </c>
      <c r="AK3522">
        <v>2</v>
      </c>
      <c r="AL3522">
        <v>1</v>
      </c>
      <c r="AM3522">
        <v>0</v>
      </c>
      <c r="AN3522">
        <v>0</v>
      </c>
      <c r="AO3522">
        <v>0</v>
      </c>
      <c r="AP3522">
        <v>0</v>
      </c>
      <c r="AQ3522">
        <v>0</v>
      </c>
      <c r="AR3522">
        <v>0</v>
      </c>
      <c r="AT3522">
        <v>0</v>
      </c>
      <c r="AU3522">
        <v>2</v>
      </c>
      <c r="AV3522">
        <v>113</v>
      </c>
      <c r="AW3522">
        <v>113</v>
      </c>
      <c r="AX3522">
        <v>227</v>
      </c>
      <c r="BA3522">
        <v>1</v>
      </c>
      <c r="BC3522" t="s">
        <v>7148</v>
      </c>
      <c r="BD3522" s="4">
        <v>43283.23333333333</v>
      </c>
      <c r="BE3522" s="4">
        <v>43283.277233796296</v>
      </c>
      <c r="BF3522" s="4">
        <v>43283.277233796296</v>
      </c>
      <c r="BG3522" t="s">
        <v>83</v>
      </c>
      <c r="BH3522" t="s">
        <v>84</v>
      </c>
      <c r="BI3522" t="s">
        <v>85</v>
      </c>
    </row>
    <row r="3523" spans="1:61" x14ac:dyDescent="0.3">
      <c r="A3523" t="str">
        <f>"202447B0100"</f>
        <v>202447B0100</v>
      </c>
      <c r="B3523" t="s">
        <v>7149</v>
      </c>
      <c r="C3523">
        <v>20</v>
      </c>
      <c r="D3523" t="s">
        <v>79</v>
      </c>
      <c r="E3523">
        <v>16</v>
      </c>
      <c r="F3523" t="s">
        <v>6725</v>
      </c>
      <c r="G3523">
        <v>2447</v>
      </c>
      <c r="H3523">
        <v>1</v>
      </c>
      <c r="I3523" t="s">
        <v>81</v>
      </c>
      <c r="J3523">
        <v>0</v>
      </c>
      <c r="K3523">
        <v>2</v>
      </c>
      <c r="L3523">
        <v>2</v>
      </c>
      <c r="M3523">
        <v>203</v>
      </c>
      <c r="N3523">
        <v>351</v>
      </c>
      <c r="O3523">
        <v>1</v>
      </c>
      <c r="P3523">
        <v>351</v>
      </c>
      <c r="Q3523">
        <v>69</v>
      </c>
      <c r="R3523">
        <v>76</v>
      </c>
      <c r="S3523">
        <v>34</v>
      </c>
      <c r="T3523">
        <v>6</v>
      </c>
      <c r="U3523">
        <v>17</v>
      </c>
      <c r="V3523">
        <v>4</v>
      </c>
      <c r="W3523">
        <v>7</v>
      </c>
      <c r="X3523">
        <v>3</v>
      </c>
      <c r="Y3523">
        <v>106</v>
      </c>
      <c r="Z3523">
        <v>2</v>
      </c>
      <c r="AA3523">
        <v>9</v>
      </c>
      <c r="AC3523">
        <v>1</v>
      </c>
      <c r="AD3523">
        <v>1</v>
      </c>
      <c r="AE3523">
        <v>0</v>
      </c>
      <c r="AF3523">
        <v>0</v>
      </c>
      <c r="AK3523">
        <v>3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0</v>
      </c>
      <c r="AR3523">
        <v>1</v>
      </c>
      <c r="AT3523">
        <v>0</v>
      </c>
      <c r="AU3523">
        <v>12</v>
      </c>
      <c r="AV3523">
        <v>351</v>
      </c>
      <c r="AW3523">
        <v>351</v>
      </c>
      <c r="AX3523">
        <v>532</v>
      </c>
      <c r="BA3523">
        <v>1</v>
      </c>
      <c r="BC3523" t="s">
        <v>7150</v>
      </c>
      <c r="BD3523" s="4">
        <v>43283</v>
      </c>
      <c r="BE3523" s="4">
        <v>43283.017708333333</v>
      </c>
      <c r="BF3523" s="4">
        <v>43283.017708333333</v>
      </c>
      <c r="BG3523" t="s">
        <v>83</v>
      </c>
      <c r="BH3523" t="s">
        <v>84</v>
      </c>
      <c r="BI3523" t="s">
        <v>85</v>
      </c>
    </row>
    <row r="3524" spans="1:61" x14ac:dyDescent="0.3">
      <c r="A3524" t="str">
        <f>"202447C0100"</f>
        <v>202447C0100</v>
      </c>
      <c r="B3524" t="s">
        <v>7151</v>
      </c>
      <c r="C3524">
        <v>20</v>
      </c>
      <c r="D3524" t="s">
        <v>79</v>
      </c>
      <c r="E3524">
        <v>16</v>
      </c>
      <c r="F3524" t="s">
        <v>6725</v>
      </c>
      <c r="G3524">
        <v>2447</v>
      </c>
      <c r="H3524">
        <v>1</v>
      </c>
      <c r="I3524" t="s">
        <v>89</v>
      </c>
      <c r="J3524">
        <v>0</v>
      </c>
      <c r="K3524">
        <v>2</v>
      </c>
      <c r="L3524">
        <v>2</v>
      </c>
      <c r="M3524">
        <v>175</v>
      </c>
      <c r="N3524">
        <v>378</v>
      </c>
      <c r="O3524">
        <v>8</v>
      </c>
      <c r="P3524">
        <v>378</v>
      </c>
      <c r="Q3524">
        <v>87</v>
      </c>
      <c r="R3524">
        <v>53</v>
      </c>
      <c r="S3524">
        <v>32</v>
      </c>
      <c r="T3524">
        <v>8</v>
      </c>
      <c r="U3524">
        <v>12</v>
      </c>
      <c r="V3524">
        <v>4</v>
      </c>
      <c r="W3524">
        <v>18</v>
      </c>
      <c r="X3524">
        <v>3</v>
      </c>
      <c r="Y3524">
        <v>112</v>
      </c>
      <c r="Z3524">
        <v>6</v>
      </c>
      <c r="AA3524">
        <v>10</v>
      </c>
      <c r="AC3524">
        <v>0</v>
      </c>
      <c r="AD3524">
        <v>2</v>
      </c>
      <c r="AE3524">
        <v>0</v>
      </c>
      <c r="AF3524">
        <v>0</v>
      </c>
      <c r="AK3524">
        <v>1</v>
      </c>
      <c r="AL3524">
        <v>2</v>
      </c>
      <c r="AM3524">
        <v>0</v>
      </c>
      <c r="AN3524">
        <v>0</v>
      </c>
      <c r="AO3524">
        <v>0</v>
      </c>
      <c r="AP3524">
        <v>2</v>
      </c>
      <c r="AQ3524">
        <v>0</v>
      </c>
      <c r="AR3524">
        <v>1</v>
      </c>
      <c r="AT3524">
        <v>0</v>
      </c>
      <c r="AU3524">
        <v>25</v>
      </c>
      <c r="AV3524">
        <v>378</v>
      </c>
      <c r="AW3524">
        <v>378</v>
      </c>
      <c r="AX3524">
        <v>531</v>
      </c>
      <c r="BA3524">
        <v>1</v>
      </c>
      <c r="BC3524" t="s">
        <v>7152</v>
      </c>
      <c r="BD3524" s="4">
        <v>43283.000694444447</v>
      </c>
      <c r="BE3524" s="4">
        <v>43283.024814814817</v>
      </c>
      <c r="BF3524" s="4">
        <v>43283.024814814817</v>
      </c>
      <c r="BG3524" t="s">
        <v>83</v>
      </c>
      <c r="BH3524" t="s">
        <v>84</v>
      </c>
      <c r="BI3524" t="s">
        <v>85</v>
      </c>
    </row>
    <row r="3525" spans="1:61" x14ac:dyDescent="0.3">
      <c r="A3525" t="str">
        <f>"202448B0100"</f>
        <v>202448B0100</v>
      </c>
      <c r="B3525" t="s">
        <v>7153</v>
      </c>
      <c r="C3525">
        <v>20</v>
      </c>
      <c r="D3525" t="s">
        <v>79</v>
      </c>
      <c r="E3525">
        <v>16</v>
      </c>
      <c r="F3525" t="s">
        <v>6725</v>
      </c>
      <c r="G3525">
        <v>2448</v>
      </c>
      <c r="H3525">
        <v>1</v>
      </c>
      <c r="I3525" t="s">
        <v>81</v>
      </c>
      <c r="J3525">
        <v>0</v>
      </c>
      <c r="K3525">
        <v>2</v>
      </c>
      <c r="L3525">
        <v>2</v>
      </c>
      <c r="M3525">
        <v>158</v>
      </c>
      <c r="N3525">
        <v>455</v>
      </c>
      <c r="O3525">
        <v>1</v>
      </c>
      <c r="P3525">
        <v>0</v>
      </c>
      <c r="Q3525">
        <v>91</v>
      </c>
      <c r="R3525">
        <v>32</v>
      </c>
      <c r="S3525">
        <v>18</v>
      </c>
      <c r="T3525">
        <v>3</v>
      </c>
      <c r="U3525">
        <v>10</v>
      </c>
      <c r="V3525">
        <v>5</v>
      </c>
      <c r="W3525">
        <v>0</v>
      </c>
      <c r="X3525">
        <v>4</v>
      </c>
      <c r="Y3525">
        <v>89</v>
      </c>
      <c r="Z3525">
        <v>3</v>
      </c>
      <c r="AA3525">
        <v>16</v>
      </c>
      <c r="AC3525">
        <v>1</v>
      </c>
      <c r="AD3525">
        <v>0</v>
      </c>
      <c r="AE3525">
        <v>0</v>
      </c>
      <c r="AF3525">
        <v>0</v>
      </c>
      <c r="AK3525">
        <v>5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0</v>
      </c>
      <c r="AR3525">
        <v>0</v>
      </c>
      <c r="AT3525">
        <v>20</v>
      </c>
      <c r="AU3525">
        <v>0</v>
      </c>
      <c r="AV3525">
        <v>297</v>
      </c>
      <c r="AW3525">
        <v>297</v>
      </c>
      <c r="AX3525">
        <v>433</v>
      </c>
      <c r="BA3525">
        <v>1</v>
      </c>
      <c r="BC3525" t="s">
        <v>7154</v>
      </c>
      <c r="BD3525" s="4">
        <v>43283.163194444445</v>
      </c>
      <c r="BE3525" s="4">
        <v>43283.191608796296</v>
      </c>
      <c r="BF3525" s="4">
        <v>43283.191608796296</v>
      </c>
      <c r="BG3525" t="s">
        <v>83</v>
      </c>
      <c r="BH3525" t="s">
        <v>84</v>
      </c>
      <c r="BI3525" t="s">
        <v>85</v>
      </c>
    </row>
    <row r="3526" spans="1:61" x14ac:dyDescent="0.3">
      <c r="A3526" t="str">
        <f>"202456B0100"</f>
        <v>202456B0100</v>
      </c>
      <c r="B3526" t="s">
        <v>7155</v>
      </c>
      <c r="C3526">
        <v>20</v>
      </c>
      <c r="D3526" t="s">
        <v>79</v>
      </c>
      <c r="E3526">
        <v>16</v>
      </c>
      <c r="F3526" t="s">
        <v>6725</v>
      </c>
      <c r="G3526">
        <v>2456</v>
      </c>
      <c r="H3526">
        <v>1</v>
      </c>
      <c r="I3526" t="s">
        <v>81</v>
      </c>
      <c r="J3526">
        <v>0</v>
      </c>
      <c r="K3526">
        <v>2</v>
      </c>
      <c r="L3526">
        <v>2</v>
      </c>
      <c r="M3526">
        <v>194</v>
      </c>
      <c r="N3526">
        <v>308</v>
      </c>
      <c r="O3526">
        <v>0</v>
      </c>
      <c r="P3526">
        <v>308</v>
      </c>
      <c r="Q3526">
        <v>8</v>
      </c>
      <c r="R3526">
        <v>31</v>
      </c>
      <c r="S3526">
        <v>15</v>
      </c>
      <c r="T3526">
        <v>3</v>
      </c>
      <c r="U3526">
        <v>21</v>
      </c>
      <c r="V3526">
        <v>4</v>
      </c>
      <c r="W3526">
        <v>36</v>
      </c>
      <c r="X3526">
        <v>2</v>
      </c>
      <c r="Y3526">
        <v>106</v>
      </c>
      <c r="Z3526">
        <v>3</v>
      </c>
      <c r="AA3526">
        <v>43</v>
      </c>
      <c r="AC3526" t="s">
        <v>100</v>
      </c>
      <c r="AD3526" t="s">
        <v>100</v>
      </c>
      <c r="AE3526" t="s">
        <v>100</v>
      </c>
      <c r="AF3526" t="s">
        <v>100</v>
      </c>
      <c r="AK3526">
        <v>7</v>
      </c>
      <c r="AL3526">
        <v>1</v>
      </c>
      <c r="AM3526" t="s">
        <v>100</v>
      </c>
      <c r="AN3526">
        <v>2</v>
      </c>
      <c r="AO3526" t="s">
        <v>100</v>
      </c>
      <c r="AP3526">
        <v>1</v>
      </c>
      <c r="AQ3526" t="s">
        <v>100</v>
      </c>
      <c r="AR3526" t="s">
        <v>100</v>
      </c>
      <c r="AT3526" t="s">
        <v>100</v>
      </c>
      <c r="AU3526" t="s">
        <v>100</v>
      </c>
      <c r="AV3526">
        <v>308</v>
      </c>
      <c r="AW3526">
        <v>283</v>
      </c>
      <c r="AX3526">
        <v>480</v>
      </c>
      <c r="AZ3526" t="s">
        <v>101</v>
      </c>
      <c r="BA3526">
        <v>1</v>
      </c>
      <c r="BC3526" t="s">
        <v>7156</v>
      </c>
      <c r="BD3526" s="4">
        <v>43283.17083333333</v>
      </c>
      <c r="BE3526" s="4">
        <v>43283.221319444441</v>
      </c>
      <c r="BF3526" s="4">
        <v>43283.221319444441</v>
      </c>
      <c r="BG3526" t="s">
        <v>83</v>
      </c>
      <c r="BH3526" t="s">
        <v>84</v>
      </c>
      <c r="BI3526" t="s">
        <v>85</v>
      </c>
    </row>
    <row r="3527" spans="1:61" x14ac:dyDescent="0.3">
      <c r="A3527" t="str">
        <f>"202456C0100"</f>
        <v>202456C0100</v>
      </c>
      <c r="B3527" t="s">
        <v>7157</v>
      </c>
      <c r="C3527">
        <v>20</v>
      </c>
      <c r="D3527" t="s">
        <v>79</v>
      </c>
      <c r="E3527">
        <v>16</v>
      </c>
      <c r="F3527" t="s">
        <v>6725</v>
      </c>
      <c r="G3527">
        <v>2456</v>
      </c>
      <c r="H3527">
        <v>1</v>
      </c>
      <c r="I3527" t="s">
        <v>89</v>
      </c>
      <c r="J3527">
        <v>0</v>
      </c>
      <c r="K3527">
        <v>2</v>
      </c>
      <c r="L3527">
        <v>2</v>
      </c>
      <c r="M3527">
        <v>187</v>
      </c>
      <c r="N3527">
        <v>314</v>
      </c>
      <c r="O3527">
        <v>0</v>
      </c>
      <c r="P3527">
        <v>314</v>
      </c>
      <c r="Q3527">
        <v>5</v>
      </c>
      <c r="R3527">
        <v>37</v>
      </c>
      <c r="S3527">
        <v>24</v>
      </c>
      <c r="T3527">
        <v>4</v>
      </c>
      <c r="U3527">
        <v>10</v>
      </c>
      <c r="V3527">
        <v>2</v>
      </c>
      <c r="W3527">
        <v>36</v>
      </c>
      <c r="X3527">
        <v>0</v>
      </c>
      <c r="Y3527">
        <v>105</v>
      </c>
      <c r="Z3527">
        <v>2</v>
      </c>
      <c r="AA3527">
        <v>61</v>
      </c>
      <c r="AC3527">
        <v>0</v>
      </c>
      <c r="AD3527">
        <v>0</v>
      </c>
      <c r="AE3527">
        <v>0</v>
      </c>
      <c r="AF3527">
        <v>0</v>
      </c>
      <c r="AK3527">
        <v>1</v>
      </c>
      <c r="AL3527">
        <v>2</v>
      </c>
      <c r="AM3527">
        <v>3</v>
      </c>
      <c r="AN3527">
        <v>0</v>
      </c>
      <c r="AO3527">
        <v>0</v>
      </c>
      <c r="AP3527">
        <v>0</v>
      </c>
      <c r="AQ3527">
        <v>0</v>
      </c>
      <c r="AR3527">
        <v>0</v>
      </c>
      <c r="AT3527">
        <v>0</v>
      </c>
      <c r="AU3527">
        <v>24</v>
      </c>
      <c r="AV3527">
        <v>314</v>
      </c>
      <c r="AW3527">
        <v>316</v>
      </c>
      <c r="AX3527">
        <v>479</v>
      </c>
      <c r="BA3527">
        <v>1</v>
      </c>
      <c r="BC3527" t="s">
        <v>7158</v>
      </c>
      <c r="BD3527" s="4">
        <v>43283.17083333333</v>
      </c>
      <c r="BE3527" s="4">
        <v>43283.230937499997</v>
      </c>
      <c r="BF3527" s="4">
        <v>43283.230937499997</v>
      </c>
      <c r="BG3527" t="s">
        <v>83</v>
      </c>
      <c r="BH3527" t="s">
        <v>84</v>
      </c>
      <c r="BI3527" t="s">
        <v>85</v>
      </c>
    </row>
    <row r="3528" spans="1:61" x14ac:dyDescent="0.3">
      <c r="A3528" t="str">
        <f>"200378B0100"</f>
        <v>200378B0100</v>
      </c>
      <c r="B3528" t="s">
        <v>7159</v>
      </c>
      <c r="C3528">
        <v>20</v>
      </c>
      <c r="D3528" t="s">
        <v>79</v>
      </c>
      <c r="E3528">
        <v>17</v>
      </c>
      <c r="F3528" t="s">
        <v>7160</v>
      </c>
      <c r="G3528">
        <v>378</v>
      </c>
      <c r="H3528">
        <v>1</v>
      </c>
      <c r="I3528" t="s">
        <v>81</v>
      </c>
      <c r="J3528">
        <v>0</v>
      </c>
      <c r="K3528">
        <v>1</v>
      </c>
      <c r="L3528">
        <v>2</v>
      </c>
      <c r="M3528">
        <v>548</v>
      </c>
      <c r="N3528">
        <v>0</v>
      </c>
      <c r="O3528">
        <v>0</v>
      </c>
      <c r="P3528">
        <v>177</v>
      </c>
      <c r="Q3528">
        <v>2</v>
      </c>
      <c r="R3528">
        <v>5</v>
      </c>
      <c r="S3528">
        <v>2</v>
      </c>
      <c r="T3528">
        <v>4</v>
      </c>
      <c r="U3528">
        <v>26</v>
      </c>
      <c r="V3528">
        <v>0</v>
      </c>
      <c r="W3528">
        <v>1</v>
      </c>
      <c r="X3528">
        <v>2</v>
      </c>
      <c r="Y3528">
        <v>81</v>
      </c>
      <c r="Z3528">
        <v>4</v>
      </c>
      <c r="AA3528">
        <v>0</v>
      </c>
      <c r="AB3528">
        <v>3</v>
      </c>
      <c r="AC3528">
        <v>2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14</v>
      </c>
      <c r="AL3528">
        <v>20</v>
      </c>
      <c r="AM3528">
        <v>0</v>
      </c>
      <c r="AN3528">
        <v>0</v>
      </c>
      <c r="AT3528">
        <v>0</v>
      </c>
      <c r="AU3528">
        <v>13</v>
      </c>
      <c r="AV3528">
        <v>179</v>
      </c>
      <c r="AW3528">
        <v>179</v>
      </c>
      <c r="AX3528">
        <v>704</v>
      </c>
      <c r="BA3528">
        <v>1</v>
      </c>
      <c r="BC3528" t="s">
        <v>7161</v>
      </c>
      <c r="BD3528" s="4">
        <v>43283.063194444447</v>
      </c>
      <c r="BE3528" s="4">
        <v>43283.069074074076</v>
      </c>
      <c r="BF3528" s="4">
        <v>43283.069074074076</v>
      </c>
      <c r="BG3528" t="s">
        <v>83</v>
      </c>
      <c r="BH3528" t="s">
        <v>84</v>
      </c>
      <c r="BI3528" t="s">
        <v>85</v>
      </c>
    </row>
    <row r="3529" spans="1:61" x14ac:dyDescent="0.3">
      <c r="A3529" t="str">
        <f>"200378C0100"</f>
        <v>200378C0100</v>
      </c>
      <c r="B3529" t="s">
        <v>7162</v>
      </c>
      <c r="C3529">
        <v>20</v>
      </c>
      <c r="D3529" t="s">
        <v>79</v>
      </c>
      <c r="E3529">
        <v>17</v>
      </c>
      <c r="F3529" t="s">
        <v>7160</v>
      </c>
      <c r="G3529">
        <v>378</v>
      </c>
      <c r="H3529">
        <v>1</v>
      </c>
      <c r="I3529" t="s">
        <v>89</v>
      </c>
      <c r="J3529">
        <v>0</v>
      </c>
      <c r="K3529">
        <v>1</v>
      </c>
      <c r="L3529">
        <v>2</v>
      </c>
      <c r="M3529">
        <v>540</v>
      </c>
      <c r="N3529">
        <v>725</v>
      </c>
      <c r="O3529">
        <v>0</v>
      </c>
      <c r="P3529">
        <v>184</v>
      </c>
      <c r="Q3529">
        <v>12</v>
      </c>
      <c r="R3529">
        <v>12</v>
      </c>
      <c r="S3529">
        <v>9</v>
      </c>
      <c r="T3529">
        <v>0</v>
      </c>
      <c r="U3529">
        <v>22</v>
      </c>
      <c r="V3529">
        <v>4</v>
      </c>
      <c r="W3529">
        <v>1</v>
      </c>
      <c r="X3529">
        <v>1</v>
      </c>
      <c r="Y3529">
        <v>91</v>
      </c>
      <c r="Z3529">
        <v>6</v>
      </c>
      <c r="AA3529">
        <v>0</v>
      </c>
      <c r="AB3529">
        <v>2</v>
      </c>
      <c r="AC3529">
        <v>1</v>
      </c>
      <c r="AD3529">
        <v>1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7</v>
      </c>
      <c r="AL3529">
        <v>4</v>
      </c>
      <c r="AM3529">
        <v>0</v>
      </c>
      <c r="AN3529">
        <v>1</v>
      </c>
      <c r="AT3529">
        <v>0</v>
      </c>
      <c r="AU3529">
        <v>10</v>
      </c>
      <c r="AV3529">
        <v>184</v>
      </c>
      <c r="AW3529">
        <v>184</v>
      </c>
      <c r="AX3529">
        <v>703</v>
      </c>
      <c r="BA3529">
        <v>1</v>
      </c>
      <c r="BC3529" t="s">
        <v>7163</v>
      </c>
      <c r="BD3529" s="4">
        <v>43283.063194444447</v>
      </c>
      <c r="BE3529" s="4">
        <v>43283.070439814815</v>
      </c>
      <c r="BF3529" s="4">
        <v>43283.070439814815</v>
      </c>
      <c r="BG3529" t="s">
        <v>83</v>
      </c>
      <c r="BH3529" t="s">
        <v>84</v>
      </c>
      <c r="BI3529" t="s">
        <v>85</v>
      </c>
    </row>
    <row r="3530" spans="1:61" x14ac:dyDescent="0.3">
      <c r="A3530" t="str">
        <f>"200379B0100"</f>
        <v>200379B0100</v>
      </c>
      <c r="B3530" t="s">
        <v>7164</v>
      </c>
      <c r="C3530">
        <v>20</v>
      </c>
      <c r="D3530" t="s">
        <v>79</v>
      </c>
      <c r="E3530">
        <v>17</v>
      </c>
      <c r="F3530" t="s">
        <v>7160</v>
      </c>
      <c r="G3530">
        <v>379</v>
      </c>
      <c r="H3530">
        <v>1</v>
      </c>
      <c r="I3530" t="s">
        <v>81</v>
      </c>
      <c r="J3530">
        <v>0</v>
      </c>
      <c r="K3530">
        <v>1</v>
      </c>
      <c r="L3530">
        <v>2</v>
      </c>
      <c r="M3530">
        <v>541</v>
      </c>
      <c r="N3530">
        <v>212</v>
      </c>
      <c r="O3530">
        <v>0</v>
      </c>
      <c r="P3530">
        <v>212</v>
      </c>
      <c r="Q3530">
        <v>3</v>
      </c>
      <c r="R3530">
        <v>4</v>
      </c>
      <c r="S3530">
        <v>3</v>
      </c>
      <c r="T3530">
        <v>0</v>
      </c>
      <c r="U3530">
        <v>18</v>
      </c>
      <c r="V3530">
        <v>2</v>
      </c>
      <c r="W3530">
        <v>0</v>
      </c>
      <c r="X3530">
        <v>4</v>
      </c>
      <c r="Y3530">
        <v>123</v>
      </c>
      <c r="Z3530">
        <v>9</v>
      </c>
      <c r="AA3530">
        <v>0</v>
      </c>
      <c r="AB3530">
        <v>3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1</v>
      </c>
      <c r="AJ3530">
        <v>0</v>
      </c>
      <c r="AK3530">
        <v>12</v>
      </c>
      <c r="AL3530">
        <v>8</v>
      </c>
      <c r="AM3530">
        <v>1</v>
      </c>
      <c r="AN3530">
        <v>4</v>
      </c>
      <c r="AT3530">
        <v>0</v>
      </c>
      <c r="AU3530">
        <v>17</v>
      </c>
      <c r="AV3530">
        <v>212</v>
      </c>
      <c r="AW3530">
        <v>212</v>
      </c>
      <c r="AX3530">
        <v>731</v>
      </c>
      <c r="BA3530">
        <v>1</v>
      </c>
      <c r="BC3530" t="s">
        <v>7165</v>
      </c>
      <c r="BD3530" s="4">
        <v>43283.063194444447</v>
      </c>
      <c r="BE3530" s="4">
        <v>43283.068831018521</v>
      </c>
      <c r="BF3530" s="4">
        <v>43283.068831018521</v>
      </c>
      <c r="BG3530" t="s">
        <v>83</v>
      </c>
      <c r="BH3530" t="s">
        <v>84</v>
      </c>
      <c r="BI3530" t="s">
        <v>85</v>
      </c>
    </row>
    <row r="3531" spans="1:61" x14ac:dyDescent="0.3">
      <c r="A3531" t="str">
        <f>"200379C0100"</f>
        <v>200379C0100</v>
      </c>
      <c r="B3531" t="s">
        <v>7166</v>
      </c>
      <c r="C3531">
        <v>20</v>
      </c>
      <c r="D3531" t="s">
        <v>79</v>
      </c>
      <c r="E3531">
        <v>17</v>
      </c>
      <c r="F3531" t="s">
        <v>7160</v>
      </c>
      <c r="G3531">
        <v>379</v>
      </c>
      <c r="H3531">
        <v>1</v>
      </c>
      <c r="I3531" t="s">
        <v>89</v>
      </c>
      <c r="J3531">
        <v>0</v>
      </c>
      <c r="K3531">
        <v>1</v>
      </c>
      <c r="L3531">
        <v>2</v>
      </c>
      <c r="M3531">
        <v>536</v>
      </c>
      <c r="N3531">
        <v>217</v>
      </c>
      <c r="O3531">
        <v>0</v>
      </c>
      <c r="P3531">
        <v>217</v>
      </c>
      <c r="Q3531">
        <v>4</v>
      </c>
      <c r="R3531">
        <v>6</v>
      </c>
      <c r="S3531">
        <v>6</v>
      </c>
      <c r="T3531">
        <v>2</v>
      </c>
      <c r="U3531">
        <v>25</v>
      </c>
      <c r="V3531">
        <v>2</v>
      </c>
      <c r="W3531">
        <v>2</v>
      </c>
      <c r="X3531">
        <v>3</v>
      </c>
      <c r="Y3531">
        <v>138</v>
      </c>
      <c r="Z3531">
        <v>2</v>
      </c>
      <c r="AA3531">
        <v>0</v>
      </c>
      <c r="AB3531">
        <v>3</v>
      </c>
      <c r="AC3531">
        <v>1</v>
      </c>
      <c r="AD3531">
        <v>0</v>
      </c>
      <c r="AE3531">
        <v>1</v>
      </c>
      <c r="AF3531">
        <v>1</v>
      </c>
      <c r="AG3531">
        <v>0</v>
      </c>
      <c r="AH3531">
        <v>0</v>
      </c>
      <c r="AI3531">
        <v>0</v>
      </c>
      <c r="AJ3531">
        <v>0</v>
      </c>
      <c r="AK3531">
        <v>4</v>
      </c>
      <c r="AL3531">
        <v>2</v>
      </c>
      <c r="AM3531">
        <v>1</v>
      </c>
      <c r="AN3531">
        <v>2</v>
      </c>
      <c r="AT3531">
        <v>0</v>
      </c>
      <c r="AU3531">
        <v>12</v>
      </c>
      <c r="AV3531">
        <v>217</v>
      </c>
      <c r="AW3531">
        <v>217</v>
      </c>
      <c r="AX3531">
        <v>731</v>
      </c>
      <c r="BA3531">
        <v>1</v>
      </c>
      <c r="BC3531" t="s">
        <v>7167</v>
      </c>
      <c r="BD3531" s="4">
        <v>43283.063194444447</v>
      </c>
      <c r="BE3531" s="4">
        <v>43283.071331018517</v>
      </c>
      <c r="BF3531" s="4">
        <v>43283.071331018517</v>
      </c>
      <c r="BG3531" t="s">
        <v>83</v>
      </c>
      <c r="BH3531" t="s">
        <v>84</v>
      </c>
      <c r="BI3531" t="s">
        <v>85</v>
      </c>
    </row>
    <row r="3532" spans="1:61" x14ac:dyDescent="0.3">
      <c r="A3532" t="str">
        <f>"200461B0100"</f>
        <v>200461B0100</v>
      </c>
      <c r="B3532" t="s">
        <v>7168</v>
      </c>
      <c r="C3532">
        <v>20</v>
      </c>
      <c r="D3532" t="s">
        <v>79</v>
      </c>
      <c r="E3532">
        <v>17</v>
      </c>
      <c r="F3532" t="s">
        <v>7160</v>
      </c>
      <c r="G3532">
        <v>461</v>
      </c>
      <c r="H3532">
        <v>1</v>
      </c>
      <c r="I3532" t="s">
        <v>81</v>
      </c>
      <c r="J3532">
        <v>0</v>
      </c>
      <c r="K3532">
        <v>2</v>
      </c>
      <c r="L3532">
        <v>2</v>
      </c>
      <c r="M3532">
        <v>374</v>
      </c>
      <c r="N3532" t="s">
        <v>100</v>
      </c>
      <c r="O3532" t="s">
        <v>100</v>
      </c>
      <c r="P3532">
        <v>343</v>
      </c>
      <c r="Q3532">
        <v>14</v>
      </c>
      <c r="R3532">
        <v>40</v>
      </c>
      <c r="S3532">
        <v>2</v>
      </c>
      <c r="T3532">
        <v>11</v>
      </c>
      <c r="U3532">
        <v>23</v>
      </c>
      <c r="V3532">
        <v>6</v>
      </c>
      <c r="W3532" t="s">
        <v>100</v>
      </c>
      <c r="X3532">
        <v>3</v>
      </c>
      <c r="Y3532">
        <v>182</v>
      </c>
      <c r="Z3532">
        <v>9</v>
      </c>
      <c r="AA3532" t="s">
        <v>100</v>
      </c>
      <c r="AB3532">
        <v>16</v>
      </c>
      <c r="AC3532">
        <v>1</v>
      </c>
      <c r="AD3532" t="s">
        <v>100</v>
      </c>
      <c r="AE3532" t="s">
        <v>100</v>
      </c>
      <c r="AF3532" t="s">
        <v>100</v>
      </c>
      <c r="AG3532">
        <v>2</v>
      </c>
      <c r="AH3532">
        <v>4</v>
      </c>
      <c r="AI3532" t="s">
        <v>100</v>
      </c>
      <c r="AJ3532" t="s">
        <v>100</v>
      </c>
      <c r="AK3532">
        <v>11</v>
      </c>
      <c r="AL3532">
        <v>5</v>
      </c>
      <c r="AM3532">
        <v>5</v>
      </c>
      <c r="AN3532">
        <v>1</v>
      </c>
      <c r="AT3532">
        <v>5</v>
      </c>
      <c r="AU3532">
        <v>7</v>
      </c>
      <c r="AV3532" t="s">
        <v>100</v>
      </c>
      <c r="AW3532">
        <v>347</v>
      </c>
      <c r="AX3532">
        <v>695</v>
      </c>
      <c r="AZ3532" t="s">
        <v>101</v>
      </c>
      <c r="BA3532">
        <v>1</v>
      </c>
      <c r="BC3532" t="s">
        <v>7169</v>
      </c>
      <c r="BD3532" s="4">
        <v>43283.34652777778</v>
      </c>
      <c r="BE3532" s="4">
        <v>43283.368703703702</v>
      </c>
      <c r="BF3532" s="4">
        <v>43283.368703703702</v>
      </c>
      <c r="BG3532" t="s">
        <v>83</v>
      </c>
      <c r="BH3532" t="s">
        <v>84</v>
      </c>
      <c r="BI3532" t="s">
        <v>85</v>
      </c>
    </row>
    <row r="3533" spans="1:61" x14ac:dyDescent="0.3">
      <c r="A3533" t="str">
        <f>"200462B0100"</f>
        <v>200462B0100</v>
      </c>
      <c r="B3533" t="s">
        <v>7170</v>
      </c>
      <c r="C3533">
        <v>20</v>
      </c>
      <c r="D3533" t="s">
        <v>79</v>
      </c>
      <c r="E3533">
        <v>17</v>
      </c>
      <c r="F3533" t="s">
        <v>7160</v>
      </c>
      <c r="G3533">
        <v>462</v>
      </c>
      <c r="H3533">
        <v>1</v>
      </c>
      <c r="I3533" t="s">
        <v>81</v>
      </c>
      <c r="J3533">
        <v>0</v>
      </c>
      <c r="K3533">
        <v>2</v>
      </c>
      <c r="L3533">
        <v>2</v>
      </c>
      <c r="M3533" t="s">
        <v>100</v>
      </c>
      <c r="N3533" t="s">
        <v>100</v>
      </c>
      <c r="O3533" t="s">
        <v>100</v>
      </c>
      <c r="P3533" t="s">
        <v>100</v>
      </c>
      <c r="Q3533">
        <v>5</v>
      </c>
      <c r="R3533">
        <v>22</v>
      </c>
      <c r="S3533">
        <v>1</v>
      </c>
      <c r="T3533">
        <v>8</v>
      </c>
      <c r="U3533">
        <v>18</v>
      </c>
      <c r="V3533">
        <v>2</v>
      </c>
      <c r="W3533" t="s">
        <v>100</v>
      </c>
      <c r="X3533">
        <v>2</v>
      </c>
      <c r="Y3533">
        <v>128</v>
      </c>
      <c r="Z3533">
        <v>3</v>
      </c>
      <c r="AA3533" t="s">
        <v>100</v>
      </c>
      <c r="AB3533">
        <v>16</v>
      </c>
      <c r="AC3533" t="s">
        <v>100</v>
      </c>
      <c r="AD3533" t="s">
        <v>100</v>
      </c>
      <c r="AE3533">
        <v>1</v>
      </c>
      <c r="AF3533" t="s">
        <v>100</v>
      </c>
      <c r="AG3533" t="s">
        <v>100</v>
      </c>
      <c r="AH3533" t="s">
        <v>100</v>
      </c>
      <c r="AI3533" t="s">
        <v>100</v>
      </c>
      <c r="AJ3533" t="s">
        <v>100</v>
      </c>
      <c r="AK3533">
        <v>7</v>
      </c>
      <c r="AL3533">
        <v>1</v>
      </c>
      <c r="AM3533" t="s">
        <v>100</v>
      </c>
      <c r="AN3533">
        <v>1</v>
      </c>
      <c r="AT3533">
        <v>4</v>
      </c>
      <c r="AU3533">
        <v>4</v>
      </c>
      <c r="AV3533">
        <v>221</v>
      </c>
      <c r="AW3533">
        <v>223</v>
      </c>
      <c r="AX3533">
        <v>490</v>
      </c>
      <c r="AZ3533" t="s">
        <v>101</v>
      </c>
      <c r="BA3533">
        <v>1</v>
      </c>
      <c r="BC3533" t="s">
        <v>7171</v>
      </c>
      <c r="BD3533" s="4">
        <v>43283.34652777778</v>
      </c>
      <c r="BE3533" s="4">
        <v>43283.364016203705</v>
      </c>
      <c r="BF3533" s="4">
        <v>43283.364016203705</v>
      </c>
      <c r="BG3533" t="s">
        <v>83</v>
      </c>
      <c r="BH3533" t="s">
        <v>84</v>
      </c>
      <c r="BI3533" t="s">
        <v>85</v>
      </c>
    </row>
    <row r="3534" spans="1:61" x14ac:dyDescent="0.3">
      <c r="A3534" t="str">
        <f>"200462C0100"</f>
        <v>200462C0100</v>
      </c>
      <c r="B3534" t="s">
        <v>7172</v>
      </c>
      <c r="C3534">
        <v>20</v>
      </c>
      <c r="D3534" t="s">
        <v>79</v>
      </c>
      <c r="E3534">
        <v>17</v>
      </c>
      <c r="F3534" t="s">
        <v>7160</v>
      </c>
      <c r="G3534">
        <v>462</v>
      </c>
      <c r="H3534">
        <v>1</v>
      </c>
      <c r="I3534" t="s">
        <v>89</v>
      </c>
      <c r="J3534">
        <v>0</v>
      </c>
      <c r="K3534">
        <v>2</v>
      </c>
      <c r="L3534">
        <v>2</v>
      </c>
      <c r="M3534">
        <v>272</v>
      </c>
      <c r="N3534" t="s">
        <v>100</v>
      </c>
      <c r="O3534" t="s">
        <v>100</v>
      </c>
      <c r="P3534" t="s">
        <v>100</v>
      </c>
      <c r="Q3534">
        <v>6</v>
      </c>
      <c r="R3534">
        <v>22</v>
      </c>
      <c r="S3534">
        <v>4</v>
      </c>
      <c r="T3534">
        <v>4</v>
      </c>
      <c r="U3534">
        <v>20</v>
      </c>
      <c r="V3534">
        <v>2</v>
      </c>
      <c r="W3534">
        <v>2</v>
      </c>
      <c r="X3534">
        <v>2</v>
      </c>
      <c r="Y3534">
        <v>142</v>
      </c>
      <c r="Z3534">
        <v>5</v>
      </c>
      <c r="AA3534" t="s">
        <v>100</v>
      </c>
      <c r="AB3534">
        <v>16</v>
      </c>
      <c r="AC3534" t="s">
        <v>100</v>
      </c>
      <c r="AD3534" t="s">
        <v>100</v>
      </c>
      <c r="AE3534" t="s">
        <v>100</v>
      </c>
      <c r="AF3534" t="s">
        <v>100</v>
      </c>
      <c r="AG3534" t="s">
        <v>100</v>
      </c>
      <c r="AH3534">
        <v>1</v>
      </c>
      <c r="AI3534" t="s">
        <v>100</v>
      </c>
      <c r="AJ3534" t="s">
        <v>100</v>
      </c>
      <c r="AK3534" t="s">
        <v>100</v>
      </c>
      <c r="AL3534">
        <v>1</v>
      </c>
      <c r="AM3534" t="s">
        <v>100</v>
      </c>
      <c r="AN3534">
        <v>3</v>
      </c>
      <c r="AT3534">
        <v>1</v>
      </c>
      <c r="AU3534">
        <v>8</v>
      </c>
      <c r="AV3534">
        <v>239</v>
      </c>
      <c r="AW3534">
        <v>239</v>
      </c>
      <c r="AX3534">
        <v>490</v>
      </c>
      <c r="AZ3534" t="s">
        <v>101</v>
      </c>
      <c r="BA3534">
        <v>1</v>
      </c>
      <c r="BC3534" t="s">
        <v>7173</v>
      </c>
      <c r="BD3534" s="4">
        <v>43283.34652777778</v>
      </c>
      <c r="BE3534" s="4">
        <v>43283.360208333332</v>
      </c>
      <c r="BF3534" s="4">
        <v>43283.360208333332</v>
      </c>
      <c r="BG3534" t="s">
        <v>83</v>
      </c>
      <c r="BH3534" t="s">
        <v>84</v>
      </c>
      <c r="BI3534" t="s">
        <v>85</v>
      </c>
    </row>
    <row r="3535" spans="1:61" x14ac:dyDescent="0.3">
      <c r="A3535" t="str">
        <f>"200463B0100"</f>
        <v>200463B0100</v>
      </c>
      <c r="B3535" t="s">
        <v>7174</v>
      </c>
      <c r="C3535">
        <v>20</v>
      </c>
      <c r="D3535" t="s">
        <v>79</v>
      </c>
      <c r="E3535">
        <v>17</v>
      </c>
      <c r="F3535" t="s">
        <v>7160</v>
      </c>
      <c r="G3535">
        <v>463</v>
      </c>
      <c r="H3535">
        <v>1</v>
      </c>
      <c r="I3535" t="s">
        <v>81</v>
      </c>
      <c r="J3535">
        <v>0</v>
      </c>
      <c r="K3535">
        <v>1</v>
      </c>
      <c r="L3535">
        <v>2</v>
      </c>
      <c r="M3535">
        <v>215</v>
      </c>
      <c r="N3535">
        <v>251</v>
      </c>
      <c r="O3535">
        <v>0</v>
      </c>
      <c r="P3535">
        <v>251</v>
      </c>
      <c r="Q3535">
        <v>17</v>
      </c>
      <c r="R3535">
        <v>14</v>
      </c>
      <c r="S3535">
        <v>10</v>
      </c>
      <c r="T3535">
        <v>2</v>
      </c>
      <c r="U3535">
        <v>22</v>
      </c>
      <c r="V3535">
        <v>6</v>
      </c>
      <c r="W3535">
        <v>0</v>
      </c>
      <c r="X3535">
        <v>0</v>
      </c>
      <c r="Y3535">
        <v>152</v>
      </c>
      <c r="Z3535">
        <v>5</v>
      </c>
      <c r="AA3535">
        <v>0</v>
      </c>
      <c r="AB3535">
        <v>5</v>
      </c>
      <c r="AC3535">
        <v>0</v>
      </c>
      <c r="AD3535">
        <v>1</v>
      </c>
      <c r="AE3535">
        <v>0</v>
      </c>
      <c r="AF3535">
        <v>1</v>
      </c>
      <c r="AG3535">
        <v>0</v>
      </c>
      <c r="AH3535">
        <v>1</v>
      </c>
      <c r="AI3535">
        <v>0</v>
      </c>
      <c r="AJ3535">
        <v>0</v>
      </c>
      <c r="AK3535">
        <v>2</v>
      </c>
      <c r="AL3535">
        <v>3</v>
      </c>
      <c r="AM3535">
        <v>0</v>
      </c>
      <c r="AN3535">
        <v>1</v>
      </c>
      <c r="AT3535">
        <v>0</v>
      </c>
      <c r="AU3535">
        <v>9</v>
      </c>
      <c r="AV3535">
        <v>251</v>
      </c>
      <c r="AW3535">
        <v>251</v>
      </c>
      <c r="AX3535">
        <v>444</v>
      </c>
      <c r="BA3535">
        <v>1</v>
      </c>
      <c r="BC3535" t="s">
        <v>7175</v>
      </c>
      <c r="BD3535" s="4">
        <v>43283.34652777778</v>
      </c>
      <c r="BE3535" s="4">
        <v>43283.381296296298</v>
      </c>
      <c r="BF3535" s="4">
        <v>43283.381296296298</v>
      </c>
      <c r="BG3535" t="s">
        <v>83</v>
      </c>
      <c r="BH3535" t="s">
        <v>84</v>
      </c>
      <c r="BI3535" t="s">
        <v>85</v>
      </c>
    </row>
    <row r="3536" spans="1:61" x14ac:dyDescent="0.3">
      <c r="A3536" t="str">
        <f>"200463C0100"</f>
        <v>200463C0100</v>
      </c>
      <c r="B3536" t="s">
        <v>7176</v>
      </c>
      <c r="C3536">
        <v>20</v>
      </c>
      <c r="D3536" t="s">
        <v>79</v>
      </c>
      <c r="E3536">
        <v>17</v>
      </c>
      <c r="F3536" t="s">
        <v>7160</v>
      </c>
      <c r="G3536">
        <v>463</v>
      </c>
      <c r="H3536">
        <v>1</v>
      </c>
      <c r="I3536" t="s">
        <v>89</v>
      </c>
      <c r="J3536">
        <v>0</v>
      </c>
      <c r="K3536">
        <v>1</v>
      </c>
      <c r="L3536">
        <v>2</v>
      </c>
      <c r="M3536">
        <v>231</v>
      </c>
      <c r="N3536">
        <v>235</v>
      </c>
      <c r="O3536">
        <v>0</v>
      </c>
      <c r="P3536">
        <v>235</v>
      </c>
      <c r="Q3536">
        <v>13</v>
      </c>
      <c r="R3536">
        <v>11</v>
      </c>
      <c r="S3536">
        <v>9</v>
      </c>
      <c r="T3536">
        <v>2</v>
      </c>
      <c r="U3536">
        <v>24</v>
      </c>
      <c r="V3536">
        <v>3</v>
      </c>
      <c r="W3536">
        <v>0</v>
      </c>
      <c r="X3536">
        <v>2</v>
      </c>
      <c r="Y3536">
        <v>154</v>
      </c>
      <c r="Z3536">
        <v>2</v>
      </c>
      <c r="AA3536">
        <v>0</v>
      </c>
      <c r="AB3536">
        <v>4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2</v>
      </c>
      <c r="AL3536">
        <v>1</v>
      </c>
      <c r="AM3536">
        <v>0</v>
      </c>
      <c r="AN3536">
        <v>0</v>
      </c>
      <c r="AT3536">
        <v>0</v>
      </c>
      <c r="AU3536">
        <v>6</v>
      </c>
      <c r="AV3536">
        <v>235</v>
      </c>
      <c r="AW3536">
        <v>233</v>
      </c>
      <c r="AX3536">
        <v>444</v>
      </c>
      <c r="BA3536">
        <v>1</v>
      </c>
      <c r="BC3536" t="s">
        <v>7177</v>
      </c>
      <c r="BD3536" s="4">
        <v>43283.34652777778</v>
      </c>
      <c r="BE3536" s="4">
        <v>43283.381747685184</v>
      </c>
      <c r="BF3536" s="4">
        <v>43283.381747685184</v>
      </c>
      <c r="BG3536" t="s">
        <v>83</v>
      </c>
      <c r="BH3536" t="s">
        <v>84</v>
      </c>
      <c r="BI3536" t="s">
        <v>85</v>
      </c>
    </row>
    <row r="3537" spans="1:61" x14ac:dyDescent="0.3">
      <c r="A3537" t="str">
        <f>"200463S0100"</f>
        <v>200463S0100</v>
      </c>
      <c r="B3537" t="s">
        <v>7178</v>
      </c>
      <c r="C3537">
        <v>20</v>
      </c>
      <c r="D3537" t="s">
        <v>79</v>
      </c>
      <c r="E3537">
        <v>17</v>
      </c>
      <c r="F3537" t="s">
        <v>7160</v>
      </c>
      <c r="G3537">
        <v>463</v>
      </c>
      <c r="H3537">
        <v>1</v>
      </c>
      <c r="I3537" t="s">
        <v>104</v>
      </c>
      <c r="J3537">
        <v>0</v>
      </c>
      <c r="K3537">
        <v>1</v>
      </c>
      <c r="L3537">
        <v>3</v>
      </c>
      <c r="M3537">
        <v>515</v>
      </c>
      <c r="N3537" t="s">
        <v>100</v>
      </c>
      <c r="O3537">
        <v>0</v>
      </c>
      <c r="P3537">
        <v>59</v>
      </c>
      <c r="Q3537">
        <v>5</v>
      </c>
      <c r="R3537">
        <v>1</v>
      </c>
      <c r="S3537">
        <v>1</v>
      </c>
      <c r="T3537">
        <v>0</v>
      </c>
      <c r="U3537">
        <v>4</v>
      </c>
      <c r="V3537">
        <v>0</v>
      </c>
      <c r="W3537">
        <v>0</v>
      </c>
      <c r="X3537">
        <v>0</v>
      </c>
      <c r="Y3537">
        <v>41</v>
      </c>
      <c r="Z3537">
        <v>0</v>
      </c>
      <c r="AA3537">
        <v>0</v>
      </c>
      <c r="AB3537">
        <v>5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1</v>
      </c>
      <c r="AT3537" t="s">
        <v>100</v>
      </c>
      <c r="AU3537">
        <v>1</v>
      </c>
      <c r="AV3537">
        <v>59</v>
      </c>
      <c r="AW3537">
        <v>59</v>
      </c>
      <c r="AX3537">
        <v>0</v>
      </c>
      <c r="AZ3537" t="s">
        <v>101</v>
      </c>
      <c r="BA3537">
        <v>1</v>
      </c>
      <c r="BC3537" t="s">
        <v>7179</v>
      </c>
      <c r="BD3537" s="4">
        <v>43283.602777777778</v>
      </c>
      <c r="BE3537" s="4">
        <v>43283.605104166665</v>
      </c>
      <c r="BF3537" s="4">
        <v>43283.605104166665</v>
      </c>
      <c r="BG3537" t="s">
        <v>83</v>
      </c>
      <c r="BH3537" t="s">
        <v>84</v>
      </c>
      <c r="BI3537" t="s">
        <v>85</v>
      </c>
    </row>
    <row r="3538" spans="1:61" x14ac:dyDescent="0.3">
      <c r="A3538" t="str">
        <f>"200464B0100"</f>
        <v>200464B0100</v>
      </c>
      <c r="B3538" t="s">
        <v>7180</v>
      </c>
      <c r="C3538">
        <v>20</v>
      </c>
      <c r="D3538" t="s">
        <v>79</v>
      </c>
      <c r="E3538">
        <v>17</v>
      </c>
      <c r="F3538" t="s">
        <v>7160</v>
      </c>
      <c r="G3538">
        <v>464</v>
      </c>
      <c r="H3538">
        <v>1</v>
      </c>
      <c r="I3538" t="s">
        <v>81</v>
      </c>
      <c r="J3538">
        <v>0</v>
      </c>
      <c r="K3538">
        <v>1</v>
      </c>
      <c r="L3538">
        <v>2</v>
      </c>
      <c r="M3538">
        <v>209</v>
      </c>
      <c r="N3538">
        <v>199</v>
      </c>
      <c r="O3538">
        <v>0</v>
      </c>
      <c r="P3538">
        <v>199</v>
      </c>
      <c r="Q3538">
        <v>15</v>
      </c>
      <c r="R3538">
        <v>11</v>
      </c>
      <c r="S3538">
        <v>11</v>
      </c>
      <c r="T3538">
        <v>7</v>
      </c>
      <c r="U3538">
        <v>25</v>
      </c>
      <c r="V3538">
        <v>3</v>
      </c>
      <c r="W3538">
        <v>1</v>
      </c>
      <c r="X3538">
        <v>2</v>
      </c>
      <c r="Y3538">
        <v>96</v>
      </c>
      <c r="Z3538">
        <v>3</v>
      </c>
      <c r="AA3538">
        <v>0</v>
      </c>
      <c r="AB3538">
        <v>8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1</v>
      </c>
      <c r="AI3538">
        <v>0</v>
      </c>
      <c r="AJ3538">
        <v>0</v>
      </c>
      <c r="AK3538">
        <v>4</v>
      </c>
      <c r="AL3538">
        <v>1</v>
      </c>
      <c r="AM3538">
        <v>0</v>
      </c>
      <c r="AN3538">
        <v>1</v>
      </c>
      <c r="AT3538">
        <v>0</v>
      </c>
      <c r="AU3538">
        <v>9</v>
      </c>
      <c r="AV3538">
        <v>197</v>
      </c>
      <c r="AW3538">
        <v>198</v>
      </c>
      <c r="AX3538">
        <v>386</v>
      </c>
      <c r="BA3538">
        <v>1</v>
      </c>
      <c r="BC3538" t="s">
        <v>7181</v>
      </c>
      <c r="BD3538" s="4">
        <v>43283.34652777778</v>
      </c>
      <c r="BE3538" s="4">
        <v>43283.362430555557</v>
      </c>
      <c r="BF3538" s="4">
        <v>43283.362430555557</v>
      </c>
      <c r="BG3538" t="s">
        <v>83</v>
      </c>
      <c r="BH3538" t="s">
        <v>84</v>
      </c>
      <c r="BI3538" t="s">
        <v>85</v>
      </c>
    </row>
    <row r="3539" spans="1:61" x14ac:dyDescent="0.3">
      <c r="A3539" t="str">
        <f>"200464C0100"</f>
        <v>200464C0100</v>
      </c>
      <c r="B3539" t="s">
        <v>7182</v>
      </c>
      <c r="C3539">
        <v>20</v>
      </c>
      <c r="D3539" t="s">
        <v>79</v>
      </c>
      <c r="E3539">
        <v>17</v>
      </c>
      <c r="F3539" t="s">
        <v>7160</v>
      </c>
      <c r="G3539">
        <v>464</v>
      </c>
      <c r="H3539">
        <v>1</v>
      </c>
      <c r="I3539" t="s">
        <v>89</v>
      </c>
      <c r="J3539">
        <v>0</v>
      </c>
      <c r="K3539">
        <v>1</v>
      </c>
      <c r="L3539">
        <v>2</v>
      </c>
      <c r="M3539">
        <v>218</v>
      </c>
      <c r="N3539">
        <v>189</v>
      </c>
      <c r="O3539">
        <v>0</v>
      </c>
      <c r="P3539">
        <v>189</v>
      </c>
      <c r="Q3539">
        <v>6</v>
      </c>
      <c r="R3539">
        <v>7</v>
      </c>
      <c r="S3539">
        <v>5</v>
      </c>
      <c r="T3539">
        <v>4</v>
      </c>
      <c r="U3539">
        <v>23</v>
      </c>
      <c r="V3539">
        <v>3</v>
      </c>
      <c r="W3539">
        <v>1</v>
      </c>
      <c r="X3539">
        <v>3</v>
      </c>
      <c r="Y3539">
        <v>118</v>
      </c>
      <c r="Z3539">
        <v>3</v>
      </c>
      <c r="AA3539">
        <v>0</v>
      </c>
      <c r="AB3539">
        <v>2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1</v>
      </c>
      <c r="AI3539">
        <v>0</v>
      </c>
      <c r="AJ3539">
        <v>0</v>
      </c>
      <c r="AK3539">
        <v>5</v>
      </c>
      <c r="AL3539">
        <v>2</v>
      </c>
      <c r="AM3539">
        <v>0</v>
      </c>
      <c r="AN3539">
        <v>1</v>
      </c>
      <c r="AT3539">
        <v>0</v>
      </c>
      <c r="AU3539">
        <v>5</v>
      </c>
      <c r="AV3539">
        <v>189</v>
      </c>
      <c r="AW3539">
        <v>189</v>
      </c>
      <c r="AX3539">
        <v>385</v>
      </c>
      <c r="BA3539">
        <v>1</v>
      </c>
      <c r="BC3539" t="s">
        <v>7183</v>
      </c>
      <c r="BD3539" s="4">
        <v>43283.34652777778</v>
      </c>
      <c r="BE3539" s="4">
        <v>43283.360879629632</v>
      </c>
      <c r="BF3539" s="4">
        <v>43283.360879629632</v>
      </c>
      <c r="BG3539" t="s">
        <v>83</v>
      </c>
      <c r="BH3539" t="s">
        <v>84</v>
      </c>
      <c r="BI3539" t="s">
        <v>85</v>
      </c>
    </row>
    <row r="3540" spans="1:61" x14ac:dyDescent="0.3">
      <c r="A3540" t="str">
        <f>"200465B0100"</f>
        <v>200465B0100</v>
      </c>
      <c r="B3540" t="s">
        <v>7184</v>
      </c>
      <c r="C3540">
        <v>20</v>
      </c>
      <c r="D3540" t="s">
        <v>79</v>
      </c>
      <c r="E3540">
        <v>17</v>
      </c>
      <c r="F3540" t="s">
        <v>7160</v>
      </c>
      <c r="G3540">
        <v>465</v>
      </c>
      <c r="H3540">
        <v>1</v>
      </c>
      <c r="I3540" t="s">
        <v>81</v>
      </c>
      <c r="J3540">
        <v>0</v>
      </c>
      <c r="K3540">
        <v>2</v>
      </c>
      <c r="L3540">
        <v>2</v>
      </c>
      <c r="M3540">
        <v>260</v>
      </c>
      <c r="N3540">
        <v>162</v>
      </c>
      <c r="O3540">
        <v>5</v>
      </c>
      <c r="P3540">
        <v>160</v>
      </c>
      <c r="Q3540">
        <v>2</v>
      </c>
      <c r="R3540">
        <v>15</v>
      </c>
      <c r="S3540">
        <v>3</v>
      </c>
      <c r="T3540">
        <v>2</v>
      </c>
      <c r="U3540">
        <v>27</v>
      </c>
      <c r="V3540">
        <v>1</v>
      </c>
      <c r="W3540">
        <v>1</v>
      </c>
      <c r="X3540">
        <v>0</v>
      </c>
      <c r="Y3540">
        <v>84</v>
      </c>
      <c r="Z3540">
        <v>4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2</v>
      </c>
      <c r="AL3540">
        <v>4</v>
      </c>
      <c r="AM3540">
        <v>1</v>
      </c>
      <c r="AN3540">
        <v>0</v>
      </c>
      <c r="AT3540">
        <v>0</v>
      </c>
      <c r="AU3540">
        <v>14</v>
      </c>
      <c r="AV3540">
        <v>160</v>
      </c>
      <c r="AW3540">
        <v>160</v>
      </c>
      <c r="AX3540">
        <v>399</v>
      </c>
      <c r="BA3540">
        <v>1</v>
      </c>
      <c r="BC3540" t="s">
        <v>7185</v>
      </c>
      <c r="BD3540" s="4">
        <v>43283.580555555556</v>
      </c>
      <c r="BE3540" s="4">
        <v>43283.587951388887</v>
      </c>
      <c r="BF3540" s="4">
        <v>43283.587951388887</v>
      </c>
      <c r="BG3540" t="s">
        <v>83</v>
      </c>
      <c r="BH3540" t="s">
        <v>84</v>
      </c>
      <c r="BI3540" t="s">
        <v>85</v>
      </c>
    </row>
    <row r="3541" spans="1:61" x14ac:dyDescent="0.3">
      <c r="A3541" t="str">
        <f>"200465C0100"</f>
        <v>200465C0100</v>
      </c>
      <c r="B3541" t="s">
        <v>7186</v>
      </c>
      <c r="C3541">
        <v>20</v>
      </c>
      <c r="D3541" t="s">
        <v>79</v>
      </c>
      <c r="E3541">
        <v>17</v>
      </c>
      <c r="F3541" t="s">
        <v>7160</v>
      </c>
      <c r="G3541">
        <v>465</v>
      </c>
      <c r="H3541">
        <v>1</v>
      </c>
      <c r="I3541" t="s">
        <v>89</v>
      </c>
      <c r="J3541">
        <v>0</v>
      </c>
      <c r="K3541">
        <v>2</v>
      </c>
      <c r="L3541">
        <v>2</v>
      </c>
      <c r="M3541">
        <v>267</v>
      </c>
      <c r="N3541">
        <v>157</v>
      </c>
      <c r="O3541">
        <v>4</v>
      </c>
      <c r="P3541">
        <v>149</v>
      </c>
      <c r="Q3541">
        <v>2</v>
      </c>
      <c r="R3541">
        <v>21</v>
      </c>
      <c r="S3541">
        <v>0</v>
      </c>
      <c r="T3541">
        <v>1</v>
      </c>
      <c r="U3541">
        <v>31</v>
      </c>
      <c r="V3541">
        <v>5</v>
      </c>
      <c r="W3541">
        <v>3</v>
      </c>
      <c r="X3541">
        <v>5</v>
      </c>
      <c r="Y3541">
        <v>54</v>
      </c>
      <c r="Z3541">
        <v>2</v>
      </c>
      <c r="AA3541">
        <v>1</v>
      </c>
      <c r="AB3541">
        <v>2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7</v>
      </c>
      <c r="AL3541">
        <v>0</v>
      </c>
      <c r="AM3541">
        <v>0</v>
      </c>
      <c r="AN3541">
        <v>2</v>
      </c>
      <c r="AT3541">
        <v>0</v>
      </c>
      <c r="AU3541">
        <v>13</v>
      </c>
      <c r="AV3541">
        <v>149</v>
      </c>
      <c r="AW3541">
        <v>149</v>
      </c>
      <c r="AX3541">
        <v>399</v>
      </c>
      <c r="BA3541">
        <v>1</v>
      </c>
      <c r="BC3541" t="s">
        <v>7187</v>
      </c>
      <c r="BD3541" s="4">
        <v>43283.580555555556</v>
      </c>
      <c r="BE3541" s="4">
        <v>43283.621759259258</v>
      </c>
      <c r="BF3541" s="4">
        <v>43283.621759259258</v>
      </c>
      <c r="BG3541" t="s">
        <v>83</v>
      </c>
      <c r="BH3541" t="s">
        <v>84</v>
      </c>
      <c r="BI3541" t="s">
        <v>85</v>
      </c>
    </row>
    <row r="3542" spans="1:61" x14ac:dyDescent="0.3">
      <c r="A3542" t="str">
        <f>"200466B0100"</f>
        <v>200466B0100</v>
      </c>
      <c r="B3542" t="s">
        <v>7188</v>
      </c>
      <c r="C3542">
        <v>20</v>
      </c>
      <c r="D3542" t="s">
        <v>79</v>
      </c>
      <c r="E3542">
        <v>17</v>
      </c>
      <c r="F3542" t="s">
        <v>7160</v>
      </c>
      <c r="G3542">
        <v>466</v>
      </c>
      <c r="H3542">
        <v>1</v>
      </c>
      <c r="I3542" t="s">
        <v>81</v>
      </c>
      <c r="J3542">
        <v>0</v>
      </c>
      <c r="K3542">
        <v>2</v>
      </c>
      <c r="L3542">
        <v>2</v>
      </c>
      <c r="M3542">
        <v>303</v>
      </c>
      <c r="N3542" t="s">
        <v>100</v>
      </c>
      <c r="O3542" t="s">
        <v>100</v>
      </c>
      <c r="P3542">
        <v>438</v>
      </c>
      <c r="Q3542">
        <v>20</v>
      </c>
      <c r="R3542">
        <v>18</v>
      </c>
      <c r="S3542">
        <v>6</v>
      </c>
      <c r="T3542">
        <v>8</v>
      </c>
      <c r="U3542">
        <v>52</v>
      </c>
      <c r="V3542">
        <v>2</v>
      </c>
      <c r="W3542">
        <v>6</v>
      </c>
      <c r="X3542">
        <v>235</v>
      </c>
      <c r="Y3542">
        <v>12</v>
      </c>
      <c r="Z3542">
        <v>1</v>
      </c>
      <c r="AA3542">
        <v>45</v>
      </c>
      <c r="AB3542">
        <v>1</v>
      </c>
      <c r="AC3542" t="s">
        <v>100</v>
      </c>
      <c r="AD3542" t="s">
        <v>100</v>
      </c>
      <c r="AE3542" t="s">
        <v>100</v>
      </c>
      <c r="AF3542" t="s">
        <v>100</v>
      </c>
      <c r="AG3542" t="s">
        <v>100</v>
      </c>
      <c r="AH3542" t="s">
        <v>100</v>
      </c>
      <c r="AI3542" t="s">
        <v>100</v>
      </c>
      <c r="AJ3542" t="s">
        <v>100</v>
      </c>
      <c r="AK3542">
        <v>8</v>
      </c>
      <c r="AL3542" t="s">
        <v>100</v>
      </c>
      <c r="AM3542">
        <v>1</v>
      </c>
      <c r="AN3542">
        <v>2</v>
      </c>
      <c r="AT3542" t="s">
        <v>100</v>
      </c>
      <c r="AU3542">
        <v>11</v>
      </c>
      <c r="AV3542">
        <v>438</v>
      </c>
      <c r="AW3542">
        <v>428</v>
      </c>
      <c r="AX3542">
        <v>723</v>
      </c>
      <c r="AZ3542" t="s">
        <v>101</v>
      </c>
      <c r="BA3542">
        <v>1</v>
      </c>
      <c r="BC3542" t="s">
        <v>7189</v>
      </c>
      <c r="BD3542" s="4">
        <v>43283.34652777778</v>
      </c>
      <c r="BE3542" s="4">
        <v>43283.370370370372</v>
      </c>
      <c r="BF3542" s="4">
        <v>43283.370370370372</v>
      </c>
      <c r="BG3542" t="s">
        <v>83</v>
      </c>
      <c r="BH3542" t="s">
        <v>84</v>
      </c>
      <c r="BI3542" t="s">
        <v>85</v>
      </c>
    </row>
    <row r="3543" spans="1:61" x14ac:dyDescent="0.3">
      <c r="A3543" t="str">
        <f>"200467B0100"</f>
        <v>200467B0100</v>
      </c>
      <c r="B3543" t="s">
        <v>7190</v>
      </c>
      <c r="C3543">
        <v>20</v>
      </c>
      <c r="D3543" t="s">
        <v>79</v>
      </c>
      <c r="E3543">
        <v>17</v>
      </c>
      <c r="F3543" t="s">
        <v>7160</v>
      </c>
      <c r="G3543">
        <v>467</v>
      </c>
      <c r="H3543">
        <v>1</v>
      </c>
      <c r="I3543" t="s">
        <v>81</v>
      </c>
      <c r="J3543">
        <v>0</v>
      </c>
      <c r="K3543">
        <v>2</v>
      </c>
      <c r="L3543">
        <v>2</v>
      </c>
      <c r="M3543">
        <v>86</v>
      </c>
      <c r="N3543">
        <v>266</v>
      </c>
      <c r="O3543">
        <v>266</v>
      </c>
      <c r="P3543">
        <v>180</v>
      </c>
      <c r="Q3543">
        <v>1</v>
      </c>
      <c r="R3543">
        <v>7</v>
      </c>
      <c r="S3543">
        <v>1</v>
      </c>
      <c r="T3543">
        <v>2</v>
      </c>
      <c r="U3543">
        <v>79</v>
      </c>
      <c r="V3543">
        <v>1</v>
      </c>
      <c r="W3543">
        <v>0</v>
      </c>
      <c r="X3543">
        <v>0</v>
      </c>
      <c r="Y3543">
        <v>33</v>
      </c>
      <c r="Z3543">
        <v>1</v>
      </c>
      <c r="AA3543">
        <v>0</v>
      </c>
      <c r="AB3543">
        <v>1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16</v>
      </c>
      <c r="AL3543">
        <v>22</v>
      </c>
      <c r="AM3543">
        <v>4</v>
      </c>
      <c r="AN3543">
        <v>0</v>
      </c>
      <c r="AT3543">
        <v>0</v>
      </c>
      <c r="AU3543">
        <v>13</v>
      </c>
      <c r="AV3543">
        <v>180</v>
      </c>
      <c r="AW3543">
        <v>181</v>
      </c>
      <c r="AX3543">
        <v>245</v>
      </c>
      <c r="BA3543">
        <v>1</v>
      </c>
      <c r="BC3543" t="s">
        <v>7191</v>
      </c>
      <c r="BD3543" s="4">
        <v>43283.34652777778</v>
      </c>
      <c r="BE3543" s="4">
        <v>43283.36859953704</v>
      </c>
      <c r="BF3543" s="4">
        <v>43283.36859953704</v>
      </c>
      <c r="BG3543" t="s">
        <v>83</v>
      </c>
      <c r="BH3543" t="s">
        <v>84</v>
      </c>
      <c r="BI3543" t="s">
        <v>85</v>
      </c>
    </row>
    <row r="3544" spans="1:61" x14ac:dyDescent="0.3">
      <c r="A3544" t="str">
        <f>"200468B0100"</f>
        <v>200468B0100</v>
      </c>
      <c r="B3544" t="s">
        <v>7192</v>
      </c>
      <c r="C3544">
        <v>20</v>
      </c>
      <c r="D3544" t="s">
        <v>79</v>
      </c>
      <c r="E3544">
        <v>17</v>
      </c>
      <c r="F3544" t="s">
        <v>7160</v>
      </c>
      <c r="G3544">
        <v>468</v>
      </c>
      <c r="H3544">
        <v>1</v>
      </c>
      <c r="I3544" t="s">
        <v>81</v>
      </c>
      <c r="J3544">
        <v>0</v>
      </c>
      <c r="K3544">
        <v>2</v>
      </c>
      <c r="L3544">
        <v>2</v>
      </c>
      <c r="M3544">
        <v>193</v>
      </c>
      <c r="N3544">
        <v>239</v>
      </c>
      <c r="O3544">
        <v>0</v>
      </c>
      <c r="P3544" t="s">
        <v>100</v>
      </c>
      <c r="Q3544">
        <v>44</v>
      </c>
      <c r="R3544">
        <v>36</v>
      </c>
      <c r="S3544">
        <v>9</v>
      </c>
      <c r="T3544">
        <v>2</v>
      </c>
      <c r="U3544">
        <v>18</v>
      </c>
      <c r="V3544">
        <v>1</v>
      </c>
      <c r="W3544">
        <v>1</v>
      </c>
      <c r="X3544">
        <v>1</v>
      </c>
      <c r="Y3544">
        <v>105</v>
      </c>
      <c r="Z3544">
        <v>3</v>
      </c>
      <c r="AA3544">
        <v>1</v>
      </c>
      <c r="AB3544">
        <v>2</v>
      </c>
      <c r="AC3544">
        <v>1</v>
      </c>
      <c r="AD3544">
        <v>1</v>
      </c>
      <c r="AE3544">
        <v>0</v>
      </c>
      <c r="AF3544">
        <v>0</v>
      </c>
      <c r="AG3544">
        <v>0</v>
      </c>
      <c r="AH3544">
        <v>1</v>
      </c>
      <c r="AI3544">
        <v>0</v>
      </c>
      <c r="AJ3544">
        <v>0</v>
      </c>
      <c r="AK3544">
        <v>1</v>
      </c>
      <c r="AL3544">
        <v>0</v>
      </c>
      <c r="AM3544">
        <v>0</v>
      </c>
      <c r="AN3544">
        <v>0</v>
      </c>
      <c r="AT3544">
        <v>0</v>
      </c>
      <c r="AU3544">
        <v>12</v>
      </c>
      <c r="AV3544" t="s">
        <v>100</v>
      </c>
      <c r="AW3544">
        <v>239</v>
      </c>
      <c r="AX3544">
        <v>410</v>
      </c>
      <c r="BA3544">
        <v>1</v>
      </c>
      <c r="BC3544" t="s">
        <v>7193</v>
      </c>
      <c r="BD3544" s="4">
        <v>43283.34652777778</v>
      </c>
      <c r="BE3544" s="4">
        <v>43283.370868055557</v>
      </c>
      <c r="BF3544" s="4">
        <v>43283.370868055557</v>
      </c>
      <c r="BG3544" t="s">
        <v>83</v>
      </c>
      <c r="BH3544" t="s">
        <v>84</v>
      </c>
      <c r="BI3544" t="s">
        <v>85</v>
      </c>
    </row>
    <row r="3545" spans="1:61" x14ac:dyDescent="0.3">
      <c r="A3545" t="str">
        <f>"200668B0100"</f>
        <v>200668B0100</v>
      </c>
      <c r="B3545" t="s">
        <v>7194</v>
      </c>
      <c r="C3545">
        <v>20</v>
      </c>
      <c r="D3545" t="s">
        <v>79</v>
      </c>
      <c r="E3545">
        <v>17</v>
      </c>
      <c r="F3545" t="s">
        <v>7160</v>
      </c>
      <c r="G3545">
        <v>668</v>
      </c>
      <c r="H3545">
        <v>1</v>
      </c>
      <c r="I3545" t="s">
        <v>81</v>
      </c>
      <c r="J3545">
        <v>0</v>
      </c>
      <c r="K3545">
        <v>1</v>
      </c>
      <c r="L3545">
        <v>2</v>
      </c>
      <c r="M3545">
        <v>188</v>
      </c>
      <c r="N3545">
        <v>287</v>
      </c>
      <c r="O3545">
        <v>0</v>
      </c>
      <c r="P3545">
        <v>286</v>
      </c>
      <c r="Q3545">
        <v>17</v>
      </c>
      <c r="R3545">
        <v>88</v>
      </c>
      <c r="S3545">
        <v>8</v>
      </c>
      <c r="T3545">
        <v>7</v>
      </c>
      <c r="U3545">
        <v>14</v>
      </c>
      <c r="V3545">
        <v>4</v>
      </c>
      <c r="W3545">
        <v>0</v>
      </c>
      <c r="X3545">
        <v>1</v>
      </c>
      <c r="Y3545">
        <v>122</v>
      </c>
      <c r="Z3545">
        <v>3</v>
      </c>
      <c r="AA3545">
        <v>7</v>
      </c>
      <c r="AB3545">
        <v>7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4</v>
      </c>
      <c r="AL3545">
        <v>1</v>
      </c>
      <c r="AM3545">
        <v>0</v>
      </c>
      <c r="AN3545">
        <v>2</v>
      </c>
      <c r="AT3545">
        <v>0</v>
      </c>
      <c r="AU3545">
        <v>5</v>
      </c>
      <c r="AV3545">
        <v>286</v>
      </c>
      <c r="AW3545">
        <v>290</v>
      </c>
      <c r="AX3545">
        <v>453</v>
      </c>
      <c r="BA3545">
        <v>1</v>
      </c>
      <c r="BC3545" t="s">
        <v>7195</v>
      </c>
      <c r="BD3545" s="4">
        <v>43283.040972222225</v>
      </c>
      <c r="BE3545" s="4">
        <v>43283.044745370367</v>
      </c>
      <c r="BF3545" s="4">
        <v>43283.044745370367</v>
      </c>
      <c r="BG3545" t="s">
        <v>83</v>
      </c>
      <c r="BH3545" t="s">
        <v>84</v>
      </c>
      <c r="BI3545" t="s">
        <v>85</v>
      </c>
    </row>
    <row r="3546" spans="1:61" x14ac:dyDescent="0.3">
      <c r="A3546" t="str">
        <f>"200668C0100"</f>
        <v>200668C0100</v>
      </c>
      <c r="B3546" t="s">
        <v>7196</v>
      </c>
      <c r="C3546">
        <v>20</v>
      </c>
      <c r="D3546" t="s">
        <v>79</v>
      </c>
      <c r="E3546">
        <v>17</v>
      </c>
      <c r="F3546" t="s">
        <v>7160</v>
      </c>
      <c r="G3546">
        <v>668</v>
      </c>
      <c r="H3546">
        <v>1</v>
      </c>
      <c r="I3546" t="s">
        <v>89</v>
      </c>
      <c r="J3546">
        <v>0</v>
      </c>
      <c r="K3546">
        <v>1</v>
      </c>
      <c r="L3546">
        <v>2</v>
      </c>
      <c r="M3546">
        <v>156</v>
      </c>
      <c r="N3546">
        <v>319</v>
      </c>
      <c r="O3546">
        <v>0</v>
      </c>
      <c r="P3546">
        <v>319</v>
      </c>
      <c r="Q3546">
        <v>17</v>
      </c>
      <c r="R3546">
        <v>65</v>
      </c>
      <c r="S3546">
        <v>2</v>
      </c>
      <c r="T3546">
        <v>7</v>
      </c>
      <c r="U3546">
        <v>16</v>
      </c>
      <c r="V3546">
        <v>5</v>
      </c>
      <c r="W3546">
        <v>3</v>
      </c>
      <c r="X3546">
        <v>6</v>
      </c>
      <c r="Y3546">
        <v>151</v>
      </c>
      <c r="Z3546">
        <v>13</v>
      </c>
      <c r="AA3546">
        <v>1</v>
      </c>
      <c r="AB3546">
        <v>12</v>
      </c>
      <c r="AC3546">
        <v>0</v>
      </c>
      <c r="AD3546">
        <v>1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6</v>
      </c>
      <c r="AL3546">
        <v>0</v>
      </c>
      <c r="AM3546">
        <v>1</v>
      </c>
      <c r="AN3546">
        <v>2</v>
      </c>
      <c r="AT3546" t="s">
        <v>100</v>
      </c>
      <c r="AU3546" t="s">
        <v>100</v>
      </c>
      <c r="AV3546">
        <v>319</v>
      </c>
      <c r="AW3546">
        <v>308</v>
      </c>
      <c r="AX3546">
        <v>453</v>
      </c>
      <c r="AZ3546" t="s">
        <v>101</v>
      </c>
      <c r="BA3546">
        <v>1</v>
      </c>
      <c r="BC3546" t="s">
        <v>7197</v>
      </c>
      <c r="BD3546" s="4">
        <v>43283.039583333331</v>
      </c>
      <c r="BE3546" s="4">
        <v>43283.045289351852</v>
      </c>
      <c r="BF3546" s="4">
        <v>43283.045289351852</v>
      </c>
      <c r="BG3546" t="s">
        <v>83</v>
      </c>
      <c r="BH3546" t="s">
        <v>84</v>
      </c>
      <c r="BI3546" t="s">
        <v>85</v>
      </c>
    </row>
    <row r="3547" spans="1:61" x14ac:dyDescent="0.3">
      <c r="A3547" t="str">
        <f>"200792B0100"</f>
        <v>200792B0100</v>
      </c>
      <c r="B3547" t="s">
        <v>7198</v>
      </c>
      <c r="C3547">
        <v>20</v>
      </c>
      <c r="D3547" t="s">
        <v>79</v>
      </c>
      <c r="E3547">
        <v>17</v>
      </c>
      <c r="F3547" t="s">
        <v>7160</v>
      </c>
      <c r="G3547">
        <v>792</v>
      </c>
      <c r="H3547">
        <v>1</v>
      </c>
      <c r="I3547" t="s">
        <v>81</v>
      </c>
      <c r="J3547">
        <v>0</v>
      </c>
      <c r="K3547">
        <v>1</v>
      </c>
      <c r="L3547">
        <v>2</v>
      </c>
      <c r="M3547">
        <v>106</v>
      </c>
      <c r="N3547">
        <v>484</v>
      </c>
      <c r="O3547">
        <v>3</v>
      </c>
      <c r="P3547" t="s">
        <v>315</v>
      </c>
      <c r="Q3547">
        <v>5</v>
      </c>
      <c r="R3547">
        <v>169</v>
      </c>
      <c r="S3547">
        <v>12</v>
      </c>
      <c r="T3547">
        <v>13</v>
      </c>
      <c r="U3547">
        <v>10</v>
      </c>
      <c r="V3547">
        <v>6</v>
      </c>
      <c r="W3547">
        <v>0</v>
      </c>
      <c r="X3547">
        <v>6</v>
      </c>
      <c r="Y3547">
        <v>217</v>
      </c>
      <c r="Z3547">
        <v>1</v>
      </c>
      <c r="AA3547">
        <v>1</v>
      </c>
      <c r="AB3547">
        <v>1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4</v>
      </c>
      <c r="AI3547">
        <v>0</v>
      </c>
      <c r="AJ3547">
        <v>0</v>
      </c>
      <c r="AK3547">
        <v>1</v>
      </c>
      <c r="AL3547">
        <v>2</v>
      </c>
      <c r="AM3547">
        <v>0</v>
      </c>
      <c r="AN3547">
        <v>0</v>
      </c>
      <c r="AT3547">
        <v>0</v>
      </c>
      <c r="AU3547">
        <v>36</v>
      </c>
      <c r="AV3547" t="s">
        <v>100</v>
      </c>
      <c r="AW3547">
        <v>484</v>
      </c>
      <c r="AX3547">
        <v>568</v>
      </c>
      <c r="BA3547">
        <v>1</v>
      </c>
      <c r="BC3547" t="s">
        <v>7199</v>
      </c>
      <c r="BD3547" s="4">
        <v>43283.288888888892</v>
      </c>
      <c r="BE3547" s="4">
        <v>43283.325844907406</v>
      </c>
      <c r="BF3547" s="4">
        <v>43283.325844907406</v>
      </c>
      <c r="BG3547" t="s">
        <v>83</v>
      </c>
      <c r="BH3547" t="s">
        <v>84</v>
      </c>
      <c r="BI3547" t="s">
        <v>85</v>
      </c>
    </row>
    <row r="3548" spans="1:61" x14ac:dyDescent="0.3">
      <c r="A3548" t="str">
        <f>"200792C0100"</f>
        <v>200792C0100</v>
      </c>
      <c r="B3548" t="s">
        <v>7200</v>
      </c>
      <c r="C3548">
        <v>20</v>
      </c>
      <c r="D3548" t="s">
        <v>79</v>
      </c>
      <c r="E3548">
        <v>17</v>
      </c>
      <c r="F3548" t="s">
        <v>7160</v>
      </c>
      <c r="G3548">
        <v>792</v>
      </c>
      <c r="H3548">
        <v>1</v>
      </c>
      <c r="I3548" t="s">
        <v>89</v>
      </c>
      <c r="J3548">
        <v>0</v>
      </c>
      <c r="K3548">
        <v>1</v>
      </c>
      <c r="L3548">
        <v>2</v>
      </c>
      <c r="M3548">
        <v>85</v>
      </c>
      <c r="N3548">
        <v>504</v>
      </c>
      <c r="O3548">
        <v>0</v>
      </c>
      <c r="P3548">
        <v>504</v>
      </c>
      <c r="Q3548">
        <v>2</v>
      </c>
      <c r="R3548">
        <v>133</v>
      </c>
      <c r="S3548">
        <v>6</v>
      </c>
      <c r="T3548">
        <v>12</v>
      </c>
      <c r="U3548">
        <v>21</v>
      </c>
      <c r="V3548">
        <v>4</v>
      </c>
      <c r="W3548">
        <v>2</v>
      </c>
      <c r="X3548">
        <v>2</v>
      </c>
      <c r="Y3548">
        <v>274</v>
      </c>
      <c r="Z3548">
        <v>10</v>
      </c>
      <c r="AA3548">
        <v>2</v>
      </c>
      <c r="AB3548">
        <v>5</v>
      </c>
      <c r="AC3548">
        <v>0</v>
      </c>
      <c r="AD3548">
        <v>0</v>
      </c>
      <c r="AE3548">
        <v>0</v>
      </c>
      <c r="AF3548">
        <v>0</v>
      </c>
      <c r="AG3548">
        <v>2</v>
      </c>
      <c r="AH3548">
        <v>4</v>
      </c>
      <c r="AI3548">
        <v>0</v>
      </c>
      <c r="AJ3548">
        <v>0</v>
      </c>
      <c r="AK3548">
        <v>2</v>
      </c>
      <c r="AL3548">
        <v>1</v>
      </c>
      <c r="AM3548">
        <v>0</v>
      </c>
      <c r="AN3548">
        <v>0</v>
      </c>
      <c r="AT3548">
        <v>0</v>
      </c>
      <c r="AU3548">
        <v>22</v>
      </c>
      <c r="AV3548">
        <v>504</v>
      </c>
      <c r="AW3548">
        <v>504</v>
      </c>
      <c r="AX3548">
        <v>567</v>
      </c>
      <c r="BA3548">
        <v>1</v>
      </c>
      <c r="BC3548" t="s">
        <v>7201</v>
      </c>
      <c r="BD3548" s="4">
        <v>43283.15047453704</v>
      </c>
      <c r="BE3548" s="4">
        <v>43283.157777777778</v>
      </c>
      <c r="BF3548" s="4">
        <v>43283.157777777778</v>
      </c>
      <c r="BG3548" t="s">
        <v>373</v>
      </c>
      <c r="BH3548" t="s">
        <v>374</v>
      </c>
      <c r="BI3548" t="s">
        <v>85</v>
      </c>
    </row>
    <row r="3549" spans="1:61" x14ac:dyDescent="0.3">
      <c r="A3549" t="str">
        <f>"200793B0100"</f>
        <v>200793B0100</v>
      </c>
      <c r="B3549" t="s">
        <v>7202</v>
      </c>
      <c r="C3549">
        <v>20</v>
      </c>
      <c r="D3549" t="s">
        <v>79</v>
      </c>
      <c r="E3549">
        <v>17</v>
      </c>
      <c r="F3549" t="s">
        <v>7160</v>
      </c>
      <c r="G3549">
        <v>793</v>
      </c>
      <c r="H3549">
        <v>1</v>
      </c>
      <c r="I3549" t="s">
        <v>81</v>
      </c>
      <c r="J3549">
        <v>0</v>
      </c>
      <c r="K3549">
        <v>1</v>
      </c>
      <c r="L3549">
        <v>2</v>
      </c>
      <c r="M3549">
        <v>98</v>
      </c>
      <c r="N3549">
        <v>473</v>
      </c>
      <c r="O3549">
        <v>0</v>
      </c>
      <c r="P3549">
        <v>470</v>
      </c>
      <c r="Q3549">
        <v>2</v>
      </c>
      <c r="R3549">
        <v>118</v>
      </c>
      <c r="S3549">
        <v>9</v>
      </c>
      <c r="T3549">
        <v>8</v>
      </c>
      <c r="U3549">
        <v>19</v>
      </c>
      <c r="V3549">
        <v>6</v>
      </c>
      <c r="W3549">
        <v>0</v>
      </c>
      <c r="X3549">
        <v>0</v>
      </c>
      <c r="Y3549">
        <v>261</v>
      </c>
      <c r="Z3549">
        <v>10</v>
      </c>
      <c r="AA3549">
        <v>2</v>
      </c>
      <c r="AB3549">
        <v>4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3</v>
      </c>
      <c r="AL3549">
        <v>2</v>
      </c>
      <c r="AM3549">
        <v>0</v>
      </c>
      <c r="AN3549">
        <v>1</v>
      </c>
      <c r="AT3549">
        <v>0</v>
      </c>
      <c r="AU3549">
        <v>28</v>
      </c>
      <c r="AV3549">
        <v>473</v>
      </c>
      <c r="AW3549">
        <v>473</v>
      </c>
      <c r="AX3549">
        <v>549</v>
      </c>
      <c r="BA3549">
        <v>1</v>
      </c>
      <c r="BC3549" t="s">
        <v>7203</v>
      </c>
      <c r="BD3549" s="4">
        <v>43283.288888888892</v>
      </c>
      <c r="BE3549" s="4">
        <v>43283.321493055555</v>
      </c>
      <c r="BF3549" s="4">
        <v>43283.321493055555</v>
      </c>
      <c r="BG3549" t="s">
        <v>83</v>
      </c>
      <c r="BH3549" t="s">
        <v>84</v>
      </c>
      <c r="BI3549" t="s">
        <v>85</v>
      </c>
    </row>
    <row r="3550" spans="1:61" x14ac:dyDescent="0.3">
      <c r="A3550" t="str">
        <f>"200793C0100"</f>
        <v>200793C0100</v>
      </c>
      <c r="B3550" t="s">
        <v>7204</v>
      </c>
      <c r="C3550">
        <v>20</v>
      </c>
      <c r="D3550" t="s">
        <v>79</v>
      </c>
      <c r="E3550">
        <v>17</v>
      </c>
      <c r="F3550" t="s">
        <v>7160</v>
      </c>
      <c r="G3550">
        <v>793</v>
      </c>
      <c r="H3550">
        <v>1</v>
      </c>
      <c r="I3550" t="s">
        <v>89</v>
      </c>
      <c r="J3550">
        <v>0</v>
      </c>
      <c r="K3550">
        <v>1</v>
      </c>
      <c r="L3550">
        <v>2</v>
      </c>
      <c r="M3550">
        <v>86</v>
      </c>
      <c r="N3550">
        <v>485</v>
      </c>
      <c r="O3550">
        <v>0</v>
      </c>
      <c r="P3550">
        <v>485</v>
      </c>
      <c r="Q3550">
        <v>7</v>
      </c>
      <c r="R3550">
        <v>114</v>
      </c>
      <c r="S3550">
        <v>5</v>
      </c>
      <c r="T3550">
        <v>10</v>
      </c>
      <c r="U3550">
        <v>23</v>
      </c>
      <c r="V3550">
        <v>5</v>
      </c>
      <c r="W3550">
        <v>3</v>
      </c>
      <c r="X3550">
        <v>0</v>
      </c>
      <c r="Y3550">
        <v>285</v>
      </c>
      <c r="Z3550">
        <v>5</v>
      </c>
      <c r="AA3550">
        <v>2</v>
      </c>
      <c r="AB3550">
        <v>4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4</v>
      </c>
      <c r="AI3550">
        <v>0</v>
      </c>
      <c r="AJ3550">
        <v>0</v>
      </c>
      <c r="AK3550">
        <v>1</v>
      </c>
      <c r="AL3550">
        <v>2</v>
      </c>
      <c r="AM3550">
        <v>0</v>
      </c>
      <c r="AN3550">
        <v>0</v>
      </c>
      <c r="AT3550">
        <v>0</v>
      </c>
      <c r="AU3550">
        <v>15</v>
      </c>
      <c r="AV3550">
        <v>485</v>
      </c>
      <c r="AW3550">
        <v>485</v>
      </c>
      <c r="AX3550">
        <v>549</v>
      </c>
      <c r="BA3550">
        <v>1</v>
      </c>
      <c r="BC3550" t="s">
        <v>7205</v>
      </c>
      <c r="BD3550" s="4">
        <v>43283.113182870373</v>
      </c>
      <c r="BE3550" s="4">
        <v>43283.118969907409</v>
      </c>
      <c r="BF3550" s="4">
        <v>43283.118969907409</v>
      </c>
      <c r="BG3550" t="s">
        <v>373</v>
      </c>
      <c r="BH3550" t="s">
        <v>374</v>
      </c>
      <c r="BI3550" t="s">
        <v>85</v>
      </c>
    </row>
    <row r="3551" spans="1:61" x14ac:dyDescent="0.3">
      <c r="A3551" t="str">
        <f>"200803B0100"</f>
        <v>200803B0100</v>
      </c>
      <c r="B3551" t="s">
        <v>7206</v>
      </c>
      <c r="C3551">
        <v>20</v>
      </c>
      <c r="D3551" t="s">
        <v>79</v>
      </c>
      <c r="E3551">
        <v>17</v>
      </c>
      <c r="F3551" t="s">
        <v>7160</v>
      </c>
      <c r="G3551">
        <v>803</v>
      </c>
      <c r="H3551">
        <v>1</v>
      </c>
      <c r="I3551" t="s">
        <v>81</v>
      </c>
      <c r="J3551">
        <v>0</v>
      </c>
      <c r="K3551">
        <v>2</v>
      </c>
      <c r="L3551">
        <v>2</v>
      </c>
      <c r="M3551">
        <v>202</v>
      </c>
      <c r="N3551">
        <v>328</v>
      </c>
      <c r="O3551">
        <v>0</v>
      </c>
      <c r="P3551">
        <v>328</v>
      </c>
      <c r="Q3551">
        <v>31</v>
      </c>
      <c r="R3551">
        <v>40</v>
      </c>
      <c r="S3551">
        <v>10</v>
      </c>
      <c r="T3551">
        <v>14</v>
      </c>
      <c r="U3551">
        <v>61</v>
      </c>
      <c r="V3551">
        <v>6</v>
      </c>
      <c r="W3551">
        <v>1</v>
      </c>
      <c r="X3551">
        <v>6</v>
      </c>
      <c r="Y3551">
        <v>118</v>
      </c>
      <c r="Z3551">
        <v>14</v>
      </c>
      <c r="AA3551">
        <v>1</v>
      </c>
      <c r="AB3551">
        <v>9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6</v>
      </c>
      <c r="AL3551">
        <v>3</v>
      </c>
      <c r="AM3551">
        <v>0</v>
      </c>
      <c r="AN3551">
        <v>0</v>
      </c>
      <c r="AT3551">
        <v>0</v>
      </c>
      <c r="AU3551">
        <v>8</v>
      </c>
      <c r="AV3551">
        <v>328</v>
      </c>
      <c r="AW3551">
        <v>328</v>
      </c>
      <c r="AX3551">
        <v>508</v>
      </c>
      <c r="BA3551">
        <v>1</v>
      </c>
      <c r="BC3551" t="s">
        <v>7207</v>
      </c>
      <c r="BD3551" s="4">
        <v>43283.589583333334</v>
      </c>
      <c r="BE3551" s="4">
        <v>43283.59479166667</v>
      </c>
      <c r="BF3551" s="4">
        <v>43283.59479166667</v>
      </c>
      <c r="BG3551" t="s">
        <v>83</v>
      </c>
      <c r="BH3551" t="s">
        <v>84</v>
      </c>
      <c r="BI3551" t="s">
        <v>85</v>
      </c>
    </row>
    <row r="3552" spans="1:61" x14ac:dyDescent="0.3">
      <c r="A3552" t="str">
        <f>"200809B0100"</f>
        <v>200809B0100</v>
      </c>
      <c r="B3552" t="s">
        <v>7208</v>
      </c>
      <c r="C3552">
        <v>20</v>
      </c>
      <c r="D3552" t="s">
        <v>79</v>
      </c>
      <c r="E3552">
        <v>17</v>
      </c>
      <c r="F3552" t="s">
        <v>7160</v>
      </c>
      <c r="G3552">
        <v>809</v>
      </c>
      <c r="H3552">
        <v>1</v>
      </c>
      <c r="I3552" t="s">
        <v>81</v>
      </c>
      <c r="J3552">
        <v>0</v>
      </c>
      <c r="K3552">
        <v>1</v>
      </c>
      <c r="L3552">
        <v>2</v>
      </c>
      <c r="M3552">
        <v>520</v>
      </c>
      <c r="N3552">
        <v>211</v>
      </c>
      <c r="O3552">
        <v>1</v>
      </c>
      <c r="P3552">
        <v>211</v>
      </c>
      <c r="Q3552">
        <v>10</v>
      </c>
      <c r="R3552">
        <v>41</v>
      </c>
      <c r="S3552">
        <v>7</v>
      </c>
      <c r="T3552">
        <v>2</v>
      </c>
      <c r="U3552">
        <v>24</v>
      </c>
      <c r="V3552">
        <v>4</v>
      </c>
      <c r="W3552">
        <v>0</v>
      </c>
      <c r="X3552">
        <v>4</v>
      </c>
      <c r="Y3552">
        <v>96</v>
      </c>
      <c r="Z3552">
        <v>6</v>
      </c>
      <c r="AA3552">
        <v>0</v>
      </c>
      <c r="AB3552">
        <v>3</v>
      </c>
      <c r="AC3552">
        <v>0</v>
      </c>
      <c r="AD3552">
        <v>0</v>
      </c>
      <c r="AE3552">
        <v>0</v>
      </c>
      <c r="AF3552">
        <v>0</v>
      </c>
      <c r="AG3552">
        <v>1</v>
      </c>
      <c r="AH3552">
        <v>0</v>
      </c>
      <c r="AI3552">
        <v>0</v>
      </c>
      <c r="AJ3552">
        <v>1</v>
      </c>
      <c r="AK3552">
        <v>0</v>
      </c>
      <c r="AL3552">
        <v>2</v>
      </c>
      <c r="AM3552">
        <v>0</v>
      </c>
      <c r="AN3552">
        <v>0</v>
      </c>
      <c r="AT3552">
        <v>0</v>
      </c>
      <c r="AU3552">
        <v>10</v>
      </c>
      <c r="AV3552">
        <v>211</v>
      </c>
      <c r="AW3552">
        <v>211</v>
      </c>
      <c r="AX3552">
        <v>709</v>
      </c>
      <c r="BA3552">
        <v>1</v>
      </c>
      <c r="BC3552" t="s">
        <v>7209</v>
      </c>
      <c r="BD3552" s="4">
        <v>43283.082638888889</v>
      </c>
      <c r="BE3552" s="4">
        <v>43283.089479166665</v>
      </c>
      <c r="BF3552" s="4">
        <v>43283.089479166665</v>
      </c>
      <c r="BG3552" t="s">
        <v>83</v>
      </c>
      <c r="BH3552" t="s">
        <v>84</v>
      </c>
      <c r="BI3552" t="s">
        <v>85</v>
      </c>
    </row>
    <row r="3553" spans="1:61" x14ac:dyDescent="0.3">
      <c r="A3553" t="str">
        <f>"200809C0100"</f>
        <v>200809C0100</v>
      </c>
      <c r="B3553" t="s">
        <v>7210</v>
      </c>
      <c r="C3553">
        <v>20</v>
      </c>
      <c r="D3553" t="s">
        <v>79</v>
      </c>
      <c r="E3553">
        <v>17</v>
      </c>
      <c r="F3553" t="s">
        <v>7160</v>
      </c>
      <c r="G3553">
        <v>809</v>
      </c>
      <c r="H3553">
        <v>1</v>
      </c>
      <c r="I3553" t="s">
        <v>89</v>
      </c>
      <c r="J3553">
        <v>0</v>
      </c>
      <c r="K3553">
        <v>1</v>
      </c>
      <c r="L3553">
        <v>2</v>
      </c>
      <c r="M3553">
        <v>518</v>
      </c>
      <c r="N3553">
        <v>213</v>
      </c>
      <c r="O3553">
        <v>0</v>
      </c>
      <c r="P3553">
        <v>0</v>
      </c>
      <c r="Q3553">
        <v>14</v>
      </c>
      <c r="R3553">
        <v>33</v>
      </c>
      <c r="S3553">
        <v>8</v>
      </c>
      <c r="T3553">
        <v>5</v>
      </c>
      <c r="U3553">
        <v>28</v>
      </c>
      <c r="V3553">
        <v>3</v>
      </c>
      <c r="W3553">
        <v>4</v>
      </c>
      <c r="X3553">
        <v>5</v>
      </c>
      <c r="Y3553">
        <v>84</v>
      </c>
      <c r="Z3553">
        <v>4</v>
      </c>
      <c r="AA3553">
        <v>0</v>
      </c>
      <c r="AB3553">
        <v>5</v>
      </c>
      <c r="AC3553">
        <v>0</v>
      </c>
      <c r="AD3553">
        <v>0</v>
      </c>
      <c r="AE3553">
        <v>0</v>
      </c>
      <c r="AF3553">
        <v>0</v>
      </c>
      <c r="AG3553">
        <v>1</v>
      </c>
      <c r="AH3553">
        <v>1</v>
      </c>
      <c r="AI3553">
        <v>0</v>
      </c>
      <c r="AJ3553">
        <v>0</v>
      </c>
      <c r="AK3553">
        <v>0</v>
      </c>
      <c r="AL3553">
        <v>2</v>
      </c>
      <c r="AM3553">
        <v>0</v>
      </c>
      <c r="AN3553">
        <v>1</v>
      </c>
      <c r="AT3553">
        <v>0</v>
      </c>
      <c r="AU3553">
        <v>15</v>
      </c>
      <c r="AV3553">
        <v>213</v>
      </c>
      <c r="AW3553">
        <v>213</v>
      </c>
      <c r="AX3553">
        <v>709</v>
      </c>
      <c r="BA3553">
        <v>1</v>
      </c>
      <c r="BC3553" t="s">
        <v>7211</v>
      </c>
      <c r="BD3553" s="4">
        <v>43283.082638888889</v>
      </c>
      <c r="BE3553" s="4">
        <v>43283.08934027778</v>
      </c>
      <c r="BF3553" s="4">
        <v>43283.08934027778</v>
      </c>
      <c r="BG3553" t="s">
        <v>83</v>
      </c>
      <c r="BH3553" t="s">
        <v>84</v>
      </c>
      <c r="BI3553" t="s">
        <v>85</v>
      </c>
    </row>
    <row r="3554" spans="1:61" x14ac:dyDescent="0.3">
      <c r="A3554" t="str">
        <f>"200809C0200"</f>
        <v>200809C0200</v>
      </c>
      <c r="B3554" t="s">
        <v>7212</v>
      </c>
      <c r="C3554">
        <v>20</v>
      </c>
      <c r="D3554" t="s">
        <v>79</v>
      </c>
      <c r="E3554">
        <v>17</v>
      </c>
      <c r="F3554" t="s">
        <v>7160</v>
      </c>
      <c r="G3554">
        <v>809</v>
      </c>
      <c r="H3554">
        <v>2</v>
      </c>
      <c r="I3554" t="s">
        <v>89</v>
      </c>
      <c r="J3554">
        <v>0</v>
      </c>
      <c r="K3554">
        <v>1</v>
      </c>
      <c r="L3554">
        <v>2</v>
      </c>
      <c r="M3554">
        <v>538</v>
      </c>
      <c r="N3554">
        <v>193</v>
      </c>
      <c r="O3554">
        <v>0</v>
      </c>
      <c r="P3554">
        <v>193</v>
      </c>
      <c r="Q3554">
        <v>12</v>
      </c>
      <c r="R3554">
        <v>38</v>
      </c>
      <c r="S3554">
        <v>8</v>
      </c>
      <c r="T3554">
        <v>7</v>
      </c>
      <c r="U3554">
        <v>25</v>
      </c>
      <c r="V3554">
        <v>6</v>
      </c>
      <c r="W3554">
        <v>2</v>
      </c>
      <c r="X3554">
        <v>2</v>
      </c>
      <c r="Y3554">
        <v>66</v>
      </c>
      <c r="Z3554">
        <v>1</v>
      </c>
      <c r="AA3554">
        <v>1</v>
      </c>
      <c r="AB3554">
        <v>7</v>
      </c>
      <c r="AC3554">
        <v>1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5</v>
      </c>
      <c r="AL3554">
        <v>0</v>
      </c>
      <c r="AM3554">
        <v>0</v>
      </c>
      <c r="AN3554">
        <v>0</v>
      </c>
      <c r="AT3554">
        <v>0</v>
      </c>
      <c r="AU3554">
        <v>12</v>
      </c>
      <c r="AV3554">
        <v>193</v>
      </c>
      <c r="AW3554">
        <v>193</v>
      </c>
      <c r="AX3554">
        <v>709</v>
      </c>
      <c r="BA3554">
        <v>1</v>
      </c>
      <c r="BC3554" s="2" t="s">
        <v>7213</v>
      </c>
      <c r="BD3554" s="4">
        <v>43283.082638888889</v>
      </c>
      <c r="BE3554" s="4">
        <v>43283.095393518517</v>
      </c>
      <c r="BF3554" s="4">
        <v>43283.095393518517</v>
      </c>
      <c r="BG3554" t="s">
        <v>83</v>
      </c>
      <c r="BH3554" t="s">
        <v>84</v>
      </c>
      <c r="BI3554" t="s">
        <v>85</v>
      </c>
    </row>
    <row r="3555" spans="1:61" x14ac:dyDescent="0.3">
      <c r="A3555" t="str">
        <f>"200820B0100"</f>
        <v>200820B0100</v>
      </c>
      <c r="B3555" t="s">
        <v>7214</v>
      </c>
      <c r="C3555">
        <v>20</v>
      </c>
      <c r="D3555" t="s">
        <v>79</v>
      </c>
      <c r="E3555">
        <v>17</v>
      </c>
      <c r="F3555" t="s">
        <v>7160</v>
      </c>
      <c r="G3555">
        <v>820</v>
      </c>
      <c r="H3555">
        <v>1</v>
      </c>
      <c r="I3555" t="s">
        <v>81</v>
      </c>
      <c r="J3555">
        <v>0</v>
      </c>
      <c r="K3555">
        <v>2</v>
      </c>
      <c r="L3555">
        <v>2</v>
      </c>
      <c r="M3555">
        <v>201</v>
      </c>
      <c r="N3555">
        <v>197</v>
      </c>
      <c r="O3555">
        <v>0</v>
      </c>
      <c r="P3555">
        <v>197</v>
      </c>
      <c r="Q3555">
        <v>15</v>
      </c>
      <c r="R3555">
        <v>36</v>
      </c>
      <c r="S3555">
        <v>4</v>
      </c>
      <c r="T3555">
        <v>4</v>
      </c>
      <c r="U3555">
        <v>8</v>
      </c>
      <c r="V3555">
        <v>1</v>
      </c>
      <c r="W3555">
        <v>1</v>
      </c>
      <c r="X3555">
        <v>1</v>
      </c>
      <c r="Y3555">
        <v>62</v>
      </c>
      <c r="Z3555">
        <v>0</v>
      </c>
      <c r="AA3555">
        <v>0</v>
      </c>
      <c r="AB3555">
        <v>52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1</v>
      </c>
      <c r="AI3555">
        <v>0</v>
      </c>
      <c r="AJ3555">
        <v>1</v>
      </c>
      <c r="AK3555">
        <v>0</v>
      </c>
      <c r="AL3555">
        <v>1</v>
      </c>
      <c r="AM3555">
        <v>0</v>
      </c>
      <c r="AN3555">
        <v>0</v>
      </c>
      <c r="AT3555">
        <v>0</v>
      </c>
      <c r="AU3555">
        <v>10</v>
      </c>
      <c r="AV3555">
        <v>197</v>
      </c>
      <c r="AW3555">
        <v>197</v>
      </c>
      <c r="AX3555">
        <v>376</v>
      </c>
      <c r="BA3555">
        <v>1</v>
      </c>
      <c r="BC3555" t="s">
        <v>7215</v>
      </c>
      <c r="BD3555" s="4">
        <v>43283.34652777778</v>
      </c>
      <c r="BE3555" s="4">
        <v>43283.365706018521</v>
      </c>
      <c r="BF3555" s="4">
        <v>43283.365706018521</v>
      </c>
      <c r="BG3555" t="s">
        <v>83</v>
      </c>
      <c r="BH3555" t="s">
        <v>84</v>
      </c>
      <c r="BI3555" t="s">
        <v>85</v>
      </c>
    </row>
    <row r="3556" spans="1:61" x14ac:dyDescent="0.3">
      <c r="A3556" t="str">
        <f>"200820C0100"</f>
        <v>200820C0100</v>
      </c>
      <c r="B3556" t="s">
        <v>7216</v>
      </c>
      <c r="C3556">
        <v>20</v>
      </c>
      <c r="D3556" t="s">
        <v>79</v>
      </c>
      <c r="E3556">
        <v>17</v>
      </c>
      <c r="F3556" t="s">
        <v>7160</v>
      </c>
      <c r="G3556">
        <v>820</v>
      </c>
      <c r="H3556">
        <v>1</v>
      </c>
      <c r="I3556" t="s">
        <v>89</v>
      </c>
      <c r="J3556">
        <v>0</v>
      </c>
      <c r="K3556">
        <v>2</v>
      </c>
      <c r="L3556">
        <v>2</v>
      </c>
      <c r="M3556">
        <v>213</v>
      </c>
      <c r="N3556">
        <v>184</v>
      </c>
      <c r="O3556">
        <v>0</v>
      </c>
      <c r="P3556">
        <v>184</v>
      </c>
      <c r="Q3556">
        <v>13</v>
      </c>
      <c r="R3556">
        <v>15</v>
      </c>
      <c r="S3556">
        <v>5</v>
      </c>
      <c r="T3556">
        <v>4</v>
      </c>
      <c r="U3556">
        <v>12</v>
      </c>
      <c r="V3556">
        <v>2</v>
      </c>
      <c r="W3556">
        <v>0</v>
      </c>
      <c r="X3556">
        <v>1</v>
      </c>
      <c r="Y3556">
        <v>58</v>
      </c>
      <c r="Z3556">
        <v>5</v>
      </c>
      <c r="AA3556">
        <v>0</v>
      </c>
      <c r="AB3556">
        <v>56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1</v>
      </c>
      <c r="AK3556">
        <v>4</v>
      </c>
      <c r="AL3556">
        <v>1</v>
      </c>
      <c r="AM3556">
        <v>0</v>
      </c>
      <c r="AN3556">
        <v>0</v>
      </c>
      <c r="AT3556" t="s">
        <v>100</v>
      </c>
      <c r="AU3556">
        <v>7</v>
      </c>
      <c r="AV3556">
        <v>184</v>
      </c>
      <c r="AW3556">
        <v>184</v>
      </c>
      <c r="AX3556">
        <v>375</v>
      </c>
      <c r="AZ3556" t="s">
        <v>101</v>
      </c>
      <c r="BA3556">
        <v>1</v>
      </c>
      <c r="BC3556" t="s">
        <v>7217</v>
      </c>
      <c r="BD3556" s="4">
        <v>43283.34652777778</v>
      </c>
      <c r="BE3556" s="4">
        <v>43283.369687500002</v>
      </c>
      <c r="BF3556" s="4">
        <v>43283.369687500002</v>
      </c>
      <c r="BG3556" t="s">
        <v>83</v>
      </c>
      <c r="BH3556" t="s">
        <v>84</v>
      </c>
      <c r="BI3556" t="s">
        <v>85</v>
      </c>
    </row>
    <row r="3557" spans="1:61" x14ac:dyDescent="0.3">
      <c r="A3557" t="str">
        <f>"200821B0100"</f>
        <v>200821B0100</v>
      </c>
      <c r="B3557" t="s">
        <v>7218</v>
      </c>
      <c r="C3557">
        <v>20</v>
      </c>
      <c r="D3557" t="s">
        <v>79</v>
      </c>
      <c r="E3557">
        <v>17</v>
      </c>
      <c r="F3557" t="s">
        <v>7160</v>
      </c>
      <c r="G3557">
        <v>821</v>
      </c>
      <c r="H3557">
        <v>1</v>
      </c>
      <c r="I3557" t="s">
        <v>81</v>
      </c>
      <c r="J3557">
        <v>0</v>
      </c>
      <c r="K3557">
        <v>2</v>
      </c>
      <c r="L3557">
        <v>2</v>
      </c>
      <c r="M3557">
        <v>289</v>
      </c>
      <c r="N3557">
        <v>228</v>
      </c>
      <c r="O3557">
        <v>0</v>
      </c>
      <c r="P3557">
        <v>517</v>
      </c>
      <c r="Q3557">
        <v>0</v>
      </c>
      <c r="R3557">
        <v>0</v>
      </c>
      <c r="S3557">
        <v>0</v>
      </c>
      <c r="T3557">
        <v>0</v>
      </c>
      <c r="U3557">
        <v>72</v>
      </c>
      <c r="V3557">
        <v>0</v>
      </c>
      <c r="W3557">
        <v>0</v>
      </c>
      <c r="X3557">
        <v>1</v>
      </c>
      <c r="Y3557">
        <v>135</v>
      </c>
      <c r="Z3557">
        <v>5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2</v>
      </c>
      <c r="AN3557">
        <v>0</v>
      </c>
      <c r="AT3557">
        <v>0</v>
      </c>
      <c r="AU3557">
        <v>15</v>
      </c>
      <c r="AV3557">
        <v>0</v>
      </c>
      <c r="AW3557">
        <v>230</v>
      </c>
      <c r="AX3557">
        <v>496</v>
      </c>
      <c r="BA3557">
        <v>1</v>
      </c>
      <c r="BC3557" t="s">
        <v>7219</v>
      </c>
      <c r="BD3557" s="4">
        <v>43283.580555555556</v>
      </c>
      <c r="BE3557" s="4">
        <v>43283.684641203705</v>
      </c>
      <c r="BF3557" s="4">
        <v>43283.684641203705</v>
      </c>
      <c r="BG3557" t="s">
        <v>83</v>
      </c>
      <c r="BH3557" t="s">
        <v>84</v>
      </c>
      <c r="BI3557" t="s">
        <v>548</v>
      </c>
    </row>
    <row r="3558" spans="1:61" x14ac:dyDescent="0.3">
      <c r="A3558" t="str">
        <f>"200821C0100"</f>
        <v>200821C0100</v>
      </c>
      <c r="B3558" t="s">
        <v>7220</v>
      </c>
      <c r="C3558">
        <v>20</v>
      </c>
      <c r="D3558" t="s">
        <v>79</v>
      </c>
      <c r="E3558">
        <v>17</v>
      </c>
      <c r="F3558" t="s">
        <v>7160</v>
      </c>
      <c r="G3558">
        <v>821</v>
      </c>
      <c r="H3558">
        <v>1</v>
      </c>
      <c r="I3558" t="s">
        <v>89</v>
      </c>
      <c r="J3558">
        <v>0</v>
      </c>
      <c r="K3558">
        <v>2</v>
      </c>
      <c r="L3558">
        <v>2</v>
      </c>
      <c r="M3558">
        <v>252</v>
      </c>
      <c r="N3558">
        <v>266</v>
      </c>
      <c r="O3558">
        <v>0</v>
      </c>
      <c r="P3558" t="s">
        <v>100</v>
      </c>
      <c r="Q3558">
        <v>0</v>
      </c>
      <c r="R3558">
        <v>2</v>
      </c>
      <c r="S3558">
        <v>0</v>
      </c>
      <c r="T3558">
        <v>0</v>
      </c>
      <c r="U3558">
        <v>161</v>
      </c>
      <c r="V3558">
        <v>1</v>
      </c>
      <c r="W3558">
        <v>0</v>
      </c>
      <c r="X3558">
        <v>3</v>
      </c>
      <c r="Y3558">
        <v>81</v>
      </c>
      <c r="Z3558">
        <v>6</v>
      </c>
      <c r="AA3558">
        <v>0</v>
      </c>
      <c r="AB3558">
        <v>1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10</v>
      </c>
      <c r="AM3558">
        <v>0</v>
      </c>
      <c r="AN3558">
        <v>0</v>
      </c>
      <c r="AT3558">
        <v>0</v>
      </c>
      <c r="AU3558">
        <v>1</v>
      </c>
      <c r="AV3558" t="s">
        <v>100</v>
      </c>
      <c r="AW3558">
        <v>266</v>
      </c>
      <c r="AX3558">
        <v>496</v>
      </c>
      <c r="BA3558">
        <v>1</v>
      </c>
      <c r="BC3558" t="s">
        <v>7221</v>
      </c>
      <c r="BD3558" s="4">
        <v>43283.580555555556</v>
      </c>
      <c r="BE3558" s="4">
        <v>43283.588645833333</v>
      </c>
      <c r="BF3558" s="4">
        <v>43283.588645833333</v>
      </c>
      <c r="BG3558" t="s">
        <v>83</v>
      </c>
      <c r="BH3558" t="s">
        <v>84</v>
      </c>
      <c r="BI3558" t="s">
        <v>85</v>
      </c>
    </row>
    <row r="3559" spans="1:61" x14ac:dyDescent="0.3">
      <c r="A3559" t="str">
        <f>"200822B0100"</f>
        <v>200822B0100</v>
      </c>
      <c r="B3559" t="s">
        <v>7222</v>
      </c>
      <c r="C3559">
        <v>20</v>
      </c>
      <c r="D3559" t="s">
        <v>79</v>
      </c>
      <c r="E3559">
        <v>17</v>
      </c>
      <c r="F3559" t="s">
        <v>7160</v>
      </c>
      <c r="G3559">
        <v>822</v>
      </c>
      <c r="H3559">
        <v>1</v>
      </c>
      <c r="I3559" t="s">
        <v>81</v>
      </c>
      <c r="J3559">
        <v>0</v>
      </c>
      <c r="K3559">
        <v>2</v>
      </c>
      <c r="L3559">
        <v>2</v>
      </c>
      <c r="M3559">
        <v>180</v>
      </c>
      <c r="N3559">
        <v>149</v>
      </c>
      <c r="O3559">
        <v>0</v>
      </c>
      <c r="P3559">
        <v>149</v>
      </c>
      <c r="Q3559">
        <v>5</v>
      </c>
      <c r="R3559">
        <v>3</v>
      </c>
      <c r="S3559">
        <v>5</v>
      </c>
      <c r="T3559">
        <v>0</v>
      </c>
      <c r="U3559">
        <v>48</v>
      </c>
      <c r="V3559">
        <v>1</v>
      </c>
      <c r="W3559">
        <v>0</v>
      </c>
      <c r="X3559">
        <v>3</v>
      </c>
      <c r="Y3559">
        <v>54</v>
      </c>
      <c r="Z3559">
        <v>6</v>
      </c>
      <c r="AA3559">
        <v>0</v>
      </c>
      <c r="AB3559">
        <v>1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1</v>
      </c>
      <c r="AI3559">
        <v>0</v>
      </c>
      <c r="AJ3559">
        <v>0</v>
      </c>
      <c r="AK3559">
        <v>8</v>
      </c>
      <c r="AL3559">
        <v>2</v>
      </c>
      <c r="AM3559">
        <v>4</v>
      </c>
      <c r="AN3559">
        <v>1</v>
      </c>
      <c r="AT3559">
        <v>0</v>
      </c>
      <c r="AU3559">
        <v>7</v>
      </c>
      <c r="AV3559">
        <v>149</v>
      </c>
      <c r="AW3559">
        <v>149</v>
      </c>
      <c r="AX3559">
        <v>307</v>
      </c>
      <c r="BA3559">
        <v>1</v>
      </c>
      <c r="BC3559" t="s">
        <v>7223</v>
      </c>
      <c r="BD3559" s="4">
        <v>43283.34652777778</v>
      </c>
      <c r="BE3559" s="4">
        <v>43283.367673611108</v>
      </c>
      <c r="BF3559" s="4">
        <v>43283.367673611108</v>
      </c>
      <c r="BG3559" t="s">
        <v>83</v>
      </c>
      <c r="BH3559" t="s">
        <v>84</v>
      </c>
      <c r="BI3559" t="s">
        <v>85</v>
      </c>
    </row>
    <row r="3560" spans="1:61" x14ac:dyDescent="0.3">
      <c r="A3560" t="str">
        <f>"200823B0100"</f>
        <v>200823B0100</v>
      </c>
      <c r="B3560" t="s">
        <v>7224</v>
      </c>
      <c r="C3560">
        <v>20</v>
      </c>
      <c r="D3560" t="s">
        <v>79</v>
      </c>
      <c r="E3560">
        <v>17</v>
      </c>
      <c r="F3560" t="s">
        <v>7160</v>
      </c>
      <c r="G3560">
        <v>823</v>
      </c>
      <c r="H3560">
        <v>1</v>
      </c>
      <c r="I3560" t="s">
        <v>81</v>
      </c>
      <c r="J3560">
        <v>0</v>
      </c>
      <c r="K3560">
        <v>2</v>
      </c>
      <c r="L3560">
        <v>2</v>
      </c>
      <c r="AX3560">
        <v>612</v>
      </c>
      <c r="AZ3560" t="s">
        <v>156</v>
      </c>
      <c r="BA3560">
        <v>0</v>
      </c>
      <c r="BC3560" t="s">
        <v>7225</v>
      </c>
      <c r="BD3560" s="4">
        <v>43283.734722222223</v>
      </c>
      <c r="BE3560" s="4">
        <v>43283.738043981481</v>
      </c>
      <c r="BF3560" s="4">
        <v>43283.738043981481</v>
      </c>
      <c r="BG3560" t="s">
        <v>83</v>
      </c>
      <c r="BH3560" t="s">
        <v>84</v>
      </c>
      <c r="BI3560" t="s">
        <v>85</v>
      </c>
    </row>
    <row r="3561" spans="1:61" x14ac:dyDescent="0.3">
      <c r="A3561" t="str">
        <f>"200823E0100"</f>
        <v>200823E0100</v>
      </c>
      <c r="B3561" s="2" t="s">
        <v>7226</v>
      </c>
      <c r="C3561">
        <v>20</v>
      </c>
      <c r="D3561" t="s">
        <v>79</v>
      </c>
      <c r="E3561">
        <v>17</v>
      </c>
      <c r="F3561" t="s">
        <v>7160</v>
      </c>
      <c r="G3561">
        <v>823</v>
      </c>
      <c r="H3561">
        <v>1</v>
      </c>
      <c r="I3561" t="s">
        <v>145</v>
      </c>
      <c r="J3561">
        <v>0</v>
      </c>
      <c r="K3561">
        <v>2</v>
      </c>
      <c r="L3561">
        <v>2</v>
      </c>
      <c r="M3561">
        <v>128</v>
      </c>
      <c r="N3561">
        <v>172</v>
      </c>
      <c r="O3561">
        <v>0</v>
      </c>
      <c r="P3561">
        <v>172</v>
      </c>
      <c r="Q3561">
        <v>3</v>
      </c>
      <c r="R3561">
        <v>1</v>
      </c>
      <c r="S3561">
        <v>10</v>
      </c>
      <c r="T3561">
        <v>0</v>
      </c>
      <c r="U3561">
        <v>77</v>
      </c>
      <c r="V3561">
        <v>2</v>
      </c>
      <c r="W3561">
        <v>2</v>
      </c>
      <c r="X3561">
        <v>0</v>
      </c>
      <c r="Y3561">
        <v>40</v>
      </c>
      <c r="Z3561">
        <v>4</v>
      </c>
      <c r="AA3561">
        <v>1</v>
      </c>
      <c r="AB3561">
        <v>0</v>
      </c>
      <c r="AC3561">
        <v>1</v>
      </c>
      <c r="AD3561">
        <v>1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16</v>
      </c>
      <c r="AK3561">
        <v>2</v>
      </c>
      <c r="AL3561">
        <v>3</v>
      </c>
      <c r="AM3561">
        <v>1</v>
      </c>
      <c r="AN3561">
        <v>0</v>
      </c>
      <c r="AT3561">
        <v>0</v>
      </c>
      <c r="AU3561">
        <v>8</v>
      </c>
      <c r="AV3561">
        <v>172</v>
      </c>
      <c r="AW3561">
        <v>172</v>
      </c>
      <c r="AX3561">
        <v>278</v>
      </c>
      <c r="BA3561">
        <v>1</v>
      </c>
      <c r="BC3561" t="s">
        <v>7227</v>
      </c>
      <c r="BD3561" s="4">
        <v>43283.520833333336</v>
      </c>
      <c r="BE3561" s="4">
        <v>43283.527546296296</v>
      </c>
      <c r="BF3561" s="4">
        <v>43283.527546296296</v>
      </c>
      <c r="BG3561" t="s">
        <v>83</v>
      </c>
      <c r="BH3561" t="s">
        <v>84</v>
      </c>
      <c r="BI3561" t="s">
        <v>85</v>
      </c>
    </row>
    <row r="3562" spans="1:61" x14ac:dyDescent="0.3">
      <c r="A3562" t="str">
        <f>"200824B0100"</f>
        <v>200824B0100</v>
      </c>
      <c r="B3562" t="s">
        <v>7228</v>
      </c>
      <c r="C3562">
        <v>20</v>
      </c>
      <c r="D3562" t="s">
        <v>79</v>
      </c>
      <c r="E3562">
        <v>17</v>
      </c>
      <c r="F3562" t="s">
        <v>7160</v>
      </c>
      <c r="G3562">
        <v>824</v>
      </c>
      <c r="H3562">
        <v>1</v>
      </c>
      <c r="I3562" t="s">
        <v>81</v>
      </c>
      <c r="J3562">
        <v>0</v>
      </c>
      <c r="K3562">
        <v>2</v>
      </c>
      <c r="L3562">
        <v>2</v>
      </c>
      <c r="AX3562">
        <v>481</v>
      </c>
      <c r="AZ3562" t="s">
        <v>156</v>
      </c>
      <c r="BA3562">
        <v>0</v>
      </c>
      <c r="BC3562" t="s">
        <v>7229</v>
      </c>
      <c r="BD3562" s="4">
        <v>43283.734722222223</v>
      </c>
      <c r="BE3562" s="4">
        <v>43283.736793981479</v>
      </c>
      <c r="BF3562" s="4">
        <v>43283.736793981479</v>
      </c>
      <c r="BG3562" t="s">
        <v>83</v>
      </c>
      <c r="BH3562" t="s">
        <v>84</v>
      </c>
      <c r="BI3562" t="s">
        <v>85</v>
      </c>
    </row>
    <row r="3563" spans="1:61" x14ac:dyDescent="0.3">
      <c r="A3563" t="str">
        <f>"200824E0100"</f>
        <v>200824E0100</v>
      </c>
      <c r="B3563" s="2" t="s">
        <v>7230</v>
      </c>
      <c r="C3563">
        <v>20</v>
      </c>
      <c r="D3563" t="s">
        <v>79</v>
      </c>
      <c r="E3563">
        <v>17</v>
      </c>
      <c r="F3563" t="s">
        <v>7160</v>
      </c>
      <c r="G3563">
        <v>824</v>
      </c>
      <c r="H3563">
        <v>1</v>
      </c>
      <c r="I3563" t="s">
        <v>145</v>
      </c>
      <c r="J3563">
        <v>0</v>
      </c>
      <c r="K3563">
        <v>2</v>
      </c>
      <c r="L3563">
        <v>2</v>
      </c>
      <c r="M3563">
        <v>161</v>
      </c>
      <c r="N3563">
        <v>443</v>
      </c>
      <c r="O3563">
        <v>0</v>
      </c>
      <c r="P3563">
        <v>282</v>
      </c>
      <c r="Q3563">
        <v>5</v>
      </c>
      <c r="R3563">
        <v>132</v>
      </c>
      <c r="S3563">
        <v>9</v>
      </c>
      <c r="T3563">
        <v>4</v>
      </c>
      <c r="U3563">
        <v>46</v>
      </c>
      <c r="V3563">
        <v>1</v>
      </c>
      <c r="W3563">
        <v>3</v>
      </c>
      <c r="X3563">
        <v>2</v>
      </c>
      <c r="Y3563">
        <v>47</v>
      </c>
      <c r="Z3563">
        <v>3</v>
      </c>
      <c r="AA3563">
        <v>1</v>
      </c>
      <c r="AB3563">
        <v>1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3</v>
      </c>
      <c r="AI3563">
        <v>0</v>
      </c>
      <c r="AJ3563">
        <v>0</v>
      </c>
      <c r="AK3563">
        <v>6</v>
      </c>
      <c r="AL3563">
        <v>2</v>
      </c>
      <c r="AM3563">
        <v>1</v>
      </c>
      <c r="AN3563">
        <v>1</v>
      </c>
      <c r="AT3563">
        <v>0</v>
      </c>
      <c r="AU3563">
        <v>15</v>
      </c>
      <c r="AV3563">
        <v>282</v>
      </c>
      <c r="AW3563">
        <v>282</v>
      </c>
      <c r="AX3563">
        <v>421</v>
      </c>
      <c r="BA3563">
        <v>1</v>
      </c>
      <c r="BC3563" t="s">
        <v>7231</v>
      </c>
      <c r="BD3563" s="4">
        <v>43283.428472222222</v>
      </c>
      <c r="BE3563" s="4">
        <v>43283.433425925927</v>
      </c>
      <c r="BF3563" s="4">
        <v>43283.433425925927</v>
      </c>
      <c r="BG3563" t="s">
        <v>83</v>
      </c>
      <c r="BH3563" t="s">
        <v>84</v>
      </c>
      <c r="BI3563" t="s">
        <v>85</v>
      </c>
    </row>
    <row r="3564" spans="1:61" x14ac:dyDescent="0.3">
      <c r="A3564" t="str">
        <f>"200824E0200"</f>
        <v>200824E0200</v>
      </c>
      <c r="B3564" s="2" t="s">
        <v>7232</v>
      </c>
      <c r="C3564">
        <v>20</v>
      </c>
      <c r="D3564" t="s">
        <v>79</v>
      </c>
      <c r="E3564">
        <v>17</v>
      </c>
      <c r="F3564" t="s">
        <v>7160</v>
      </c>
      <c r="G3564">
        <v>824</v>
      </c>
      <c r="H3564">
        <v>2</v>
      </c>
      <c r="I3564" t="s">
        <v>145</v>
      </c>
      <c r="J3564">
        <v>0</v>
      </c>
      <c r="K3564">
        <v>2</v>
      </c>
      <c r="L3564">
        <v>2</v>
      </c>
      <c r="M3564">
        <v>90</v>
      </c>
      <c r="N3564" t="s">
        <v>100</v>
      </c>
      <c r="O3564">
        <v>0</v>
      </c>
      <c r="P3564" t="s">
        <v>100</v>
      </c>
      <c r="Q3564">
        <v>0</v>
      </c>
      <c r="R3564">
        <v>1</v>
      </c>
      <c r="S3564">
        <v>5</v>
      </c>
      <c r="T3564">
        <v>1</v>
      </c>
      <c r="U3564">
        <v>38</v>
      </c>
      <c r="V3564">
        <v>1</v>
      </c>
      <c r="W3564">
        <v>0</v>
      </c>
      <c r="X3564">
        <v>4</v>
      </c>
      <c r="Y3564">
        <v>80</v>
      </c>
      <c r="Z3564">
        <v>2</v>
      </c>
      <c r="AA3564">
        <v>0</v>
      </c>
      <c r="AB3564" t="s">
        <v>100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2</v>
      </c>
      <c r="AM3564">
        <v>0</v>
      </c>
      <c r="AN3564">
        <v>1</v>
      </c>
      <c r="AT3564">
        <v>0</v>
      </c>
      <c r="AU3564">
        <v>13</v>
      </c>
      <c r="AV3564" t="s">
        <v>100</v>
      </c>
      <c r="AW3564">
        <v>148</v>
      </c>
      <c r="AX3564">
        <v>216</v>
      </c>
      <c r="AZ3564" t="s">
        <v>101</v>
      </c>
      <c r="BA3564">
        <v>1</v>
      </c>
      <c r="BC3564" t="s">
        <v>7233</v>
      </c>
      <c r="BD3564" s="4">
        <v>43283.428472222222</v>
      </c>
      <c r="BE3564" s="4">
        <v>43283.435555555552</v>
      </c>
      <c r="BF3564" s="4">
        <v>43283.435555555552</v>
      </c>
      <c r="BG3564" t="s">
        <v>83</v>
      </c>
      <c r="BH3564" t="s">
        <v>84</v>
      </c>
      <c r="BI3564" t="s">
        <v>85</v>
      </c>
    </row>
    <row r="3565" spans="1:61" x14ac:dyDescent="0.3">
      <c r="A3565" t="str">
        <f>"200825B0100"</f>
        <v>200825B0100</v>
      </c>
      <c r="B3565" t="s">
        <v>7234</v>
      </c>
      <c r="C3565">
        <v>20</v>
      </c>
      <c r="D3565" t="s">
        <v>79</v>
      </c>
      <c r="E3565">
        <v>17</v>
      </c>
      <c r="F3565" t="s">
        <v>7160</v>
      </c>
      <c r="G3565">
        <v>825</v>
      </c>
      <c r="H3565">
        <v>1</v>
      </c>
      <c r="I3565" t="s">
        <v>81</v>
      </c>
      <c r="J3565">
        <v>0</v>
      </c>
      <c r="K3565">
        <v>2</v>
      </c>
      <c r="L3565">
        <v>2</v>
      </c>
      <c r="M3565">
        <v>149</v>
      </c>
      <c r="N3565">
        <v>315</v>
      </c>
      <c r="O3565" t="s">
        <v>100</v>
      </c>
      <c r="P3565">
        <v>164</v>
      </c>
      <c r="Q3565">
        <v>13</v>
      </c>
      <c r="R3565">
        <v>17</v>
      </c>
      <c r="S3565">
        <v>10</v>
      </c>
      <c r="T3565">
        <v>4</v>
      </c>
      <c r="U3565">
        <v>25</v>
      </c>
      <c r="V3565">
        <v>2</v>
      </c>
      <c r="W3565">
        <v>1</v>
      </c>
      <c r="X3565">
        <v>2</v>
      </c>
      <c r="Y3565">
        <v>67</v>
      </c>
      <c r="Z3565">
        <v>5</v>
      </c>
      <c r="AA3565" t="s">
        <v>100</v>
      </c>
      <c r="AB3565">
        <v>2</v>
      </c>
      <c r="AC3565" t="s">
        <v>100</v>
      </c>
      <c r="AD3565" t="s">
        <v>100</v>
      </c>
      <c r="AE3565" t="s">
        <v>100</v>
      </c>
      <c r="AF3565" t="s">
        <v>100</v>
      </c>
      <c r="AG3565" t="s">
        <v>100</v>
      </c>
      <c r="AH3565" t="s">
        <v>100</v>
      </c>
      <c r="AI3565" t="s">
        <v>100</v>
      </c>
      <c r="AJ3565" t="s">
        <v>100</v>
      </c>
      <c r="AK3565">
        <v>7</v>
      </c>
      <c r="AL3565" t="s">
        <v>100</v>
      </c>
      <c r="AM3565" t="s">
        <v>100</v>
      </c>
      <c r="AN3565" t="s">
        <v>100</v>
      </c>
      <c r="AT3565" t="s">
        <v>100</v>
      </c>
      <c r="AU3565" t="s">
        <v>315</v>
      </c>
      <c r="AV3565">
        <v>164</v>
      </c>
      <c r="AW3565">
        <v>155</v>
      </c>
      <c r="AX3565">
        <v>293</v>
      </c>
      <c r="AZ3565" t="s">
        <v>101</v>
      </c>
      <c r="BA3565">
        <v>1</v>
      </c>
      <c r="BC3565" t="s">
        <v>7235</v>
      </c>
      <c r="BD3565" s="4">
        <v>43283.428472222222</v>
      </c>
      <c r="BE3565" s="4">
        <v>43283.724861111114</v>
      </c>
      <c r="BF3565" s="4">
        <v>43283.724861111114</v>
      </c>
      <c r="BG3565" t="s">
        <v>83</v>
      </c>
      <c r="BH3565" t="s">
        <v>84</v>
      </c>
      <c r="BI3565" t="s">
        <v>85</v>
      </c>
    </row>
    <row r="3566" spans="1:61" x14ac:dyDescent="0.3">
      <c r="A3566" t="str">
        <f>"200825E0100"</f>
        <v>200825E0100</v>
      </c>
      <c r="B3566" s="2" t="s">
        <v>7236</v>
      </c>
      <c r="C3566">
        <v>20</v>
      </c>
      <c r="D3566" t="s">
        <v>79</v>
      </c>
      <c r="E3566">
        <v>17</v>
      </c>
      <c r="F3566" t="s">
        <v>7160</v>
      </c>
      <c r="G3566">
        <v>825</v>
      </c>
      <c r="H3566">
        <v>1</v>
      </c>
      <c r="I3566" t="s">
        <v>145</v>
      </c>
      <c r="J3566">
        <v>0</v>
      </c>
      <c r="K3566">
        <v>2</v>
      </c>
      <c r="L3566">
        <v>2</v>
      </c>
      <c r="M3566">
        <v>52</v>
      </c>
      <c r="N3566">
        <v>89</v>
      </c>
      <c r="O3566">
        <v>1</v>
      </c>
      <c r="P3566">
        <v>89</v>
      </c>
      <c r="Q3566">
        <v>2</v>
      </c>
      <c r="R3566">
        <v>1</v>
      </c>
      <c r="S3566">
        <v>2</v>
      </c>
      <c r="T3566">
        <v>0</v>
      </c>
      <c r="U3566">
        <v>16</v>
      </c>
      <c r="V3566">
        <v>2</v>
      </c>
      <c r="W3566">
        <v>0</v>
      </c>
      <c r="X3566">
        <v>0</v>
      </c>
      <c r="Y3566">
        <v>50</v>
      </c>
      <c r="Z3566">
        <v>5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6</v>
      </c>
      <c r="AL3566">
        <v>0</v>
      </c>
      <c r="AM3566">
        <v>0</v>
      </c>
      <c r="AN3566">
        <v>0</v>
      </c>
      <c r="AT3566">
        <v>0</v>
      </c>
      <c r="AU3566">
        <v>2</v>
      </c>
      <c r="AV3566">
        <v>89</v>
      </c>
      <c r="AW3566">
        <v>86</v>
      </c>
      <c r="AX3566">
        <v>119</v>
      </c>
      <c r="BA3566">
        <v>1</v>
      </c>
      <c r="BC3566" t="s">
        <v>7237</v>
      </c>
      <c r="BD3566" s="4">
        <v>43283.589583333334</v>
      </c>
      <c r="BE3566" s="4">
        <v>43283.595925925925</v>
      </c>
      <c r="BF3566" s="4">
        <v>43283.595925925925</v>
      </c>
      <c r="BG3566" t="s">
        <v>83</v>
      </c>
      <c r="BH3566" t="s">
        <v>84</v>
      </c>
      <c r="BI3566" t="s">
        <v>85</v>
      </c>
    </row>
    <row r="3567" spans="1:61" x14ac:dyDescent="0.3">
      <c r="A3567" t="str">
        <f>"200826B0100"</f>
        <v>200826B0100</v>
      </c>
      <c r="B3567" t="s">
        <v>7238</v>
      </c>
      <c r="C3567">
        <v>20</v>
      </c>
      <c r="D3567" t="s">
        <v>79</v>
      </c>
      <c r="E3567">
        <v>17</v>
      </c>
      <c r="F3567" t="s">
        <v>7160</v>
      </c>
      <c r="G3567">
        <v>826</v>
      </c>
      <c r="H3567">
        <v>1</v>
      </c>
      <c r="I3567" t="s">
        <v>81</v>
      </c>
      <c r="J3567">
        <v>0</v>
      </c>
      <c r="K3567">
        <v>2</v>
      </c>
      <c r="L3567">
        <v>2</v>
      </c>
      <c r="M3567">
        <v>88</v>
      </c>
      <c r="N3567">
        <v>161</v>
      </c>
      <c r="O3567">
        <v>0</v>
      </c>
      <c r="P3567">
        <v>161</v>
      </c>
      <c r="Q3567">
        <v>3</v>
      </c>
      <c r="R3567">
        <v>3</v>
      </c>
      <c r="S3567">
        <v>3</v>
      </c>
      <c r="T3567">
        <v>1</v>
      </c>
      <c r="U3567">
        <v>48</v>
      </c>
      <c r="V3567">
        <v>0</v>
      </c>
      <c r="W3567">
        <v>0</v>
      </c>
      <c r="X3567">
        <v>3</v>
      </c>
      <c r="Y3567">
        <v>91</v>
      </c>
      <c r="Z3567">
        <v>2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3</v>
      </c>
      <c r="AL3567">
        <v>3</v>
      </c>
      <c r="AM3567">
        <v>0</v>
      </c>
      <c r="AN3567">
        <v>0</v>
      </c>
      <c r="AT3567">
        <v>0</v>
      </c>
      <c r="AU3567">
        <v>1</v>
      </c>
      <c r="AV3567">
        <v>161</v>
      </c>
      <c r="AW3567">
        <v>161</v>
      </c>
      <c r="AX3567">
        <v>227</v>
      </c>
      <c r="BA3567">
        <v>1</v>
      </c>
      <c r="BC3567" t="s">
        <v>7239</v>
      </c>
      <c r="BD3567" s="4">
        <v>43283.589583333334</v>
      </c>
      <c r="BE3567" s="4">
        <v>43283.594930555555</v>
      </c>
      <c r="BF3567" s="4">
        <v>43283.594930555555</v>
      </c>
      <c r="BG3567" t="s">
        <v>83</v>
      </c>
      <c r="BH3567" t="s">
        <v>84</v>
      </c>
      <c r="BI3567" t="s">
        <v>85</v>
      </c>
    </row>
    <row r="3568" spans="1:61" x14ac:dyDescent="0.3">
      <c r="A3568" t="str">
        <f>"200826E0100"</f>
        <v>200826E0100</v>
      </c>
      <c r="B3568" s="2" t="s">
        <v>7240</v>
      </c>
      <c r="C3568">
        <v>20</v>
      </c>
      <c r="D3568" t="s">
        <v>79</v>
      </c>
      <c r="E3568">
        <v>17</v>
      </c>
      <c r="F3568" t="s">
        <v>7160</v>
      </c>
      <c r="G3568">
        <v>826</v>
      </c>
      <c r="H3568">
        <v>1</v>
      </c>
      <c r="I3568" t="s">
        <v>145</v>
      </c>
      <c r="J3568">
        <v>0</v>
      </c>
      <c r="K3568">
        <v>2</v>
      </c>
      <c r="L3568">
        <v>2</v>
      </c>
      <c r="AX3568">
        <v>299</v>
      </c>
      <c r="AZ3568" t="s">
        <v>156</v>
      </c>
      <c r="BA3568">
        <v>0</v>
      </c>
      <c r="BC3568" t="s">
        <v>7241</v>
      </c>
      <c r="BD3568" s="4">
        <v>43283.714583333334</v>
      </c>
      <c r="BE3568" s="4">
        <v>43283.71979166667</v>
      </c>
      <c r="BF3568" s="4">
        <v>43283.71979166667</v>
      </c>
      <c r="BG3568" t="s">
        <v>83</v>
      </c>
      <c r="BH3568" t="s">
        <v>84</v>
      </c>
      <c r="BI3568" t="s">
        <v>85</v>
      </c>
    </row>
    <row r="3569" spans="1:61" x14ac:dyDescent="0.3">
      <c r="A3569" t="str">
        <f>"200827B0100"</f>
        <v>200827B0100</v>
      </c>
      <c r="B3569" t="s">
        <v>7242</v>
      </c>
      <c r="C3569">
        <v>20</v>
      </c>
      <c r="D3569" t="s">
        <v>79</v>
      </c>
      <c r="E3569">
        <v>17</v>
      </c>
      <c r="F3569" t="s">
        <v>7160</v>
      </c>
      <c r="G3569">
        <v>827</v>
      </c>
      <c r="H3569">
        <v>1</v>
      </c>
      <c r="I3569" t="s">
        <v>81</v>
      </c>
      <c r="J3569">
        <v>0</v>
      </c>
      <c r="K3569">
        <v>2</v>
      </c>
      <c r="L3569">
        <v>2</v>
      </c>
      <c r="M3569">
        <v>121</v>
      </c>
      <c r="N3569">
        <v>234</v>
      </c>
      <c r="O3569">
        <v>0</v>
      </c>
      <c r="P3569">
        <v>234</v>
      </c>
      <c r="Q3569">
        <v>21</v>
      </c>
      <c r="R3569">
        <v>19</v>
      </c>
      <c r="S3569">
        <v>15</v>
      </c>
      <c r="T3569">
        <v>6</v>
      </c>
      <c r="U3569">
        <v>35</v>
      </c>
      <c r="V3569">
        <v>2</v>
      </c>
      <c r="W3569">
        <v>0</v>
      </c>
      <c r="X3569">
        <v>8</v>
      </c>
      <c r="Y3569">
        <v>88</v>
      </c>
      <c r="Z3569">
        <v>5</v>
      </c>
      <c r="AA3569">
        <v>0</v>
      </c>
      <c r="AB3569">
        <v>2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11</v>
      </c>
      <c r="AL3569">
        <v>7</v>
      </c>
      <c r="AM3569">
        <v>0</v>
      </c>
      <c r="AN3569">
        <v>0</v>
      </c>
      <c r="AT3569">
        <v>0</v>
      </c>
      <c r="AU3569">
        <v>15</v>
      </c>
      <c r="AV3569">
        <v>234</v>
      </c>
      <c r="AW3569">
        <v>234</v>
      </c>
      <c r="AX3569">
        <v>333</v>
      </c>
      <c r="BA3569">
        <v>1</v>
      </c>
      <c r="BC3569" t="s">
        <v>7243</v>
      </c>
      <c r="BD3569" s="4">
        <v>43283.34652777778</v>
      </c>
      <c r="BE3569" s="4">
        <v>43283.365324074075</v>
      </c>
      <c r="BF3569" s="4">
        <v>43283.365324074075</v>
      </c>
      <c r="BG3569" t="s">
        <v>83</v>
      </c>
      <c r="BH3569" t="s">
        <v>84</v>
      </c>
      <c r="BI3569" t="s">
        <v>85</v>
      </c>
    </row>
    <row r="3570" spans="1:61" x14ac:dyDescent="0.3">
      <c r="A3570" t="str">
        <f>"200827E0100"</f>
        <v>200827E0100</v>
      </c>
      <c r="B3570" s="2" t="s">
        <v>7244</v>
      </c>
      <c r="C3570">
        <v>20</v>
      </c>
      <c r="D3570" t="s">
        <v>79</v>
      </c>
      <c r="E3570">
        <v>17</v>
      </c>
      <c r="F3570" t="s">
        <v>7160</v>
      </c>
      <c r="G3570">
        <v>827</v>
      </c>
      <c r="H3570">
        <v>1</v>
      </c>
      <c r="I3570" t="s">
        <v>145</v>
      </c>
      <c r="J3570">
        <v>0</v>
      </c>
      <c r="K3570">
        <v>2</v>
      </c>
      <c r="L3570">
        <v>2</v>
      </c>
      <c r="M3570">
        <v>98</v>
      </c>
      <c r="N3570">
        <v>109</v>
      </c>
      <c r="O3570">
        <v>0</v>
      </c>
      <c r="P3570">
        <v>109</v>
      </c>
      <c r="Q3570">
        <v>1</v>
      </c>
      <c r="R3570">
        <v>6</v>
      </c>
      <c r="S3570">
        <v>1</v>
      </c>
      <c r="T3570">
        <v>1</v>
      </c>
      <c r="U3570">
        <v>19</v>
      </c>
      <c r="V3570">
        <v>0</v>
      </c>
      <c r="W3570">
        <v>4</v>
      </c>
      <c r="X3570">
        <v>3</v>
      </c>
      <c r="Y3570">
        <v>64</v>
      </c>
      <c r="Z3570">
        <v>3</v>
      </c>
      <c r="AA3570">
        <v>1</v>
      </c>
      <c r="AB3570">
        <v>3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1</v>
      </c>
      <c r="AM3570">
        <v>0</v>
      </c>
      <c r="AN3570">
        <v>0</v>
      </c>
      <c r="AT3570">
        <v>0</v>
      </c>
      <c r="AU3570">
        <v>2</v>
      </c>
      <c r="AV3570">
        <v>109</v>
      </c>
      <c r="AW3570">
        <v>109</v>
      </c>
      <c r="AX3570">
        <v>185</v>
      </c>
      <c r="BA3570">
        <v>1</v>
      </c>
      <c r="BC3570" t="s">
        <v>7245</v>
      </c>
      <c r="BD3570" s="4">
        <v>43283.34652777778</v>
      </c>
      <c r="BE3570" s="4">
        <v>43283.361342592594</v>
      </c>
      <c r="BF3570" s="4">
        <v>43283.361342592594</v>
      </c>
      <c r="BG3570" t="s">
        <v>83</v>
      </c>
      <c r="BH3570" t="s">
        <v>84</v>
      </c>
      <c r="BI3570" t="s">
        <v>85</v>
      </c>
    </row>
    <row r="3571" spans="1:61" x14ac:dyDescent="0.3">
      <c r="A3571" t="str">
        <f>"200828B0100"</f>
        <v>200828B0100</v>
      </c>
      <c r="B3571" t="s">
        <v>7246</v>
      </c>
      <c r="C3571">
        <v>20</v>
      </c>
      <c r="D3571" t="s">
        <v>79</v>
      </c>
      <c r="E3571">
        <v>17</v>
      </c>
      <c r="F3571" t="s">
        <v>7160</v>
      </c>
      <c r="G3571">
        <v>828</v>
      </c>
      <c r="H3571">
        <v>1</v>
      </c>
      <c r="I3571" t="s">
        <v>81</v>
      </c>
      <c r="J3571">
        <v>0</v>
      </c>
      <c r="K3571">
        <v>2</v>
      </c>
      <c r="L3571">
        <v>2</v>
      </c>
      <c r="M3571">
        <v>190</v>
      </c>
      <c r="N3571">
        <v>343</v>
      </c>
      <c r="O3571">
        <v>6</v>
      </c>
      <c r="P3571">
        <v>343</v>
      </c>
      <c r="Q3571">
        <v>25</v>
      </c>
      <c r="R3571">
        <v>12</v>
      </c>
      <c r="S3571">
        <v>16</v>
      </c>
      <c r="T3571">
        <v>3</v>
      </c>
      <c r="U3571">
        <v>88</v>
      </c>
      <c r="V3571">
        <v>2</v>
      </c>
      <c r="W3571">
        <v>3</v>
      </c>
      <c r="X3571">
        <v>5</v>
      </c>
      <c r="Y3571">
        <v>156</v>
      </c>
      <c r="Z3571">
        <v>12</v>
      </c>
      <c r="AA3571">
        <v>1</v>
      </c>
      <c r="AB3571">
        <v>0</v>
      </c>
      <c r="AC3571">
        <v>1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5</v>
      </c>
      <c r="AL3571">
        <v>3</v>
      </c>
      <c r="AM3571">
        <v>0</v>
      </c>
      <c r="AN3571">
        <v>1</v>
      </c>
      <c r="AT3571" t="s">
        <v>100</v>
      </c>
      <c r="AU3571">
        <v>10</v>
      </c>
      <c r="AV3571">
        <v>343</v>
      </c>
      <c r="AW3571">
        <v>343</v>
      </c>
      <c r="AX3571">
        <v>511</v>
      </c>
      <c r="AZ3571" t="s">
        <v>101</v>
      </c>
      <c r="BA3571">
        <v>1</v>
      </c>
      <c r="BC3571" s="2" t="s">
        <v>7247</v>
      </c>
      <c r="BD3571" s="4">
        <v>43283.34652777778</v>
      </c>
      <c r="BE3571" s="4">
        <v>43283.368796296294</v>
      </c>
      <c r="BF3571" s="4">
        <v>43283.368796296294</v>
      </c>
      <c r="BG3571" t="s">
        <v>83</v>
      </c>
      <c r="BH3571" t="s">
        <v>84</v>
      </c>
      <c r="BI3571" t="s">
        <v>85</v>
      </c>
    </row>
    <row r="3572" spans="1:61" x14ac:dyDescent="0.3">
      <c r="A3572" t="str">
        <f>"200829B0100"</f>
        <v>200829B0100</v>
      </c>
      <c r="B3572" t="s">
        <v>7248</v>
      </c>
      <c r="C3572">
        <v>20</v>
      </c>
      <c r="D3572" t="s">
        <v>79</v>
      </c>
      <c r="E3572">
        <v>17</v>
      </c>
      <c r="F3572" t="s">
        <v>7160</v>
      </c>
      <c r="G3572">
        <v>829</v>
      </c>
      <c r="H3572">
        <v>1</v>
      </c>
      <c r="I3572" t="s">
        <v>81</v>
      </c>
      <c r="J3572">
        <v>0</v>
      </c>
      <c r="K3572">
        <v>2</v>
      </c>
      <c r="L3572">
        <v>2</v>
      </c>
      <c r="M3572">
        <v>223</v>
      </c>
      <c r="N3572" t="s">
        <v>100</v>
      </c>
      <c r="O3572">
        <v>0</v>
      </c>
      <c r="P3572">
        <v>267</v>
      </c>
      <c r="Q3572">
        <v>55</v>
      </c>
      <c r="R3572">
        <v>10</v>
      </c>
      <c r="S3572">
        <v>22</v>
      </c>
      <c r="T3572">
        <v>5</v>
      </c>
      <c r="U3572">
        <v>59</v>
      </c>
      <c r="V3572">
        <v>4</v>
      </c>
      <c r="W3572">
        <v>4</v>
      </c>
      <c r="X3572">
        <v>5</v>
      </c>
      <c r="Y3572">
        <v>69</v>
      </c>
      <c r="Z3572">
        <v>17</v>
      </c>
      <c r="AA3572">
        <v>0</v>
      </c>
      <c r="AB3572">
        <v>0</v>
      </c>
      <c r="AC3572">
        <v>0</v>
      </c>
      <c r="AD3572">
        <v>2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3</v>
      </c>
      <c r="AL3572">
        <v>1</v>
      </c>
      <c r="AM3572">
        <v>0</v>
      </c>
      <c r="AN3572">
        <v>0</v>
      </c>
      <c r="AT3572">
        <v>0</v>
      </c>
      <c r="AU3572">
        <v>11</v>
      </c>
      <c r="AV3572">
        <v>267</v>
      </c>
      <c r="AW3572">
        <v>267</v>
      </c>
      <c r="AX3572">
        <v>468</v>
      </c>
      <c r="BA3572">
        <v>1</v>
      </c>
      <c r="BC3572" t="s">
        <v>7249</v>
      </c>
      <c r="BD3572" s="4">
        <v>43283.34652777778</v>
      </c>
      <c r="BE3572" s="4">
        <v>43283.360752314817</v>
      </c>
      <c r="BF3572" s="4">
        <v>43283.360752314817</v>
      </c>
      <c r="BG3572" t="s">
        <v>83</v>
      </c>
      <c r="BH3572" t="s">
        <v>84</v>
      </c>
      <c r="BI3572" t="s">
        <v>85</v>
      </c>
    </row>
    <row r="3573" spans="1:61" x14ac:dyDescent="0.3">
      <c r="A3573" t="str">
        <f>"200829E0100"</f>
        <v>200829E0100</v>
      </c>
      <c r="B3573" s="2" t="s">
        <v>7250</v>
      </c>
      <c r="C3573">
        <v>20</v>
      </c>
      <c r="D3573" t="s">
        <v>79</v>
      </c>
      <c r="E3573">
        <v>17</v>
      </c>
      <c r="F3573" t="s">
        <v>7160</v>
      </c>
      <c r="G3573">
        <v>829</v>
      </c>
      <c r="H3573">
        <v>1</v>
      </c>
      <c r="I3573" t="s">
        <v>145</v>
      </c>
      <c r="J3573">
        <v>0</v>
      </c>
      <c r="K3573">
        <v>2</v>
      </c>
      <c r="L3573">
        <v>2</v>
      </c>
      <c r="M3573" t="s">
        <v>100</v>
      </c>
      <c r="N3573" t="s">
        <v>100</v>
      </c>
      <c r="O3573" t="s">
        <v>100</v>
      </c>
      <c r="P3573" t="s">
        <v>100</v>
      </c>
      <c r="Q3573">
        <v>26</v>
      </c>
      <c r="R3573">
        <v>0</v>
      </c>
      <c r="S3573">
        <v>6</v>
      </c>
      <c r="T3573">
        <v>3</v>
      </c>
      <c r="U3573">
        <v>46</v>
      </c>
      <c r="V3573">
        <v>1</v>
      </c>
      <c r="W3573">
        <v>0</v>
      </c>
      <c r="X3573">
        <v>1</v>
      </c>
      <c r="Y3573">
        <v>202</v>
      </c>
      <c r="Z3573">
        <v>6</v>
      </c>
      <c r="AA3573">
        <v>0</v>
      </c>
      <c r="AB3573">
        <v>1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19</v>
      </c>
      <c r="AL3573">
        <v>6</v>
      </c>
      <c r="AM3573">
        <v>3</v>
      </c>
      <c r="AN3573">
        <v>0</v>
      </c>
      <c r="AT3573">
        <v>0</v>
      </c>
      <c r="AU3573">
        <v>13</v>
      </c>
      <c r="AV3573">
        <v>333</v>
      </c>
      <c r="AW3573">
        <v>333</v>
      </c>
      <c r="AX3573">
        <v>495</v>
      </c>
      <c r="BA3573">
        <v>1</v>
      </c>
      <c r="BC3573" t="s">
        <v>7251</v>
      </c>
      <c r="BD3573" s="4">
        <v>43283.34652777778</v>
      </c>
      <c r="BE3573" s="4">
        <v>43283.388124999998</v>
      </c>
      <c r="BF3573" s="4">
        <v>43283.388124999998</v>
      </c>
      <c r="BG3573" t="s">
        <v>83</v>
      </c>
      <c r="BH3573" t="s">
        <v>84</v>
      </c>
      <c r="BI3573" t="s">
        <v>85</v>
      </c>
    </row>
    <row r="3574" spans="1:61" x14ac:dyDescent="0.3">
      <c r="A3574" t="str">
        <f>"200829E0200"</f>
        <v>200829E0200</v>
      </c>
      <c r="B3574" s="2" t="s">
        <v>7252</v>
      </c>
      <c r="C3574">
        <v>20</v>
      </c>
      <c r="D3574" t="s">
        <v>79</v>
      </c>
      <c r="E3574">
        <v>17</v>
      </c>
      <c r="F3574" t="s">
        <v>7160</v>
      </c>
      <c r="G3574">
        <v>829</v>
      </c>
      <c r="H3574">
        <v>2</v>
      </c>
      <c r="I3574" t="s">
        <v>145</v>
      </c>
      <c r="J3574">
        <v>0</v>
      </c>
      <c r="K3574">
        <v>2</v>
      </c>
      <c r="L3574">
        <v>2</v>
      </c>
      <c r="M3574">
        <v>94</v>
      </c>
      <c r="N3574">
        <v>265</v>
      </c>
      <c r="O3574">
        <v>0</v>
      </c>
      <c r="P3574">
        <v>0</v>
      </c>
      <c r="Q3574">
        <v>8</v>
      </c>
      <c r="R3574">
        <v>1</v>
      </c>
      <c r="S3574">
        <v>5</v>
      </c>
      <c r="T3574">
        <v>2</v>
      </c>
      <c r="U3574">
        <v>22</v>
      </c>
      <c r="V3574">
        <v>6</v>
      </c>
      <c r="W3574">
        <v>2</v>
      </c>
      <c r="X3574">
        <v>3</v>
      </c>
      <c r="Y3574">
        <v>207</v>
      </c>
      <c r="Z3574">
        <v>4</v>
      </c>
      <c r="AA3574" t="s">
        <v>100</v>
      </c>
      <c r="AB3574">
        <v>1</v>
      </c>
      <c r="AC3574" t="s">
        <v>100</v>
      </c>
      <c r="AD3574" t="s">
        <v>100</v>
      </c>
      <c r="AE3574" t="s">
        <v>100</v>
      </c>
      <c r="AF3574" t="s">
        <v>100</v>
      </c>
      <c r="AG3574" t="s">
        <v>100</v>
      </c>
      <c r="AH3574" t="s">
        <v>100</v>
      </c>
      <c r="AI3574" t="s">
        <v>100</v>
      </c>
      <c r="AJ3574" t="s">
        <v>100</v>
      </c>
      <c r="AK3574" t="s">
        <v>100</v>
      </c>
      <c r="AL3574" t="s">
        <v>100</v>
      </c>
      <c r="AM3574">
        <v>1</v>
      </c>
      <c r="AN3574">
        <v>1</v>
      </c>
      <c r="AT3574" t="s">
        <v>100</v>
      </c>
      <c r="AU3574">
        <v>2</v>
      </c>
      <c r="AV3574" t="s">
        <v>100</v>
      </c>
      <c r="AW3574">
        <v>265</v>
      </c>
      <c r="AX3574">
        <v>337</v>
      </c>
      <c r="AZ3574" t="s">
        <v>101</v>
      </c>
      <c r="BA3574">
        <v>1</v>
      </c>
      <c r="BC3574" t="s">
        <v>7253</v>
      </c>
      <c r="BD3574" s="4">
        <v>43283.34652777778</v>
      </c>
      <c r="BE3574" s="4">
        <v>43283.362893518519</v>
      </c>
      <c r="BF3574" s="4">
        <v>43283.362893518519</v>
      </c>
      <c r="BG3574" t="s">
        <v>83</v>
      </c>
      <c r="BH3574" t="s">
        <v>84</v>
      </c>
      <c r="BI3574" t="s">
        <v>85</v>
      </c>
    </row>
    <row r="3575" spans="1:61" x14ac:dyDescent="0.3">
      <c r="A3575" t="str">
        <f>"200841B0100"</f>
        <v>200841B0100</v>
      </c>
      <c r="B3575" t="s">
        <v>7254</v>
      </c>
      <c r="C3575">
        <v>20</v>
      </c>
      <c r="D3575" t="s">
        <v>79</v>
      </c>
      <c r="E3575">
        <v>17</v>
      </c>
      <c r="F3575" t="s">
        <v>7160</v>
      </c>
      <c r="G3575">
        <v>841</v>
      </c>
      <c r="H3575">
        <v>1</v>
      </c>
      <c r="I3575" t="s">
        <v>81</v>
      </c>
      <c r="J3575">
        <v>0</v>
      </c>
      <c r="K3575">
        <v>2</v>
      </c>
      <c r="L3575">
        <v>2</v>
      </c>
      <c r="M3575">
        <v>324</v>
      </c>
      <c r="N3575">
        <v>367</v>
      </c>
      <c r="O3575">
        <v>3</v>
      </c>
      <c r="P3575">
        <v>367</v>
      </c>
      <c r="Q3575">
        <v>19</v>
      </c>
      <c r="R3575">
        <v>27</v>
      </c>
      <c r="S3575">
        <v>14</v>
      </c>
      <c r="T3575">
        <v>9</v>
      </c>
      <c r="U3575">
        <v>53</v>
      </c>
      <c r="V3575">
        <v>8</v>
      </c>
      <c r="W3575">
        <v>4</v>
      </c>
      <c r="X3575">
        <v>15</v>
      </c>
      <c r="Y3575">
        <v>141</v>
      </c>
      <c r="Z3575">
        <v>17</v>
      </c>
      <c r="AA3575">
        <v>1</v>
      </c>
      <c r="AB3575">
        <v>33</v>
      </c>
      <c r="AC3575">
        <v>0</v>
      </c>
      <c r="AD3575">
        <v>1</v>
      </c>
      <c r="AE3575">
        <v>0</v>
      </c>
      <c r="AF3575">
        <v>0</v>
      </c>
      <c r="AG3575">
        <v>0</v>
      </c>
      <c r="AH3575">
        <v>1</v>
      </c>
      <c r="AI3575">
        <v>0</v>
      </c>
      <c r="AJ3575">
        <v>0</v>
      </c>
      <c r="AK3575">
        <v>6</v>
      </c>
      <c r="AL3575">
        <v>2</v>
      </c>
      <c r="AM3575">
        <v>0</v>
      </c>
      <c r="AN3575">
        <v>0</v>
      </c>
      <c r="AT3575">
        <v>0</v>
      </c>
      <c r="AU3575">
        <v>16</v>
      </c>
      <c r="AV3575">
        <v>367</v>
      </c>
      <c r="AW3575">
        <v>367</v>
      </c>
      <c r="AX3575">
        <v>669</v>
      </c>
      <c r="BA3575">
        <v>1</v>
      </c>
      <c r="BC3575" t="s">
        <v>7255</v>
      </c>
      <c r="BD3575" s="4">
        <v>43283.022233796299</v>
      </c>
      <c r="BE3575" s="4">
        <v>43283.025567129633</v>
      </c>
      <c r="BF3575" s="4">
        <v>43283.025567129633</v>
      </c>
      <c r="BG3575" t="s">
        <v>373</v>
      </c>
      <c r="BH3575" t="s">
        <v>374</v>
      </c>
      <c r="BI3575" t="s">
        <v>85</v>
      </c>
    </row>
    <row r="3576" spans="1:61" x14ac:dyDescent="0.3">
      <c r="A3576" t="str">
        <f>"200841C0100"</f>
        <v>200841C0100</v>
      </c>
      <c r="B3576" t="s">
        <v>7256</v>
      </c>
      <c r="C3576">
        <v>20</v>
      </c>
      <c r="D3576" t="s">
        <v>79</v>
      </c>
      <c r="E3576">
        <v>17</v>
      </c>
      <c r="F3576" t="s">
        <v>7160</v>
      </c>
      <c r="G3576">
        <v>841</v>
      </c>
      <c r="H3576">
        <v>1</v>
      </c>
      <c r="I3576" t="s">
        <v>89</v>
      </c>
      <c r="J3576">
        <v>0</v>
      </c>
      <c r="K3576">
        <v>2</v>
      </c>
      <c r="L3576">
        <v>2</v>
      </c>
      <c r="M3576">
        <v>328</v>
      </c>
      <c r="N3576">
        <v>362</v>
      </c>
      <c r="O3576">
        <v>1</v>
      </c>
      <c r="P3576">
        <v>362</v>
      </c>
      <c r="Q3576">
        <v>27</v>
      </c>
      <c r="R3576">
        <v>22</v>
      </c>
      <c r="S3576">
        <v>12</v>
      </c>
      <c r="T3576">
        <v>12</v>
      </c>
      <c r="U3576">
        <v>44</v>
      </c>
      <c r="V3576">
        <v>6</v>
      </c>
      <c r="W3576">
        <v>8</v>
      </c>
      <c r="X3576">
        <v>10</v>
      </c>
      <c r="Y3576">
        <v>139</v>
      </c>
      <c r="Z3576">
        <v>12</v>
      </c>
      <c r="AA3576">
        <v>3</v>
      </c>
      <c r="AB3576">
        <v>28</v>
      </c>
      <c r="AC3576">
        <v>0</v>
      </c>
      <c r="AD3576">
        <v>0</v>
      </c>
      <c r="AE3576">
        <v>0</v>
      </c>
      <c r="AF3576">
        <v>0</v>
      </c>
      <c r="AG3576">
        <v>1</v>
      </c>
      <c r="AH3576">
        <v>0</v>
      </c>
      <c r="AI3576">
        <v>0</v>
      </c>
      <c r="AJ3576">
        <v>0</v>
      </c>
      <c r="AK3576">
        <v>5</v>
      </c>
      <c r="AL3576">
        <v>2</v>
      </c>
      <c r="AM3576">
        <v>1</v>
      </c>
      <c r="AN3576">
        <v>0</v>
      </c>
      <c r="AT3576">
        <v>0</v>
      </c>
      <c r="AU3576">
        <v>30</v>
      </c>
      <c r="AV3576">
        <v>362</v>
      </c>
      <c r="AW3576">
        <v>362</v>
      </c>
      <c r="AX3576">
        <v>668</v>
      </c>
      <c r="BA3576">
        <v>1</v>
      </c>
      <c r="BC3576" t="s">
        <v>7257</v>
      </c>
      <c r="BD3576" s="4">
        <v>43283.039375</v>
      </c>
      <c r="BE3576" s="4">
        <v>43283.04446759259</v>
      </c>
      <c r="BF3576" s="4">
        <v>43283.04446759259</v>
      </c>
      <c r="BG3576" t="s">
        <v>373</v>
      </c>
      <c r="BH3576" t="s">
        <v>374</v>
      </c>
      <c r="BI3576" t="s">
        <v>85</v>
      </c>
    </row>
    <row r="3577" spans="1:61" x14ac:dyDescent="0.3">
      <c r="A3577" t="str">
        <f>"200841C0200"</f>
        <v>200841C0200</v>
      </c>
      <c r="B3577" t="s">
        <v>7258</v>
      </c>
      <c r="C3577">
        <v>20</v>
      </c>
      <c r="D3577" t="s">
        <v>79</v>
      </c>
      <c r="E3577">
        <v>17</v>
      </c>
      <c r="F3577" t="s">
        <v>7160</v>
      </c>
      <c r="G3577">
        <v>841</v>
      </c>
      <c r="H3577">
        <v>2</v>
      </c>
      <c r="I3577" t="s">
        <v>89</v>
      </c>
      <c r="J3577">
        <v>0</v>
      </c>
      <c r="K3577">
        <v>2</v>
      </c>
      <c r="L3577">
        <v>2</v>
      </c>
      <c r="M3577">
        <v>340</v>
      </c>
      <c r="N3577">
        <v>350</v>
      </c>
      <c r="O3577">
        <v>0</v>
      </c>
      <c r="P3577">
        <v>350</v>
      </c>
      <c r="Q3577">
        <v>22</v>
      </c>
      <c r="R3577">
        <v>26</v>
      </c>
      <c r="S3577">
        <v>21</v>
      </c>
      <c r="T3577">
        <v>6</v>
      </c>
      <c r="U3577">
        <v>71</v>
      </c>
      <c r="V3577">
        <v>10</v>
      </c>
      <c r="W3577">
        <v>3</v>
      </c>
      <c r="X3577">
        <v>13</v>
      </c>
      <c r="Y3577">
        <v>116</v>
      </c>
      <c r="Z3577">
        <v>5</v>
      </c>
      <c r="AA3577">
        <v>0</v>
      </c>
      <c r="AB3577">
        <v>32</v>
      </c>
      <c r="AC3577">
        <v>0</v>
      </c>
      <c r="AD3577">
        <v>0</v>
      </c>
      <c r="AE3577">
        <v>0</v>
      </c>
      <c r="AF3577">
        <v>0</v>
      </c>
      <c r="AG3577">
        <v>2</v>
      </c>
      <c r="AH3577">
        <v>0</v>
      </c>
      <c r="AI3577">
        <v>0</v>
      </c>
      <c r="AJ3577">
        <v>0</v>
      </c>
      <c r="AK3577">
        <v>5</v>
      </c>
      <c r="AL3577">
        <v>5</v>
      </c>
      <c r="AM3577">
        <v>0</v>
      </c>
      <c r="AN3577">
        <v>1</v>
      </c>
      <c r="AT3577">
        <v>0</v>
      </c>
      <c r="AU3577">
        <v>12</v>
      </c>
      <c r="AV3577">
        <v>350</v>
      </c>
      <c r="AW3577">
        <v>350</v>
      </c>
      <c r="AX3577">
        <v>668</v>
      </c>
      <c r="BA3577">
        <v>1</v>
      </c>
      <c r="BC3577" t="s">
        <v>7259</v>
      </c>
      <c r="BD3577" s="4">
        <v>43283.024444444447</v>
      </c>
      <c r="BE3577" s="4">
        <v>43283.029131944444</v>
      </c>
      <c r="BF3577" s="4">
        <v>43283.029131944444</v>
      </c>
      <c r="BG3577" t="s">
        <v>373</v>
      </c>
      <c r="BH3577" t="s">
        <v>374</v>
      </c>
      <c r="BI3577" t="s">
        <v>85</v>
      </c>
    </row>
    <row r="3578" spans="1:61" x14ac:dyDescent="0.3">
      <c r="A3578" t="str">
        <f>"200842B0100"</f>
        <v>200842B0100</v>
      </c>
      <c r="B3578" t="s">
        <v>7260</v>
      </c>
      <c r="C3578">
        <v>20</v>
      </c>
      <c r="D3578" t="s">
        <v>79</v>
      </c>
      <c r="E3578">
        <v>17</v>
      </c>
      <c r="F3578" t="s">
        <v>7160</v>
      </c>
      <c r="G3578">
        <v>842</v>
      </c>
      <c r="H3578">
        <v>1</v>
      </c>
      <c r="I3578" t="s">
        <v>81</v>
      </c>
      <c r="J3578">
        <v>0</v>
      </c>
      <c r="K3578">
        <v>1</v>
      </c>
      <c r="L3578">
        <v>2</v>
      </c>
      <c r="M3578">
        <v>376</v>
      </c>
      <c r="N3578">
        <v>375</v>
      </c>
      <c r="O3578">
        <v>0</v>
      </c>
      <c r="P3578">
        <v>375</v>
      </c>
      <c r="Q3578">
        <v>28</v>
      </c>
      <c r="R3578">
        <v>14</v>
      </c>
      <c r="S3578">
        <v>19</v>
      </c>
      <c r="T3578">
        <v>16</v>
      </c>
      <c r="U3578">
        <v>63</v>
      </c>
      <c r="V3578">
        <v>0</v>
      </c>
      <c r="W3578">
        <v>1</v>
      </c>
      <c r="X3578">
        <v>1</v>
      </c>
      <c r="Y3578">
        <v>144</v>
      </c>
      <c r="Z3578">
        <v>10</v>
      </c>
      <c r="AA3578">
        <v>2</v>
      </c>
      <c r="AB3578">
        <v>35</v>
      </c>
      <c r="AC3578">
        <v>0</v>
      </c>
      <c r="AD3578">
        <v>1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4</v>
      </c>
      <c r="AL3578">
        <v>1</v>
      </c>
      <c r="AM3578">
        <v>1</v>
      </c>
      <c r="AN3578">
        <v>2</v>
      </c>
      <c r="AT3578">
        <v>0</v>
      </c>
      <c r="AU3578">
        <v>25</v>
      </c>
      <c r="AV3578">
        <v>375</v>
      </c>
      <c r="AW3578">
        <v>367</v>
      </c>
      <c r="AX3578">
        <v>729</v>
      </c>
      <c r="BA3578">
        <v>1</v>
      </c>
      <c r="BC3578" t="s">
        <v>7261</v>
      </c>
      <c r="BD3578" s="4">
        <v>43283.008784722224</v>
      </c>
      <c r="BE3578" s="4">
        <v>43283.012384259258</v>
      </c>
      <c r="BF3578" s="4">
        <v>43283.012384259258</v>
      </c>
      <c r="BG3578" t="s">
        <v>373</v>
      </c>
      <c r="BH3578" t="s">
        <v>374</v>
      </c>
      <c r="BI3578" t="s">
        <v>85</v>
      </c>
    </row>
    <row r="3579" spans="1:61" x14ac:dyDescent="0.3">
      <c r="A3579" t="str">
        <f>"200842C0100"</f>
        <v>200842C0100</v>
      </c>
      <c r="B3579" t="s">
        <v>7262</v>
      </c>
      <c r="C3579">
        <v>20</v>
      </c>
      <c r="D3579" t="s">
        <v>79</v>
      </c>
      <c r="E3579">
        <v>17</v>
      </c>
      <c r="F3579" t="s">
        <v>7160</v>
      </c>
      <c r="G3579">
        <v>842</v>
      </c>
      <c r="H3579">
        <v>1</v>
      </c>
      <c r="I3579" t="s">
        <v>89</v>
      </c>
      <c r="J3579">
        <v>0</v>
      </c>
      <c r="K3579">
        <v>1</v>
      </c>
      <c r="L3579">
        <v>2</v>
      </c>
      <c r="M3579">
        <v>352</v>
      </c>
      <c r="N3579">
        <v>751</v>
      </c>
      <c r="O3579">
        <v>0</v>
      </c>
      <c r="P3579">
        <v>399</v>
      </c>
      <c r="Q3579">
        <v>19</v>
      </c>
      <c r="R3579">
        <v>17</v>
      </c>
      <c r="S3579">
        <v>17</v>
      </c>
      <c r="T3579">
        <v>6</v>
      </c>
      <c r="U3579">
        <v>75</v>
      </c>
      <c r="V3579">
        <v>9</v>
      </c>
      <c r="W3579">
        <v>5</v>
      </c>
      <c r="X3579">
        <v>5</v>
      </c>
      <c r="Y3579">
        <v>157</v>
      </c>
      <c r="Z3579">
        <v>13</v>
      </c>
      <c r="AA3579">
        <v>0</v>
      </c>
      <c r="AB3579">
        <v>36</v>
      </c>
      <c r="AC3579">
        <v>1</v>
      </c>
      <c r="AD3579">
        <v>0</v>
      </c>
      <c r="AE3579">
        <v>0</v>
      </c>
      <c r="AF3579">
        <v>1</v>
      </c>
      <c r="AG3579">
        <v>0</v>
      </c>
      <c r="AH3579">
        <v>0</v>
      </c>
      <c r="AI3579">
        <v>0</v>
      </c>
      <c r="AJ3579">
        <v>0</v>
      </c>
      <c r="AK3579">
        <v>3</v>
      </c>
      <c r="AL3579">
        <v>9</v>
      </c>
      <c r="AM3579">
        <v>0</v>
      </c>
      <c r="AN3579">
        <v>1</v>
      </c>
      <c r="AT3579">
        <v>0</v>
      </c>
      <c r="AU3579">
        <v>25</v>
      </c>
      <c r="AV3579">
        <v>399</v>
      </c>
      <c r="AW3579">
        <v>399</v>
      </c>
      <c r="AX3579">
        <v>729</v>
      </c>
      <c r="BA3579">
        <v>1</v>
      </c>
      <c r="BC3579" t="s">
        <v>7263</v>
      </c>
      <c r="BD3579" s="4">
        <v>43283.007905092592</v>
      </c>
      <c r="BE3579" s="4">
        <v>43283.011469907404</v>
      </c>
      <c r="BF3579" s="4">
        <v>43283.011469907404</v>
      </c>
      <c r="BG3579" t="s">
        <v>373</v>
      </c>
      <c r="BH3579" t="s">
        <v>374</v>
      </c>
      <c r="BI3579" t="s">
        <v>85</v>
      </c>
    </row>
    <row r="3580" spans="1:61" x14ac:dyDescent="0.3">
      <c r="A3580" t="str">
        <f>"200842C0200"</f>
        <v>200842C0200</v>
      </c>
      <c r="B3580" t="s">
        <v>7264</v>
      </c>
      <c r="C3580">
        <v>20</v>
      </c>
      <c r="D3580" t="s">
        <v>79</v>
      </c>
      <c r="E3580">
        <v>17</v>
      </c>
      <c r="F3580" t="s">
        <v>7160</v>
      </c>
      <c r="G3580">
        <v>842</v>
      </c>
      <c r="H3580">
        <v>2</v>
      </c>
      <c r="I3580" t="s">
        <v>89</v>
      </c>
      <c r="J3580">
        <v>0</v>
      </c>
      <c r="K3580">
        <v>1</v>
      </c>
      <c r="L3580">
        <v>2</v>
      </c>
      <c r="M3580">
        <v>341</v>
      </c>
      <c r="N3580">
        <v>410</v>
      </c>
      <c r="O3580">
        <v>0</v>
      </c>
      <c r="P3580">
        <v>410</v>
      </c>
      <c r="Q3580">
        <v>31</v>
      </c>
      <c r="R3580">
        <v>23</v>
      </c>
      <c r="S3580">
        <v>10</v>
      </c>
      <c r="T3580">
        <v>10</v>
      </c>
      <c r="U3580">
        <v>75</v>
      </c>
      <c r="V3580">
        <v>10</v>
      </c>
      <c r="W3580">
        <v>5</v>
      </c>
      <c r="X3580">
        <v>3</v>
      </c>
      <c r="Y3580">
        <v>161</v>
      </c>
      <c r="Z3580">
        <v>8</v>
      </c>
      <c r="AA3580">
        <v>0</v>
      </c>
      <c r="AB3580">
        <v>31</v>
      </c>
      <c r="AC3580">
        <v>1</v>
      </c>
      <c r="AD3580">
        <v>0</v>
      </c>
      <c r="AE3580">
        <v>1</v>
      </c>
      <c r="AF3580">
        <v>0</v>
      </c>
      <c r="AG3580">
        <v>0</v>
      </c>
      <c r="AH3580">
        <v>2</v>
      </c>
      <c r="AI3580">
        <v>0</v>
      </c>
      <c r="AJ3580">
        <v>1</v>
      </c>
      <c r="AK3580">
        <v>4</v>
      </c>
      <c r="AL3580">
        <v>5</v>
      </c>
      <c r="AM3580">
        <v>0</v>
      </c>
      <c r="AN3580">
        <v>1</v>
      </c>
      <c r="AT3580">
        <v>0</v>
      </c>
      <c r="AU3580">
        <v>28</v>
      </c>
      <c r="AV3580">
        <v>410</v>
      </c>
      <c r="AW3580">
        <v>410</v>
      </c>
      <c r="AX3580">
        <v>729</v>
      </c>
      <c r="BA3580">
        <v>1</v>
      </c>
      <c r="BC3580" t="s">
        <v>7265</v>
      </c>
      <c r="BD3580" s="4">
        <v>43283.007002314815</v>
      </c>
      <c r="BE3580" s="4">
        <v>43283.010185185187</v>
      </c>
      <c r="BF3580" s="4">
        <v>43283.010185185187</v>
      </c>
      <c r="BG3580" t="s">
        <v>373</v>
      </c>
      <c r="BH3580" t="s">
        <v>374</v>
      </c>
      <c r="BI3580" t="s">
        <v>85</v>
      </c>
    </row>
    <row r="3581" spans="1:61" x14ac:dyDescent="0.3">
      <c r="A3581" t="str">
        <f>"200842C0300"</f>
        <v>200842C0300</v>
      </c>
      <c r="B3581" t="s">
        <v>7266</v>
      </c>
      <c r="C3581">
        <v>20</v>
      </c>
      <c r="D3581" t="s">
        <v>79</v>
      </c>
      <c r="E3581">
        <v>17</v>
      </c>
      <c r="F3581" t="s">
        <v>7160</v>
      </c>
      <c r="G3581">
        <v>842</v>
      </c>
      <c r="H3581">
        <v>3</v>
      </c>
      <c r="I3581" t="s">
        <v>89</v>
      </c>
      <c r="J3581">
        <v>0</v>
      </c>
      <c r="K3581">
        <v>1</v>
      </c>
      <c r="L3581">
        <v>2</v>
      </c>
      <c r="M3581">
        <v>352</v>
      </c>
      <c r="N3581">
        <v>398</v>
      </c>
      <c r="O3581">
        <v>0</v>
      </c>
      <c r="P3581">
        <v>398</v>
      </c>
      <c r="Q3581">
        <v>25</v>
      </c>
      <c r="R3581">
        <v>23</v>
      </c>
      <c r="S3581">
        <v>14</v>
      </c>
      <c r="T3581">
        <v>3</v>
      </c>
      <c r="U3581">
        <v>76</v>
      </c>
      <c r="V3581">
        <v>9</v>
      </c>
      <c r="W3581">
        <v>3</v>
      </c>
      <c r="X3581">
        <v>5</v>
      </c>
      <c r="Y3581">
        <v>169</v>
      </c>
      <c r="Z3581">
        <v>7</v>
      </c>
      <c r="AA3581">
        <v>0</v>
      </c>
      <c r="AB3581">
        <v>30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7</v>
      </c>
      <c r="AL3581">
        <v>5</v>
      </c>
      <c r="AM3581">
        <v>0</v>
      </c>
      <c r="AN3581">
        <v>1</v>
      </c>
      <c r="AT3581">
        <v>0</v>
      </c>
      <c r="AU3581">
        <v>21</v>
      </c>
      <c r="AV3581">
        <v>398</v>
      </c>
      <c r="AW3581">
        <v>398</v>
      </c>
      <c r="AX3581">
        <v>728</v>
      </c>
      <c r="BA3581">
        <v>1</v>
      </c>
      <c r="BC3581" t="s">
        <v>7267</v>
      </c>
      <c r="BD3581" s="4">
        <v>43283.004965277774</v>
      </c>
      <c r="BE3581" s="4">
        <v>43283.009293981479</v>
      </c>
      <c r="BF3581" s="4">
        <v>43283.009293981479</v>
      </c>
      <c r="BG3581" t="s">
        <v>373</v>
      </c>
      <c r="BH3581" t="s">
        <v>374</v>
      </c>
      <c r="BI3581" t="s">
        <v>85</v>
      </c>
    </row>
    <row r="3582" spans="1:61" x14ac:dyDescent="0.3">
      <c r="A3582" t="str">
        <f>"200843B0100"</f>
        <v>200843B0100</v>
      </c>
      <c r="B3582" t="s">
        <v>7268</v>
      </c>
      <c r="C3582">
        <v>20</v>
      </c>
      <c r="D3582" t="s">
        <v>79</v>
      </c>
      <c r="E3582">
        <v>17</v>
      </c>
      <c r="F3582" t="s">
        <v>7160</v>
      </c>
      <c r="G3582">
        <v>843</v>
      </c>
      <c r="H3582">
        <v>1</v>
      </c>
      <c r="I3582" t="s">
        <v>81</v>
      </c>
      <c r="J3582">
        <v>0</v>
      </c>
      <c r="K3582">
        <v>1</v>
      </c>
      <c r="L3582">
        <v>2</v>
      </c>
      <c r="M3582">
        <v>236</v>
      </c>
      <c r="N3582">
        <v>314</v>
      </c>
      <c r="O3582">
        <v>311</v>
      </c>
      <c r="P3582">
        <v>314</v>
      </c>
      <c r="Q3582">
        <v>20</v>
      </c>
      <c r="R3582">
        <v>119</v>
      </c>
      <c r="S3582">
        <v>5</v>
      </c>
      <c r="T3582">
        <v>15</v>
      </c>
      <c r="U3582">
        <v>22</v>
      </c>
      <c r="V3582">
        <v>5</v>
      </c>
      <c r="W3582">
        <v>0</v>
      </c>
      <c r="X3582">
        <v>2</v>
      </c>
      <c r="Y3582">
        <v>71</v>
      </c>
      <c r="Z3582">
        <v>1</v>
      </c>
      <c r="AA3582">
        <v>0</v>
      </c>
      <c r="AB3582">
        <v>18</v>
      </c>
      <c r="AC3582">
        <v>0</v>
      </c>
      <c r="AD3582">
        <v>0</v>
      </c>
      <c r="AE3582">
        <v>0</v>
      </c>
      <c r="AF3582" t="s">
        <v>100</v>
      </c>
      <c r="AG3582">
        <v>3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3</v>
      </c>
      <c r="AT3582">
        <v>0</v>
      </c>
      <c r="AU3582">
        <v>26</v>
      </c>
      <c r="AV3582">
        <v>314</v>
      </c>
      <c r="AW3582">
        <v>310</v>
      </c>
      <c r="AX3582">
        <v>528</v>
      </c>
      <c r="AZ3582" t="s">
        <v>101</v>
      </c>
      <c r="BA3582">
        <v>1</v>
      </c>
      <c r="BC3582" t="s">
        <v>7269</v>
      </c>
      <c r="BD3582" s="4">
        <v>43283.1</v>
      </c>
      <c r="BE3582" s="4">
        <v>43283.11409722222</v>
      </c>
      <c r="BF3582" s="4">
        <v>43283.11409722222</v>
      </c>
      <c r="BG3582" t="s">
        <v>83</v>
      </c>
      <c r="BH3582" t="s">
        <v>84</v>
      </c>
      <c r="BI3582" t="s">
        <v>85</v>
      </c>
    </row>
    <row r="3583" spans="1:61" x14ac:dyDescent="0.3">
      <c r="A3583" t="str">
        <f>"200843C0100"</f>
        <v>200843C0100</v>
      </c>
      <c r="B3583" t="s">
        <v>7270</v>
      </c>
      <c r="C3583">
        <v>20</v>
      </c>
      <c r="D3583" t="s">
        <v>79</v>
      </c>
      <c r="E3583">
        <v>17</v>
      </c>
      <c r="F3583" t="s">
        <v>7160</v>
      </c>
      <c r="G3583">
        <v>843</v>
      </c>
      <c r="H3583">
        <v>1</v>
      </c>
      <c r="I3583" t="s">
        <v>89</v>
      </c>
      <c r="J3583">
        <v>0</v>
      </c>
      <c r="K3583">
        <v>1</v>
      </c>
      <c r="L3583">
        <v>2</v>
      </c>
      <c r="AX3583">
        <v>528</v>
      </c>
      <c r="AZ3583" t="s">
        <v>1868</v>
      </c>
      <c r="BA3583">
        <v>0</v>
      </c>
      <c r="BC3583" t="s">
        <v>7271</v>
      </c>
      <c r="BD3583" s="4">
        <v>43283.1</v>
      </c>
      <c r="BE3583" s="4">
        <v>43283.106840277775</v>
      </c>
      <c r="BF3583" s="4">
        <v>43283.106840277775</v>
      </c>
      <c r="BG3583" t="s">
        <v>83</v>
      </c>
      <c r="BH3583" t="s">
        <v>84</v>
      </c>
      <c r="BI3583" t="s">
        <v>85</v>
      </c>
    </row>
    <row r="3584" spans="1:61" x14ac:dyDescent="0.3">
      <c r="A3584" t="str">
        <f>"200843C0200"</f>
        <v>200843C0200</v>
      </c>
      <c r="B3584" t="s">
        <v>7272</v>
      </c>
      <c r="C3584">
        <v>20</v>
      </c>
      <c r="D3584" t="s">
        <v>79</v>
      </c>
      <c r="E3584">
        <v>17</v>
      </c>
      <c r="F3584" t="s">
        <v>7160</v>
      </c>
      <c r="G3584">
        <v>843</v>
      </c>
      <c r="H3584">
        <v>2</v>
      </c>
      <c r="I3584" t="s">
        <v>89</v>
      </c>
      <c r="J3584">
        <v>0</v>
      </c>
      <c r="K3584">
        <v>1</v>
      </c>
      <c r="L3584">
        <v>2</v>
      </c>
      <c r="M3584">
        <v>250</v>
      </c>
      <c r="N3584">
        <v>299</v>
      </c>
      <c r="O3584">
        <v>0</v>
      </c>
      <c r="P3584">
        <v>296</v>
      </c>
      <c r="Q3584">
        <v>29</v>
      </c>
      <c r="R3584">
        <v>120</v>
      </c>
      <c r="S3584">
        <v>5</v>
      </c>
      <c r="T3584">
        <v>15</v>
      </c>
      <c r="U3584">
        <v>21</v>
      </c>
      <c r="V3584">
        <v>3</v>
      </c>
      <c r="W3584">
        <v>0</v>
      </c>
      <c r="X3584">
        <v>5</v>
      </c>
      <c r="Y3584">
        <v>61</v>
      </c>
      <c r="Z3584">
        <v>2</v>
      </c>
      <c r="AA3584">
        <v>1</v>
      </c>
      <c r="AB3584">
        <v>10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4</v>
      </c>
      <c r="AI3584">
        <v>0</v>
      </c>
      <c r="AJ3584">
        <v>0</v>
      </c>
      <c r="AK3584">
        <v>2</v>
      </c>
      <c r="AL3584">
        <v>0</v>
      </c>
      <c r="AM3584">
        <v>0</v>
      </c>
      <c r="AN3584">
        <v>0</v>
      </c>
      <c r="AT3584">
        <v>1</v>
      </c>
      <c r="AU3584">
        <v>17</v>
      </c>
      <c r="AV3584">
        <v>296</v>
      </c>
      <c r="AW3584">
        <v>296</v>
      </c>
      <c r="AX3584">
        <v>527</v>
      </c>
      <c r="BA3584">
        <v>1</v>
      </c>
      <c r="BC3584" t="s">
        <v>7273</v>
      </c>
      <c r="BD3584" s="4">
        <v>43283.1</v>
      </c>
      <c r="BE3584" s="4">
        <v>43283.105092592596</v>
      </c>
      <c r="BF3584" s="4">
        <v>43283.105092592596</v>
      </c>
      <c r="BG3584" t="s">
        <v>83</v>
      </c>
      <c r="BH3584" t="s">
        <v>84</v>
      </c>
      <c r="BI3584" t="s">
        <v>85</v>
      </c>
    </row>
    <row r="3585" spans="1:61" x14ac:dyDescent="0.3">
      <c r="A3585" t="str">
        <f>"200844B0100"</f>
        <v>200844B0100</v>
      </c>
      <c r="B3585" t="s">
        <v>7274</v>
      </c>
      <c r="C3585">
        <v>20</v>
      </c>
      <c r="D3585" t="s">
        <v>79</v>
      </c>
      <c r="E3585">
        <v>17</v>
      </c>
      <c r="F3585" t="s">
        <v>7160</v>
      </c>
      <c r="G3585">
        <v>844</v>
      </c>
      <c r="H3585">
        <v>1</v>
      </c>
      <c r="I3585" t="s">
        <v>81</v>
      </c>
      <c r="J3585">
        <v>0</v>
      </c>
      <c r="K3585">
        <v>2</v>
      </c>
      <c r="L3585">
        <v>2</v>
      </c>
      <c r="M3585">
        <v>219</v>
      </c>
      <c r="N3585">
        <v>269</v>
      </c>
      <c r="O3585">
        <v>0</v>
      </c>
      <c r="P3585">
        <v>269</v>
      </c>
      <c r="Q3585">
        <v>21</v>
      </c>
      <c r="R3585">
        <v>37</v>
      </c>
      <c r="S3585">
        <v>4</v>
      </c>
      <c r="T3585">
        <v>8</v>
      </c>
      <c r="U3585">
        <v>29</v>
      </c>
      <c r="V3585">
        <v>3</v>
      </c>
      <c r="W3585">
        <v>3</v>
      </c>
      <c r="X3585">
        <v>6</v>
      </c>
      <c r="Y3585">
        <v>125</v>
      </c>
      <c r="Z3585">
        <v>7</v>
      </c>
      <c r="AA3585">
        <v>2</v>
      </c>
      <c r="AB3585">
        <v>2</v>
      </c>
      <c r="AC3585">
        <v>1</v>
      </c>
      <c r="AD3585">
        <v>0</v>
      </c>
      <c r="AE3585">
        <v>0</v>
      </c>
      <c r="AF3585">
        <v>0</v>
      </c>
      <c r="AG3585">
        <v>0</v>
      </c>
      <c r="AH3585">
        <v>1</v>
      </c>
      <c r="AI3585">
        <v>0</v>
      </c>
      <c r="AJ3585">
        <v>0</v>
      </c>
      <c r="AK3585">
        <v>4</v>
      </c>
      <c r="AL3585">
        <v>1</v>
      </c>
      <c r="AM3585">
        <v>1</v>
      </c>
      <c r="AN3585">
        <v>2</v>
      </c>
      <c r="AT3585">
        <v>0</v>
      </c>
      <c r="AU3585">
        <v>12</v>
      </c>
      <c r="AV3585">
        <v>269</v>
      </c>
      <c r="AW3585">
        <v>269</v>
      </c>
      <c r="AX3585">
        <v>466</v>
      </c>
      <c r="BA3585">
        <v>1</v>
      </c>
      <c r="BC3585" t="s">
        <v>7275</v>
      </c>
      <c r="BD3585" s="4">
        <v>43283.1</v>
      </c>
      <c r="BE3585" s="4">
        <v>43283.106261574074</v>
      </c>
      <c r="BF3585" s="4">
        <v>43283.106261574074</v>
      </c>
      <c r="BG3585" t="s">
        <v>83</v>
      </c>
      <c r="BH3585" t="s">
        <v>84</v>
      </c>
      <c r="BI3585" t="s">
        <v>85</v>
      </c>
    </row>
    <row r="3586" spans="1:61" x14ac:dyDescent="0.3">
      <c r="A3586" t="str">
        <f>"200845B0100"</f>
        <v>200845B0100</v>
      </c>
      <c r="B3586" t="s">
        <v>7276</v>
      </c>
      <c r="C3586">
        <v>20</v>
      </c>
      <c r="D3586" t="s">
        <v>79</v>
      </c>
      <c r="E3586">
        <v>17</v>
      </c>
      <c r="F3586" t="s">
        <v>7160</v>
      </c>
      <c r="G3586">
        <v>845</v>
      </c>
      <c r="H3586">
        <v>1</v>
      </c>
      <c r="I3586" t="s">
        <v>81</v>
      </c>
      <c r="J3586">
        <v>0</v>
      </c>
      <c r="K3586">
        <v>1</v>
      </c>
      <c r="L3586">
        <v>2</v>
      </c>
      <c r="M3586">
        <v>231</v>
      </c>
      <c r="N3586">
        <v>334</v>
      </c>
      <c r="O3586">
        <v>0</v>
      </c>
      <c r="P3586">
        <v>334</v>
      </c>
      <c r="Q3586">
        <v>28</v>
      </c>
      <c r="R3586">
        <v>134</v>
      </c>
      <c r="S3586">
        <v>6</v>
      </c>
      <c r="T3586">
        <v>5</v>
      </c>
      <c r="U3586">
        <v>10</v>
      </c>
      <c r="V3586">
        <v>2</v>
      </c>
      <c r="W3586">
        <v>4</v>
      </c>
      <c r="X3586">
        <v>4</v>
      </c>
      <c r="Y3586">
        <v>87</v>
      </c>
      <c r="Z3586">
        <v>3</v>
      </c>
      <c r="AA3586">
        <v>1</v>
      </c>
      <c r="AB3586">
        <v>19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1</v>
      </c>
      <c r="AI3586">
        <v>1</v>
      </c>
      <c r="AJ3586">
        <v>0</v>
      </c>
      <c r="AK3586">
        <v>5</v>
      </c>
      <c r="AL3586">
        <v>0</v>
      </c>
      <c r="AM3586">
        <v>0</v>
      </c>
      <c r="AN3586">
        <v>0</v>
      </c>
      <c r="AT3586">
        <v>0</v>
      </c>
      <c r="AU3586">
        <v>24</v>
      </c>
      <c r="AV3586">
        <v>334</v>
      </c>
      <c r="AW3586">
        <v>334</v>
      </c>
      <c r="AX3586">
        <v>543</v>
      </c>
      <c r="BA3586">
        <v>1</v>
      </c>
      <c r="BC3586" t="s">
        <v>7277</v>
      </c>
      <c r="BD3586" s="4">
        <v>43283.1</v>
      </c>
      <c r="BE3586" s="4">
        <v>43283.104363425926</v>
      </c>
      <c r="BF3586" s="4">
        <v>43283.104363425926</v>
      </c>
      <c r="BG3586" t="s">
        <v>83</v>
      </c>
      <c r="BH3586" t="s">
        <v>84</v>
      </c>
      <c r="BI3586" t="s">
        <v>85</v>
      </c>
    </row>
    <row r="3587" spans="1:61" x14ac:dyDescent="0.3">
      <c r="A3587" t="str">
        <f>"200845C0100"</f>
        <v>200845C0100</v>
      </c>
      <c r="B3587" t="s">
        <v>7278</v>
      </c>
      <c r="C3587">
        <v>20</v>
      </c>
      <c r="D3587" t="s">
        <v>79</v>
      </c>
      <c r="E3587">
        <v>17</v>
      </c>
      <c r="F3587" t="s">
        <v>7160</v>
      </c>
      <c r="G3587">
        <v>845</v>
      </c>
      <c r="H3587">
        <v>1</v>
      </c>
      <c r="I3587" t="s">
        <v>89</v>
      </c>
      <c r="J3587">
        <v>0</v>
      </c>
      <c r="K3587">
        <v>1</v>
      </c>
      <c r="L3587">
        <v>2</v>
      </c>
      <c r="M3587">
        <v>235</v>
      </c>
      <c r="N3587">
        <v>329</v>
      </c>
      <c r="O3587">
        <v>0</v>
      </c>
      <c r="P3587">
        <v>329</v>
      </c>
      <c r="Q3587">
        <v>20</v>
      </c>
      <c r="R3587">
        <v>126</v>
      </c>
      <c r="S3587">
        <v>7</v>
      </c>
      <c r="T3587">
        <v>16</v>
      </c>
      <c r="U3587">
        <v>24</v>
      </c>
      <c r="V3587">
        <v>2</v>
      </c>
      <c r="W3587">
        <v>1</v>
      </c>
      <c r="X3587">
        <v>7</v>
      </c>
      <c r="Y3587">
        <v>88</v>
      </c>
      <c r="Z3587">
        <v>4</v>
      </c>
      <c r="AA3587">
        <v>0</v>
      </c>
      <c r="AB3587">
        <v>12</v>
      </c>
      <c r="AC3587">
        <v>0</v>
      </c>
      <c r="AD3587">
        <v>0</v>
      </c>
      <c r="AE3587">
        <v>0</v>
      </c>
      <c r="AF3587">
        <v>0</v>
      </c>
      <c r="AG3587">
        <v>2</v>
      </c>
      <c r="AH3587">
        <v>1</v>
      </c>
      <c r="AI3587">
        <v>0</v>
      </c>
      <c r="AJ3587">
        <v>0</v>
      </c>
      <c r="AK3587">
        <v>2</v>
      </c>
      <c r="AL3587">
        <v>1</v>
      </c>
      <c r="AM3587">
        <v>0</v>
      </c>
      <c r="AN3587">
        <v>0</v>
      </c>
      <c r="AT3587">
        <v>0</v>
      </c>
      <c r="AU3587">
        <v>16</v>
      </c>
      <c r="AV3587">
        <v>329</v>
      </c>
      <c r="AW3587">
        <v>329</v>
      </c>
      <c r="AX3587">
        <v>542</v>
      </c>
      <c r="BA3587">
        <v>1</v>
      </c>
      <c r="BC3587" t="s">
        <v>7279</v>
      </c>
      <c r="BD3587" s="4">
        <v>43283.1</v>
      </c>
      <c r="BE3587" s="4">
        <v>43283.105266203704</v>
      </c>
      <c r="BF3587" s="4">
        <v>43283.105266203704</v>
      </c>
      <c r="BG3587" t="s">
        <v>83</v>
      </c>
      <c r="BH3587" t="s">
        <v>84</v>
      </c>
      <c r="BI3587" t="s">
        <v>85</v>
      </c>
    </row>
    <row r="3588" spans="1:61" x14ac:dyDescent="0.3">
      <c r="A3588" t="str">
        <f>"200894B0100"</f>
        <v>200894B0100</v>
      </c>
      <c r="B3588" t="s">
        <v>7280</v>
      </c>
      <c r="C3588">
        <v>20</v>
      </c>
      <c r="D3588" t="s">
        <v>79</v>
      </c>
      <c r="E3588">
        <v>17</v>
      </c>
      <c r="F3588" t="s">
        <v>7160</v>
      </c>
      <c r="G3588">
        <v>894</v>
      </c>
      <c r="H3588">
        <v>1</v>
      </c>
      <c r="I3588" t="s">
        <v>81</v>
      </c>
      <c r="J3588">
        <v>0</v>
      </c>
      <c r="K3588">
        <v>2</v>
      </c>
      <c r="L3588">
        <v>2</v>
      </c>
      <c r="M3588">
        <v>266</v>
      </c>
      <c r="N3588">
        <v>251</v>
      </c>
      <c r="O3588">
        <v>0</v>
      </c>
      <c r="P3588">
        <v>251</v>
      </c>
      <c r="Q3588">
        <v>40</v>
      </c>
      <c r="R3588">
        <v>30</v>
      </c>
      <c r="S3588">
        <v>8</v>
      </c>
      <c r="T3588">
        <v>8</v>
      </c>
      <c r="U3588">
        <v>26</v>
      </c>
      <c r="V3588">
        <v>7</v>
      </c>
      <c r="W3588">
        <v>3</v>
      </c>
      <c r="X3588">
        <v>5</v>
      </c>
      <c r="Y3588">
        <v>73</v>
      </c>
      <c r="Z3588">
        <v>7</v>
      </c>
      <c r="AA3588">
        <v>1</v>
      </c>
      <c r="AB3588">
        <v>4</v>
      </c>
      <c r="AC3588">
        <v>0</v>
      </c>
      <c r="AD3588">
        <v>0</v>
      </c>
      <c r="AE3588">
        <v>0</v>
      </c>
      <c r="AF3588">
        <v>0</v>
      </c>
      <c r="AG3588">
        <v>1</v>
      </c>
      <c r="AH3588">
        <v>1</v>
      </c>
      <c r="AI3588">
        <v>0</v>
      </c>
      <c r="AJ3588">
        <v>0</v>
      </c>
      <c r="AK3588">
        <v>11</v>
      </c>
      <c r="AL3588">
        <v>2</v>
      </c>
      <c r="AM3588">
        <v>0</v>
      </c>
      <c r="AN3588">
        <v>1</v>
      </c>
      <c r="AT3588" t="s">
        <v>100</v>
      </c>
      <c r="AU3588">
        <v>23</v>
      </c>
      <c r="AV3588">
        <v>251</v>
      </c>
      <c r="AW3588">
        <v>251</v>
      </c>
      <c r="AX3588">
        <v>495</v>
      </c>
      <c r="AZ3588" t="s">
        <v>101</v>
      </c>
      <c r="BA3588">
        <v>1</v>
      </c>
      <c r="BC3588" t="s">
        <v>7281</v>
      </c>
      <c r="BD3588" s="4">
        <v>43283.288888888892</v>
      </c>
      <c r="BE3588" s="4">
        <v>43283.32298611111</v>
      </c>
      <c r="BF3588" s="4">
        <v>43283.32298611111</v>
      </c>
      <c r="BG3588" t="s">
        <v>83</v>
      </c>
      <c r="BH3588" t="s">
        <v>84</v>
      </c>
      <c r="BI3588" t="s">
        <v>85</v>
      </c>
    </row>
    <row r="3589" spans="1:61" x14ac:dyDescent="0.3">
      <c r="A3589" t="str">
        <f>"200894C0100"</f>
        <v>200894C0100</v>
      </c>
      <c r="B3589" t="s">
        <v>7282</v>
      </c>
      <c r="C3589">
        <v>20</v>
      </c>
      <c r="D3589" t="s">
        <v>79</v>
      </c>
      <c r="E3589">
        <v>17</v>
      </c>
      <c r="F3589" t="s">
        <v>7160</v>
      </c>
      <c r="G3589">
        <v>894</v>
      </c>
      <c r="H3589">
        <v>1</v>
      </c>
      <c r="I3589" t="s">
        <v>89</v>
      </c>
      <c r="J3589">
        <v>0</v>
      </c>
      <c r="K3589">
        <v>2</v>
      </c>
      <c r="L3589">
        <v>2</v>
      </c>
      <c r="M3589">
        <v>266</v>
      </c>
      <c r="N3589">
        <v>251</v>
      </c>
      <c r="O3589">
        <v>0</v>
      </c>
      <c r="P3589">
        <v>251</v>
      </c>
      <c r="Q3589">
        <v>26</v>
      </c>
      <c r="R3589">
        <v>40</v>
      </c>
      <c r="S3589">
        <v>11</v>
      </c>
      <c r="T3589">
        <v>5</v>
      </c>
      <c r="U3589">
        <v>48</v>
      </c>
      <c r="V3589">
        <v>7</v>
      </c>
      <c r="W3589">
        <v>5</v>
      </c>
      <c r="X3589">
        <v>4</v>
      </c>
      <c r="Y3589">
        <v>57</v>
      </c>
      <c r="Z3589">
        <v>8</v>
      </c>
      <c r="AA3589">
        <v>0</v>
      </c>
      <c r="AB3589">
        <v>2</v>
      </c>
      <c r="AC3589">
        <v>2</v>
      </c>
      <c r="AD3589">
        <v>0</v>
      </c>
      <c r="AE3589">
        <v>0</v>
      </c>
      <c r="AF3589">
        <v>0</v>
      </c>
      <c r="AG3589">
        <v>0</v>
      </c>
      <c r="AH3589">
        <v>1</v>
      </c>
      <c r="AI3589">
        <v>0</v>
      </c>
      <c r="AJ3589">
        <v>0</v>
      </c>
      <c r="AK3589">
        <v>13</v>
      </c>
      <c r="AL3589">
        <v>1</v>
      </c>
      <c r="AM3589">
        <v>1</v>
      </c>
      <c r="AN3589">
        <v>1</v>
      </c>
      <c r="AT3589">
        <v>0</v>
      </c>
      <c r="AU3589">
        <v>19</v>
      </c>
      <c r="AV3589" t="s">
        <v>100</v>
      </c>
      <c r="AW3589">
        <v>251</v>
      </c>
      <c r="AX3589">
        <v>495</v>
      </c>
      <c r="BA3589">
        <v>1</v>
      </c>
      <c r="BC3589" t="s">
        <v>7283</v>
      </c>
      <c r="BD3589" s="4">
        <v>43283.288888888892</v>
      </c>
      <c r="BE3589" s="4">
        <v>43283.321770833332</v>
      </c>
      <c r="BF3589" s="4">
        <v>43283.321770833332</v>
      </c>
      <c r="BG3589" t="s">
        <v>83</v>
      </c>
      <c r="BH3589" t="s">
        <v>84</v>
      </c>
      <c r="BI3589" t="s">
        <v>85</v>
      </c>
    </row>
    <row r="3590" spans="1:61" x14ac:dyDescent="0.3">
      <c r="A3590" t="str">
        <f>"200895B0100"</f>
        <v>200895B0100</v>
      </c>
      <c r="B3590" t="s">
        <v>7284</v>
      </c>
      <c r="C3590">
        <v>20</v>
      </c>
      <c r="D3590" t="s">
        <v>79</v>
      </c>
      <c r="E3590">
        <v>17</v>
      </c>
      <c r="F3590" t="s">
        <v>7160</v>
      </c>
      <c r="G3590">
        <v>895</v>
      </c>
      <c r="H3590">
        <v>1</v>
      </c>
      <c r="I3590" t="s">
        <v>81</v>
      </c>
      <c r="J3590">
        <v>0</v>
      </c>
      <c r="K3590">
        <v>2</v>
      </c>
      <c r="L3590">
        <v>2</v>
      </c>
      <c r="M3590">
        <v>189</v>
      </c>
      <c r="N3590">
        <v>214</v>
      </c>
      <c r="O3590">
        <v>0</v>
      </c>
      <c r="P3590">
        <v>214</v>
      </c>
      <c r="Q3590">
        <v>13</v>
      </c>
      <c r="R3590">
        <v>19</v>
      </c>
      <c r="S3590">
        <v>7</v>
      </c>
      <c r="T3590">
        <v>3</v>
      </c>
      <c r="U3590">
        <v>48</v>
      </c>
      <c r="V3590">
        <v>4</v>
      </c>
      <c r="W3590">
        <v>1</v>
      </c>
      <c r="X3590">
        <v>5</v>
      </c>
      <c r="Y3590">
        <v>77</v>
      </c>
      <c r="Z3590">
        <v>7</v>
      </c>
      <c r="AA3590">
        <v>0</v>
      </c>
      <c r="AB3590">
        <v>2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17</v>
      </c>
      <c r="AL3590">
        <v>1</v>
      </c>
      <c r="AM3590">
        <v>0</v>
      </c>
      <c r="AN3590">
        <v>0</v>
      </c>
      <c r="AT3590">
        <v>0</v>
      </c>
      <c r="AU3590">
        <v>10</v>
      </c>
      <c r="AV3590">
        <v>214</v>
      </c>
      <c r="AW3590">
        <v>214</v>
      </c>
      <c r="AX3590">
        <v>381</v>
      </c>
      <c r="BA3590">
        <v>1</v>
      </c>
      <c r="BC3590" t="s">
        <v>7285</v>
      </c>
      <c r="BD3590" s="4">
        <v>43283.288888888892</v>
      </c>
      <c r="BE3590" s="4">
        <v>43283.323101851849</v>
      </c>
      <c r="BF3590" s="4">
        <v>43283.323101851849</v>
      </c>
      <c r="BG3590" t="s">
        <v>83</v>
      </c>
      <c r="BH3590" t="s">
        <v>84</v>
      </c>
      <c r="BI3590" t="s">
        <v>85</v>
      </c>
    </row>
    <row r="3591" spans="1:61" x14ac:dyDescent="0.3">
      <c r="A3591" t="str">
        <f>"200895E0100"</f>
        <v>200895E0100</v>
      </c>
      <c r="B3591" s="2" t="s">
        <v>7286</v>
      </c>
      <c r="C3591">
        <v>20</v>
      </c>
      <c r="D3591" t="s">
        <v>79</v>
      </c>
      <c r="E3591">
        <v>17</v>
      </c>
      <c r="F3591" t="s">
        <v>7160</v>
      </c>
      <c r="G3591">
        <v>895</v>
      </c>
      <c r="H3591">
        <v>1</v>
      </c>
      <c r="I3591" t="s">
        <v>145</v>
      </c>
      <c r="J3591">
        <v>0</v>
      </c>
      <c r="K3591">
        <v>2</v>
      </c>
      <c r="L3591">
        <v>2</v>
      </c>
      <c r="M3591">
        <v>154</v>
      </c>
      <c r="N3591">
        <v>229</v>
      </c>
      <c r="O3591">
        <v>7</v>
      </c>
      <c r="P3591">
        <v>229</v>
      </c>
      <c r="Q3591">
        <v>17</v>
      </c>
      <c r="R3591">
        <v>17</v>
      </c>
      <c r="S3591">
        <v>12</v>
      </c>
      <c r="T3591">
        <v>4</v>
      </c>
      <c r="U3591">
        <v>48</v>
      </c>
      <c r="V3591">
        <v>4</v>
      </c>
      <c r="W3591">
        <v>1</v>
      </c>
      <c r="X3591">
        <v>6</v>
      </c>
      <c r="Y3591">
        <v>77</v>
      </c>
      <c r="Z3591">
        <v>8</v>
      </c>
      <c r="AA3591">
        <v>0</v>
      </c>
      <c r="AB3591">
        <v>4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13</v>
      </c>
      <c r="AL3591">
        <v>1</v>
      </c>
      <c r="AM3591">
        <v>0</v>
      </c>
      <c r="AN3591">
        <v>1</v>
      </c>
      <c r="AT3591">
        <v>0</v>
      </c>
      <c r="AU3591">
        <v>16</v>
      </c>
      <c r="AV3591" t="s">
        <v>100</v>
      </c>
      <c r="AW3591">
        <v>229</v>
      </c>
      <c r="AX3591">
        <v>361</v>
      </c>
      <c r="BA3591">
        <v>1</v>
      </c>
      <c r="BC3591" t="s">
        <v>7287</v>
      </c>
      <c r="BD3591" s="4">
        <v>43283.288888888892</v>
      </c>
      <c r="BE3591" s="4">
        <v>43283.325219907405</v>
      </c>
      <c r="BF3591" s="4">
        <v>43283.325219907405</v>
      </c>
      <c r="BG3591" t="s">
        <v>83</v>
      </c>
      <c r="BH3591" t="s">
        <v>84</v>
      </c>
      <c r="BI3591" t="s">
        <v>85</v>
      </c>
    </row>
    <row r="3592" spans="1:61" x14ac:dyDescent="0.3">
      <c r="A3592" t="str">
        <f>"200931B0100"</f>
        <v>200931B0100</v>
      </c>
      <c r="B3592" t="s">
        <v>7288</v>
      </c>
      <c r="C3592">
        <v>20</v>
      </c>
      <c r="D3592" t="s">
        <v>79</v>
      </c>
      <c r="E3592">
        <v>17</v>
      </c>
      <c r="F3592" t="s">
        <v>7160</v>
      </c>
      <c r="G3592">
        <v>931</v>
      </c>
      <c r="H3592">
        <v>1</v>
      </c>
      <c r="I3592" t="s">
        <v>81</v>
      </c>
      <c r="J3592">
        <v>0</v>
      </c>
      <c r="K3592">
        <v>2</v>
      </c>
      <c r="L3592">
        <v>2</v>
      </c>
      <c r="M3592">
        <v>319</v>
      </c>
      <c r="N3592">
        <v>311</v>
      </c>
      <c r="O3592">
        <v>2</v>
      </c>
      <c r="P3592">
        <v>311</v>
      </c>
      <c r="Q3592">
        <v>27</v>
      </c>
      <c r="R3592">
        <v>87</v>
      </c>
      <c r="S3592">
        <v>11</v>
      </c>
      <c r="T3592">
        <v>8</v>
      </c>
      <c r="U3592">
        <v>20</v>
      </c>
      <c r="V3592">
        <v>5</v>
      </c>
      <c r="W3592">
        <v>3</v>
      </c>
      <c r="X3592">
        <v>6</v>
      </c>
      <c r="Y3592">
        <v>114</v>
      </c>
      <c r="Z3592">
        <v>4</v>
      </c>
      <c r="AA3592">
        <v>0</v>
      </c>
      <c r="AB3592">
        <v>1</v>
      </c>
      <c r="AC3592">
        <v>1</v>
      </c>
      <c r="AD3592">
        <v>1</v>
      </c>
      <c r="AE3592">
        <v>0</v>
      </c>
      <c r="AF3592">
        <v>0</v>
      </c>
      <c r="AG3592">
        <v>2</v>
      </c>
      <c r="AH3592">
        <v>1</v>
      </c>
      <c r="AI3592">
        <v>0</v>
      </c>
      <c r="AJ3592">
        <v>0</v>
      </c>
      <c r="AK3592">
        <v>4</v>
      </c>
      <c r="AL3592">
        <v>5</v>
      </c>
      <c r="AM3592">
        <v>0</v>
      </c>
      <c r="AN3592">
        <v>1</v>
      </c>
      <c r="AT3592">
        <v>0</v>
      </c>
      <c r="AU3592">
        <v>10</v>
      </c>
      <c r="AV3592">
        <v>311</v>
      </c>
      <c r="AW3592">
        <v>311</v>
      </c>
      <c r="AX3592">
        <v>608</v>
      </c>
      <c r="BA3592">
        <v>1</v>
      </c>
      <c r="BC3592" t="s">
        <v>7289</v>
      </c>
      <c r="BD3592" s="4">
        <v>43283.147916666669</v>
      </c>
      <c r="BE3592" s="4">
        <v>43283.157141203701</v>
      </c>
      <c r="BF3592" s="4">
        <v>43283.157141203701</v>
      </c>
      <c r="BG3592" t="s">
        <v>83</v>
      </c>
      <c r="BH3592" t="s">
        <v>84</v>
      </c>
      <c r="BI3592" t="s">
        <v>85</v>
      </c>
    </row>
    <row r="3593" spans="1:61" x14ac:dyDescent="0.3">
      <c r="A3593" t="str">
        <f>"200931C0100"</f>
        <v>200931C0100</v>
      </c>
      <c r="B3593" t="s">
        <v>7290</v>
      </c>
      <c r="C3593">
        <v>20</v>
      </c>
      <c r="D3593" t="s">
        <v>79</v>
      </c>
      <c r="E3593">
        <v>17</v>
      </c>
      <c r="F3593" t="s">
        <v>7160</v>
      </c>
      <c r="G3593">
        <v>931</v>
      </c>
      <c r="H3593">
        <v>1</v>
      </c>
      <c r="I3593" t="s">
        <v>89</v>
      </c>
      <c r="J3593">
        <v>0</v>
      </c>
      <c r="K3593">
        <v>2</v>
      </c>
      <c r="L3593">
        <v>2</v>
      </c>
      <c r="M3593">
        <v>318</v>
      </c>
      <c r="N3593">
        <v>311</v>
      </c>
      <c r="O3593">
        <v>2</v>
      </c>
      <c r="P3593">
        <v>311</v>
      </c>
      <c r="Q3593">
        <v>35</v>
      </c>
      <c r="R3593">
        <v>97</v>
      </c>
      <c r="S3593">
        <v>15</v>
      </c>
      <c r="T3593">
        <v>4</v>
      </c>
      <c r="U3593">
        <v>24</v>
      </c>
      <c r="V3593">
        <v>4</v>
      </c>
      <c r="W3593">
        <v>1</v>
      </c>
      <c r="X3593">
        <v>7</v>
      </c>
      <c r="Y3593">
        <v>91</v>
      </c>
      <c r="Z3593">
        <v>5</v>
      </c>
      <c r="AA3593">
        <v>0</v>
      </c>
      <c r="AB3593">
        <v>2</v>
      </c>
      <c r="AC3593">
        <v>0</v>
      </c>
      <c r="AD3593">
        <v>0</v>
      </c>
      <c r="AE3593">
        <v>2</v>
      </c>
      <c r="AF3593">
        <v>0</v>
      </c>
      <c r="AG3593">
        <v>0</v>
      </c>
      <c r="AH3593">
        <v>1</v>
      </c>
      <c r="AI3593">
        <v>0</v>
      </c>
      <c r="AJ3593">
        <v>0</v>
      </c>
      <c r="AK3593">
        <v>11</v>
      </c>
      <c r="AL3593">
        <v>1</v>
      </c>
      <c r="AM3593">
        <v>0</v>
      </c>
      <c r="AN3593">
        <v>0</v>
      </c>
      <c r="AT3593">
        <v>0</v>
      </c>
      <c r="AU3593">
        <v>11</v>
      </c>
      <c r="AV3593">
        <v>311</v>
      </c>
      <c r="AW3593">
        <v>311</v>
      </c>
      <c r="AX3593">
        <v>607</v>
      </c>
      <c r="BA3593">
        <v>1</v>
      </c>
      <c r="BC3593" t="s">
        <v>7291</v>
      </c>
      <c r="BD3593" s="4">
        <v>43283.147916666669</v>
      </c>
      <c r="BE3593" s="4">
        <v>43283.156423611108</v>
      </c>
      <c r="BF3593" s="4">
        <v>43283.156423611108</v>
      </c>
      <c r="BG3593" t="s">
        <v>83</v>
      </c>
      <c r="BH3593" t="s">
        <v>84</v>
      </c>
      <c r="BI3593" t="s">
        <v>85</v>
      </c>
    </row>
    <row r="3594" spans="1:61" x14ac:dyDescent="0.3">
      <c r="A3594" t="str">
        <f>"200934B0100"</f>
        <v>200934B0100</v>
      </c>
      <c r="B3594" t="s">
        <v>7292</v>
      </c>
      <c r="C3594">
        <v>20</v>
      </c>
      <c r="D3594" t="s">
        <v>79</v>
      </c>
      <c r="E3594">
        <v>17</v>
      </c>
      <c r="F3594" t="s">
        <v>7160</v>
      </c>
      <c r="G3594">
        <v>934</v>
      </c>
      <c r="H3594">
        <v>1</v>
      </c>
      <c r="I3594" t="s">
        <v>81</v>
      </c>
      <c r="J3594">
        <v>0</v>
      </c>
      <c r="K3594">
        <v>1</v>
      </c>
      <c r="L3594">
        <v>2</v>
      </c>
      <c r="M3594">
        <v>268</v>
      </c>
      <c r="N3594">
        <v>321</v>
      </c>
      <c r="O3594">
        <v>1</v>
      </c>
      <c r="P3594">
        <v>321</v>
      </c>
      <c r="Q3594">
        <v>14</v>
      </c>
      <c r="R3594">
        <v>39</v>
      </c>
      <c r="S3594">
        <v>9</v>
      </c>
      <c r="T3594">
        <v>1</v>
      </c>
      <c r="U3594">
        <v>14</v>
      </c>
      <c r="V3594">
        <v>5</v>
      </c>
      <c r="W3594">
        <v>1</v>
      </c>
      <c r="X3594">
        <v>3</v>
      </c>
      <c r="Y3594">
        <v>194</v>
      </c>
      <c r="Z3594">
        <v>4</v>
      </c>
      <c r="AA3594">
        <v>1</v>
      </c>
      <c r="AB3594">
        <v>19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1</v>
      </c>
      <c r="AI3594">
        <v>0</v>
      </c>
      <c r="AJ3594">
        <v>0</v>
      </c>
      <c r="AK3594">
        <v>0</v>
      </c>
      <c r="AL3594">
        <v>4</v>
      </c>
      <c r="AM3594">
        <v>1</v>
      </c>
      <c r="AN3594">
        <v>1</v>
      </c>
      <c r="AT3594">
        <v>0</v>
      </c>
      <c r="AU3594">
        <v>10</v>
      </c>
      <c r="AV3594">
        <v>321</v>
      </c>
      <c r="AW3594">
        <v>321</v>
      </c>
      <c r="AX3594">
        <v>567</v>
      </c>
      <c r="BA3594">
        <v>1</v>
      </c>
      <c r="BC3594" t="s">
        <v>7293</v>
      </c>
      <c r="BD3594" s="4">
        <v>43283.143750000003</v>
      </c>
      <c r="BE3594" s="4">
        <v>43283.148425925923</v>
      </c>
      <c r="BF3594" s="4">
        <v>43283.148425925923</v>
      </c>
      <c r="BG3594" t="s">
        <v>83</v>
      </c>
      <c r="BH3594" t="s">
        <v>84</v>
      </c>
      <c r="BI3594" t="s">
        <v>85</v>
      </c>
    </row>
    <row r="3595" spans="1:61" x14ac:dyDescent="0.3">
      <c r="A3595" t="str">
        <f>"200934C0100"</f>
        <v>200934C0100</v>
      </c>
      <c r="B3595" t="s">
        <v>7294</v>
      </c>
      <c r="C3595">
        <v>20</v>
      </c>
      <c r="D3595" t="s">
        <v>79</v>
      </c>
      <c r="E3595">
        <v>17</v>
      </c>
      <c r="F3595" t="s">
        <v>7160</v>
      </c>
      <c r="G3595">
        <v>934</v>
      </c>
      <c r="H3595">
        <v>1</v>
      </c>
      <c r="I3595" t="s">
        <v>89</v>
      </c>
      <c r="J3595">
        <v>0</v>
      </c>
      <c r="K3595">
        <v>1</v>
      </c>
      <c r="L3595">
        <v>2</v>
      </c>
      <c r="M3595">
        <v>233</v>
      </c>
      <c r="N3595">
        <v>355</v>
      </c>
      <c r="O3595">
        <v>3</v>
      </c>
      <c r="P3595">
        <v>355</v>
      </c>
      <c r="Q3595">
        <v>19</v>
      </c>
      <c r="R3595">
        <v>38</v>
      </c>
      <c r="S3595">
        <v>6</v>
      </c>
      <c r="T3595">
        <v>4</v>
      </c>
      <c r="U3595">
        <v>17</v>
      </c>
      <c r="V3595">
        <v>4</v>
      </c>
      <c r="W3595">
        <v>3</v>
      </c>
      <c r="X3595">
        <v>2</v>
      </c>
      <c r="Y3595">
        <v>225</v>
      </c>
      <c r="Z3595">
        <v>0</v>
      </c>
      <c r="AA3595">
        <v>0</v>
      </c>
      <c r="AB3595">
        <v>15</v>
      </c>
      <c r="AC3595">
        <v>0</v>
      </c>
      <c r="AD3595">
        <v>0</v>
      </c>
      <c r="AE3595">
        <v>0</v>
      </c>
      <c r="AF3595">
        <v>0</v>
      </c>
      <c r="AG3595">
        <v>1</v>
      </c>
      <c r="AH3595">
        <v>2</v>
      </c>
      <c r="AI3595">
        <v>2</v>
      </c>
      <c r="AJ3595">
        <v>0</v>
      </c>
      <c r="AK3595">
        <v>5</v>
      </c>
      <c r="AL3595">
        <v>2</v>
      </c>
      <c r="AM3595">
        <v>1</v>
      </c>
      <c r="AN3595">
        <v>0</v>
      </c>
      <c r="AT3595">
        <v>0</v>
      </c>
      <c r="AU3595">
        <v>9</v>
      </c>
      <c r="AV3595">
        <v>355</v>
      </c>
      <c r="AW3595">
        <v>355</v>
      </c>
      <c r="AX3595">
        <v>566</v>
      </c>
      <c r="BA3595">
        <v>1</v>
      </c>
      <c r="BC3595" t="s">
        <v>7295</v>
      </c>
      <c r="BD3595" s="4">
        <v>43283.143750000003</v>
      </c>
      <c r="BE3595" s="4">
        <v>43283.151087962964</v>
      </c>
      <c r="BF3595" s="4">
        <v>43283.151087962964</v>
      </c>
      <c r="BG3595" t="s">
        <v>83</v>
      </c>
      <c r="BH3595" t="s">
        <v>84</v>
      </c>
      <c r="BI3595" t="s">
        <v>85</v>
      </c>
    </row>
    <row r="3596" spans="1:61" x14ac:dyDescent="0.3">
      <c r="A3596" t="str">
        <f>"200935B0100"</f>
        <v>200935B0100</v>
      </c>
      <c r="B3596" t="s">
        <v>7296</v>
      </c>
      <c r="C3596">
        <v>20</v>
      </c>
      <c r="D3596" t="s">
        <v>79</v>
      </c>
      <c r="E3596">
        <v>17</v>
      </c>
      <c r="F3596" t="s">
        <v>7160</v>
      </c>
      <c r="G3596">
        <v>935</v>
      </c>
      <c r="H3596">
        <v>1</v>
      </c>
      <c r="I3596" t="s">
        <v>81</v>
      </c>
      <c r="J3596">
        <v>0</v>
      </c>
      <c r="K3596">
        <v>1</v>
      </c>
      <c r="L3596">
        <v>2</v>
      </c>
      <c r="M3596">
        <v>175</v>
      </c>
      <c r="N3596">
        <v>223</v>
      </c>
      <c r="O3596">
        <v>3</v>
      </c>
      <c r="P3596">
        <v>229</v>
      </c>
      <c r="Q3596">
        <v>17</v>
      </c>
      <c r="R3596">
        <v>37</v>
      </c>
      <c r="S3596">
        <v>4</v>
      </c>
      <c r="T3596">
        <v>3</v>
      </c>
      <c r="U3596">
        <v>17</v>
      </c>
      <c r="V3596">
        <v>2</v>
      </c>
      <c r="W3596">
        <v>2</v>
      </c>
      <c r="X3596">
        <v>0</v>
      </c>
      <c r="Y3596">
        <v>119</v>
      </c>
      <c r="Z3596">
        <v>3</v>
      </c>
      <c r="AA3596">
        <v>0</v>
      </c>
      <c r="AB3596">
        <v>8</v>
      </c>
      <c r="AC3596">
        <v>0</v>
      </c>
      <c r="AD3596">
        <v>0</v>
      </c>
      <c r="AE3596">
        <v>0</v>
      </c>
      <c r="AF3596">
        <v>0</v>
      </c>
      <c r="AG3596">
        <v>1</v>
      </c>
      <c r="AH3596">
        <v>2</v>
      </c>
      <c r="AI3596">
        <v>0</v>
      </c>
      <c r="AJ3596">
        <v>0</v>
      </c>
      <c r="AK3596">
        <v>2</v>
      </c>
      <c r="AL3596">
        <v>1</v>
      </c>
      <c r="AM3596">
        <v>0</v>
      </c>
      <c r="AN3596">
        <v>2</v>
      </c>
      <c r="AT3596">
        <v>0</v>
      </c>
      <c r="AU3596">
        <v>9</v>
      </c>
      <c r="AV3596">
        <v>229</v>
      </c>
      <c r="AW3596">
        <v>229</v>
      </c>
      <c r="AX3596">
        <v>382</v>
      </c>
      <c r="BA3596">
        <v>1</v>
      </c>
      <c r="BC3596" t="s">
        <v>7297</v>
      </c>
      <c r="BD3596" s="4">
        <v>43283.143750000003</v>
      </c>
      <c r="BE3596" s="4">
        <v>43283.148287037038</v>
      </c>
      <c r="BF3596" s="4">
        <v>43283.148287037038</v>
      </c>
      <c r="BG3596" t="s">
        <v>83</v>
      </c>
      <c r="BH3596" t="s">
        <v>84</v>
      </c>
      <c r="BI3596" t="s">
        <v>85</v>
      </c>
    </row>
    <row r="3597" spans="1:61" x14ac:dyDescent="0.3">
      <c r="A3597" t="str">
        <f>"200935C0100"</f>
        <v>200935C0100</v>
      </c>
      <c r="B3597" t="s">
        <v>7298</v>
      </c>
      <c r="C3597">
        <v>20</v>
      </c>
      <c r="D3597" t="s">
        <v>79</v>
      </c>
      <c r="E3597">
        <v>17</v>
      </c>
      <c r="F3597" t="s">
        <v>7160</v>
      </c>
      <c r="G3597">
        <v>935</v>
      </c>
      <c r="H3597">
        <v>1</v>
      </c>
      <c r="I3597" t="s">
        <v>89</v>
      </c>
      <c r="J3597">
        <v>0</v>
      </c>
      <c r="K3597">
        <v>1</v>
      </c>
      <c r="L3597">
        <v>2</v>
      </c>
      <c r="M3597">
        <v>205</v>
      </c>
      <c r="N3597">
        <v>199</v>
      </c>
      <c r="O3597">
        <v>2</v>
      </c>
      <c r="P3597">
        <v>198</v>
      </c>
      <c r="Q3597">
        <v>8</v>
      </c>
      <c r="R3597">
        <v>44</v>
      </c>
      <c r="S3597">
        <v>4</v>
      </c>
      <c r="T3597">
        <v>5</v>
      </c>
      <c r="U3597">
        <v>18</v>
      </c>
      <c r="V3597">
        <v>4</v>
      </c>
      <c r="W3597">
        <v>0</v>
      </c>
      <c r="X3597">
        <v>1</v>
      </c>
      <c r="Y3597">
        <v>96</v>
      </c>
      <c r="Z3597">
        <v>2</v>
      </c>
      <c r="AA3597">
        <v>0</v>
      </c>
      <c r="AB3597">
        <v>9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1</v>
      </c>
      <c r="AL3597">
        <v>1</v>
      </c>
      <c r="AM3597">
        <v>0</v>
      </c>
      <c r="AN3597">
        <v>0</v>
      </c>
      <c r="AT3597">
        <v>0</v>
      </c>
      <c r="AU3597">
        <v>5</v>
      </c>
      <c r="AV3597">
        <v>198</v>
      </c>
      <c r="AW3597">
        <v>198</v>
      </c>
      <c r="AX3597">
        <v>382</v>
      </c>
      <c r="BA3597">
        <v>1</v>
      </c>
      <c r="BC3597" t="s">
        <v>7299</v>
      </c>
      <c r="BD3597" s="4">
        <v>43283.143750000003</v>
      </c>
      <c r="BE3597" s="4">
        <v>43283.151030092595</v>
      </c>
      <c r="BF3597" s="4">
        <v>43283.151030092595</v>
      </c>
      <c r="BG3597" t="s">
        <v>83</v>
      </c>
      <c r="BH3597" t="s">
        <v>84</v>
      </c>
      <c r="BI3597" t="s">
        <v>85</v>
      </c>
    </row>
    <row r="3598" spans="1:61" x14ac:dyDescent="0.3">
      <c r="A3598" t="str">
        <f>"200936B0100"</f>
        <v>200936B0100</v>
      </c>
      <c r="B3598" t="s">
        <v>7300</v>
      </c>
      <c r="C3598">
        <v>20</v>
      </c>
      <c r="D3598" t="s">
        <v>79</v>
      </c>
      <c r="E3598">
        <v>17</v>
      </c>
      <c r="F3598" t="s">
        <v>7160</v>
      </c>
      <c r="G3598">
        <v>936</v>
      </c>
      <c r="H3598">
        <v>1</v>
      </c>
      <c r="I3598" t="s">
        <v>81</v>
      </c>
      <c r="J3598">
        <v>0</v>
      </c>
      <c r="K3598">
        <v>1</v>
      </c>
      <c r="L3598">
        <v>2</v>
      </c>
      <c r="M3598">
        <v>297</v>
      </c>
      <c r="N3598">
        <v>367</v>
      </c>
      <c r="O3598">
        <v>0</v>
      </c>
      <c r="P3598">
        <v>367</v>
      </c>
      <c r="Q3598">
        <v>34</v>
      </c>
      <c r="R3598">
        <v>85</v>
      </c>
      <c r="S3598">
        <v>1</v>
      </c>
      <c r="T3598">
        <v>15</v>
      </c>
      <c r="U3598">
        <v>23</v>
      </c>
      <c r="V3598">
        <v>9</v>
      </c>
      <c r="W3598">
        <v>4</v>
      </c>
      <c r="X3598">
        <v>6</v>
      </c>
      <c r="Y3598">
        <v>145</v>
      </c>
      <c r="Z3598">
        <v>3</v>
      </c>
      <c r="AA3598">
        <v>0</v>
      </c>
      <c r="AB3598">
        <v>15</v>
      </c>
      <c r="AC3598">
        <v>0</v>
      </c>
      <c r="AD3598">
        <v>0</v>
      </c>
      <c r="AE3598">
        <v>0</v>
      </c>
      <c r="AF3598">
        <v>0</v>
      </c>
      <c r="AG3598">
        <v>1</v>
      </c>
      <c r="AH3598">
        <v>3</v>
      </c>
      <c r="AI3598">
        <v>0</v>
      </c>
      <c r="AJ3598">
        <v>0</v>
      </c>
      <c r="AK3598">
        <v>11</v>
      </c>
      <c r="AL3598">
        <v>2</v>
      </c>
      <c r="AM3598">
        <v>0</v>
      </c>
      <c r="AN3598">
        <v>0</v>
      </c>
      <c r="AT3598">
        <v>0</v>
      </c>
      <c r="AU3598">
        <v>10</v>
      </c>
      <c r="AV3598">
        <v>367</v>
      </c>
      <c r="AW3598">
        <v>367</v>
      </c>
      <c r="AX3598">
        <v>643</v>
      </c>
      <c r="BA3598">
        <v>1</v>
      </c>
      <c r="BC3598" t="s">
        <v>7301</v>
      </c>
      <c r="BD3598" s="4">
        <v>43283.065057870372</v>
      </c>
      <c r="BE3598" s="4">
        <v>43283.069340277776</v>
      </c>
      <c r="BF3598" s="4">
        <v>43283.069340277776</v>
      </c>
      <c r="BG3598" t="s">
        <v>373</v>
      </c>
      <c r="BH3598" t="s">
        <v>374</v>
      </c>
      <c r="BI3598" t="s">
        <v>85</v>
      </c>
    </row>
    <row r="3599" spans="1:61" x14ac:dyDescent="0.3">
      <c r="A3599" t="str">
        <f>"200936C0100"</f>
        <v>200936C0100</v>
      </c>
      <c r="B3599" t="s">
        <v>7302</v>
      </c>
      <c r="C3599">
        <v>20</v>
      </c>
      <c r="D3599" t="s">
        <v>79</v>
      </c>
      <c r="E3599">
        <v>17</v>
      </c>
      <c r="F3599" t="s">
        <v>7160</v>
      </c>
      <c r="G3599">
        <v>936</v>
      </c>
      <c r="H3599">
        <v>1</v>
      </c>
      <c r="I3599" t="s">
        <v>89</v>
      </c>
      <c r="J3599">
        <v>0</v>
      </c>
      <c r="K3599">
        <v>1</v>
      </c>
      <c r="L3599">
        <v>2</v>
      </c>
      <c r="M3599">
        <v>295</v>
      </c>
      <c r="N3599">
        <v>664</v>
      </c>
      <c r="O3599">
        <v>1</v>
      </c>
      <c r="P3599">
        <v>366</v>
      </c>
      <c r="Q3599">
        <v>24</v>
      </c>
      <c r="R3599">
        <v>83</v>
      </c>
      <c r="S3599">
        <v>12</v>
      </c>
      <c r="T3599">
        <v>9</v>
      </c>
      <c r="U3599">
        <v>22</v>
      </c>
      <c r="V3599">
        <v>7</v>
      </c>
      <c r="W3599">
        <v>3</v>
      </c>
      <c r="X3599">
        <v>3</v>
      </c>
      <c r="Y3599">
        <v>142</v>
      </c>
      <c r="Z3599">
        <v>11</v>
      </c>
      <c r="AA3599">
        <v>1</v>
      </c>
      <c r="AB3599">
        <v>15</v>
      </c>
      <c r="AC3599">
        <v>1</v>
      </c>
      <c r="AD3599">
        <v>0</v>
      </c>
      <c r="AE3599">
        <v>0</v>
      </c>
      <c r="AF3599">
        <v>0</v>
      </c>
      <c r="AG3599">
        <v>3</v>
      </c>
      <c r="AH3599">
        <v>4</v>
      </c>
      <c r="AI3599">
        <v>0</v>
      </c>
      <c r="AJ3599">
        <v>1</v>
      </c>
      <c r="AK3599">
        <v>6</v>
      </c>
      <c r="AL3599">
        <v>3</v>
      </c>
      <c r="AM3599">
        <v>0</v>
      </c>
      <c r="AN3599">
        <v>1</v>
      </c>
      <c r="AT3599">
        <v>0</v>
      </c>
      <c r="AU3599">
        <v>20</v>
      </c>
      <c r="AV3599">
        <v>366</v>
      </c>
      <c r="AW3599">
        <v>371</v>
      </c>
      <c r="AX3599">
        <v>643</v>
      </c>
      <c r="BA3599">
        <v>1</v>
      </c>
      <c r="BC3599" t="s">
        <v>7303</v>
      </c>
      <c r="BD3599" s="4">
        <v>43283.063599537039</v>
      </c>
      <c r="BE3599" s="4">
        <v>43283.070937500001</v>
      </c>
      <c r="BF3599" s="4">
        <v>43283.070937500001</v>
      </c>
      <c r="BG3599" t="s">
        <v>373</v>
      </c>
      <c r="BH3599" t="s">
        <v>374</v>
      </c>
      <c r="BI3599" t="s">
        <v>85</v>
      </c>
    </row>
    <row r="3600" spans="1:61" x14ac:dyDescent="0.3">
      <c r="A3600" t="str">
        <f>"200937B0100"</f>
        <v>200937B0100</v>
      </c>
      <c r="B3600" t="s">
        <v>7304</v>
      </c>
      <c r="C3600">
        <v>20</v>
      </c>
      <c r="D3600" t="s">
        <v>79</v>
      </c>
      <c r="E3600">
        <v>17</v>
      </c>
      <c r="F3600" t="s">
        <v>7160</v>
      </c>
      <c r="G3600">
        <v>937</v>
      </c>
      <c r="H3600">
        <v>1</v>
      </c>
      <c r="I3600" t="s">
        <v>81</v>
      </c>
      <c r="J3600">
        <v>0</v>
      </c>
      <c r="K3600">
        <v>1</v>
      </c>
      <c r="L3600">
        <v>2</v>
      </c>
      <c r="M3600">
        <v>200</v>
      </c>
      <c r="N3600">
        <v>274</v>
      </c>
      <c r="O3600">
        <v>0</v>
      </c>
      <c r="P3600">
        <v>274</v>
      </c>
      <c r="Q3600">
        <v>20</v>
      </c>
      <c r="R3600">
        <v>46</v>
      </c>
      <c r="S3600">
        <v>1</v>
      </c>
      <c r="T3600">
        <v>7</v>
      </c>
      <c r="U3600">
        <v>15</v>
      </c>
      <c r="V3600">
        <v>7</v>
      </c>
      <c r="W3600">
        <v>3</v>
      </c>
      <c r="X3600">
        <v>2</v>
      </c>
      <c r="Y3600">
        <v>119</v>
      </c>
      <c r="Z3600">
        <v>6</v>
      </c>
      <c r="AA3600">
        <v>0</v>
      </c>
      <c r="AB3600">
        <v>12</v>
      </c>
      <c r="AC3600">
        <v>1</v>
      </c>
      <c r="AD3600">
        <v>0</v>
      </c>
      <c r="AE3600">
        <v>0</v>
      </c>
      <c r="AF3600">
        <v>0</v>
      </c>
      <c r="AG3600">
        <v>1</v>
      </c>
      <c r="AH3600">
        <v>1</v>
      </c>
      <c r="AI3600">
        <v>0</v>
      </c>
      <c r="AJ3600">
        <v>0</v>
      </c>
      <c r="AK3600">
        <v>6</v>
      </c>
      <c r="AL3600">
        <v>2</v>
      </c>
      <c r="AM3600">
        <v>0</v>
      </c>
      <c r="AN3600">
        <v>1</v>
      </c>
      <c r="AT3600">
        <v>0</v>
      </c>
      <c r="AU3600">
        <v>24</v>
      </c>
      <c r="AV3600">
        <v>274</v>
      </c>
      <c r="AW3600">
        <v>274</v>
      </c>
      <c r="AX3600">
        <v>452</v>
      </c>
      <c r="BA3600">
        <v>1</v>
      </c>
      <c r="BC3600" t="s">
        <v>7305</v>
      </c>
      <c r="BD3600" s="4">
        <v>43282.939201388886</v>
      </c>
      <c r="BE3600" s="4">
        <v>43282.942812499998</v>
      </c>
      <c r="BF3600" s="4">
        <v>43282.942812499998</v>
      </c>
      <c r="BG3600" t="s">
        <v>373</v>
      </c>
      <c r="BH3600" t="s">
        <v>374</v>
      </c>
      <c r="BI3600" t="s">
        <v>85</v>
      </c>
    </row>
    <row r="3601" spans="1:61" x14ac:dyDescent="0.3">
      <c r="A3601" t="str">
        <f>"200937C0100"</f>
        <v>200937C0100</v>
      </c>
      <c r="B3601" t="s">
        <v>7306</v>
      </c>
      <c r="C3601">
        <v>20</v>
      </c>
      <c r="D3601" t="s">
        <v>79</v>
      </c>
      <c r="E3601">
        <v>17</v>
      </c>
      <c r="F3601" t="s">
        <v>7160</v>
      </c>
      <c r="G3601">
        <v>937</v>
      </c>
      <c r="H3601">
        <v>1</v>
      </c>
      <c r="I3601" t="s">
        <v>89</v>
      </c>
      <c r="J3601">
        <v>0</v>
      </c>
      <c r="K3601">
        <v>1</v>
      </c>
      <c r="L3601">
        <v>2</v>
      </c>
      <c r="M3601">
        <v>201</v>
      </c>
      <c r="N3601">
        <v>273</v>
      </c>
      <c r="O3601">
        <v>0</v>
      </c>
      <c r="P3601">
        <v>273</v>
      </c>
      <c r="Q3601">
        <v>23</v>
      </c>
      <c r="R3601">
        <v>66</v>
      </c>
      <c r="S3601">
        <v>6</v>
      </c>
      <c r="T3601">
        <v>11</v>
      </c>
      <c r="U3601">
        <v>17</v>
      </c>
      <c r="V3601">
        <v>5</v>
      </c>
      <c r="W3601">
        <v>6</v>
      </c>
      <c r="X3601">
        <v>6</v>
      </c>
      <c r="Y3601">
        <v>98</v>
      </c>
      <c r="Z3601">
        <v>4</v>
      </c>
      <c r="AA3601">
        <v>1</v>
      </c>
      <c r="AB3601">
        <v>7</v>
      </c>
      <c r="AC3601">
        <v>1</v>
      </c>
      <c r="AD3601">
        <v>0</v>
      </c>
      <c r="AE3601">
        <v>0</v>
      </c>
      <c r="AF3601">
        <v>0</v>
      </c>
      <c r="AG3601">
        <v>0</v>
      </c>
      <c r="AH3601">
        <v>3</v>
      </c>
      <c r="AI3601">
        <v>0</v>
      </c>
      <c r="AJ3601">
        <v>0</v>
      </c>
      <c r="AK3601">
        <v>3</v>
      </c>
      <c r="AL3601">
        <v>2</v>
      </c>
      <c r="AM3601">
        <v>0</v>
      </c>
      <c r="AN3601">
        <v>0</v>
      </c>
      <c r="AT3601">
        <v>2</v>
      </c>
      <c r="AU3601">
        <v>12</v>
      </c>
      <c r="AV3601">
        <v>273</v>
      </c>
      <c r="AW3601">
        <v>273</v>
      </c>
      <c r="AX3601">
        <v>452</v>
      </c>
      <c r="BA3601">
        <v>1</v>
      </c>
      <c r="BC3601" t="s">
        <v>7307</v>
      </c>
      <c r="BD3601" s="4">
        <v>43282.942314814813</v>
      </c>
      <c r="BE3601" s="4">
        <v>43282.945833333331</v>
      </c>
      <c r="BF3601" s="4">
        <v>43282.945833333331</v>
      </c>
      <c r="BG3601" t="s">
        <v>373</v>
      </c>
      <c r="BH3601" t="s">
        <v>374</v>
      </c>
      <c r="BI3601" t="s">
        <v>85</v>
      </c>
    </row>
    <row r="3602" spans="1:61" x14ac:dyDescent="0.3">
      <c r="A3602" t="str">
        <f>"200955B0100"</f>
        <v>200955B0100</v>
      </c>
      <c r="B3602" t="s">
        <v>7308</v>
      </c>
      <c r="C3602">
        <v>20</v>
      </c>
      <c r="D3602" t="s">
        <v>79</v>
      </c>
      <c r="E3602">
        <v>17</v>
      </c>
      <c r="F3602" t="s">
        <v>7160</v>
      </c>
      <c r="G3602">
        <v>955</v>
      </c>
      <c r="H3602">
        <v>1</v>
      </c>
      <c r="I3602" t="s">
        <v>81</v>
      </c>
      <c r="J3602">
        <v>0</v>
      </c>
      <c r="K3602">
        <v>1</v>
      </c>
      <c r="L3602">
        <v>2</v>
      </c>
      <c r="M3602">
        <v>419</v>
      </c>
      <c r="N3602">
        <v>228</v>
      </c>
      <c r="O3602">
        <v>0</v>
      </c>
      <c r="P3602">
        <v>228</v>
      </c>
      <c r="Q3602">
        <v>29</v>
      </c>
      <c r="R3602">
        <v>20</v>
      </c>
      <c r="S3602">
        <v>4</v>
      </c>
      <c r="T3602">
        <v>15</v>
      </c>
      <c r="U3602">
        <v>23</v>
      </c>
      <c r="V3602">
        <v>6</v>
      </c>
      <c r="W3602">
        <v>1</v>
      </c>
      <c r="X3602">
        <v>11</v>
      </c>
      <c r="Y3602">
        <v>93</v>
      </c>
      <c r="Z3602">
        <v>2</v>
      </c>
      <c r="AA3602">
        <v>0</v>
      </c>
      <c r="AB3602">
        <v>2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2</v>
      </c>
      <c r="AL3602">
        <v>0</v>
      </c>
      <c r="AM3602">
        <v>0</v>
      </c>
      <c r="AN3602">
        <v>0</v>
      </c>
      <c r="AT3602">
        <v>0</v>
      </c>
      <c r="AU3602">
        <v>19</v>
      </c>
      <c r="AV3602">
        <v>228</v>
      </c>
      <c r="AW3602">
        <v>227</v>
      </c>
      <c r="AX3602">
        <v>625</v>
      </c>
      <c r="BA3602">
        <v>1</v>
      </c>
      <c r="BC3602" t="s">
        <v>7309</v>
      </c>
      <c r="BD3602" s="4">
        <v>43283.361805555556</v>
      </c>
      <c r="BE3602" s="4">
        <v>43283.373194444444</v>
      </c>
      <c r="BF3602" s="4">
        <v>43283.373194444444</v>
      </c>
      <c r="BG3602" t="s">
        <v>83</v>
      </c>
      <c r="BH3602" t="s">
        <v>84</v>
      </c>
      <c r="BI3602" t="s">
        <v>85</v>
      </c>
    </row>
    <row r="3603" spans="1:61" x14ac:dyDescent="0.3">
      <c r="A3603" t="str">
        <f>"200955C0100"</f>
        <v>200955C0100</v>
      </c>
      <c r="B3603" t="s">
        <v>7310</v>
      </c>
      <c r="C3603">
        <v>20</v>
      </c>
      <c r="D3603" t="s">
        <v>79</v>
      </c>
      <c r="E3603">
        <v>17</v>
      </c>
      <c r="F3603" t="s">
        <v>7160</v>
      </c>
      <c r="G3603">
        <v>955</v>
      </c>
      <c r="H3603">
        <v>1</v>
      </c>
      <c r="I3603" t="s">
        <v>89</v>
      </c>
      <c r="J3603">
        <v>0</v>
      </c>
      <c r="K3603">
        <v>1</v>
      </c>
      <c r="L3603">
        <v>2</v>
      </c>
      <c r="M3603">
        <v>393</v>
      </c>
      <c r="N3603">
        <v>260</v>
      </c>
      <c r="O3603">
        <v>0</v>
      </c>
      <c r="P3603">
        <v>260</v>
      </c>
      <c r="Q3603">
        <v>28</v>
      </c>
      <c r="R3603">
        <v>35</v>
      </c>
      <c r="S3603">
        <v>11</v>
      </c>
      <c r="T3603">
        <v>8</v>
      </c>
      <c r="U3603">
        <v>19</v>
      </c>
      <c r="V3603">
        <v>9</v>
      </c>
      <c r="W3603">
        <v>6</v>
      </c>
      <c r="X3603">
        <v>6</v>
      </c>
      <c r="Y3603">
        <v>108</v>
      </c>
      <c r="Z3603">
        <v>2</v>
      </c>
      <c r="AA3603">
        <v>0</v>
      </c>
      <c r="AB3603">
        <v>5</v>
      </c>
      <c r="AC3603">
        <v>1</v>
      </c>
      <c r="AD3603">
        <v>1</v>
      </c>
      <c r="AE3603">
        <v>0</v>
      </c>
      <c r="AF3603">
        <v>0</v>
      </c>
      <c r="AG3603">
        <v>2</v>
      </c>
      <c r="AH3603">
        <v>1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1</v>
      </c>
      <c r="AT3603">
        <v>0</v>
      </c>
      <c r="AU3603">
        <v>17</v>
      </c>
      <c r="AV3603">
        <v>260</v>
      </c>
      <c r="AW3603">
        <v>260</v>
      </c>
      <c r="AX3603">
        <v>625</v>
      </c>
      <c r="BA3603">
        <v>1</v>
      </c>
      <c r="BC3603" t="s">
        <v>7311</v>
      </c>
      <c r="BD3603" s="4">
        <v>43283.361805555556</v>
      </c>
      <c r="BE3603" s="4">
        <v>43283.37572916667</v>
      </c>
      <c r="BF3603" s="4">
        <v>43283.37572916667</v>
      </c>
      <c r="BG3603" t="s">
        <v>83</v>
      </c>
      <c r="BH3603" t="s">
        <v>84</v>
      </c>
      <c r="BI3603" t="s">
        <v>85</v>
      </c>
    </row>
    <row r="3604" spans="1:61" x14ac:dyDescent="0.3">
      <c r="A3604" t="str">
        <f>"200956B0100"</f>
        <v>200956B0100</v>
      </c>
      <c r="B3604" t="s">
        <v>7312</v>
      </c>
      <c r="C3604">
        <v>20</v>
      </c>
      <c r="D3604" t="s">
        <v>79</v>
      </c>
      <c r="E3604">
        <v>17</v>
      </c>
      <c r="F3604" t="s">
        <v>7160</v>
      </c>
      <c r="G3604">
        <v>956</v>
      </c>
      <c r="H3604">
        <v>1</v>
      </c>
      <c r="I3604" t="s">
        <v>81</v>
      </c>
      <c r="J3604">
        <v>0</v>
      </c>
      <c r="K3604">
        <v>2</v>
      </c>
      <c r="L3604">
        <v>2</v>
      </c>
      <c r="M3604">
        <v>346</v>
      </c>
      <c r="N3604">
        <v>377</v>
      </c>
      <c r="O3604">
        <v>1</v>
      </c>
      <c r="P3604">
        <v>377</v>
      </c>
      <c r="Q3604">
        <v>43</v>
      </c>
      <c r="R3604">
        <v>18</v>
      </c>
      <c r="S3604">
        <v>20</v>
      </c>
      <c r="T3604">
        <v>15</v>
      </c>
      <c r="U3604">
        <v>67</v>
      </c>
      <c r="V3604">
        <v>9</v>
      </c>
      <c r="W3604">
        <v>9</v>
      </c>
      <c r="X3604">
        <v>12</v>
      </c>
      <c r="Y3604">
        <v>127</v>
      </c>
      <c r="Z3604">
        <v>15</v>
      </c>
      <c r="AA3604">
        <v>6</v>
      </c>
      <c r="AB3604">
        <v>6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3</v>
      </c>
      <c r="AL3604">
        <v>1</v>
      </c>
      <c r="AM3604">
        <v>0</v>
      </c>
      <c r="AN3604">
        <v>1</v>
      </c>
      <c r="AT3604">
        <v>0</v>
      </c>
      <c r="AU3604">
        <v>25</v>
      </c>
      <c r="AV3604">
        <v>377</v>
      </c>
      <c r="AW3604">
        <v>377</v>
      </c>
      <c r="AX3604">
        <v>701</v>
      </c>
      <c r="BA3604">
        <v>1</v>
      </c>
      <c r="BC3604" t="s">
        <v>7313</v>
      </c>
      <c r="BD3604" s="4">
        <v>43283.361805555556</v>
      </c>
      <c r="BE3604" s="4">
        <v>43283.373969907407</v>
      </c>
      <c r="BF3604" s="4">
        <v>43283.373969907407</v>
      </c>
      <c r="BG3604" t="s">
        <v>83</v>
      </c>
      <c r="BH3604" t="s">
        <v>84</v>
      </c>
      <c r="BI3604" t="s">
        <v>85</v>
      </c>
    </row>
    <row r="3605" spans="1:61" x14ac:dyDescent="0.3">
      <c r="A3605" t="str">
        <f>"200957B0100"</f>
        <v>200957B0100</v>
      </c>
      <c r="B3605" t="s">
        <v>7314</v>
      </c>
      <c r="C3605">
        <v>20</v>
      </c>
      <c r="D3605" t="s">
        <v>79</v>
      </c>
      <c r="E3605">
        <v>17</v>
      </c>
      <c r="F3605" t="s">
        <v>7160</v>
      </c>
      <c r="G3605">
        <v>957</v>
      </c>
      <c r="H3605">
        <v>1</v>
      </c>
      <c r="I3605" t="s">
        <v>81</v>
      </c>
      <c r="J3605">
        <v>0</v>
      </c>
      <c r="K3605">
        <v>2</v>
      </c>
      <c r="L3605">
        <v>2</v>
      </c>
      <c r="M3605">
        <v>187</v>
      </c>
      <c r="N3605">
        <v>183</v>
      </c>
      <c r="O3605">
        <v>0</v>
      </c>
      <c r="P3605">
        <v>183</v>
      </c>
      <c r="Q3605">
        <v>14</v>
      </c>
      <c r="R3605">
        <v>7</v>
      </c>
      <c r="S3605">
        <v>10</v>
      </c>
      <c r="T3605">
        <v>6</v>
      </c>
      <c r="U3605">
        <v>23</v>
      </c>
      <c r="V3605">
        <v>3</v>
      </c>
      <c r="W3605">
        <v>11</v>
      </c>
      <c r="X3605">
        <v>9</v>
      </c>
      <c r="Y3605">
        <v>67</v>
      </c>
      <c r="Z3605">
        <v>3</v>
      </c>
      <c r="AA3605">
        <v>0</v>
      </c>
      <c r="AB3605">
        <v>4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2</v>
      </c>
      <c r="AL3605">
        <v>2</v>
      </c>
      <c r="AM3605">
        <v>0</v>
      </c>
      <c r="AN3605">
        <v>3</v>
      </c>
      <c r="AT3605">
        <v>0</v>
      </c>
      <c r="AU3605">
        <v>20</v>
      </c>
      <c r="AV3605">
        <v>183</v>
      </c>
      <c r="AW3605">
        <v>184</v>
      </c>
      <c r="AX3605">
        <v>348</v>
      </c>
      <c r="BA3605">
        <v>1</v>
      </c>
      <c r="BC3605" t="s">
        <v>7315</v>
      </c>
      <c r="BD3605" s="4">
        <v>43283.361805555556</v>
      </c>
      <c r="BE3605" s="4">
        <v>43283.395219907405</v>
      </c>
      <c r="BF3605" s="4">
        <v>43283.395219907405</v>
      </c>
      <c r="BG3605" t="s">
        <v>83</v>
      </c>
      <c r="BH3605" t="s">
        <v>84</v>
      </c>
      <c r="BI3605" t="s">
        <v>85</v>
      </c>
    </row>
    <row r="3606" spans="1:61" x14ac:dyDescent="0.3">
      <c r="A3606" t="str">
        <f>"200957E0100"</f>
        <v>200957E0100</v>
      </c>
      <c r="B3606" s="2" t="s">
        <v>7316</v>
      </c>
      <c r="C3606">
        <v>20</v>
      </c>
      <c r="D3606" t="s">
        <v>79</v>
      </c>
      <c r="E3606">
        <v>17</v>
      </c>
      <c r="F3606" t="s">
        <v>7160</v>
      </c>
      <c r="G3606">
        <v>957</v>
      </c>
      <c r="H3606">
        <v>1</v>
      </c>
      <c r="I3606" t="s">
        <v>145</v>
      </c>
      <c r="J3606">
        <v>0</v>
      </c>
      <c r="K3606">
        <v>2</v>
      </c>
      <c r="L3606">
        <v>2</v>
      </c>
      <c r="M3606">
        <v>287</v>
      </c>
      <c r="N3606">
        <v>282</v>
      </c>
      <c r="O3606">
        <v>2</v>
      </c>
      <c r="P3606">
        <v>282</v>
      </c>
      <c r="Q3606">
        <v>1</v>
      </c>
      <c r="R3606">
        <v>5</v>
      </c>
      <c r="S3606">
        <v>6</v>
      </c>
      <c r="T3606">
        <v>3</v>
      </c>
      <c r="U3606">
        <v>26</v>
      </c>
      <c r="V3606">
        <v>3</v>
      </c>
      <c r="W3606">
        <v>7</v>
      </c>
      <c r="X3606">
        <v>3</v>
      </c>
      <c r="Y3606">
        <v>179</v>
      </c>
      <c r="Z3606">
        <v>10</v>
      </c>
      <c r="AA3606">
        <v>2</v>
      </c>
      <c r="AB3606">
        <v>1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16</v>
      </c>
      <c r="AL3606">
        <v>2</v>
      </c>
      <c r="AM3606">
        <v>2</v>
      </c>
      <c r="AN3606">
        <v>2</v>
      </c>
      <c r="AT3606">
        <v>0</v>
      </c>
      <c r="AU3606">
        <v>13</v>
      </c>
      <c r="AV3606">
        <v>282</v>
      </c>
      <c r="AW3606">
        <v>281</v>
      </c>
      <c r="AX3606">
        <v>547</v>
      </c>
      <c r="BA3606">
        <v>1</v>
      </c>
      <c r="BC3606" t="s">
        <v>7317</v>
      </c>
      <c r="BD3606" s="4">
        <v>43283.361805555556</v>
      </c>
      <c r="BE3606" s="4">
        <v>43283.375254629631</v>
      </c>
      <c r="BF3606" s="4">
        <v>43283.375254629631</v>
      </c>
      <c r="BG3606" t="s">
        <v>83</v>
      </c>
      <c r="BH3606" t="s">
        <v>84</v>
      </c>
      <c r="BI3606" t="s">
        <v>85</v>
      </c>
    </row>
    <row r="3607" spans="1:61" x14ac:dyDescent="0.3">
      <c r="A3607" t="str">
        <f>"201133B0100"</f>
        <v>201133B0100</v>
      </c>
      <c r="B3607" t="s">
        <v>7318</v>
      </c>
      <c r="C3607">
        <v>20</v>
      </c>
      <c r="D3607" t="s">
        <v>79</v>
      </c>
      <c r="E3607">
        <v>17</v>
      </c>
      <c r="F3607" t="s">
        <v>7160</v>
      </c>
      <c r="G3607">
        <v>1133</v>
      </c>
      <c r="H3607">
        <v>1</v>
      </c>
      <c r="I3607" t="s">
        <v>81</v>
      </c>
      <c r="J3607">
        <v>0</v>
      </c>
      <c r="K3607">
        <v>1</v>
      </c>
      <c r="L3607">
        <v>2</v>
      </c>
      <c r="M3607">
        <v>257</v>
      </c>
      <c r="N3607">
        <v>281</v>
      </c>
      <c r="O3607">
        <v>0</v>
      </c>
      <c r="P3607">
        <v>281</v>
      </c>
      <c r="Q3607">
        <v>19</v>
      </c>
      <c r="R3607">
        <v>35</v>
      </c>
      <c r="S3607">
        <v>9</v>
      </c>
      <c r="T3607">
        <v>12</v>
      </c>
      <c r="U3607">
        <v>50</v>
      </c>
      <c r="V3607">
        <v>7</v>
      </c>
      <c r="W3607">
        <v>2</v>
      </c>
      <c r="X3607">
        <v>5</v>
      </c>
      <c r="Y3607">
        <v>93</v>
      </c>
      <c r="Z3607">
        <v>5</v>
      </c>
      <c r="AA3607">
        <v>1</v>
      </c>
      <c r="AB3607">
        <v>2</v>
      </c>
      <c r="AC3607">
        <v>0</v>
      </c>
      <c r="AD3607">
        <v>0</v>
      </c>
      <c r="AE3607">
        <v>3</v>
      </c>
      <c r="AF3607">
        <v>1</v>
      </c>
      <c r="AG3607">
        <v>1</v>
      </c>
      <c r="AH3607">
        <v>2</v>
      </c>
      <c r="AI3607">
        <v>0</v>
      </c>
      <c r="AJ3607">
        <v>0</v>
      </c>
      <c r="AK3607">
        <v>8</v>
      </c>
      <c r="AL3607">
        <v>2</v>
      </c>
      <c r="AM3607">
        <v>1</v>
      </c>
      <c r="AN3607">
        <v>2</v>
      </c>
      <c r="AT3607">
        <v>0</v>
      </c>
      <c r="AU3607">
        <v>22</v>
      </c>
      <c r="AV3607">
        <v>281</v>
      </c>
      <c r="AW3607">
        <v>282</v>
      </c>
      <c r="AX3607">
        <v>516</v>
      </c>
      <c r="BA3607">
        <v>1</v>
      </c>
      <c r="BC3607" t="s">
        <v>7319</v>
      </c>
      <c r="BD3607" s="4">
        <v>43283.165277777778</v>
      </c>
      <c r="BE3607" s="4">
        <v>43283.176493055558</v>
      </c>
      <c r="BF3607" s="4">
        <v>43283.176493055558</v>
      </c>
      <c r="BG3607" t="s">
        <v>83</v>
      </c>
      <c r="BH3607" t="s">
        <v>84</v>
      </c>
      <c r="BI3607" t="s">
        <v>85</v>
      </c>
    </row>
    <row r="3608" spans="1:61" x14ac:dyDescent="0.3">
      <c r="A3608" t="str">
        <f>"201133C0100"</f>
        <v>201133C0100</v>
      </c>
      <c r="B3608" t="s">
        <v>7320</v>
      </c>
      <c r="C3608">
        <v>20</v>
      </c>
      <c r="D3608" t="s">
        <v>79</v>
      </c>
      <c r="E3608">
        <v>17</v>
      </c>
      <c r="F3608" t="s">
        <v>7160</v>
      </c>
      <c r="G3608">
        <v>1133</v>
      </c>
      <c r="H3608">
        <v>1</v>
      </c>
      <c r="I3608" t="s">
        <v>89</v>
      </c>
      <c r="J3608">
        <v>0</v>
      </c>
      <c r="K3608">
        <v>1</v>
      </c>
      <c r="L3608">
        <v>2</v>
      </c>
      <c r="M3608">
        <v>249</v>
      </c>
      <c r="N3608">
        <v>288</v>
      </c>
      <c r="O3608">
        <v>1</v>
      </c>
      <c r="P3608">
        <v>288</v>
      </c>
      <c r="Q3608">
        <v>33</v>
      </c>
      <c r="R3608">
        <v>44</v>
      </c>
      <c r="S3608">
        <v>10</v>
      </c>
      <c r="T3608">
        <v>11</v>
      </c>
      <c r="U3608">
        <v>30</v>
      </c>
      <c r="V3608">
        <v>2</v>
      </c>
      <c r="W3608">
        <v>0</v>
      </c>
      <c r="X3608">
        <v>4</v>
      </c>
      <c r="Y3608">
        <v>102</v>
      </c>
      <c r="Z3608">
        <v>9</v>
      </c>
      <c r="AA3608">
        <v>0</v>
      </c>
      <c r="AB3608">
        <v>3</v>
      </c>
      <c r="AC3608">
        <v>3</v>
      </c>
      <c r="AD3608">
        <v>0</v>
      </c>
      <c r="AE3608">
        <v>0</v>
      </c>
      <c r="AF3608">
        <v>1</v>
      </c>
      <c r="AG3608">
        <v>0</v>
      </c>
      <c r="AH3608">
        <v>2</v>
      </c>
      <c r="AI3608">
        <v>0</v>
      </c>
      <c r="AJ3608">
        <v>0</v>
      </c>
      <c r="AK3608">
        <v>12</v>
      </c>
      <c r="AL3608">
        <v>7</v>
      </c>
      <c r="AM3608">
        <v>3</v>
      </c>
      <c r="AN3608">
        <v>0</v>
      </c>
      <c r="AT3608">
        <v>0</v>
      </c>
      <c r="AU3608">
        <v>12</v>
      </c>
      <c r="AV3608">
        <v>288</v>
      </c>
      <c r="AW3608">
        <v>288</v>
      </c>
      <c r="AX3608">
        <v>515</v>
      </c>
      <c r="BA3608">
        <v>1</v>
      </c>
      <c r="BC3608" s="2" t="s">
        <v>7321</v>
      </c>
      <c r="BD3608" s="4">
        <v>43283.165277777778</v>
      </c>
      <c r="BE3608" s="4">
        <v>43283.178611111114</v>
      </c>
      <c r="BF3608" s="4">
        <v>43283.178611111114</v>
      </c>
      <c r="BG3608" t="s">
        <v>83</v>
      </c>
      <c r="BH3608" t="s">
        <v>84</v>
      </c>
      <c r="BI3608" t="s">
        <v>85</v>
      </c>
    </row>
    <row r="3609" spans="1:61" x14ac:dyDescent="0.3">
      <c r="A3609" t="str">
        <f>"201137B0100"</f>
        <v>201137B0100</v>
      </c>
      <c r="B3609" t="s">
        <v>7322</v>
      </c>
      <c r="C3609">
        <v>20</v>
      </c>
      <c r="D3609" t="s">
        <v>79</v>
      </c>
      <c r="E3609">
        <v>17</v>
      </c>
      <c r="F3609" t="s">
        <v>7160</v>
      </c>
      <c r="G3609">
        <v>1137</v>
      </c>
      <c r="H3609">
        <v>1</v>
      </c>
      <c r="I3609" t="s">
        <v>81</v>
      </c>
      <c r="J3609">
        <v>0</v>
      </c>
      <c r="K3609">
        <v>1</v>
      </c>
      <c r="L3609">
        <v>2</v>
      </c>
      <c r="M3609">
        <v>403</v>
      </c>
      <c r="N3609">
        <v>336</v>
      </c>
      <c r="O3609">
        <v>0</v>
      </c>
      <c r="P3609">
        <v>336</v>
      </c>
      <c r="Q3609">
        <v>32</v>
      </c>
      <c r="R3609">
        <v>76</v>
      </c>
      <c r="S3609">
        <v>5</v>
      </c>
      <c r="T3609">
        <v>5</v>
      </c>
      <c r="U3609">
        <v>39</v>
      </c>
      <c r="V3609">
        <v>9</v>
      </c>
      <c r="W3609">
        <v>2</v>
      </c>
      <c r="X3609">
        <v>5</v>
      </c>
      <c r="Y3609">
        <v>104</v>
      </c>
      <c r="Z3609">
        <v>6</v>
      </c>
      <c r="AA3609">
        <v>4</v>
      </c>
      <c r="AB3609">
        <v>22</v>
      </c>
      <c r="AC3609">
        <v>1</v>
      </c>
      <c r="AD3609">
        <v>1</v>
      </c>
      <c r="AE3609">
        <v>1</v>
      </c>
      <c r="AF3609">
        <v>0</v>
      </c>
      <c r="AG3609">
        <v>0</v>
      </c>
      <c r="AH3609">
        <v>2</v>
      </c>
      <c r="AI3609">
        <v>1</v>
      </c>
      <c r="AJ3609">
        <v>1</v>
      </c>
      <c r="AK3609">
        <v>2</v>
      </c>
      <c r="AL3609">
        <v>2</v>
      </c>
      <c r="AM3609">
        <v>0</v>
      </c>
      <c r="AN3609">
        <v>0</v>
      </c>
      <c r="AT3609">
        <v>0</v>
      </c>
      <c r="AU3609">
        <v>16</v>
      </c>
      <c r="AV3609">
        <v>336</v>
      </c>
      <c r="AW3609">
        <v>336</v>
      </c>
      <c r="AX3609">
        <v>717</v>
      </c>
      <c r="BA3609">
        <v>1</v>
      </c>
      <c r="BC3609" t="s">
        <v>7323</v>
      </c>
      <c r="BD3609" s="4">
        <v>43283.063194444447</v>
      </c>
      <c r="BE3609" s="4">
        <v>43283.071006944447</v>
      </c>
      <c r="BF3609" s="4">
        <v>43283.071006944447</v>
      </c>
      <c r="BG3609" t="s">
        <v>83</v>
      </c>
      <c r="BH3609" t="s">
        <v>84</v>
      </c>
      <c r="BI3609" t="s">
        <v>85</v>
      </c>
    </row>
    <row r="3610" spans="1:61" x14ac:dyDescent="0.3">
      <c r="A3610" t="str">
        <f>"201137C0100"</f>
        <v>201137C0100</v>
      </c>
      <c r="B3610" t="s">
        <v>7324</v>
      </c>
      <c r="C3610">
        <v>20</v>
      </c>
      <c r="D3610" t="s">
        <v>79</v>
      </c>
      <c r="E3610">
        <v>17</v>
      </c>
      <c r="F3610" t="s">
        <v>7160</v>
      </c>
      <c r="G3610">
        <v>1137</v>
      </c>
      <c r="H3610">
        <v>1</v>
      </c>
      <c r="I3610" t="s">
        <v>89</v>
      </c>
      <c r="J3610">
        <v>0</v>
      </c>
      <c r="K3610">
        <v>1</v>
      </c>
      <c r="L3610">
        <v>2</v>
      </c>
      <c r="M3610">
        <v>471</v>
      </c>
      <c r="N3610">
        <v>737</v>
      </c>
      <c r="O3610">
        <v>0</v>
      </c>
      <c r="P3610">
        <v>266</v>
      </c>
      <c r="Q3610">
        <v>22</v>
      </c>
      <c r="R3610">
        <v>68</v>
      </c>
      <c r="S3610">
        <v>6</v>
      </c>
      <c r="T3610">
        <v>10</v>
      </c>
      <c r="U3610">
        <v>23</v>
      </c>
      <c r="V3610">
        <v>2</v>
      </c>
      <c r="W3610">
        <v>2</v>
      </c>
      <c r="X3610">
        <v>4</v>
      </c>
      <c r="Y3610">
        <v>98</v>
      </c>
      <c r="Z3610">
        <v>1</v>
      </c>
      <c r="AA3610">
        <v>1</v>
      </c>
      <c r="AB3610">
        <v>10</v>
      </c>
      <c r="AC3610">
        <v>0</v>
      </c>
      <c r="AD3610">
        <v>0</v>
      </c>
      <c r="AE3610">
        <v>0</v>
      </c>
      <c r="AF3610">
        <v>0</v>
      </c>
      <c r="AG3610">
        <v>1</v>
      </c>
      <c r="AH3610">
        <v>0</v>
      </c>
      <c r="AI3610">
        <v>0</v>
      </c>
      <c r="AJ3610">
        <v>0</v>
      </c>
      <c r="AK3610">
        <v>4</v>
      </c>
      <c r="AL3610">
        <v>3</v>
      </c>
      <c r="AM3610">
        <v>0</v>
      </c>
      <c r="AN3610">
        <v>2</v>
      </c>
      <c r="AT3610">
        <v>0</v>
      </c>
      <c r="AU3610">
        <v>8</v>
      </c>
      <c r="AV3610" t="s">
        <v>100</v>
      </c>
      <c r="AW3610">
        <v>265</v>
      </c>
      <c r="AX3610">
        <v>716</v>
      </c>
      <c r="BA3610">
        <v>1</v>
      </c>
      <c r="BC3610" t="s">
        <v>7325</v>
      </c>
      <c r="BD3610" s="4">
        <v>43283.063194444447</v>
      </c>
      <c r="BE3610" s="4">
        <v>43283.069166666668</v>
      </c>
      <c r="BF3610" s="4">
        <v>43283.069166666668</v>
      </c>
      <c r="BG3610" t="s">
        <v>83</v>
      </c>
      <c r="BH3610" t="s">
        <v>84</v>
      </c>
      <c r="BI3610" t="s">
        <v>85</v>
      </c>
    </row>
    <row r="3611" spans="1:61" x14ac:dyDescent="0.3">
      <c r="A3611" t="str">
        <f>"201138B0100"</f>
        <v>201138B0100</v>
      </c>
      <c r="B3611" t="s">
        <v>7326</v>
      </c>
      <c r="C3611">
        <v>20</v>
      </c>
      <c r="D3611" t="s">
        <v>79</v>
      </c>
      <c r="E3611">
        <v>17</v>
      </c>
      <c r="F3611" t="s">
        <v>7160</v>
      </c>
      <c r="G3611">
        <v>1138</v>
      </c>
      <c r="H3611">
        <v>1</v>
      </c>
      <c r="I3611" t="s">
        <v>81</v>
      </c>
      <c r="J3611">
        <v>0</v>
      </c>
      <c r="K3611">
        <v>1</v>
      </c>
      <c r="L3611">
        <v>2</v>
      </c>
      <c r="M3611">
        <v>274</v>
      </c>
      <c r="N3611">
        <v>221</v>
      </c>
      <c r="O3611">
        <v>0</v>
      </c>
      <c r="P3611">
        <v>221</v>
      </c>
      <c r="Q3611">
        <v>22</v>
      </c>
      <c r="R3611">
        <v>39</v>
      </c>
      <c r="S3611">
        <v>4</v>
      </c>
      <c r="T3611">
        <v>3</v>
      </c>
      <c r="U3611">
        <v>20</v>
      </c>
      <c r="V3611">
        <v>1</v>
      </c>
      <c r="W3611">
        <v>1</v>
      </c>
      <c r="X3611">
        <v>1</v>
      </c>
      <c r="Y3611">
        <v>97</v>
      </c>
      <c r="Z3611">
        <v>5</v>
      </c>
      <c r="AA3611">
        <v>0</v>
      </c>
      <c r="AB3611">
        <v>14</v>
      </c>
      <c r="AC3611">
        <v>1</v>
      </c>
      <c r="AD3611">
        <v>0</v>
      </c>
      <c r="AE3611">
        <v>0</v>
      </c>
      <c r="AF3611">
        <v>0</v>
      </c>
      <c r="AG3611">
        <v>1</v>
      </c>
      <c r="AH3611">
        <v>1</v>
      </c>
      <c r="AI3611">
        <v>0</v>
      </c>
      <c r="AJ3611">
        <v>0</v>
      </c>
      <c r="AK3611">
        <v>2</v>
      </c>
      <c r="AL3611">
        <v>1</v>
      </c>
      <c r="AM3611">
        <v>0</v>
      </c>
      <c r="AN3611">
        <v>2</v>
      </c>
      <c r="AT3611">
        <v>0</v>
      </c>
      <c r="AU3611">
        <v>6</v>
      </c>
      <c r="AV3611">
        <v>221</v>
      </c>
      <c r="AW3611">
        <v>221</v>
      </c>
      <c r="AX3611">
        <v>473</v>
      </c>
      <c r="BA3611">
        <v>1</v>
      </c>
      <c r="BC3611" t="s">
        <v>7327</v>
      </c>
      <c r="BD3611" s="4">
        <v>43283.063194444447</v>
      </c>
      <c r="BE3611" s="4">
        <v>43283.066990740743</v>
      </c>
      <c r="BF3611" s="4">
        <v>43283.066990740743</v>
      </c>
      <c r="BG3611" t="s">
        <v>83</v>
      </c>
      <c r="BH3611" t="s">
        <v>84</v>
      </c>
      <c r="BI3611" t="s">
        <v>85</v>
      </c>
    </row>
    <row r="3612" spans="1:61" x14ac:dyDescent="0.3">
      <c r="A3612" t="str">
        <f>"201138C0100"</f>
        <v>201138C0100</v>
      </c>
      <c r="B3612" t="s">
        <v>7328</v>
      </c>
      <c r="C3612">
        <v>20</v>
      </c>
      <c r="D3612" t="s">
        <v>79</v>
      </c>
      <c r="E3612">
        <v>17</v>
      </c>
      <c r="F3612" t="s">
        <v>7160</v>
      </c>
      <c r="G3612">
        <v>1138</v>
      </c>
      <c r="H3612">
        <v>1</v>
      </c>
      <c r="I3612" t="s">
        <v>89</v>
      </c>
      <c r="J3612">
        <v>0</v>
      </c>
      <c r="K3612">
        <v>1</v>
      </c>
      <c r="L3612">
        <v>2</v>
      </c>
      <c r="M3612">
        <v>308</v>
      </c>
      <c r="N3612">
        <v>186</v>
      </c>
      <c r="O3612">
        <v>5</v>
      </c>
      <c r="P3612">
        <v>186</v>
      </c>
      <c r="Q3612">
        <v>12</v>
      </c>
      <c r="R3612">
        <v>41</v>
      </c>
      <c r="S3612">
        <v>3</v>
      </c>
      <c r="T3612">
        <v>3</v>
      </c>
      <c r="U3612">
        <v>16</v>
      </c>
      <c r="V3612">
        <v>2</v>
      </c>
      <c r="W3612">
        <v>2</v>
      </c>
      <c r="X3612">
        <v>1</v>
      </c>
      <c r="Y3612">
        <v>73</v>
      </c>
      <c r="Z3612">
        <v>8</v>
      </c>
      <c r="AA3612">
        <v>1</v>
      </c>
      <c r="AB3612">
        <v>7</v>
      </c>
      <c r="AC3612">
        <v>0</v>
      </c>
      <c r="AD3612">
        <v>1</v>
      </c>
      <c r="AE3612">
        <v>0</v>
      </c>
      <c r="AF3612">
        <v>0</v>
      </c>
      <c r="AG3612">
        <v>0</v>
      </c>
      <c r="AH3612">
        <v>2</v>
      </c>
      <c r="AI3612">
        <v>0</v>
      </c>
      <c r="AJ3612">
        <v>0</v>
      </c>
      <c r="AK3612">
        <v>4</v>
      </c>
      <c r="AL3612">
        <v>4</v>
      </c>
      <c r="AM3612">
        <v>0</v>
      </c>
      <c r="AN3612">
        <v>1</v>
      </c>
      <c r="AT3612">
        <v>0</v>
      </c>
      <c r="AU3612">
        <v>5</v>
      </c>
      <c r="AV3612">
        <v>186</v>
      </c>
      <c r="AW3612">
        <v>186</v>
      </c>
      <c r="AX3612">
        <v>472</v>
      </c>
      <c r="BA3612">
        <v>1</v>
      </c>
      <c r="BC3612" t="s">
        <v>7329</v>
      </c>
      <c r="BD3612" s="4">
        <v>43283.063194444447</v>
      </c>
      <c r="BE3612" s="4">
        <v>43283.070914351854</v>
      </c>
      <c r="BF3612" s="4">
        <v>43283.070914351854</v>
      </c>
      <c r="BG3612" t="s">
        <v>83</v>
      </c>
      <c r="BH3612" t="s">
        <v>84</v>
      </c>
      <c r="BI3612" t="s">
        <v>85</v>
      </c>
    </row>
    <row r="3613" spans="1:61" x14ac:dyDescent="0.3">
      <c r="A3613" t="str">
        <f>"201172B0100"</f>
        <v>201172B0100</v>
      </c>
      <c r="B3613" t="s">
        <v>7330</v>
      </c>
      <c r="C3613">
        <v>20</v>
      </c>
      <c r="D3613" t="s">
        <v>79</v>
      </c>
      <c r="E3613">
        <v>17</v>
      </c>
      <c r="F3613" t="s">
        <v>7160</v>
      </c>
      <c r="G3613">
        <v>1172</v>
      </c>
      <c r="H3613">
        <v>1</v>
      </c>
      <c r="I3613" t="s">
        <v>81</v>
      </c>
      <c r="J3613">
        <v>0</v>
      </c>
      <c r="K3613">
        <v>2</v>
      </c>
      <c r="L3613">
        <v>2</v>
      </c>
      <c r="M3613" t="s">
        <v>100</v>
      </c>
      <c r="N3613" t="s">
        <v>100</v>
      </c>
      <c r="O3613" t="s">
        <v>100</v>
      </c>
      <c r="P3613" t="s">
        <v>100</v>
      </c>
      <c r="Q3613">
        <v>27</v>
      </c>
      <c r="R3613">
        <v>40</v>
      </c>
      <c r="S3613">
        <v>4</v>
      </c>
      <c r="T3613">
        <v>10</v>
      </c>
      <c r="U3613">
        <v>27</v>
      </c>
      <c r="V3613">
        <v>6</v>
      </c>
      <c r="W3613" t="s">
        <v>315</v>
      </c>
      <c r="X3613">
        <v>3</v>
      </c>
      <c r="Y3613">
        <v>65</v>
      </c>
      <c r="Z3613">
        <v>3</v>
      </c>
      <c r="AA3613">
        <v>0</v>
      </c>
      <c r="AB3613">
        <v>1</v>
      </c>
      <c r="AC3613">
        <v>0</v>
      </c>
      <c r="AD3613">
        <v>1</v>
      </c>
      <c r="AE3613">
        <v>0</v>
      </c>
      <c r="AF3613">
        <v>0</v>
      </c>
      <c r="AG3613">
        <v>2</v>
      </c>
      <c r="AH3613">
        <v>4</v>
      </c>
      <c r="AI3613">
        <v>0</v>
      </c>
      <c r="AJ3613">
        <v>1</v>
      </c>
      <c r="AK3613">
        <v>3</v>
      </c>
      <c r="AL3613">
        <v>1</v>
      </c>
      <c r="AM3613">
        <v>1</v>
      </c>
      <c r="AN3613">
        <v>1</v>
      </c>
      <c r="AT3613">
        <v>0</v>
      </c>
      <c r="AU3613">
        <v>15</v>
      </c>
      <c r="AV3613" t="s">
        <v>100</v>
      </c>
      <c r="AW3613">
        <v>215</v>
      </c>
      <c r="AX3613">
        <v>393</v>
      </c>
      <c r="AZ3613" t="s">
        <v>101</v>
      </c>
      <c r="BA3613">
        <v>1</v>
      </c>
      <c r="BC3613" t="s">
        <v>7331</v>
      </c>
      <c r="BD3613" s="4">
        <v>43283.199999999997</v>
      </c>
      <c r="BE3613" s="4">
        <v>43283.218726851854</v>
      </c>
      <c r="BF3613" s="4">
        <v>43283.218726851854</v>
      </c>
      <c r="BG3613" t="s">
        <v>83</v>
      </c>
      <c r="BH3613" t="s">
        <v>84</v>
      </c>
      <c r="BI3613" t="s">
        <v>85</v>
      </c>
    </row>
    <row r="3614" spans="1:61" x14ac:dyDescent="0.3">
      <c r="A3614" t="str">
        <f>"201172C0100"</f>
        <v>201172C0100</v>
      </c>
      <c r="B3614" t="s">
        <v>7332</v>
      </c>
      <c r="C3614">
        <v>20</v>
      </c>
      <c r="D3614" t="s">
        <v>79</v>
      </c>
      <c r="E3614">
        <v>17</v>
      </c>
      <c r="F3614" t="s">
        <v>7160</v>
      </c>
      <c r="G3614">
        <v>1172</v>
      </c>
      <c r="H3614">
        <v>1</v>
      </c>
      <c r="I3614" t="s">
        <v>89</v>
      </c>
      <c r="J3614">
        <v>0</v>
      </c>
      <c r="K3614">
        <v>2</v>
      </c>
      <c r="L3614">
        <v>2</v>
      </c>
      <c r="M3614">
        <v>224</v>
      </c>
      <c r="N3614">
        <v>190</v>
      </c>
      <c r="O3614">
        <v>0</v>
      </c>
      <c r="P3614">
        <v>190</v>
      </c>
      <c r="Q3614">
        <v>19</v>
      </c>
      <c r="R3614">
        <v>52</v>
      </c>
      <c r="S3614">
        <v>6</v>
      </c>
      <c r="T3614">
        <v>11</v>
      </c>
      <c r="U3614">
        <v>15</v>
      </c>
      <c r="V3614">
        <v>4</v>
      </c>
      <c r="W3614">
        <v>1</v>
      </c>
      <c r="X3614">
        <v>3</v>
      </c>
      <c r="Y3614">
        <v>57</v>
      </c>
      <c r="Z3614">
        <v>3</v>
      </c>
      <c r="AA3614">
        <v>0</v>
      </c>
      <c r="AB3614">
        <v>1</v>
      </c>
      <c r="AC3614">
        <v>0</v>
      </c>
      <c r="AD3614">
        <v>1</v>
      </c>
      <c r="AE3614">
        <v>0</v>
      </c>
      <c r="AF3614">
        <v>0</v>
      </c>
      <c r="AG3614">
        <v>0</v>
      </c>
      <c r="AH3614">
        <v>1</v>
      </c>
      <c r="AI3614">
        <v>0</v>
      </c>
      <c r="AJ3614">
        <v>0</v>
      </c>
      <c r="AK3614">
        <v>1</v>
      </c>
      <c r="AL3614">
        <v>1</v>
      </c>
      <c r="AM3614">
        <v>1</v>
      </c>
      <c r="AN3614">
        <v>0</v>
      </c>
      <c r="AT3614">
        <v>0</v>
      </c>
      <c r="AU3614">
        <v>13</v>
      </c>
      <c r="AV3614">
        <v>190</v>
      </c>
      <c r="AW3614">
        <v>190</v>
      </c>
      <c r="AX3614">
        <v>392</v>
      </c>
      <c r="BA3614">
        <v>1</v>
      </c>
      <c r="BC3614" t="s">
        <v>7333</v>
      </c>
      <c r="BD3614" s="4">
        <v>43283.199999999997</v>
      </c>
      <c r="BE3614" s="4">
        <v>43283.217673611114</v>
      </c>
      <c r="BF3614" s="4">
        <v>43283.217673611114</v>
      </c>
      <c r="BG3614" t="s">
        <v>83</v>
      </c>
      <c r="BH3614" t="s">
        <v>84</v>
      </c>
      <c r="BI3614" t="s">
        <v>85</v>
      </c>
    </row>
    <row r="3615" spans="1:61" x14ac:dyDescent="0.3">
      <c r="A3615" t="str">
        <f>"201173B0100"</f>
        <v>201173B0100</v>
      </c>
      <c r="B3615" t="s">
        <v>7334</v>
      </c>
      <c r="C3615">
        <v>20</v>
      </c>
      <c r="D3615" t="s">
        <v>79</v>
      </c>
      <c r="E3615">
        <v>17</v>
      </c>
      <c r="F3615" t="s">
        <v>7160</v>
      </c>
      <c r="G3615">
        <v>1173</v>
      </c>
      <c r="H3615">
        <v>1</v>
      </c>
      <c r="I3615" t="s">
        <v>81</v>
      </c>
      <c r="J3615">
        <v>0</v>
      </c>
      <c r="K3615">
        <v>2</v>
      </c>
      <c r="L3615">
        <v>2</v>
      </c>
      <c r="M3615">
        <v>301</v>
      </c>
      <c r="N3615">
        <v>289</v>
      </c>
      <c r="O3615">
        <v>5</v>
      </c>
      <c r="P3615">
        <v>289</v>
      </c>
      <c r="Q3615">
        <v>39</v>
      </c>
      <c r="R3615">
        <v>13</v>
      </c>
      <c r="S3615">
        <v>7</v>
      </c>
      <c r="T3615">
        <v>2</v>
      </c>
      <c r="U3615">
        <v>60</v>
      </c>
      <c r="V3615">
        <v>3</v>
      </c>
      <c r="W3615">
        <v>5</v>
      </c>
      <c r="X3615">
        <v>2</v>
      </c>
      <c r="Y3615">
        <v>134</v>
      </c>
      <c r="Z3615">
        <v>9</v>
      </c>
      <c r="AA3615">
        <v>0</v>
      </c>
      <c r="AB3615">
        <v>0</v>
      </c>
      <c r="AC3615">
        <v>1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4</v>
      </c>
      <c r="AM3615">
        <v>1</v>
      </c>
      <c r="AN3615">
        <v>0</v>
      </c>
      <c r="AT3615">
        <v>0</v>
      </c>
      <c r="AU3615">
        <v>9</v>
      </c>
      <c r="AV3615">
        <v>289</v>
      </c>
      <c r="AW3615">
        <v>289</v>
      </c>
      <c r="AX3615">
        <v>489</v>
      </c>
      <c r="BA3615">
        <v>1</v>
      </c>
      <c r="BC3615" t="s">
        <v>7335</v>
      </c>
      <c r="BD3615" s="4">
        <v>43283.199999999997</v>
      </c>
      <c r="BE3615" s="4">
        <v>43283.470914351848</v>
      </c>
      <c r="BF3615" s="4">
        <v>43283.470914351848</v>
      </c>
      <c r="BG3615" t="s">
        <v>83</v>
      </c>
      <c r="BH3615" t="s">
        <v>84</v>
      </c>
      <c r="BI3615" t="s">
        <v>85</v>
      </c>
    </row>
    <row r="3616" spans="1:61" x14ac:dyDescent="0.3">
      <c r="A3616" t="str">
        <f>"201174B0100"</f>
        <v>201174B0100</v>
      </c>
      <c r="B3616" t="s">
        <v>7336</v>
      </c>
      <c r="C3616">
        <v>20</v>
      </c>
      <c r="D3616" t="s">
        <v>79</v>
      </c>
      <c r="E3616">
        <v>17</v>
      </c>
      <c r="F3616" t="s">
        <v>7160</v>
      </c>
      <c r="G3616">
        <v>1174</v>
      </c>
      <c r="H3616">
        <v>1</v>
      </c>
      <c r="I3616" t="s">
        <v>81</v>
      </c>
      <c r="J3616">
        <v>0</v>
      </c>
      <c r="K3616">
        <v>2</v>
      </c>
      <c r="L3616">
        <v>2</v>
      </c>
      <c r="M3616">
        <v>399</v>
      </c>
      <c r="N3616" t="s">
        <v>100</v>
      </c>
      <c r="O3616" t="s">
        <v>100</v>
      </c>
      <c r="P3616" t="s">
        <v>100</v>
      </c>
      <c r="Q3616">
        <v>189</v>
      </c>
      <c r="R3616">
        <v>8</v>
      </c>
      <c r="S3616">
        <v>9</v>
      </c>
      <c r="T3616">
        <v>2</v>
      </c>
      <c r="U3616">
        <v>88</v>
      </c>
      <c r="V3616">
        <v>1</v>
      </c>
      <c r="W3616">
        <v>4</v>
      </c>
      <c r="X3616">
        <v>3</v>
      </c>
      <c r="Y3616">
        <v>60</v>
      </c>
      <c r="Z3616">
        <v>7</v>
      </c>
      <c r="AA3616">
        <v>2</v>
      </c>
      <c r="AB3616">
        <v>5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6</v>
      </c>
      <c r="AL3616">
        <v>2</v>
      </c>
      <c r="AM3616">
        <v>0</v>
      </c>
      <c r="AN3616">
        <v>0</v>
      </c>
      <c r="AT3616">
        <v>0</v>
      </c>
      <c r="AU3616">
        <v>13</v>
      </c>
      <c r="AV3616">
        <v>399</v>
      </c>
      <c r="AW3616">
        <v>399</v>
      </c>
      <c r="AX3616">
        <v>568</v>
      </c>
      <c r="BA3616">
        <v>1</v>
      </c>
      <c r="BC3616" t="s">
        <v>7337</v>
      </c>
      <c r="BD3616" s="4">
        <v>43283.199999999997</v>
      </c>
      <c r="BE3616" s="4">
        <v>43283.471967592595</v>
      </c>
      <c r="BF3616" s="4">
        <v>43283.471967592595</v>
      </c>
      <c r="BG3616" t="s">
        <v>83</v>
      </c>
      <c r="BH3616" t="s">
        <v>84</v>
      </c>
      <c r="BI3616" t="s">
        <v>85</v>
      </c>
    </row>
    <row r="3617" spans="1:61" x14ac:dyDescent="0.3">
      <c r="A3617" t="str">
        <f>"201175B0100"</f>
        <v>201175B0100</v>
      </c>
      <c r="B3617" t="s">
        <v>7338</v>
      </c>
      <c r="C3617">
        <v>20</v>
      </c>
      <c r="D3617" t="s">
        <v>79</v>
      </c>
      <c r="E3617">
        <v>17</v>
      </c>
      <c r="F3617" t="s">
        <v>7160</v>
      </c>
      <c r="G3617">
        <v>1175</v>
      </c>
      <c r="H3617">
        <v>1</v>
      </c>
      <c r="I3617" t="s">
        <v>81</v>
      </c>
      <c r="J3617">
        <v>0</v>
      </c>
      <c r="K3617">
        <v>2</v>
      </c>
      <c r="L3617">
        <v>2</v>
      </c>
      <c r="M3617">
        <v>201</v>
      </c>
      <c r="N3617">
        <v>224</v>
      </c>
      <c r="O3617">
        <v>6</v>
      </c>
      <c r="P3617">
        <v>0</v>
      </c>
      <c r="Q3617">
        <v>33</v>
      </c>
      <c r="R3617">
        <v>8</v>
      </c>
      <c r="S3617">
        <v>1</v>
      </c>
      <c r="T3617" t="s">
        <v>100</v>
      </c>
      <c r="U3617">
        <v>31</v>
      </c>
      <c r="V3617">
        <v>4</v>
      </c>
      <c r="W3617">
        <v>4</v>
      </c>
      <c r="X3617">
        <v>3</v>
      </c>
      <c r="Y3617">
        <v>120</v>
      </c>
      <c r="Z3617">
        <v>6</v>
      </c>
      <c r="AA3617" t="s">
        <v>100</v>
      </c>
      <c r="AB3617">
        <v>4</v>
      </c>
      <c r="AC3617" t="s">
        <v>100</v>
      </c>
      <c r="AD3617" t="s">
        <v>100</v>
      </c>
      <c r="AE3617" t="s">
        <v>100</v>
      </c>
      <c r="AF3617" t="s">
        <v>100</v>
      </c>
      <c r="AG3617" t="s">
        <v>100</v>
      </c>
      <c r="AH3617" t="s">
        <v>100</v>
      </c>
      <c r="AI3617" t="s">
        <v>100</v>
      </c>
      <c r="AJ3617" t="s">
        <v>100</v>
      </c>
      <c r="AK3617">
        <v>5</v>
      </c>
      <c r="AL3617">
        <v>2</v>
      </c>
      <c r="AM3617" t="s">
        <v>100</v>
      </c>
      <c r="AN3617" t="s">
        <v>100</v>
      </c>
      <c r="AT3617" t="s">
        <v>100</v>
      </c>
      <c r="AU3617">
        <v>3</v>
      </c>
      <c r="AV3617" t="s">
        <v>100</v>
      </c>
      <c r="AW3617">
        <v>224</v>
      </c>
      <c r="AX3617">
        <v>403</v>
      </c>
      <c r="AZ3617" t="s">
        <v>101</v>
      </c>
      <c r="BA3617">
        <v>1</v>
      </c>
      <c r="BC3617" t="s">
        <v>7339</v>
      </c>
      <c r="BD3617" s="4">
        <v>43283.199999999997</v>
      </c>
      <c r="BE3617" s="4">
        <v>43283.218414351853</v>
      </c>
      <c r="BF3617" s="4">
        <v>43283.218414351853</v>
      </c>
      <c r="BG3617" t="s">
        <v>83</v>
      </c>
      <c r="BH3617" t="s">
        <v>84</v>
      </c>
      <c r="BI3617" t="s">
        <v>85</v>
      </c>
    </row>
    <row r="3618" spans="1:61" x14ac:dyDescent="0.3">
      <c r="A3618" t="str">
        <f>"201176B0100"</f>
        <v>201176B0100</v>
      </c>
      <c r="B3618" t="s">
        <v>7340</v>
      </c>
      <c r="C3618">
        <v>20</v>
      </c>
      <c r="D3618" t="s">
        <v>79</v>
      </c>
      <c r="E3618">
        <v>17</v>
      </c>
      <c r="F3618" t="s">
        <v>7160</v>
      </c>
      <c r="G3618">
        <v>1176</v>
      </c>
      <c r="H3618">
        <v>1</v>
      </c>
      <c r="I3618" t="s">
        <v>81</v>
      </c>
      <c r="J3618">
        <v>0</v>
      </c>
      <c r="K3618">
        <v>2</v>
      </c>
      <c r="L3618">
        <v>2</v>
      </c>
      <c r="AX3618">
        <v>508</v>
      </c>
      <c r="AZ3618" t="s">
        <v>156</v>
      </c>
      <c r="BA3618">
        <v>0</v>
      </c>
      <c r="BC3618" t="s">
        <v>7341</v>
      </c>
      <c r="BD3618" s="4">
        <v>43283.714583333334</v>
      </c>
      <c r="BE3618" s="4">
        <v>43283.717106481483</v>
      </c>
      <c r="BF3618" s="4">
        <v>43283.717106481483</v>
      </c>
      <c r="BG3618" t="s">
        <v>83</v>
      </c>
      <c r="BH3618" t="s">
        <v>84</v>
      </c>
      <c r="BI3618" t="s">
        <v>85</v>
      </c>
    </row>
    <row r="3619" spans="1:61" x14ac:dyDescent="0.3">
      <c r="A3619" t="str">
        <f>"201226B0100"</f>
        <v>201226B0100</v>
      </c>
      <c r="B3619" t="s">
        <v>7342</v>
      </c>
      <c r="C3619">
        <v>20</v>
      </c>
      <c r="D3619" t="s">
        <v>79</v>
      </c>
      <c r="E3619">
        <v>17</v>
      </c>
      <c r="F3619" t="s">
        <v>7160</v>
      </c>
      <c r="G3619">
        <v>1226</v>
      </c>
      <c r="H3619">
        <v>1</v>
      </c>
      <c r="I3619" t="s">
        <v>81</v>
      </c>
      <c r="J3619">
        <v>0</v>
      </c>
      <c r="K3619">
        <v>1</v>
      </c>
      <c r="L3619">
        <v>2</v>
      </c>
      <c r="M3619">
        <v>352</v>
      </c>
      <c r="N3619">
        <v>583</v>
      </c>
      <c r="O3619">
        <v>1</v>
      </c>
      <c r="P3619">
        <v>231</v>
      </c>
      <c r="Q3619">
        <v>12</v>
      </c>
      <c r="R3619">
        <v>62</v>
      </c>
      <c r="S3619">
        <v>7</v>
      </c>
      <c r="T3619">
        <v>2</v>
      </c>
      <c r="U3619">
        <v>22</v>
      </c>
      <c r="V3619">
        <v>2</v>
      </c>
      <c r="W3619">
        <v>0</v>
      </c>
      <c r="X3619">
        <v>6</v>
      </c>
      <c r="Y3619">
        <v>73</v>
      </c>
      <c r="Z3619">
        <v>5</v>
      </c>
      <c r="AA3619">
        <v>3</v>
      </c>
      <c r="AB3619">
        <v>1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3</v>
      </c>
      <c r="AI3619">
        <v>0</v>
      </c>
      <c r="AJ3619">
        <v>0</v>
      </c>
      <c r="AK3619">
        <v>1</v>
      </c>
      <c r="AL3619">
        <v>6</v>
      </c>
      <c r="AM3619">
        <v>1</v>
      </c>
      <c r="AN3619">
        <v>4</v>
      </c>
      <c r="AT3619">
        <v>0</v>
      </c>
      <c r="AU3619">
        <v>21</v>
      </c>
      <c r="AV3619">
        <v>231</v>
      </c>
      <c r="AW3619">
        <v>231</v>
      </c>
      <c r="AX3619">
        <v>561</v>
      </c>
      <c r="BA3619">
        <v>1</v>
      </c>
      <c r="BC3619" t="s">
        <v>7343</v>
      </c>
      <c r="BD3619" s="4">
        <v>43283.038194444445</v>
      </c>
      <c r="BE3619" s="4">
        <v>43283.043969907405</v>
      </c>
      <c r="BF3619" s="4">
        <v>43283.043969907405</v>
      </c>
      <c r="BG3619" t="s">
        <v>83</v>
      </c>
      <c r="BH3619" t="s">
        <v>84</v>
      </c>
      <c r="BI3619" t="s">
        <v>85</v>
      </c>
    </row>
    <row r="3620" spans="1:61" x14ac:dyDescent="0.3">
      <c r="A3620" t="str">
        <f>"201226C0100"</f>
        <v>201226C0100</v>
      </c>
      <c r="B3620" t="s">
        <v>7344</v>
      </c>
      <c r="C3620">
        <v>20</v>
      </c>
      <c r="D3620" t="s">
        <v>79</v>
      </c>
      <c r="E3620">
        <v>17</v>
      </c>
      <c r="F3620" t="s">
        <v>7160</v>
      </c>
      <c r="G3620">
        <v>1226</v>
      </c>
      <c r="H3620">
        <v>1</v>
      </c>
      <c r="I3620" t="s">
        <v>89</v>
      </c>
      <c r="J3620">
        <v>0</v>
      </c>
      <c r="K3620">
        <v>1</v>
      </c>
      <c r="L3620">
        <v>2</v>
      </c>
      <c r="M3620">
        <v>335</v>
      </c>
      <c r="N3620">
        <v>248</v>
      </c>
      <c r="O3620">
        <v>0</v>
      </c>
      <c r="P3620">
        <v>2</v>
      </c>
      <c r="Q3620">
        <v>21</v>
      </c>
      <c r="R3620">
        <v>42</v>
      </c>
      <c r="S3620">
        <v>7</v>
      </c>
      <c r="T3620">
        <v>10</v>
      </c>
      <c r="U3620">
        <v>21</v>
      </c>
      <c r="V3620">
        <v>3</v>
      </c>
      <c r="W3620">
        <v>4</v>
      </c>
      <c r="X3620">
        <v>4</v>
      </c>
      <c r="Y3620">
        <v>87</v>
      </c>
      <c r="Z3620">
        <v>9</v>
      </c>
      <c r="AA3620">
        <v>0</v>
      </c>
      <c r="AB3620">
        <v>1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1</v>
      </c>
      <c r="AI3620">
        <v>0</v>
      </c>
      <c r="AJ3620">
        <v>0</v>
      </c>
      <c r="AK3620">
        <v>3</v>
      </c>
      <c r="AL3620">
        <v>3</v>
      </c>
      <c r="AM3620">
        <v>0</v>
      </c>
      <c r="AN3620">
        <v>0</v>
      </c>
      <c r="AT3620">
        <v>0</v>
      </c>
      <c r="AU3620">
        <v>28</v>
      </c>
      <c r="AV3620">
        <v>248</v>
      </c>
      <c r="AW3620">
        <v>244</v>
      </c>
      <c r="AX3620">
        <v>561</v>
      </c>
      <c r="BA3620">
        <v>1</v>
      </c>
      <c r="BC3620" t="s">
        <v>7345</v>
      </c>
      <c r="BD3620" s="4">
        <v>43283.038194444445</v>
      </c>
      <c r="BE3620" s="4">
        <v>43283.04519675926</v>
      </c>
      <c r="BF3620" s="4">
        <v>43283.04519675926</v>
      </c>
      <c r="BG3620" t="s">
        <v>83</v>
      </c>
      <c r="BH3620" t="s">
        <v>84</v>
      </c>
      <c r="BI3620" t="s">
        <v>85</v>
      </c>
    </row>
    <row r="3621" spans="1:61" x14ac:dyDescent="0.3">
      <c r="A3621" t="str">
        <f>"201227B0100"</f>
        <v>201227B0100</v>
      </c>
      <c r="B3621" t="s">
        <v>7346</v>
      </c>
      <c r="C3621">
        <v>20</v>
      </c>
      <c r="D3621" t="s">
        <v>79</v>
      </c>
      <c r="E3621">
        <v>17</v>
      </c>
      <c r="F3621" t="s">
        <v>7160</v>
      </c>
      <c r="G3621">
        <v>1227</v>
      </c>
      <c r="H3621">
        <v>1</v>
      </c>
      <c r="I3621" t="s">
        <v>81</v>
      </c>
      <c r="J3621">
        <v>0</v>
      </c>
      <c r="K3621">
        <v>1</v>
      </c>
      <c r="L3621">
        <v>2</v>
      </c>
      <c r="M3621">
        <v>256</v>
      </c>
      <c r="N3621">
        <v>199</v>
      </c>
      <c r="O3621">
        <v>2</v>
      </c>
      <c r="P3621">
        <v>199</v>
      </c>
      <c r="Q3621">
        <v>20</v>
      </c>
      <c r="R3621">
        <v>39</v>
      </c>
      <c r="S3621">
        <v>6</v>
      </c>
      <c r="T3621">
        <v>9</v>
      </c>
      <c r="U3621">
        <v>15</v>
      </c>
      <c r="V3621">
        <v>2</v>
      </c>
      <c r="W3621">
        <v>4</v>
      </c>
      <c r="X3621">
        <v>1</v>
      </c>
      <c r="Y3621">
        <v>64</v>
      </c>
      <c r="Z3621">
        <v>3</v>
      </c>
      <c r="AA3621">
        <v>1</v>
      </c>
      <c r="AB3621">
        <v>3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5</v>
      </c>
      <c r="AL3621">
        <v>1</v>
      </c>
      <c r="AM3621">
        <v>0</v>
      </c>
      <c r="AN3621">
        <v>3</v>
      </c>
      <c r="AT3621">
        <v>0</v>
      </c>
      <c r="AU3621">
        <v>23</v>
      </c>
      <c r="AV3621">
        <v>199</v>
      </c>
      <c r="AW3621">
        <v>199</v>
      </c>
      <c r="AX3621">
        <v>433</v>
      </c>
      <c r="BA3621">
        <v>1</v>
      </c>
      <c r="BC3621" t="s">
        <v>7347</v>
      </c>
      <c r="BD3621" s="4">
        <v>43283.040972222225</v>
      </c>
      <c r="BE3621" s="4">
        <v>43283.046574074076</v>
      </c>
      <c r="BF3621" s="4">
        <v>43283.046574074076</v>
      </c>
      <c r="BG3621" t="s">
        <v>83</v>
      </c>
      <c r="BH3621" t="s">
        <v>84</v>
      </c>
      <c r="BI3621" t="s">
        <v>85</v>
      </c>
    </row>
    <row r="3622" spans="1:61" x14ac:dyDescent="0.3">
      <c r="A3622" t="str">
        <f>"201227C0100"</f>
        <v>201227C0100</v>
      </c>
      <c r="B3622" t="s">
        <v>7348</v>
      </c>
      <c r="C3622">
        <v>20</v>
      </c>
      <c r="D3622" t="s">
        <v>79</v>
      </c>
      <c r="E3622">
        <v>17</v>
      </c>
      <c r="F3622" t="s">
        <v>7160</v>
      </c>
      <c r="G3622">
        <v>1227</v>
      </c>
      <c r="H3622">
        <v>1</v>
      </c>
      <c r="I3622" t="s">
        <v>89</v>
      </c>
      <c r="J3622">
        <v>0</v>
      </c>
      <c r="K3622">
        <v>1</v>
      </c>
      <c r="L3622">
        <v>2</v>
      </c>
      <c r="M3622">
        <v>244</v>
      </c>
      <c r="N3622">
        <v>211</v>
      </c>
      <c r="O3622">
        <v>1</v>
      </c>
      <c r="P3622">
        <v>211</v>
      </c>
      <c r="Q3622">
        <v>15</v>
      </c>
      <c r="R3622">
        <v>53</v>
      </c>
      <c r="S3622">
        <v>8</v>
      </c>
      <c r="T3622">
        <v>6</v>
      </c>
      <c r="U3622">
        <v>29</v>
      </c>
      <c r="V3622">
        <v>3</v>
      </c>
      <c r="W3622">
        <v>2</v>
      </c>
      <c r="X3622">
        <v>2</v>
      </c>
      <c r="Y3622">
        <v>62</v>
      </c>
      <c r="Z3622">
        <v>6</v>
      </c>
      <c r="AA3622">
        <v>0</v>
      </c>
      <c r="AB3622">
        <v>4</v>
      </c>
      <c r="AC3622">
        <v>0</v>
      </c>
      <c r="AD3622">
        <v>0</v>
      </c>
      <c r="AE3622">
        <v>1</v>
      </c>
      <c r="AF3622">
        <v>0</v>
      </c>
      <c r="AG3622">
        <v>2</v>
      </c>
      <c r="AH3622">
        <v>0</v>
      </c>
      <c r="AI3622">
        <v>0</v>
      </c>
      <c r="AJ3622">
        <v>0</v>
      </c>
      <c r="AK3622">
        <v>3</v>
      </c>
      <c r="AL3622">
        <v>0</v>
      </c>
      <c r="AM3622">
        <v>0</v>
      </c>
      <c r="AN3622">
        <v>0</v>
      </c>
      <c r="AT3622">
        <v>0</v>
      </c>
      <c r="AU3622">
        <v>15</v>
      </c>
      <c r="AV3622">
        <v>211</v>
      </c>
      <c r="AW3622">
        <v>211</v>
      </c>
      <c r="AX3622">
        <v>433</v>
      </c>
      <c r="BA3622">
        <v>1</v>
      </c>
      <c r="BC3622" t="s">
        <v>7349</v>
      </c>
      <c r="BD3622" s="4">
        <v>43283.038194444445</v>
      </c>
      <c r="BE3622" s="4">
        <v>43283.045381944445</v>
      </c>
      <c r="BF3622" s="4">
        <v>43283.045381944445</v>
      </c>
      <c r="BG3622" t="s">
        <v>83</v>
      </c>
      <c r="BH3622" t="s">
        <v>84</v>
      </c>
      <c r="BI3622" t="s">
        <v>85</v>
      </c>
    </row>
    <row r="3623" spans="1:61" x14ac:dyDescent="0.3">
      <c r="A3623" t="str">
        <f>"201241B0100"</f>
        <v>201241B0100</v>
      </c>
      <c r="B3623" t="s">
        <v>7350</v>
      </c>
      <c r="C3623">
        <v>20</v>
      </c>
      <c r="D3623" t="s">
        <v>79</v>
      </c>
      <c r="E3623">
        <v>17</v>
      </c>
      <c r="F3623" t="s">
        <v>7160</v>
      </c>
      <c r="G3623">
        <v>1241</v>
      </c>
      <c r="H3623">
        <v>1</v>
      </c>
      <c r="I3623" t="s">
        <v>81</v>
      </c>
      <c r="J3623">
        <v>0</v>
      </c>
      <c r="K3623">
        <v>2</v>
      </c>
      <c r="L3623">
        <v>2</v>
      </c>
      <c r="M3623">
        <v>459</v>
      </c>
      <c r="N3623">
        <v>723</v>
      </c>
      <c r="O3623" t="s">
        <v>100</v>
      </c>
      <c r="P3623">
        <v>264</v>
      </c>
      <c r="Q3623">
        <v>27</v>
      </c>
      <c r="R3623">
        <v>66</v>
      </c>
      <c r="S3623">
        <v>3</v>
      </c>
      <c r="T3623">
        <v>8</v>
      </c>
      <c r="U3623">
        <v>27</v>
      </c>
      <c r="V3623">
        <v>4</v>
      </c>
      <c r="W3623">
        <v>0</v>
      </c>
      <c r="X3623">
        <v>2</v>
      </c>
      <c r="Y3623">
        <v>56</v>
      </c>
      <c r="Z3623">
        <v>1</v>
      </c>
      <c r="AA3623">
        <v>0</v>
      </c>
      <c r="AB3623">
        <v>24</v>
      </c>
      <c r="AC3623">
        <v>0</v>
      </c>
      <c r="AD3623">
        <v>0</v>
      </c>
      <c r="AE3623">
        <v>0</v>
      </c>
      <c r="AF3623">
        <v>0</v>
      </c>
      <c r="AG3623">
        <v>2</v>
      </c>
      <c r="AH3623">
        <v>0</v>
      </c>
      <c r="AI3623">
        <v>0</v>
      </c>
      <c r="AJ3623">
        <v>0</v>
      </c>
      <c r="AK3623">
        <v>17</v>
      </c>
      <c r="AL3623">
        <v>1</v>
      </c>
      <c r="AM3623">
        <v>0</v>
      </c>
      <c r="AN3623">
        <v>0</v>
      </c>
      <c r="AT3623">
        <v>0</v>
      </c>
      <c r="AU3623">
        <v>24</v>
      </c>
      <c r="AV3623">
        <v>262</v>
      </c>
      <c r="AW3623">
        <v>262</v>
      </c>
      <c r="AX3623">
        <v>701</v>
      </c>
      <c r="BA3623">
        <v>1</v>
      </c>
      <c r="BC3623" t="s">
        <v>7351</v>
      </c>
      <c r="BD3623" s="4">
        <v>43283.165277777778</v>
      </c>
      <c r="BE3623" s="4">
        <v>43283.177662037036</v>
      </c>
      <c r="BF3623" s="4">
        <v>43283.177662037036</v>
      </c>
      <c r="BG3623" t="s">
        <v>83</v>
      </c>
      <c r="BH3623" t="s">
        <v>84</v>
      </c>
      <c r="BI3623" t="s">
        <v>85</v>
      </c>
    </row>
    <row r="3624" spans="1:61" x14ac:dyDescent="0.3">
      <c r="A3624" t="str">
        <f>"201241C0100"</f>
        <v>201241C0100</v>
      </c>
      <c r="B3624" t="s">
        <v>7352</v>
      </c>
      <c r="C3624">
        <v>20</v>
      </c>
      <c r="D3624" t="s">
        <v>79</v>
      </c>
      <c r="E3624">
        <v>17</v>
      </c>
      <c r="F3624" t="s">
        <v>7160</v>
      </c>
      <c r="G3624">
        <v>1241</v>
      </c>
      <c r="H3624">
        <v>1</v>
      </c>
      <c r="I3624" t="s">
        <v>89</v>
      </c>
      <c r="J3624">
        <v>0</v>
      </c>
      <c r="K3624">
        <v>2</v>
      </c>
      <c r="L3624">
        <v>2</v>
      </c>
      <c r="M3624">
        <v>393</v>
      </c>
      <c r="N3624">
        <v>329</v>
      </c>
      <c r="O3624">
        <v>0</v>
      </c>
      <c r="P3624">
        <v>330</v>
      </c>
      <c r="Q3624">
        <v>32</v>
      </c>
      <c r="R3624">
        <v>70</v>
      </c>
      <c r="S3624">
        <v>2</v>
      </c>
      <c r="T3624">
        <v>5</v>
      </c>
      <c r="U3624">
        <v>35</v>
      </c>
      <c r="V3624">
        <v>8</v>
      </c>
      <c r="W3624">
        <v>2</v>
      </c>
      <c r="X3624">
        <v>2</v>
      </c>
      <c r="Y3624">
        <v>77</v>
      </c>
      <c r="Z3624">
        <v>7</v>
      </c>
      <c r="AA3624">
        <v>1</v>
      </c>
      <c r="AB3624">
        <v>44</v>
      </c>
      <c r="AC3624">
        <v>0</v>
      </c>
      <c r="AD3624">
        <v>2</v>
      </c>
      <c r="AE3624">
        <v>0</v>
      </c>
      <c r="AF3624">
        <v>0</v>
      </c>
      <c r="AG3624">
        <v>0</v>
      </c>
      <c r="AH3624">
        <v>3</v>
      </c>
      <c r="AI3624">
        <v>0</v>
      </c>
      <c r="AJ3624">
        <v>0</v>
      </c>
      <c r="AK3624">
        <v>8</v>
      </c>
      <c r="AL3624">
        <v>5</v>
      </c>
      <c r="AM3624">
        <v>2</v>
      </c>
      <c r="AN3624">
        <v>0</v>
      </c>
      <c r="AT3624">
        <v>0</v>
      </c>
      <c r="AU3624">
        <v>25</v>
      </c>
      <c r="AV3624">
        <v>330</v>
      </c>
      <c r="AW3624">
        <v>330</v>
      </c>
      <c r="AX3624">
        <v>701</v>
      </c>
      <c r="BA3624">
        <v>1</v>
      </c>
      <c r="BC3624" t="s">
        <v>7353</v>
      </c>
      <c r="BD3624" s="4">
        <v>43283.165277777778</v>
      </c>
      <c r="BE3624" s="4">
        <v>43283.178553240738</v>
      </c>
      <c r="BF3624" s="4">
        <v>43283.178553240738</v>
      </c>
      <c r="BG3624" t="s">
        <v>83</v>
      </c>
      <c r="BH3624" t="s">
        <v>84</v>
      </c>
      <c r="BI3624" t="s">
        <v>85</v>
      </c>
    </row>
    <row r="3625" spans="1:61" x14ac:dyDescent="0.3">
      <c r="A3625" t="str">
        <f>"201241E0100"</f>
        <v>201241E0100</v>
      </c>
      <c r="B3625" s="2" t="s">
        <v>7354</v>
      </c>
      <c r="C3625">
        <v>20</v>
      </c>
      <c r="D3625" t="s">
        <v>79</v>
      </c>
      <c r="E3625">
        <v>17</v>
      </c>
      <c r="F3625" t="s">
        <v>7160</v>
      </c>
      <c r="G3625">
        <v>1241</v>
      </c>
      <c r="H3625">
        <v>1</v>
      </c>
      <c r="I3625" t="s">
        <v>145</v>
      </c>
      <c r="J3625">
        <v>0</v>
      </c>
      <c r="K3625">
        <v>2</v>
      </c>
      <c r="L3625">
        <v>2</v>
      </c>
      <c r="M3625">
        <v>137</v>
      </c>
      <c r="N3625">
        <v>168</v>
      </c>
      <c r="O3625">
        <v>0</v>
      </c>
      <c r="P3625">
        <v>168</v>
      </c>
      <c r="Q3625">
        <v>9</v>
      </c>
      <c r="R3625">
        <v>14</v>
      </c>
      <c r="S3625">
        <v>3</v>
      </c>
      <c r="T3625">
        <v>6</v>
      </c>
      <c r="U3625">
        <v>4</v>
      </c>
      <c r="V3625">
        <v>3</v>
      </c>
      <c r="W3625">
        <v>0</v>
      </c>
      <c r="X3625">
        <v>2</v>
      </c>
      <c r="Y3625">
        <v>17</v>
      </c>
      <c r="Z3625">
        <v>2</v>
      </c>
      <c r="AA3625">
        <v>77</v>
      </c>
      <c r="AB3625">
        <v>17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1</v>
      </c>
      <c r="AI3625">
        <v>0</v>
      </c>
      <c r="AJ3625">
        <v>0</v>
      </c>
      <c r="AK3625">
        <v>0</v>
      </c>
      <c r="AL3625">
        <v>1</v>
      </c>
      <c r="AM3625">
        <v>0</v>
      </c>
      <c r="AN3625">
        <v>0</v>
      </c>
      <c r="AT3625">
        <v>0</v>
      </c>
      <c r="AU3625">
        <v>12</v>
      </c>
      <c r="AV3625">
        <v>168</v>
      </c>
      <c r="AW3625">
        <v>168</v>
      </c>
      <c r="AX3625">
        <v>283</v>
      </c>
      <c r="BA3625">
        <v>1</v>
      </c>
      <c r="BC3625" t="s">
        <v>7355</v>
      </c>
      <c r="BD3625" s="4">
        <v>43283.165277777778</v>
      </c>
      <c r="BE3625" s="4">
        <v>43283.178194444445</v>
      </c>
      <c r="BF3625" s="4">
        <v>43283.178194444445</v>
      </c>
      <c r="BG3625" t="s">
        <v>83</v>
      </c>
      <c r="BH3625" t="s">
        <v>84</v>
      </c>
      <c r="BI3625" t="s">
        <v>85</v>
      </c>
    </row>
    <row r="3626" spans="1:61" x14ac:dyDescent="0.3">
      <c r="A3626" t="str">
        <f>"201242B0100"</f>
        <v>201242B0100</v>
      </c>
      <c r="B3626" t="s">
        <v>7356</v>
      </c>
      <c r="C3626">
        <v>20</v>
      </c>
      <c r="D3626" t="s">
        <v>79</v>
      </c>
      <c r="E3626">
        <v>17</v>
      </c>
      <c r="F3626" t="s">
        <v>7160</v>
      </c>
      <c r="G3626">
        <v>1242</v>
      </c>
      <c r="H3626">
        <v>1</v>
      </c>
      <c r="I3626" t="s">
        <v>81</v>
      </c>
      <c r="J3626">
        <v>0</v>
      </c>
      <c r="K3626">
        <v>2</v>
      </c>
      <c r="L3626">
        <v>2</v>
      </c>
      <c r="M3626">
        <v>181</v>
      </c>
      <c r="N3626">
        <v>193</v>
      </c>
      <c r="O3626">
        <v>5</v>
      </c>
      <c r="P3626">
        <v>193</v>
      </c>
      <c r="Q3626">
        <v>28</v>
      </c>
      <c r="R3626">
        <v>31</v>
      </c>
      <c r="S3626">
        <v>11</v>
      </c>
      <c r="T3626">
        <v>5</v>
      </c>
      <c r="U3626">
        <v>32</v>
      </c>
      <c r="V3626">
        <v>3</v>
      </c>
      <c r="W3626">
        <v>0</v>
      </c>
      <c r="X3626">
        <v>4</v>
      </c>
      <c r="Y3626">
        <v>57</v>
      </c>
      <c r="Z3626">
        <v>5</v>
      </c>
      <c r="AA3626">
        <v>0</v>
      </c>
      <c r="AB3626">
        <v>0</v>
      </c>
      <c r="AC3626">
        <v>1</v>
      </c>
      <c r="AD3626">
        <v>0</v>
      </c>
      <c r="AE3626">
        <v>0</v>
      </c>
      <c r="AF3626">
        <v>1</v>
      </c>
      <c r="AG3626">
        <v>0</v>
      </c>
      <c r="AH3626">
        <v>1</v>
      </c>
      <c r="AI3626">
        <v>0</v>
      </c>
      <c r="AJ3626">
        <v>0</v>
      </c>
      <c r="AK3626">
        <v>2</v>
      </c>
      <c r="AL3626">
        <v>3</v>
      </c>
      <c r="AM3626">
        <v>0</v>
      </c>
      <c r="AN3626">
        <v>1</v>
      </c>
      <c r="AT3626">
        <v>0</v>
      </c>
      <c r="AU3626">
        <v>8</v>
      </c>
      <c r="AV3626">
        <v>193</v>
      </c>
      <c r="AW3626">
        <v>193</v>
      </c>
      <c r="AX3626">
        <v>353</v>
      </c>
      <c r="BA3626">
        <v>1</v>
      </c>
      <c r="BC3626" t="s">
        <v>7357</v>
      </c>
      <c r="BD3626" s="4">
        <v>43283.454861111109</v>
      </c>
      <c r="BE3626" s="4">
        <v>43283.45857638889</v>
      </c>
      <c r="BF3626" s="4">
        <v>43283.45857638889</v>
      </c>
      <c r="BG3626" t="s">
        <v>83</v>
      </c>
      <c r="BH3626" t="s">
        <v>84</v>
      </c>
      <c r="BI3626" t="s">
        <v>85</v>
      </c>
    </row>
    <row r="3627" spans="1:61" x14ac:dyDescent="0.3">
      <c r="A3627" t="str">
        <f>"201266B0100"</f>
        <v>201266B0100</v>
      </c>
      <c r="B3627" t="s">
        <v>7358</v>
      </c>
      <c r="C3627">
        <v>20</v>
      </c>
      <c r="D3627" t="s">
        <v>79</v>
      </c>
      <c r="E3627">
        <v>17</v>
      </c>
      <c r="F3627" t="s">
        <v>7160</v>
      </c>
      <c r="G3627">
        <v>1266</v>
      </c>
      <c r="H3627">
        <v>1</v>
      </c>
      <c r="I3627" t="s">
        <v>81</v>
      </c>
      <c r="J3627">
        <v>0</v>
      </c>
      <c r="K3627">
        <v>1</v>
      </c>
      <c r="L3627">
        <v>2</v>
      </c>
      <c r="M3627">
        <v>543</v>
      </c>
      <c r="N3627">
        <v>212</v>
      </c>
      <c r="O3627">
        <v>0</v>
      </c>
      <c r="P3627">
        <v>211</v>
      </c>
      <c r="Q3627">
        <v>9</v>
      </c>
      <c r="R3627">
        <v>39</v>
      </c>
      <c r="S3627">
        <v>4</v>
      </c>
      <c r="T3627">
        <v>8</v>
      </c>
      <c r="U3627">
        <v>36</v>
      </c>
      <c r="V3627">
        <v>1</v>
      </c>
      <c r="W3627">
        <v>1</v>
      </c>
      <c r="X3627">
        <v>1</v>
      </c>
      <c r="Y3627">
        <v>76</v>
      </c>
      <c r="Z3627">
        <v>1</v>
      </c>
      <c r="AA3627">
        <v>1</v>
      </c>
      <c r="AB3627">
        <v>10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1</v>
      </c>
      <c r="AJ3627">
        <v>0</v>
      </c>
      <c r="AK3627">
        <v>5</v>
      </c>
      <c r="AL3627">
        <v>2</v>
      </c>
      <c r="AM3627">
        <v>0</v>
      </c>
      <c r="AN3627">
        <v>1</v>
      </c>
      <c r="AT3627">
        <v>0</v>
      </c>
      <c r="AU3627">
        <v>15</v>
      </c>
      <c r="AV3627">
        <v>211</v>
      </c>
      <c r="AW3627">
        <v>211</v>
      </c>
      <c r="AX3627">
        <v>733</v>
      </c>
      <c r="BA3627">
        <v>1</v>
      </c>
      <c r="BC3627" t="s">
        <v>7359</v>
      </c>
      <c r="BD3627" s="4">
        <v>43283.082638888889</v>
      </c>
      <c r="BE3627" s="4">
        <v>43283.090243055558</v>
      </c>
      <c r="BF3627" s="4">
        <v>43283.090243055558</v>
      </c>
      <c r="BG3627" t="s">
        <v>83</v>
      </c>
      <c r="BH3627" t="s">
        <v>84</v>
      </c>
      <c r="BI3627" t="s">
        <v>85</v>
      </c>
    </row>
    <row r="3628" spans="1:61" x14ac:dyDescent="0.3">
      <c r="A3628" t="str">
        <f>"201266C0100"</f>
        <v>201266C0100</v>
      </c>
      <c r="B3628" t="s">
        <v>7360</v>
      </c>
      <c r="C3628">
        <v>20</v>
      </c>
      <c r="D3628" t="s">
        <v>79</v>
      </c>
      <c r="E3628">
        <v>17</v>
      </c>
      <c r="F3628" t="s">
        <v>7160</v>
      </c>
      <c r="G3628">
        <v>1266</v>
      </c>
      <c r="H3628">
        <v>1</v>
      </c>
      <c r="I3628" t="s">
        <v>89</v>
      </c>
      <c r="J3628">
        <v>0</v>
      </c>
      <c r="K3628">
        <v>1</v>
      </c>
      <c r="L3628">
        <v>2</v>
      </c>
      <c r="M3628">
        <v>521</v>
      </c>
      <c r="N3628">
        <v>221</v>
      </c>
      <c r="O3628">
        <v>0</v>
      </c>
      <c r="P3628">
        <v>233</v>
      </c>
      <c r="Q3628">
        <v>18</v>
      </c>
      <c r="R3628">
        <v>46</v>
      </c>
      <c r="S3628">
        <v>1</v>
      </c>
      <c r="T3628">
        <v>4</v>
      </c>
      <c r="U3628">
        <v>40</v>
      </c>
      <c r="V3628">
        <v>4</v>
      </c>
      <c r="W3628">
        <v>0</v>
      </c>
      <c r="X3628">
        <v>0</v>
      </c>
      <c r="Y3628">
        <v>2</v>
      </c>
      <c r="Z3628">
        <v>84</v>
      </c>
      <c r="AA3628">
        <v>3</v>
      </c>
      <c r="AB3628">
        <v>11</v>
      </c>
      <c r="AC3628">
        <v>1</v>
      </c>
      <c r="AD3628">
        <v>0</v>
      </c>
      <c r="AE3628">
        <v>1</v>
      </c>
      <c r="AF3628">
        <v>0</v>
      </c>
      <c r="AG3628">
        <v>0</v>
      </c>
      <c r="AH3628">
        <v>0</v>
      </c>
      <c r="AI3628">
        <v>0</v>
      </c>
      <c r="AJ3628">
        <v>1</v>
      </c>
      <c r="AK3628">
        <v>4</v>
      </c>
      <c r="AL3628">
        <v>1</v>
      </c>
      <c r="AM3628">
        <v>0</v>
      </c>
      <c r="AN3628">
        <v>0</v>
      </c>
      <c r="AT3628" t="s">
        <v>100</v>
      </c>
      <c r="AU3628">
        <v>10</v>
      </c>
      <c r="AV3628">
        <v>233</v>
      </c>
      <c r="AW3628">
        <v>231</v>
      </c>
      <c r="AX3628">
        <v>732</v>
      </c>
      <c r="AZ3628" t="s">
        <v>101</v>
      </c>
      <c r="BA3628">
        <v>1</v>
      </c>
      <c r="BC3628" t="s">
        <v>7361</v>
      </c>
      <c r="BD3628" s="4">
        <v>43283.082638888889</v>
      </c>
      <c r="BE3628" s="4">
        <v>43283.092627314814</v>
      </c>
      <c r="BF3628" s="4">
        <v>43283.092627314814</v>
      </c>
      <c r="BG3628" t="s">
        <v>83</v>
      </c>
      <c r="BH3628" t="s">
        <v>84</v>
      </c>
      <c r="BI3628" t="s">
        <v>85</v>
      </c>
    </row>
    <row r="3629" spans="1:61" x14ac:dyDescent="0.3">
      <c r="A3629" t="str">
        <f>"201271B0100"</f>
        <v>201271B0100</v>
      </c>
      <c r="B3629" t="s">
        <v>7362</v>
      </c>
      <c r="C3629">
        <v>20</v>
      </c>
      <c r="D3629" t="s">
        <v>79</v>
      </c>
      <c r="E3629">
        <v>17</v>
      </c>
      <c r="F3629" t="s">
        <v>7160</v>
      </c>
      <c r="G3629">
        <v>1271</v>
      </c>
      <c r="H3629">
        <v>1</v>
      </c>
      <c r="I3629" t="s">
        <v>81</v>
      </c>
      <c r="J3629">
        <v>0</v>
      </c>
      <c r="K3629">
        <v>2</v>
      </c>
      <c r="L3629">
        <v>2</v>
      </c>
      <c r="M3629">
        <v>143</v>
      </c>
      <c r="N3629">
        <v>182</v>
      </c>
      <c r="O3629">
        <v>1</v>
      </c>
      <c r="P3629">
        <v>182</v>
      </c>
      <c r="Q3629">
        <v>25</v>
      </c>
      <c r="R3629">
        <v>21</v>
      </c>
      <c r="S3629">
        <v>8</v>
      </c>
      <c r="T3629">
        <v>4</v>
      </c>
      <c r="U3629">
        <v>25</v>
      </c>
      <c r="V3629">
        <v>6</v>
      </c>
      <c r="W3629">
        <v>3</v>
      </c>
      <c r="X3629">
        <v>5</v>
      </c>
      <c r="Y3629">
        <v>54</v>
      </c>
      <c r="Z3629">
        <v>8</v>
      </c>
      <c r="AA3629">
        <v>1</v>
      </c>
      <c r="AB3629">
        <v>2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1</v>
      </c>
      <c r="AI3629">
        <v>0</v>
      </c>
      <c r="AJ3629">
        <v>0</v>
      </c>
      <c r="AK3629">
        <v>0</v>
      </c>
      <c r="AL3629">
        <v>1</v>
      </c>
      <c r="AM3629">
        <v>1</v>
      </c>
      <c r="AN3629">
        <v>0</v>
      </c>
      <c r="AT3629">
        <v>2</v>
      </c>
      <c r="AU3629">
        <v>15</v>
      </c>
      <c r="AV3629">
        <v>182</v>
      </c>
      <c r="AW3629">
        <v>182</v>
      </c>
      <c r="AX3629">
        <v>303</v>
      </c>
      <c r="BA3629">
        <v>1</v>
      </c>
      <c r="BC3629" t="s">
        <v>7363</v>
      </c>
      <c r="BD3629" s="4">
        <v>43283.288888888892</v>
      </c>
      <c r="BE3629" s="4">
        <v>43283.317002314812</v>
      </c>
      <c r="BF3629" s="4">
        <v>43283.317002314812</v>
      </c>
      <c r="BG3629" t="s">
        <v>83</v>
      </c>
      <c r="BH3629" t="s">
        <v>84</v>
      </c>
      <c r="BI3629" t="s">
        <v>85</v>
      </c>
    </row>
    <row r="3630" spans="1:61" x14ac:dyDescent="0.3">
      <c r="A3630" t="str">
        <f>"201271E0100"</f>
        <v>201271E0100</v>
      </c>
      <c r="B3630" s="2" t="s">
        <v>7364</v>
      </c>
      <c r="C3630">
        <v>20</v>
      </c>
      <c r="D3630" t="s">
        <v>79</v>
      </c>
      <c r="E3630">
        <v>17</v>
      </c>
      <c r="F3630" t="s">
        <v>7160</v>
      </c>
      <c r="G3630">
        <v>1271</v>
      </c>
      <c r="H3630">
        <v>1</v>
      </c>
      <c r="I3630" t="s">
        <v>145</v>
      </c>
      <c r="J3630">
        <v>0</v>
      </c>
      <c r="K3630">
        <v>2</v>
      </c>
      <c r="L3630">
        <v>2</v>
      </c>
      <c r="M3630">
        <v>75</v>
      </c>
      <c r="N3630">
        <v>116</v>
      </c>
      <c r="O3630">
        <v>2</v>
      </c>
      <c r="P3630">
        <v>116</v>
      </c>
      <c r="Q3630">
        <v>18</v>
      </c>
      <c r="R3630">
        <v>25</v>
      </c>
      <c r="S3630">
        <v>2</v>
      </c>
      <c r="T3630">
        <v>1</v>
      </c>
      <c r="U3630">
        <v>12</v>
      </c>
      <c r="V3630">
        <v>0</v>
      </c>
      <c r="W3630">
        <v>1</v>
      </c>
      <c r="X3630">
        <v>1</v>
      </c>
      <c r="Y3630">
        <v>42</v>
      </c>
      <c r="Z3630">
        <v>3</v>
      </c>
      <c r="AA3630">
        <v>1</v>
      </c>
      <c r="AB3630">
        <v>2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3</v>
      </c>
      <c r="AM3630">
        <v>0</v>
      </c>
      <c r="AN3630">
        <v>0</v>
      </c>
      <c r="AT3630">
        <v>0</v>
      </c>
      <c r="AU3630">
        <v>5</v>
      </c>
      <c r="AV3630">
        <v>116</v>
      </c>
      <c r="AW3630">
        <v>116</v>
      </c>
      <c r="AX3630">
        <v>169</v>
      </c>
      <c r="BA3630">
        <v>1</v>
      </c>
      <c r="BC3630" t="s">
        <v>7365</v>
      </c>
      <c r="BD3630" s="4">
        <v>43283.288888888892</v>
      </c>
      <c r="BE3630" s="4">
        <v>43283.318043981482</v>
      </c>
      <c r="BF3630" s="4">
        <v>43283.318043981482</v>
      </c>
      <c r="BG3630" t="s">
        <v>83</v>
      </c>
      <c r="BH3630" t="s">
        <v>84</v>
      </c>
      <c r="BI3630" t="s">
        <v>85</v>
      </c>
    </row>
    <row r="3631" spans="1:61" x14ac:dyDescent="0.3">
      <c r="A3631" t="str">
        <f>"201272B0100"</f>
        <v>201272B0100</v>
      </c>
      <c r="B3631" t="s">
        <v>7366</v>
      </c>
      <c r="C3631">
        <v>20</v>
      </c>
      <c r="D3631" t="s">
        <v>79</v>
      </c>
      <c r="E3631">
        <v>17</v>
      </c>
      <c r="F3631" t="s">
        <v>7160</v>
      </c>
      <c r="G3631">
        <v>1272</v>
      </c>
      <c r="H3631">
        <v>1</v>
      </c>
      <c r="I3631" t="s">
        <v>81</v>
      </c>
      <c r="J3631">
        <v>0</v>
      </c>
      <c r="K3631">
        <v>2</v>
      </c>
      <c r="L3631">
        <v>2</v>
      </c>
      <c r="M3631">
        <v>258</v>
      </c>
      <c r="N3631">
        <v>326</v>
      </c>
      <c r="O3631">
        <v>0</v>
      </c>
      <c r="P3631">
        <v>326</v>
      </c>
      <c r="Q3631">
        <v>36</v>
      </c>
      <c r="R3631">
        <v>56</v>
      </c>
      <c r="S3631">
        <v>9</v>
      </c>
      <c r="T3631">
        <v>10</v>
      </c>
      <c r="U3631">
        <v>31</v>
      </c>
      <c r="V3631">
        <v>4</v>
      </c>
      <c r="W3631">
        <v>10</v>
      </c>
      <c r="X3631">
        <v>6</v>
      </c>
      <c r="Y3631">
        <v>103</v>
      </c>
      <c r="Z3631">
        <v>11</v>
      </c>
      <c r="AA3631">
        <v>2</v>
      </c>
      <c r="AB3631">
        <v>4</v>
      </c>
      <c r="AC3631">
        <v>1</v>
      </c>
      <c r="AD3631">
        <v>1</v>
      </c>
      <c r="AE3631">
        <v>0</v>
      </c>
      <c r="AF3631">
        <v>0</v>
      </c>
      <c r="AG3631">
        <v>4</v>
      </c>
      <c r="AH3631">
        <v>0</v>
      </c>
      <c r="AI3631">
        <v>0</v>
      </c>
      <c r="AJ3631">
        <v>0</v>
      </c>
      <c r="AK3631">
        <v>9</v>
      </c>
      <c r="AL3631">
        <v>5</v>
      </c>
      <c r="AM3631">
        <v>0</v>
      </c>
      <c r="AN3631">
        <v>0</v>
      </c>
      <c r="AT3631">
        <v>0</v>
      </c>
      <c r="AU3631">
        <v>24</v>
      </c>
      <c r="AV3631" t="s">
        <v>100</v>
      </c>
      <c r="AW3631">
        <v>326</v>
      </c>
      <c r="AX3631">
        <v>562</v>
      </c>
      <c r="BA3631">
        <v>1</v>
      </c>
      <c r="BC3631" t="s">
        <v>7367</v>
      </c>
      <c r="BD3631" s="4">
        <v>43283.288888888892</v>
      </c>
      <c r="BE3631" s="4">
        <v>43283.319143518522</v>
      </c>
      <c r="BF3631" s="4">
        <v>43283.319143518522</v>
      </c>
      <c r="BG3631" t="s">
        <v>83</v>
      </c>
      <c r="BH3631" t="s">
        <v>84</v>
      </c>
      <c r="BI3631" t="s">
        <v>85</v>
      </c>
    </row>
    <row r="3632" spans="1:61" x14ac:dyDescent="0.3">
      <c r="A3632" t="str">
        <f>"201273B0100"</f>
        <v>201273B0100</v>
      </c>
      <c r="B3632" t="s">
        <v>7368</v>
      </c>
      <c r="C3632">
        <v>20</v>
      </c>
      <c r="D3632" t="s">
        <v>79</v>
      </c>
      <c r="E3632">
        <v>17</v>
      </c>
      <c r="F3632" t="s">
        <v>7160</v>
      </c>
      <c r="G3632">
        <v>1273</v>
      </c>
      <c r="H3632">
        <v>1</v>
      </c>
      <c r="I3632" t="s">
        <v>81</v>
      </c>
      <c r="J3632">
        <v>0</v>
      </c>
      <c r="K3632">
        <v>2</v>
      </c>
      <c r="L3632">
        <v>2</v>
      </c>
      <c r="M3632" t="s">
        <v>315</v>
      </c>
      <c r="N3632">
        <v>280</v>
      </c>
      <c r="O3632">
        <v>0</v>
      </c>
      <c r="P3632">
        <v>280</v>
      </c>
      <c r="Q3632">
        <v>35</v>
      </c>
      <c r="R3632">
        <v>50</v>
      </c>
      <c r="S3632">
        <v>5</v>
      </c>
      <c r="T3632">
        <v>7</v>
      </c>
      <c r="U3632">
        <v>39</v>
      </c>
      <c r="V3632">
        <v>3</v>
      </c>
      <c r="W3632">
        <v>3</v>
      </c>
      <c r="X3632">
        <v>7</v>
      </c>
      <c r="Y3632">
        <v>106</v>
      </c>
      <c r="Z3632">
        <v>6</v>
      </c>
      <c r="AA3632">
        <v>0</v>
      </c>
      <c r="AB3632">
        <v>2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2</v>
      </c>
      <c r="AI3632">
        <v>0</v>
      </c>
      <c r="AJ3632">
        <v>0</v>
      </c>
      <c r="AK3632">
        <v>0</v>
      </c>
      <c r="AL3632">
        <v>2</v>
      </c>
      <c r="AM3632">
        <v>0</v>
      </c>
      <c r="AN3632">
        <v>3</v>
      </c>
      <c r="AT3632">
        <v>0</v>
      </c>
      <c r="AU3632">
        <v>12</v>
      </c>
      <c r="AV3632">
        <v>280</v>
      </c>
      <c r="AW3632">
        <v>282</v>
      </c>
      <c r="AX3632">
        <v>426</v>
      </c>
      <c r="BA3632">
        <v>1</v>
      </c>
      <c r="BC3632" t="s">
        <v>7369</v>
      </c>
      <c r="BD3632" s="4">
        <v>43283.288888888892</v>
      </c>
      <c r="BE3632" s="4">
        <v>43283.32136574074</v>
      </c>
      <c r="BF3632" s="4">
        <v>43283.32136574074</v>
      </c>
      <c r="BG3632" t="s">
        <v>83</v>
      </c>
      <c r="BH3632" t="s">
        <v>84</v>
      </c>
      <c r="BI3632" t="s">
        <v>85</v>
      </c>
    </row>
    <row r="3633" spans="1:61" x14ac:dyDescent="0.3">
      <c r="A3633" t="str">
        <f>"201273C0100"</f>
        <v>201273C0100</v>
      </c>
      <c r="B3633" t="s">
        <v>7370</v>
      </c>
      <c r="C3633">
        <v>20</v>
      </c>
      <c r="D3633" t="s">
        <v>79</v>
      </c>
      <c r="E3633">
        <v>17</v>
      </c>
      <c r="F3633" t="s">
        <v>7160</v>
      </c>
      <c r="G3633">
        <v>1273</v>
      </c>
      <c r="H3633">
        <v>1</v>
      </c>
      <c r="I3633" t="s">
        <v>89</v>
      </c>
      <c r="J3633">
        <v>0</v>
      </c>
      <c r="K3633">
        <v>2</v>
      </c>
      <c r="L3633">
        <v>2</v>
      </c>
      <c r="M3633">
        <v>200</v>
      </c>
      <c r="N3633">
        <v>248</v>
      </c>
      <c r="O3633">
        <v>0</v>
      </c>
      <c r="P3633">
        <v>248</v>
      </c>
      <c r="Q3633">
        <v>39</v>
      </c>
      <c r="R3633">
        <v>28</v>
      </c>
      <c r="S3633">
        <v>9</v>
      </c>
      <c r="T3633">
        <v>5</v>
      </c>
      <c r="U3633">
        <v>19</v>
      </c>
      <c r="V3633">
        <v>4</v>
      </c>
      <c r="W3633">
        <v>3</v>
      </c>
      <c r="X3633">
        <v>2</v>
      </c>
      <c r="Y3633">
        <v>112</v>
      </c>
      <c r="Z3633">
        <v>10</v>
      </c>
      <c r="AA3633">
        <v>0</v>
      </c>
      <c r="AB3633">
        <v>1</v>
      </c>
      <c r="AC3633">
        <v>0</v>
      </c>
      <c r="AD3633">
        <v>0</v>
      </c>
      <c r="AE3633">
        <v>0</v>
      </c>
      <c r="AF3633">
        <v>1</v>
      </c>
      <c r="AG3633">
        <v>0</v>
      </c>
      <c r="AH3633">
        <v>0</v>
      </c>
      <c r="AI3633">
        <v>0</v>
      </c>
      <c r="AJ3633">
        <v>0</v>
      </c>
      <c r="AK3633">
        <v>1</v>
      </c>
      <c r="AL3633">
        <v>0</v>
      </c>
      <c r="AM3633">
        <v>1</v>
      </c>
      <c r="AN3633">
        <v>0</v>
      </c>
      <c r="AT3633">
        <v>0</v>
      </c>
      <c r="AU3633">
        <v>12</v>
      </c>
      <c r="AV3633">
        <v>248</v>
      </c>
      <c r="AW3633">
        <v>247</v>
      </c>
      <c r="AX3633">
        <v>425</v>
      </c>
      <c r="BA3633">
        <v>1</v>
      </c>
      <c r="BC3633" t="s">
        <v>7371</v>
      </c>
      <c r="BD3633" s="4">
        <v>43283.288888888892</v>
      </c>
      <c r="BE3633" s="4">
        <v>43283.318310185183</v>
      </c>
      <c r="BF3633" s="4">
        <v>43283.318310185183</v>
      </c>
      <c r="BG3633" t="s">
        <v>83</v>
      </c>
      <c r="BH3633" t="s">
        <v>84</v>
      </c>
      <c r="BI3633" t="s">
        <v>85</v>
      </c>
    </row>
    <row r="3634" spans="1:61" x14ac:dyDescent="0.3">
      <c r="A3634" t="str">
        <f>"201274B0100"</f>
        <v>201274B0100</v>
      </c>
      <c r="B3634" t="s">
        <v>7372</v>
      </c>
      <c r="C3634">
        <v>20</v>
      </c>
      <c r="D3634" t="s">
        <v>79</v>
      </c>
      <c r="E3634">
        <v>17</v>
      </c>
      <c r="F3634" t="s">
        <v>7160</v>
      </c>
      <c r="G3634">
        <v>1274</v>
      </c>
      <c r="H3634">
        <v>1</v>
      </c>
      <c r="I3634" t="s">
        <v>81</v>
      </c>
      <c r="J3634">
        <v>0</v>
      </c>
      <c r="K3634">
        <v>2</v>
      </c>
      <c r="L3634">
        <v>2</v>
      </c>
      <c r="M3634">
        <v>192</v>
      </c>
      <c r="N3634">
        <v>254</v>
      </c>
      <c r="O3634">
        <v>0</v>
      </c>
      <c r="P3634">
        <v>254</v>
      </c>
      <c r="Q3634">
        <v>82</v>
      </c>
      <c r="R3634">
        <v>36</v>
      </c>
      <c r="S3634">
        <v>4</v>
      </c>
      <c r="T3634">
        <v>5</v>
      </c>
      <c r="U3634">
        <v>15</v>
      </c>
      <c r="V3634">
        <v>1</v>
      </c>
      <c r="W3634">
        <v>3</v>
      </c>
      <c r="X3634">
        <v>3</v>
      </c>
      <c r="Y3634">
        <v>63</v>
      </c>
      <c r="Z3634">
        <v>5</v>
      </c>
      <c r="AA3634">
        <v>1</v>
      </c>
      <c r="AB3634">
        <v>1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1</v>
      </c>
      <c r="AL3634">
        <v>1</v>
      </c>
      <c r="AM3634">
        <v>0</v>
      </c>
      <c r="AN3634">
        <v>1</v>
      </c>
      <c r="AT3634" t="s">
        <v>100</v>
      </c>
      <c r="AU3634">
        <v>32</v>
      </c>
      <c r="AV3634">
        <v>254</v>
      </c>
      <c r="AW3634">
        <v>254</v>
      </c>
      <c r="AX3634">
        <v>425</v>
      </c>
      <c r="AZ3634" t="s">
        <v>101</v>
      </c>
      <c r="BA3634">
        <v>1</v>
      </c>
      <c r="BC3634" t="s">
        <v>7373</v>
      </c>
      <c r="BD3634" s="4">
        <v>43283.288888888892</v>
      </c>
      <c r="BE3634" s="4">
        <v>43283.323530092595</v>
      </c>
      <c r="BF3634" s="4">
        <v>43283.323530092595</v>
      </c>
      <c r="BG3634" t="s">
        <v>83</v>
      </c>
      <c r="BH3634" t="s">
        <v>84</v>
      </c>
      <c r="BI3634" t="s">
        <v>85</v>
      </c>
    </row>
    <row r="3635" spans="1:61" x14ac:dyDescent="0.3">
      <c r="A3635" t="str">
        <f>"201274C0100"</f>
        <v>201274C0100</v>
      </c>
      <c r="B3635" t="s">
        <v>7374</v>
      </c>
      <c r="C3635">
        <v>20</v>
      </c>
      <c r="D3635" t="s">
        <v>79</v>
      </c>
      <c r="E3635">
        <v>17</v>
      </c>
      <c r="F3635" t="s">
        <v>7160</v>
      </c>
      <c r="G3635">
        <v>1274</v>
      </c>
      <c r="H3635">
        <v>1</v>
      </c>
      <c r="I3635" t="s">
        <v>89</v>
      </c>
      <c r="J3635">
        <v>0</v>
      </c>
      <c r="K3635">
        <v>2</v>
      </c>
      <c r="L3635">
        <v>2</v>
      </c>
      <c r="M3635" t="s">
        <v>315</v>
      </c>
      <c r="N3635" t="s">
        <v>315</v>
      </c>
      <c r="O3635" t="s">
        <v>315</v>
      </c>
      <c r="P3635" t="s">
        <v>315</v>
      </c>
      <c r="Q3635">
        <v>97</v>
      </c>
      <c r="R3635">
        <v>40</v>
      </c>
      <c r="S3635">
        <v>6</v>
      </c>
      <c r="T3635">
        <v>3</v>
      </c>
      <c r="U3635">
        <v>19</v>
      </c>
      <c r="V3635" t="s">
        <v>100</v>
      </c>
      <c r="W3635">
        <v>3</v>
      </c>
      <c r="X3635">
        <v>3</v>
      </c>
      <c r="Y3635">
        <v>55</v>
      </c>
      <c r="Z3635">
        <v>3</v>
      </c>
      <c r="AA3635" t="s">
        <v>100</v>
      </c>
      <c r="AB3635" t="s">
        <v>100</v>
      </c>
      <c r="AC3635">
        <v>0</v>
      </c>
      <c r="AD3635">
        <v>0</v>
      </c>
      <c r="AE3635">
        <v>0</v>
      </c>
      <c r="AF3635" t="s">
        <v>100</v>
      </c>
      <c r="AG3635" t="s">
        <v>100</v>
      </c>
      <c r="AH3635" t="s">
        <v>100</v>
      </c>
      <c r="AI3635" t="s">
        <v>100</v>
      </c>
      <c r="AJ3635" t="s">
        <v>100</v>
      </c>
      <c r="AK3635">
        <v>1</v>
      </c>
      <c r="AL3635">
        <v>1</v>
      </c>
      <c r="AM3635" t="s">
        <v>100</v>
      </c>
      <c r="AN3635">
        <v>1</v>
      </c>
      <c r="AT3635">
        <v>1</v>
      </c>
      <c r="AU3635" t="s">
        <v>315</v>
      </c>
      <c r="AV3635" t="s">
        <v>315</v>
      </c>
      <c r="AW3635">
        <v>233</v>
      </c>
      <c r="AX3635">
        <v>425</v>
      </c>
      <c r="AZ3635" t="s">
        <v>101</v>
      </c>
      <c r="BA3635">
        <v>1</v>
      </c>
      <c r="BC3635" t="s">
        <v>7375</v>
      </c>
      <c r="BD3635" s="4">
        <v>43283.288888888892</v>
      </c>
      <c r="BE3635" s="4">
        <v>43283.339108796295</v>
      </c>
      <c r="BF3635" s="4">
        <v>43283.339108796295</v>
      </c>
      <c r="BG3635" t="s">
        <v>83</v>
      </c>
      <c r="BH3635" t="s">
        <v>84</v>
      </c>
      <c r="BI3635" t="s">
        <v>85</v>
      </c>
    </row>
    <row r="3636" spans="1:61" x14ac:dyDescent="0.3">
      <c r="A3636" t="str">
        <f>"201407B0100"</f>
        <v>201407B0100</v>
      </c>
      <c r="B3636" t="s">
        <v>7376</v>
      </c>
      <c r="C3636">
        <v>20</v>
      </c>
      <c r="D3636" t="s">
        <v>79</v>
      </c>
      <c r="E3636">
        <v>17</v>
      </c>
      <c r="F3636" t="s">
        <v>7160</v>
      </c>
      <c r="G3636">
        <v>1407</v>
      </c>
      <c r="H3636">
        <v>1</v>
      </c>
      <c r="I3636" t="s">
        <v>81</v>
      </c>
      <c r="J3636">
        <v>0</v>
      </c>
      <c r="K3636">
        <v>2</v>
      </c>
      <c r="L3636">
        <v>2</v>
      </c>
      <c r="M3636">
        <v>272</v>
      </c>
      <c r="N3636" t="s">
        <v>100</v>
      </c>
      <c r="O3636" t="s">
        <v>100</v>
      </c>
      <c r="P3636" t="s">
        <v>100</v>
      </c>
      <c r="Q3636">
        <v>17</v>
      </c>
      <c r="R3636">
        <v>28</v>
      </c>
      <c r="S3636">
        <v>9</v>
      </c>
      <c r="T3636">
        <v>4</v>
      </c>
      <c r="U3636">
        <v>36</v>
      </c>
      <c r="V3636">
        <v>8</v>
      </c>
      <c r="W3636">
        <v>3</v>
      </c>
      <c r="X3636">
        <v>4</v>
      </c>
      <c r="Y3636">
        <v>112</v>
      </c>
      <c r="Z3636">
        <v>6</v>
      </c>
      <c r="AA3636">
        <v>2</v>
      </c>
      <c r="AB3636">
        <v>3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2</v>
      </c>
      <c r="AI3636">
        <v>0</v>
      </c>
      <c r="AJ3636">
        <v>0</v>
      </c>
      <c r="AK3636">
        <v>5</v>
      </c>
      <c r="AL3636">
        <v>2</v>
      </c>
      <c r="AM3636">
        <v>0</v>
      </c>
      <c r="AN3636">
        <v>1</v>
      </c>
      <c r="AT3636">
        <v>0</v>
      </c>
      <c r="AU3636">
        <v>29</v>
      </c>
      <c r="AV3636">
        <v>271</v>
      </c>
      <c r="AW3636">
        <v>271</v>
      </c>
      <c r="AX3636">
        <v>521</v>
      </c>
      <c r="BA3636">
        <v>1</v>
      </c>
      <c r="BC3636" t="s">
        <v>7377</v>
      </c>
      <c r="BD3636" s="4">
        <v>43283.299305555556</v>
      </c>
      <c r="BE3636" s="4">
        <v>43283.346493055556</v>
      </c>
      <c r="BF3636" s="4">
        <v>43283.346493055556</v>
      </c>
      <c r="BG3636" t="s">
        <v>83</v>
      </c>
      <c r="BH3636" t="s">
        <v>84</v>
      </c>
      <c r="BI3636" t="s">
        <v>85</v>
      </c>
    </row>
    <row r="3637" spans="1:61" x14ac:dyDescent="0.3">
      <c r="A3637" t="str">
        <f>"201407C0100"</f>
        <v>201407C0100</v>
      </c>
      <c r="B3637" t="s">
        <v>7378</v>
      </c>
      <c r="C3637">
        <v>20</v>
      </c>
      <c r="D3637" t="s">
        <v>79</v>
      </c>
      <c r="E3637">
        <v>17</v>
      </c>
      <c r="F3637" t="s">
        <v>7160</v>
      </c>
      <c r="G3637">
        <v>1407</v>
      </c>
      <c r="H3637">
        <v>1</v>
      </c>
      <c r="I3637" t="s">
        <v>89</v>
      </c>
      <c r="J3637">
        <v>0</v>
      </c>
      <c r="K3637">
        <v>2</v>
      </c>
      <c r="L3637">
        <v>2</v>
      </c>
      <c r="M3637">
        <v>317</v>
      </c>
      <c r="N3637">
        <v>226</v>
      </c>
      <c r="O3637">
        <v>0</v>
      </c>
      <c r="P3637">
        <v>226</v>
      </c>
      <c r="Q3637">
        <v>11</v>
      </c>
      <c r="R3637">
        <v>22</v>
      </c>
      <c r="S3637">
        <v>7</v>
      </c>
      <c r="T3637">
        <v>3</v>
      </c>
      <c r="U3637">
        <v>19</v>
      </c>
      <c r="V3637">
        <v>4</v>
      </c>
      <c r="W3637">
        <v>3</v>
      </c>
      <c r="X3637">
        <v>5</v>
      </c>
      <c r="Y3637">
        <v>116</v>
      </c>
      <c r="Z3637">
        <v>2</v>
      </c>
      <c r="AA3637">
        <v>0</v>
      </c>
      <c r="AB3637">
        <v>1</v>
      </c>
      <c r="AC3637">
        <v>0</v>
      </c>
      <c r="AD3637">
        <v>0</v>
      </c>
      <c r="AE3637">
        <v>1</v>
      </c>
      <c r="AF3637">
        <v>0</v>
      </c>
      <c r="AG3637">
        <v>0</v>
      </c>
      <c r="AH3637">
        <v>3</v>
      </c>
      <c r="AI3637">
        <v>0</v>
      </c>
      <c r="AJ3637">
        <v>1</v>
      </c>
      <c r="AK3637">
        <v>1</v>
      </c>
      <c r="AL3637">
        <v>4</v>
      </c>
      <c r="AM3637">
        <v>1</v>
      </c>
      <c r="AN3637">
        <v>1</v>
      </c>
      <c r="AT3637">
        <v>21</v>
      </c>
      <c r="AU3637">
        <v>21</v>
      </c>
      <c r="AV3637">
        <v>226</v>
      </c>
      <c r="AW3637">
        <v>247</v>
      </c>
      <c r="AX3637">
        <v>521</v>
      </c>
      <c r="BA3637">
        <v>1</v>
      </c>
      <c r="BC3637" t="s">
        <v>7379</v>
      </c>
      <c r="BD3637" s="4">
        <v>43283.299305555556</v>
      </c>
      <c r="BE3637" s="4">
        <v>43283.347199074073</v>
      </c>
      <c r="BF3637" s="4">
        <v>43283.347199074073</v>
      </c>
      <c r="BG3637" t="s">
        <v>83</v>
      </c>
      <c r="BH3637" t="s">
        <v>84</v>
      </c>
      <c r="BI3637" t="s">
        <v>85</v>
      </c>
    </row>
    <row r="3638" spans="1:61" x14ac:dyDescent="0.3">
      <c r="A3638" t="str">
        <f>"201407C0200"</f>
        <v>201407C0200</v>
      </c>
      <c r="B3638" t="s">
        <v>7380</v>
      </c>
      <c r="C3638">
        <v>20</v>
      </c>
      <c r="D3638" t="s">
        <v>79</v>
      </c>
      <c r="E3638">
        <v>17</v>
      </c>
      <c r="F3638" t="s">
        <v>7160</v>
      </c>
      <c r="G3638">
        <v>1407</v>
      </c>
      <c r="H3638">
        <v>2</v>
      </c>
      <c r="I3638" t="s">
        <v>89</v>
      </c>
      <c r="J3638">
        <v>0</v>
      </c>
      <c r="K3638">
        <v>2</v>
      </c>
      <c r="L3638">
        <v>2</v>
      </c>
      <c r="M3638">
        <v>311</v>
      </c>
      <c r="N3638">
        <v>232</v>
      </c>
      <c r="O3638">
        <v>0</v>
      </c>
      <c r="P3638">
        <v>2</v>
      </c>
      <c r="Q3638">
        <v>16</v>
      </c>
      <c r="R3638">
        <v>26</v>
      </c>
      <c r="S3638">
        <v>11</v>
      </c>
      <c r="T3638">
        <v>5</v>
      </c>
      <c r="U3638">
        <v>27</v>
      </c>
      <c r="V3638">
        <v>3</v>
      </c>
      <c r="W3638">
        <v>4</v>
      </c>
      <c r="X3638">
        <v>1</v>
      </c>
      <c r="Y3638">
        <v>102</v>
      </c>
      <c r="Z3638">
        <v>9</v>
      </c>
      <c r="AA3638">
        <v>1</v>
      </c>
      <c r="AB3638">
        <v>3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1</v>
      </c>
      <c r="AI3638">
        <v>0</v>
      </c>
      <c r="AJ3638">
        <v>0</v>
      </c>
      <c r="AK3638">
        <v>4</v>
      </c>
      <c r="AL3638">
        <v>0</v>
      </c>
      <c r="AM3638">
        <v>0</v>
      </c>
      <c r="AN3638">
        <v>0</v>
      </c>
      <c r="AT3638">
        <v>0</v>
      </c>
      <c r="AU3638">
        <v>19</v>
      </c>
      <c r="AV3638">
        <v>232</v>
      </c>
      <c r="AW3638">
        <v>232</v>
      </c>
      <c r="AX3638">
        <v>521</v>
      </c>
      <c r="BA3638">
        <v>1</v>
      </c>
      <c r="BC3638" t="s">
        <v>7381</v>
      </c>
      <c r="BD3638" s="4">
        <v>43283.299305555556</v>
      </c>
      <c r="BE3638" s="4">
        <v>43283.346400462964</v>
      </c>
      <c r="BF3638" s="4">
        <v>43283.346400462964</v>
      </c>
      <c r="BG3638" t="s">
        <v>83</v>
      </c>
      <c r="BH3638" t="s">
        <v>84</v>
      </c>
      <c r="BI3638" t="s">
        <v>85</v>
      </c>
    </row>
    <row r="3639" spans="1:61" x14ac:dyDescent="0.3">
      <c r="A3639" t="str">
        <f>"201408B0100"</f>
        <v>201408B0100</v>
      </c>
      <c r="B3639" t="s">
        <v>7382</v>
      </c>
      <c r="C3639">
        <v>20</v>
      </c>
      <c r="D3639" t="s">
        <v>79</v>
      </c>
      <c r="E3639">
        <v>17</v>
      </c>
      <c r="F3639" t="s">
        <v>7160</v>
      </c>
      <c r="G3639">
        <v>1408</v>
      </c>
      <c r="H3639">
        <v>1</v>
      </c>
      <c r="I3639" t="s">
        <v>81</v>
      </c>
      <c r="J3639">
        <v>0</v>
      </c>
      <c r="K3639">
        <v>1</v>
      </c>
      <c r="L3639">
        <v>2</v>
      </c>
      <c r="M3639">
        <v>455</v>
      </c>
      <c r="N3639">
        <v>313</v>
      </c>
      <c r="O3639">
        <v>0</v>
      </c>
      <c r="P3639">
        <v>313</v>
      </c>
      <c r="Q3639">
        <v>27</v>
      </c>
      <c r="R3639">
        <v>50</v>
      </c>
      <c r="S3639">
        <v>9</v>
      </c>
      <c r="T3639">
        <v>9</v>
      </c>
      <c r="U3639">
        <v>26</v>
      </c>
      <c r="V3639">
        <v>2</v>
      </c>
      <c r="W3639">
        <v>1</v>
      </c>
      <c r="X3639">
        <v>5</v>
      </c>
      <c r="Y3639">
        <v>130</v>
      </c>
      <c r="Z3639">
        <v>4</v>
      </c>
      <c r="AA3639">
        <v>1</v>
      </c>
      <c r="AB3639" t="s">
        <v>100</v>
      </c>
      <c r="AC3639" t="s">
        <v>100</v>
      </c>
      <c r="AD3639" t="s">
        <v>100</v>
      </c>
      <c r="AE3639" t="s">
        <v>100</v>
      </c>
      <c r="AF3639" t="s">
        <v>100</v>
      </c>
      <c r="AG3639" t="s">
        <v>100</v>
      </c>
      <c r="AH3639">
        <v>6</v>
      </c>
      <c r="AI3639">
        <v>1</v>
      </c>
      <c r="AJ3639" t="s">
        <v>100</v>
      </c>
      <c r="AK3639" t="s">
        <v>100</v>
      </c>
      <c r="AL3639">
        <v>7</v>
      </c>
      <c r="AM3639" t="s">
        <v>100</v>
      </c>
      <c r="AN3639" t="s">
        <v>100</v>
      </c>
      <c r="AT3639" t="s">
        <v>100</v>
      </c>
      <c r="AU3639">
        <v>35</v>
      </c>
      <c r="AV3639" t="s">
        <v>100</v>
      </c>
      <c r="AW3639">
        <v>313</v>
      </c>
      <c r="AX3639">
        <v>747</v>
      </c>
      <c r="AZ3639" t="s">
        <v>101</v>
      </c>
      <c r="BA3639">
        <v>1</v>
      </c>
      <c r="BC3639" t="s">
        <v>7383</v>
      </c>
      <c r="BD3639" s="4">
        <v>43283.299305555556</v>
      </c>
      <c r="BE3639" s="4">
        <v>43283.327951388892</v>
      </c>
      <c r="BF3639" s="4">
        <v>43283.327951388892</v>
      </c>
      <c r="BG3639" t="s">
        <v>83</v>
      </c>
      <c r="BH3639" t="s">
        <v>84</v>
      </c>
      <c r="BI3639" t="s">
        <v>85</v>
      </c>
    </row>
    <row r="3640" spans="1:61" x14ac:dyDescent="0.3">
      <c r="A3640" t="str">
        <f>"201440B0100"</f>
        <v>201440B0100</v>
      </c>
      <c r="B3640" t="s">
        <v>7384</v>
      </c>
      <c r="C3640">
        <v>20</v>
      </c>
      <c r="D3640" t="s">
        <v>79</v>
      </c>
      <c r="E3640">
        <v>17</v>
      </c>
      <c r="F3640" t="s">
        <v>7160</v>
      </c>
      <c r="G3640">
        <v>1440</v>
      </c>
      <c r="H3640">
        <v>1</v>
      </c>
      <c r="I3640" t="s">
        <v>81</v>
      </c>
      <c r="J3640">
        <v>0</v>
      </c>
      <c r="K3640">
        <v>1</v>
      </c>
      <c r="L3640">
        <v>2</v>
      </c>
      <c r="M3640">
        <v>155</v>
      </c>
      <c r="N3640" t="s">
        <v>100</v>
      </c>
      <c r="O3640">
        <v>5</v>
      </c>
      <c r="P3640">
        <v>480</v>
      </c>
      <c r="Q3640">
        <v>66</v>
      </c>
      <c r="R3640">
        <v>107</v>
      </c>
      <c r="S3640">
        <v>9</v>
      </c>
      <c r="T3640">
        <v>122</v>
      </c>
      <c r="U3640">
        <v>16</v>
      </c>
      <c r="V3640">
        <v>5</v>
      </c>
      <c r="W3640">
        <v>3</v>
      </c>
      <c r="X3640">
        <v>11</v>
      </c>
      <c r="Y3640">
        <v>93</v>
      </c>
      <c r="Z3640">
        <v>5</v>
      </c>
      <c r="AA3640">
        <v>0</v>
      </c>
      <c r="AB3640">
        <v>15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1</v>
      </c>
      <c r="AI3640">
        <v>1</v>
      </c>
      <c r="AJ3640">
        <v>0</v>
      </c>
      <c r="AK3640">
        <v>4</v>
      </c>
      <c r="AL3640">
        <v>0</v>
      </c>
      <c r="AM3640">
        <v>0</v>
      </c>
      <c r="AN3640">
        <v>2</v>
      </c>
      <c r="AT3640">
        <v>0</v>
      </c>
      <c r="AU3640">
        <v>20</v>
      </c>
      <c r="AV3640">
        <v>480</v>
      </c>
      <c r="AW3640">
        <v>480</v>
      </c>
      <c r="AX3640">
        <v>619</v>
      </c>
      <c r="BA3640">
        <v>1</v>
      </c>
      <c r="BC3640" t="s">
        <v>7385</v>
      </c>
      <c r="BD3640" s="4">
        <v>43283.262499999997</v>
      </c>
      <c r="BE3640" s="4">
        <v>43283.28869212963</v>
      </c>
      <c r="BF3640" s="4">
        <v>43283.28869212963</v>
      </c>
      <c r="BG3640" t="s">
        <v>83</v>
      </c>
      <c r="BH3640" t="s">
        <v>84</v>
      </c>
      <c r="BI3640" t="s">
        <v>85</v>
      </c>
    </row>
    <row r="3641" spans="1:61" x14ac:dyDescent="0.3">
      <c r="A3641" t="str">
        <f>"201440C0100"</f>
        <v>201440C0100</v>
      </c>
      <c r="B3641" t="s">
        <v>7386</v>
      </c>
      <c r="C3641">
        <v>20</v>
      </c>
      <c r="D3641" t="s">
        <v>79</v>
      </c>
      <c r="E3641">
        <v>17</v>
      </c>
      <c r="F3641" t="s">
        <v>7160</v>
      </c>
      <c r="G3641">
        <v>1440</v>
      </c>
      <c r="H3641">
        <v>1</v>
      </c>
      <c r="I3641" t="s">
        <v>89</v>
      </c>
      <c r="J3641">
        <v>0</v>
      </c>
      <c r="K3641">
        <v>1</v>
      </c>
      <c r="L3641">
        <v>2</v>
      </c>
      <c r="AX3641">
        <v>619</v>
      </c>
      <c r="AZ3641" t="s">
        <v>156</v>
      </c>
      <c r="BA3641">
        <v>0</v>
      </c>
      <c r="BC3641" t="s">
        <v>7387</v>
      </c>
      <c r="BD3641" s="4">
        <v>43283.714583333334</v>
      </c>
      <c r="BE3641" s="4">
        <v>43283.718460648146</v>
      </c>
      <c r="BF3641" s="4">
        <v>43283.718460648146</v>
      </c>
      <c r="BG3641" t="s">
        <v>83</v>
      </c>
      <c r="BH3641" t="s">
        <v>84</v>
      </c>
      <c r="BI3641" t="s">
        <v>85</v>
      </c>
    </row>
    <row r="3642" spans="1:61" x14ac:dyDescent="0.3">
      <c r="A3642" t="str">
        <f>"201441B0100"</f>
        <v>201441B0100</v>
      </c>
      <c r="B3642" t="s">
        <v>7388</v>
      </c>
      <c r="C3642">
        <v>20</v>
      </c>
      <c r="D3642" t="s">
        <v>79</v>
      </c>
      <c r="E3642">
        <v>17</v>
      </c>
      <c r="F3642" t="s">
        <v>7160</v>
      </c>
      <c r="G3642">
        <v>1441</v>
      </c>
      <c r="H3642">
        <v>1</v>
      </c>
      <c r="I3642" t="s">
        <v>81</v>
      </c>
      <c r="J3642">
        <v>0</v>
      </c>
      <c r="K3642">
        <v>2</v>
      </c>
      <c r="L3642">
        <v>2</v>
      </c>
      <c r="M3642">
        <v>148</v>
      </c>
      <c r="N3642">
        <v>382</v>
      </c>
      <c r="O3642">
        <v>3</v>
      </c>
      <c r="P3642">
        <v>382</v>
      </c>
      <c r="Q3642">
        <v>72</v>
      </c>
      <c r="R3642">
        <v>78</v>
      </c>
      <c r="S3642">
        <v>6</v>
      </c>
      <c r="T3642">
        <v>65</v>
      </c>
      <c r="U3642">
        <v>17</v>
      </c>
      <c r="V3642">
        <v>10</v>
      </c>
      <c r="W3642">
        <v>3</v>
      </c>
      <c r="X3642">
        <v>5</v>
      </c>
      <c r="Y3642">
        <v>79</v>
      </c>
      <c r="Z3642">
        <v>5</v>
      </c>
      <c r="AA3642">
        <v>0</v>
      </c>
      <c r="AB3642">
        <v>18</v>
      </c>
      <c r="AC3642">
        <v>0</v>
      </c>
      <c r="AD3642">
        <v>1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2</v>
      </c>
      <c r="AL3642">
        <v>0</v>
      </c>
      <c r="AM3642">
        <v>0</v>
      </c>
      <c r="AN3642">
        <v>0</v>
      </c>
      <c r="AT3642">
        <v>0</v>
      </c>
      <c r="AU3642">
        <v>21</v>
      </c>
      <c r="AV3642" t="s">
        <v>100</v>
      </c>
      <c r="AW3642">
        <v>382</v>
      </c>
      <c r="AX3642">
        <v>508</v>
      </c>
      <c r="BA3642">
        <v>1</v>
      </c>
      <c r="BC3642" t="s">
        <v>7389</v>
      </c>
      <c r="BD3642" s="4">
        <v>43283.262499999997</v>
      </c>
      <c r="BE3642" s="4">
        <v>43283.291481481479</v>
      </c>
      <c r="BF3642" s="4">
        <v>43283.291481481479</v>
      </c>
      <c r="BG3642" t="s">
        <v>83</v>
      </c>
      <c r="BH3642" t="s">
        <v>84</v>
      </c>
      <c r="BI3642" t="s">
        <v>85</v>
      </c>
    </row>
    <row r="3643" spans="1:61" x14ac:dyDescent="0.3">
      <c r="A3643" t="str">
        <f>"201441C0100"</f>
        <v>201441C0100</v>
      </c>
      <c r="B3643" t="s">
        <v>7390</v>
      </c>
      <c r="C3643">
        <v>20</v>
      </c>
      <c r="D3643" t="s">
        <v>79</v>
      </c>
      <c r="E3643">
        <v>17</v>
      </c>
      <c r="F3643" t="s">
        <v>7160</v>
      </c>
      <c r="G3643">
        <v>1441</v>
      </c>
      <c r="H3643">
        <v>1</v>
      </c>
      <c r="I3643" t="s">
        <v>89</v>
      </c>
      <c r="J3643">
        <v>0</v>
      </c>
      <c r="K3643">
        <v>2</v>
      </c>
      <c r="L3643">
        <v>2</v>
      </c>
      <c r="M3643">
        <v>124</v>
      </c>
      <c r="N3643">
        <v>405</v>
      </c>
      <c r="O3643">
        <v>5</v>
      </c>
      <c r="P3643">
        <v>405</v>
      </c>
      <c r="Q3643">
        <v>68</v>
      </c>
      <c r="R3643">
        <v>80</v>
      </c>
      <c r="S3643">
        <v>16</v>
      </c>
      <c r="T3643">
        <v>79</v>
      </c>
      <c r="U3643">
        <v>20</v>
      </c>
      <c r="V3643">
        <v>8</v>
      </c>
      <c r="W3643">
        <v>1</v>
      </c>
      <c r="X3643">
        <v>6</v>
      </c>
      <c r="Y3643">
        <v>82</v>
      </c>
      <c r="Z3643">
        <v>4</v>
      </c>
      <c r="AA3643">
        <v>1</v>
      </c>
      <c r="AB3643">
        <v>9</v>
      </c>
      <c r="AC3643">
        <v>2</v>
      </c>
      <c r="AD3643">
        <v>0</v>
      </c>
      <c r="AE3643">
        <v>0</v>
      </c>
      <c r="AF3643">
        <v>0</v>
      </c>
      <c r="AG3643">
        <v>0</v>
      </c>
      <c r="AH3643">
        <v>5</v>
      </c>
      <c r="AI3643">
        <v>0</v>
      </c>
      <c r="AJ3643">
        <v>0</v>
      </c>
      <c r="AK3643">
        <v>1</v>
      </c>
      <c r="AL3643">
        <v>0</v>
      </c>
      <c r="AM3643">
        <v>1</v>
      </c>
      <c r="AN3643">
        <v>0</v>
      </c>
      <c r="AT3643">
        <v>0</v>
      </c>
      <c r="AU3643">
        <v>22</v>
      </c>
      <c r="AV3643">
        <v>405</v>
      </c>
      <c r="AW3643">
        <v>405</v>
      </c>
      <c r="AX3643">
        <v>508</v>
      </c>
      <c r="BA3643">
        <v>1</v>
      </c>
      <c r="BC3643" t="s">
        <v>7391</v>
      </c>
      <c r="BD3643" s="4">
        <v>43283.262499999997</v>
      </c>
      <c r="BE3643" s="4">
        <v>43283.289155092592</v>
      </c>
      <c r="BF3643" s="4">
        <v>43283.289155092592</v>
      </c>
      <c r="BG3643" t="s">
        <v>83</v>
      </c>
      <c r="BH3643" t="s">
        <v>84</v>
      </c>
      <c r="BI3643" t="s">
        <v>85</v>
      </c>
    </row>
    <row r="3644" spans="1:61" x14ac:dyDescent="0.3">
      <c r="A3644" t="str">
        <f>"201441S0100"</f>
        <v>201441S0100</v>
      </c>
      <c r="B3644" t="s">
        <v>7392</v>
      </c>
      <c r="C3644">
        <v>20</v>
      </c>
      <c r="D3644" t="s">
        <v>79</v>
      </c>
      <c r="E3644">
        <v>17</v>
      </c>
      <c r="F3644" t="s">
        <v>7160</v>
      </c>
      <c r="G3644">
        <v>1441</v>
      </c>
      <c r="H3644">
        <v>1</v>
      </c>
      <c r="I3644" t="s">
        <v>104</v>
      </c>
      <c r="J3644">
        <v>0</v>
      </c>
      <c r="K3644">
        <v>1</v>
      </c>
      <c r="L3644">
        <v>3</v>
      </c>
      <c r="M3644">
        <v>320</v>
      </c>
      <c r="N3644">
        <v>110</v>
      </c>
      <c r="O3644">
        <v>0</v>
      </c>
      <c r="P3644">
        <v>110</v>
      </c>
      <c r="Q3644">
        <v>5</v>
      </c>
      <c r="R3644">
        <v>6</v>
      </c>
      <c r="S3644">
        <v>1</v>
      </c>
      <c r="T3644">
        <v>7</v>
      </c>
      <c r="U3644">
        <v>17</v>
      </c>
      <c r="V3644">
        <v>0</v>
      </c>
      <c r="W3644">
        <v>1</v>
      </c>
      <c r="X3644">
        <v>3</v>
      </c>
      <c r="Y3644">
        <v>45</v>
      </c>
      <c r="Z3644">
        <v>1</v>
      </c>
      <c r="AA3644">
        <v>5</v>
      </c>
      <c r="AB3644">
        <v>12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T3644">
        <v>0</v>
      </c>
      <c r="AU3644">
        <v>7</v>
      </c>
      <c r="AV3644">
        <v>110</v>
      </c>
      <c r="AW3644">
        <v>110</v>
      </c>
      <c r="AX3644">
        <v>0</v>
      </c>
      <c r="BA3644">
        <v>1</v>
      </c>
      <c r="BC3644" t="s">
        <v>7393</v>
      </c>
      <c r="BD3644" s="4">
        <v>43283.262499999997</v>
      </c>
      <c r="BE3644" s="4">
        <v>43283.289814814816</v>
      </c>
      <c r="BF3644" s="4">
        <v>43283.289814814816</v>
      </c>
      <c r="BG3644" t="s">
        <v>83</v>
      </c>
      <c r="BH3644" t="s">
        <v>84</v>
      </c>
      <c r="BI3644" t="s">
        <v>85</v>
      </c>
    </row>
    <row r="3645" spans="1:61" x14ac:dyDescent="0.3">
      <c r="A3645" t="str">
        <f>"201442B0100"</f>
        <v>201442B0100</v>
      </c>
      <c r="B3645" t="s">
        <v>7394</v>
      </c>
      <c r="C3645">
        <v>20</v>
      </c>
      <c r="D3645" t="s">
        <v>79</v>
      </c>
      <c r="E3645">
        <v>17</v>
      </c>
      <c r="F3645" t="s">
        <v>7160</v>
      </c>
      <c r="G3645">
        <v>1442</v>
      </c>
      <c r="H3645">
        <v>1</v>
      </c>
      <c r="I3645" t="s">
        <v>81</v>
      </c>
      <c r="J3645">
        <v>0</v>
      </c>
      <c r="K3645">
        <v>2</v>
      </c>
      <c r="L3645">
        <v>2</v>
      </c>
      <c r="M3645">
        <v>197</v>
      </c>
      <c r="N3645">
        <v>566</v>
      </c>
      <c r="O3645">
        <v>6</v>
      </c>
      <c r="P3645">
        <v>566</v>
      </c>
      <c r="Q3645">
        <v>76</v>
      </c>
      <c r="R3645">
        <v>115</v>
      </c>
      <c r="S3645">
        <v>11</v>
      </c>
      <c r="T3645">
        <v>118</v>
      </c>
      <c r="U3645">
        <v>31</v>
      </c>
      <c r="V3645">
        <v>17</v>
      </c>
      <c r="W3645">
        <v>2</v>
      </c>
      <c r="X3645">
        <v>9</v>
      </c>
      <c r="Y3645">
        <v>104</v>
      </c>
      <c r="Z3645">
        <v>8</v>
      </c>
      <c r="AA3645">
        <v>5</v>
      </c>
      <c r="AB3645">
        <v>28</v>
      </c>
      <c r="AC3645">
        <v>1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T3645">
        <v>0</v>
      </c>
      <c r="AU3645">
        <v>38</v>
      </c>
      <c r="AV3645">
        <v>566</v>
      </c>
      <c r="AW3645">
        <v>563</v>
      </c>
      <c r="AX3645">
        <v>742</v>
      </c>
      <c r="BA3645">
        <v>1</v>
      </c>
      <c r="BC3645" t="s">
        <v>7395</v>
      </c>
      <c r="BD3645" s="4">
        <v>43283.18472222222</v>
      </c>
      <c r="BE3645" s="4">
        <v>43283.204942129632</v>
      </c>
      <c r="BF3645" s="4">
        <v>43283.204942129632</v>
      </c>
      <c r="BG3645" t="s">
        <v>83</v>
      </c>
      <c r="BH3645" t="s">
        <v>84</v>
      </c>
      <c r="BI3645" t="s">
        <v>85</v>
      </c>
    </row>
    <row r="3646" spans="1:61" x14ac:dyDescent="0.3">
      <c r="A3646" t="str">
        <f>"201442C0100"</f>
        <v>201442C0100</v>
      </c>
      <c r="B3646" t="s">
        <v>7396</v>
      </c>
      <c r="C3646">
        <v>20</v>
      </c>
      <c r="D3646" t="s">
        <v>79</v>
      </c>
      <c r="E3646">
        <v>17</v>
      </c>
      <c r="F3646" t="s">
        <v>7160</v>
      </c>
      <c r="G3646">
        <v>1442</v>
      </c>
      <c r="H3646">
        <v>1</v>
      </c>
      <c r="I3646" t="s">
        <v>89</v>
      </c>
      <c r="J3646">
        <v>0</v>
      </c>
      <c r="K3646">
        <v>2</v>
      </c>
      <c r="L3646">
        <v>2</v>
      </c>
      <c r="M3646">
        <v>209</v>
      </c>
      <c r="N3646">
        <v>554</v>
      </c>
      <c r="O3646">
        <v>5</v>
      </c>
      <c r="P3646">
        <v>554</v>
      </c>
      <c r="Q3646">
        <v>94</v>
      </c>
      <c r="R3646">
        <v>110</v>
      </c>
      <c r="S3646">
        <v>5</v>
      </c>
      <c r="T3646">
        <v>116</v>
      </c>
      <c r="U3646">
        <v>20</v>
      </c>
      <c r="V3646">
        <v>12</v>
      </c>
      <c r="W3646">
        <v>1</v>
      </c>
      <c r="X3646">
        <v>6</v>
      </c>
      <c r="Y3646">
        <v>111</v>
      </c>
      <c r="Z3646">
        <v>6</v>
      </c>
      <c r="AA3646">
        <v>8</v>
      </c>
      <c r="AB3646">
        <v>16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1</v>
      </c>
      <c r="AI3646">
        <v>0</v>
      </c>
      <c r="AJ3646">
        <v>0</v>
      </c>
      <c r="AK3646">
        <v>1</v>
      </c>
      <c r="AL3646">
        <v>1</v>
      </c>
      <c r="AM3646">
        <v>0</v>
      </c>
      <c r="AN3646">
        <v>1</v>
      </c>
      <c r="AT3646">
        <v>0</v>
      </c>
      <c r="AU3646">
        <v>45</v>
      </c>
      <c r="AV3646">
        <v>554</v>
      </c>
      <c r="AW3646">
        <v>554</v>
      </c>
      <c r="AX3646">
        <v>741</v>
      </c>
      <c r="BA3646">
        <v>1</v>
      </c>
      <c r="BC3646" t="s">
        <v>7397</v>
      </c>
      <c r="BD3646" s="4">
        <v>43283.18472222222</v>
      </c>
      <c r="BE3646" s="4">
        <v>43283.205659722225</v>
      </c>
      <c r="BF3646" s="4">
        <v>43283.205659722225</v>
      </c>
      <c r="BG3646" t="s">
        <v>83</v>
      </c>
      <c r="BH3646" t="s">
        <v>84</v>
      </c>
      <c r="BI3646" t="s">
        <v>85</v>
      </c>
    </row>
    <row r="3647" spans="1:61" x14ac:dyDescent="0.3">
      <c r="A3647" t="str">
        <f>"201443B0100"</f>
        <v>201443B0100</v>
      </c>
      <c r="B3647" t="s">
        <v>7398</v>
      </c>
      <c r="C3647">
        <v>20</v>
      </c>
      <c r="D3647" t="s">
        <v>79</v>
      </c>
      <c r="E3647">
        <v>17</v>
      </c>
      <c r="F3647" t="s">
        <v>7160</v>
      </c>
      <c r="G3647">
        <v>1443</v>
      </c>
      <c r="H3647">
        <v>1</v>
      </c>
      <c r="I3647" t="s">
        <v>81</v>
      </c>
      <c r="J3647">
        <v>0</v>
      </c>
      <c r="K3647">
        <v>1</v>
      </c>
      <c r="L3647">
        <v>2</v>
      </c>
      <c r="M3647">
        <v>134</v>
      </c>
      <c r="N3647">
        <v>400</v>
      </c>
      <c r="O3647">
        <v>5</v>
      </c>
      <c r="P3647">
        <v>393</v>
      </c>
      <c r="Q3647">
        <v>73</v>
      </c>
      <c r="R3647">
        <v>66</v>
      </c>
      <c r="S3647">
        <v>10</v>
      </c>
      <c r="T3647">
        <v>80</v>
      </c>
      <c r="U3647">
        <v>13</v>
      </c>
      <c r="V3647">
        <v>8</v>
      </c>
      <c r="W3647">
        <v>2</v>
      </c>
      <c r="X3647">
        <v>2</v>
      </c>
      <c r="Y3647">
        <v>91</v>
      </c>
      <c r="Z3647">
        <v>6</v>
      </c>
      <c r="AA3647">
        <v>1</v>
      </c>
      <c r="AB3647">
        <v>19</v>
      </c>
      <c r="AC3647" t="s">
        <v>100</v>
      </c>
      <c r="AD3647" t="s">
        <v>100</v>
      </c>
      <c r="AE3647" t="s">
        <v>100</v>
      </c>
      <c r="AF3647" t="s">
        <v>100</v>
      </c>
      <c r="AG3647" t="s">
        <v>100</v>
      </c>
      <c r="AH3647">
        <v>3</v>
      </c>
      <c r="AI3647" t="s">
        <v>100</v>
      </c>
      <c r="AJ3647" t="s">
        <v>100</v>
      </c>
      <c r="AK3647">
        <v>3</v>
      </c>
      <c r="AL3647" t="s">
        <v>100</v>
      </c>
      <c r="AM3647" t="s">
        <v>100</v>
      </c>
      <c r="AN3647" t="s">
        <v>100</v>
      </c>
      <c r="AT3647">
        <v>0</v>
      </c>
      <c r="AU3647">
        <v>16</v>
      </c>
      <c r="AV3647">
        <v>396</v>
      </c>
      <c r="AW3647">
        <v>393</v>
      </c>
      <c r="AX3647">
        <v>506</v>
      </c>
      <c r="AZ3647" t="s">
        <v>101</v>
      </c>
      <c r="BA3647">
        <v>1</v>
      </c>
      <c r="BC3647" t="s">
        <v>7399</v>
      </c>
      <c r="BD3647" s="4">
        <v>43283.19027777778</v>
      </c>
      <c r="BE3647" s="4">
        <v>43283.208726851852</v>
      </c>
      <c r="BF3647" s="4">
        <v>43283.208726851852</v>
      </c>
      <c r="BG3647" t="s">
        <v>83</v>
      </c>
      <c r="BH3647" t="s">
        <v>84</v>
      </c>
      <c r="BI3647" t="s">
        <v>85</v>
      </c>
    </row>
    <row r="3648" spans="1:61" x14ac:dyDescent="0.3">
      <c r="A3648" t="str">
        <f>"201443C0100"</f>
        <v>201443C0100</v>
      </c>
      <c r="B3648" t="s">
        <v>7400</v>
      </c>
      <c r="C3648">
        <v>20</v>
      </c>
      <c r="D3648" t="s">
        <v>79</v>
      </c>
      <c r="E3648">
        <v>17</v>
      </c>
      <c r="F3648" t="s">
        <v>7160</v>
      </c>
      <c r="G3648">
        <v>1443</v>
      </c>
      <c r="H3648">
        <v>1</v>
      </c>
      <c r="I3648" t="s">
        <v>89</v>
      </c>
      <c r="J3648">
        <v>0</v>
      </c>
      <c r="K3648">
        <v>1</v>
      </c>
      <c r="L3648">
        <v>2</v>
      </c>
      <c r="M3648">
        <v>126</v>
      </c>
      <c r="N3648">
        <v>402</v>
      </c>
      <c r="O3648">
        <v>7</v>
      </c>
      <c r="P3648">
        <v>402</v>
      </c>
      <c r="Q3648">
        <v>64</v>
      </c>
      <c r="R3648">
        <v>82</v>
      </c>
      <c r="S3648">
        <v>5</v>
      </c>
      <c r="T3648">
        <v>88</v>
      </c>
      <c r="U3648">
        <v>21</v>
      </c>
      <c r="V3648">
        <v>4</v>
      </c>
      <c r="W3648">
        <v>1</v>
      </c>
      <c r="X3648">
        <v>9</v>
      </c>
      <c r="Y3648">
        <v>70</v>
      </c>
      <c r="Z3648">
        <v>8</v>
      </c>
      <c r="AA3648">
        <v>0</v>
      </c>
      <c r="AB3648">
        <v>15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1</v>
      </c>
      <c r="AI3648">
        <v>0</v>
      </c>
      <c r="AJ3648">
        <v>0</v>
      </c>
      <c r="AK3648">
        <v>2</v>
      </c>
      <c r="AL3648">
        <v>2</v>
      </c>
      <c r="AM3648">
        <v>1</v>
      </c>
      <c r="AN3648">
        <v>0</v>
      </c>
      <c r="AT3648">
        <v>0</v>
      </c>
      <c r="AU3648">
        <v>28</v>
      </c>
      <c r="AV3648">
        <v>402</v>
      </c>
      <c r="AW3648">
        <v>401</v>
      </c>
      <c r="AX3648">
        <v>506</v>
      </c>
      <c r="BA3648">
        <v>1</v>
      </c>
      <c r="BC3648" t="s">
        <v>7401</v>
      </c>
      <c r="BD3648" s="4">
        <v>43283.19027777778</v>
      </c>
      <c r="BE3648" s="4">
        <v>43283.207384259258</v>
      </c>
      <c r="BF3648" s="4">
        <v>43283.207384259258</v>
      </c>
      <c r="BG3648" t="s">
        <v>83</v>
      </c>
      <c r="BH3648" t="s">
        <v>84</v>
      </c>
      <c r="BI3648" t="s">
        <v>85</v>
      </c>
    </row>
    <row r="3649" spans="1:61" x14ac:dyDescent="0.3">
      <c r="A3649" t="str">
        <f>"201443C0200"</f>
        <v>201443C0200</v>
      </c>
      <c r="B3649" t="s">
        <v>7402</v>
      </c>
      <c r="C3649">
        <v>20</v>
      </c>
      <c r="D3649" t="s">
        <v>79</v>
      </c>
      <c r="E3649">
        <v>17</v>
      </c>
      <c r="F3649" t="s">
        <v>7160</v>
      </c>
      <c r="G3649">
        <v>1443</v>
      </c>
      <c r="H3649">
        <v>2</v>
      </c>
      <c r="I3649" t="s">
        <v>89</v>
      </c>
      <c r="J3649">
        <v>0</v>
      </c>
      <c r="K3649">
        <v>1</v>
      </c>
      <c r="L3649">
        <v>2</v>
      </c>
      <c r="M3649">
        <v>138</v>
      </c>
      <c r="N3649">
        <v>390</v>
      </c>
      <c r="O3649">
        <v>8</v>
      </c>
      <c r="P3649">
        <v>390</v>
      </c>
      <c r="Q3649">
        <v>89</v>
      </c>
      <c r="R3649">
        <v>64</v>
      </c>
      <c r="S3649">
        <v>4</v>
      </c>
      <c r="T3649">
        <v>76</v>
      </c>
      <c r="U3649">
        <v>13</v>
      </c>
      <c r="V3649">
        <v>8</v>
      </c>
      <c r="W3649">
        <v>2</v>
      </c>
      <c r="X3649">
        <v>5</v>
      </c>
      <c r="Y3649">
        <v>73</v>
      </c>
      <c r="Z3649">
        <v>4</v>
      </c>
      <c r="AA3649">
        <v>0</v>
      </c>
      <c r="AB3649">
        <v>19</v>
      </c>
      <c r="AC3649">
        <v>2</v>
      </c>
      <c r="AD3649">
        <v>1</v>
      </c>
      <c r="AE3649">
        <v>1</v>
      </c>
      <c r="AF3649">
        <v>0</v>
      </c>
      <c r="AG3649">
        <v>0</v>
      </c>
      <c r="AH3649">
        <v>1</v>
      </c>
      <c r="AI3649">
        <v>0</v>
      </c>
      <c r="AJ3649">
        <v>0</v>
      </c>
      <c r="AK3649">
        <v>2</v>
      </c>
      <c r="AL3649">
        <v>2</v>
      </c>
      <c r="AM3649">
        <v>0</v>
      </c>
      <c r="AN3649">
        <v>0</v>
      </c>
      <c r="AT3649">
        <v>0</v>
      </c>
      <c r="AU3649">
        <v>24</v>
      </c>
      <c r="AV3649">
        <v>390</v>
      </c>
      <c r="AW3649">
        <v>390</v>
      </c>
      <c r="AX3649">
        <v>506</v>
      </c>
      <c r="BA3649">
        <v>1</v>
      </c>
      <c r="BC3649" t="s">
        <v>7403</v>
      </c>
      <c r="BD3649" s="4">
        <v>43283.19027777778</v>
      </c>
      <c r="BE3649" s="4">
        <v>43283.212465277778</v>
      </c>
      <c r="BF3649" s="4">
        <v>43283.212465277778</v>
      </c>
      <c r="BG3649" t="s">
        <v>83</v>
      </c>
      <c r="BH3649" t="s">
        <v>84</v>
      </c>
      <c r="BI3649" t="s">
        <v>85</v>
      </c>
    </row>
    <row r="3650" spans="1:61" x14ac:dyDescent="0.3">
      <c r="A3650" t="str">
        <f>"201444B0100"</f>
        <v>201444B0100</v>
      </c>
      <c r="B3650" t="s">
        <v>7404</v>
      </c>
      <c r="C3650">
        <v>20</v>
      </c>
      <c r="D3650" t="s">
        <v>79</v>
      </c>
      <c r="E3650">
        <v>17</v>
      </c>
      <c r="F3650" t="s">
        <v>7160</v>
      </c>
      <c r="G3650">
        <v>1444</v>
      </c>
      <c r="H3650">
        <v>1</v>
      </c>
      <c r="I3650" t="s">
        <v>81</v>
      </c>
      <c r="J3650">
        <v>0</v>
      </c>
      <c r="K3650">
        <v>2</v>
      </c>
      <c r="L3650">
        <v>2</v>
      </c>
      <c r="M3650">
        <v>160</v>
      </c>
      <c r="N3650">
        <v>568</v>
      </c>
      <c r="O3650">
        <v>3</v>
      </c>
      <c r="P3650">
        <v>558</v>
      </c>
      <c r="Q3650">
        <v>117</v>
      </c>
      <c r="R3650">
        <v>108</v>
      </c>
      <c r="S3650">
        <v>5</v>
      </c>
      <c r="T3650">
        <v>1</v>
      </c>
      <c r="U3650">
        <v>28</v>
      </c>
      <c r="V3650">
        <v>13</v>
      </c>
      <c r="W3650">
        <v>1</v>
      </c>
      <c r="X3650">
        <v>4</v>
      </c>
      <c r="Y3650">
        <v>138</v>
      </c>
      <c r="Z3650">
        <v>7</v>
      </c>
      <c r="AA3650">
        <v>1</v>
      </c>
      <c r="AB3650">
        <v>17</v>
      </c>
      <c r="AC3650">
        <v>1</v>
      </c>
      <c r="AD3650">
        <v>1</v>
      </c>
      <c r="AE3650">
        <v>0</v>
      </c>
      <c r="AF3650">
        <v>1</v>
      </c>
      <c r="AG3650">
        <v>0</v>
      </c>
      <c r="AH3650">
        <v>0</v>
      </c>
      <c r="AI3650">
        <v>0</v>
      </c>
      <c r="AJ3650">
        <v>0</v>
      </c>
      <c r="AK3650">
        <v>1</v>
      </c>
      <c r="AL3650">
        <v>0</v>
      </c>
      <c r="AM3650">
        <v>0</v>
      </c>
      <c r="AN3650">
        <v>1</v>
      </c>
      <c r="AT3650">
        <v>0</v>
      </c>
      <c r="AU3650">
        <v>24</v>
      </c>
      <c r="AV3650">
        <v>568</v>
      </c>
      <c r="AW3650">
        <v>469</v>
      </c>
      <c r="AX3650">
        <v>706</v>
      </c>
      <c r="BA3650">
        <v>1</v>
      </c>
      <c r="BC3650" t="s">
        <v>7405</v>
      </c>
      <c r="BD3650" s="4">
        <v>43283.18472222222</v>
      </c>
      <c r="BE3650" s="4">
        <v>43283.205787037034</v>
      </c>
      <c r="BF3650" s="4">
        <v>43283.205787037034</v>
      </c>
      <c r="BG3650" t="s">
        <v>83</v>
      </c>
      <c r="BH3650" t="s">
        <v>84</v>
      </c>
      <c r="BI3650" t="s">
        <v>85</v>
      </c>
    </row>
    <row r="3651" spans="1:61" x14ac:dyDescent="0.3">
      <c r="A3651" t="str">
        <f>"201444C0100"</f>
        <v>201444C0100</v>
      </c>
      <c r="B3651" t="s">
        <v>7406</v>
      </c>
      <c r="C3651">
        <v>20</v>
      </c>
      <c r="D3651" t="s">
        <v>79</v>
      </c>
      <c r="E3651">
        <v>17</v>
      </c>
      <c r="F3651" t="s">
        <v>7160</v>
      </c>
      <c r="G3651">
        <v>1444</v>
      </c>
      <c r="H3651">
        <v>1</v>
      </c>
      <c r="I3651" t="s">
        <v>89</v>
      </c>
      <c r="J3651">
        <v>0</v>
      </c>
      <c r="K3651">
        <v>2</v>
      </c>
      <c r="L3651">
        <v>2</v>
      </c>
      <c r="M3651">
        <v>189</v>
      </c>
      <c r="N3651">
        <v>539</v>
      </c>
      <c r="O3651">
        <v>4</v>
      </c>
      <c r="P3651">
        <v>539</v>
      </c>
      <c r="Q3651">
        <v>120</v>
      </c>
      <c r="R3651">
        <v>112</v>
      </c>
      <c r="S3651">
        <v>11</v>
      </c>
      <c r="T3651">
        <v>74</v>
      </c>
      <c r="U3651">
        <v>20</v>
      </c>
      <c r="V3651">
        <v>17</v>
      </c>
      <c r="W3651">
        <v>3</v>
      </c>
      <c r="X3651">
        <v>8</v>
      </c>
      <c r="Y3651">
        <v>124</v>
      </c>
      <c r="Z3651">
        <v>6</v>
      </c>
      <c r="AA3651">
        <v>1</v>
      </c>
      <c r="AB3651">
        <v>27</v>
      </c>
      <c r="AC3651">
        <v>0</v>
      </c>
      <c r="AD3651">
        <v>0</v>
      </c>
      <c r="AE3651">
        <v>1</v>
      </c>
      <c r="AF3651">
        <v>0</v>
      </c>
      <c r="AG3651">
        <v>1</v>
      </c>
      <c r="AH3651">
        <v>0</v>
      </c>
      <c r="AI3651">
        <v>0</v>
      </c>
      <c r="AJ3651">
        <v>0</v>
      </c>
      <c r="AK3651">
        <v>1</v>
      </c>
      <c r="AL3651">
        <v>0</v>
      </c>
      <c r="AM3651">
        <v>0</v>
      </c>
      <c r="AN3651">
        <v>1</v>
      </c>
      <c r="AT3651">
        <v>0</v>
      </c>
      <c r="AU3651">
        <v>12</v>
      </c>
      <c r="AV3651">
        <v>539</v>
      </c>
      <c r="AW3651">
        <v>539</v>
      </c>
      <c r="AX3651">
        <v>706</v>
      </c>
      <c r="BA3651">
        <v>1</v>
      </c>
      <c r="BC3651" t="s">
        <v>7407</v>
      </c>
      <c r="BD3651" s="4">
        <v>43283.18472222222</v>
      </c>
      <c r="BE3651" s="4">
        <v>43283.203935185185</v>
      </c>
      <c r="BF3651" s="4">
        <v>43283.203935185185</v>
      </c>
      <c r="BG3651" t="s">
        <v>83</v>
      </c>
      <c r="BH3651" t="s">
        <v>84</v>
      </c>
      <c r="BI3651" t="s">
        <v>85</v>
      </c>
    </row>
    <row r="3652" spans="1:61" x14ac:dyDescent="0.3">
      <c r="A3652" t="str">
        <f>"201444E0100"</f>
        <v>201444E0100</v>
      </c>
      <c r="B3652" s="2" t="s">
        <v>7408</v>
      </c>
      <c r="C3652">
        <v>20</v>
      </c>
      <c r="D3652" t="s">
        <v>79</v>
      </c>
      <c r="E3652">
        <v>17</v>
      </c>
      <c r="F3652" t="s">
        <v>7160</v>
      </c>
      <c r="G3652">
        <v>1444</v>
      </c>
      <c r="H3652">
        <v>1</v>
      </c>
      <c r="I3652" t="s">
        <v>145</v>
      </c>
      <c r="J3652">
        <v>0</v>
      </c>
      <c r="K3652">
        <v>2</v>
      </c>
      <c r="L3652">
        <v>2</v>
      </c>
      <c r="M3652">
        <v>116</v>
      </c>
      <c r="N3652">
        <v>405</v>
      </c>
      <c r="O3652">
        <v>4</v>
      </c>
      <c r="P3652">
        <v>405</v>
      </c>
      <c r="Q3652">
        <v>36</v>
      </c>
      <c r="R3652">
        <v>100</v>
      </c>
      <c r="S3652">
        <v>9</v>
      </c>
      <c r="T3652">
        <v>87</v>
      </c>
      <c r="U3652">
        <v>35</v>
      </c>
      <c r="V3652">
        <v>3</v>
      </c>
      <c r="W3652">
        <v>3</v>
      </c>
      <c r="X3652">
        <v>6</v>
      </c>
      <c r="Y3652">
        <v>60</v>
      </c>
      <c r="Z3652">
        <v>3</v>
      </c>
      <c r="AA3652">
        <v>1</v>
      </c>
      <c r="AB3652">
        <v>29</v>
      </c>
      <c r="AC3652">
        <v>1</v>
      </c>
      <c r="AD3652">
        <v>0</v>
      </c>
      <c r="AE3652">
        <v>0</v>
      </c>
      <c r="AF3652">
        <v>0</v>
      </c>
      <c r="AG3652">
        <v>0</v>
      </c>
      <c r="AH3652">
        <v>7</v>
      </c>
      <c r="AI3652">
        <v>0</v>
      </c>
      <c r="AJ3652">
        <v>0</v>
      </c>
      <c r="AK3652">
        <v>0</v>
      </c>
      <c r="AL3652">
        <v>3</v>
      </c>
      <c r="AM3652">
        <v>1</v>
      </c>
      <c r="AN3652">
        <v>0</v>
      </c>
      <c r="AT3652" t="s">
        <v>315</v>
      </c>
      <c r="AU3652">
        <v>21</v>
      </c>
      <c r="AV3652">
        <v>405</v>
      </c>
      <c r="AW3652">
        <v>405</v>
      </c>
      <c r="AX3652">
        <v>499</v>
      </c>
      <c r="AZ3652" t="s">
        <v>101</v>
      </c>
      <c r="BA3652">
        <v>1</v>
      </c>
      <c r="BC3652" t="s">
        <v>7409</v>
      </c>
      <c r="BD3652" s="4">
        <v>43283.18472222222</v>
      </c>
      <c r="BE3652" s="4">
        <v>43283.205671296295</v>
      </c>
      <c r="BF3652" s="4">
        <v>43283.205671296295</v>
      </c>
      <c r="BG3652" t="s">
        <v>83</v>
      </c>
      <c r="BH3652" t="s">
        <v>84</v>
      </c>
      <c r="BI3652" t="s">
        <v>85</v>
      </c>
    </row>
    <row r="3653" spans="1:61" x14ac:dyDescent="0.3">
      <c r="A3653" t="str">
        <f>"201445B0100"</f>
        <v>201445B0100</v>
      </c>
      <c r="B3653" t="s">
        <v>7410</v>
      </c>
      <c r="C3653">
        <v>20</v>
      </c>
      <c r="D3653" t="s">
        <v>79</v>
      </c>
      <c r="E3653">
        <v>17</v>
      </c>
      <c r="F3653" t="s">
        <v>7160</v>
      </c>
      <c r="G3653">
        <v>1445</v>
      </c>
      <c r="H3653">
        <v>1</v>
      </c>
      <c r="I3653" t="s">
        <v>81</v>
      </c>
      <c r="J3653">
        <v>0</v>
      </c>
      <c r="K3653">
        <v>2</v>
      </c>
      <c r="L3653">
        <v>2</v>
      </c>
      <c r="M3653">
        <v>144</v>
      </c>
      <c r="N3653">
        <v>202</v>
      </c>
      <c r="O3653">
        <v>3</v>
      </c>
      <c r="P3653">
        <v>202</v>
      </c>
      <c r="Q3653">
        <v>17</v>
      </c>
      <c r="R3653">
        <v>47</v>
      </c>
      <c r="S3653">
        <v>3</v>
      </c>
      <c r="T3653">
        <v>51</v>
      </c>
      <c r="U3653">
        <v>19</v>
      </c>
      <c r="V3653">
        <v>3</v>
      </c>
      <c r="W3653">
        <v>4</v>
      </c>
      <c r="X3653">
        <v>2</v>
      </c>
      <c r="Y3653">
        <v>20</v>
      </c>
      <c r="Z3653">
        <v>1</v>
      </c>
      <c r="AA3653">
        <v>1</v>
      </c>
      <c r="AB3653">
        <v>1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1</v>
      </c>
      <c r="AI3653">
        <v>0</v>
      </c>
      <c r="AJ3653">
        <v>0</v>
      </c>
      <c r="AK3653">
        <v>3</v>
      </c>
      <c r="AL3653">
        <v>0</v>
      </c>
      <c r="AM3653">
        <v>3</v>
      </c>
      <c r="AN3653">
        <v>1</v>
      </c>
      <c r="AT3653">
        <v>0</v>
      </c>
      <c r="AU3653">
        <v>24</v>
      </c>
      <c r="AV3653" t="s">
        <v>100</v>
      </c>
      <c r="AW3653">
        <v>201</v>
      </c>
      <c r="AX3653">
        <v>324</v>
      </c>
      <c r="BA3653">
        <v>1</v>
      </c>
      <c r="BC3653" t="s">
        <v>7411</v>
      </c>
      <c r="BD3653" s="4">
        <v>43283.210416666669</v>
      </c>
      <c r="BE3653" s="4">
        <v>43283.231053240743</v>
      </c>
      <c r="BF3653" s="4">
        <v>43283.231053240743</v>
      </c>
      <c r="BG3653" t="s">
        <v>83</v>
      </c>
      <c r="BH3653" t="s">
        <v>84</v>
      </c>
      <c r="BI3653" t="s">
        <v>85</v>
      </c>
    </row>
    <row r="3654" spans="1:61" x14ac:dyDescent="0.3">
      <c r="A3654" t="str">
        <f>"201446B0100"</f>
        <v>201446B0100</v>
      </c>
      <c r="B3654" t="s">
        <v>7412</v>
      </c>
      <c r="C3654">
        <v>20</v>
      </c>
      <c r="D3654" t="s">
        <v>79</v>
      </c>
      <c r="E3654">
        <v>17</v>
      </c>
      <c r="F3654" t="s">
        <v>7160</v>
      </c>
      <c r="G3654">
        <v>1446</v>
      </c>
      <c r="H3654">
        <v>1</v>
      </c>
      <c r="I3654" t="s">
        <v>81</v>
      </c>
      <c r="J3654">
        <v>0</v>
      </c>
      <c r="K3654">
        <v>2</v>
      </c>
      <c r="L3654">
        <v>2</v>
      </c>
      <c r="M3654">
        <v>147</v>
      </c>
      <c r="N3654">
        <v>354</v>
      </c>
      <c r="O3654">
        <v>4</v>
      </c>
      <c r="P3654">
        <v>354</v>
      </c>
      <c r="Q3654">
        <v>24</v>
      </c>
      <c r="R3654">
        <v>82</v>
      </c>
      <c r="S3654">
        <v>5</v>
      </c>
      <c r="T3654">
        <v>76</v>
      </c>
      <c r="U3654">
        <v>31</v>
      </c>
      <c r="V3654">
        <v>4</v>
      </c>
      <c r="W3654">
        <v>1</v>
      </c>
      <c r="X3654">
        <v>2</v>
      </c>
      <c r="Y3654">
        <v>68</v>
      </c>
      <c r="Z3654">
        <v>4</v>
      </c>
      <c r="AA3654">
        <v>1</v>
      </c>
      <c r="AB3654">
        <v>27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3</v>
      </c>
      <c r="AL3654">
        <v>0</v>
      </c>
      <c r="AM3654">
        <v>0</v>
      </c>
      <c r="AN3654">
        <v>2</v>
      </c>
      <c r="AT3654">
        <v>4</v>
      </c>
      <c r="AU3654">
        <v>20</v>
      </c>
      <c r="AV3654">
        <v>354</v>
      </c>
      <c r="AW3654">
        <v>354</v>
      </c>
      <c r="AX3654">
        <v>480</v>
      </c>
      <c r="BA3654">
        <v>1</v>
      </c>
      <c r="BC3654" t="s">
        <v>7413</v>
      </c>
      <c r="BD3654" s="4">
        <v>43283.210416666669</v>
      </c>
      <c r="BE3654" s="4">
        <v>43283.231030092589</v>
      </c>
      <c r="BF3654" s="4">
        <v>43283.231030092589</v>
      </c>
      <c r="BG3654" t="s">
        <v>83</v>
      </c>
      <c r="BH3654" t="s">
        <v>84</v>
      </c>
      <c r="BI3654" t="s">
        <v>85</v>
      </c>
    </row>
    <row r="3655" spans="1:61" x14ac:dyDescent="0.3">
      <c r="A3655" t="str">
        <f>"201447B0100"</f>
        <v>201447B0100</v>
      </c>
      <c r="B3655" t="s">
        <v>7414</v>
      </c>
      <c r="C3655">
        <v>20</v>
      </c>
      <c r="D3655" t="s">
        <v>79</v>
      </c>
      <c r="E3655">
        <v>17</v>
      </c>
      <c r="F3655" t="s">
        <v>7160</v>
      </c>
      <c r="G3655">
        <v>1447</v>
      </c>
      <c r="H3655">
        <v>1</v>
      </c>
      <c r="I3655" t="s">
        <v>81</v>
      </c>
      <c r="J3655">
        <v>0</v>
      </c>
      <c r="K3655">
        <v>2</v>
      </c>
      <c r="L3655">
        <v>2</v>
      </c>
      <c r="M3655">
        <v>94</v>
      </c>
      <c r="N3655">
        <v>476</v>
      </c>
      <c r="O3655">
        <v>8</v>
      </c>
      <c r="P3655">
        <v>476</v>
      </c>
      <c r="Q3655">
        <v>41</v>
      </c>
      <c r="R3655">
        <v>140</v>
      </c>
      <c r="S3655">
        <v>7</v>
      </c>
      <c r="T3655">
        <v>158</v>
      </c>
      <c r="U3655">
        <v>37</v>
      </c>
      <c r="V3655">
        <v>4</v>
      </c>
      <c r="W3655">
        <v>1</v>
      </c>
      <c r="X3655">
        <v>3</v>
      </c>
      <c r="Y3655">
        <v>30</v>
      </c>
      <c r="Z3655">
        <v>1</v>
      </c>
      <c r="AA3655">
        <v>11</v>
      </c>
      <c r="AB3655">
        <v>6</v>
      </c>
      <c r="AC3655">
        <v>0</v>
      </c>
      <c r="AD3655">
        <v>1</v>
      </c>
      <c r="AE3655">
        <v>0</v>
      </c>
      <c r="AF3655">
        <v>1</v>
      </c>
      <c r="AG3655">
        <v>1</v>
      </c>
      <c r="AH3655">
        <v>1</v>
      </c>
      <c r="AI3655">
        <v>0</v>
      </c>
      <c r="AJ3655">
        <v>1</v>
      </c>
      <c r="AK3655">
        <v>0</v>
      </c>
      <c r="AL3655">
        <v>1</v>
      </c>
      <c r="AM3655">
        <v>0</v>
      </c>
      <c r="AN3655">
        <v>1</v>
      </c>
      <c r="AT3655">
        <v>0</v>
      </c>
      <c r="AU3655">
        <v>30</v>
      </c>
      <c r="AV3655">
        <v>476</v>
      </c>
      <c r="AW3655">
        <v>476</v>
      </c>
      <c r="AX3655">
        <v>548</v>
      </c>
      <c r="BA3655">
        <v>1</v>
      </c>
      <c r="BC3655" t="s">
        <v>7415</v>
      </c>
      <c r="BD3655" s="4">
        <v>43283.19027777778</v>
      </c>
      <c r="BE3655" s="4">
        <v>43283.212141203701</v>
      </c>
      <c r="BF3655" s="4">
        <v>43283.212141203701</v>
      </c>
      <c r="BG3655" t="s">
        <v>83</v>
      </c>
      <c r="BH3655" t="s">
        <v>84</v>
      </c>
      <c r="BI3655" t="s">
        <v>85</v>
      </c>
    </row>
    <row r="3656" spans="1:61" x14ac:dyDescent="0.3">
      <c r="A3656" t="str">
        <f>"201447C0100"</f>
        <v>201447C0100</v>
      </c>
      <c r="B3656" t="s">
        <v>7416</v>
      </c>
      <c r="C3656">
        <v>20</v>
      </c>
      <c r="D3656" t="s">
        <v>79</v>
      </c>
      <c r="E3656">
        <v>17</v>
      </c>
      <c r="F3656" t="s">
        <v>7160</v>
      </c>
      <c r="G3656">
        <v>1447</v>
      </c>
      <c r="H3656">
        <v>1</v>
      </c>
      <c r="I3656" t="s">
        <v>89</v>
      </c>
      <c r="J3656">
        <v>0</v>
      </c>
      <c r="K3656">
        <v>2</v>
      </c>
      <c r="L3656">
        <v>2</v>
      </c>
      <c r="M3656">
        <v>89</v>
      </c>
      <c r="N3656">
        <v>480</v>
      </c>
      <c r="O3656">
        <v>6</v>
      </c>
      <c r="P3656">
        <v>480</v>
      </c>
      <c r="Q3656">
        <v>62</v>
      </c>
      <c r="R3656">
        <v>143</v>
      </c>
      <c r="S3656">
        <v>10</v>
      </c>
      <c r="T3656">
        <v>119</v>
      </c>
      <c r="U3656">
        <v>45</v>
      </c>
      <c r="V3656">
        <v>5</v>
      </c>
      <c r="W3656">
        <v>3</v>
      </c>
      <c r="X3656">
        <v>1</v>
      </c>
      <c r="Y3656">
        <v>21</v>
      </c>
      <c r="Z3656">
        <v>2</v>
      </c>
      <c r="AA3656">
        <v>10</v>
      </c>
      <c r="AB3656">
        <v>10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T3656">
        <v>0</v>
      </c>
      <c r="AU3656">
        <v>47</v>
      </c>
      <c r="AV3656">
        <v>47</v>
      </c>
      <c r="AW3656">
        <v>478</v>
      </c>
      <c r="AX3656">
        <v>547</v>
      </c>
      <c r="BA3656">
        <v>1</v>
      </c>
      <c r="BC3656" t="s">
        <v>7417</v>
      </c>
      <c r="BD3656" s="4">
        <v>43283.19027777778</v>
      </c>
      <c r="BE3656" s="4">
        <v>43283.207962962966</v>
      </c>
      <c r="BF3656" s="4">
        <v>43283.207962962966</v>
      </c>
      <c r="BG3656" t="s">
        <v>83</v>
      </c>
      <c r="BH3656" t="s">
        <v>84</v>
      </c>
      <c r="BI3656" t="s">
        <v>85</v>
      </c>
    </row>
    <row r="3657" spans="1:61" x14ac:dyDescent="0.3">
      <c r="A3657" t="str">
        <f>"201495B0100"</f>
        <v>201495B0100</v>
      </c>
      <c r="B3657" t="s">
        <v>7418</v>
      </c>
      <c r="C3657">
        <v>20</v>
      </c>
      <c r="D3657" t="s">
        <v>79</v>
      </c>
      <c r="E3657">
        <v>17</v>
      </c>
      <c r="F3657" t="s">
        <v>7160</v>
      </c>
      <c r="G3657">
        <v>1495</v>
      </c>
      <c r="H3657">
        <v>1</v>
      </c>
      <c r="I3657" t="s">
        <v>81</v>
      </c>
      <c r="J3657">
        <v>0</v>
      </c>
      <c r="K3657">
        <v>1</v>
      </c>
      <c r="L3657">
        <v>2</v>
      </c>
      <c r="M3657">
        <v>237</v>
      </c>
      <c r="N3657">
        <v>321</v>
      </c>
      <c r="O3657">
        <v>1</v>
      </c>
      <c r="P3657">
        <v>321</v>
      </c>
      <c r="Q3657">
        <v>9</v>
      </c>
      <c r="R3657">
        <v>16</v>
      </c>
      <c r="S3657">
        <v>8</v>
      </c>
      <c r="T3657">
        <v>3</v>
      </c>
      <c r="U3657">
        <v>35</v>
      </c>
      <c r="V3657">
        <v>7</v>
      </c>
      <c r="W3657">
        <v>26</v>
      </c>
      <c r="X3657">
        <v>6</v>
      </c>
      <c r="Y3657">
        <v>172</v>
      </c>
      <c r="Z3657">
        <v>7</v>
      </c>
      <c r="AA3657">
        <v>0</v>
      </c>
      <c r="AB3657">
        <v>6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6</v>
      </c>
      <c r="AL3657">
        <v>10</v>
      </c>
      <c r="AM3657">
        <v>0</v>
      </c>
      <c r="AN3657">
        <v>2</v>
      </c>
      <c r="AT3657">
        <v>0</v>
      </c>
      <c r="AU3657">
        <v>8</v>
      </c>
      <c r="AV3657">
        <v>321</v>
      </c>
      <c r="AW3657">
        <v>321</v>
      </c>
      <c r="AX3657">
        <v>536</v>
      </c>
      <c r="BA3657">
        <v>1</v>
      </c>
      <c r="BC3657" t="s">
        <v>7419</v>
      </c>
      <c r="BD3657" s="4">
        <v>43283.361805555556</v>
      </c>
      <c r="BE3657" s="4">
        <v>43283.373877314814</v>
      </c>
      <c r="BF3657" s="4">
        <v>43283.373877314814</v>
      </c>
      <c r="BG3657" t="s">
        <v>83</v>
      </c>
      <c r="BH3657" t="s">
        <v>84</v>
      </c>
      <c r="BI3657" t="s">
        <v>85</v>
      </c>
    </row>
    <row r="3658" spans="1:61" x14ac:dyDescent="0.3">
      <c r="A3658" t="str">
        <f>"201535B0100"</f>
        <v>201535B0100</v>
      </c>
      <c r="B3658" t="s">
        <v>7420</v>
      </c>
      <c r="C3658">
        <v>20</v>
      </c>
      <c r="D3658" t="s">
        <v>79</v>
      </c>
      <c r="E3658">
        <v>17</v>
      </c>
      <c r="F3658" t="s">
        <v>7160</v>
      </c>
      <c r="G3658">
        <v>1535</v>
      </c>
      <c r="H3658">
        <v>1</v>
      </c>
      <c r="I3658" t="s">
        <v>81</v>
      </c>
      <c r="J3658">
        <v>0</v>
      </c>
      <c r="K3658">
        <v>2</v>
      </c>
      <c r="L3658">
        <v>2</v>
      </c>
      <c r="M3658">
        <v>291</v>
      </c>
      <c r="N3658">
        <v>408</v>
      </c>
      <c r="O3658">
        <v>0</v>
      </c>
      <c r="P3658">
        <v>408</v>
      </c>
      <c r="Q3658">
        <v>26</v>
      </c>
      <c r="R3658">
        <v>106</v>
      </c>
      <c r="S3658">
        <v>16</v>
      </c>
      <c r="T3658">
        <v>14</v>
      </c>
      <c r="U3658">
        <v>42</v>
      </c>
      <c r="V3658">
        <v>7</v>
      </c>
      <c r="W3658">
        <v>3</v>
      </c>
      <c r="X3658">
        <v>13</v>
      </c>
      <c r="Y3658">
        <v>137</v>
      </c>
      <c r="Z3658">
        <v>3</v>
      </c>
      <c r="AA3658">
        <v>3</v>
      </c>
      <c r="AB3658">
        <v>19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1</v>
      </c>
      <c r="AM3658">
        <v>0</v>
      </c>
      <c r="AN3658">
        <v>2</v>
      </c>
      <c r="AT3658">
        <v>0</v>
      </c>
      <c r="AU3658">
        <v>16</v>
      </c>
      <c r="AV3658">
        <v>408</v>
      </c>
      <c r="AW3658">
        <v>408</v>
      </c>
      <c r="AX3658">
        <v>677</v>
      </c>
      <c r="BA3658">
        <v>1</v>
      </c>
      <c r="BC3658" t="s">
        <v>7421</v>
      </c>
      <c r="BD3658" s="4">
        <v>43283.34652777778</v>
      </c>
      <c r="BE3658" s="4">
        <v>43283.368113425924</v>
      </c>
      <c r="BF3658" s="4">
        <v>43283.368113425924</v>
      </c>
      <c r="BG3658" t="s">
        <v>83</v>
      </c>
      <c r="BH3658" t="s">
        <v>84</v>
      </c>
      <c r="BI3658" t="s">
        <v>85</v>
      </c>
    </row>
    <row r="3659" spans="1:61" x14ac:dyDescent="0.3">
      <c r="A3659" t="str">
        <f>"201535E0100"</f>
        <v>201535E0100</v>
      </c>
      <c r="B3659" s="2" t="s">
        <v>7422</v>
      </c>
      <c r="C3659">
        <v>20</v>
      </c>
      <c r="D3659" t="s">
        <v>79</v>
      </c>
      <c r="E3659">
        <v>17</v>
      </c>
      <c r="F3659" t="s">
        <v>7160</v>
      </c>
      <c r="G3659">
        <v>1535</v>
      </c>
      <c r="H3659">
        <v>1</v>
      </c>
      <c r="I3659" t="s">
        <v>145</v>
      </c>
      <c r="J3659">
        <v>0</v>
      </c>
      <c r="K3659">
        <v>2</v>
      </c>
      <c r="L3659">
        <v>2</v>
      </c>
      <c r="M3659">
        <v>43</v>
      </c>
      <c r="N3659">
        <v>77</v>
      </c>
      <c r="O3659">
        <v>3</v>
      </c>
      <c r="P3659">
        <v>77</v>
      </c>
      <c r="Q3659">
        <v>4</v>
      </c>
      <c r="R3659">
        <v>8</v>
      </c>
      <c r="S3659">
        <v>2</v>
      </c>
      <c r="T3659">
        <v>2</v>
      </c>
      <c r="U3659">
        <v>8</v>
      </c>
      <c r="V3659">
        <v>0</v>
      </c>
      <c r="W3659">
        <v>0</v>
      </c>
      <c r="X3659">
        <v>2</v>
      </c>
      <c r="Y3659">
        <v>46</v>
      </c>
      <c r="Z3659">
        <v>1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T3659">
        <v>0</v>
      </c>
      <c r="AU3659">
        <v>4</v>
      </c>
      <c r="AV3659">
        <v>77</v>
      </c>
      <c r="AW3659">
        <v>77</v>
      </c>
      <c r="AX3659">
        <v>98</v>
      </c>
      <c r="BA3659">
        <v>1</v>
      </c>
      <c r="BC3659" s="2" t="s">
        <v>7423</v>
      </c>
      <c r="BD3659" s="4">
        <v>43283.34652777778</v>
      </c>
      <c r="BE3659" s="4">
        <v>43283.385162037041</v>
      </c>
      <c r="BF3659" s="4">
        <v>43283.385162037041</v>
      </c>
      <c r="BG3659" t="s">
        <v>83</v>
      </c>
      <c r="BH3659" t="s">
        <v>84</v>
      </c>
      <c r="BI3659" t="s">
        <v>85</v>
      </c>
    </row>
    <row r="3660" spans="1:61" x14ac:dyDescent="0.3">
      <c r="A3660" t="str">
        <f>"201536B0100"</f>
        <v>201536B0100</v>
      </c>
      <c r="B3660" t="s">
        <v>7424</v>
      </c>
      <c r="C3660">
        <v>20</v>
      </c>
      <c r="D3660" t="s">
        <v>79</v>
      </c>
      <c r="E3660">
        <v>17</v>
      </c>
      <c r="F3660" t="s">
        <v>7160</v>
      </c>
      <c r="G3660">
        <v>1536</v>
      </c>
      <c r="H3660">
        <v>1</v>
      </c>
      <c r="I3660" t="s">
        <v>81</v>
      </c>
      <c r="J3660">
        <v>0</v>
      </c>
      <c r="K3660">
        <v>2</v>
      </c>
      <c r="L3660">
        <v>2</v>
      </c>
      <c r="M3660">
        <v>222</v>
      </c>
      <c r="N3660">
        <v>364</v>
      </c>
      <c r="O3660">
        <v>7</v>
      </c>
      <c r="P3660">
        <v>364</v>
      </c>
      <c r="Q3660">
        <v>17</v>
      </c>
      <c r="R3660">
        <v>107</v>
      </c>
      <c r="S3660">
        <v>10</v>
      </c>
      <c r="T3660">
        <v>11</v>
      </c>
      <c r="U3660">
        <v>37</v>
      </c>
      <c r="V3660">
        <v>8</v>
      </c>
      <c r="W3660">
        <v>1</v>
      </c>
      <c r="X3660">
        <v>6</v>
      </c>
      <c r="Y3660">
        <v>113</v>
      </c>
      <c r="Z3660">
        <v>4</v>
      </c>
      <c r="AA3660">
        <v>8</v>
      </c>
      <c r="AB3660">
        <v>16</v>
      </c>
      <c r="AC3660">
        <v>0</v>
      </c>
      <c r="AD3660">
        <v>0</v>
      </c>
      <c r="AE3660">
        <v>0</v>
      </c>
      <c r="AF3660">
        <v>0</v>
      </c>
      <c r="AG3660">
        <v>6</v>
      </c>
      <c r="AH3660">
        <v>1</v>
      </c>
      <c r="AI3660">
        <v>0</v>
      </c>
      <c r="AJ3660">
        <v>0</v>
      </c>
      <c r="AK3660">
        <v>3</v>
      </c>
      <c r="AL3660">
        <v>1</v>
      </c>
      <c r="AM3660">
        <v>2</v>
      </c>
      <c r="AN3660">
        <v>2</v>
      </c>
      <c r="AT3660">
        <v>0</v>
      </c>
      <c r="AU3660">
        <v>21</v>
      </c>
      <c r="AV3660">
        <v>364</v>
      </c>
      <c r="AW3660">
        <v>374</v>
      </c>
      <c r="AX3660">
        <v>564</v>
      </c>
      <c r="BA3660">
        <v>1</v>
      </c>
      <c r="BC3660" t="s">
        <v>7425</v>
      </c>
      <c r="BD3660" s="4">
        <v>43283.34652777778</v>
      </c>
      <c r="BE3660" s="4">
        <v>43283.363842592589</v>
      </c>
      <c r="BF3660" s="4">
        <v>43283.363842592589</v>
      </c>
      <c r="BG3660" t="s">
        <v>83</v>
      </c>
      <c r="BH3660" t="s">
        <v>84</v>
      </c>
      <c r="BI3660" t="s">
        <v>85</v>
      </c>
    </row>
    <row r="3661" spans="1:61" x14ac:dyDescent="0.3">
      <c r="A3661" t="str">
        <f>"201536C0100"</f>
        <v>201536C0100</v>
      </c>
      <c r="B3661" t="s">
        <v>7426</v>
      </c>
      <c r="C3661">
        <v>20</v>
      </c>
      <c r="D3661" t="s">
        <v>79</v>
      </c>
      <c r="E3661">
        <v>17</v>
      </c>
      <c r="F3661" t="s">
        <v>7160</v>
      </c>
      <c r="G3661">
        <v>1536</v>
      </c>
      <c r="H3661">
        <v>1</v>
      </c>
      <c r="I3661" t="s">
        <v>89</v>
      </c>
      <c r="J3661">
        <v>0</v>
      </c>
      <c r="K3661">
        <v>2</v>
      </c>
      <c r="L3661">
        <v>2</v>
      </c>
      <c r="M3661">
        <v>236</v>
      </c>
      <c r="N3661">
        <v>349</v>
      </c>
      <c r="O3661">
        <v>0</v>
      </c>
      <c r="P3661">
        <v>349</v>
      </c>
      <c r="Q3661">
        <v>20</v>
      </c>
      <c r="R3661">
        <v>97</v>
      </c>
      <c r="S3661">
        <v>5</v>
      </c>
      <c r="T3661">
        <v>10</v>
      </c>
      <c r="U3661">
        <v>21</v>
      </c>
      <c r="V3661">
        <v>5</v>
      </c>
      <c r="W3661">
        <v>0</v>
      </c>
      <c r="X3661">
        <v>8</v>
      </c>
      <c r="Y3661">
        <v>118</v>
      </c>
      <c r="Z3661">
        <v>6</v>
      </c>
      <c r="AA3661">
        <v>7</v>
      </c>
      <c r="AB3661">
        <v>25</v>
      </c>
      <c r="AC3661">
        <v>0</v>
      </c>
      <c r="AD3661">
        <v>1</v>
      </c>
      <c r="AE3661">
        <v>0</v>
      </c>
      <c r="AF3661">
        <v>0</v>
      </c>
      <c r="AG3661">
        <v>0</v>
      </c>
      <c r="AH3661">
        <v>2</v>
      </c>
      <c r="AI3661">
        <v>0</v>
      </c>
      <c r="AJ3661">
        <v>0</v>
      </c>
      <c r="AK3661">
        <v>2</v>
      </c>
      <c r="AL3661">
        <v>1</v>
      </c>
      <c r="AM3661">
        <v>0</v>
      </c>
      <c r="AN3661">
        <v>1</v>
      </c>
      <c r="AT3661">
        <v>0</v>
      </c>
      <c r="AU3661">
        <v>20</v>
      </c>
      <c r="AV3661">
        <v>349</v>
      </c>
      <c r="AW3661">
        <v>349</v>
      </c>
      <c r="AX3661">
        <v>563</v>
      </c>
      <c r="BA3661">
        <v>1</v>
      </c>
      <c r="BC3661" t="s">
        <v>7427</v>
      </c>
      <c r="BD3661" s="4">
        <v>43283.34652777778</v>
      </c>
      <c r="BE3661" s="4">
        <v>43283.367523148147</v>
      </c>
      <c r="BF3661" s="4">
        <v>43283.367523148147</v>
      </c>
      <c r="BG3661" t="s">
        <v>83</v>
      </c>
      <c r="BH3661" t="s">
        <v>84</v>
      </c>
      <c r="BI3661" t="s">
        <v>85</v>
      </c>
    </row>
    <row r="3662" spans="1:61" x14ac:dyDescent="0.3">
      <c r="A3662" t="str">
        <f>"201537B0100"</f>
        <v>201537B0100</v>
      </c>
      <c r="B3662" t="s">
        <v>7428</v>
      </c>
      <c r="C3662">
        <v>20</v>
      </c>
      <c r="D3662" t="s">
        <v>79</v>
      </c>
      <c r="E3662">
        <v>17</v>
      </c>
      <c r="F3662" t="s">
        <v>7160</v>
      </c>
      <c r="G3662">
        <v>1537</v>
      </c>
      <c r="H3662">
        <v>1</v>
      </c>
      <c r="I3662" t="s">
        <v>81</v>
      </c>
      <c r="J3662">
        <v>0</v>
      </c>
      <c r="K3662">
        <v>2</v>
      </c>
      <c r="L3662">
        <v>2</v>
      </c>
      <c r="M3662">
        <v>234</v>
      </c>
      <c r="N3662">
        <v>326</v>
      </c>
      <c r="O3662">
        <v>1</v>
      </c>
      <c r="P3662">
        <v>326</v>
      </c>
      <c r="Q3662">
        <v>20</v>
      </c>
      <c r="R3662">
        <v>71</v>
      </c>
      <c r="S3662">
        <v>11</v>
      </c>
      <c r="T3662">
        <v>12</v>
      </c>
      <c r="U3662">
        <v>33</v>
      </c>
      <c r="V3662">
        <v>4</v>
      </c>
      <c r="W3662">
        <v>5</v>
      </c>
      <c r="X3662">
        <v>7</v>
      </c>
      <c r="Y3662">
        <v>15</v>
      </c>
      <c r="Z3662">
        <v>7</v>
      </c>
      <c r="AA3662">
        <v>4</v>
      </c>
      <c r="AB3662">
        <v>10</v>
      </c>
      <c r="AC3662">
        <v>0</v>
      </c>
      <c r="AD3662">
        <v>0</v>
      </c>
      <c r="AE3662">
        <v>1</v>
      </c>
      <c r="AF3662">
        <v>0</v>
      </c>
      <c r="AG3662">
        <v>0</v>
      </c>
      <c r="AH3662">
        <v>3</v>
      </c>
      <c r="AI3662">
        <v>0</v>
      </c>
      <c r="AJ3662">
        <v>0</v>
      </c>
      <c r="AK3662">
        <v>3</v>
      </c>
      <c r="AL3662">
        <v>1</v>
      </c>
      <c r="AM3662">
        <v>0</v>
      </c>
      <c r="AN3662">
        <v>0</v>
      </c>
      <c r="AT3662">
        <v>0</v>
      </c>
      <c r="AU3662">
        <v>19</v>
      </c>
      <c r="AV3662">
        <v>326</v>
      </c>
      <c r="AW3662">
        <v>226</v>
      </c>
      <c r="AX3662">
        <v>538</v>
      </c>
      <c r="BA3662">
        <v>1</v>
      </c>
      <c r="BC3662" t="s">
        <v>7429</v>
      </c>
      <c r="BD3662" s="4">
        <v>43283.589583333334</v>
      </c>
      <c r="BE3662" s="4">
        <v>43283.599178240744</v>
      </c>
      <c r="BF3662" s="4">
        <v>43283.599178240744</v>
      </c>
      <c r="BG3662" t="s">
        <v>83</v>
      </c>
      <c r="BH3662" t="s">
        <v>84</v>
      </c>
      <c r="BI3662" t="s">
        <v>85</v>
      </c>
    </row>
    <row r="3663" spans="1:61" x14ac:dyDescent="0.3">
      <c r="A3663" t="str">
        <f>"201537C0100"</f>
        <v>201537C0100</v>
      </c>
      <c r="B3663" t="s">
        <v>7430</v>
      </c>
      <c r="C3663">
        <v>20</v>
      </c>
      <c r="D3663" t="s">
        <v>79</v>
      </c>
      <c r="E3663">
        <v>17</v>
      </c>
      <c r="F3663" t="s">
        <v>7160</v>
      </c>
      <c r="G3663">
        <v>1537</v>
      </c>
      <c r="H3663">
        <v>1</v>
      </c>
      <c r="I3663" t="s">
        <v>89</v>
      </c>
      <c r="J3663">
        <v>0</v>
      </c>
      <c r="K3663">
        <v>2</v>
      </c>
      <c r="L3663">
        <v>2</v>
      </c>
      <c r="M3663">
        <v>252</v>
      </c>
      <c r="N3663">
        <v>308</v>
      </c>
      <c r="O3663">
        <v>1</v>
      </c>
      <c r="P3663">
        <v>308</v>
      </c>
      <c r="Q3663">
        <v>14</v>
      </c>
      <c r="R3663">
        <v>87</v>
      </c>
      <c r="S3663">
        <v>8</v>
      </c>
      <c r="T3663">
        <v>9</v>
      </c>
      <c r="U3663">
        <v>23</v>
      </c>
      <c r="V3663">
        <v>4</v>
      </c>
      <c r="W3663" t="s">
        <v>100</v>
      </c>
      <c r="X3663">
        <v>7</v>
      </c>
      <c r="Y3663">
        <v>128</v>
      </c>
      <c r="Z3663">
        <v>1</v>
      </c>
      <c r="AA3663" t="s">
        <v>100</v>
      </c>
      <c r="AB3663" t="s">
        <v>100</v>
      </c>
      <c r="AC3663" t="s">
        <v>100</v>
      </c>
      <c r="AD3663" t="s">
        <v>100</v>
      </c>
      <c r="AE3663" t="s">
        <v>100</v>
      </c>
      <c r="AF3663" t="s">
        <v>100</v>
      </c>
      <c r="AG3663" t="s">
        <v>100</v>
      </c>
      <c r="AH3663">
        <v>1</v>
      </c>
      <c r="AI3663" t="s">
        <v>100</v>
      </c>
      <c r="AJ3663">
        <v>1</v>
      </c>
      <c r="AK3663">
        <v>1</v>
      </c>
      <c r="AL3663" t="s">
        <v>100</v>
      </c>
      <c r="AM3663" t="s">
        <v>100</v>
      </c>
      <c r="AN3663" t="s">
        <v>100</v>
      </c>
      <c r="AT3663" t="s">
        <v>100</v>
      </c>
      <c r="AU3663" t="s">
        <v>100</v>
      </c>
      <c r="AV3663">
        <v>308</v>
      </c>
      <c r="AW3663">
        <v>284</v>
      </c>
      <c r="AX3663">
        <v>538</v>
      </c>
      <c r="AZ3663" t="s">
        <v>101</v>
      </c>
      <c r="BA3663">
        <v>1</v>
      </c>
      <c r="BC3663" t="s">
        <v>7431</v>
      </c>
      <c r="BD3663" s="4">
        <v>43283.589583333334</v>
      </c>
      <c r="BE3663" s="4">
        <v>43283.594606481478</v>
      </c>
      <c r="BF3663" s="4">
        <v>43283.594606481478</v>
      </c>
      <c r="BG3663" t="s">
        <v>83</v>
      </c>
      <c r="BH3663" t="s">
        <v>84</v>
      </c>
      <c r="BI3663" t="s">
        <v>85</v>
      </c>
    </row>
    <row r="3664" spans="1:61" x14ac:dyDescent="0.3">
      <c r="A3664" t="str">
        <f>"201537E0100"</f>
        <v>201537E0100</v>
      </c>
      <c r="B3664" s="2" t="s">
        <v>7432</v>
      </c>
      <c r="C3664">
        <v>20</v>
      </c>
      <c r="D3664" t="s">
        <v>79</v>
      </c>
      <c r="E3664">
        <v>17</v>
      </c>
      <c r="F3664" t="s">
        <v>7160</v>
      </c>
      <c r="G3664">
        <v>1537</v>
      </c>
      <c r="H3664">
        <v>1</v>
      </c>
      <c r="I3664" t="s">
        <v>145</v>
      </c>
      <c r="J3664">
        <v>0</v>
      </c>
      <c r="K3664">
        <v>2</v>
      </c>
      <c r="L3664">
        <v>2</v>
      </c>
      <c r="M3664">
        <v>110</v>
      </c>
      <c r="N3664">
        <v>181</v>
      </c>
      <c r="O3664">
        <v>3</v>
      </c>
      <c r="P3664">
        <v>181</v>
      </c>
      <c r="Q3664">
        <v>14</v>
      </c>
      <c r="R3664">
        <v>8</v>
      </c>
      <c r="S3664">
        <v>8</v>
      </c>
      <c r="T3664">
        <v>4</v>
      </c>
      <c r="U3664">
        <v>41</v>
      </c>
      <c r="V3664">
        <v>5</v>
      </c>
      <c r="W3664">
        <v>3</v>
      </c>
      <c r="X3664">
        <v>5</v>
      </c>
      <c r="Y3664">
        <v>62</v>
      </c>
      <c r="Z3664">
        <v>3</v>
      </c>
      <c r="AA3664">
        <v>2</v>
      </c>
      <c r="AB3664">
        <v>2</v>
      </c>
      <c r="AC3664">
        <v>1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5</v>
      </c>
      <c r="AL3664">
        <v>3</v>
      </c>
      <c r="AM3664">
        <v>0</v>
      </c>
      <c r="AN3664">
        <v>2</v>
      </c>
      <c r="AT3664">
        <v>0</v>
      </c>
      <c r="AU3664">
        <v>13</v>
      </c>
      <c r="AV3664">
        <v>181</v>
      </c>
      <c r="AW3664">
        <v>181</v>
      </c>
      <c r="AX3664">
        <v>269</v>
      </c>
      <c r="BA3664">
        <v>1</v>
      </c>
      <c r="BC3664" t="s">
        <v>7433</v>
      </c>
      <c r="BD3664" s="4">
        <v>43283.359027777777</v>
      </c>
      <c r="BE3664" s="4">
        <v>43283.373067129629</v>
      </c>
      <c r="BF3664" s="4">
        <v>43283.373067129629</v>
      </c>
      <c r="BG3664" t="s">
        <v>83</v>
      </c>
      <c r="BH3664" t="s">
        <v>84</v>
      </c>
      <c r="BI3664" t="s">
        <v>85</v>
      </c>
    </row>
    <row r="3665" spans="1:61" x14ac:dyDescent="0.3">
      <c r="A3665" t="str">
        <f>"201538B0100"</f>
        <v>201538B0100</v>
      </c>
      <c r="B3665" t="s">
        <v>7434</v>
      </c>
      <c r="C3665">
        <v>20</v>
      </c>
      <c r="D3665" t="s">
        <v>79</v>
      </c>
      <c r="E3665">
        <v>17</v>
      </c>
      <c r="F3665" t="s">
        <v>7160</v>
      </c>
      <c r="G3665">
        <v>1538</v>
      </c>
      <c r="H3665">
        <v>1</v>
      </c>
      <c r="I3665" t="s">
        <v>81</v>
      </c>
      <c r="J3665">
        <v>0</v>
      </c>
      <c r="K3665">
        <v>1</v>
      </c>
      <c r="L3665">
        <v>2</v>
      </c>
      <c r="M3665">
        <v>233</v>
      </c>
      <c r="N3665">
        <v>357</v>
      </c>
      <c r="O3665">
        <v>0</v>
      </c>
      <c r="P3665">
        <v>352</v>
      </c>
      <c r="Q3665">
        <v>12</v>
      </c>
      <c r="R3665">
        <v>15</v>
      </c>
      <c r="S3665">
        <v>10</v>
      </c>
      <c r="T3665">
        <v>3</v>
      </c>
      <c r="U3665">
        <v>67</v>
      </c>
      <c r="V3665">
        <v>9</v>
      </c>
      <c r="W3665">
        <v>2</v>
      </c>
      <c r="X3665">
        <v>6</v>
      </c>
      <c r="Y3665">
        <v>195</v>
      </c>
      <c r="Z3665">
        <v>12</v>
      </c>
      <c r="AA3665">
        <v>0</v>
      </c>
      <c r="AB3665">
        <v>1</v>
      </c>
      <c r="AC3665">
        <v>0</v>
      </c>
      <c r="AD3665">
        <v>1</v>
      </c>
      <c r="AE3665">
        <v>1</v>
      </c>
      <c r="AF3665">
        <v>0</v>
      </c>
      <c r="AG3665">
        <v>0</v>
      </c>
      <c r="AH3665">
        <v>0</v>
      </c>
      <c r="AI3665">
        <v>1</v>
      </c>
      <c r="AJ3665">
        <v>0</v>
      </c>
      <c r="AK3665">
        <v>5</v>
      </c>
      <c r="AL3665">
        <v>3</v>
      </c>
      <c r="AM3665">
        <v>0</v>
      </c>
      <c r="AN3665">
        <v>1</v>
      </c>
      <c r="AT3665">
        <v>0</v>
      </c>
      <c r="AU3665">
        <v>13</v>
      </c>
      <c r="AV3665">
        <v>357</v>
      </c>
      <c r="AW3665">
        <v>357</v>
      </c>
      <c r="AX3665">
        <v>568</v>
      </c>
      <c r="BA3665">
        <v>1</v>
      </c>
      <c r="BC3665" t="s">
        <v>7435</v>
      </c>
      <c r="BD3665" s="4">
        <v>43282.988125000003</v>
      </c>
      <c r="BE3665" s="4">
        <v>43282.994259259256</v>
      </c>
      <c r="BF3665" s="4">
        <v>43282.994259259256</v>
      </c>
      <c r="BG3665" t="s">
        <v>373</v>
      </c>
      <c r="BH3665" t="s">
        <v>374</v>
      </c>
      <c r="BI3665" t="s">
        <v>85</v>
      </c>
    </row>
    <row r="3666" spans="1:61" x14ac:dyDescent="0.3">
      <c r="A3666" t="str">
        <f>"201538C0100"</f>
        <v>201538C0100</v>
      </c>
      <c r="B3666" t="s">
        <v>7436</v>
      </c>
      <c r="C3666">
        <v>20</v>
      </c>
      <c r="D3666" t="s">
        <v>79</v>
      </c>
      <c r="E3666">
        <v>17</v>
      </c>
      <c r="F3666" t="s">
        <v>7160</v>
      </c>
      <c r="G3666">
        <v>1538</v>
      </c>
      <c r="H3666">
        <v>1</v>
      </c>
      <c r="I3666" t="s">
        <v>89</v>
      </c>
      <c r="J3666">
        <v>0</v>
      </c>
      <c r="K3666">
        <v>1</v>
      </c>
      <c r="L3666">
        <v>2</v>
      </c>
      <c r="M3666">
        <v>589</v>
      </c>
      <c r="N3666">
        <v>326</v>
      </c>
      <c r="O3666">
        <v>0</v>
      </c>
      <c r="P3666">
        <v>326</v>
      </c>
      <c r="Q3666">
        <v>16</v>
      </c>
      <c r="R3666">
        <v>19</v>
      </c>
      <c r="S3666">
        <v>11</v>
      </c>
      <c r="T3666">
        <v>7</v>
      </c>
      <c r="U3666">
        <v>62</v>
      </c>
      <c r="V3666">
        <v>8</v>
      </c>
      <c r="W3666">
        <v>3</v>
      </c>
      <c r="X3666">
        <v>3</v>
      </c>
      <c r="Y3666">
        <v>154</v>
      </c>
      <c r="Z3666">
        <v>11</v>
      </c>
      <c r="AA3666">
        <v>0</v>
      </c>
      <c r="AB3666">
        <v>3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8</v>
      </c>
      <c r="AL3666">
        <v>6</v>
      </c>
      <c r="AM3666">
        <v>0</v>
      </c>
      <c r="AN3666">
        <v>0</v>
      </c>
      <c r="AT3666">
        <v>0</v>
      </c>
      <c r="AU3666">
        <v>14</v>
      </c>
      <c r="AV3666">
        <v>326</v>
      </c>
      <c r="AW3666">
        <v>325</v>
      </c>
      <c r="AX3666">
        <v>567</v>
      </c>
      <c r="BA3666">
        <v>1</v>
      </c>
      <c r="BC3666" t="s">
        <v>7437</v>
      </c>
      <c r="BD3666" s="4">
        <v>43282.952256944445</v>
      </c>
      <c r="BE3666" s="4">
        <v>43282.957256944443</v>
      </c>
      <c r="BF3666" s="4">
        <v>43282.957256944443</v>
      </c>
      <c r="BG3666" t="s">
        <v>373</v>
      </c>
      <c r="BH3666" t="s">
        <v>374</v>
      </c>
      <c r="BI3666" t="s">
        <v>85</v>
      </c>
    </row>
    <row r="3667" spans="1:61" x14ac:dyDescent="0.3">
      <c r="A3667" t="str">
        <f>"201539B0100"</f>
        <v>201539B0100</v>
      </c>
      <c r="B3667" t="s">
        <v>7438</v>
      </c>
      <c r="C3667">
        <v>20</v>
      </c>
      <c r="D3667" t="s">
        <v>79</v>
      </c>
      <c r="E3667">
        <v>17</v>
      </c>
      <c r="F3667" t="s">
        <v>7160</v>
      </c>
      <c r="G3667">
        <v>1539</v>
      </c>
      <c r="H3667">
        <v>1</v>
      </c>
      <c r="I3667" t="s">
        <v>81</v>
      </c>
      <c r="J3667">
        <v>0</v>
      </c>
      <c r="K3667">
        <v>2</v>
      </c>
      <c r="L3667">
        <v>2</v>
      </c>
      <c r="M3667">
        <v>236</v>
      </c>
      <c r="N3667">
        <v>308</v>
      </c>
      <c r="O3667">
        <v>0</v>
      </c>
      <c r="P3667">
        <v>308</v>
      </c>
      <c r="Q3667">
        <v>5</v>
      </c>
      <c r="R3667">
        <v>10</v>
      </c>
      <c r="S3667">
        <v>6</v>
      </c>
      <c r="T3667">
        <v>5</v>
      </c>
      <c r="U3667">
        <v>56</v>
      </c>
      <c r="V3667">
        <v>3</v>
      </c>
      <c r="W3667">
        <v>4</v>
      </c>
      <c r="X3667">
        <v>3</v>
      </c>
      <c r="Y3667">
        <v>168</v>
      </c>
      <c r="Z3667">
        <v>9</v>
      </c>
      <c r="AA3667">
        <v>0</v>
      </c>
      <c r="AB3667">
        <v>1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9</v>
      </c>
      <c r="AL3667">
        <v>2</v>
      </c>
      <c r="AM3667">
        <v>0</v>
      </c>
      <c r="AN3667">
        <v>2</v>
      </c>
      <c r="AT3667">
        <v>0</v>
      </c>
      <c r="AU3667">
        <v>25</v>
      </c>
      <c r="AV3667">
        <v>308</v>
      </c>
      <c r="AW3667">
        <v>308</v>
      </c>
      <c r="AX3667">
        <v>522</v>
      </c>
      <c r="BA3667">
        <v>1</v>
      </c>
      <c r="BC3667" t="s">
        <v>7439</v>
      </c>
      <c r="BD3667" s="4">
        <v>43283.34652777778</v>
      </c>
      <c r="BE3667" s="4">
        <v>43283.363437499997</v>
      </c>
      <c r="BF3667" s="4">
        <v>43283.363437499997</v>
      </c>
      <c r="BG3667" t="s">
        <v>83</v>
      </c>
      <c r="BH3667" t="s">
        <v>84</v>
      </c>
      <c r="BI3667" t="s">
        <v>85</v>
      </c>
    </row>
    <row r="3668" spans="1:61" x14ac:dyDescent="0.3">
      <c r="A3668" t="str">
        <f>"201539C0100"</f>
        <v>201539C0100</v>
      </c>
      <c r="B3668" t="s">
        <v>7440</v>
      </c>
      <c r="C3668">
        <v>20</v>
      </c>
      <c r="D3668" t="s">
        <v>79</v>
      </c>
      <c r="E3668">
        <v>17</v>
      </c>
      <c r="F3668" t="s">
        <v>7160</v>
      </c>
      <c r="G3668">
        <v>1539</v>
      </c>
      <c r="H3668">
        <v>1</v>
      </c>
      <c r="I3668" t="s">
        <v>89</v>
      </c>
      <c r="J3668">
        <v>0</v>
      </c>
      <c r="K3668">
        <v>2</v>
      </c>
      <c r="L3668">
        <v>2</v>
      </c>
      <c r="M3668">
        <v>231</v>
      </c>
      <c r="N3668">
        <v>313</v>
      </c>
      <c r="O3668">
        <v>0</v>
      </c>
      <c r="P3668">
        <v>313</v>
      </c>
      <c r="Q3668">
        <v>3</v>
      </c>
      <c r="R3668">
        <v>14</v>
      </c>
      <c r="S3668">
        <v>6</v>
      </c>
      <c r="T3668">
        <v>4</v>
      </c>
      <c r="U3668">
        <v>64</v>
      </c>
      <c r="V3668">
        <v>2</v>
      </c>
      <c r="W3668">
        <v>4</v>
      </c>
      <c r="X3668">
        <v>3</v>
      </c>
      <c r="Y3668">
        <v>174</v>
      </c>
      <c r="Z3668">
        <v>15</v>
      </c>
      <c r="AA3668">
        <v>0</v>
      </c>
      <c r="AB3668">
        <v>3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8</v>
      </c>
      <c r="AL3668">
        <v>1</v>
      </c>
      <c r="AM3668">
        <v>1</v>
      </c>
      <c r="AN3668">
        <v>1</v>
      </c>
      <c r="AT3668">
        <v>0</v>
      </c>
      <c r="AU3668">
        <v>10</v>
      </c>
      <c r="AV3668">
        <v>313</v>
      </c>
      <c r="AW3668">
        <v>313</v>
      </c>
      <c r="AX3668">
        <v>522</v>
      </c>
      <c r="BA3668">
        <v>1</v>
      </c>
      <c r="BC3668" t="s">
        <v>7441</v>
      </c>
      <c r="BD3668" s="4">
        <v>43283.34652777778</v>
      </c>
      <c r="BE3668" s="4">
        <v>43283.363368055558</v>
      </c>
      <c r="BF3668" s="4">
        <v>43283.363368055558</v>
      </c>
      <c r="BG3668" t="s">
        <v>83</v>
      </c>
      <c r="BH3668" t="s">
        <v>84</v>
      </c>
      <c r="BI3668" t="s">
        <v>85</v>
      </c>
    </row>
    <row r="3669" spans="1:61" x14ac:dyDescent="0.3">
      <c r="A3669" t="str">
        <f>"201539C0200"</f>
        <v>201539C0200</v>
      </c>
      <c r="B3669" t="s">
        <v>7442</v>
      </c>
      <c r="C3669">
        <v>20</v>
      </c>
      <c r="D3669" t="s">
        <v>79</v>
      </c>
      <c r="E3669">
        <v>17</v>
      </c>
      <c r="F3669" t="s">
        <v>7160</v>
      </c>
      <c r="G3669">
        <v>1539</v>
      </c>
      <c r="H3669">
        <v>2</v>
      </c>
      <c r="I3669" t="s">
        <v>89</v>
      </c>
      <c r="J3669">
        <v>0</v>
      </c>
      <c r="K3669">
        <v>2</v>
      </c>
      <c r="L3669">
        <v>2</v>
      </c>
      <c r="M3669">
        <v>234</v>
      </c>
      <c r="N3669" t="s">
        <v>315</v>
      </c>
      <c r="O3669" t="s">
        <v>315</v>
      </c>
      <c r="P3669" t="s">
        <v>315</v>
      </c>
      <c r="Q3669">
        <v>10</v>
      </c>
      <c r="R3669">
        <v>15</v>
      </c>
      <c r="S3669">
        <v>8</v>
      </c>
      <c r="T3669" t="s">
        <v>315</v>
      </c>
      <c r="U3669">
        <v>58</v>
      </c>
      <c r="V3669">
        <v>4</v>
      </c>
      <c r="W3669">
        <v>4</v>
      </c>
      <c r="X3669">
        <v>5</v>
      </c>
      <c r="Y3669">
        <v>159</v>
      </c>
      <c r="Z3669">
        <v>5</v>
      </c>
      <c r="AA3669">
        <v>0</v>
      </c>
      <c r="AB3669">
        <v>3</v>
      </c>
      <c r="AC3669">
        <v>0</v>
      </c>
      <c r="AD3669">
        <v>1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9</v>
      </c>
      <c r="AL3669">
        <v>1</v>
      </c>
      <c r="AM3669">
        <v>1</v>
      </c>
      <c r="AN3669">
        <v>1</v>
      </c>
      <c r="AT3669">
        <v>0</v>
      </c>
      <c r="AU3669">
        <v>19</v>
      </c>
      <c r="AV3669">
        <v>309</v>
      </c>
      <c r="AW3669">
        <v>303</v>
      </c>
      <c r="AX3669">
        <v>522</v>
      </c>
      <c r="AZ3669" t="s">
        <v>101</v>
      </c>
      <c r="BA3669">
        <v>1</v>
      </c>
      <c r="BC3669" t="s">
        <v>7443</v>
      </c>
      <c r="BD3669" s="4">
        <v>43283.34652777778</v>
      </c>
      <c r="BE3669" s="4">
        <v>43283.501921296294</v>
      </c>
      <c r="BF3669" s="4">
        <v>43283.501921296294</v>
      </c>
      <c r="BG3669" t="s">
        <v>83</v>
      </c>
      <c r="BH3669" t="s">
        <v>84</v>
      </c>
      <c r="BI3669" t="s">
        <v>85</v>
      </c>
    </row>
    <row r="3670" spans="1:61" x14ac:dyDescent="0.3">
      <c r="A3670" t="str">
        <f>"201540B0100"</f>
        <v>201540B0100</v>
      </c>
      <c r="B3670" t="s">
        <v>7444</v>
      </c>
      <c r="C3670">
        <v>20</v>
      </c>
      <c r="D3670" t="s">
        <v>79</v>
      </c>
      <c r="E3670">
        <v>17</v>
      </c>
      <c r="F3670" t="s">
        <v>7160</v>
      </c>
      <c r="G3670">
        <v>1540</v>
      </c>
      <c r="H3670">
        <v>1</v>
      </c>
      <c r="I3670" t="s">
        <v>81</v>
      </c>
      <c r="J3670">
        <v>0</v>
      </c>
      <c r="K3670">
        <v>2</v>
      </c>
      <c r="L3670">
        <v>2</v>
      </c>
      <c r="M3670">
        <v>216</v>
      </c>
      <c r="N3670">
        <v>311</v>
      </c>
      <c r="O3670">
        <v>4</v>
      </c>
      <c r="P3670">
        <v>311</v>
      </c>
      <c r="Q3670">
        <v>9</v>
      </c>
      <c r="R3670">
        <v>58</v>
      </c>
      <c r="S3670">
        <v>10</v>
      </c>
      <c r="T3670">
        <v>6</v>
      </c>
      <c r="U3670">
        <v>67</v>
      </c>
      <c r="V3670">
        <v>8</v>
      </c>
      <c r="W3670">
        <v>3</v>
      </c>
      <c r="X3670">
        <v>8</v>
      </c>
      <c r="Y3670">
        <v>101</v>
      </c>
      <c r="Z3670">
        <v>11</v>
      </c>
      <c r="AA3670">
        <v>1</v>
      </c>
      <c r="AB3670">
        <v>3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3</v>
      </c>
      <c r="AM3670">
        <v>0</v>
      </c>
      <c r="AN3670">
        <v>0</v>
      </c>
      <c r="AT3670">
        <v>3</v>
      </c>
      <c r="AU3670">
        <v>20</v>
      </c>
      <c r="AV3670">
        <v>311</v>
      </c>
      <c r="AW3670">
        <v>311</v>
      </c>
      <c r="AX3670">
        <v>505</v>
      </c>
      <c r="BA3670">
        <v>1</v>
      </c>
      <c r="BC3670" t="s">
        <v>7445</v>
      </c>
      <c r="BD3670" s="4">
        <v>43283.34652777778</v>
      </c>
      <c r="BE3670" s="4">
        <v>43283.364571759259</v>
      </c>
      <c r="BF3670" s="4">
        <v>43283.364571759259</v>
      </c>
      <c r="BG3670" t="s">
        <v>83</v>
      </c>
      <c r="BH3670" t="s">
        <v>84</v>
      </c>
      <c r="BI3670" t="s">
        <v>85</v>
      </c>
    </row>
    <row r="3671" spans="1:61" x14ac:dyDescent="0.3">
      <c r="A3671" t="str">
        <f>"201540E0100"</f>
        <v>201540E0100</v>
      </c>
      <c r="B3671" s="2" t="s">
        <v>7446</v>
      </c>
      <c r="C3671">
        <v>20</v>
      </c>
      <c r="D3671" t="s">
        <v>79</v>
      </c>
      <c r="E3671">
        <v>17</v>
      </c>
      <c r="F3671" t="s">
        <v>7160</v>
      </c>
      <c r="G3671">
        <v>1540</v>
      </c>
      <c r="H3671">
        <v>1</v>
      </c>
      <c r="I3671" t="s">
        <v>145</v>
      </c>
      <c r="J3671">
        <v>0</v>
      </c>
      <c r="K3671">
        <v>2</v>
      </c>
      <c r="L3671">
        <v>2</v>
      </c>
      <c r="M3671">
        <v>195</v>
      </c>
      <c r="N3671">
        <v>209</v>
      </c>
      <c r="O3671">
        <v>1</v>
      </c>
      <c r="P3671">
        <v>209</v>
      </c>
      <c r="Q3671">
        <v>9</v>
      </c>
      <c r="R3671">
        <v>65</v>
      </c>
      <c r="S3671">
        <v>12</v>
      </c>
      <c r="T3671">
        <v>3</v>
      </c>
      <c r="U3671">
        <v>28</v>
      </c>
      <c r="V3671">
        <v>4</v>
      </c>
      <c r="W3671">
        <v>1</v>
      </c>
      <c r="X3671">
        <v>5</v>
      </c>
      <c r="Y3671">
        <v>51</v>
      </c>
      <c r="Z3671">
        <v>5</v>
      </c>
      <c r="AA3671">
        <v>0</v>
      </c>
      <c r="AB3671">
        <v>5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T3671">
        <v>0</v>
      </c>
      <c r="AU3671">
        <v>9</v>
      </c>
      <c r="AV3671">
        <v>197</v>
      </c>
      <c r="AW3671">
        <v>197</v>
      </c>
      <c r="AX3671">
        <v>382</v>
      </c>
      <c r="BA3671">
        <v>1</v>
      </c>
      <c r="BC3671" t="s">
        <v>7447</v>
      </c>
      <c r="BD3671" s="4">
        <v>43283.34652777778</v>
      </c>
      <c r="BE3671" s="4">
        <v>43283.365381944444</v>
      </c>
      <c r="BF3671" s="4">
        <v>43283.365381944444</v>
      </c>
      <c r="BG3671" t="s">
        <v>83</v>
      </c>
      <c r="BH3671" t="s">
        <v>84</v>
      </c>
      <c r="BI3671" t="s">
        <v>85</v>
      </c>
    </row>
    <row r="3672" spans="1:61" x14ac:dyDescent="0.3">
      <c r="A3672" t="str">
        <f>"201540E0101"</f>
        <v>201540E0101</v>
      </c>
      <c r="B3672" s="2" t="s">
        <v>7448</v>
      </c>
      <c r="C3672">
        <v>20</v>
      </c>
      <c r="D3672" t="s">
        <v>79</v>
      </c>
      <c r="E3672">
        <v>17</v>
      </c>
      <c r="F3672" t="s">
        <v>7160</v>
      </c>
      <c r="G3672">
        <v>1540</v>
      </c>
      <c r="H3672">
        <v>1</v>
      </c>
      <c r="I3672" t="s">
        <v>145</v>
      </c>
      <c r="J3672">
        <v>1</v>
      </c>
      <c r="K3672">
        <v>2</v>
      </c>
      <c r="L3672">
        <v>2</v>
      </c>
      <c r="M3672" t="s">
        <v>100</v>
      </c>
      <c r="N3672" t="s">
        <v>100</v>
      </c>
      <c r="O3672" t="s">
        <v>100</v>
      </c>
      <c r="P3672" t="s">
        <v>100</v>
      </c>
      <c r="Q3672">
        <v>7</v>
      </c>
      <c r="R3672">
        <v>84</v>
      </c>
      <c r="S3672">
        <v>9</v>
      </c>
      <c r="T3672">
        <v>9</v>
      </c>
      <c r="U3672">
        <v>39</v>
      </c>
      <c r="V3672">
        <v>1</v>
      </c>
      <c r="W3672">
        <v>2</v>
      </c>
      <c r="X3672">
        <v>3</v>
      </c>
      <c r="Y3672">
        <v>38</v>
      </c>
      <c r="Z3672">
        <v>2</v>
      </c>
      <c r="AA3672">
        <v>0</v>
      </c>
      <c r="AB3672">
        <v>3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1</v>
      </c>
      <c r="AI3672">
        <v>0</v>
      </c>
      <c r="AJ3672">
        <v>0</v>
      </c>
      <c r="AK3672">
        <v>1</v>
      </c>
      <c r="AL3672">
        <v>2</v>
      </c>
      <c r="AM3672">
        <v>0</v>
      </c>
      <c r="AN3672">
        <v>0</v>
      </c>
      <c r="AT3672">
        <v>0</v>
      </c>
      <c r="AU3672">
        <v>8</v>
      </c>
      <c r="AV3672">
        <v>209</v>
      </c>
      <c r="AW3672">
        <v>209</v>
      </c>
      <c r="AX3672">
        <v>382</v>
      </c>
      <c r="BA3672">
        <v>1</v>
      </c>
      <c r="BC3672" t="s">
        <v>7449</v>
      </c>
      <c r="BD3672" s="4">
        <v>43283.34652777778</v>
      </c>
      <c r="BE3672" s="4">
        <v>43283.361701388887</v>
      </c>
      <c r="BF3672" s="4">
        <v>43283.361701388887</v>
      </c>
      <c r="BG3672" t="s">
        <v>83</v>
      </c>
      <c r="BH3672" t="s">
        <v>84</v>
      </c>
      <c r="BI3672" t="s">
        <v>85</v>
      </c>
    </row>
    <row r="3673" spans="1:61" x14ac:dyDescent="0.3">
      <c r="A3673" t="str">
        <f>"201553B0100"</f>
        <v>201553B0100</v>
      </c>
      <c r="B3673" t="s">
        <v>7450</v>
      </c>
      <c r="C3673">
        <v>20</v>
      </c>
      <c r="D3673" t="s">
        <v>79</v>
      </c>
      <c r="E3673">
        <v>17</v>
      </c>
      <c r="F3673" t="s">
        <v>7160</v>
      </c>
      <c r="G3673">
        <v>1553</v>
      </c>
      <c r="H3673">
        <v>1</v>
      </c>
      <c r="I3673" t="s">
        <v>81</v>
      </c>
      <c r="J3673">
        <v>0</v>
      </c>
      <c r="K3673">
        <v>2</v>
      </c>
      <c r="L3673">
        <v>2</v>
      </c>
      <c r="M3673">
        <v>253</v>
      </c>
      <c r="N3673">
        <v>190</v>
      </c>
      <c r="O3673">
        <v>0</v>
      </c>
      <c r="P3673">
        <v>190</v>
      </c>
      <c r="Q3673">
        <v>40</v>
      </c>
      <c r="R3673">
        <v>48</v>
      </c>
      <c r="S3673">
        <v>9</v>
      </c>
      <c r="T3673">
        <v>6</v>
      </c>
      <c r="U3673">
        <v>18</v>
      </c>
      <c r="V3673">
        <v>3</v>
      </c>
      <c r="W3673">
        <v>3</v>
      </c>
      <c r="X3673">
        <v>4</v>
      </c>
      <c r="Y3673">
        <v>32</v>
      </c>
      <c r="Z3673">
        <v>6</v>
      </c>
      <c r="AA3673">
        <v>1</v>
      </c>
      <c r="AB3673">
        <v>3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1</v>
      </c>
      <c r="AT3673">
        <v>0</v>
      </c>
      <c r="AU3673">
        <v>16</v>
      </c>
      <c r="AV3673">
        <v>190</v>
      </c>
      <c r="AW3673">
        <v>190</v>
      </c>
      <c r="AX3673">
        <v>421</v>
      </c>
      <c r="BA3673">
        <v>1</v>
      </c>
      <c r="BC3673" t="s">
        <v>7451</v>
      </c>
      <c r="BD3673" s="4">
        <v>43283.147916666669</v>
      </c>
      <c r="BE3673" s="4">
        <v>43283.157314814816</v>
      </c>
      <c r="BF3673" s="4">
        <v>43283.157314814816</v>
      </c>
      <c r="BG3673" t="s">
        <v>83</v>
      </c>
      <c r="BH3673" t="s">
        <v>84</v>
      </c>
      <c r="BI3673" t="s">
        <v>85</v>
      </c>
    </row>
    <row r="3674" spans="1:61" x14ac:dyDescent="0.3">
      <c r="A3674" t="str">
        <f>"201553C0100"</f>
        <v>201553C0100</v>
      </c>
      <c r="B3674" t="s">
        <v>7452</v>
      </c>
      <c r="C3674">
        <v>20</v>
      </c>
      <c r="D3674" t="s">
        <v>79</v>
      </c>
      <c r="E3674">
        <v>17</v>
      </c>
      <c r="F3674" t="s">
        <v>7160</v>
      </c>
      <c r="G3674">
        <v>1553</v>
      </c>
      <c r="H3674">
        <v>1</v>
      </c>
      <c r="I3674" t="s">
        <v>89</v>
      </c>
      <c r="J3674">
        <v>0</v>
      </c>
      <c r="K3674">
        <v>2</v>
      </c>
      <c r="L3674">
        <v>2</v>
      </c>
      <c r="M3674">
        <v>283</v>
      </c>
      <c r="N3674">
        <v>443</v>
      </c>
      <c r="O3674">
        <v>0</v>
      </c>
      <c r="P3674">
        <v>160</v>
      </c>
      <c r="Q3674">
        <v>23</v>
      </c>
      <c r="R3674">
        <v>53</v>
      </c>
      <c r="S3674">
        <v>11</v>
      </c>
      <c r="T3674">
        <v>2</v>
      </c>
      <c r="U3674">
        <v>9</v>
      </c>
      <c r="V3674">
        <v>3</v>
      </c>
      <c r="W3674">
        <v>2</v>
      </c>
      <c r="X3674">
        <v>1</v>
      </c>
      <c r="Y3674">
        <v>39</v>
      </c>
      <c r="Z3674">
        <v>2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1</v>
      </c>
      <c r="AH3674">
        <v>1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T3674">
        <v>0</v>
      </c>
      <c r="AU3674">
        <v>14</v>
      </c>
      <c r="AV3674">
        <v>160</v>
      </c>
      <c r="AW3674">
        <v>161</v>
      </c>
      <c r="AX3674">
        <v>421</v>
      </c>
      <c r="BA3674">
        <v>1</v>
      </c>
      <c r="BC3674" t="s">
        <v>7453</v>
      </c>
      <c r="BD3674" s="4">
        <v>43283.147916666669</v>
      </c>
      <c r="BE3674" s="4">
        <v>43283.166122685187</v>
      </c>
      <c r="BF3674" s="4">
        <v>43283.166122685187</v>
      </c>
      <c r="BG3674" t="s">
        <v>83</v>
      </c>
      <c r="BH3674" t="s">
        <v>84</v>
      </c>
      <c r="BI3674" t="s">
        <v>85</v>
      </c>
    </row>
    <row r="3675" spans="1:61" x14ac:dyDescent="0.3">
      <c r="A3675" t="str">
        <f>"201561B0100"</f>
        <v>201561B0100</v>
      </c>
      <c r="B3675" t="s">
        <v>7454</v>
      </c>
      <c r="C3675">
        <v>20</v>
      </c>
      <c r="D3675" t="s">
        <v>79</v>
      </c>
      <c r="E3675">
        <v>17</v>
      </c>
      <c r="F3675" t="s">
        <v>7160</v>
      </c>
      <c r="G3675">
        <v>1561</v>
      </c>
      <c r="H3675">
        <v>1</v>
      </c>
      <c r="I3675" t="s">
        <v>81</v>
      </c>
      <c r="J3675">
        <v>0</v>
      </c>
      <c r="K3675">
        <v>2</v>
      </c>
      <c r="L3675">
        <v>2</v>
      </c>
      <c r="M3675">
        <v>330</v>
      </c>
      <c r="N3675">
        <v>291</v>
      </c>
      <c r="O3675">
        <v>0</v>
      </c>
      <c r="P3675">
        <v>290</v>
      </c>
      <c r="Q3675">
        <v>30</v>
      </c>
      <c r="R3675">
        <v>23</v>
      </c>
      <c r="S3675">
        <v>2</v>
      </c>
      <c r="T3675">
        <v>9</v>
      </c>
      <c r="U3675">
        <v>26</v>
      </c>
      <c r="V3675">
        <v>4</v>
      </c>
      <c r="W3675">
        <v>2</v>
      </c>
      <c r="X3675">
        <v>4</v>
      </c>
      <c r="Y3675">
        <v>136</v>
      </c>
      <c r="Z3675">
        <v>4</v>
      </c>
      <c r="AA3675">
        <v>2</v>
      </c>
      <c r="AB3675">
        <v>34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4</v>
      </c>
      <c r="AL3675">
        <v>2</v>
      </c>
      <c r="AM3675">
        <v>0</v>
      </c>
      <c r="AN3675">
        <v>1</v>
      </c>
      <c r="AT3675">
        <v>0</v>
      </c>
      <c r="AU3675">
        <v>7</v>
      </c>
      <c r="AV3675">
        <v>290</v>
      </c>
      <c r="AW3675">
        <v>290</v>
      </c>
      <c r="AX3675">
        <v>599</v>
      </c>
      <c r="BA3675">
        <v>1</v>
      </c>
      <c r="BC3675" t="s">
        <v>7455</v>
      </c>
      <c r="BD3675" s="4">
        <v>43283.070833333331</v>
      </c>
      <c r="BE3675" s="4">
        <v>43283.07545138889</v>
      </c>
      <c r="BF3675" s="4">
        <v>43283.07545138889</v>
      </c>
      <c r="BG3675" t="s">
        <v>83</v>
      </c>
      <c r="BH3675" t="s">
        <v>84</v>
      </c>
      <c r="BI3675" t="s">
        <v>85</v>
      </c>
    </row>
    <row r="3676" spans="1:61" x14ac:dyDescent="0.3">
      <c r="A3676" t="str">
        <f>"201561C0100"</f>
        <v>201561C0100</v>
      </c>
      <c r="B3676" t="s">
        <v>7456</v>
      </c>
      <c r="C3676">
        <v>20</v>
      </c>
      <c r="D3676" t="s">
        <v>79</v>
      </c>
      <c r="E3676">
        <v>17</v>
      </c>
      <c r="F3676" t="s">
        <v>7160</v>
      </c>
      <c r="G3676">
        <v>1561</v>
      </c>
      <c r="H3676">
        <v>1</v>
      </c>
      <c r="I3676" t="s">
        <v>89</v>
      </c>
      <c r="J3676">
        <v>0</v>
      </c>
      <c r="K3676">
        <v>2</v>
      </c>
      <c r="L3676">
        <v>2</v>
      </c>
      <c r="M3676">
        <v>355</v>
      </c>
      <c r="N3676" t="s">
        <v>100</v>
      </c>
      <c r="O3676" t="s">
        <v>100</v>
      </c>
      <c r="P3676">
        <v>3</v>
      </c>
      <c r="Q3676">
        <v>23</v>
      </c>
      <c r="R3676">
        <v>18</v>
      </c>
      <c r="S3676">
        <v>7</v>
      </c>
      <c r="T3676">
        <v>3</v>
      </c>
      <c r="U3676">
        <v>31</v>
      </c>
      <c r="V3676">
        <v>1</v>
      </c>
      <c r="W3676">
        <v>3</v>
      </c>
      <c r="X3676">
        <v>6</v>
      </c>
      <c r="Y3676">
        <v>111</v>
      </c>
      <c r="Z3676">
        <v>11</v>
      </c>
      <c r="AA3676">
        <v>0</v>
      </c>
      <c r="AB3676">
        <v>43</v>
      </c>
      <c r="AC3676">
        <v>0</v>
      </c>
      <c r="AD3676">
        <v>0</v>
      </c>
      <c r="AE3676">
        <v>0</v>
      </c>
      <c r="AF3676">
        <v>1</v>
      </c>
      <c r="AG3676">
        <v>0</v>
      </c>
      <c r="AH3676">
        <v>1</v>
      </c>
      <c r="AI3676">
        <v>0</v>
      </c>
      <c r="AJ3676">
        <v>3</v>
      </c>
      <c r="AK3676">
        <v>1</v>
      </c>
      <c r="AL3676">
        <v>0</v>
      </c>
      <c r="AM3676">
        <v>0</v>
      </c>
      <c r="AN3676">
        <v>0</v>
      </c>
      <c r="AT3676">
        <v>0</v>
      </c>
      <c r="AU3676">
        <v>4</v>
      </c>
      <c r="AV3676">
        <v>267</v>
      </c>
      <c r="AW3676">
        <v>267</v>
      </c>
      <c r="AX3676">
        <v>599</v>
      </c>
      <c r="BA3676">
        <v>1</v>
      </c>
      <c r="BC3676" t="s">
        <v>7457</v>
      </c>
      <c r="BD3676" s="4">
        <v>43283.070833333331</v>
      </c>
      <c r="BE3676" s="4">
        <v>43283.076909722222</v>
      </c>
      <c r="BF3676" s="4">
        <v>43283.076909722222</v>
      </c>
      <c r="BG3676" t="s">
        <v>83</v>
      </c>
      <c r="BH3676" t="s">
        <v>84</v>
      </c>
      <c r="BI3676" t="s">
        <v>85</v>
      </c>
    </row>
    <row r="3677" spans="1:61" x14ac:dyDescent="0.3">
      <c r="A3677" t="str">
        <f>"201562B0100"</f>
        <v>201562B0100</v>
      </c>
      <c r="B3677" t="s">
        <v>7458</v>
      </c>
      <c r="C3677">
        <v>20</v>
      </c>
      <c r="D3677" t="s">
        <v>79</v>
      </c>
      <c r="E3677">
        <v>17</v>
      </c>
      <c r="F3677" t="s">
        <v>7160</v>
      </c>
      <c r="G3677">
        <v>1562</v>
      </c>
      <c r="H3677">
        <v>1</v>
      </c>
      <c r="I3677" t="s">
        <v>81</v>
      </c>
      <c r="J3677">
        <v>0</v>
      </c>
      <c r="K3677">
        <v>2</v>
      </c>
      <c r="L3677">
        <v>2</v>
      </c>
      <c r="M3677">
        <v>349</v>
      </c>
      <c r="N3677">
        <v>293</v>
      </c>
      <c r="O3677">
        <v>0</v>
      </c>
      <c r="P3677">
        <v>293</v>
      </c>
      <c r="Q3677">
        <v>20</v>
      </c>
      <c r="R3677">
        <v>21</v>
      </c>
      <c r="S3677">
        <v>8</v>
      </c>
      <c r="T3677">
        <v>8</v>
      </c>
      <c r="U3677">
        <v>29</v>
      </c>
      <c r="V3677">
        <v>7</v>
      </c>
      <c r="W3677">
        <v>1</v>
      </c>
      <c r="X3677">
        <v>2</v>
      </c>
      <c r="Y3677">
        <v>107</v>
      </c>
      <c r="Z3677">
        <v>5</v>
      </c>
      <c r="AA3677">
        <v>1</v>
      </c>
      <c r="AB3677">
        <v>67</v>
      </c>
      <c r="AC3677">
        <v>0</v>
      </c>
      <c r="AD3677">
        <v>3</v>
      </c>
      <c r="AE3677">
        <v>0</v>
      </c>
      <c r="AF3677">
        <v>0</v>
      </c>
      <c r="AG3677">
        <v>1</v>
      </c>
      <c r="AH3677">
        <v>0</v>
      </c>
      <c r="AI3677">
        <v>0</v>
      </c>
      <c r="AJ3677">
        <v>0</v>
      </c>
      <c r="AK3677">
        <v>1</v>
      </c>
      <c r="AL3677">
        <v>0</v>
      </c>
      <c r="AM3677">
        <v>1</v>
      </c>
      <c r="AN3677">
        <v>1</v>
      </c>
      <c r="AT3677">
        <v>0</v>
      </c>
      <c r="AU3677">
        <v>10</v>
      </c>
      <c r="AV3677">
        <v>293</v>
      </c>
      <c r="AW3677">
        <v>293</v>
      </c>
      <c r="AX3677">
        <v>620</v>
      </c>
      <c r="BA3677">
        <v>1</v>
      </c>
      <c r="BC3677" t="s">
        <v>7459</v>
      </c>
      <c r="BD3677" s="4">
        <v>43283.070833333331</v>
      </c>
      <c r="BE3677" s="4">
        <v>43283.077094907407</v>
      </c>
      <c r="BF3677" s="4">
        <v>43283.077094907407</v>
      </c>
      <c r="BG3677" t="s">
        <v>83</v>
      </c>
      <c r="BH3677" t="s">
        <v>84</v>
      </c>
      <c r="BI3677" t="s">
        <v>85</v>
      </c>
    </row>
    <row r="3678" spans="1:61" x14ac:dyDescent="0.3">
      <c r="A3678" t="str">
        <f>"201563B0100"</f>
        <v>201563B0100</v>
      </c>
      <c r="B3678" t="s">
        <v>7460</v>
      </c>
      <c r="C3678">
        <v>20</v>
      </c>
      <c r="D3678" t="s">
        <v>79</v>
      </c>
      <c r="E3678">
        <v>17</v>
      </c>
      <c r="F3678" t="s">
        <v>7160</v>
      </c>
      <c r="G3678">
        <v>1563</v>
      </c>
      <c r="H3678">
        <v>1</v>
      </c>
      <c r="I3678" t="s">
        <v>81</v>
      </c>
      <c r="J3678">
        <v>0</v>
      </c>
      <c r="K3678">
        <v>2</v>
      </c>
      <c r="L3678">
        <v>2</v>
      </c>
      <c r="M3678">
        <v>219</v>
      </c>
      <c r="N3678" t="s">
        <v>100</v>
      </c>
      <c r="O3678">
        <v>3</v>
      </c>
      <c r="P3678" t="s">
        <v>100</v>
      </c>
      <c r="Q3678">
        <v>20</v>
      </c>
      <c r="R3678">
        <v>10</v>
      </c>
      <c r="S3678">
        <v>20</v>
      </c>
      <c r="T3678">
        <v>9</v>
      </c>
      <c r="U3678">
        <v>43</v>
      </c>
      <c r="V3678">
        <v>4</v>
      </c>
      <c r="W3678">
        <v>4</v>
      </c>
      <c r="X3678">
        <v>5</v>
      </c>
      <c r="Y3678">
        <v>132</v>
      </c>
      <c r="Z3678">
        <v>5</v>
      </c>
      <c r="AA3678" t="s">
        <v>100</v>
      </c>
      <c r="AB3678">
        <v>25</v>
      </c>
      <c r="AC3678" t="s">
        <v>100</v>
      </c>
      <c r="AD3678" t="s">
        <v>100</v>
      </c>
      <c r="AE3678" t="s">
        <v>100</v>
      </c>
      <c r="AF3678" t="s">
        <v>100</v>
      </c>
      <c r="AG3678" t="s">
        <v>100</v>
      </c>
      <c r="AH3678" t="s">
        <v>100</v>
      </c>
      <c r="AI3678" t="s">
        <v>100</v>
      </c>
      <c r="AJ3678" t="s">
        <v>100</v>
      </c>
      <c r="AK3678" t="s">
        <v>100</v>
      </c>
      <c r="AL3678">
        <v>4</v>
      </c>
      <c r="AM3678" t="s">
        <v>100</v>
      </c>
      <c r="AN3678">
        <v>3</v>
      </c>
      <c r="AT3678" t="s">
        <v>100</v>
      </c>
      <c r="AU3678">
        <v>6</v>
      </c>
      <c r="AV3678">
        <v>290</v>
      </c>
      <c r="AW3678">
        <v>290</v>
      </c>
      <c r="AX3678">
        <v>487</v>
      </c>
      <c r="AZ3678" t="s">
        <v>101</v>
      </c>
      <c r="BA3678">
        <v>1</v>
      </c>
      <c r="BC3678" t="s">
        <v>7461</v>
      </c>
      <c r="BD3678" s="4">
        <v>43283.070833333331</v>
      </c>
      <c r="BE3678" s="4">
        <v>43283.081608796296</v>
      </c>
      <c r="BF3678" s="4">
        <v>43283.081608796296</v>
      </c>
      <c r="BG3678" t="s">
        <v>83</v>
      </c>
      <c r="BH3678" t="s">
        <v>84</v>
      </c>
      <c r="BI3678" t="s">
        <v>85</v>
      </c>
    </row>
    <row r="3679" spans="1:61" x14ac:dyDescent="0.3">
      <c r="A3679" t="str">
        <f>"201606B0100"</f>
        <v>201606B0100</v>
      </c>
      <c r="B3679" t="s">
        <v>7462</v>
      </c>
      <c r="C3679">
        <v>20</v>
      </c>
      <c r="D3679" t="s">
        <v>79</v>
      </c>
      <c r="E3679">
        <v>17</v>
      </c>
      <c r="F3679" t="s">
        <v>7160</v>
      </c>
      <c r="G3679">
        <v>1606</v>
      </c>
      <c r="H3679">
        <v>1</v>
      </c>
      <c r="I3679" t="s">
        <v>81</v>
      </c>
      <c r="J3679">
        <v>0</v>
      </c>
      <c r="K3679">
        <v>2</v>
      </c>
      <c r="L3679">
        <v>2</v>
      </c>
      <c r="M3679">
        <v>299</v>
      </c>
      <c r="N3679">
        <v>313</v>
      </c>
      <c r="O3679">
        <v>1</v>
      </c>
      <c r="P3679">
        <v>313</v>
      </c>
      <c r="Q3679">
        <v>23</v>
      </c>
      <c r="R3679">
        <v>76</v>
      </c>
      <c r="S3679">
        <v>10</v>
      </c>
      <c r="T3679">
        <v>5</v>
      </c>
      <c r="U3679">
        <v>35</v>
      </c>
      <c r="V3679">
        <v>7</v>
      </c>
      <c r="W3679">
        <v>0</v>
      </c>
      <c r="X3679">
        <v>2</v>
      </c>
      <c r="Y3679">
        <v>119</v>
      </c>
      <c r="Z3679">
        <v>4</v>
      </c>
      <c r="AA3679">
        <v>0</v>
      </c>
      <c r="AB3679">
        <v>9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7</v>
      </c>
      <c r="AL3679">
        <v>1</v>
      </c>
      <c r="AM3679">
        <v>0</v>
      </c>
      <c r="AN3679">
        <v>2</v>
      </c>
      <c r="AT3679">
        <v>0</v>
      </c>
      <c r="AU3679">
        <v>13</v>
      </c>
      <c r="AV3679">
        <v>313</v>
      </c>
      <c r="AW3679">
        <v>313</v>
      </c>
      <c r="AX3679">
        <v>590</v>
      </c>
      <c r="BA3679">
        <v>1</v>
      </c>
      <c r="BC3679" t="s">
        <v>7463</v>
      </c>
      <c r="BD3679" s="4">
        <v>43283.066666666666</v>
      </c>
      <c r="BE3679" s="4">
        <v>43283.07303240741</v>
      </c>
      <c r="BF3679" s="4">
        <v>43283.07303240741</v>
      </c>
      <c r="BG3679" t="s">
        <v>83</v>
      </c>
      <c r="BH3679" t="s">
        <v>84</v>
      </c>
      <c r="BI3679" t="s">
        <v>85</v>
      </c>
    </row>
    <row r="3680" spans="1:61" x14ac:dyDescent="0.3">
      <c r="A3680" t="str">
        <f>"201606C0100"</f>
        <v>201606C0100</v>
      </c>
      <c r="B3680" t="s">
        <v>7464</v>
      </c>
      <c r="C3680">
        <v>20</v>
      </c>
      <c r="D3680" t="s">
        <v>79</v>
      </c>
      <c r="E3680">
        <v>17</v>
      </c>
      <c r="F3680" t="s">
        <v>7160</v>
      </c>
      <c r="G3680">
        <v>1606</v>
      </c>
      <c r="H3680">
        <v>1</v>
      </c>
      <c r="I3680" t="s">
        <v>89</v>
      </c>
      <c r="J3680">
        <v>0</v>
      </c>
      <c r="K3680">
        <v>2</v>
      </c>
      <c r="L3680">
        <v>2</v>
      </c>
      <c r="M3680">
        <v>314</v>
      </c>
      <c r="N3680">
        <v>297</v>
      </c>
      <c r="O3680">
        <v>4</v>
      </c>
      <c r="P3680">
        <v>297</v>
      </c>
      <c r="Q3680">
        <v>30</v>
      </c>
      <c r="R3680">
        <v>72</v>
      </c>
      <c r="S3680">
        <v>6</v>
      </c>
      <c r="T3680">
        <v>3</v>
      </c>
      <c r="U3680">
        <v>39</v>
      </c>
      <c r="V3680">
        <v>2</v>
      </c>
      <c r="W3680">
        <v>2</v>
      </c>
      <c r="X3680">
        <v>3</v>
      </c>
      <c r="Y3680">
        <v>94</v>
      </c>
      <c r="Z3680">
        <v>7</v>
      </c>
      <c r="AA3680">
        <v>1</v>
      </c>
      <c r="AB3680">
        <v>6</v>
      </c>
      <c r="AC3680">
        <v>0</v>
      </c>
      <c r="AD3680">
        <v>1</v>
      </c>
      <c r="AE3680">
        <v>0</v>
      </c>
      <c r="AF3680">
        <v>0</v>
      </c>
      <c r="AG3680">
        <v>0</v>
      </c>
      <c r="AH3680">
        <v>0</v>
      </c>
      <c r="AI3680">
        <v>1</v>
      </c>
      <c r="AJ3680">
        <v>0</v>
      </c>
      <c r="AK3680">
        <v>8</v>
      </c>
      <c r="AL3680">
        <v>1</v>
      </c>
      <c r="AM3680">
        <v>0</v>
      </c>
      <c r="AN3680">
        <v>4</v>
      </c>
      <c r="AT3680">
        <v>0</v>
      </c>
      <c r="AU3680">
        <v>17</v>
      </c>
      <c r="AV3680">
        <v>297</v>
      </c>
      <c r="AW3680">
        <v>297</v>
      </c>
      <c r="AX3680">
        <v>589</v>
      </c>
      <c r="BA3680">
        <v>1</v>
      </c>
      <c r="BC3680" t="s">
        <v>7465</v>
      </c>
      <c r="BD3680" s="4">
        <v>43283.066666666666</v>
      </c>
      <c r="BE3680" s="4">
        <v>43283.072592592594</v>
      </c>
      <c r="BF3680" s="4">
        <v>43283.072592592594</v>
      </c>
      <c r="BG3680" t="s">
        <v>83</v>
      </c>
      <c r="BH3680" t="s">
        <v>84</v>
      </c>
      <c r="BI3680" t="s">
        <v>85</v>
      </c>
    </row>
    <row r="3681" spans="1:61" x14ac:dyDescent="0.3">
      <c r="A3681" t="str">
        <f>"201606E0100"</f>
        <v>201606E0100</v>
      </c>
      <c r="B3681" s="2" t="s">
        <v>7466</v>
      </c>
      <c r="C3681">
        <v>20</v>
      </c>
      <c r="D3681" t="s">
        <v>79</v>
      </c>
      <c r="E3681">
        <v>17</v>
      </c>
      <c r="F3681" t="s">
        <v>7160</v>
      </c>
      <c r="G3681">
        <v>1606</v>
      </c>
      <c r="H3681">
        <v>1</v>
      </c>
      <c r="I3681" t="s">
        <v>145</v>
      </c>
      <c r="J3681">
        <v>0</v>
      </c>
      <c r="K3681">
        <v>2</v>
      </c>
      <c r="L3681">
        <v>2</v>
      </c>
      <c r="M3681">
        <v>146</v>
      </c>
      <c r="N3681">
        <v>189</v>
      </c>
      <c r="O3681">
        <v>7</v>
      </c>
      <c r="P3681">
        <v>189</v>
      </c>
      <c r="Q3681">
        <v>6</v>
      </c>
      <c r="R3681">
        <v>20</v>
      </c>
      <c r="S3681">
        <v>6</v>
      </c>
      <c r="T3681">
        <v>3</v>
      </c>
      <c r="U3681">
        <v>15</v>
      </c>
      <c r="V3681">
        <v>0</v>
      </c>
      <c r="W3681">
        <v>1</v>
      </c>
      <c r="X3681">
        <v>1</v>
      </c>
      <c r="Y3681">
        <v>110</v>
      </c>
      <c r="Z3681">
        <v>6</v>
      </c>
      <c r="AA3681">
        <v>0</v>
      </c>
      <c r="AB3681">
        <v>6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3</v>
      </c>
      <c r="AL3681">
        <v>1</v>
      </c>
      <c r="AM3681">
        <v>0</v>
      </c>
      <c r="AN3681">
        <v>3</v>
      </c>
      <c r="AT3681">
        <v>0</v>
      </c>
      <c r="AU3681">
        <v>8</v>
      </c>
      <c r="AV3681" t="s">
        <v>100</v>
      </c>
      <c r="AW3681">
        <v>189</v>
      </c>
      <c r="AX3681">
        <v>313</v>
      </c>
      <c r="BA3681">
        <v>1</v>
      </c>
      <c r="BC3681" t="s">
        <v>7467</v>
      </c>
      <c r="BD3681" s="4">
        <v>43283.066666666666</v>
      </c>
      <c r="BE3681" s="4">
        <v>43283.074872685182</v>
      </c>
      <c r="BF3681" s="4">
        <v>43283.074872685182</v>
      </c>
      <c r="BG3681" t="s">
        <v>83</v>
      </c>
      <c r="BH3681" t="s">
        <v>84</v>
      </c>
      <c r="BI3681" t="s">
        <v>85</v>
      </c>
    </row>
    <row r="3682" spans="1:61" x14ac:dyDescent="0.3">
      <c r="A3682" t="str">
        <f>"201626B0100"</f>
        <v>201626B0100</v>
      </c>
      <c r="B3682" t="s">
        <v>7468</v>
      </c>
      <c r="C3682">
        <v>20</v>
      </c>
      <c r="D3682" t="s">
        <v>79</v>
      </c>
      <c r="E3682">
        <v>17</v>
      </c>
      <c r="F3682" t="s">
        <v>7160</v>
      </c>
      <c r="G3682">
        <v>1626</v>
      </c>
      <c r="H3682">
        <v>1</v>
      </c>
      <c r="I3682" t="s">
        <v>81</v>
      </c>
      <c r="J3682">
        <v>0</v>
      </c>
      <c r="K3682">
        <v>2</v>
      </c>
      <c r="L3682">
        <v>2</v>
      </c>
      <c r="M3682">
        <v>301</v>
      </c>
      <c r="N3682">
        <v>273</v>
      </c>
      <c r="O3682">
        <v>3</v>
      </c>
      <c r="P3682">
        <v>273</v>
      </c>
      <c r="Q3682">
        <v>13</v>
      </c>
      <c r="R3682">
        <v>33</v>
      </c>
      <c r="S3682">
        <v>4</v>
      </c>
      <c r="T3682">
        <v>3</v>
      </c>
      <c r="U3682">
        <v>32</v>
      </c>
      <c r="V3682">
        <v>6</v>
      </c>
      <c r="W3682">
        <v>0</v>
      </c>
      <c r="X3682">
        <v>5</v>
      </c>
      <c r="Y3682">
        <v>134</v>
      </c>
      <c r="Z3682">
        <v>10</v>
      </c>
      <c r="AA3682">
        <v>3</v>
      </c>
      <c r="AB3682">
        <v>2</v>
      </c>
      <c r="AC3682">
        <v>0</v>
      </c>
      <c r="AD3682">
        <v>0</v>
      </c>
      <c r="AE3682">
        <v>0</v>
      </c>
      <c r="AF3682">
        <v>1</v>
      </c>
      <c r="AG3682">
        <v>1</v>
      </c>
      <c r="AH3682">
        <v>0</v>
      </c>
      <c r="AI3682">
        <v>0</v>
      </c>
      <c r="AJ3682">
        <v>0</v>
      </c>
      <c r="AK3682">
        <v>8</v>
      </c>
      <c r="AL3682">
        <v>4</v>
      </c>
      <c r="AM3682">
        <v>0</v>
      </c>
      <c r="AN3682">
        <v>0</v>
      </c>
      <c r="AT3682">
        <v>0</v>
      </c>
      <c r="AU3682">
        <v>14</v>
      </c>
      <c r="AV3682">
        <v>273</v>
      </c>
      <c r="AW3682">
        <v>273</v>
      </c>
      <c r="AX3682">
        <v>552</v>
      </c>
      <c r="BA3682">
        <v>1</v>
      </c>
      <c r="BC3682" t="s">
        <v>7469</v>
      </c>
      <c r="BD3682" s="4">
        <v>43283.066666666666</v>
      </c>
      <c r="BE3682" s="4">
        <v>43283.075821759259</v>
      </c>
      <c r="BF3682" s="4">
        <v>43283.075821759259</v>
      </c>
      <c r="BG3682" t="s">
        <v>83</v>
      </c>
      <c r="BH3682" t="s">
        <v>84</v>
      </c>
      <c r="BI3682" t="s">
        <v>85</v>
      </c>
    </row>
    <row r="3683" spans="1:61" x14ac:dyDescent="0.3">
      <c r="A3683" t="str">
        <f>"201626C0100"</f>
        <v>201626C0100</v>
      </c>
      <c r="B3683" t="s">
        <v>7470</v>
      </c>
      <c r="C3683">
        <v>20</v>
      </c>
      <c r="D3683" t="s">
        <v>79</v>
      </c>
      <c r="E3683">
        <v>17</v>
      </c>
      <c r="F3683" t="s">
        <v>7160</v>
      </c>
      <c r="G3683">
        <v>1626</v>
      </c>
      <c r="H3683">
        <v>1</v>
      </c>
      <c r="I3683" t="s">
        <v>89</v>
      </c>
      <c r="J3683">
        <v>0</v>
      </c>
      <c r="K3683">
        <v>2</v>
      </c>
      <c r="L3683">
        <v>2</v>
      </c>
      <c r="M3683">
        <v>265</v>
      </c>
      <c r="N3683">
        <v>0</v>
      </c>
      <c r="O3683">
        <v>0</v>
      </c>
      <c r="P3683">
        <v>309</v>
      </c>
      <c r="Q3683">
        <v>14</v>
      </c>
      <c r="R3683">
        <v>42</v>
      </c>
      <c r="S3683">
        <v>6</v>
      </c>
      <c r="T3683">
        <v>2</v>
      </c>
      <c r="U3683">
        <v>47</v>
      </c>
      <c r="V3683">
        <v>5</v>
      </c>
      <c r="W3683">
        <v>2</v>
      </c>
      <c r="X3683">
        <v>5</v>
      </c>
      <c r="Y3683">
        <v>150</v>
      </c>
      <c r="Z3683">
        <v>8</v>
      </c>
      <c r="AA3683">
        <v>1</v>
      </c>
      <c r="AB3683">
        <v>1</v>
      </c>
      <c r="AC3683">
        <v>0</v>
      </c>
      <c r="AD3683">
        <v>0</v>
      </c>
      <c r="AE3683">
        <v>2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8</v>
      </c>
      <c r="AL3683">
        <v>3</v>
      </c>
      <c r="AM3683">
        <v>0</v>
      </c>
      <c r="AN3683">
        <v>2</v>
      </c>
      <c r="AT3683">
        <v>0</v>
      </c>
      <c r="AU3683">
        <v>11</v>
      </c>
      <c r="AV3683">
        <v>309</v>
      </c>
      <c r="AW3683">
        <v>309</v>
      </c>
      <c r="AX3683">
        <v>552</v>
      </c>
      <c r="BA3683">
        <v>1</v>
      </c>
      <c r="BC3683" t="s">
        <v>7471</v>
      </c>
      <c r="BD3683" s="4">
        <v>43283.066666666666</v>
      </c>
      <c r="BE3683" s="4">
        <v>43283.07435185185</v>
      </c>
      <c r="BF3683" s="4">
        <v>43283.07435185185</v>
      </c>
      <c r="BG3683" t="s">
        <v>83</v>
      </c>
      <c r="BH3683" t="s">
        <v>84</v>
      </c>
      <c r="BI3683" t="s">
        <v>85</v>
      </c>
    </row>
    <row r="3684" spans="1:61" x14ac:dyDescent="0.3">
      <c r="A3684" t="str">
        <f>"201626C0200"</f>
        <v>201626C0200</v>
      </c>
      <c r="B3684" t="s">
        <v>7472</v>
      </c>
      <c r="C3684">
        <v>20</v>
      </c>
      <c r="D3684" t="s">
        <v>79</v>
      </c>
      <c r="E3684">
        <v>17</v>
      </c>
      <c r="F3684" t="s">
        <v>7160</v>
      </c>
      <c r="G3684">
        <v>1626</v>
      </c>
      <c r="H3684">
        <v>2</v>
      </c>
      <c r="I3684" t="s">
        <v>89</v>
      </c>
      <c r="J3684">
        <v>0</v>
      </c>
      <c r="K3684">
        <v>2</v>
      </c>
      <c r="L3684">
        <v>2</v>
      </c>
      <c r="M3684">
        <v>303</v>
      </c>
      <c r="N3684">
        <v>270</v>
      </c>
      <c r="O3684">
        <v>5</v>
      </c>
      <c r="P3684">
        <v>270</v>
      </c>
      <c r="Q3684">
        <v>27</v>
      </c>
      <c r="R3684">
        <v>27</v>
      </c>
      <c r="S3684">
        <v>8</v>
      </c>
      <c r="T3684">
        <v>6</v>
      </c>
      <c r="U3684">
        <v>33</v>
      </c>
      <c r="V3684">
        <v>5</v>
      </c>
      <c r="W3684">
        <v>0</v>
      </c>
      <c r="X3684">
        <v>6</v>
      </c>
      <c r="Y3684">
        <v>124</v>
      </c>
      <c r="Z3684">
        <v>6</v>
      </c>
      <c r="AA3684">
        <v>0</v>
      </c>
      <c r="AB3684">
        <v>5</v>
      </c>
      <c r="AC3684">
        <v>0</v>
      </c>
      <c r="AD3684">
        <v>0</v>
      </c>
      <c r="AE3684">
        <v>0</v>
      </c>
      <c r="AF3684">
        <v>0</v>
      </c>
      <c r="AG3684">
        <v>1</v>
      </c>
      <c r="AH3684">
        <v>3</v>
      </c>
      <c r="AI3684">
        <v>0</v>
      </c>
      <c r="AJ3684">
        <v>0</v>
      </c>
      <c r="AK3684">
        <v>4</v>
      </c>
      <c r="AL3684">
        <v>3</v>
      </c>
      <c r="AM3684">
        <v>0</v>
      </c>
      <c r="AN3684">
        <v>0</v>
      </c>
      <c r="AT3684">
        <v>0</v>
      </c>
      <c r="AU3684">
        <v>12</v>
      </c>
      <c r="AV3684">
        <v>270</v>
      </c>
      <c r="AW3684">
        <v>270</v>
      </c>
      <c r="AX3684">
        <v>551</v>
      </c>
      <c r="BA3684">
        <v>1</v>
      </c>
      <c r="BC3684" t="s">
        <v>7473</v>
      </c>
      <c r="BD3684" s="4">
        <v>43283.066666666666</v>
      </c>
      <c r="BE3684" s="4">
        <v>43283.072604166664</v>
      </c>
      <c r="BF3684" s="4">
        <v>43283.072604166664</v>
      </c>
      <c r="BG3684" t="s">
        <v>83</v>
      </c>
      <c r="BH3684" t="s">
        <v>84</v>
      </c>
      <c r="BI3684" t="s">
        <v>85</v>
      </c>
    </row>
    <row r="3685" spans="1:61" x14ac:dyDescent="0.3">
      <c r="A3685" t="str">
        <f>"201644B0100"</f>
        <v>201644B0100</v>
      </c>
      <c r="B3685" t="s">
        <v>7474</v>
      </c>
      <c r="C3685">
        <v>20</v>
      </c>
      <c r="D3685" t="s">
        <v>79</v>
      </c>
      <c r="E3685">
        <v>17</v>
      </c>
      <c r="F3685" t="s">
        <v>7160</v>
      </c>
      <c r="G3685">
        <v>1644</v>
      </c>
      <c r="H3685">
        <v>1</v>
      </c>
      <c r="I3685" t="s">
        <v>81</v>
      </c>
      <c r="J3685">
        <v>0</v>
      </c>
      <c r="K3685">
        <v>1</v>
      </c>
      <c r="L3685">
        <v>2</v>
      </c>
      <c r="M3685">
        <v>273</v>
      </c>
      <c r="N3685">
        <v>224</v>
      </c>
      <c r="O3685">
        <v>1</v>
      </c>
      <c r="P3685">
        <v>224</v>
      </c>
      <c r="Q3685">
        <v>13</v>
      </c>
      <c r="R3685">
        <v>21</v>
      </c>
      <c r="S3685">
        <v>5</v>
      </c>
      <c r="T3685">
        <v>5</v>
      </c>
      <c r="U3685">
        <v>26</v>
      </c>
      <c r="V3685">
        <v>5</v>
      </c>
      <c r="W3685">
        <v>2</v>
      </c>
      <c r="X3685">
        <v>1</v>
      </c>
      <c r="Y3685">
        <v>104</v>
      </c>
      <c r="Z3685">
        <v>7</v>
      </c>
      <c r="AA3685">
        <v>10</v>
      </c>
      <c r="AB3685">
        <v>10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3</v>
      </c>
      <c r="AL3685">
        <v>1</v>
      </c>
      <c r="AM3685">
        <v>0</v>
      </c>
      <c r="AN3685">
        <v>2</v>
      </c>
      <c r="AT3685">
        <v>0</v>
      </c>
      <c r="AU3685">
        <v>224</v>
      </c>
      <c r="AV3685" t="s">
        <v>100</v>
      </c>
      <c r="AW3685">
        <v>439</v>
      </c>
      <c r="AX3685">
        <v>475</v>
      </c>
      <c r="BA3685">
        <v>1</v>
      </c>
      <c r="BC3685" t="s">
        <v>7475</v>
      </c>
      <c r="BD3685" s="4">
        <v>43282.48333333333</v>
      </c>
      <c r="BE3685" s="4">
        <v>43282.992430555554</v>
      </c>
      <c r="BF3685" s="4">
        <v>43282.992430555554</v>
      </c>
      <c r="BG3685" t="s">
        <v>83</v>
      </c>
      <c r="BH3685" t="s">
        <v>84</v>
      </c>
      <c r="BI3685" t="s">
        <v>85</v>
      </c>
    </row>
    <row r="3686" spans="1:61" x14ac:dyDescent="0.3">
      <c r="A3686" t="str">
        <f>"201644C0100"</f>
        <v>201644C0100</v>
      </c>
      <c r="B3686" t="s">
        <v>7476</v>
      </c>
      <c r="C3686">
        <v>20</v>
      </c>
      <c r="D3686" t="s">
        <v>79</v>
      </c>
      <c r="E3686">
        <v>17</v>
      </c>
      <c r="F3686" t="s">
        <v>7160</v>
      </c>
      <c r="G3686">
        <v>1644</v>
      </c>
      <c r="H3686">
        <v>1</v>
      </c>
      <c r="I3686" t="s">
        <v>89</v>
      </c>
      <c r="J3686">
        <v>0</v>
      </c>
      <c r="K3686">
        <v>1</v>
      </c>
      <c r="L3686">
        <v>2</v>
      </c>
      <c r="M3686">
        <v>294</v>
      </c>
      <c r="N3686">
        <v>203</v>
      </c>
      <c r="O3686">
        <v>3</v>
      </c>
      <c r="P3686">
        <v>203</v>
      </c>
      <c r="Q3686">
        <v>9</v>
      </c>
      <c r="R3686">
        <v>21</v>
      </c>
      <c r="S3686">
        <v>2</v>
      </c>
      <c r="T3686">
        <v>1</v>
      </c>
      <c r="U3686">
        <v>23</v>
      </c>
      <c r="V3686">
        <v>1</v>
      </c>
      <c r="W3686">
        <v>4</v>
      </c>
      <c r="X3686">
        <v>2</v>
      </c>
      <c r="Y3686">
        <v>108</v>
      </c>
      <c r="Z3686">
        <v>3</v>
      </c>
      <c r="AA3686">
        <v>4</v>
      </c>
      <c r="AB3686">
        <v>8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5</v>
      </c>
      <c r="AL3686">
        <v>3</v>
      </c>
      <c r="AM3686">
        <v>0</v>
      </c>
      <c r="AN3686">
        <v>4</v>
      </c>
      <c r="AT3686">
        <v>0</v>
      </c>
      <c r="AU3686">
        <v>5</v>
      </c>
      <c r="AV3686">
        <v>203</v>
      </c>
      <c r="AW3686">
        <v>203</v>
      </c>
      <c r="AX3686">
        <v>475</v>
      </c>
      <c r="BA3686">
        <v>1</v>
      </c>
      <c r="BC3686" t="s">
        <v>7477</v>
      </c>
      <c r="BD3686" s="4">
        <v>43282.48333333333</v>
      </c>
      <c r="BE3686" s="4">
        <v>43282.99046296296</v>
      </c>
      <c r="BF3686" s="4">
        <v>43282.99046296296</v>
      </c>
      <c r="BG3686" t="s">
        <v>83</v>
      </c>
      <c r="BH3686" t="s">
        <v>84</v>
      </c>
      <c r="BI3686" t="s">
        <v>85</v>
      </c>
    </row>
    <row r="3687" spans="1:61" x14ac:dyDescent="0.3">
      <c r="A3687" t="str">
        <f>"201645B0100"</f>
        <v>201645B0100</v>
      </c>
      <c r="B3687" t="s">
        <v>7478</v>
      </c>
      <c r="C3687">
        <v>20</v>
      </c>
      <c r="D3687" t="s">
        <v>79</v>
      </c>
      <c r="E3687">
        <v>17</v>
      </c>
      <c r="F3687" t="s">
        <v>7160</v>
      </c>
      <c r="G3687">
        <v>1645</v>
      </c>
      <c r="H3687">
        <v>1</v>
      </c>
      <c r="I3687" t="s">
        <v>81</v>
      </c>
      <c r="J3687">
        <v>0</v>
      </c>
      <c r="K3687">
        <v>1</v>
      </c>
      <c r="L3687">
        <v>2</v>
      </c>
      <c r="M3687">
        <v>460</v>
      </c>
      <c r="N3687" t="s">
        <v>100</v>
      </c>
      <c r="O3687">
        <v>0</v>
      </c>
      <c r="P3687" t="s">
        <v>100</v>
      </c>
      <c r="Q3687">
        <v>23</v>
      </c>
      <c r="R3687">
        <v>28</v>
      </c>
      <c r="S3687">
        <v>2</v>
      </c>
      <c r="T3687">
        <v>3</v>
      </c>
      <c r="U3687">
        <v>36</v>
      </c>
      <c r="V3687">
        <v>7</v>
      </c>
      <c r="W3687">
        <v>1</v>
      </c>
      <c r="X3687">
        <v>4</v>
      </c>
      <c r="Y3687">
        <v>149</v>
      </c>
      <c r="Z3687">
        <v>6</v>
      </c>
      <c r="AA3687">
        <v>1</v>
      </c>
      <c r="AB3687">
        <v>10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5</v>
      </c>
      <c r="AL3687">
        <v>6</v>
      </c>
      <c r="AM3687">
        <v>0</v>
      </c>
      <c r="AN3687">
        <v>0</v>
      </c>
      <c r="AT3687">
        <v>0</v>
      </c>
      <c r="AU3687">
        <v>23</v>
      </c>
      <c r="AV3687">
        <v>294</v>
      </c>
      <c r="AW3687">
        <v>304</v>
      </c>
      <c r="AX3687">
        <v>726</v>
      </c>
      <c r="BA3687">
        <v>1</v>
      </c>
      <c r="BC3687" t="s">
        <v>7479</v>
      </c>
      <c r="BD3687" s="4">
        <v>43282.48333333333</v>
      </c>
      <c r="BE3687" s="4">
        <v>43282.990671296298</v>
      </c>
      <c r="BF3687" s="4">
        <v>43282.990671296298</v>
      </c>
      <c r="BG3687" t="s">
        <v>83</v>
      </c>
      <c r="BH3687" t="s">
        <v>84</v>
      </c>
      <c r="BI3687" t="s">
        <v>85</v>
      </c>
    </row>
    <row r="3688" spans="1:61" x14ac:dyDescent="0.3">
      <c r="A3688" t="str">
        <f>"201646B0100"</f>
        <v>201646B0100</v>
      </c>
      <c r="B3688" t="s">
        <v>7480</v>
      </c>
      <c r="C3688">
        <v>20</v>
      </c>
      <c r="D3688" t="s">
        <v>79</v>
      </c>
      <c r="E3688">
        <v>17</v>
      </c>
      <c r="F3688" t="s">
        <v>7160</v>
      </c>
      <c r="G3688">
        <v>1646</v>
      </c>
      <c r="H3688">
        <v>1</v>
      </c>
      <c r="I3688" t="s">
        <v>81</v>
      </c>
      <c r="J3688">
        <v>0</v>
      </c>
      <c r="K3688">
        <v>1</v>
      </c>
      <c r="L3688">
        <v>2</v>
      </c>
      <c r="M3688">
        <v>301</v>
      </c>
      <c r="N3688">
        <v>347</v>
      </c>
      <c r="O3688">
        <v>0</v>
      </c>
      <c r="P3688">
        <v>347</v>
      </c>
      <c r="Q3688">
        <v>31</v>
      </c>
      <c r="R3688">
        <v>94</v>
      </c>
      <c r="S3688">
        <v>13</v>
      </c>
      <c r="T3688">
        <v>18</v>
      </c>
      <c r="U3688">
        <v>26</v>
      </c>
      <c r="V3688">
        <v>8</v>
      </c>
      <c r="W3688">
        <v>2</v>
      </c>
      <c r="X3688">
        <v>4</v>
      </c>
      <c r="Y3688">
        <v>68</v>
      </c>
      <c r="Z3688">
        <v>11</v>
      </c>
      <c r="AA3688">
        <v>1</v>
      </c>
      <c r="AB3688">
        <v>8</v>
      </c>
      <c r="AC3688">
        <v>0</v>
      </c>
      <c r="AD3688">
        <v>0</v>
      </c>
      <c r="AE3688">
        <v>0</v>
      </c>
      <c r="AF3688">
        <v>0</v>
      </c>
      <c r="AG3688">
        <v>1</v>
      </c>
      <c r="AH3688">
        <v>8</v>
      </c>
      <c r="AI3688">
        <v>0</v>
      </c>
      <c r="AJ3688">
        <v>0</v>
      </c>
      <c r="AK3688">
        <v>13</v>
      </c>
      <c r="AL3688">
        <v>6</v>
      </c>
      <c r="AM3688">
        <v>0</v>
      </c>
      <c r="AN3688">
        <v>0</v>
      </c>
      <c r="AT3688">
        <v>0</v>
      </c>
      <c r="AU3688">
        <v>35</v>
      </c>
      <c r="AV3688">
        <v>347</v>
      </c>
      <c r="AW3688">
        <v>347</v>
      </c>
      <c r="AX3688">
        <v>626</v>
      </c>
      <c r="BA3688">
        <v>1</v>
      </c>
      <c r="BC3688" t="s">
        <v>7481</v>
      </c>
      <c r="BD3688" s="4">
        <v>43283.34652777778</v>
      </c>
      <c r="BE3688" s="4">
        <v>43283.371423611112</v>
      </c>
      <c r="BF3688" s="4">
        <v>43283.371423611112</v>
      </c>
      <c r="BG3688" t="s">
        <v>83</v>
      </c>
      <c r="BH3688" t="s">
        <v>84</v>
      </c>
      <c r="BI3688" t="s">
        <v>85</v>
      </c>
    </row>
    <row r="3689" spans="1:61" x14ac:dyDescent="0.3">
      <c r="A3689" t="str">
        <f>"201673B0100"</f>
        <v>201673B0100</v>
      </c>
      <c r="B3689" t="s">
        <v>7482</v>
      </c>
      <c r="C3689">
        <v>20</v>
      </c>
      <c r="D3689" t="s">
        <v>79</v>
      </c>
      <c r="E3689">
        <v>17</v>
      </c>
      <c r="F3689" t="s">
        <v>7160</v>
      </c>
      <c r="G3689">
        <v>1673</v>
      </c>
      <c r="H3689">
        <v>1</v>
      </c>
      <c r="I3689" t="s">
        <v>81</v>
      </c>
      <c r="J3689">
        <v>0</v>
      </c>
      <c r="K3689">
        <v>2</v>
      </c>
      <c r="L3689">
        <v>2</v>
      </c>
      <c r="M3689">
        <v>295</v>
      </c>
      <c r="N3689">
        <v>413</v>
      </c>
      <c r="O3689">
        <v>2</v>
      </c>
      <c r="P3689">
        <v>413</v>
      </c>
      <c r="Q3689">
        <v>29</v>
      </c>
      <c r="R3689">
        <v>51</v>
      </c>
      <c r="S3689">
        <v>30</v>
      </c>
      <c r="T3689">
        <v>11</v>
      </c>
      <c r="U3689">
        <v>32</v>
      </c>
      <c r="V3689">
        <v>8</v>
      </c>
      <c r="W3689">
        <v>9</v>
      </c>
      <c r="X3689">
        <v>7</v>
      </c>
      <c r="Y3689">
        <v>199</v>
      </c>
      <c r="Z3689">
        <v>6</v>
      </c>
      <c r="AA3689">
        <v>1</v>
      </c>
      <c r="AB3689">
        <v>5</v>
      </c>
      <c r="AC3689" t="s">
        <v>100</v>
      </c>
      <c r="AD3689" t="s">
        <v>100</v>
      </c>
      <c r="AE3689" t="s">
        <v>100</v>
      </c>
      <c r="AF3689" t="s">
        <v>100</v>
      </c>
      <c r="AG3689" t="s">
        <v>100</v>
      </c>
      <c r="AH3689">
        <v>1</v>
      </c>
      <c r="AI3689">
        <v>1</v>
      </c>
      <c r="AJ3689" t="s">
        <v>100</v>
      </c>
      <c r="AK3689">
        <v>4</v>
      </c>
      <c r="AL3689">
        <v>1</v>
      </c>
      <c r="AM3689" t="s">
        <v>100</v>
      </c>
      <c r="AN3689">
        <v>2</v>
      </c>
      <c r="AT3689" t="s">
        <v>100</v>
      </c>
      <c r="AU3689">
        <v>17</v>
      </c>
      <c r="AV3689" t="s">
        <v>100</v>
      </c>
      <c r="AW3689">
        <v>414</v>
      </c>
      <c r="AX3689">
        <v>686</v>
      </c>
      <c r="AZ3689" t="s">
        <v>101</v>
      </c>
      <c r="BA3689">
        <v>1</v>
      </c>
      <c r="BC3689" t="s">
        <v>7483</v>
      </c>
      <c r="BD3689" s="4">
        <v>43283.299305555556</v>
      </c>
      <c r="BE3689" s="4">
        <v>43283.326608796298</v>
      </c>
      <c r="BF3689" s="4">
        <v>43283.326608796298</v>
      </c>
      <c r="BG3689" t="s">
        <v>83</v>
      </c>
      <c r="BH3689" t="s">
        <v>84</v>
      </c>
      <c r="BI3689" t="s">
        <v>85</v>
      </c>
    </row>
    <row r="3690" spans="1:61" x14ac:dyDescent="0.3">
      <c r="A3690" t="str">
        <f>"201674B0100"</f>
        <v>201674B0100</v>
      </c>
      <c r="B3690" t="s">
        <v>7484</v>
      </c>
      <c r="C3690">
        <v>20</v>
      </c>
      <c r="D3690" t="s">
        <v>79</v>
      </c>
      <c r="E3690">
        <v>17</v>
      </c>
      <c r="F3690" t="s">
        <v>7160</v>
      </c>
      <c r="G3690">
        <v>1674</v>
      </c>
      <c r="H3690">
        <v>1</v>
      </c>
      <c r="I3690" t="s">
        <v>81</v>
      </c>
      <c r="J3690">
        <v>0</v>
      </c>
      <c r="K3690">
        <v>2</v>
      </c>
      <c r="L3690">
        <v>2</v>
      </c>
      <c r="M3690">
        <v>431</v>
      </c>
      <c r="N3690">
        <v>431</v>
      </c>
      <c r="O3690">
        <v>0</v>
      </c>
      <c r="P3690">
        <v>431</v>
      </c>
      <c r="Q3690">
        <v>34</v>
      </c>
      <c r="R3690">
        <v>45</v>
      </c>
      <c r="S3690">
        <v>26</v>
      </c>
      <c r="T3690">
        <v>10</v>
      </c>
      <c r="U3690">
        <v>28</v>
      </c>
      <c r="V3690">
        <v>3</v>
      </c>
      <c r="W3690">
        <v>1</v>
      </c>
      <c r="X3690">
        <v>5</v>
      </c>
      <c r="Y3690">
        <v>221</v>
      </c>
      <c r="Z3690">
        <v>10</v>
      </c>
      <c r="AA3690">
        <v>0</v>
      </c>
      <c r="AB3690">
        <v>5</v>
      </c>
      <c r="AC3690">
        <v>2</v>
      </c>
      <c r="AD3690">
        <v>2</v>
      </c>
      <c r="AE3690">
        <v>0</v>
      </c>
      <c r="AF3690">
        <v>0</v>
      </c>
      <c r="AG3690">
        <v>0</v>
      </c>
      <c r="AH3690">
        <v>1</v>
      </c>
      <c r="AI3690">
        <v>1</v>
      </c>
      <c r="AJ3690">
        <v>0</v>
      </c>
      <c r="AK3690">
        <v>15</v>
      </c>
      <c r="AL3690">
        <v>6</v>
      </c>
      <c r="AM3690">
        <v>0</v>
      </c>
      <c r="AN3690">
        <v>3</v>
      </c>
      <c r="AT3690">
        <v>1</v>
      </c>
      <c r="AU3690">
        <v>12</v>
      </c>
      <c r="AV3690">
        <v>431</v>
      </c>
      <c r="AW3690">
        <v>431</v>
      </c>
      <c r="AX3690">
        <v>693</v>
      </c>
      <c r="BA3690">
        <v>1</v>
      </c>
      <c r="BC3690" t="s">
        <v>7485</v>
      </c>
      <c r="BD3690" s="4">
        <v>43283.299305555556</v>
      </c>
      <c r="BE3690" s="4">
        <v>43283.326979166668</v>
      </c>
      <c r="BF3690" s="4">
        <v>43283.326979166668</v>
      </c>
      <c r="BG3690" t="s">
        <v>83</v>
      </c>
      <c r="BH3690" t="s">
        <v>84</v>
      </c>
      <c r="BI3690" t="s">
        <v>85</v>
      </c>
    </row>
    <row r="3691" spans="1:61" x14ac:dyDescent="0.3">
      <c r="A3691" t="str">
        <f>"201703B0100"</f>
        <v>201703B0100</v>
      </c>
      <c r="B3691" t="s">
        <v>7486</v>
      </c>
      <c r="C3691">
        <v>20</v>
      </c>
      <c r="D3691" t="s">
        <v>79</v>
      </c>
      <c r="E3691">
        <v>17</v>
      </c>
      <c r="F3691" t="s">
        <v>7160</v>
      </c>
      <c r="G3691">
        <v>1703</v>
      </c>
      <c r="H3691">
        <v>1</v>
      </c>
      <c r="I3691" t="s">
        <v>81</v>
      </c>
      <c r="J3691">
        <v>0</v>
      </c>
      <c r="K3691">
        <v>1</v>
      </c>
      <c r="L3691">
        <v>2</v>
      </c>
      <c r="M3691">
        <v>273</v>
      </c>
      <c r="N3691">
        <v>531</v>
      </c>
      <c r="O3691">
        <v>0</v>
      </c>
      <c r="P3691">
        <v>258</v>
      </c>
      <c r="Q3691">
        <v>13</v>
      </c>
      <c r="R3691">
        <v>35</v>
      </c>
      <c r="S3691">
        <v>7</v>
      </c>
      <c r="T3691">
        <v>2</v>
      </c>
      <c r="U3691">
        <v>16</v>
      </c>
      <c r="V3691">
        <v>2</v>
      </c>
      <c r="W3691">
        <v>2</v>
      </c>
      <c r="X3691">
        <v>2</v>
      </c>
      <c r="Y3691">
        <v>143</v>
      </c>
      <c r="Z3691">
        <v>5</v>
      </c>
      <c r="AA3691">
        <v>0</v>
      </c>
      <c r="AB3691">
        <v>13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7</v>
      </c>
      <c r="AL3691">
        <v>0</v>
      </c>
      <c r="AM3691">
        <v>0</v>
      </c>
      <c r="AN3691">
        <v>0</v>
      </c>
      <c r="AT3691">
        <v>0</v>
      </c>
      <c r="AU3691">
        <v>11</v>
      </c>
      <c r="AV3691">
        <v>258</v>
      </c>
      <c r="AW3691">
        <v>258</v>
      </c>
      <c r="AX3691">
        <v>510</v>
      </c>
      <c r="BA3691">
        <v>1</v>
      </c>
      <c r="BC3691" t="s">
        <v>7487</v>
      </c>
      <c r="BD3691" s="4">
        <v>43283.066666666666</v>
      </c>
      <c r="BE3691" s="4">
        <v>43283.087673611109</v>
      </c>
      <c r="BF3691" s="4">
        <v>43283.087673611109</v>
      </c>
      <c r="BG3691" t="s">
        <v>83</v>
      </c>
      <c r="BH3691" t="s">
        <v>84</v>
      </c>
      <c r="BI3691" t="s">
        <v>85</v>
      </c>
    </row>
    <row r="3692" spans="1:61" x14ac:dyDescent="0.3">
      <c r="A3692" t="str">
        <f>"201703C0100"</f>
        <v>201703C0100</v>
      </c>
      <c r="B3692" t="s">
        <v>7488</v>
      </c>
      <c r="C3692">
        <v>20</v>
      </c>
      <c r="D3692" t="s">
        <v>79</v>
      </c>
      <c r="E3692">
        <v>17</v>
      </c>
      <c r="F3692" t="s">
        <v>7160</v>
      </c>
      <c r="G3692">
        <v>1703</v>
      </c>
      <c r="H3692">
        <v>1</v>
      </c>
      <c r="I3692" t="s">
        <v>89</v>
      </c>
      <c r="J3692">
        <v>0</v>
      </c>
      <c r="K3692">
        <v>1</v>
      </c>
      <c r="L3692">
        <v>2</v>
      </c>
      <c r="M3692">
        <v>252</v>
      </c>
      <c r="N3692">
        <v>278</v>
      </c>
      <c r="O3692">
        <v>0</v>
      </c>
      <c r="P3692">
        <v>278</v>
      </c>
      <c r="Q3692">
        <v>10</v>
      </c>
      <c r="R3692">
        <v>35</v>
      </c>
      <c r="S3692">
        <v>7</v>
      </c>
      <c r="T3692">
        <v>1</v>
      </c>
      <c r="U3692">
        <v>28</v>
      </c>
      <c r="V3692">
        <v>3</v>
      </c>
      <c r="W3692">
        <v>2</v>
      </c>
      <c r="X3692">
        <v>1</v>
      </c>
      <c r="Y3692">
        <v>164</v>
      </c>
      <c r="Z3692">
        <v>4</v>
      </c>
      <c r="AA3692">
        <v>0</v>
      </c>
      <c r="AB3692">
        <v>5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1</v>
      </c>
      <c r="AI3692">
        <v>0</v>
      </c>
      <c r="AJ3692">
        <v>0</v>
      </c>
      <c r="AK3692">
        <v>4</v>
      </c>
      <c r="AL3692">
        <v>2</v>
      </c>
      <c r="AM3692">
        <v>1</v>
      </c>
      <c r="AN3692" t="s">
        <v>315</v>
      </c>
      <c r="AT3692">
        <v>0</v>
      </c>
      <c r="AU3692">
        <v>10</v>
      </c>
      <c r="AV3692">
        <v>278</v>
      </c>
      <c r="AW3692">
        <v>278</v>
      </c>
      <c r="AX3692">
        <v>509</v>
      </c>
      <c r="AZ3692" t="s">
        <v>101</v>
      </c>
      <c r="BA3692">
        <v>1</v>
      </c>
      <c r="BC3692" t="s">
        <v>7489</v>
      </c>
      <c r="BD3692" s="4">
        <v>43283.066666666666</v>
      </c>
      <c r="BE3692" s="4">
        <v>43283.081550925926</v>
      </c>
      <c r="BF3692" s="4">
        <v>43283.081550925926</v>
      </c>
      <c r="BG3692" t="s">
        <v>83</v>
      </c>
      <c r="BH3692" t="s">
        <v>84</v>
      </c>
      <c r="BI3692" t="s">
        <v>85</v>
      </c>
    </row>
    <row r="3693" spans="1:61" x14ac:dyDescent="0.3">
      <c r="A3693" t="str">
        <f>"201703C0200"</f>
        <v>201703C0200</v>
      </c>
      <c r="B3693" t="s">
        <v>7490</v>
      </c>
      <c r="C3693">
        <v>20</v>
      </c>
      <c r="D3693" t="s">
        <v>79</v>
      </c>
      <c r="E3693">
        <v>17</v>
      </c>
      <c r="F3693" t="s">
        <v>7160</v>
      </c>
      <c r="G3693">
        <v>1703</v>
      </c>
      <c r="H3693">
        <v>2</v>
      </c>
      <c r="I3693" t="s">
        <v>89</v>
      </c>
      <c r="J3693">
        <v>0</v>
      </c>
      <c r="K3693">
        <v>1</v>
      </c>
      <c r="L3693">
        <v>2</v>
      </c>
      <c r="M3693">
        <v>237</v>
      </c>
      <c r="N3693">
        <v>294</v>
      </c>
      <c r="O3693">
        <v>1</v>
      </c>
      <c r="P3693">
        <v>294</v>
      </c>
      <c r="Q3693">
        <v>8</v>
      </c>
      <c r="R3693">
        <v>59</v>
      </c>
      <c r="S3693">
        <v>5</v>
      </c>
      <c r="T3693">
        <v>2</v>
      </c>
      <c r="U3693">
        <v>17</v>
      </c>
      <c r="V3693">
        <v>5</v>
      </c>
      <c r="W3693">
        <v>1</v>
      </c>
      <c r="X3693">
        <v>1</v>
      </c>
      <c r="Y3693">
        <v>167</v>
      </c>
      <c r="Z3693">
        <v>1</v>
      </c>
      <c r="AA3693">
        <v>0</v>
      </c>
      <c r="AB3693">
        <v>8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2</v>
      </c>
      <c r="AI3693">
        <v>0</v>
      </c>
      <c r="AJ3693">
        <v>0</v>
      </c>
      <c r="AK3693">
        <v>5</v>
      </c>
      <c r="AL3693">
        <v>5</v>
      </c>
      <c r="AM3693">
        <v>0</v>
      </c>
      <c r="AN3693">
        <v>2</v>
      </c>
      <c r="AT3693">
        <v>0</v>
      </c>
      <c r="AU3693">
        <v>6</v>
      </c>
      <c r="AV3693">
        <v>294</v>
      </c>
      <c r="AW3693">
        <v>294</v>
      </c>
      <c r="AX3693">
        <v>509</v>
      </c>
      <c r="BA3693">
        <v>1</v>
      </c>
      <c r="BC3693" t="s">
        <v>7491</v>
      </c>
      <c r="BD3693" s="4">
        <v>43283.066666666666</v>
      </c>
      <c r="BE3693" s="4">
        <v>43283.073368055557</v>
      </c>
      <c r="BF3693" s="4">
        <v>43283.073368055557</v>
      </c>
      <c r="BG3693" t="s">
        <v>83</v>
      </c>
      <c r="BH3693" t="s">
        <v>84</v>
      </c>
      <c r="BI3693" t="s">
        <v>85</v>
      </c>
    </row>
    <row r="3694" spans="1:61" x14ac:dyDescent="0.3">
      <c r="A3694" t="str">
        <f>"201829B0100"</f>
        <v>201829B0100</v>
      </c>
      <c r="B3694" t="s">
        <v>7492</v>
      </c>
      <c r="C3694">
        <v>20</v>
      </c>
      <c r="D3694" t="s">
        <v>79</v>
      </c>
      <c r="E3694">
        <v>17</v>
      </c>
      <c r="F3694" t="s">
        <v>7160</v>
      </c>
      <c r="G3694">
        <v>1829</v>
      </c>
      <c r="H3694">
        <v>1</v>
      </c>
      <c r="I3694" t="s">
        <v>81</v>
      </c>
      <c r="J3694">
        <v>0</v>
      </c>
      <c r="K3694">
        <v>1</v>
      </c>
      <c r="L3694">
        <v>2</v>
      </c>
      <c r="M3694">
        <v>216</v>
      </c>
      <c r="N3694">
        <v>469</v>
      </c>
      <c r="O3694">
        <v>4</v>
      </c>
      <c r="P3694">
        <v>467</v>
      </c>
      <c r="Q3694">
        <v>44</v>
      </c>
      <c r="R3694">
        <v>62</v>
      </c>
      <c r="S3694">
        <v>3</v>
      </c>
      <c r="T3694">
        <v>14</v>
      </c>
      <c r="U3694">
        <v>18</v>
      </c>
      <c r="V3694">
        <v>3</v>
      </c>
      <c r="W3694">
        <v>5</v>
      </c>
      <c r="X3694">
        <v>5</v>
      </c>
      <c r="Y3694">
        <v>250</v>
      </c>
      <c r="Z3694">
        <v>8</v>
      </c>
      <c r="AA3694">
        <v>2</v>
      </c>
      <c r="AB3694">
        <v>21</v>
      </c>
      <c r="AC3694">
        <v>1</v>
      </c>
      <c r="AD3694">
        <v>0</v>
      </c>
      <c r="AE3694">
        <v>1</v>
      </c>
      <c r="AF3694">
        <v>0</v>
      </c>
      <c r="AG3694">
        <v>5</v>
      </c>
      <c r="AH3694">
        <v>3</v>
      </c>
      <c r="AI3694">
        <v>0</v>
      </c>
      <c r="AJ3694">
        <v>0</v>
      </c>
      <c r="AK3694">
        <v>7</v>
      </c>
      <c r="AL3694">
        <v>4</v>
      </c>
      <c r="AM3694">
        <v>0</v>
      </c>
      <c r="AN3694">
        <v>4</v>
      </c>
      <c r="AT3694">
        <v>0</v>
      </c>
      <c r="AU3694">
        <v>9</v>
      </c>
      <c r="AV3694">
        <v>469</v>
      </c>
      <c r="AW3694">
        <v>469</v>
      </c>
      <c r="AX3694">
        <v>663</v>
      </c>
      <c r="BA3694">
        <v>1</v>
      </c>
      <c r="BC3694" t="s">
        <v>7493</v>
      </c>
      <c r="BD3694" s="4">
        <v>43283.05972222222</v>
      </c>
      <c r="BE3694" s="4">
        <v>43283.066655092596</v>
      </c>
      <c r="BF3694" s="4">
        <v>43283.066655092596</v>
      </c>
      <c r="BG3694" t="s">
        <v>83</v>
      </c>
      <c r="BH3694" t="s">
        <v>84</v>
      </c>
      <c r="BI3694" t="s">
        <v>85</v>
      </c>
    </row>
    <row r="3695" spans="1:61" x14ac:dyDescent="0.3">
      <c r="A3695" t="str">
        <f>"201829C0100"</f>
        <v>201829C0100</v>
      </c>
      <c r="B3695" t="s">
        <v>7494</v>
      </c>
      <c r="C3695">
        <v>20</v>
      </c>
      <c r="D3695" t="s">
        <v>79</v>
      </c>
      <c r="E3695">
        <v>17</v>
      </c>
      <c r="F3695" t="s">
        <v>7160</v>
      </c>
      <c r="G3695">
        <v>1829</v>
      </c>
      <c r="H3695">
        <v>1</v>
      </c>
      <c r="I3695" t="s">
        <v>89</v>
      </c>
      <c r="J3695">
        <v>0</v>
      </c>
      <c r="K3695">
        <v>2</v>
      </c>
      <c r="L3695">
        <v>2</v>
      </c>
      <c r="M3695">
        <v>231</v>
      </c>
      <c r="N3695">
        <v>454</v>
      </c>
      <c r="O3695">
        <v>4</v>
      </c>
      <c r="P3695">
        <v>454</v>
      </c>
      <c r="Q3695">
        <v>45</v>
      </c>
      <c r="R3695">
        <v>72</v>
      </c>
      <c r="S3695">
        <v>8</v>
      </c>
      <c r="T3695">
        <v>10</v>
      </c>
      <c r="U3695">
        <v>28</v>
      </c>
      <c r="V3695">
        <v>10</v>
      </c>
      <c r="W3695">
        <v>6</v>
      </c>
      <c r="X3695">
        <v>1</v>
      </c>
      <c r="Y3695">
        <v>216</v>
      </c>
      <c r="Z3695">
        <v>6</v>
      </c>
      <c r="AA3695">
        <v>1</v>
      </c>
      <c r="AB3695">
        <v>24</v>
      </c>
      <c r="AC3695">
        <v>1</v>
      </c>
      <c r="AD3695">
        <v>1</v>
      </c>
      <c r="AE3695">
        <v>1</v>
      </c>
      <c r="AF3695">
        <v>0</v>
      </c>
      <c r="AG3695">
        <v>1</v>
      </c>
      <c r="AH3695">
        <v>2</v>
      </c>
      <c r="AI3695">
        <v>0</v>
      </c>
      <c r="AJ3695">
        <v>0</v>
      </c>
      <c r="AK3695">
        <v>3</v>
      </c>
      <c r="AL3695">
        <v>1</v>
      </c>
      <c r="AM3695">
        <v>0</v>
      </c>
      <c r="AN3695">
        <v>2</v>
      </c>
      <c r="AT3695">
        <v>0</v>
      </c>
      <c r="AU3695">
        <v>15</v>
      </c>
      <c r="AV3695">
        <v>454</v>
      </c>
      <c r="AW3695">
        <v>454</v>
      </c>
      <c r="AX3695">
        <v>663</v>
      </c>
      <c r="BA3695">
        <v>1</v>
      </c>
      <c r="BC3695" t="s">
        <v>7495</v>
      </c>
      <c r="BD3695" s="4">
        <v>43283.05972222222</v>
      </c>
      <c r="BE3695" s="4">
        <v>43283.064571759256</v>
      </c>
      <c r="BF3695" s="4">
        <v>43283.064571759256</v>
      </c>
      <c r="BG3695" t="s">
        <v>83</v>
      </c>
      <c r="BH3695" t="s">
        <v>84</v>
      </c>
      <c r="BI3695" t="s">
        <v>85</v>
      </c>
    </row>
    <row r="3696" spans="1:61" x14ac:dyDescent="0.3">
      <c r="A3696" t="str">
        <f>"201829E0100"</f>
        <v>201829E0100</v>
      </c>
      <c r="B3696" s="2" t="s">
        <v>7496</v>
      </c>
      <c r="C3696">
        <v>20</v>
      </c>
      <c r="D3696" t="s">
        <v>79</v>
      </c>
      <c r="E3696">
        <v>17</v>
      </c>
      <c r="F3696" t="s">
        <v>7160</v>
      </c>
      <c r="G3696">
        <v>1829</v>
      </c>
      <c r="H3696">
        <v>1</v>
      </c>
      <c r="I3696" t="s">
        <v>145</v>
      </c>
      <c r="J3696">
        <v>0</v>
      </c>
      <c r="K3696">
        <v>2</v>
      </c>
      <c r="L3696">
        <v>2</v>
      </c>
      <c r="M3696">
        <v>159</v>
      </c>
      <c r="N3696">
        <v>228</v>
      </c>
      <c r="O3696">
        <v>2</v>
      </c>
      <c r="P3696">
        <v>228</v>
      </c>
      <c r="Q3696">
        <v>18</v>
      </c>
      <c r="R3696">
        <v>45</v>
      </c>
      <c r="S3696">
        <v>4</v>
      </c>
      <c r="T3696">
        <v>6</v>
      </c>
      <c r="U3696">
        <v>17</v>
      </c>
      <c r="V3696">
        <v>2</v>
      </c>
      <c r="W3696">
        <v>2</v>
      </c>
      <c r="X3696">
        <v>4</v>
      </c>
      <c r="Y3696">
        <v>106</v>
      </c>
      <c r="Z3696">
        <v>3</v>
      </c>
      <c r="AA3696">
        <v>9</v>
      </c>
      <c r="AB3696">
        <v>9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1</v>
      </c>
      <c r="AL3696">
        <v>3</v>
      </c>
      <c r="AM3696">
        <v>0</v>
      </c>
      <c r="AN3696">
        <v>1</v>
      </c>
      <c r="AT3696">
        <v>0</v>
      </c>
      <c r="AU3696" t="s">
        <v>315</v>
      </c>
      <c r="AV3696" t="s">
        <v>100</v>
      </c>
      <c r="AW3696">
        <v>230</v>
      </c>
      <c r="AX3696">
        <v>365</v>
      </c>
      <c r="AZ3696" t="s">
        <v>101</v>
      </c>
      <c r="BA3696">
        <v>1</v>
      </c>
      <c r="BC3696" t="s">
        <v>7497</v>
      </c>
      <c r="BD3696" s="4">
        <v>43283.040972222225</v>
      </c>
      <c r="BE3696" s="4">
        <v>43283.049583333333</v>
      </c>
      <c r="BF3696" s="4">
        <v>43283.049583333333</v>
      </c>
      <c r="BG3696" t="s">
        <v>83</v>
      </c>
      <c r="BH3696" t="s">
        <v>84</v>
      </c>
      <c r="BI3696" t="s">
        <v>85</v>
      </c>
    </row>
    <row r="3697" spans="1:61" x14ac:dyDescent="0.3">
      <c r="A3697" t="str">
        <f>"201830B0100"</f>
        <v>201830B0100</v>
      </c>
      <c r="B3697" t="s">
        <v>7498</v>
      </c>
      <c r="C3697">
        <v>20</v>
      </c>
      <c r="D3697" t="s">
        <v>79</v>
      </c>
      <c r="E3697">
        <v>17</v>
      </c>
      <c r="F3697" t="s">
        <v>7160</v>
      </c>
      <c r="G3697">
        <v>1830</v>
      </c>
      <c r="H3697">
        <v>1</v>
      </c>
      <c r="I3697" t="s">
        <v>81</v>
      </c>
      <c r="J3697">
        <v>0</v>
      </c>
      <c r="K3697">
        <v>1</v>
      </c>
      <c r="L3697">
        <v>2</v>
      </c>
      <c r="M3697">
        <v>137</v>
      </c>
      <c r="N3697">
        <v>328</v>
      </c>
      <c r="O3697">
        <v>3</v>
      </c>
      <c r="P3697">
        <v>327</v>
      </c>
      <c r="Q3697">
        <v>27</v>
      </c>
      <c r="R3697">
        <v>64</v>
      </c>
      <c r="S3697">
        <v>1</v>
      </c>
      <c r="T3697">
        <v>8</v>
      </c>
      <c r="U3697">
        <v>23</v>
      </c>
      <c r="V3697">
        <v>5</v>
      </c>
      <c r="W3697">
        <v>2</v>
      </c>
      <c r="X3697">
        <v>2</v>
      </c>
      <c r="Y3697">
        <v>163</v>
      </c>
      <c r="Z3697">
        <v>4</v>
      </c>
      <c r="AA3697">
        <v>1</v>
      </c>
      <c r="AB3697">
        <v>8</v>
      </c>
      <c r="AC3697">
        <v>0</v>
      </c>
      <c r="AD3697">
        <v>0</v>
      </c>
      <c r="AE3697">
        <v>0</v>
      </c>
      <c r="AF3697">
        <v>0</v>
      </c>
      <c r="AG3697">
        <v>1</v>
      </c>
      <c r="AH3697">
        <v>2</v>
      </c>
      <c r="AI3697">
        <v>0</v>
      </c>
      <c r="AJ3697">
        <v>0</v>
      </c>
      <c r="AK3697">
        <v>5</v>
      </c>
      <c r="AL3697">
        <v>1</v>
      </c>
      <c r="AM3697">
        <v>0</v>
      </c>
      <c r="AN3697">
        <v>0</v>
      </c>
      <c r="AT3697">
        <v>0</v>
      </c>
      <c r="AU3697">
        <v>11</v>
      </c>
      <c r="AV3697">
        <v>328</v>
      </c>
      <c r="AW3697">
        <v>328</v>
      </c>
      <c r="AX3697">
        <v>443</v>
      </c>
      <c r="BA3697">
        <v>1</v>
      </c>
      <c r="BC3697" t="s">
        <v>7499</v>
      </c>
      <c r="BD3697" s="4">
        <v>43283.05972222222</v>
      </c>
      <c r="BE3697" s="4">
        <v>43283.064571759256</v>
      </c>
      <c r="BF3697" s="4">
        <v>43283.064571759256</v>
      </c>
      <c r="BG3697" t="s">
        <v>83</v>
      </c>
      <c r="BH3697" t="s">
        <v>84</v>
      </c>
      <c r="BI3697" t="s">
        <v>85</v>
      </c>
    </row>
    <row r="3698" spans="1:61" x14ac:dyDescent="0.3">
      <c r="A3698" t="str">
        <f>"201830C0100"</f>
        <v>201830C0100</v>
      </c>
      <c r="B3698" t="s">
        <v>7500</v>
      </c>
      <c r="C3698">
        <v>20</v>
      </c>
      <c r="D3698" t="s">
        <v>79</v>
      </c>
      <c r="E3698">
        <v>17</v>
      </c>
      <c r="F3698" t="s">
        <v>7160</v>
      </c>
      <c r="G3698">
        <v>1830</v>
      </c>
      <c r="H3698">
        <v>1</v>
      </c>
      <c r="I3698" t="s">
        <v>89</v>
      </c>
      <c r="J3698">
        <v>0</v>
      </c>
      <c r="K3698">
        <v>1</v>
      </c>
      <c r="L3698">
        <v>2</v>
      </c>
      <c r="M3698">
        <v>139</v>
      </c>
      <c r="N3698">
        <v>325</v>
      </c>
      <c r="O3698">
        <v>2</v>
      </c>
      <c r="P3698">
        <v>325</v>
      </c>
      <c r="Q3698">
        <v>26</v>
      </c>
      <c r="R3698">
        <v>57</v>
      </c>
      <c r="S3698">
        <v>2</v>
      </c>
      <c r="T3698">
        <v>7</v>
      </c>
      <c r="U3698">
        <v>24</v>
      </c>
      <c r="V3698">
        <v>5</v>
      </c>
      <c r="W3698">
        <v>9</v>
      </c>
      <c r="X3698">
        <v>4</v>
      </c>
      <c r="Y3698">
        <v>155</v>
      </c>
      <c r="Z3698">
        <v>5</v>
      </c>
      <c r="AA3698">
        <v>1</v>
      </c>
      <c r="AB3698">
        <v>15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1</v>
      </c>
      <c r="AL3698">
        <v>1</v>
      </c>
      <c r="AM3698">
        <v>0</v>
      </c>
      <c r="AN3698">
        <v>3</v>
      </c>
      <c r="AT3698">
        <v>1</v>
      </c>
      <c r="AU3698">
        <v>9</v>
      </c>
      <c r="AV3698">
        <v>325</v>
      </c>
      <c r="AW3698">
        <v>325</v>
      </c>
      <c r="AX3698">
        <v>442</v>
      </c>
      <c r="BA3698">
        <v>1</v>
      </c>
      <c r="BC3698" t="s">
        <v>7501</v>
      </c>
      <c r="BD3698" s="4">
        <v>43283.05972222222</v>
      </c>
      <c r="BE3698" s="4">
        <v>43283.066388888888</v>
      </c>
      <c r="BF3698" s="4">
        <v>43283.066388888888</v>
      </c>
      <c r="BG3698" t="s">
        <v>83</v>
      </c>
      <c r="BH3698" t="s">
        <v>84</v>
      </c>
      <c r="BI3698" t="s">
        <v>85</v>
      </c>
    </row>
    <row r="3699" spans="1:61" x14ac:dyDescent="0.3">
      <c r="A3699" t="str">
        <f>"201831B0100"</f>
        <v>201831B0100</v>
      </c>
      <c r="B3699" t="s">
        <v>7502</v>
      </c>
      <c r="C3699">
        <v>20</v>
      </c>
      <c r="D3699" t="s">
        <v>79</v>
      </c>
      <c r="E3699">
        <v>17</v>
      </c>
      <c r="F3699" t="s">
        <v>7160</v>
      </c>
      <c r="G3699">
        <v>1831</v>
      </c>
      <c r="H3699">
        <v>1</v>
      </c>
      <c r="I3699" t="s">
        <v>81</v>
      </c>
      <c r="J3699">
        <v>0</v>
      </c>
      <c r="K3699">
        <v>1</v>
      </c>
      <c r="L3699">
        <v>2</v>
      </c>
      <c r="M3699">
        <v>167</v>
      </c>
      <c r="N3699">
        <v>463</v>
      </c>
      <c r="O3699">
        <v>463</v>
      </c>
      <c r="P3699">
        <v>468</v>
      </c>
      <c r="Q3699">
        <v>44</v>
      </c>
      <c r="R3699">
        <v>67</v>
      </c>
      <c r="S3699">
        <v>4</v>
      </c>
      <c r="T3699">
        <v>7</v>
      </c>
      <c r="U3699">
        <v>25</v>
      </c>
      <c r="V3699">
        <v>9</v>
      </c>
      <c r="W3699">
        <v>5</v>
      </c>
      <c r="X3699">
        <v>1</v>
      </c>
      <c r="Y3699">
        <v>252</v>
      </c>
      <c r="Z3699">
        <v>3</v>
      </c>
      <c r="AA3699">
        <v>1</v>
      </c>
      <c r="AB3699">
        <v>28</v>
      </c>
      <c r="AC3699">
        <v>0</v>
      </c>
      <c r="AD3699">
        <v>0</v>
      </c>
      <c r="AE3699">
        <v>0</v>
      </c>
      <c r="AF3699">
        <v>0</v>
      </c>
      <c r="AG3699">
        <v>2</v>
      </c>
      <c r="AH3699">
        <v>0</v>
      </c>
      <c r="AI3699">
        <v>0</v>
      </c>
      <c r="AJ3699">
        <v>0</v>
      </c>
      <c r="AK3699">
        <v>6</v>
      </c>
      <c r="AL3699">
        <v>3</v>
      </c>
      <c r="AM3699">
        <v>0</v>
      </c>
      <c r="AN3699">
        <v>0</v>
      </c>
      <c r="AT3699">
        <v>1</v>
      </c>
      <c r="AU3699">
        <v>8</v>
      </c>
      <c r="AV3699">
        <v>466</v>
      </c>
      <c r="AW3699">
        <v>466</v>
      </c>
      <c r="AX3699">
        <v>612</v>
      </c>
      <c r="BA3699">
        <v>1</v>
      </c>
      <c r="BC3699" t="s">
        <v>7503</v>
      </c>
      <c r="BD3699" s="4">
        <v>43283.05972222222</v>
      </c>
      <c r="BE3699" s="4">
        <v>43283.066064814811</v>
      </c>
      <c r="BF3699" s="4">
        <v>43283.066064814811</v>
      </c>
      <c r="BG3699" t="s">
        <v>83</v>
      </c>
      <c r="BH3699" t="s">
        <v>84</v>
      </c>
      <c r="BI3699" t="s">
        <v>85</v>
      </c>
    </row>
    <row r="3700" spans="1:61" x14ac:dyDescent="0.3">
      <c r="A3700" t="str">
        <f>"201831C0100"</f>
        <v>201831C0100</v>
      </c>
      <c r="B3700" t="s">
        <v>7504</v>
      </c>
      <c r="C3700">
        <v>20</v>
      </c>
      <c r="D3700" t="s">
        <v>79</v>
      </c>
      <c r="E3700">
        <v>17</v>
      </c>
      <c r="F3700" t="s">
        <v>7160</v>
      </c>
      <c r="G3700">
        <v>1831</v>
      </c>
      <c r="H3700">
        <v>1</v>
      </c>
      <c r="I3700" t="s">
        <v>89</v>
      </c>
      <c r="J3700">
        <v>0</v>
      </c>
      <c r="K3700">
        <v>1</v>
      </c>
      <c r="L3700">
        <v>2</v>
      </c>
      <c r="M3700">
        <v>187</v>
      </c>
      <c r="N3700">
        <v>447</v>
      </c>
      <c r="O3700">
        <v>8</v>
      </c>
      <c r="P3700">
        <v>445</v>
      </c>
      <c r="Q3700">
        <v>45</v>
      </c>
      <c r="R3700">
        <v>60</v>
      </c>
      <c r="S3700">
        <v>6</v>
      </c>
      <c r="T3700">
        <v>7</v>
      </c>
      <c r="U3700">
        <v>19</v>
      </c>
      <c r="V3700">
        <v>2</v>
      </c>
      <c r="W3700">
        <v>7</v>
      </c>
      <c r="X3700">
        <v>6</v>
      </c>
      <c r="Y3700">
        <v>234</v>
      </c>
      <c r="Z3700">
        <v>14</v>
      </c>
      <c r="AA3700">
        <v>2</v>
      </c>
      <c r="AB3700">
        <v>18</v>
      </c>
      <c r="AC3700">
        <v>2</v>
      </c>
      <c r="AD3700">
        <v>0</v>
      </c>
      <c r="AE3700">
        <v>0</v>
      </c>
      <c r="AF3700">
        <v>0</v>
      </c>
      <c r="AG3700">
        <v>1</v>
      </c>
      <c r="AH3700">
        <v>1</v>
      </c>
      <c r="AI3700">
        <v>0</v>
      </c>
      <c r="AJ3700">
        <v>0</v>
      </c>
      <c r="AK3700">
        <v>5</v>
      </c>
      <c r="AL3700">
        <v>0</v>
      </c>
      <c r="AM3700">
        <v>0</v>
      </c>
      <c r="AN3700">
        <v>0</v>
      </c>
      <c r="AT3700">
        <v>0</v>
      </c>
      <c r="AU3700">
        <v>16</v>
      </c>
      <c r="AV3700">
        <v>445</v>
      </c>
      <c r="AW3700">
        <v>445</v>
      </c>
      <c r="AX3700">
        <v>611</v>
      </c>
      <c r="BA3700">
        <v>1</v>
      </c>
      <c r="BC3700" s="2" t="s">
        <v>7505</v>
      </c>
      <c r="BD3700" s="4">
        <v>43283.05972222222</v>
      </c>
      <c r="BE3700" s="4">
        <v>43283.064629629633</v>
      </c>
      <c r="BF3700" s="4">
        <v>43283.064629629633</v>
      </c>
      <c r="BG3700" t="s">
        <v>83</v>
      </c>
      <c r="BH3700" t="s">
        <v>84</v>
      </c>
      <c r="BI3700" t="s">
        <v>85</v>
      </c>
    </row>
    <row r="3701" spans="1:61" x14ac:dyDescent="0.3">
      <c r="A3701" t="str">
        <f>"201832B0100"</f>
        <v>201832B0100</v>
      </c>
      <c r="B3701" t="s">
        <v>7506</v>
      </c>
      <c r="C3701">
        <v>20</v>
      </c>
      <c r="D3701" t="s">
        <v>79</v>
      </c>
      <c r="E3701">
        <v>17</v>
      </c>
      <c r="F3701" t="s">
        <v>7160</v>
      </c>
      <c r="G3701">
        <v>1832</v>
      </c>
      <c r="H3701">
        <v>1</v>
      </c>
      <c r="I3701" t="s">
        <v>81</v>
      </c>
      <c r="J3701">
        <v>0</v>
      </c>
      <c r="K3701">
        <v>1</v>
      </c>
      <c r="L3701">
        <v>2</v>
      </c>
      <c r="M3701">
        <v>254</v>
      </c>
      <c r="N3701">
        <v>321</v>
      </c>
      <c r="O3701">
        <v>2</v>
      </c>
      <c r="P3701">
        <v>321</v>
      </c>
      <c r="Q3701">
        <v>31</v>
      </c>
      <c r="R3701">
        <v>30</v>
      </c>
      <c r="S3701">
        <v>12</v>
      </c>
      <c r="T3701">
        <v>7</v>
      </c>
      <c r="U3701">
        <v>17</v>
      </c>
      <c r="V3701">
        <v>7</v>
      </c>
      <c r="W3701">
        <v>6</v>
      </c>
      <c r="X3701">
        <v>6</v>
      </c>
      <c r="Y3701">
        <v>155</v>
      </c>
      <c r="Z3701">
        <v>6</v>
      </c>
      <c r="AA3701">
        <v>3</v>
      </c>
      <c r="AB3701">
        <v>18</v>
      </c>
      <c r="AC3701">
        <v>1</v>
      </c>
      <c r="AD3701">
        <v>0</v>
      </c>
      <c r="AE3701">
        <v>0</v>
      </c>
      <c r="AF3701">
        <v>1</v>
      </c>
      <c r="AG3701">
        <v>1</v>
      </c>
      <c r="AH3701">
        <v>2</v>
      </c>
      <c r="AI3701">
        <v>0</v>
      </c>
      <c r="AJ3701">
        <v>0</v>
      </c>
      <c r="AK3701">
        <v>3</v>
      </c>
      <c r="AL3701">
        <v>4</v>
      </c>
      <c r="AM3701">
        <v>0</v>
      </c>
      <c r="AN3701">
        <v>1</v>
      </c>
      <c r="AT3701">
        <v>0</v>
      </c>
      <c r="AU3701">
        <v>10</v>
      </c>
      <c r="AV3701">
        <v>321</v>
      </c>
      <c r="AW3701">
        <v>321</v>
      </c>
      <c r="AX3701">
        <v>554</v>
      </c>
      <c r="BA3701">
        <v>1</v>
      </c>
      <c r="BC3701" t="s">
        <v>7507</v>
      </c>
      <c r="BD3701" s="4">
        <v>43283.012638888889</v>
      </c>
      <c r="BE3701" s="4">
        <v>43283.016030092593</v>
      </c>
      <c r="BF3701" s="4">
        <v>43283.016030092593</v>
      </c>
      <c r="BG3701" t="s">
        <v>373</v>
      </c>
      <c r="BH3701" t="s">
        <v>374</v>
      </c>
      <c r="BI3701" t="s">
        <v>85</v>
      </c>
    </row>
    <row r="3702" spans="1:61" x14ac:dyDescent="0.3">
      <c r="A3702" t="str">
        <f>"201832C0100"</f>
        <v>201832C0100</v>
      </c>
      <c r="B3702" t="s">
        <v>7508</v>
      </c>
      <c r="C3702">
        <v>20</v>
      </c>
      <c r="D3702" t="s">
        <v>79</v>
      </c>
      <c r="E3702">
        <v>17</v>
      </c>
      <c r="F3702" t="s">
        <v>7160</v>
      </c>
      <c r="G3702">
        <v>1832</v>
      </c>
      <c r="H3702">
        <v>1</v>
      </c>
      <c r="I3702" t="s">
        <v>89</v>
      </c>
      <c r="J3702">
        <v>0</v>
      </c>
      <c r="K3702">
        <v>1</v>
      </c>
      <c r="L3702">
        <v>2</v>
      </c>
      <c r="M3702">
        <v>253</v>
      </c>
      <c r="N3702">
        <v>323</v>
      </c>
      <c r="O3702">
        <v>3</v>
      </c>
      <c r="P3702">
        <v>323</v>
      </c>
      <c r="Q3702">
        <v>34</v>
      </c>
      <c r="R3702">
        <v>41</v>
      </c>
      <c r="S3702">
        <v>7</v>
      </c>
      <c r="T3702">
        <v>11</v>
      </c>
      <c r="U3702">
        <v>23</v>
      </c>
      <c r="V3702">
        <v>6</v>
      </c>
      <c r="W3702">
        <v>3</v>
      </c>
      <c r="X3702">
        <v>4</v>
      </c>
      <c r="Y3702">
        <v>151</v>
      </c>
      <c r="Z3702">
        <v>8</v>
      </c>
      <c r="AA3702">
        <v>1</v>
      </c>
      <c r="AB3702">
        <v>7</v>
      </c>
      <c r="AC3702">
        <v>1</v>
      </c>
      <c r="AD3702">
        <v>0</v>
      </c>
      <c r="AE3702">
        <v>0</v>
      </c>
      <c r="AF3702">
        <v>0</v>
      </c>
      <c r="AG3702">
        <v>1</v>
      </c>
      <c r="AH3702">
        <v>1</v>
      </c>
      <c r="AI3702">
        <v>0</v>
      </c>
      <c r="AJ3702">
        <v>0</v>
      </c>
      <c r="AK3702">
        <v>8</v>
      </c>
      <c r="AL3702">
        <v>5</v>
      </c>
      <c r="AM3702">
        <v>0</v>
      </c>
      <c r="AN3702">
        <v>0</v>
      </c>
      <c r="AT3702">
        <v>0</v>
      </c>
      <c r="AU3702">
        <v>11</v>
      </c>
      <c r="AV3702">
        <v>323</v>
      </c>
      <c r="AW3702">
        <v>323</v>
      </c>
      <c r="AX3702">
        <v>554</v>
      </c>
      <c r="BA3702">
        <v>1</v>
      </c>
      <c r="BC3702" t="s">
        <v>7509</v>
      </c>
      <c r="BD3702" s="4">
        <v>43282.948310185187</v>
      </c>
      <c r="BE3702" s="4">
        <v>43282.954375000001</v>
      </c>
      <c r="BF3702" s="4">
        <v>43282.954375000001</v>
      </c>
      <c r="BG3702" t="s">
        <v>373</v>
      </c>
      <c r="BH3702" t="s">
        <v>374</v>
      </c>
      <c r="BI3702" t="s">
        <v>85</v>
      </c>
    </row>
    <row r="3703" spans="1:61" x14ac:dyDescent="0.3">
      <c r="A3703" t="str">
        <f>"201832C0200"</f>
        <v>201832C0200</v>
      </c>
      <c r="B3703" t="s">
        <v>7510</v>
      </c>
      <c r="C3703">
        <v>20</v>
      </c>
      <c r="D3703" t="s">
        <v>79</v>
      </c>
      <c r="E3703">
        <v>17</v>
      </c>
      <c r="F3703" t="s">
        <v>7160</v>
      </c>
      <c r="G3703">
        <v>1832</v>
      </c>
      <c r="H3703">
        <v>2</v>
      </c>
      <c r="I3703" t="s">
        <v>89</v>
      </c>
      <c r="J3703">
        <v>0</v>
      </c>
      <c r="K3703">
        <v>1</v>
      </c>
      <c r="L3703">
        <v>2</v>
      </c>
      <c r="M3703">
        <v>266</v>
      </c>
      <c r="N3703">
        <v>309</v>
      </c>
      <c r="O3703">
        <v>2</v>
      </c>
      <c r="P3703">
        <v>309</v>
      </c>
      <c r="Q3703">
        <v>31</v>
      </c>
      <c r="R3703">
        <v>36</v>
      </c>
      <c r="S3703">
        <v>10</v>
      </c>
      <c r="T3703">
        <v>6</v>
      </c>
      <c r="U3703">
        <v>23</v>
      </c>
      <c r="V3703">
        <v>5</v>
      </c>
      <c r="W3703">
        <v>6</v>
      </c>
      <c r="X3703">
        <v>3</v>
      </c>
      <c r="Y3703">
        <v>145</v>
      </c>
      <c r="Z3703">
        <v>7</v>
      </c>
      <c r="AA3703">
        <v>0</v>
      </c>
      <c r="AB3703">
        <v>14</v>
      </c>
      <c r="AC3703">
        <v>0</v>
      </c>
      <c r="AD3703">
        <v>0</v>
      </c>
      <c r="AE3703">
        <v>0</v>
      </c>
      <c r="AF3703">
        <v>0</v>
      </c>
      <c r="AG3703">
        <v>1</v>
      </c>
      <c r="AH3703">
        <v>0</v>
      </c>
      <c r="AI3703">
        <v>0</v>
      </c>
      <c r="AJ3703">
        <v>6</v>
      </c>
      <c r="AK3703">
        <v>1</v>
      </c>
      <c r="AL3703">
        <v>7</v>
      </c>
      <c r="AM3703">
        <v>0</v>
      </c>
      <c r="AN3703">
        <v>0</v>
      </c>
      <c r="AT3703">
        <v>0</v>
      </c>
      <c r="AU3703">
        <v>14</v>
      </c>
      <c r="AV3703">
        <v>309</v>
      </c>
      <c r="AW3703">
        <v>315</v>
      </c>
      <c r="AX3703">
        <v>553</v>
      </c>
      <c r="BA3703">
        <v>1</v>
      </c>
      <c r="BC3703" t="s">
        <v>7511</v>
      </c>
      <c r="BD3703" s="4">
        <v>43283.011250000003</v>
      </c>
      <c r="BE3703" s="4">
        <v>43283.018414351849</v>
      </c>
      <c r="BF3703" s="4">
        <v>43283.018414351849</v>
      </c>
      <c r="BG3703" t="s">
        <v>373</v>
      </c>
      <c r="BH3703" t="s">
        <v>374</v>
      </c>
      <c r="BI3703" t="s">
        <v>85</v>
      </c>
    </row>
    <row r="3704" spans="1:61" x14ac:dyDescent="0.3">
      <c r="A3704" t="str">
        <f>"201833B0100"</f>
        <v>201833B0100</v>
      </c>
      <c r="B3704" t="s">
        <v>7512</v>
      </c>
      <c r="C3704">
        <v>20</v>
      </c>
      <c r="D3704" t="s">
        <v>79</v>
      </c>
      <c r="E3704">
        <v>17</v>
      </c>
      <c r="F3704" t="s">
        <v>7160</v>
      </c>
      <c r="G3704">
        <v>1833</v>
      </c>
      <c r="H3704">
        <v>1</v>
      </c>
      <c r="I3704" t="s">
        <v>81</v>
      </c>
      <c r="J3704">
        <v>0</v>
      </c>
      <c r="K3704">
        <v>1</v>
      </c>
      <c r="L3704">
        <v>2</v>
      </c>
      <c r="M3704">
        <v>285</v>
      </c>
      <c r="N3704">
        <v>324</v>
      </c>
      <c r="O3704">
        <v>3</v>
      </c>
      <c r="P3704">
        <v>324</v>
      </c>
      <c r="Q3704">
        <v>30</v>
      </c>
      <c r="R3704">
        <v>43</v>
      </c>
      <c r="S3704">
        <v>6</v>
      </c>
      <c r="T3704">
        <v>6</v>
      </c>
      <c r="U3704">
        <v>28</v>
      </c>
      <c r="V3704">
        <v>3</v>
      </c>
      <c r="W3704">
        <v>2</v>
      </c>
      <c r="X3704">
        <v>4</v>
      </c>
      <c r="Y3704">
        <v>166</v>
      </c>
      <c r="Z3704">
        <v>7</v>
      </c>
      <c r="AA3704">
        <v>0</v>
      </c>
      <c r="AB3704">
        <v>10</v>
      </c>
      <c r="AC3704">
        <v>1</v>
      </c>
      <c r="AD3704">
        <v>1</v>
      </c>
      <c r="AE3704">
        <v>0</v>
      </c>
      <c r="AF3704">
        <v>0</v>
      </c>
      <c r="AG3704">
        <v>1</v>
      </c>
      <c r="AH3704">
        <v>1</v>
      </c>
      <c r="AI3704">
        <v>0</v>
      </c>
      <c r="AJ3704">
        <v>0</v>
      </c>
      <c r="AK3704">
        <v>3</v>
      </c>
      <c r="AL3704">
        <v>2</v>
      </c>
      <c r="AM3704">
        <v>0</v>
      </c>
      <c r="AN3704">
        <v>1</v>
      </c>
      <c r="AT3704">
        <v>0</v>
      </c>
      <c r="AU3704">
        <v>9</v>
      </c>
      <c r="AV3704">
        <v>324</v>
      </c>
      <c r="AW3704">
        <v>324</v>
      </c>
      <c r="AX3704">
        <v>587</v>
      </c>
      <c r="BA3704">
        <v>1</v>
      </c>
      <c r="BC3704" t="s">
        <v>7513</v>
      </c>
      <c r="BD3704" s="4">
        <v>43282.964282407411</v>
      </c>
      <c r="BE3704" s="4">
        <v>43282.968148148146</v>
      </c>
      <c r="BF3704" s="4">
        <v>43282.968148148146</v>
      </c>
      <c r="BG3704" t="s">
        <v>373</v>
      </c>
      <c r="BH3704" t="s">
        <v>374</v>
      </c>
      <c r="BI3704" t="s">
        <v>85</v>
      </c>
    </row>
    <row r="3705" spans="1:61" x14ac:dyDescent="0.3">
      <c r="A3705" t="str">
        <f>"201833C0100"</f>
        <v>201833C0100</v>
      </c>
      <c r="B3705" t="s">
        <v>7514</v>
      </c>
      <c r="C3705">
        <v>20</v>
      </c>
      <c r="D3705" t="s">
        <v>79</v>
      </c>
      <c r="E3705">
        <v>17</v>
      </c>
      <c r="F3705" t="s">
        <v>7160</v>
      </c>
      <c r="G3705">
        <v>1833</v>
      </c>
      <c r="H3705">
        <v>1</v>
      </c>
      <c r="I3705" t="s">
        <v>89</v>
      </c>
      <c r="J3705">
        <v>0</v>
      </c>
      <c r="K3705">
        <v>1</v>
      </c>
      <c r="L3705">
        <v>2</v>
      </c>
      <c r="M3705">
        <v>247</v>
      </c>
      <c r="N3705">
        <v>361</v>
      </c>
      <c r="O3705">
        <v>6</v>
      </c>
      <c r="P3705">
        <v>361</v>
      </c>
      <c r="Q3705">
        <v>24</v>
      </c>
      <c r="R3705">
        <v>36</v>
      </c>
      <c r="S3705">
        <v>9</v>
      </c>
      <c r="T3705">
        <v>7</v>
      </c>
      <c r="U3705">
        <v>28</v>
      </c>
      <c r="V3705">
        <v>1</v>
      </c>
      <c r="W3705">
        <v>4</v>
      </c>
      <c r="X3705">
        <v>9</v>
      </c>
      <c r="Y3705">
        <v>196</v>
      </c>
      <c r="Z3705">
        <v>14</v>
      </c>
      <c r="AA3705">
        <v>2</v>
      </c>
      <c r="AB3705">
        <v>15</v>
      </c>
      <c r="AC3705">
        <v>1</v>
      </c>
      <c r="AD3705">
        <v>0</v>
      </c>
      <c r="AE3705">
        <v>1</v>
      </c>
      <c r="AF3705">
        <v>0</v>
      </c>
      <c r="AG3705">
        <v>0</v>
      </c>
      <c r="AH3705">
        <v>1</v>
      </c>
      <c r="AI3705">
        <v>0</v>
      </c>
      <c r="AJ3705">
        <v>2</v>
      </c>
      <c r="AK3705">
        <v>2</v>
      </c>
      <c r="AL3705">
        <v>2</v>
      </c>
      <c r="AM3705">
        <v>0</v>
      </c>
      <c r="AN3705">
        <v>1</v>
      </c>
      <c r="AT3705">
        <v>0</v>
      </c>
      <c r="AU3705">
        <v>8</v>
      </c>
      <c r="AV3705">
        <v>361</v>
      </c>
      <c r="AW3705">
        <v>363</v>
      </c>
      <c r="AX3705">
        <v>586</v>
      </c>
      <c r="BA3705">
        <v>1</v>
      </c>
      <c r="BC3705" t="s">
        <v>7515</v>
      </c>
      <c r="BD3705" s="4">
        <v>43282.972384259258</v>
      </c>
      <c r="BE3705" s="4">
        <v>43282.976435185185</v>
      </c>
      <c r="BF3705" s="4">
        <v>43282.976435185185</v>
      </c>
      <c r="BG3705" t="s">
        <v>373</v>
      </c>
      <c r="BH3705" t="s">
        <v>374</v>
      </c>
      <c r="BI3705" t="s">
        <v>85</v>
      </c>
    </row>
    <row r="3706" spans="1:61" x14ac:dyDescent="0.3">
      <c r="A3706" t="str">
        <f>"201833S0100"</f>
        <v>201833S0100</v>
      </c>
      <c r="B3706" t="s">
        <v>7516</v>
      </c>
      <c r="C3706">
        <v>20</v>
      </c>
      <c r="D3706" t="s">
        <v>79</v>
      </c>
      <c r="E3706">
        <v>17</v>
      </c>
      <c r="F3706" t="s">
        <v>7160</v>
      </c>
      <c r="G3706">
        <v>1833</v>
      </c>
      <c r="H3706">
        <v>1</v>
      </c>
      <c r="I3706" t="s">
        <v>104</v>
      </c>
      <c r="J3706">
        <v>0</v>
      </c>
      <c r="K3706">
        <v>1</v>
      </c>
      <c r="L3706">
        <v>3</v>
      </c>
      <c r="M3706">
        <v>264</v>
      </c>
      <c r="N3706">
        <v>508</v>
      </c>
      <c r="O3706">
        <v>0</v>
      </c>
      <c r="P3706">
        <v>28</v>
      </c>
      <c r="Q3706">
        <v>2</v>
      </c>
      <c r="R3706">
        <v>4</v>
      </c>
      <c r="S3706">
        <v>1</v>
      </c>
      <c r="T3706">
        <v>0</v>
      </c>
      <c r="U3706">
        <v>1</v>
      </c>
      <c r="V3706">
        <v>0</v>
      </c>
      <c r="W3706">
        <v>0</v>
      </c>
      <c r="X3706">
        <v>0</v>
      </c>
      <c r="Y3706">
        <v>19</v>
      </c>
      <c r="Z3706">
        <v>0</v>
      </c>
      <c r="AA3706">
        <v>0</v>
      </c>
      <c r="AB3706">
        <v>0</v>
      </c>
      <c r="AC3706" t="s">
        <v>100</v>
      </c>
      <c r="AD3706" t="s">
        <v>100</v>
      </c>
      <c r="AE3706" t="s">
        <v>100</v>
      </c>
      <c r="AF3706" t="s">
        <v>100</v>
      </c>
      <c r="AG3706" t="s">
        <v>100</v>
      </c>
      <c r="AH3706" t="s">
        <v>100</v>
      </c>
      <c r="AI3706" t="s">
        <v>100</v>
      </c>
      <c r="AJ3706" t="s">
        <v>100</v>
      </c>
      <c r="AK3706">
        <v>1</v>
      </c>
      <c r="AL3706" t="s">
        <v>100</v>
      </c>
      <c r="AM3706" t="s">
        <v>100</v>
      </c>
      <c r="AN3706" t="s">
        <v>100</v>
      </c>
      <c r="AT3706" t="s">
        <v>100</v>
      </c>
      <c r="AU3706" t="s">
        <v>100</v>
      </c>
      <c r="AV3706" t="s">
        <v>100</v>
      </c>
      <c r="AW3706">
        <v>28</v>
      </c>
      <c r="AX3706">
        <v>0</v>
      </c>
      <c r="AZ3706" t="s">
        <v>101</v>
      </c>
      <c r="BA3706">
        <v>1</v>
      </c>
      <c r="BC3706" t="s">
        <v>7517</v>
      </c>
      <c r="BD3706" s="4">
        <v>43282.988680555558</v>
      </c>
      <c r="BE3706" s="4">
        <v>43282.993935185186</v>
      </c>
      <c r="BF3706" s="4">
        <v>43282.993935185186</v>
      </c>
      <c r="BG3706" t="s">
        <v>373</v>
      </c>
      <c r="BH3706" t="s">
        <v>374</v>
      </c>
      <c r="BI3706" t="s">
        <v>85</v>
      </c>
    </row>
    <row r="3707" spans="1:61" x14ac:dyDescent="0.3">
      <c r="A3707" t="str">
        <f>"201838B0100"</f>
        <v>201838B0100</v>
      </c>
      <c r="B3707" t="s">
        <v>7518</v>
      </c>
      <c r="C3707">
        <v>20</v>
      </c>
      <c r="D3707" t="s">
        <v>79</v>
      </c>
      <c r="E3707">
        <v>17</v>
      </c>
      <c r="F3707" t="s">
        <v>7160</v>
      </c>
      <c r="G3707">
        <v>1838</v>
      </c>
      <c r="H3707">
        <v>1</v>
      </c>
      <c r="I3707" t="s">
        <v>81</v>
      </c>
      <c r="J3707">
        <v>0</v>
      </c>
      <c r="K3707">
        <v>1</v>
      </c>
      <c r="L3707">
        <v>2</v>
      </c>
      <c r="M3707">
        <v>240</v>
      </c>
      <c r="N3707">
        <v>369</v>
      </c>
      <c r="O3707">
        <v>0</v>
      </c>
      <c r="P3707">
        <v>369</v>
      </c>
      <c r="Q3707">
        <v>20</v>
      </c>
      <c r="R3707">
        <v>58</v>
      </c>
      <c r="S3707">
        <v>10</v>
      </c>
      <c r="T3707">
        <v>5</v>
      </c>
      <c r="U3707">
        <v>34</v>
      </c>
      <c r="V3707">
        <v>2</v>
      </c>
      <c r="W3707">
        <v>7</v>
      </c>
      <c r="X3707">
        <v>2</v>
      </c>
      <c r="Y3707">
        <v>177</v>
      </c>
      <c r="Z3707">
        <v>8</v>
      </c>
      <c r="AA3707">
        <v>2</v>
      </c>
      <c r="AB3707">
        <v>16</v>
      </c>
      <c r="AC3707">
        <v>0</v>
      </c>
      <c r="AD3707">
        <v>1</v>
      </c>
      <c r="AE3707">
        <v>0</v>
      </c>
      <c r="AF3707">
        <v>0</v>
      </c>
      <c r="AG3707">
        <v>0</v>
      </c>
      <c r="AH3707">
        <v>3</v>
      </c>
      <c r="AI3707">
        <v>1</v>
      </c>
      <c r="AJ3707">
        <v>0</v>
      </c>
      <c r="AK3707">
        <v>5</v>
      </c>
      <c r="AL3707">
        <v>2</v>
      </c>
      <c r="AM3707">
        <v>0</v>
      </c>
      <c r="AN3707">
        <v>2</v>
      </c>
      <c r="AT3707">
        <v>0</v>
      </c>
      <c r="AU3707">
        <v>14</v>
      </c>
      <c r="AV3707">
        <v>369</v>
      </c>
      <c r="AW3707">
        <v>369</v>
      </c>
      <c r="AX3707">
        <v>587</v>
      </c>
      <c r="BA3707">
        <v>1</v>
      </c>
      <c r="BC3707" s="2" t="s">
        <v>7519</v>
      </c>
      <c r="BD3707" s="4">
        <v>43283.039583333331</v>
      </c>
      <c r="BE3707" s="4">
        <v>43283.045057870368</v>
      </c>
      <c r="BF3707" s="4">
        <v>43283.045057870368</v>
      </c>
      <c r="BG3707" t="s">
        <v>83</v>
      </c>
      <c r="BH3707" t="s">
        <v>84</v>
      </c>
      <c r="BI3707" t="s">
        <v>85</v>
      </c>
    </row>
    <row r="3708" spans="1:61" x14ac:dyDescent="0.3">
      <c r="A3708" t="str">
        <f>"201903B0100"</f>
        <v>201903B0100</v>
      </c>
      <c r="B3708" t="s">
        <v>7520</v>
      </c>
      <c r="C3708">
        <v>20</v>
      </c>
      <c r="D3708" t="s">
        <v>79</v>
      </c>
      <c r="E3708">
        <v>17</v>
      </c>
      <c r="F3708" t="s">
        <v>7160</v>
      </c>
      <c r="G3708">
        <v>1903</v>
      </c>
      <c r="H3708">
        <v>1</v>
      </c>
      <c r="I3708" t="s">
        <v>81</v>
      </c>
      <c r="J3708">
        <v>0</v>
      </c>
      <c r="K3708">
        <v>2</v>
      </c>
      <c r="L3708">
        <v>2</v>
      </c>
      <c r="M3708">
        <v>234</v>
      </c>
      <c r="N3708">
        <v>423</v>
      </c>
      <c r="O3708">
        <v>0</v>
      </c>
      <c r="P3708" t="s">
        <v>100</v>
      </c>
      <c r="Q3708">
        <v>9</v>
      </c>
      <c r="R3708">
        <v>81</v>
      </c>
      <c r="S3708">
        <v>5</v>
      </c>
      <c r="T3708">
        <v>9</v>
      </c>
      <c r="U3708">
        <v>28</v>
      </c>
      <c r="V3708">
        <v>14</v>
      </c>
      <c r="W3708">
        <v>2</v>
      </c>
      <c r="X3708">
        <v>4</v>
      </c>
      <c r="Y3708">
        <v>237</v>
      </c>
      <c r="Z3708">
        <v>3</v>
      </c>
      <c r="AA3708">
        <v>0</v>
      </c>
      <c r="AB3708">
        <v>1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T3708">
        <v>0</v>
      </c>
      <c r="AU3708">
        <v>15</v>
      </c>
      <c r="AV3708" t="s">
        <v>100</v>
      </c>
      <c r="AW3708">
        <v>408</v>
      </c>
      <c r="AX3708">
        <v>635</v>
      </c>
      <c r="BA3708">
        <v>1</v>
      </c>
      <c r="BC3708" t="s">
        <v>7521</v>
      </c>
      <c r="BD3708" s="4">
        <v>43283.428472222222</v>
      </c>
      <c r="BE3708" s="4">
        <v>43283.72457175926</v>
      </c>
      <c r="BF3708" s="4">
        <v>43283.72457175926</v>
      </c>
      <c r="BG3708" t="s">
        <v>83</v>
      </c>
      <c r="BH3708" t="s">
        <v>84</v>
      </c>
      <c r="BI3708" t="s">
        <v>548</v>
      </c>
    </row>
    <row r="3709" spans="1:61" x14ac:dyDescent="0.3">
      <c r="A3709" t="str">
        <f>"201903C0100"</f>
        <v>201903C0100</v>
      </c>
      <c r="B3709" t="s">
        <v>7522</v>
      </c>
      <c r="C3709">
        <v>20</v>
      </c>
      <c r="D3709" t="s">
        <v>79</v>
      </c>
      <c r="E3709">
        <v>17</v>
      </c>
      <c r="F3709" t="s">
        <v>7160</v>
      </c>
      <c r="G3709">
        <v>1903</v>
      </c>
      <c r="H3709">
        <v>1</v>
      </c>
      <c r="I3709" t="s">
        <v>89</v>
      </c>
      <c r="J3709">
        <v>0</v>
      </c>
      <c r="K3709">
        <v>2</v>
      </c>
      <c r="L3709">
        <v>2</v>
      </c>
      <c r="M3709">
        <v>226</v>
      </c>
      <c r="N3709" t="s">
        <v>315</v>
      </c>
      <c r="O3709">
        <v>0</v>
      </c>
      <c r="P3709">
        <v>437</v>
      </c>
      <c r="Q3709">
        <v>21</v>
      </c>
      <c r="R3709">
        <v>64</v>
      </c>
      <c r="S3709">
        <v>15</v>
      </c>
      <c r="T3709">
        <v>10</v>
      </c>
      <c r="U3709">
        <v>48</v>
      </c>
      <c r="V3709">
        <v>7</v>
      </c>
      <c r="W3709">
        <v>0</v>
      </c>
      <c r="X3709">
        <v>4</v>
      </c>
      <c r="Y3709">
        <v>221</v>
      </c>
      <c r="Z3709">
        <v>8</v>
      </c>
      <c r="AA3709">
        <v>2</v>
      </c>
      <c r="AB3709">
        <v>7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1</v>
      </c>
      <c r="AI3709">
        <v>0</v>
      </c>
      <c r="AJ3709">
        <v>0</v>
      </c>
      <c r="AK3709">
        <v>4</v>
      </c>
      <c r="AL3709">
        <v>0</v>
      </c>
      <c r="AM3709">
        <v>0</v>
      </c>
      <c r="AN3709">
        <v>0</v>
      </c>
      <c r="AT3709">
        <v>0</v>
      </c>
      <c r="AU3709">
        <v>0</v>
      </c>
      <c r="AV3709">
        <v>19</v>
      </c>
      <c r="AW3709">
        <v>412</v>
      </c>
      <c r="AX3709">
        <v>635</v>
      </c>
      <c r="BA3709">
        <v>1</v>
      </c>
      <c r="BC3709" t="s">
        <v>7523</v>
      </c>
      <c r="BD3709" s="4">
        <v>43283.589583333334</v>
      </c>
      <c r="BE3709" s="4">
        <v>43283.594675925924</v>
      </c>
      <c r="BF3709" s="4">
        <v>43283.594675925924</v>
      </c>
      <c r="BG3709" t="s">
        <v>83</v>
      </c>
      <c r="BH3709" t="s">
        <v>84</v>
      </c>
      <c r="BI3709" t="s">
        <v>85</v>
      </c>
    </row>
    <row r="3710" spans="1:61" x14ac:dyDescent="0.3">
      <c r="A3710" t="str">
        <f>"201951B0100"</f>
        <v>201951B0100</v>
      </c>
      <c r="B3710" t="s">
        <v>7524</v>
      </c>
      <c r="C3710">
        <v>20</v>
      </c>
      <c r="D3710" t="s">
        <v>79</v>
      </c>
      <c r="E3710">
        <v>17</v>
      </c>
      <c r="F3710" t="s">
        <v>7160</v>
      </c>
      <c r="G3710">
        <v>1951</v>
      </c>
      <c r="H3710">
        <v>1</v>
      </c>
      <c r="I3710" t="s">
        <v>81</v>
      </c>
      <c r="J3710">
        <v>0</v>
      </c>
      <c r="K3710">
        <v>2</v>
      </c>
      <c r="L3710">
        <v>2</v>
      </c>
      <c r="M3710">
        <v>239</v>
      </c>
      <c r="N3710">
        <v>251</v>
      </c>
      <c r="O3710">
        <v>4</v>
      </c>
      <c r="P3710">
        <v>251</v>
      </c>
      <c r="Q3710">
        <v>28</v>
      </c>
      <c r="R3710">
        <v>15</v>
      </c>
      <c r="S3710">
        <v>5</v>
      </c>
      <c r="T3710">
        <v>7</v>
      </c>
      <c r="U3710">
        <v>91</v>
      </c>
      <c r="V3710">
        <v>1</v>
      </c>
      <c r="W3710">
        <v>2</v>
      </c>
      <c r="X3710">
        <v>1</v>
      </c>
      <c r="Y3710">
        <v>51</v>
      </c>
      <c r="Z3710">
        <v>2</v>
      </c>
      <c r="AA3710">
        <v>0</v>
      </c>
      <c r="AB3710">
        <v>30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1</v>
      </c>
      <c r="AM3710">
        <v>0</v>
      </c>
      <c r="AN3710">
        <v>0</v>
      </c>
      <c r="AT3710">
        <v>0</v>
      </c>
      <c r="AU3710">
        <v>17</v>
      </c>
      <c r="AV3710">
        <v>251</v>
      </c>
      <c r="AW3710">
        <v>251</v>
      </c>
      <c r="AX3710">
        <v>468</v>
      </c>
      <c r="BA3710">
        <v>1</v>
      </c>
      <c r="BC3710" t="s">
        <v>7525</v>
      </c>
      <c r="BD3710" s="4">
        <v>43283.109027777777</v>
      </c>
      <c r="BE3710" s="4">
        <v>43283.116157407407</v>
      </c>
      <c r="BF3710" s="4">
        <v>43283.116157407407</v>
      </c>
      <c r="BG3710" t="s">
        <v>83</v>
      </c>
      <c r="BH3710" t="s">
        <v>84</v>
      </c>
      <c r="BI3710" t="s">
        <v>85</v>
      </c>
    </row>
    <row r="3711" spans="1:61" x14ac:dyDescent="0.3">
      <c r="A3711" t="str">
        <f>"201951C0100"</f>
        <v>201951C0100</v>
      </c>
      <c r="B3711" t="s">
        <v>7526</v>
      </c>
      <c r="C3711">
        <v>20</v>
      </c>
      <c r="D3711" t="s">
        <v>79</v>
      </c>
      <c r="E3711">
        <v>17</v>
      </c>
      <c r="F3711" t="s">
        <v>7160</v>
      </c>
      <c r="G3711">
        <v>1951</v>
      </c>
      <c r="H3711">
        <v>1</v>
      </c>
      <c r="I3711" t="s">
        <v>89</v>
      </c>
      <c r="J3711">
        <v>0</v>
      </c>
      <c r="K3711">
        <v>2</v>
      </c>
      <c r="L3711">
        <v>2</v>
      </c>
      <c r="M3711">
        <v>258</v>
      </c>
      <c r="N3711">
        <v>232</v>
      </c>
      <c r="O3711">
        <v>1</v>
      </c>
      <c r="P3711">
        <v>232</v>
      </c>
      <c r="Q3711">
        <v>30</v>
      </c>
      <c r="R3711">
        <v>21</v>
      </c>
      <c r="S3711">
        <v>3</v>
      </c>
      <c r="T3711">
        <v>1</v>
      </c>
      <c r="U3711">
        <v>45</v>
      </c>
      <c r="V3711">
        <v>1</v>
      </c>
      <c r="W3711">
        <v>0</v>
      </c>
      <c r="X3711">
        <v>5</v>
      </c>
      <c r="Y3711">
        <v>64</v>
      </c>
      <c r="Z3711">
        <v>1</v>
      </c>
      <c r="AA3711">
        <v>0</v>
      </c>
      <c r="AB3711">
        <v>40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4</v>
      </c>
      <c r="AL3711">
        <v>7</v>
      </c>
      <c r="AM3711">
        <v>0</v>
      </c>
      <c r="AN3711">
        <v>0</v>
      </c>
      <c r="AT3711">
        <v>0</v>
      </c>
      <c r="AU3711">
        <v>9</v>
      </c>
      <c r="AV3711">
        <v>232</v>
      </c>
      <c r="AW3711">
        <v>231</v>
      </c>
      <c r="AX3711">
        <v>468</v>
      </c>
      <c r="BA3711">
        <v>1</v>
      </c>
      <c r="BC3711" t="s">
        <v>7527</v>
      </c>
      <c r="BD3711" s="4">
        <v>43283.109027777777</v>
      </c>
      <c r="BE3711" s="4">
        <v>43283.404120370367</v>
      </c>
      <c r="BF3711" s="4">
        <v>43283.404120370367</v>
      </c>
      <c r="BG3711" t="s">
        <v>83</v>
      </c>
      <c r="BH3711" t="s">
        <v>84</v>
      </c>
      <c r="BI3711" t="s">
        <v>548</v>
      </c>
    </row>
    <row r="3712" spans="1:61" x14ac:dyDescent="0.3">
      <c r="A3712" t="str">
        <f>"201952B0100"</f>
        <v>201952B0100</v>
      </c>
      <c r="B3712" t="s">
        <v>7528</v>
      </c>
      <c r="C3712">
        <v>20</v>
      </c>
      <c r="D3712" t="s">
        <v>79</v>
      </c>
      <c r="E3712">
        <v>17</v>
      </c>
      <c r="F3712" t="s">
        <v>7160</v>
      </c>
      <c r="G3712">
        <v>1952</v>
      </c>
      <c r="H3712">
        <v>1</v>
      </c>
      <c r="I3712" t="s">
        <v>81</v>
      </c>
      <c r="J3712">
        <v>0</v>
      </c>
      <c r="K3712">
        <v>2</v>
      </c>
      <c r="L3712">
        <v>2</v>
      </c>
      <c r="M3712">
        <v>249</v>
      </c>
      <c r="N3712">
        <v>217</v>
      </c>
      <c r="O3712">
        <v>9</v>
      </c>
      <c r="P3712">
        <v>217</v>
      </c>
      <c r="Q3712">
        <v>25</v>
      </c>
      <c r="R3712">
        <v>12</v>
      </c>
      <c r="S3712">
        <v>10</v>
      </c>
      <c r="T3712">
        <v>8</v>
      </c>
      <c r="U3712">
        <v>33</v>
      </c>
      <c r="V3712">
        <v>2</v>
      </c>
      <c r="W3712">
        <v>2</v>
      </c>
      <c r="X3712">
        <v>6</v>
      </c>
      <c r="Y3712">
        <v>65</v>
      </c>
      <c r="Z3712">
        <v>3</v>
      </c>
      <c r="AA3712">
        <v>0</v>
      </c>
      <c r="AB3712">
        <v>29</v>
      </c>
      <c r="AC3712">
        <v>0</v>
      </c>
      <c r="AD3712">
        <v>0</v>
      </c>
      <c r="AE3712">
        <v>1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4</v>
      </c>
      <c r="AL3712">
        <v>3</v>
      </c>
      <c r="AM3712">
        <v>1</v>
      </c>
      <c r="AN3712">
        <v>0</v>
      </c>
      <c r="AT3712">
        <v>0</v>
      </c>
      <c r="AU3712">
        <v>13</v>
      </c>
      <c r="AV3712">
        <v>217</v>
      </c>
      <c r="AW3712">
        <v>217</v>
      </c>
      <c r="AX3712">
        <v>443</v>
      </c>
      <c r="BA3712">
        <v>1</v>
      </c>
      <c r="BC3712" t="s">
        <v>7529</v>
      </c>
      <c r="BD3712" s="4">
        <v>43283.180555555555</v>
      </c>
      <c r="BE3712" s="4">
        <v>43283.196203703701</v>
      </c>
      <c r="BF3712" s="4">
        <v>43283.196203703701</v>
      </c>
      <c r="BG3712" t="s">
        <v>83</v>
      </c>
      <c r="BH3712" t="s">
        <v>84</v>
      </c>
      <c r="BI3712" t="s">
        <v>85</v>
      </c>
    </row>
    <row r="3713" spans="1:61" x14ac:dyDescent="0.3">
      <c r="A3713" t="str">
        <f>"201952C0100"</f>
        <v>201952C0100</v>
      </c>
      <c r="B3713" t="s">
        <v>7530</v>
      </c>
      <c r="C3713">
        <v>20</v>
      </c>
      <c r="D3713" t="s">
        <v>79</v>
      </c>
      <c r="E3713">
        <v>17</v>
      </c>
      <c r="F3713" t="s">
        <v>7160</v>
      </c>
      <c r="G3713">
        <v>1952</v>
      </c>
      <c r="H3713">
        <v>1</v>
      </c>
      <c r="I3713" t="s">
        <v>89</v>
      </c>
      <c r="J3713">
        <v>0</v>
      </c>
      <c r="K3713">
        <v>2</v>
      </c>
      <c r="L3713">
        <v>2</v>
      </c>
      <c r="M3713">
        <v>253</v>
      </c>
      <c r="N3713">
        <v>212</v>
      </c>
      <c r="O3713">
        <v>8</v>
      </c>
      <c r="P3713">
        <v>210</v>
      </c>
      <c r="Q3713">
        <v>27</v>
      </c>
      <c r="R3713">
        <v>13</v>
      </c>
      <c r="S3713">
        <v>4</v>
      </c>
      <c r="T3713">
        <v>7</v>
      </c>
      <c r="U3713">
        <v>37</v>
      </c>
      <c r="V3713">
        <v>2</v>
      </c>
      <c r="W3713">
        <v>2</v>
      </c>
      <c r="X3713">
        <v>4</v>
      </c>
      <c r="Y3713">
        <v>69</v>
      </c>
      <c r="Z3713">
        <v>1</v>
      </c>
      <c r="AA3713">
        <v>0</v>
      </c>
      <c r="AB3713">
        <v>21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1</v>
      </c>
      <c r="AI3713">
        <v>0</v>
      </c>
      <c r="AJ3713">
        <v>0</v>
      </c>
      <c r="AK3713">
        <v>0</v>
      </c>
      <c r="AL3713">
        <v>2</v>
      </c>
      <c r="AM3713">
        <v>0</v>
      </c>
      <c r="AN3713">
        <v>0</v>
      </c>
      <c r="AT3713">
        <v>0</v>
      </c>
      <c r="AU3713">
        <v>20</v>
      </c>
      <c r="AV3713">
        <v>210</v>
      </c>
      <c r="AW3713">
        <v>210</v>
      </c>
      <c r="AX3713">
        <v>443</v>
      </c>
      <c r="BA3713">
        <v>1</v>
      </c>
      <c r="BC3713" t="s">
        <v>7531</v>
      </c>
      <c r="BD3713" s="4">
        <v>43283.109027777777</v>
      </c>
      <c r="BE3713" s="4">
        <v>43283.113182870373</v>
      </c>
      <c r="BF3713" s="4">
        <v>43283.113182870373</v>
      </c>
      <c r="BG3713" t="s">
        <v>83</v>
      </c>
      <c r="BH3713" t="s">
        <v>84</v>
      </c>
      <c r="BI3713" t="s">
        <v>85</v>
      </c>
    </row>
    <row r="3714" spans="1:61" x14ac:dyDescent="0.3">
      <c r="A3714" t="str">
        <f>"201953B0100"</f>
        <v>201953B0100</v>
      </c>
      <c r="B3714" t="s">
        <v>7532</v>
      </c>
      <c r="C3714">
        <v>20</v>
      </c>
      <c r="D3714" t="s">
        <v>79</v>
      </c>
      <c r="E3714">
        <v>17</v>
      </c>
      <c r="F3714" t="s">
        <v>7160</v>
      </c>
      <c r="G3714">
        <v>1953</v>
      </c>
      <c r="H3714">
        <v>1</v>
      </c>
      <c r="I3714" t="s">
        <v>81</v>
      </c>
      <c r="J3714">
        <v>0</v>
      </c>
      <c r="K3714">
        <v>2</v>
      </c>
      <c r="L3714">
        <v>2</v>
      </c>
      <c r="M3714">
        <v>296</v>
      </c>
      <c r="N3714">
        <v>244</v>
      </c>
      <c r="O3714">
        <v>2</v>
      </c>
      <c r="P3714">
        <v>244</v>
      </c>
      <c r="Q3714">
        <v>26</v>
      </c>
      <c r="R3714">
        <v>7</v>
      </c>
      <c r="S3714">
        <v>11</v>
      </c>
      <c r="T3714">
        <v>3</v>
      </c>
      <c r="U3714">
        <v>60</v>
      </c>
      <c r="V3714">
        <v>8</v>
      </c>
      <c r="W3714">
        <v>3</v>
      </c>
      <c r="X3714">
        <v>6</v>
      </c>
      <c r="Y3714">
        <v>81</v>
      </c>
      <c r="Z3714">
        <v>3</v>
      </c>
      <c r="AA3714">
        <v>0</v>
      </c>
      <c r="AB3714">
        <v>21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6</v>
      </c>
      <c r="AL3714">
        <v>1</v>
      </c>
      <c r="AM3714">
        <v>0</v>
      </c>
      <c r="AN3714">
        <v>1</v>
      </c>
      <c r="AT3714">
        <v>0</v>
      </c>
      <c r="AU3714">
        <v>7</v>
      </c>
      <c r="AV3714">
        <v>244</v>
      </c>
      <c r="AW3714">
        <v>244</v>
      </c>
      <c r="AX3714">
        <v>518</v>
      </c>
      <c r="BA3714">
        <v>1</v>
      </c>
      <c r="BC3714" t="s">
        <v>7533</v>
      </c>
      <c r="BD3714" s="4">
        <v>43283.109027777777</v>
      </c>
      <c r="BE3714" s="4">
        <v>43283.128483796296</v>
      </c>
      <c r="BF3714" s="4">
        <v>43283.128483796296</v>
      </c>
      <c r="BG3714" t="s">
        <v>83</v>
      </c>
      <c r="BH3714" t="s">
        <v>84</v>
      </c>
      <c r="BI3714" t="s">
        <v>85</v>
      </c>
    </row>
    <row r="3715" spans="1:61" x14ac:dyDescent="0.3">
      <c r="A3715" t="str">
        <f>"201954B0100"</f>
        <v>201954B0100</v>
      </c>
      <c r="B3715" t="s">
        <v>7534</v>
      </c>
      <c r="C3715">
        <v>20</v>
      </c>
      <c r="D3715" t="s">
        <v>79</v>
      </c>
      <c r="E3715">
        <v>17</v>
      </c>
      <c r="F3715" t="s">
        <v>7160</v>
      </c>
      <c r="G3715">
        <v>1954</v>
      </c>
      <c r="H3715">
        <v>1</v>
      </c>
      <c r="I3715" t="s">
        <v>81</v>
      </c>
      <c r="J3715">
        <v>0</v>
      </c>
      <c r="K3715">
        <v>2</v>
      </c>
      <c r="L3715">
        <v>2</v>
      </c>
      <c r="M3715">
        <v>125</v>
      </c>
      <c r="N3715">
        <v>103</v>
      </c>
      <c r="O3715">
        <v>5</v>
      </c>
      <c r="P3715">
        <v>0</v>
      </c>
      <c r="Q3715">
        <v>16</v>
      </c>
      <c r="R3715">
        <v>12</v>
      </c>
      <c r="S3715">
        <v>9</v>
      </c>
      <c r="T3715">
        <v>11</v>
      </c>
      <c r="U3715">
        <v>6</v>
      </c>
      <c r="V3715">
        <v>4</v>
      </c>
      <c r="W3715">
        <v>2</v>
      </c>
      <c r="X3715">
        <v>4</v>
      </c>
      <c r="Y3715">
        <v>32</v>
      </c>
      <c r="Z3715">
        <v>2</v>
      </c>
      <c r="AA3715">
        <v>0</v>
      </c>
      <c r="AB3715">
        <v>1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T3715">
        <v>0</v>
      </c>
      <c r="AU3715">
        <v>4</v>
      </c>
      <c r="AV3715">
        <v>103</v>
      </c>
      <c r="AW3715">
        <v>103</v>
      </c>
      <c r="AX3715">
        <v>206</v>
      </c>
      <c r="BA3715">
        <v>1</v>
      </c>
      <c r="BC3715" t="s">
        <v>7535</v>
      </c>
      <c r="BD3715" s="4">
        <v>43283.109027777777</v>
      </c>
      <c r="BE3715" s="4">
        <v>43283.135474537034</v>
      </c>
      <c r="BF3715" s="4">
        <v>43283.135474537034</v>
      </c>
      <c r="BG3715" t="s">
        <v>83</v>
      </c>
      <c r="BH3715" t="s">
        <v>84</v>
      </c>
      <c r="BI3715" t="s">
        <v>85</v>
      </c>
    </row>
    <row r="3716" spans="1:61" x14ac:dyDescent="0.3">
      <c r="A3716" t="str">
        <f>"202065B0100"</f>
        <v>202065B0100</v>
      </c>
      <c r="B3716" t="s">
        <v>7536</v>
      </c>
      <c r="C3716">
        <v>20</v>
      </c>
      <c r="D3716" t="s">
        <v>79</v>
      </c>
      <c r="E3716">
        <v>17</v>
      </c>
      <c r="F3716" t="s">
        <v>7160</v>
      </c>
      <c r="G3716">
        <v>2065</v>
      </c>
      <c r="H3716">
        <v>1</v>
      </c>
      <c r="I3716" t="s">
        <v>81</v>
      </c>
      <c r="J3716">
        <v>0</v>
      </c>
      <c r="K3716">
        <v>1</v>
      </c>
      <c r="L3716">
        <v>2</v>
      </c>
      <c r="M3716">
        <v>226</v>
      </c>
      <c r="N3716">
        <v>309</v>
      </c>
      <c r="O3716">
        <v>1</v>
      </c>
      <c r="P3716">
        <v>309</v>
      </c>
      <c r="Q3716">
        <v>22</v>
      </c>
      <c r="R3716">
        <v>62</v>
      </c>
      <c r="S3716">
        <v>4</v>
      </c>
      <c r="T3716">
        <v>12</v>
      </c>
      <c r="U3716">
        <v>22</v>
      </c>
      <c r="V3716">
        <v>8</v>
      </c>
      <c r="W3716">
        <v>3</v>
      </c>
      <c r="X3716">
        <v>3</v>
      </c>
      <c r="Y3716">
        <v>120</v>
      </c>
      <c r="Z3716">
        <v>4</v>
      </c>
      <c r="AA3716">
        <v>0</v>
      </c>
      <c r="AB3716">
        <v>17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2</v>
      </c>
      <c r="AI3716">
        <v>0</v>
      </c>
      <c r="AJ3716">
        <v>0</v>
      </c>
      <c r="AK3716">
        <v>4</v>
      </c>
      <c r="AL3716">
        <v>2</v>
      </c>
      <c r="AM3716">
        <v>0</v>
      </c>
      <c r="AN3716">
        <v>0</v>
      </c>
      <c r="AT3716">
        <v>0</v>
      </c>
      <c r="AU3716">
        <v>24</v>
      </c>
      <c r="AV3716">
        <v>309</v>
      </c>
      <c r="AW3716">
        <v>309</v>
      </c>
      <c r="AX3716">
        <v>513</v>
      </c>
      <c r="BA3716">
        <v>1</v>
      </c>
      <c r="BC3716" t="s">
        <v>7537</v>
      </c>
      <c r="BD3716" s="4">
        <v>43283.14166666667</v>
      </c>
      <c r="BE3716" s="4">
        <v>43283.147743055553</v>
      </c>
      <c r="BF3716" s="4">
        <v>43283.147743055553</v>
      </c>
      <c r="BG3716" t="s">
        <v>83</v>
      </c>
      <c r="BH3716" t="s">
        <v>84</v>
      </c>
      <c r="BI3716" t="s">
        <v>85</v>
      </c>
    </row>
    <row r="3717" spans="1:61" x14ac:dyDescent="0.3">
      <c r="A3717" t="str">
        <f>"202065C0100"</f>
        <v>202065C0100</v>
      </c>
      <c r="B3717" t="s">
        <v>7538</v>
      </c>
      <c r="C3717">
        <v>20</v>
      </c>
      <c r="D3717" t="s">
        <v>79</v>
      </c>
      <c r="E3717">
        <v>17</v>
      </c>
      <c r="F3717" t="s">
        <v>7160</v>
      </c>
      <c r="G3717">
        <v>2065</v>
      </c>
      <c r="H3717">
        <v>1</v>
      </c>
      <c r="I3717" t="s">
        <v>89</v>
      </c>
      <c r="J3717">
        <v>0</v>
      </c>
      <c r="K3717">
        <v>1</v>
      </c>
      <c r="L3717">
        <v>2</v>
      </c>
      <c r="M3717">
        <v>233</v>
      </c>
      <c r="N3717">
        <v>0</v>
      </c>
      <c r="O3717">
        <v>0</v>
      </c>
      <c r="P3717">
        <v>302</v>
      </c>
      <c r="Q3717">
        <v>17</v>
      </c>
      <c r="R3717">
        <v>44</v>
      </c>
      <c r="S3717">
        <v>10</v>
      </c>
      <c r="T3717">
        <v>10</v>
      </c>
      <c r="U3717">
        <v>26</v>
      </c>
      <c r="V3717">
        <v>4</v>
      </c>
      <c r="W3717">
        <v>1</v>
      </c>
      <c r="X3717">
        <v>4</v>
      </c>
      <c r="Y3717">
        <v>146</v>
      </c>
      <c r="Z3717">
        <v>9</v>
      </c>
      <c r="AA3717">
        <v>0</v>
      </c>
      <c r="AB3717">
        <v>9</v>
      </c>
      <c r="AC3717">
        <v>0</v>
      </c>
      <c r="AD3717">
        <v>0</v>
      </c>
      <c r="AE3717">
        <v>0</v>
      </c>
      <c r="AF3717">
        <v>0</v>
      </c>
      <c r="AG3717">
        <v>1</v>
      </c>
      <c r="AH3717">
        <v>0</v>
      </c>
      <c r="AI3717">
        <v>0</v>
      </c>
      <c r="AJ3717">
        <v>0</v>
      </c>
      <c r="AK3717">
        <v>3</v>
      </c>
      <c r="AL3717">
        <v>1</v>
      </c>
      <c r="AM3717">
        <v>0</v>
      </c>
      <c r="AN3717">
        <v>0</v>
      </c>
      <c r="AT3717">
        <v>0</v>
      </c>
      <c r="AU3717">
        <v>16</v>
      </c>
      <c r="AV3717" t="s">
        <v>100</v>
      </c>
      <c r="AW3717">
        <v>301</v>
      </c>
      <c r="AX3717">
        <v>512</v>
      </c>
      <c r="BA3717">
        <v>1</v>
      </c>
      <c r="BC3717" t="s">
        <v>7539</v>
      </c>
      <c r="BD3717" s="4">
        <v>43283.14166666667</v>
      </c>
      <c r="BE3717" s="4">
        <v>43283.159421296295</v>
      </c>
      <c r="BF3717" s="4">
        <v>43283.159421296295</v>
      </c>
      <c r="BG3717" t="s">
        <v>83</v>
      </c>
      <c r="BH3717" t="s">
        <v>84</v>
      </c>
      <c r="BI3717" t="s">
        <v>85</v>
      </c>
    </row>
    <row r="3718" spans="1:61" x14ac:dyDescent="0.3">
      <c r="A3718" t="str">
        <f>"202066B0100"</f>
        <v>202066B0100</v>
      </c>
      <c r="B3718" t="s">
        <v>7540</v>
      </c>
      <c r="C3718">
        <v>20</v>
      </c>
      <c r="D3718" t="s">
        <v>79</v>
      </c>
      <c r="E3718">
        <v>17</v>
      </c>
      <c r="F3718" t="s">
        <v>7160</v>
      </c>
      <c r="G3718">
        <v>2066</v>
      </c>
      <c r="H3718">
        <v>1</v>
      </c>
      <c r="I3718" t="s">
        <v>81</v>
      </c>
      <c r="J3718">
        <v>0</v>
      </c>
      <c r="K3718">
        <v>1</v>
      </c>
      <c r="L3718">
        <v>2</v>
      </c>
      <c r="M3718">
        <v>271</v>
      </c>
      <c r="N3718">
        <v>472</v>
      </c>
      <c r="O3718">
        <v>0</v>
      </c>
      <c r="P3718">
        <v>472</v>
      </c>
      <c r="Q3718" t="s">
        <v>100</v>
      </c>
      <c r="R3718" t="s">
        <v>100</v>
      </c>
      <c r="S3718" t="s">
        <v>100</v>
      </c>
      <c r="T3718" t="s">
        <v>100</v>
      </c>
      <c r="U3718" t="s">
        <v>100</v>
      </c>
      <c r="V3718" t="s">
        <v>100</v>
      </c>
      <c r="W3718">
        <v>5</v>
      </c>
      <c r="X3718" t="s">
        <v>100</v>
      </c>
      <c r="Y3718" t="s">
        <v>100</v>
      </c>
      <c r="Z3718" t="s">
        <v>100</v>
      </c>
      <c r="AA3718">
        <v>2</v>
      </c>
      <c r="AB3718">
        <v>14</v>
      </c>
      <c r="AC3718">
        <v>59</v>
      </c>
      <c r="AD3718" t="s">
        <v>100</v>
      </c>
      <c r="AE3718" t="s">
        <v>100</v>
      </c>
      <c r="AF3718" t="s">
        <v>100</v>
      </c>
      <c r="AG3718">
        <v>101</v>
      </c>
      <c r="AH3718" t="s">
        <v>100</v>
      </c>
      <c r="AI3718" t="s">
        <v>100</v>
      </c>
      <c r="AJ3718" t="s">
        <v>100</v>
      </c>
      <c r="AK3718">
        <v>264</v>
      </c>
      <c r="AL3718" t="s">
        <v>100</v>
      </c>
      <c r="AM3718" t="s">
        <v>100</v>
      </c>
      <c r="AN3718" t="s">
        <v>100</v>
      </c>
      <c r="AT3718" t="s">
        <v>100</v>
      </c>
      <c r="AU3718">
        <v>27</v>
      </c>
      <c r="AV3718">
        <v>472</v>
      </c>
      <c r="AW3718">
        <v>472</v>
      </c>
      <c r="AX3718">
        <v>721</v>
      </c>
      <c r="AZ3718" t="s">
        <v>101</v>
      </c>
      <c r="BA3718">
        <v>1</v>
      </c>
      <c r="BC3718" t="s">
        <v>7541</v>
      </c>
      <c r="BD3718" s="4">
        <v>43283.14166666667</v>
      </c>
      <c r="BE3718" s="4">
        <v>43283.144953703704</v>
      </c>
      <c r="BF3718" s="4">
        <v>43283.144953703704</v>
      </c>
      <c r="BG3718" t="s">
        <v>83</v>
      </c>
      <c r="BH3718" t="s">
        <v>84</v>
      </c>
      <c r="BI3718" t="s">
        <v>85</v>
      </c>
    </row>
    <row r="3719" spans="1:61" x14ac:dyDescent="0.3">
      <c r="A3719" t="str">
        <f>"202067B0100"</f>
        <v>202067B0100</v>
      </c>
      <c r="B3719" t="s">
        <v>7542</v>
      </c>
      <c r="C3719">
        <v>20</v>
      </c>
      <c r="D3719" t="s">
        <v>79</v>
      </c>
      <c r="E3719">
        <v>17</v>
      </c>
      <c r="F3719" t="s">
        <v>7160</v>
      </c>
      <c r="G3719">
        <v>2067</v>
      </c>
      <c r="H3719">
        <v>1</v>
      </c>
      <c r="I3719" t="s">
        <v>81</v>
      </c>
      <c r="J3719">
        <v>0</v>
      </c>
      <c r="K3719">
        <v>1</v>
      </c>
      <c r="L3719">
        <v>2</v>
      </c>
      <c r="M3719">
        <v>200</v>
      </c>
      <c r="N3719">
        <v>456</v>
      </c>
      <c r="O3719">
        <v>0</v>
      </c>
      <c r="P3719">
        <v>256</v>
      </c>
      <c r="Q3719">
        <v>17</v>
      </c>
      <c r="R3719">
        <v>64</v>
      </c>
      <c r="S3719">
        <v>2</v>
      </c>
      <c r="T3719">
        <v>12</v>
      </c>
      <c r="U3719">
        <v>15</v>
      </c>
      <c r="V3719">
        <v>8</v>
      </c>
      <c r="W3719">
        <v>1</v>
      </c>
      <c r="X3719">
        <v>5</v>
      </c>
      <c r="Y3719">
        <v>102</v>
      </c>
      <c r="Z3719">
        <v>6</v>
      </c>
      <c r="AA3719">
        <v>0</v>
      </c>
      <c r="AB3719">
        <v>10</v>
      </c>
      <c r="AC3719">
        <v>0</v>
      </c>
      <c r="AD3719">
        <v>0</v>
      </c>
      <c r="AE3719">
        <v>1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2</v>
      </c>
      <c r="AL3719">
        <v>1</v>
      </c>
      <c r="AM3719">
        <v>0</v>
      </c>
      <c r="AN3719">
        <v>0</v>
      </c>
      <c r="AT3719">
        <v>0</v>
      </c>
      <c r="AU3719">
        <v>6</v>
      </c>
      <c r="AV3719">
        <v>256</v>
      </c>
      <c r="AW3719">
        <v>252</v>
      </c>
      <c r="AX3719">
        <v>437</v>
      </c>
      <c r="BA3719">
        <v>1</v>
      </c>
      <c r="BC3719" t="s">
        <v>7543</v>
      </c>
      <c r="BD3719" s="4">
        <v>43283.14166666667</v>
      </c>
      <c r="BE3719" s="4">
        <v>43283.145671296297</v>
      </c>
      <c r="BF3719" s="4">
        <v>43283.145671296297</v>
      </c>
      <c r="BG3719" t="s">
        <v>83</v>
      </c>
      <c r="BH3719" t="s">
        <v>84</v>
      </c>
      <c r="BI3719" t="s">
        <v>85</v>
      </c>
    </row>
    <row r="3720" spans="1:61" x14ac:dyDescent="0.3">
      <c r="A3720" t="str">
        <f>"202067C0100"</f>
        <v>202067C0100</v>
      </c>
      <c r="B3720" t="s">
        <v>7544</v>
      </c>
      <c r="C3720">
        <v>20</v>
      </c>
      <c r="D3720" t="s">
        <v>79</v>
      </c>
      <c r="E3720">
        <v>17</v>
      </c>
      <c r="F3720" t="s">
        <v>7160</v>
      </c>
      <c r="G3720">
        <v>2067</v>
      </c>
      <c r="H3720">
        <v>1</v>
      </c>
      <c r="I3720" t="s">
        <v>89</v>
      </c>
      <c r="J3720">
        <v>0</v>
      </c>
      <c r="K3720">
        <v>1</v>
      </c>
      <c r="L3720">
        <v>2</v>
      </c>
      <c r="M3720">
        <v>188</v>
      </c>
      <c r="N3720">
        <v>270</v>
      </c>
      <c r="O3720">
        <v>3</v>
      </c>
      <c r="P3720">
        <v>270</v>
      </c>
      <c r="Q3720">
        <v>24</v>
      </c>
      <c r="R3720">
        <v>50</v>
      </c>
      <c r="S3720">
        <v>8</v>
      </c>
      <c r="T3720">
        <v>10</v>
      </c>
      <c r="U3720">
        <v>26</v>
      </c>
      <c r="V3720">
        <v>4</v>
      </c>
      <c r="W3720">
        <v>0</v>
      </c>
      <c r="X3720">
        <v>4</v>
      </c>
      <c r="Y3720">
        <v>116</v>
      </c>
      <c r="Z3720">
        <v>4</v>
      </c>
      <c r="AA3720">
        <v>0</v>
      </c>
      <c r="AB3720">
        <v>0</v>
      </c>
      <c r="AC3720">
        <v>1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3</v>
      </c>
      <c r="AM3720">
        <v>0</v>
      </c>
      <c r="AN3720">
        <v>0</v>
      </c>
      <c r="AT3720">
        <v>0</v>
      </c>
      <c r="AU3720">
        <v>13</v>
      </c>
      <c r="AV3720">
        <v>270</v>
      </c>
      <c r="AW3720">
        <v>263</v>
      </c>
      <c r="AX3720">
        <v>436</v>
      </c>
      <c r="BA3720">
        <v>1</v>
      </c>
      <c r="BC3720" t="s">
        <v>7545</v>
      </c>
      <c r="BD3720" s="4">
        <v>43283.14166666667</v>
      </c>
      <c r="BE3720" s="4">
        <v>43283.145115740743</v>
      </c>
      <c r="BF3720" s="4">
        <v>43283.145115740743</v>
      </c>
      <c r="BG3720" t="s">
        <v>83</v>
      </c>
      <c r="BH3720" t="s">
        <v>84</v>
      </c>
      <c r="BI3720" t="s">
        <v>85</v>
      </c>
    </row>
    <row r="3721" spans="1:61" x14ac:dyDescent="0.3">
      <c r="A3721" t="str">
        <f>"202068B0100"</f>
        <v>202068B0100</v>
      </c>
      <c r="B3721" t="s">
        <v>7546</v>
      </c>
      <c r="C3721">
        <v>20</v>
      </c>
      <c r="D3721" t="s">
        <v>79</v>
      </c>
      <c r="E3721">
        <v>17</v>
      </c>
      <c r="F3721" t="s">
        <v>7160</v>
      </c>
      <c r="G3721">
        <v>2068</v>
      </c>
      <c r="H3721">
        <v>1</v>
      </c>
      <c r="I3721" t="s">
        <v>81</v>
      </c>
      <c r="J3721">
        <v>0</v>
      </c>
      <c r="K3721">
        <v>2</v>
      </c>
      <c r="L3721">
        <v>2</v>
      </c>
      <c r="M3721">
        <v>371</v>
      </c>
      <c r="N3721">
        <v>277</v>
      </c>
      <c r="O3721">
        <v>3</v>
      </c>
      <c r="P3721">
        <v>274</v>
      </c>
      <c r="Q3721">
        <v>27</v>
      </c>
      <c r="R3721">
        <v>17</v>
      </c>
      <c r="S3721">
        <v>11</v>
      </c>
      <c r="T3721">
        <v>4</v>
      </c>
      <c r="U3721">
        <v>59</v>
      </c>
      <c r="V3721">
        <v>4</v>
      </c>
      <c r="W3721">
        <v>3</v>
      </c>
      <c r="X3721">
        <v>5</v>
      </c>
      <c r="Y3721">
        <v>111</v>
      </c>
      <c r="Z3721">
        <v>4</v>
      </c>
      <c r="AA3721">
        <v>0</v>
      </c>
      <c r="AB3721">
        <v>2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11</v>
      </c>
      <c r="AL3721">
        <v>1</v>
      </c>
      <c r="AM3721">
        <v>1</v>
      </c>
      <c r="AN3721">
        <v>0</v>
      </c>
      <c r="AT3721">
        <v>0</v>
      </c>
      <c r="AU3721">
        <v>14</v>
      </c>
      <c r="AV3721">
        <v>274</v>
      </c>
      <c r="AW3721">
        <v>274</v>
      </c>
      <c r="AX3721">
        <v>626</v>
      </c>
      <c r="BA3721">
        <v>1</v>
      </c>
      <c r="BC3721" t="s">
        <v>7547</v>
      </c>
      <c r="BD3721" s="4">
        <v>43283.299305555556</v>
      </c>
      <c r="BE3721" s="4">
        <v>43283.329502314817</v>
      </c>
      <c r="BF3721" s="4">
        <v>43283.329502314817</v>
      </c>
      <c r="BG3721" t="s">
        <v>83</v>
      </c>
      <c r="BH3721" t="s">
        <v>84</v>
      </c>
      <c r="BI3721" t="s">
        <v>85</v>
      </c>
    </row>
    <row r="3722" spans="1:61" x14ac:dyDescent="0.3">
      <c r="A3722" t="str">
        <f>"202068C0100"</f>
        <v>202068C0100</v>
      </c>
      <c r="B3722" t="s">
        <v>7548</v>
      </c>
      <c r="C3722">
        <v>20</v>
      </c>
      <c r="D3722" t="s">
        <v>79</v>
      </c>
      <c r="E3722">
        <v>17</v>
      </c>
      <c r="F3722" t="s">
        <v>7160</v>
      </c>
      <c r="G3722">
        <v>2068</v>
      </c>
      <c r="H3722">
        <v>1</v>
      </c>
      <c r="I3722" t="s">
        <v>89</v>
      </c>
      <c r="J3722">
        <v>0</v>
      </c>
      <c r="K3722">
        <v>2</v>
      </c>
      <c r="L3722">
        <v>2</v>
      </c>
      <c r="M3722">
        <v>373</v>
      </c>
      <c r="N3722">
        <v>275</v>
      </c>
      <c r="O3722">
        <v>0</v>
      </c>
      <c r="P3722">
        <v>275</v>
      </c>
      <c r="Q3722">
        <v>28</v>
      </c>
      <c r="R3722">
        <v>24</v>
      </c>
      <c r="S3722">
        <v>14</v>
      </c>
      <c r="T3722">
        <v>1</v>
      </c>
      <c r="U3722">
        <v>45</v>
      </c>
      <c r="V3722">
        <v>3</v>
      </c>
      <c r="W3722">
        <v>6</v>
      </c>
      <c r="X3722">
        <v>5</v>
      </c>
      <c r="Y3722">
        <v>110</v>
      </c>
      <c r="Z3722">
        <v>7</v>
      </c>
      <c r="AA3722">
        <v>1</v>
      </c>
      <c r="AB3722">
        <v>1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9</v>
      </c>
      <c r="AL3722">
        <v>5</v>
      </c>
      <c r="AM3722">
        <v>0</v>
      </c>
      <c r="AN3722">
        <v>3</v>
      </c>
      <c r="AT3722">
        <v>0</v>
      </c>
      <c r="AU3722">
        <v>13</v>
      </c>
      <c r="AV3722">
        <v>275</v>
      </c>
      <c r="AW3722">
        <v>275</v>
      </c>
      <c r="AX3722">
        <v>626</v>
      </c>
      <c r="BA3722">
        <v>1</v>
      </c>
      <c r="BC3722" t="s">
        <v>7549</v>
      </c>
      <c r="BD3722" s="4">
        <v>43283.299305555556</v>
      </c>
      <c r="BE3722" s="4">
        <v>43283.326018518521</v>
      </c>
      <c r="BF3722" s="4">
        <v>43283.326018518521</v>
      </c>
      <c r="BG3722" t="s">
        <v>83</v>
      </c>
      <c r="BH3722" t="s">
        <v>84</v>
      </c>
      <c r="BI3722" t="s">
        <v>85</v>
      </c>
    </row>
    <row r="3723" spans="1:61" x14ac:dyDescent="0.3">
      <c r="A3723" t="str">
        <f>"202069B0100"</f>
        <v>202069B0100</v>
      </c>
      <c r="B3723" t="s">
        <v>7550</v>
      </c>
      <c r="C3723">
        <v>20</v>
      </c>
      <c r="D3723" t="s">
        <v>79</v>
      </c>
      <c r="E3723">
        <v>17</v>
      </c>
      <c r="F3723" t="s">
        <v>7160</v>
      </c>
      <c r="G3723">
        <v>2069</v>
      </c>
      <c r="H3723">
        <v>1</v>
      </c>
      <c r="I3723" t="s">
        <v>81</v>
      </c>
      <c r="J3723">
        <v>0</v>
      </c>
      <c r="K3723">
        <v>2</v>
      </c>
      <c r="L3723">
        <v>2</v>
      </c>
      <c r="M3723">
        <v>362</v>
      </c>
      <c r="N3723">
        <v>355</v>
      </c>
      <c r="O3723">
        <v>0</v>
      </c>
      <c r="P3723">
        <v>355</v>
      </c>
      <c r="Q3723">
        <v>21</v>
      </c>
      <c r="R3723">
        <v>6</v>
      </c>
      <c r="S3723">
        <v>12</v>
      </c>
      <c r="T3723">
        <v>6</v>
      </c>
      <c r="U3723">
        <v>79</v>
      </c>
      <c r="V3723">
        <v>9</v>
      </c>
      <c r="W3723">
        <v>4</v>
      </c>
      <c r="X3723">
        <v>11</v>
      </c>
      <c r="Y3723">
        <v>166</v>
      </c>
      <c r="Z3723">
        <v>4</v>
      </c>
      <c r="AA3723">
        <v>0</v>
      </c>
      <c r="AB3723">
        <v>11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1</v>
      </c>
      <c r="AI3723">
        <v>0</v>
      </c>
      <c r="AJ3723">
        <v>0</v>
      </c>
      <c r="AK3723">
        <v>3</v>
      </c>
      <c r="AL3723">
        <v>4</v>
      </c>
      <c r="AM3723">
        <v>0</v>
      </c>
      <c r="AN3723">
        <v>2</v>
      </c>
      <c r="AT3723">
        <v>0</v>
      </c>
      <c r="AU3723">
        <v>14</v>
      </c>
      <c r="AV3723">
        <v>353</v>
      </c>
      <c r="AW3723">
        <v>353</v>
      </c>
      <c r="AX3723">
        <v>695</v>
      </c>
      <c r="BA3723">
        <v>1</v>
      </c>
      <c r="BC3723" t="s">
        <v>7551</v>
      </c>
      <c r="BD3723" s="4">
        <v>43282.997696759259</v>
      </c>
      <c r="BE3723" s="4">
        <v>43283.002002314817</v>
      </c>
      <c r="BF3723" s="4">
        <v>43283.002002314817</v>
      </c>
      <c r="BG3723" t="s">
        <v>373</v>
      </c>
      <c r="BH3723" t="s">
        <v>374</v>
      </c>
      <c r="BI3723" t="s">
        <v>85</v>
      </c>
    </row>
    <row r="3724" spans="1:61" x14ac:dyDescent="0.3">
      <c r="A3724" t="str">
        <f>"202069C0100"</f>
        <v>202069C0100</v>
      </c>
      <c r="B3724" t="s">
        <v>7552</v>
      </c>
      <c r="C3724">
        <v>20</v>
      </c>
      <c r="D3724" t="s">
        <v>79</v>
      </c>
      <c r="E3724">
        <v>17</v>
      </c>
      <c r="F3724" t="s">
        <v>7160</v>
      </c>
      <c r="G3724">
        <v>2069</v>
      </c>
      <c r="H3724">
        <v>1</v>
      </c>
      <c r="I3724" t="s">
        <v>89</v>
      </c>
      <c r="J3724">
        <v>0</v>
      </c>
      <c r="K3724">
        <v>2</v>
      </c>
      <c r="L3724">
        <v>2</v>
      </c>
      <c r="M3724">
        <v>381</v>
      </c>
      <c r="N3724">
        <v>717</v>
      </c>
      <c r="O3724">
        <v>0</v>
      </c>
      <c r="P3724">
        <v>336</v>
      </c>
      <c r="Q3724">
        <v>17</v>
      </c>
      <c r="R3724">
        <v>12</v>
      </c>
      <c r="S3724">
        <v>10</v>
      </c>
      <c r="T3724">
        <v>4</v>
      </c>
      <c r="U3724">
        <v>73</v>
      </c>
      <c r="V3724">
        <v>7</v>
      </c>
      <c r="W3724">
        <v>3</v>
      </c>
      <c r="X3724">
        <v>5</v>
      </c>
      <c r="Y3724">
        <v>168</v>
      </c>
      <c r="Z3724">
        <v>4</v>
      </c>
      <c r="AA3724">
        <v>0</v>
      </c>
      <c r="AB3724">
        <v>15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3</v>
      </c>
      <c r="AL3724">
        <v>4</v>
      </c>
      <c r="AM3724">
        <v>0</v>
      </c>
      <c r="AN3724">
        <v>0</v>
      </c>
      <c r="AT3724">
        <v>0</v>
      </c>
      <c r="AU3724">
        <v>11</v>
      </c>
      <c r="AV3724">
        <v>336</v>
      </c>
      <c r="AW3724">
        <v>336</v>
      </c>
      <c r="AX3724">
        <v>695</v>
      </c>
      <c r="BA3724">
        <v>1</v>
      </c>
      <c r="BC3724" t="s">
        <v>7553</v>
      </c>
      <c r="BD3724" s="4">
        <v>43282.97078703704</v>
      </c>
      <c r="BE3724" s="4">
        <v>43282.976064814815</v>
      </c>
      <c r="BF3724" s="4">
        <v>43282.976064814815</v>
      </c>
      <c r="BG3724" t="s">
        <v>373</v>
      </c>
      <c r="BH3724" t="s">
        <v>374</v>
      </c>
      <c r="BI3724" t="s">
        <v>85</v>
      </c>
    </row>
    <row r="3725" spans="1:61" x14ac:dyDescent="0.3">
      <c r="A3725" t="str">
        <f>"202069C0200"</f>
        <v>202069C0200</v>
      </c>
      <c r="B3725" t="s">
        <v>7554</v>
      </c>
      <c r="C3725">
        <v>20</v>
      </c>
      <c r="D3725" t="s">
        <v>79</v>
      </c>
      <c r="E3725">
        <v>17</v>
      </c>
      <c r="F3725" t="s">
        <v>7160</v>
      </c>
      <c r="G3725">
        <v>2069</v>
      </c>
      <c r="H3725">
        <v>2</v>
      </c>
      <c r="I3725" t="s">
        <v>89</v>
      </c>
      <c r="J3725">
        <v>0</v>
      </c>
      <c r="K3725">
        <v>2</v>
      </c>
      <c r="L3725">
        <v>2</v>
      </c>
      <c r="M3725">
        <v>344</v>
      </c>
      <c r="N3725">
        <v>373</v>
      </c>
      <c r="O3725">
        <v>0</v>
      </c>
      <c r="P3725">
        <v>373</v>
      </c>
      <c r="Q3725">
        <v>19</v>
      </c>
      <c r="R3725">
        <v>13</v>
      </c>
      <c r="S3725">
        <v>17</v>
      </c>
      <c r="T3725">
        <v>3</v>
      </c>
      <c r="U3725">
        <v>81</v>
      </c>
      <c r="V3725">
        <v>5</v>
      </c>
      <c r="W3725">
        <v>4</v>
      </c>
      <c r="X3725">
        <v>2</v>
      </c>
      <c r="Y3725">
        <v>172</v>
      </c>
      <c r="Z3725">
        <v>7</v>
      </c>
      <c r="AA3725">
        <v>0</v>
      </c>
      <c r="AB3725">
        <v>10</v>
      </c>
      <c r="AC3725">
        <v>0</v>
      </c>
      <c r="AD3725">
        <v>2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10</v>
      </c>
      <c r="AL3725">
        <v>6</v>
      </c>
      <c r="AM3725">
        <v>1</v>
      </c>
      <c r="AN3725">
        <v>1</v>
      </c>
      <c r="AT3725">
        <v>1</v>
      </c>
      <c r="AU3725">
        <v>19</v>
      </c>
      <c r="AV3725" t="s">
        <v>100</v>
      </c>
      <c r="AW3725">
        <v>373</v>
      </c>
      <c r="AX3725">
        <v>695</v>
      </c>
      <c r="BA3725">
        <v>1</v>
      </c>
      <c r="BC3725" t="s">
        <v>7555</v>
      </c>
      <c r="BD3725" s="4">
        <v>43282.9684375</v>
      </c>
      <c r="BE3725" s="4">
        <v>43282.973321759258</v>
      </c>
      <c r="BF3725" s="4">
        <v>43282.973321759258</v>
      </c>
      <c r="BG3725" t="s">
        <v>373</v>
      </c>
      <c r="BH3725" t="s">
        <v>374</v>
      </c>
      <c r="BI3725" t="s">
        <v>85</v>
      </c>
    </row>
    <row r="3726" spans="1:61" x14ac:dyDescent="0.3">
      <c r="A3726" t="str">
        <f>"202069C0300"</f>
        <v>202069C0300</v>
      </c>
      <c r="B3726" t="s">
        <v>7556</v>
      </c>
      <c r="C3726">
        <v>20</v>
      </c>
      <c r="D3726" t="s">
        <v>79</v>
      </c>
      <c r="E3726">
        <v>17</v>
      </c>
      <c r="F3726" t="s">
        <v>7160</v>
      </c>
      <c r="G3726">
        <v>2069</v>
      </c>
      <c r="H3726">
        <v>3</v>
      </c>
      <c r="I3726" t="s">
        <v>89</v>
      </c>
      <c r="J3726">
        <v>0</v>
      </c>
      <c r="K3726">
        <v>2</v>
      </c>
      <c r="L3726">
        <v>2</v>
      </c>
      <c r="M3726">
        <v>381</v>
      </c>
      <c r="N3726">
        <v>335</v>
      </c>
      <c r="O3726">
        <v>0</v>
      </c>
      <c r="P3726">
        <v>335</v>
      </c>
      <c r="Q3726">
        <v>14</v>
      </c>
      <c r="R3726">
        <v>11</v>
      </c>
      <c r="S3726">
        <v>14</v>
      </c>
      <c r="T3726">
        <v>3</v>
      </c>
      <c r="U3726">
        <v>62</v>
      </c>
      <c r="V3726">
        <v>7</v>
      </c>
      <c r="W3726">
        <v>2</v>
      </c>
      <c r="X3726">
        <v>1</v>
      </c>
      <c r="Y3726">
        <v>166</v>
      </c>
      <c r="Z3726">
        <v>10</v>
      </c>
      <c r="AA3726">
        <v>1</v>
      </c>
      <c r="AB3726">
        <v>14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6</v>
      </c>
      <c r="AL3726">
        <v>3</v>
      </c>
      <c r="AM3726">
        <v>0</v>
      </c>
      <c r="AN3726">
        <v>1</v>
      </c>
      <c r="AT3726">
        <v>0</v>
      </c>
      <c r="AU3726">
        <v>20</v>
      </c>
      <c r="AV3726">
        <v>335</v>
      </c>
      <c r="AW3726">
        <v>335</v>
      </c>
      <c r="AX3726">
        <v>694</v>
      </c>
      <c r="BA3726">
        <v>1</v>
      </c>
      <c r="BC3726" t="s">
        <v>7557</v>
      </c>
      <c r="BD3726" s="4">
        <v>43282.959930555553</v>
      </c>
      <c r="BE3726" s="4">
        <v>43282.965590277781</v>
      </c>
      <c r="BF3726" s="4">
        <v>43282.965590277781</v>
      </c>
      <c r="BG3726" t="s">
        <v>373</v>
      </c>
      <c r="BH3726" t="s">
        <v>374</v>
      </c>
      <c r="BI3726" t="s">
        <v>85</v>
      </c>
    </row>
    <row r="3727" spans="1:61" x14ac:dyDescent="0.3">
      <c r="A3727" t="str">
        <f>"202069C0400"</f>
        <v>202069C0400</v>
      </c>
      <c r="B3727" t="s">
        <v>7558</v>
      </c>
      <c r="C3727">
        <v>20</v>
      </c>
      <c r="D3727" t="s">
        <v>79</v>
      </c>
      <c r="E3727">
        <v>17</v>
      </c>
      <c r="F3727" t="s">
        <v>7160</v>
      </c>
      <c r="G3727">
        <v>2069</v>
      </c>
      <c r="H3727">
        <v>4</v>
      </c>
      <c r="I3727" t="s">
        <v>89</v>
      </c>
      <c r="J3727">
        <v>0</v>
      </c>
      <c r="K3727">
        <v>2</v>
      </c>
      <c r="L3727">
        <v>2</v>
      </c>
      <c r="M3727">
        <v>417</v>
      </c>
      <c r="N3727" t="s">
        <v>100</v>
      </c>
      <c r="O3727">
        <v>0</v>
      </c>
      <c r="P3727">
        <v>298</v>
      </c>
      <c r="Q3727">
        <v>18</v>
      </c>
      <c r="R3727">
        <v>15</v>
      </c>
      <c r="S3727">
        <v>15</v>
      </c>
      <c r="T3727">
        <v>5</v>
      </c>
      <c r="U3727">
        <v>72</v>
      </c>
      <c r="V3727">
        <v>2</v>
      </c>
      <c r="W3727">
        <v>2</v>
      </c>
      <c r="X3727">
        <v>3</v>
      </c>
      <c r="Y3727">
        <v>127</v>
      </c>
      <c r="Z3727">
        <v>5</v>
      </c>
      <c r="AA3727">
        <v>0</v>
      </c>
      <c r="AB3727">
        <v>18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T3727">
        <v>0</v>
      </c>
      <c r="AU3727">
        <v>0</v>
      </c>
      <c r="AV3727" t="s">
        <v>100</v>
      </c>
      <c r="AW3727">
        <v>282</v>
      </c>
      <c r="AX3727">
        <v>694</v>
      </c>
      <c r="BA3727">
        <v>1</v>
      </c>
      <c r="BC3727" t="s">
        <v>7559</v>
      </c>
      <c r="BD3727" s="4">
        <v>43282.953692129631</v>
      </c>
      <c r="BE3727" s="4">
        <v>43282.958472222221</v>
      </c>
      <c r="BF3727" s="4">
        <v>43282.958472222221</v>
      </c>
      <c r="BG3727" t="s">
        <v>373</v>
      </c>
      <c r="BH3727" t="s">
        <v>374</v>
      </c>
      <c r="BI3727" t="s">
        <v>85</v>
      </c>
    </row>
    <row r="3728" spans="1:61" x14ac:dyDescent="0.3">
      <c r="A3728" t="str">
        <f>"202172B0100"</f>
        <v>202172B0100</v>
      </c>
      <c r="B3728" t="s">
        <v>7560</v>
      </c>
      <c r="C3728">
        <v>20</v>
      </c>
      <c r="D3728" t="s">
        <v>79</v>
      </c>
      <c r="E3728">
        <v>17</v>
      </c>
      <c r="F3728" t="s">
        <v>7160</v>
      </c>
      <c r="G3728">
        <v>2172</v>
      </c>
      <c r="H3728">
        <v>1</v>
      </c>
      <c r="I3728" t="s">
        <v>81</v>
      </c>
      <c r="J3728">
        <v>0</v>
      </c>
      <c r="K3728">
        <v>2</v>
      </c>
      <c r="L3728">
        <v>2</v>
      </c>
      <c r="M3728">
        <v>261</v>
      </c>
      <c r="N3728">
        <v>346</v>
      </c>
      <c r="O3728">
        <v>1</v>
      </c>
      <c r="P3728">
        <v>346</v>
      </c>
      <c r="Q3728">
        <v>15</v>
      </c>
      <c r="R3728">
        <v>38</v>
      </c>
      <c r="S3728">
        <v>12</v>
      </c>
      <c r="T3728">
        <v>6</v>
      </c>
      <c r="U3728">
        <v>34</v>
      </c>
      <c r="V3728">
        <v>4</v>
      </c>
      <c r="W3728">
        <v>1</v>
      </c>
      <c r="X3728">
        <v>4</v>
      </c>
      <c r="Y3728">
        <v>201</v>
      </c>
      <c r="Z3728">
        <v>6</v>
      </c>
      <c r="AA3728">
        <v>0</v>
      </c>
      <c r="AB3728">
        <v>3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4</v>
      </c>
      <c r="AL3728">
        <v>1</v>
      </c>
      <c r="AM3728">
        <v>0</v>
      </c>
      <c r="AN3728">
        <v>5</v>
      </c>
      <c r="AT3728">
        <v>0</v>
      </c>
      <c r="AU3728">
        <v>12</v>
      </c>
      <c r="AV3728">
        <v>346</v>
      </c>
      <c r="AW3728">
        <v>346</v>
      </c>
      <c r="AX3728">
        <v>585</v>
      </c>
      <c r="BA3728">
        <v>1</v>
      </c>
      <c r="BC3728" t="s">
        <v>7561</v>
      </c>
      <c r="BD3728" s="4">
        <v>43283.210416666669</v>
      </c>
      <c r="BE3728" s="4">
        <v>43283.232858796298</v>
      </c>
      <c r="BF3728" s="4">
        <v>43283.232858796298</v>
      </c>
      <c r="BG3728" t="s">
        <v>83</v>
      </c>
      <c r="BH3728" t="s">
        <v>84</v>
      </c>
      <c r="BI3728" t="s">
        <v>85</v>
      </c>
    </row>
    <row r="3729" spans="1:61" x14ac:dyDescent="0.3">
      <c r="A3729" t="str">
        <f>"202352B0100"</f>
        <v>202352B0100</v>
      </c>
      <c r="B3729" t="s">
        <v>7562</v>
      </c>
      <c r="C3729">
        <v>20</v>
      </c>
      <c r="D3729" t="s">
        <v>79</v>
      </c>
      <c r="E3729">
        <v>17</v>
      </c>
      <c r="F3729" t="s">
        <v>7160</v>
      </c>
      <c r="G3729">
        <v>2352</v>
      </c>
      <c r="H3729">
        <v>1</v>
      </c>
      <c r="I3729" t="s">
        <v>81</v>
      </c>
      <c r="J3729">
        <v>0</v>
      </c>
      <c r="K3729">
        <v>1</v>
      </c>
      <c r="L3729">
        <v>2</v>
      </c>
      <c r="M3729">
        <v>306</v>
      </c>
      <c r="N3729">
        <v>431</v>
      </c>
      <c r="O3729">
        <v>3</v>
      </c>
      <c r="P3729">
        <v>427</v>
      </c>
      <c r="Q3729">
        <v>41</v>
      </c>
      <c r="R3729">
        <v>51</v>
      </c>
      <c r="S3729">
        <v>1</v>
      </c>
      <c r="T3729">
        <v>5</v>
      </c>
      <c r="U3729">
        <v>21</v>
      </c>
      <c r="V3729">
        <v>8</v>
      </c>
      <c r="W3729">
        <v>6</v>
      </c>
      <c r="X3729">
        <v>5</v>
      </c>
      <c r="Y3729">
        <v>240</v>
      </c>
      <c r="Z3729">
        <v>2</v>
      </c>
      <c r="AA3729">
        <v>4</v>
      </c>
      <c r="AB3729">
        <v>24</v>
      </c>
      <c r="AC3729">
        <v>1</v>
      </c>
      <c r="AD3729">
        <v>0</v>
      </c>
      <c r="AE3729">
        <v>0</v>
      </c>
      <c r="AF3729">
        <v>0</v>
      </c>
      <c r="AG3729">
        <v>0</v>
      </c>
      <c r="AH3729">
        <v>1</v>
      </c>
      <c r="AI3729">
        <v>0</v>
      </c>
      <c r="AJ3729">
        <v>0</v>
      </c>
      <c r="AK3729">
        <v>3</v>
      </c>
      <c r="AL3729">
        <v>1</v>
      </c>
      <c r="AM3729">
        <v>0</v>
      </c>
      <c r="AN3729">
        <v>1</v>
      </c>
      <c r="AT3729">
        <v>1</v>
      </c>
      <c r="AU3729">
        <v>11</v>
      </c>
      <c r="AV3729">
        <v>427</v>
      </c>
      <c r="AW3729">
        <v>427</v>
      </c>
      <c r="AX3729">
        <v>711</v>
      </c>
      <c r="BA3729">
        <v>1</v>
      </c>
      <c r="BC3729" t="s">
        <v>7563</v>
      </c>
      <c r="BD3729" s="4">
        <v>43283.056250000001</v>
      </c>
      <c r="BE3729" s="4">
        <v>43283.062326388892</v>
      </c>
      <c r="BF3729" s="4">
        <v>43283.062326388892</v>
      </c>
      <c r="BG3729" t="s">
        <v>83</v>
      </c>
      <c r="BH3729" t="s">
        <v>84</v>
      </c>
      <c r="BI3729" t="s">
        <v>85</v>
      </c>
    </row>
    <row r="3730" spans="1:61" x14ac:dyDescent="0.3">
      <c r="A3730" t="str">
        <f>"202352C0100"</f>
        <v>202352C0100</v>
      </c>
      <c r="B3730" t="s">
        <v>7564</v>
      </c>
      <c r="C3730">
        <v>20</v>
      </c>
      <c r="D3730" t="s">
        <v>79</v>
      </c>
      <c r="E3730">
        <v>17</v>
      </c>
      <c r="F3730" t="s">
        <v>7160</v>
      </c>
      <c r="G3730">
        <v>2352</v>
      </c>
      <c r="H3730">
        <v>1</v>
      </c>
      <c r="I3730" t="s">
        <v>89</v>
      </c>
      <c r="J3730">
        <v>0</v>
      </c>
      <c r="K3730">
        <v>1</v>
      </c>
      <c r="L3730">
        <v>2</v>
      </c>
      <c r="M3730">
        <v>291</v>
      </c>
      <c r="N3730">
        <v>441</v>
      </c>
      <c r="O3730">
        <v>5</v>
      </c>
      <c r="P3730">
        <v>441</v>
      </c>
      <c r="Q3730">
        <v>20</v>
      </c>
      <c r="R3730">
        <v>42</v>
      </c>
      <c r="S3730">
        <v>6</v>
      </c>
      <c r="T3730">
        <v>5</v>
      </c>
      <c r="U3730">
        <v>25</v>
      </c>
      <c r="V3730">
        <v>7</v>
      </c>
      <c r="W3730">
        <v>2</v>
      </c>
      <c r="X3730">
        <v>8</v>
      </c>
      <c r="Y3730">
        <v>259</v>
      </c>
      <c r="Z3730">
        <v>6</v>
      </c>
      <c r="AA3730">
        <v>2</v>
      </c>
      <c r="AB3730">
        <v>22</v>
      </c>
      <c r="AC3730">
        <v>1</v>
      </c>
      <c r="AD3730">
        <v>1</v>
      </c>
      <c r="AE3730">
        <v>0</v>
      </c>
      <c r="AF3730">
        <v>0</v>
      </c>
      <c r="AG3730">
        <v>1</v>
      </c>
      <c r="AH3730">
        <v>2</v>
      </c>
      <c r="AI3730">
        <v>1</v>
      </c>
      <c r="AJ3730">
        <v>1</v>
      </c>
      <c r="AK3730">
        <v>11</v>
      </c>
      <c r="AL3730">
        <v>3</v>
      </c>
      <c r="AM3730">
        <v>0</v>
      </c>
      <c r="AN3730">
        <v>0</v>
      </c>
      <c r="AT3730">
        <v>0</v>
      </c>
      <c r="AU3730">
        <v>16</v>
      </c>
      <c r="AV3730">
        <v>441</v>
      </c>
      <c r="AW3730">
        <v>441</v>
      </c>
      <c r="AX3730">
        <v>710</v>
      </c>
      <c r="BA3730">
        <v>1</v>
      </c>
      <c r="BC3730" t="s">
        <v>7565</v>
      </c>
      <c r="BD3730" s="4">
        <v>43283.056250000001</v>
      </c>
      <c r="BE3730" s="4">
        <v>43283.066840277781</v>
      </c>
      <c r="BF3730" s="4">
        <v>43283.066840277781</v>
      </c>
      <c r="BG3730" t="s">
        <v>83</v>
      </c>
      <c r="BH3730" t="s">
        <v>84</v>
      </c>
      <c r="BI3730" t="s">
        <v>85</v>
      </c>
    </row>
    <row r="3731" spans="1:61" x14ac:dyDescent="0.3">
      <c r="A3731" t="str">
        <f>"202352C0200"</f>
        <v>202352C0200</v>
      </c>
      <c r="B3731" t="s">
        <v>7566</v>
      </c>
      <c r="C3731">
        <v>20</v>
      </c>
      <c r="D3731" t="s">
        <v>79</v>
      </c>
      <c r="E3731">
        <v>17</v>
      </c>
      <c r="F3731" t="s">
        <v>7160</v>
      </c>
      <c r="G3731">
        <v>2352</v>
      </c>
      <c r="H3731">
        <v>2</v>
      </c>
      <c r="I3731" t="s">
        <v>89</v>
      </c>
      <c r="J3731">
        <v>0</v>
      </c>
      <c r="K3731">
        <v>1</v>
      </c>
      <c r="L3731">
        <v>2</v>
      </c>
      <c r="M3731">
        <v>278</v>
      </c>
      <c r="N3731">
        <v>455</v>
      </c>
      <c r="O3731">
        <v>6</v>
      </c>
      <c r="P3731">
        <v>455</v>
      </c>
      <c r="Q3731">
        <v>23</v>
      </c>
      <c r="R3731">
        <v>61</v>
      </c>
      <c r="S3731">
        <v>5</v>
      </c>
      <c r="T3731">
        <v>11</v>
      </c>
      <c r="U3731">
        <v>31</v>
      </c>
      <c r="V3731">
        <v>8</v>
      </c>
      <c r="W3731">
        <v>9</v>
      </c>
      <c r="X3731">
        <v>7</v>
      </c>
      <c r="Y3731">
        <v>235</v>
      </c>
      <c r="Z3731">
        <v>11</v>
      </c>
      <c r="AA3731">
        <v>2</v>
      </c>
      <c r="AB3731">
        <v>19</v>
      </c>
      <c r="AC3731">
        <v>2</v>
      </c>
      <c r="AD3731">
        <v>1</v>
      </c>
      <c r="AE3731">
        <v>0</v>
      </c>
      <c r="AF3731">
        <v>0</v>
      </c>
      <c r="AG3731">
        <v>2</v>
      </c>
      <c r="AH3731">
        <v>0</v>
      </c>
      <c r="AI3731">
        <v>0</v>
      </c>
      <c r="AJ3731">
        <v>0</v>
      </c>
      <c r="AK3731">
        <v>5</v>
      </c>
      <c r="AL3731">
        <v>2</v>
      </c>
      <c r="AM3731">
        <v>0</v>
      </c>
      <c r="AN3731">
        <v>1</v>
      </c>
      <c r="AT3731">
        <v>0</v>
      </c>
      <c r="AU3731">
        <v>20</v>
      </c>
      <c r="AV3731">
        <v>455</v>
      </c>
      <c r="AW3731">
        <v>455</v>
      </c>
      <c r="AX3731">
        <v>710</v>
      </c>
      <c r="BA3731">
        <v>1</v>
      </c>
      <c r="BC3731" t="s">
        <v>7567</v>
      </c>
      <c r="BD3731" s="4">
        <v>43283.056250000001</v>
      </c>
      <c r="BE3731" s="4">
        <v>43283.068240740744</v>
      </c>
      <c r="BF3731" s="4">
        <v>43283.068240740744</v>
      </c>
      <c r="BG3731" t="s">
        <v>83</v>
      </c>
      <c r="BH3731" t="s">
        <v>84</v>
      </c>
      <c r="BI3731" t="s">
        <v>85</v>
      </c>
    </row>
    <row r="3732" spans="1:61" x14ac:dyDescent="0.3">
      <c r="A3732" t="str">
        <f>"202352C0300"</f>
        <v>202352C0300</v>
      </c>
      <c r="B3732" t="s">
        <v>7568</v>
      </c>
      <c r="C3732">
        <v>20</v>
      </c>
      <c r="D3732" t="s">
        <v>79</v>
      </c>
      <c r="E3732">
        <v>17</v>
      </c>
      <c r="F3732" t="s">
        <v>7160</v>
      </c>
      <c r="G3732">
        <v>2352</v>
      </c>
      <c r="H3732">
        <v>3</v>
      </c>
      <c r="I3732" t="s">
        <v>89</v>
      </c>
      <c r="J3732">
        <v>0</v>
      </c>
      <c r="K3732">
        <v>1</v>
      </c>
      <c r="L3732">
        <v>2</v>
      </c>
      <c r="M3732">
        <v>295</v>
      </c>
      <c r="N3732" t="s">
        <v>100</v>
      </c>
      <c r="O3732" t="s">
        <v>100</v>
      </c>
      <c r="P3732">
        <v>435</v>
      </c>
      <c r="Q3732">
        <v>20</v>
      </c>
      <c r="R3732">
        <v>50</v>
      </c>
      <c r="S3732">
        <v>8</v>
      </c>
      <c r="T3732">
        <v>7</v>
      </c>
      <c r="U3732">
        <v>27</v>
      </c>
      <c r="V3732">
        <v>5</v>
      </c>
      <c r="W3732">
        <v>4</v>
      </c>
      <c r="X3732">
        <v>7</v>
      </c>
      <c r="Y3732">
        <v>248</v>
      </c>
      <c r="Z3732">
        <v>7</v>
      </c>
      <c r="AA3732">
        <v>2</v>
      </c>
      <c r="AB3732">
        <v>28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5</v>
      </c>
      <c r="AL3732">
        <v>1</v>
      </c>
      <c r="AM3732">
        <v>0</v>
      </c>
      <c r="AN3732">
        <v>0</v>
      </c>
      <c r="AT3732">
        <v>0</v>
      </c>
      <c r="AU3732">
        <v>16</v>
      </c>
      <c r="AV3732">
        <v>436</v>
      </c>
      <c r="AW3732">
        <v>435</v>
      </c>
      <c r="AX3732">
        <v>710</v>
      </c>
      <c r="BA3732">
        <v>1</v>
      </c>
      <c r="BC3732" t="s">
        <v>7569</v>
      </c>
      <c r="BD3732" s="4">
        <v>43283.513888888891</v>
      </c>
      <c r="BE3732" s="4">
        <v>43283.521192129629</v>
      </c>
      <c r="BF3732" s="4">
        <v>43283.521192129629</v>
      </c>
      <c r="BG3732" t="s">
        <v>83</v>
      </c>
      <c r="BH3732" t="s">
        <v>84</v>
      </c>
      <c r="BI3732" t="s">
        <v>85</v>
      </c>
    </row>
    <row r="3733" spans="1:61" x14ac:dyDescent="0.3">
      <c r="A3733" t="str">
        <f>"202352C0400"</f>
        <v>202352C0400</v>
      </c>
      <c r="B3733" t="s">
        <v>7570</v>
      </c>
      <c r="C3733">
        <v>20</v>
      </c>
      <c r="D3733" t="s">
        <v>79</v>
      </c>
      <c r="E3733">
        <v>17</v>
      </c>
      <c r="F3733" t="s">
        <v>7160</v>
      </c>
      <c r="G3733">
        <v>2352</v>
      </c>
      <c r="H3733">
        <v>4</v>
      </c>
      <c r="I3733" t="s">
        <v>89</v>
      </c>
      <c r="J3733">
        <v>0</v>
      </c>
      <c r="K3733">
        <v>1</v>
      </c>
      <c r="L3733">
        <v>2</v>
      </c>
      <c r="M3733">
        <v>313</v>
      </c>
      <c r="N3733">
        <v>419</v>
      </c>
      <c r="O3733">
        <v>7</v>
      </c>
      <c r="P3733">
        <v>419</v>
      </c>
      <c r="Q3733">
        <v>29</v>
      </c>
      <c r="R3733">
        <v>37</v>
      </c>
      <c r="S3733">
        <v>2</v>
      </c>
      <c r="T3733">
        <v>7</v>
      </c>
      <c r="U3733">
        <v>30</v>
      </c>
      <c r="V3733">
        <v>5</v>
      </c>
      <c r="W3733">
        <v>1</v>
      </c>
      <c r="X3733">
        <v>4</v>
      </c>
      <c r="Y3733">
        <v>242</v>
      </c>
      <c r="Z3733">
        <v>8</v>
      </c>
      <c r="AA3733">
        <v>2</v>
      </c>
      <c r="AB3733">
        <v>23</v>
      </c>
      <c r="AC3733">
        <v>0</v>
      </c>
      <c r="AD3733">
        <v>0</v>
      </c>
      <c r="AE3733">
        <v>0</v>
      </c>
      <c r="AF3733">
        <v>0</v>
      </c>
      <c r="AG3733">
        <v>2</v>
      </c>
      <c r="AH3733">
        <v>0</v>
      </c>
      <c r="AI3733">
        <v>1</v>
      </c>
      <c r="AJ3733">
        <v>0</v>
      </c>
      <c r="AK3733">
        <v>9</v>
      </c>
      <c r="AL3733">
        <v>2</v>
      </c>
      <c r="AM3733">
        <v>1</v>
      </c>
      <c r="AN3733">
        <v>1</v>
      </c>
      <c r="AT3733">
        <v>0</v>
      </c>
      <c r="AU3733">
        <v>13</v>
      </c>
      <c r="AV3733">
        <v>419</v>
      </c>
      <c r="AW3733">
        <v>419</v>
      </c>
      <c r="AX3733">
        <v>710</v>
      </c>
      <c r="BA3733">
        <v>1</v>
      </c>
      <c r="BC3733" t="s">
        <v>7571</v>
      </c>
      <c r="BD3733" s="4">
        <v>43283.056250000001</v>
      </c>
      <c r="BE3733" s="4">
        <v>43283.061793981484</v>
      </c>
      <c r="BF3733" s="4">
        <v>43283.061793981484</v>
      </c>
      <c r="BG3733" t="s">
        <v>83</v>
      </c>
      <c r="BH3733" t="s">
        <v>84</v>
      </c>
      <c r="BI3733" t="s">
        <v>85</v>
      </c>
    </row>
    <row r="3734" spans="1:61" x14ac:dyDescent="0.3">
      <c r="A3734" t="str">
        <f>"202352C0500"</f>
        <v>202352C0500</v>
      </c>
      <c r="B3734" t="s">
        <v>7572</v>
      </c>
      <c r="C3734">
        <v>20</v>
      </c>
      <c r="D3734" t="s">
        <v>79</v>
      </c>
      <c r="E3734">
        <v>17</v>
      </c>
      <c r="F3734" t="s">
        <v>7160</v>
      </c>
      <c r="G3734">
        <v>2352</v>
      </c>
      <c r="H3734">
        <v>5</v>
      </c>
      <c r="I3734" t="s">
        <v>89</v>
      </c>
      <c r="J3734">
        <v>0</v>
      </c>
      <c r="K3734">
        <v>1</v>
      </c>
      <c r="L3734">
        <v>2</v>
      </c>
      <c r="M3734">
        <v>313</v>
      </c>
      <c r="N3734">
        <v>419</v>
      </c>
      <c r="O3734">
        <v>8</v>
      </c>
      <c r="P3734">
        <v>419</v>
      </c>
      <c r="Q3734">
        <v>43</v>
      </c>
      <c r="R3734">
        <v>49</v>
      </c>
      <c r="S3734">
        <v>6</v>
      </c>
      <c r="T3734">
        <v>7</v>
      </c>
      <c r="U3734">
        <v>27</v>
      </c>
      <c r="V3734">
        <v>7</v>
      </c>
      <c r="W3734">
        <v>1</v>
      </c>
      <c r="X3734">
        <v>8</v>
      </c>
      <c r="Y3734">
        <v>214</v>
      </c>
      <c r="Z3734">
        <v>2</v>
      </c>
      <c r="AA3734">
        <v>3</v>
      </c>
      <c r="AB3734">
        <v>30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1</v>
      </c>
      <c r="AJ3734">
        <v>0</v>
      </c>
      <c r="AK3734">
        <v>4</v>
      </c>
      <c r="AL3734">
        <v>2</v>
      </c>
      <c r="AM3734">
        <v>1</v>
      </c>
      <c r="AN3734">
        <v>1</v>
      </c>
      <c r="AT3734">
        <v>0</v>
      </c>
      <c r="AU3734">
        <v>14</v>
      </c>
      <c r="AV3734">
        <v>419</v>
      </c>
      <c r="AW3734">
        <v>420</v>
      </c>
      <c r="AX3734">
        <v>710</v>
      </c>
      <c r="BA3734">
        <v>1</v>
      </c>
      <c r="BC3734" t="s">
        <v>7573</v>
      </c>
      <c r="BD3734" s="4">
        <v>43283.056250000001</v>
      </c>
      <c r="BE3734" s="4">
        <v>43283.061886574076</v>
      </c>
      <c r="BF3734" s="4">
        <v>43283.061886574076</v>
      </c>
      <c r="BG3734" t="s">
        <v>83</v>
      </c>
      <c r="BH3734" t="s">
        <v>84</v>
      </c>
      <c r="BI3734" t="s">
        <v>85</v>
      </c>
    </row>
    <row r="3735" spans="1:61" x14ac:dyDescent="0.3">
      <c r="A3735" t="str">
        <f>"202352S0100"</f>
        <v>202352S0100</v>
      </c>
      <c r="B3735" t="s">
        <v>7574</v>
      </c>
      <c r="C3735">
        <v>20</v>
      </c>
      <c r="D3735" t="s">
        <v>79</v>
      </c>
      <c r="E3735">
        <v>17</v>
      </c>
      <c r="F3735" t="s">
        <v>7160</v>
      </c>
      <c r="G3735">
        <v>2352</v>
      </c>
      <c r="H3735">
        <v>1</v>
      </c>
      <c r="I3735" t="s">
        <v>104</v>
      </c>
      <c r="J3735">
        <v>0</v>
      </c>
      <c r="K3735">
        <v>1</v>
      </c>
      <c r="L3735">
        <v>3</v>
      </c>
      <c r="M3735">
        <v>153</v>
      </c>
      <c r="N3735">
        <v>619</v>
      </c>
      <c r="O3735">
        <v>0</v>
      </c>
      <c r="P3735">
        <v>619</v>
      </c>
      <c r="Q3735">
        <v>27</v>
      </c>
      <c r="R3735">
        <v>54</v>
      </c>
      <c r="S3735">
        <v>12</v>
      </c>
      <c r="T3735">
        <v>11</v>
      </c>
      <c r="U3735">
        <v>40</v>
      </c>
      <c r="V3735">
        <v>7</v>
      </c>
      <c r="W3735">
        <v>3</v>
      </c>
      <c r="X3735">
        <v>5</v>
      </c>
      <c r="Y3735">
        <v>389</v>
      </c>
      <c r="Z3735">
        <v>8</v>
      </c>
      <c r="AA3735">
        <v>5</v>
      </c>
      <c r="AB3735">
        <v>20</v>
      </c>
      <c r="AC3735">
        <v>0</v>
      </c>
      <c r="AD3735">
        <v>0</v>
      </c>
      <c r="AE3735">
        <v>0</v>
      </c>
      <c r="AF3735">
        <v>0</v>
      </c>
      <c r="AG3735">
        <v>2</v>
      </c>
      <c r="AH3735">
        <v>1</v>
      </c>
      <c r="AI3735">
        <v>0</v>
      </c>
      <c r="AJ3735">
        <v>0</v>
      </c>
      <c r="AK3735">
        <v>12</v>
      </c>
      <c r="AL3735">
        <v>4</v>
      </c>
      <c r="AM3735">
        <v>0</v>
      </c>
      <c r="AN3735">
        <v>1</v>
      </c>
      <c r="AT3735">
        <v>1</v>
      </c>
      <c r="AU3735">
        <v>19</v>
      </c>
      <c r="AV3735">
        <v>619</v>
      </c>
      <c r="AW3735">
        <v>621</v>
      </c>
      <c r="AX3735">
        <v>0</v>
      </c>
      <c r="BA3735">
        <v>1</v>
      </c>
      <c r="BC3735" t="s">
        <v>7575</v>
      </c>
      <c r="BD3735" s="4">
        <v>43283.105555555558</v>
      </c>
      <c r="BE3735" s="4">
        <v>43283.114965277775</v>
      </c>
      <c r="BF3735" s="4">
        <v>43283.114965277775</v>
      </c>
      <c r="BG3735" t="s">
        <v>83</v>
      </c>
      <c r="BH3735" t="s">
        <v>84</v>
      </c>
      <c r="BI3735" t="s">
        <v>85</v>
      </c>
    </row>
    <row r="3736" spans="1:61" x14ac:dyDescent="0.3">
      <c r="A3736" t="str">
        <f>"202353B0100"</f>
        <v>202353B0100</v>
      </c>
      <c r="B3736" t="s">
        <v>7576</v>
      </c>
      <c r="C3736">
        <v>20</v>
      </c>
      <c r="D3736" t="s">
        <v>79</v>
      </c>
      <c r="E3736">
        <v>17</v>
      </c>
      <c r="F3736" t="s">
        <v>7160</v>
      </c>
      <c r="G3736">
        <v>2353</v>
      </c>
      <c r="H3736">
        <v>1</v>
      </c>
      <c r="I3736" t="s">
        <v>81</v>
      </c>
      <c r="J3736">
        <v>0</v>
      </c>
      <c r="K3736">
        <v>2</v>
      </c>
      <c r="L3736">
        <v>2</v>
      </c>
      <c r="M3736">
        <v>263</v>
      </c>
      <c r="N3736">
        <v>329</v>
      </c>
      <c r="O3736">
        <v>4</v>
      </c>
      <c r="P3736">
        <v>329</v>
      </c>
      <c r="Q3736">
        <v>22</v>
      </c>
      <c r="R3736">
        <v>50</v>
      </c>
      <c r="S3736">
        <v>7</v>
      </c>
      <c r="T3736">
        <v>4</v>
      </c>
      <c r="U3736">
        <v>16</v>
      </c>
      <c r="V3736">
        <v>9</v>
      </c>
      <c r="W3736">
        <v>4</v>
      </c>
      <c r="X3736">
        <v>7</v>
      </c>
      <c r="Y3736">
        <v>144</v>
      </c>
      <c r="Z3736">
        <v>6</v>
      </c>
      <c r="AA3736">
        <v>1</v>
      </c>
      <c r="AB3736">
        <v>32</v>
      </c>
      <c r="AC3736">
        <v>1</v>
      </c>
      <c r="AD3736">
        <v>0</v>
      </c>
      <c r="AE3736">
        <v>0</v>
      </c>
      <c r="AF3736">
        <v>0</v>
      </c>
      <c r="AG3736">
        <v>1</v>
      </c>
      <c r="AH3736">
        <v>0</v>
      </c>
      <c r="AI3736">
        <v>0</v>
      </c>
      <c r="AJ3736">
        <v>0</v>
      </c>
      <c r="AK3736">
        <v>1</v>
      </c>
      <c r="AL3736">
        <v>3</v>
      </c>
      <c r="AM3736">
        <v>0</v>
      </c>
      <c r="AN3736">
        <v>1</v>
      </c>
      <c r="AT3736">
        <v>0</v>
      </c>
      <c r="AU3736">
        <v>20</v>
      </c>
      <c r="AV3736">
        <v>329</v>
      </c>
      <c r="AW3736">
        <v>329</v>
      </c>
      <c r="AX3736">
        <v>570</v>
      </c>
      <c r="BA3736">
        <v>1</v>
      </c>
      <c r="BC3736" t="s">
        <v>7577</v>
      </c>
      <c r="BD3736" s="4">
        <v>43283.084722222222</v>
      </c>
      <c r="BE3736" s="4">
        <v>43283.090983796297</v>
      </c>
      <c r="BF3736" s="4">
        <v>43283.090983796297</v>
      </c>
      <c r="BG3736" t="s">
        <v>83</v>
      </c>
      <c r="BH3736" t="s">
        <v>84</v>
      </c>
      <c r="BI3736" t="s">
        <v>85</v>
      </c>
    </row>
    <row r="3737" spans="1:61" x14ac:dyDescent="0.3">
      <c r="A3737" t="str">
        <f>"202353C0100"</f>
        <v>202353C0100</v>
      </c>
      <c r="B3737" t="s">
        <v>7578</v>
      </c>
      <c r="C3737">
        <v>20</v>
      </c>
      <c r="D3737" t="s">
        <v>79</v>
      </c>
      <c r="E3737">
        <v>17</v>
      </c>
      <c r="F3737" t="s">
        <v>7160</v>
      </c>
      <c r="G3737">
        <v>2353</v>
      </c>
      <c r="H3737">
        <v>1</v>
      </c>
      <c r="I3737" t="s">
        <v>89</v>
      </c>
      <c r="J3737">
        <v>0</v>
      </c>
      <c r="K3737">
        <v>2</v>
      </c>
      <c r="L3737">
        <v>2</v>
      </c>
      <c r="M3737">
        <v>241</v>
      </c>
      <c r="N3737">
        <v>351</v>
      </c>
      <c r="O3737">
        <v>7</v>
      </c>
      <c r="P3737">
        <v>350</v>
      </c>
      <c r="Q3737">
        <v>23</v>
      </c>
      <c r="R3737">
        <v>44</v>
      </c>
      <c r="S3737">
        <v>5</v>
      </c>
      <c r="T3737">
        <v>3</v>
      </c>
      <c r="U3737">
        <v>16</v>
      </c>
      <c r="V3737">
        <v>9</v>
      </c>
      <c r="W3737">
        <v>3</v>
      </c>
      <c r="X3737">
        <v>5</v>
      </c>
      <c r="Y3737">
        <v>189</v>
      </c>
      <c r="Z3737">
        <v>5</v>
      </c>
      <c r="AA3737">
        <v>0</v>
      </c>
      <c r="AB3737">
        <v>24</v>
      </c>
      <c r="AC3737">
        <v>1</v>
      </c>
      <c r="AD3737">
        <v>0</v>
      </c>
      <c r="AE3737">
        <v>0</v>
      </c>
      <c r="AF3737">
        <v>0</v>
      </c>
      <c r="AG3737">
        <v>2</v>
      </c>
      <c r="AH3737">
        <v>0</v>
      </c>
      <c r="AI3737">
        <v>0</v>
      </c>
      <c r="AJ3737">
        <v>1</v>
      </c>
      <c r="AK3737">
        <v>2</v>
      </c>
      <c r="AL3737">
        <v>1</v>
      </c>
      <c r="AM3737">
        <v>0</v>
      </c>
      <c r="AN3737">
        <v>0</v>
      </c>
      <c r="AT3737">
        <v>1</v>
      </c>
      <c r="AU3737">
        <v>16</v>
      </c>
      <c r="AV3737">
        <v>350</v>
      </c>
      <c r="AW3737">
        <v>350</v>
      </c>
      <c r="AX3737">
        <v>570</v>
      </c>
      <c r="BA3737">
        <v>1</v>
      </c>
      <c r="BC3737" t="s">
        <v>7579</v>
      </c>
      <c r="BD3737" s="4">
        <v>43283.084722222222</v>
      </c>
      <c r="BE3737" s="4">
        <v>43283.092870370368</v>
      </c>
      <c r="BF3737" s="4">
        <v>43283.092870370368</v>
      </c>
      <c r="BG3737" t="s">
        <v>83</v>
      </c>
      <c r="BH3737" t="s">
        <v>84</v>
      </c>
      <c r="BI3737" t="s">
        <v>85</v>
      </c>
    </row>
    <row r="3738" spans="1:61" x14ac:dyDescent="0.3">
      <c r="A3738" t="str">
        <f>"202353C0200"</f>
        <v>202353C0200</v>
      </c>
      <c r="B3738" t="s">
        <v>7580</v>
      </c>
      <c r="C3738">
        <v>20</v>
      </c>
      <c r="D3738" t="s">
        <v>79</v>
      </c>
      <c r="E3738">
        <v>17</v>
      </c>
      <c r="F3738" t="s">
        <v>7160</v>
      </c>
      <c r="G3738">
        <v>2353</v>
      </c>
      <c r="H3738">
        <v>2</v>
      </c>
      <c r="I3738" t="s">
        <v>89</v>
      </c>
      <c r="J3738">
        <v>0</v>
      </c>
      <c r="K3738">
        <v>2</v>
      </c>
      <c r="L3738">
        <v>2</v>
      </c>
      <c r="M3738">
        <v>240</v>
      </c>
      <c r="N3738">
        <v>352</v>
      </c>
      <c r="O3738">
        <v>10</v>
      </c>
      <c r="P3738">
        <v>352</v>
      </c>
      <c r="Q3738">
        <v>32</v>
      </c>
      <c r="R3738">
        <v>50</v>
      </c>
      <c r="S3738">
        <v>9</v>
      </c>
      <c r="T3738">
        <v>8</v>
      </c>
      <c r="U3738">
        <v>19</v>
      </c>
      <c r="V3738">
        <v>5</v>
      </c>
      <c r="W3738">
        <v>3</v>
      </c>
      <c r="X3738">
        <v>5</v>
      </c>
      <c r="Y3738">
        <v>160</v>
      </c>
      <c r="Z3738">
        <v>2</v>
      </c>
      <c r="AA3738">
        <v>1</v>
      </c>
      <c r="AB3738">
        <v>32</v>
      </c>
      <c r="AC3738">
        <v>1</v>
      </c>
      <c r="AD3738">
        <v>0</v>
      </c>
      <c r="AE3738">
        <v>0</v>
      </c>
      <c r="AF3738">
        <v>0</v>
      </c>
      <c r="AG3738">
        <v>3</v>
      </c>
      <c r="AH3738">
        <v>2</v>
      </c>
      <c r="AI3738">
        <v>0</v>
      </c>
      <c r="AJ3738">
        <v>0</v>
      </c>
      <c r="AK3738">
        <v>6</v>
      </c>
      <c r="AL3738">
        <v>0</v>
      </c>
      <c r="AM3738">
        <v>0</v>
      </c>
      <c r="AN3738">
        <v>0</v>
      </c>
      <c r="AT3738">
        <v>1</v>
      </c>
      <c r="AU3738">
        <v>13</v>
      </c>
      <c r="AV3738">
        <v>352</v>
      </c>
      <c r="AW3738">
        <v>352</v>
      </c>
      <c r="AX3738">
        <v>570</v>
      </c>
      <c r="BA3738">
        <v>1</v>
      </c>
      <c r="BC3738" t="s">
        <v>7581</v>
      </c>
      <c r="BD3738" s="4">
        <v>43283.084722222222</v>
      </c>
      <c r="BE3738" s="4">
        <v>43283.486724537041</v>
      </c>
      <c r="BF3738" s="4">
        <v>43283.486724537041</v>
      </c>
      <c r="BG3738" t="s">
        <v>83</v>
      </c>
      <c r="BH3738" t="s">
        <v>84</v>
      </c>
      <c r="BI3738" t="s">
        <v>85</v>
      </c>
    </row>
    <row r="3739" spans="1:61" x14ac:dyDescent="0.3">
      <c r="A3739" t="str">
        <f>"202353E0100"</f>
        <v>202353E0100</v>
      </c>
      <c r="B3739" s="2" t="s">
        <v>7582</v>
      </c>
      <c r="C3739">
        <v>20</v>
      </c>
      <c r="D3739" t="s">
        <v>79</v>
      </c>
      <c r="E3739">
        <v>17</v>
      </c>
      <c r="F3739" t="s">
        <v>7160</v>
      </c>
      <c r="G3739">
        <v>2353</v>
      </c>
      <c r="H3739">
        <v>1</v>
      </c>
      <c r="I3739" t="s">
        <v>145</v>
      </c>
      <c r="J3739">
        <v>0</v>
      </c>
      <c r="K3739">
        <v>2</v>
      </c>
      <c r="L3739">
        <v>2</v>
      </c>
      <c r="M3739">
        <v>310</v>
      </c>
      <c r="N3739">
        <v>322</v>
      </c>
      <c r="O3739">
        <v>3</v>
      </c>
      <c r="P3739">
        <v>322</v>
      </c>
      <c r="Q3739">
        <v>18</v>
      </c>
      <c r="R3739">
        <v>52</v>
      </c>
      <c r="S3739">
        <v>5</v>
      </c>
      <c r="T3739">
        <v>7</v>
      </c>
      <c r="U3739">
        <v>20</v>
      </c>
      <c r="V3739">
        <v>6</v>
      </c>
      <c r="W3739">
        <v>4</v>
      </c>
      <c r="X3739">
        <v>10</v>
      </c>
      <c r="Y3739">
        <v>132</v>
      </c>
      <c r="Z3739">
        <v>8</v>
      </c>
      <c r="AA3739">
        <v>3</v>
      </c>
      <c r="AB3739">
        <v>32</v>
      </c>
      <c r="AC3739">
        <v>1</v>
      </c>
      <c r="AD3739">
        <v>0</v>
      </c>
      <c r="AE3739">
        <v>0</v>
      </c>
      <c r="AF3739">
        <v>0</v>
      </c>
      <c r="AG3739">
        <v>1</v>
      </c>
      <c r="AH3739">
        <v>1</v>
      </c>
      <c r="AI3739">
        <v>0</v>
      </c>
      <c r="AJ3739">
        <v>0</v>
      </c>
      <c r="AK3739">
        <v>8</v>
      </c>
      <c r="AL3739">
        <v>2</v>
      </c>
      <c r="AM3739">
        <v>0</v>
      </c>
      <c r="AN3739">
        <v>1</v>
      </c>
      <c r="AT3739">
        <v>0</v>
      </c>
      <c r="AU3739">
        <v>11</v>
      </c>
      <c r="AV3739">
        <v>322</v>
      </c>
      <c r="AW3739">
        <v>322</v>
      </c>
      <c r="AX3739">
        <v>611</v>
      </c>
      <c r="BA3739">
        <v>1</v>
      </c>
      <c r="BC3739" t="s">
        <v>7583</v>
      </c>
      <c r="BD3739" s="4">
        <v>43283.072222222225</v>
      </c>
      <c r="BE3739" s="4">
        <v>43283.077766203707</v>
      </c>
      <c r="BF3739" s="4">
        <v>43283.077766203707</v>
      </c>
      <c r="BG3739" t="s">
        <v>83</v>
      </c>
      <c r="BH3739" t="s">
        <v>84</v>
      </c>
      <c r="BI3739" t="s">
        <v>85</v>
      </c>
    </row>
    <row r="3740" spans="1:61" x14ac:dyDescent="0.3">
      <c r="A3740" t="str">
        <f>"202353E0101"</f>
        <v>202353E0101</v>
      </c>
      <c r="B3740" s="2" t="s">
        <v>7584</v>
      </c>
      <c r="C3740">
        <v>20</v>
      </c>
      <c r="D3740" t="s">
        <v>79</v>
      </c>
      <c r="E3740">
        <v>17</v>
      </c>
      <c r="F3740" t="s">
        <v>7160</v>
      </c>
      <c r="G3740">
        <v>2353</v>
      </c>
      <c r="H3740">
        <v>1</v>
      </c>
      <c r="I3740" t="s">
        <v>145</v>
      </c>
      <c r="J3740">
        <v>1</v>
      </c>
      <c r="K3740">
        <v>2</v>
      </c>
      <c r="L3740">
        <v>2</v>
      </c>
      <c r="M3740">
        <v>294</v>
      </c>
      <c r="N3740">
        <v>338</v>
      </c>
      <c r="O3740">
        <v>0</v>
      </c>
      <c r="P3740" t="s">
        <v>315</v>
      </c>
      <c r="Q3740">
        <v>29</v>
      </c>
      <c r="R3740">
        <v>68</v>
      </c>
      <c r="S3740">
        <v>5</v>
      </c>
      <c r="T3740">
        <v>9</v>
      </c>
      <c r="U3740">
        <v>9</v>
      </c>
      <c r="V3740">
        <v>6</v>
      </c>
      <c r="W3740">
        <v>12</v>
      </c>
      <c r="X3740">
        <v>5</v>
      </c>
      <c r="Y3740">
        <v>150</v>
      </c>
      <c r="Z3740">
        <v>7</v>
      </c>
      <c r="AA3740">
        <v>2</v>
      </c>
      <c r="AB3740">
        <v>20</v>
      </c>
      <c r="AC3740">
        <v>1</v>
      </c>
      <c r="AD3740">
        <v>0</v>
      </c>
      <c r="AE3740">
        <v>0</v>
      </c>
      <c r="AF3740">
        <v>0</v>
      </c>
      <c r="AG3740">
        <v>2</v>
      </c>
      <c r="AH3740">
        <v>0</v>
      </c>
      <c r="AI3740">
        <v>0</v>
      </c>
      <c r="AJ3740">
        <v>0</v>
      </c>
      <c r="AK3740">
        <v>4</v>
      </c>
      <c r="AL3740">
        <v>3</v>
      </c>
      <c r="AM3740">
        <v>0</v>
      </c>
      <c r="AN3740">
        <v>1</v>
      </c>
      <c r="AT3740">
        <v>0</v>
      </c>
      <c r="AU3740">
        <v>5</v>
      </c>
      <c r="AV3740">
        <v>338</v>
      </c>
      <c r="AW3740">
        <v>338</v>
      </c>
      <c r="AX3740">
        <v>611</v>
      </c>
      <c r="BA3740">
        <v>1</v>
      </c>
      <c r="BC3740" t="s">
        <v>7585</v>
      </c>
      <c r="BD3740" s="4">
        <v>43283.072222222225</v>
      </c>
      <c r="BE3740" s="4">
        <v>43283.082604166666</v>
      </c>
      <c r="BF3740" s="4">
        <v>43283.082604166666</v>
      </c>
      <c r="BG3740" t="s">
        <v>83</v>
      </c>
      <c r="BH3740" t="s">
        <v>84</v>
      </c>
      <c r="BI3740" t="s">
        <v>85</v>
      </c>
    </row>
    <row r="3741" spans="1:61" x14ac:dyDescent="0.3">
      <c r="A3741" t="str">
        <f>"202353E0102"</f>
        <v>202353E0102</v>
      </c>
      <c r="B3741" s="2" t="s">
        <v>7586</v>
      </c>
      <c r="C3741">
        <v>20</v>
      </c>
      <c r="D3741" t="s">
        <v>79</v>
      </c>
      <c r="E3741">
        <v>17</v>
      </c>
      <c r="F3741" t="s">
        <v>7160</v>
      </c>
      <c r="G3741">
        <v>2353</v>
      </c>
      <c r="H3741">
        <v>1</v>
      </c>
      <c r="I3741" t="s">
        <v>145</v>
      </c>
      <c r="J3741">
        <v>2</v>
      </c>
      <c r="K3741">
        <v>2</v>
      </c>
      <c r="L3741">
        <v>2</v>
      </c>
      <c r="M3741">
        <v>296</v>
      </c>
      <c r="N3741">
        <v>336</v>
      </c>
      <c r="O3741">
        <v>3</v>
      </c>
      <c r="P3741">
        <v>336</v>
      </c>
      <c r="Q3741">
        <v>17</v>
      </c>
      <c r="R3741">
        <v>48</v>
      </c>
      <c r="S3741">
        <v>4</v>
      </c>
      <c r="T3741">
        <v>6</v>
      </c>
      <c r="U3741">
        <v>19</v>
      </c>
      <c r="V3741">
        <v>2</v>
      </c>
      <c r="W3741">
        <v>3</v>
      </c>
      <c r="X3741">
        <v>10</v>
      </c>
      <c r="Y3741">
        <v>173</v>
      </c>
      <c r="Z3741">
        <v>7</v>
      </c>
      <c r="AA3741">
        <v>1</v>
      </c>
      <c r="AB3741">
        <v>23</v>
      </c>
      <c r="AC3741">
        <v>1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 t="s">
        <v>100</v>
      </c>
      <c r="AK3741">
        <v>4</v>
      </c>
      <c r="AL3741">
        <v>2</v>
      </c>
      <c r="AM3741">
        <v>0</v>
      </c>
      <c r="AN3741">
        <v>0</v>
      </c>
      <c r="AT3741">
        <v>0</v>
      </c>
      <c r="AU3741">
        <v>16</v>
      </c>
      <c r="AV3741">
        <v>336</v>
      </c>
      <c r="AW3741">
        <v>336</v>
      </c>
      <c r="AX3741">
        <v>610</v>
      </c>
      <c r="AZ3741" t="s">
        <v>101</v>
      </c>
      <c r="BA3741">
        <v>1</v>
      </c>
      <c r="BC3741" t="s">
        <v>7587</v>
      </c>
      <c r="BD3741" s="4">
        <v>43283.072222222225</v>
      </c>
      <c r="BE3741" s="4">
        <v>43283.078194444446</v>
      </c>
      <c r="BF3741" s="4">
        <v>43283.078194444446</v>
      </c>
      <c r="BG3741" t="s">
        <v>83</v>
      </c>
      <c r="BH3741" t="s">
        <v>84</v>
      </c>
      <c r="BI3741" t="s">
        <v>85</v>
      </c>
    </row>
    <row r="3742" spans="1:61" x14ac:dyDescent="0.3">
      <c r="A3742" t="str">
        <f>"202353E0103"</f>
        <v>202353E0103</v>
      </c>
      <c r="B3742" s="2" t="s">
        <v>7588</v>
      </c>
      <c r="C3742">
        <v>20</v>
      </c>
      <c r="D3742" t="s">
        <v>79</v>
      </c>
      <c r="E3742">
        <v>17</v>
      </c>
      <c r="F3742" t="s">
        <v>7160</v>
      </c>
      <c r="G3742">
        <v>2353</v>
      </c>
      <c r="H3742">
        <v>1</v>
      </c>
      <c r="I3742" t="s">
        <v>145</v>
      </c>
      <c r="J3742">
        <v>3</v>
      </c>
      <c r="K3742">
        <v>2</v>
      </c>
      <c r="L3742">
        <v>2</v>
      </c>
      <c r="M3742">
        <v>305</v>
      </c>
      <c r="N3742">
        <v>327</v>
      </c>
      <c r="O3742">
        <v>8</v>
      </c>
      <c r="P3742">
        <v>327</v>
      </c>
      <c r="Q3742">
        <v>19</v>
      </c>
      <c r="R3742">
        <v>45</v>
      </c>
      <c r="S3742">
        <v>3</v>
      </c>
      <c r="T3742">
        <v>6</v>
      </c>
      <c r="U3742">
        <v>23</v>
      </c>
      <c r="V3742">
        <v>5</v>
      </c>
      <c r="W3742">
        <v>8</v>
      </c>
      <c r="X3742">
        <v>3</v>
      </c>
      <c r="Y3742">
        <v>159</v>
      </c>
      <c r="Z3742">
        <v>3</v>
      </c>
      <c r="AA3742">
        <v>2</v>
      </c>
      <c r="AB3742">
        <v>23</v>
      </c>
      <c r="AC3742">
        <v>1</v>
      </c>
      <c r="AD3742">
        <v>0</v>
      </c>
      <c r="AE3742">
        <v>0</v>
      </c>
      <c r="AF3742">
        <v>0</v>
      </c>
      <c r="AG3742">
        <v>3</v>
      </c>
      <c r="AH3742">
        <v>1</v>
      </c>
      <c r="AI3742">
        <v>0</v>
      </c>
      <c r="AJ3742">
        <v>0</v>
      </c>
      <c r="AK3742">
        <v>6</v>
      </c>
      <c r="AL3742">
        <v>2</v>
      </c>
      <c r="AM3742">
        <v>0</v>
      </c>
      <c r="AN3742">
        <v>0</v>
      </c>
      <c r="AT3742">
        <v>0</v>
      </c>
      <c r="AU3742">
        <v>13</v>
      </c>
      <c r="AV3742">
        <v>325</v>
      </c>
      <c r="AW3742">
        <v>325</v>
      </c>
      <c r="AX3742">
        <v>610</v>
      </c>
      <c r="BA3742">
        <v>1</v>
      </c>
      <c r="BC3742" t="s">
        <v>7589</v>
      </c>
      <c r="BD3742" s="4">
        <v>43283.072222222225</v>
      </c>
      <c r="BE3742" s="4">
        <v>43283.076122685183</v>
      </c>
      <c r="BF3742" s="4">
        <v>43283.076122685183</v>
      </c>
      <c r="BG3742" t="s">
        <v>83</v>
      </c>
      <c r="BH3742" t="s">
        <v>84</v>
      </c>
      <c r="BI3742" t="s">
        <v>85</v>
      </c>
    </row>
    <row r="3743" spans="1:61" x14ac:dyDescent="0.3">
      <c r="A3743" t="str">
        <f>"202354B0100"</f>
        <v>202354B0100</v>
      </c>
      <c r="B3743" t="s">
        <v>7590</v>
      </c>
      <c r="C3743">
        <v>20</v>
      </c>
      <c r="D3743" t="s">
        <v>79</v>
      </c>
      <c r="E3743">
        <v>17</v>
      </c>
      <c r="F3743" t="s">
        <v>7160</v>
      </c>
      <c r="G3743">
        <v>2354</v>
      </c>
      <c r="H3743">
        <v>1</v>
      </c>
      <c r="I3743" t="s">
        <v>81</v>
      </c>
      <c r="J3743">
        <v>0</v>
      </c>
      <c r="K3743">
        <v>1</v>
      </c>
      <c r="L3743">
        <v>2</v>
      </c>
      <c r="M3743">
        <v>310</v>
      </c>
      <c r="N3743">
        <v>415</v>
      </c>
      <c r="O3743">
        <v>7</v>
      </c>
      <c r="P3743">
        <v>416</v>
      </c>
      <c r="Q3743">
        <v>40</v>
      </c>
      <c r="R3743">
        <v>86</v>
      </c>
      <c r="S3743">
        <v>9</v>
      </c>
      <c r="T3743">
        <v>3</v>
      </c>
      <c r="U3743">
        <v>16</v>
      </c>
      <c r="V3743">
        <v>9</v>
      </c>
      <c r="W3743">
        <v>13</v>
      </c>
      <c r="X3743">
        <v>10</v>
      </c>
      <c r="Y3743">
        <v>172</v>
      </c>
      <c r="Z3743">
        <v>9</v>
      </c>
      <c r="AA3743">
        <v>1</v>
      </c>
      <c r="AB3743">
        <v>19</v>
      </c>
      <c r="AC3743">
        <v>0</v>
      </c>
      <c r="AD3743">
        <v>1</v>
      </c>
      <c r="AE3743">
        <v>0</v>
      </c>
      <c r="AF3743">
        <v>0</v>
      </c>
      <c r="AG3743">
        <v>1</v>
      </c>
      <c r="AH3743">
        <v>1</v>
      </c>
      <c r="AI3743">
        <v>1</v>
      </c>
      <c r="AJ3743">
        <v>0</v>
      </c>
      <c r="AK3743">
        <v>7</v>
      </c>
      <c r="AL3743">
        <v>2</v>
      </c>
      <c r="AM3743">
        <v>0</v>
      </c>
      <c r="AN3743">
        <v>0</v>
      </c>
      <c r="AT3743">
        <v>0</v>
      </c>
      <c r="AU3743">
        <v>16</v>
      </c>
      <c r="AV3743">
        <v>416</v>
      </c>
      <c r="AW3743">
        <v>416</v>
      </c>
      <c r="AX3743">
        <v>703</v>
      </c>
      <c r="BA3743">
        <v>1</v>
      </c>
      <c r="BC3743" t="s">
        <v>7591</v>
      </c>
      <c r="BD3743" s="4">
        <v>43283.101388888892</v>
      </c>
      <c r="BE3743" s="4">
        <v>43283.106006944443</v>
      </c>
      <c r="BF3743" s="4">
        <v>43283.106006944443</v>
      </c>
      <c r="BG3743" t="s">
        <v>83</v>
      </c>
      <c r="BH3743" t="s">
        <v>84</v>
      </c>
      <c r="BI3743" t="s">
        <v>85</v>
      </c>
    </row>
    <row r="3744" spans="1:61" x14ac:dyDescent="0.3">
      <c r="A3744" t="str">
        <f>"202354C0100"</f>
        <v>202354C0100</v>
      </c>
      <c r="B3744" t="s">
        <v>7592</v>
      </c>
      <c r="C3744">
        <v>20</v>
      </c>
      <c r="D3744" t="s">
        <v>79</v>
      </c>
      <c r="E3744">
        <v>17</v>
      </c>
      <c r="F3744" t="s">
        <v>7160</v>
      </c>
      <c r="G3744">
        <v>2354</v>
      </c>
      <c r="H3744">
        <v>1</v>
      </c>
      <c r="I3744" t="s">
        <v>89</v>
      </c>
      <c r="J3744">
        <v>0</v>
      </c>
      <c r="K3744">
        <v>1</v>
      </c>
      <c r="L3744">
        <v>2</v>
      </c>
      <c r="M3744">
        <v>332</v>
      </c>
      <c r="N3744">
        <v>393</v>
      </c>
      <c r="O3744">
        <v>2</v>
      </c>
      <c r="P3744" t="s">
        <v>100</v>
      </c>
      <c r="Q3744">
        <v>31</v>
      </c>
      <c r="R3744">
        <v>63</v>
      </c>
      <c r="S3744">
        <v>11</v>
      </c>
      <c r="T3744">
        <v>6</v>
      </c>
      <c r="U3744">
        <v>23</v>
      </c>
      <c r="V3744">
        <v>6</v>
      </c>
      <c r="W3744">
        <v>9</v>
      </c>
      <c r="X3744">
        <v>5</v>
      </c>
      <c r="Y3744">
        <v>178</v>
      </c>
      <c r="Z3744">
        <v>8</v>
      </c>
      <c r="AA3744">
        <v>0</v>
      </c>
      <c r="AB3744">
        <v>21</v>
      </c>
      <c r="AC3744">
        <v>0</v>
      </c>
      <c r="AD3744">
        <v>2</v>
      </c>
      <c r="AE3744">
        <v>1</v>
      </c>
      <c r="AF3744">
        <v>0</v>
      </c>
      <c r="AG3744">
        <v>3</v>
      </c>
      <c r="AH3744">
        <v>0</v>
      </c>
      <c r="AI3744">
        <v>0</v>
      </c>
      <c r="AJ3744">
        <v>0</v>
      </c>
      <c r="AK3744">
        <v>3</v>
      </c>
      <c r="AL3744">
        <v>1</v>
      </c>
      <c r="AM3744">
        <v>1</v>
      </c>
      <c r="AN3744">
        <v>1</v>
      </c>
      <c r="AT3744">
        <v>0</v>
      </c>
      <c r="AU3744">
        <v>20</v>
      </c>
      <c r="AV3744">
        <v>395</v>
      </c>
      <c r="AW3744">
        <v>393</v>
      </c>
      <c r="AX3744">
        <v>703</v>
      </c>
      <c r="BA3744">
        <v>1</v>
      </c>
      <c r="BC3744" t="s">
        <v>7593</v>
      </c>
      <c r="BD3744" s="4">
        <v>43283.101388888892</v>
      </c>
      <c r="BE3744" s="4">
        <v>43283.11550925926</v>
      </c>
      <c r="BF3744" s="4">
        <v>43283.11550925926</v>
      </c>
      <c r="BG3744" t="s">
        <v>83</v>
      </c>
      <c r="BH3744" t="s">
        <v>84</v>
      </c>
      <c r="BI3744" t="s">
        <v>85</v>
      </c>
    </row>
    <row r="3745" spans="1:61" x14ac:dyDescent="0.3">
      <c r="A3745" t="str">
        <f>"202354C0200"</f>
        <v>202354C0200</v>
      </c>
      <c r="B3745" t="s">
        <v>7594</v>
      </c>
      <c r="C3745">
        <v>20</v>
      </c>
      <c r="D3745" t="s">
        <v>79</v>
      </c>
      <c r="E3745">
        <v>17</v>
      </c>
      <c r="F3745" t="s">
        <v>7160</v>
      </c>
      <c r="G3745">
        <v>2354</v>
      </c>
      <c r="H3745">
        <v>2</v>
      </c>
      <c r="I3745" t="s">
        <v>89</v>
      </c>
      <c r="J3745">
        <v>0</v>
      </c>
      <c r="K3745">
        <v>1</v>
      </c>
      <c r="L3745">
        <v>2</v>
      </c>
      <c r="M3745">
        <v>330</v>
      </c>
      <c r="N3745">
        <v>395</v>
      </c>
      <c r="O3745">
        <v>2</v>
      </c>
      <c r="P3745">
        <v>396</v>
      </c>
      <c r="Q3745">
        <v>28</v>
      </c>
      <c r="R3745">
        <v>59</v>
      </c>
      <c r="S3745">
        <v>9</v>
      </c>
      <c r="T3745">
        <v>7</v>
      </c>
      <c r="U3745">
        <v>21</v>
      </c>
      <c r="V3745">
        <v>10</v>
      </c>
      <c r="W3745">
        <v>13</v>
      </c>
      <c r="X3745">
        <v>8</v>
      </c>
      <c r="Y3745">
        <v>172</v>
      </c>
      <c r="Z3745">
        <v>8</v>
      </c>
      <c r="AA3745">
        <v>1</v>
      </c>
      <c r="AB3745">
        <v>24</v>
      </c>
      <c r="AC3745">
        <v>0</v>
      </c>
      <c r="AD3745">
        <v>0</v>
      </c>
      <c r="AE3745">
        <v>0</v>
      </c>
      <c r="AF3745">
        <v>0</v>
      </c>
      <c r="AG3745">
        <v>1</v>
      </c>
      <c r="AH3745">
        <v>2</v>
      </c>
      <c r="AI3745">
        <v>1</v>
      </c>
      <c r="AJ3745">
        <v>0</v>
      </c>
      <c r="AK3745">
        <v>3</v>
      </c>
      <c r="AL3745">
        <v>1</v>
      </c>
      <c r="AM3745">
        <v>1</v>
      </c>
      <c r="AN3745">
        <v>1</v>
      </c>
      <c r="AT3745">
        <v>2</v>
      </c>
      <c r="AU3745">
        <v>24</v>
      </c>
      <c r="AV3745">
        <v>396</v>
      </c>
      <c r="AW3745">
        <v>396</v>
      </c>
      <c r="AX3745">
        <v>703</v>
      </c>
      <c r="BA3745">
        <v>1</v>
      </c>
      <c r="BC3745" t="s">
        <v>7595</v>
      </c>
      <c r="BD3745" s="4">
        <v>43283.109027777777</v>
      </c>
      <c r="BE3745" s="4">
        <v>43283.116990740738</v>
      </c>
      <c r="BF3745" s="4">
        <v>43283.116990740738</v>
      </c>
      <c r="BG3745" t="s">
        <v>83</v>
      </c>
      <c r="BH3745" t="s">
        <v>84</v>
      </c>
      <c r="BI3745" t="s">
        <v>85</v>
      </c>
    </row>
    <row r="3746" spans="1:61" x14ac:dyDescent="0.3">
      <c r="A3746" t="str">
        <f>"202354C0300"</f>
        <v>202354C0300</v>
      </c>
      <c r="B3746" t="s">
        <v>7596</v>
      </c>
      <c r="C3746">
        <v>20</v>
      </c>
      <c r="D3746" t="s">
        <v>79</v>
      </c>
      <c r="E3746">
        <v>17</v>
      </c>
      <c r="F3746" t="s">
        <v>7160</v>
      </c>
      <c r="G3746">
        <v>2354</v>
      </c>
      <c r="H3746">
        <v>3</v>
      </c>
      <c r="I3746" t="s">
        <v>89</v>
      </c>
      <c r="J3746">
        <v>0</v>
      </c>
      <c r="K3746">
        <v>1</v>
      </c>
      <c r="L3746">
        <v>2</v>
      </c>
      <c r="M3746">
        <v>313</v>
      </c>
      <c r="N3746">
        <v>412</v>
      </c>
      <c r="O3746">
        <v>6</v>
      </c>
      <c r="P3746">
        <v>411</v>
      </c>
      <c r="Q3746">
        <v>32</v>
      </c>
      <c r="R3746">
        <v>71</v>
      </c>
      <c r="S3746">
        <v>8</v>
      </c>
      <c r="T3746">
        <v>9</v>
      </c>
      <c r="U3746">
        <v>18</v>
      </c>
      <c r="V3746">
        <v>13</v>
      </c>
      <c r="W3746">
        <v>6</v>
      </c>
      <c r="X3746">
        <v>7</v>
      </c>
      <c r="Y3746">
        <v>179</v>
      </c>
      <c r="Z3746">
        <v>5</v>
      </c>
      <c r="AA3746">
        <v>2</v>
      </c>
      <c r="AB3746">
        <v>36</v>
      </c>
      <c r="AC3746">
        <v>0</v>
      </c>
      <c r="AD3746">
        <v>0</v>
      </c>
      <c r="AE3746">
        <v>0</v>
      </c>
      <c r="AF3746">
        <v>0</v>
      </c>
      <c r="AG3746">
        <v>1</v>
      </c>
      <c r="AH3746">
        <v>5</v>
      </c>
      <c r="AI3746">
        <v>2</v>
      </c>
      <c r="AJ3746">
        <v>0</v>
      </c>
      <c r="AK3746">
        <v>5</v>
      </c>
      <c r="AL3746">
        <v>0</v>
      </c>
      <c r="AM3746">
        <v>0</v>
      </c>
      <c r="AN3746">
        <v>1</v>
      </c>
      <c r="AT3746">
        <v>0</v>
      </c>
      <c r="AU3746">
        <v>11</v>
      </c>
      <c r="AV3746">
        <v>411</v>
      </c>
      <c r="AW3746">
        <v>411</v>
      </c>
      <c r="AX3746">
        <v>703</v>
      </c>
      <c r="BA3746">
        <v>1</v>
      </c>
      <c r="BC3746" t="s">
        <v>7597</v>
      </c>
      <c r="BD3746" s="4">
        <v>43283.101388888892</v>
      </c>
      <c r="BE3746" s="4">
        <v>43283.107418981483</v>
      </c>
      <c r="BF3746" s="4">
        <v>43283.107418981483</v>
      </c>
      <c r="BG3746" t="s">
        <v>83</v>
      </c>
      <c r="BH3746" t="s">
        <v>84</v>
      </c>
      <c r="BI3746" t="s">
        <v>85</v>
      </c>
    </row>
    <row r="3747" spans="1:61" x14ac:dyDescent="0.3">
      <c r="A3747" t="str">
        <f>"202355B0100"</f>
        <v>202355B0100</v>
      </c>
      <c r="B3747" t="s">
        <v>7598</v>
      </c>
      <c r="C3747">
        <v>20</v>
      </c>
      <c r="D3747" t="s">
        <v>79</v>
      </c>
      <c r="E3747">
        <v>17</v>
      </c>
      <c r="F3747" t="s">
        <v>7160</v>
      </c>
      <c r="G3747">
        <v>2355</v>
      </c>
      <c r="H3747">
        <v>1</v>
      </c>
      <c r="I3747" t="s">
        <v>81</v>
      </c>
      <c r="J3747">
        <v>0</v>
      </c>
      <c r="K3747">
        <v>1</v>
      </c>
      <c r="L3747">
        <v>2</v>
      </c>
      <c r="M3747">
        <v>261</v>
      </c>
      <c r="N3747">
        <v>468</v>
      </c>
      <c r="O3747">
        <v>3</v>
      </c>
      <c r="P3747">
        <v>468</v>
      </c>
      <c r="Q3747">
        <v>65</v>
      </c>
      <c r="R3747">
        <v>53</v>
      </c>
      <c r="S3747">
        <v>10</v>
      </c>
      <c r="T3747">
        <v>2</v>
      </c>
      <c r="U3747">
        <v>23</v>
      </c>
      <c r="V3747">
        <v>11</v>
      </c>
      <c r="W3747">
        <v>7</v>
      </c>
      <c r="X3747">
        <v>8</v>
      </c>
      <c r="Y3747">
        <v>228</v>
      </c>
      <c r="Z3747">
        <v>7</v>
      </c>
      <c r="AA3747">
        <v>4</v>
      </c>
      <c r="AB3747">
        <v>28</v>
      </c>
      <c r="AC3747">
        <v>0</v>
      </c>
      <c r="AD3747">
        <v>0</v>
      </c>
      <c r="AE3747">
        <v>0</v>
      </c>
      <c r="AF3747">
        <v>0</v>
      </c>
      <c r="AG3747">
        <v>1</v>
      </c>
      <c r="AH3747">
        <v>0</v>
      </c>
      <c r="AI3747">
        <v>0</v>
      </c>
      <c r="AJ3747">
        <v>0</v>
      </c>
      <c r="AK3747">
        <v>3</v>
      </c>
      <c r="AL3747">
        <v>1</v>
      </c>
      <c r="AM3747">
        <v>0</v>
      </c>
      <c r="AN3747">
        <v>0</v>
      </c>
      <c r="AT3747">
        <v>0</v>
      </c>
      <c r="AU3747">
        <v>17</v>
      </c>
      <c r="AV3747">
        <v>468</v>
      </c>
      <c r="AW3747">
        <v>468</v>
      </c>
      <c r="AX3747">
        <v>692</v>
      </c>
      <c r="BA3747">
        <v>1</v>
      </c>
      <c r="BC3747" t="s">
        <v>7599</v>
      </c>
      <c r="BD3747" s="4">
        <v>43283.004861111112</v>
      </c>
      <c r="BE3747" s="4">
        <v>43283.009641203702</v>
      </c>
      <c r="BF3747" s="4">
        <v>43283.009641203702</v>
      </c>
      <c r="BG3747" t="s">
        <v>83</v>
      </c>
      <c r="BH3747" t="s">
        <v>84</v>
      </c>
      <c r="BI3747" t="s">
        <v>85</v>
      </c>
    </row>
    <row r="3748" spans="1:61" x14ac:dyDescent="0.3">
      <c r="A3748" t="str">
        <f>"202355C0100"</f>
        <v>202355C0100</v>
      </c>
      <c r="B3748" t="s">
        <v>7600</v>
      </c>
      <c r="C3748">
        <v>20</v>
      </c>
      <c r="D3748" t="s">
        <v>79</v>
      </c>
      <c r="E3748">
        <v>17</v>
      </c>
      <c r="F3748" t="s">
        <v>7160</v>
      </c>
      <c r="G3748">
        <v>2355</v>
      </c>
      <c r="H3748">
        <v>1</v>
      </c>
      <c r="I3748" t="s">
        <v>89</v>
      </c>
      <c r="J3748">
        <v>0</v>
      </c>
      <c r="K3748">
        <v>1</v>
      </c>
      <c r="L3748">
        <v>2</v>
      </c>
      <c r="M3748">
        <v>257</v>
      </c>
      <c r="N3748">
        <v>456</v>
      </c>
      <c r="O3748">
        <v>3</v>
      </c>
      <c r="P3748">
        <v>456</v>
      </c>
      <c r="Q3748">
        <v>41</v>
      </c>
      <c r="R3748">
        <v>53</v>
      </c>
      <c r="S3748">
        <v>13</v>
      </c>
      <c r="T3748">
        <v>12</v>
      </c>
      <c r="U3748">
        <v>19</v>
      </c>
      <c r="V3748">
        <v>7</v>
      </c>
      <c r="W3748">
        <v>8</v>
      </c>
      <c r="X3748">
        <v>9</v>
      </c>
      <c r="Y3748">
        <v>220</v>
      </c>
      <c r="Z3748">
        <v>9</v>
      </c>
      <c r="AA3748">
        <v>1</v>
      </c>
      <c r="AB3748">
        <v>30</v>
      </c>
      <c r="AC3748">
        <v>0</v>
      </c>
      <c r="AD3748">
        <v>0</v>
      </c>
      <c r="AE3748">
        <v>0</v>
      </c>
      <c r="AF3748">
        <v>0</v>
      </c>
      <c r="AG3748">
        <v>1</v>
      </c>
      <c r="AH3748">
        <v>1</v>
      </c>
      <c r="AI3748">
        <v>0</v>
      </c>
      <c r="AJ3748">
        <v>0</v>
      </c>
      <c r="AK3748">
        <v>2</v>
      </c>
      <c r="AL3748">
        <v>4</v>
      </c>
      <c r="AM3748">
        <v>0</v>
      </c>
      <c r="AN3748">
        <v>0</v>
      </c>
      <c r="AT3748">
        <v>0</v>
      </c>
      <c r="AU3748">
        <v>26</v>
      </c>
      <c r="AV3748">
        <v>456</v>
      </c>
      <c r="AW3748">
        <v>456</v>
      </c>
      <c r="AX3748">
        <v>691</v>
      </c>
      <c r="BA3748">
        <v>1</v>
      </c>
      <c r="BC3748" t="s">
        <v>7601</v>
      </c>
      <c r="BD3748" s="4">
        <v>43283.032638888886</v>
      </c>
      <c r="BE3748" s="4">
        <v>43283.036157407405</v>
      </c>
      <c r="BF3748" s="4">
        <v>43283.036157407405</v>
      </c>
      <c r="BG3748" t="s">
        <v>83</v>
      </c>
      <c r="BH3748" t="s">
        <v>84</v>
      </c>
      <c r="BI3748" t="s">
        <v>85</v>
      </c>
    </row>
    <row r="3749" spans="1:61" x14ac:dyDescent="0.3">
      <c r="A3749" t="str">
        <f>"202356B0100"</f>
        <v>202356B0100</v>
      </c>
      <c r="B3749" t="s">
        <v>7602</v>
      </c>
      <c r="C3749">
        <v>20</v>
      </c>
      <c r="D3749" t="s">
        <v>79</v>
      </c>
      <c r="E3749">
        <v>17</v>
      </c>
      <c r="F3749" t="s">
        <v>7160</v>
      </c>
      <c r="G3749">
        <v>2356</v>
      </c>
      <c r="H3749">
        <v>1</v>
      </c>
      <c r="I3749" t="s">
        <v>81</v>
      </c>
      <c r="J3749">
        <v>0</v>
      </c>
      <c r="K3749">
        <v>2</v>
      </c>
      <c r="L3749">
        <v>2</v>
      </c>
      <c r="M3749">
        <v>191</v>
      </c>
      <c r="N3749">
        <v>278</v>
      </c>
      <c r="O3749">
        <v>12</v>
      </c>
      <c r="P3749">
        <v>278</v>
      </c>
      <c r="Q3749">
        <v>46</v>
      </c>
      <c r="R3749">
        <v>39</v>
      </c>
      <c r="S3749">
        <v>5</v>
      </c>
      <c r="T3749">
        <v>5</v>
      </c>
      <c r="U3749">
        <v>18</v>
      </c>
      <c r="V3749">
        <v>3</v>
      </c>
      <c r="W3749">
        <v>4</v>
      </c>
      <c r="X3749">
        <v>2</v>
      </c>
      <c r="Y3749">
        <v>118</v>
      </c>
      <c r="Z3749">
        <v>4</v>
      </c>
      <c r="AA3749">
        <v>0</v>
      </c>
      <c r="AB3749">
        <v>14</v>
      </c>
      <c r="AC3749">
        <v>0</v>
      </c>
      <c r="AD3749">
        <v>1</v>
      </c>
      <c r="AE3749">
        <v>0</v>
      </c>
      <c r="AF3749">
        <v>0</v>
      </c>
      <c r="AG3749">
        <v>1</v>
      </c>
      <c r="AH3749">
        <v>0</v>
      </c>
      <c r="AI3749">
        <v>0</v>
      </c>
      <c r="AJ3749">
        <v>0</v>
      </c>
      <c r="AK3749">
        <v>4</v>
      </c>
      <c r="AL3749">
        <v>0</v>
      </c>
      <c r="AM3749">
        <v>0</v>
      </c>
      <c r="AN3749">
        <v>0</v>
      </c>
      <c r="AT3749">
        <v>0</v>
      </c>
      <c r="AU3749">
        <v>13</v>
      </c>
      <c r="AV3749">
        <v>277</v>
      </c>
      <c r="AW3749">
        <v>277</v>
      </c>
      <c r="AX3749">
        <v>447</v>
      </c>
      <c r="BA3749">
        <v>1</v>
      </c>
      <c r="BC3749" t="s">
        <v>7603</v>
      </c>
      <c r="BD3749" s="4">
        <v>43283.031944444447</v>
      </c>
      <c r="BE3749" s="4">
        <v>43283.037847222222</v>
      </c>
      <c r="BF3749" s="4">
        <v>43283.037847222222</v>
      </c>
      <c r="BG3749" t="s">
        <v>83</v>
      </c>
      <c r="BH3749" t="s">
        <v>84</v>
      </c>
      <c r="BI3749" t="s">
        <v>85</v>
      </c>
    </row>
    <row r="3750" spans="1:61" x14ac:dyDescent="0.3">
      <c r="A3750" t="str">
        <f>"202356C0100"</f>
        <v>202356C0100</v>
      </c>
      <c r="B3750" t="s">
        <v>7604</v>
      </c>
      <c r="C3750">
        <v>20</v>
      </c>
      <c r="D3750" t="s">
        <v>79</v>
      </c>
      <c r="E3750">
        <v>17</v>
      </c>
      <c r="F3750" t="s">
        <v>7160</v>
      </c>
      <c r="G3750">
        <v>2356</v>
      </c>
      <c r="H3750">
        <v>1</v>
      </c>
      <c r="I3750" t="s">
        <v>89</v>
      </c>
      <c r="J3750">
        <v>0</v>
      </c>
      <c r="K3750">
        <v>2</v>
      </c>
      <c r="L3750">
        <v>2</v>
      </c>
      <c r="M3750">
        <v>189</v>
      </c>
      <c r="N3750">
        <v>279</v>
      </c>
      <c r="O3750">
        <v>3</v>
      </c>
      <c r="P3750" t="s">
        <v>100</v>
      </c>
      <c r="Q3750">
        <v>38</v>
      </c>
      <c r="R3750">
        <v>47</v>
      </c>
      <c r="S3750">
        <v>9</v>
      </c>
      <c r="T3750">
        <v>4</v>
      </c>
      <c r="U3750">
        <v>20</v>
      </c>
      <c r="V3750">
        <v>5</v>
      </c>
      <c r="W3750">
        <v>3</v>
      </c>
      <c r="X3750">
        <v>5</v>
      </c>
      <c r="Y3750">
        <v>101</v>
      </c>
      <c r="Z3750">
        <v>4</v>
      </c>
      <c r="AA3750">
        <v>2</v>
      </c>
      <c r="AB3750">
        <v>9</v>
      </c>
      <c r="AC3750">
        <v>3</v>
      </c>
      <c r="AD3750">
        <v>2</v>
      </c>
      <c r="AE3750" t="s">
        <v>100</v>
      </c>
      <c r="AF3750" t="s">
        <v>100</v>
      </c>
      <c r="AG3750">
        <v>1</v>
      </c>
      <c r="AH3750" t="s">
        <v>100</v>
      </c>
      <c r="AI3750" t="s">
        <v>100</v>
      </c>
      <c r="AJ3750" t="s">
        <v>100</v>
      </c>
      <c r="AK3750">
        <v>6</v>
      </c>
      <c r="AL3750">
        <v>2</v>
      </c>
      <c r="AM3750" t="s">
        <v>100</v>
      </c>
      <c r="AN3750">
        <v>1</v>
      </c>
      <c r="AT3750" t="s">
        <v>100</v>
      </c>
      <c r="AU3750" t="s">
        <v>100</v>
      </c>
      <c r="AV3750">
        <v>279</v>
      </c>
      <c r="AW3750">
        <v>262</v>
      </c>
      <c r="AX3750">
        <v>446</v>
      </c>
      <c r="AZ3750" t="s">
        <v>101</v>
      </c>
      <c r="BA3750">
        <v>1</v>
      </c>
      <c r="BC3750" t="s">
        <v>7605</v>
      </c>
      <c r="BD3750" s="4">
        <v>43283.091666666667</v>
      </c>
      <c r="BE3750" s="4">
        <v>43283.097442129627</v>
      </c>
      <c r="BF3750" s="4">
        <v>43283.097442129627</v>
      </c>
      <c r="BG3750" t="s">
        <v>83</v>
      </c>
      <c r="BH3750" t="s">
        <v>84</v>
      </c>
      <c r="BI3750" t="s">
        <v>85</v>
      </c>
    </row>
    <row r="3751" spans="1:61" x14ac:dyDescent="0.3">
      <c r="A3751" t="str">
        <f>"202356E0100"</f>
        <v>202356E0100</v>
      </c>
      <c r="B3751" s="2" t="s">
        <v>7606</v>
      </c>
      <c r="C3751">
        <v>20</v>
      </c>
      <c r="D3751" t="s">
        <v>79</v>
      </c>
      <c r="E3751">
        <v>17</v>
      </c>
      <c r="F3751" t="s">
        <v>7160</v>
      </c>
      <c r="G3751">
        <v>2356</v>
      </c>
      <c r="H3751">
        <v>1</v>
      </c>
      <c r="I3751" t="s">
        <v>145</v>
      </c>
      <c r="J3751">
        <v>0</v>
      </c>
      <c r="K3751">
        <v>2</v>
      </c>
      <c r="L3751">
        <v>2</v>
      </c>
      <c r="M3751">
        <v>57</v>
      </c>
      <c r="N3751">
        <v>177</v>
      </c>
      <c r="O3751">
        <v>7</v>
      </c>
      <c r="P3751">
        <v>177</v>
      </c>
      <c r="Q3751">
        <v>31</v>
      </c>
      <c r="R3751">
        <v>88</v>
      </c>
      <c r="S3751">
        <v>2</v>
      </c>
      <c r="T3751">
        <v>2</v>
      </c>
      <c r="U3751">
        <v>7</v>
      </c>
      <c r="V3751">
        <v>1</v>
      </c>
      <c r="W3751">
        <v>1</v>
      </c>
      <c r="X3751">
        <v>0</v>
      </c>
      <c r="Y3751">
        <v>21</v>
      </c>
      <c r="Z3751">
        <v>0</v>
      </c>
      <c r="AA3751">
        <v>0</v>
      </c>
      <c r="AB3751">
        <v>16</v>
      </c>
      <c r="AC3751">
        <v>1</v>
      </c>
      <c r="AD3751">
        <v>0</v>
      </c>
      <c r="AE3751">
        <v>0</v>
      </c>
      <c r="AF3751">
        <v>0</v>
      </c>
      <c r="AG3751">
        <v>1</v>
      </c>
      <c r="AH3751">
        <v>1</v>
      </c>
      <c r="AI3751">
        <v>1</v>
      </c>
      <c r="AJ3751">
        <v>0</v>
      </c>
      <c r="AK3751">
        <v>1</v>
      </c>
      <c r="AL3751">
        <v>1</v>
      </c>
      <c r="AM3751">
        <v>0</v>
      </c>
      <c r="AN3751">
        <v>0</v>
      </c>
      <c r="AT3751">
        <v>0</v>
      </c>
      <c r="AU3751">
        <v>2</v>
      </c>
      <c r="AV3751">
        <v>177</v>
      </c>
      <c r="AW3751">
        <v>177</v>
      </c>
      <c r="AX3751">
        <v>212</v>
      </c>
      <c r="BA3751">
        <v>1</v>
      </c>
      <c r="BC3751" t="s">
        <v>7607</v>
      </c>
      <c r="BD3751" s="4">
        <v>43283.091666666667</v>
      </c>
      <c r="BE3751" s="4">
        <v>43283.096203703702</v>
      </c>
      <c r="BF3751" s="4">
        <v>43283.096203703702</v>
      </c>
      <c r="BG3751" t="s">
        <v>83</v>
      </c>
      <c r="BH3751" t="s">
        <v>84</v>
      </c>
      <c r="BI3751" t="s">
        <v>85</v>
      </c>
    </row>
    <row r="3752" spans="1:61" x14ac:dyDescent="0.3">
      <c r="A3752" t="str">
        <f>"202357B0100"</f>
        <v>202357B0100</v>
      </c>
      <c r="B3752" t="s">
        <v>7608</v>
      </c>
      <c r="C3752">
        <v>20</v>
      </c>
      <c r="D3752" t="s">
        <v>79</v>
      </c>
      <c r="E3752">
        <v>17</v>
      </c>
      <c r="F3752" t="s">
        <v>7160</v>
      </c>
      <c r="G3752">
        <v>2357</v>
      </c>
      <c r="H3752">
        <v>1</v>
      </c>
      <c r="I3752" t="s">
        <v>81</v>
      </c>
      <c r="J3752">
        <v>0</v>
      </c>
      <c r="K3752">
        <v>1</v>
      </c>
      <c r="L3752">
        <v>2</v>
      </c>
      <c r="M3752">
        <v>259</v>
      </c>
      <c r="N3752">
        <v>446</v>
      </c>
      <c r="O3752">
        <v>15</v>
      </c>
      <c r="P3752">
        <v>418</v>
      </c>
      <c r="Q3752">
        <v>73</v>
      </c>
      <c r="R3752">
        <v>78</v>
      </c>
      <c r="S3752">
        <v>7</v>
      </c>
      <c r="T3752">
        <v>14</v>
      </c>
      <c r="U3752">
        <v>24</v>
      </c>
      <c r="V3752">
        <v>5</v>
      </c>
      <c r="W3752">
        <v>1</v>
      </c>
      <c r="X3752">
        <v>13</v>
      </c>
      <c r="Y3752">
        <v>158</v>
      </c>
      <c r="Z3752">
        <v>3</v>
      </c>
      <c r="AA3752">
        <v>2</v>
      </c>
      <c r="AB3752">
        <v>29</v>
      </c>
      <c r="AC3752">
        <v>1</v>
      </c>
      <c r="AD3752">
        <v>3</v>
      </c>
      <c r="AE3752">
        <v>1</v>
      </c>
      <c r="AF3752">
        <v>0</v>
      </c>
      <c r="AG3752">
        <v>0</v>
      </c>
      <c r="AH3752">
        <v>1</v>
      </c>
      <c r="AI3752">
        <v>0</v>
      </c>
      <c r="AJ3752">
        <v>0</v>
      </c>
      <c r="AK3752">
        <v>7</v>
      </c>
      <c r="AL3752">
        <v>3</v>
      </c>
      <c r="AM3752">
        <v>0</v>
      </c>
      <c r="AN3752">
        <v>0</v>
      </c>
      <c r="AT3752">
        <v>0</v>
      </c>
      <c r="AU3752">
        <v>23</v>
      </c>
      <c r="AV3752">
        <v>446</v>
      </c>
      <c r="AW3752">
        <v>446</v>
      </c>
      <c r="AX3752">
        <v>684</v>
      </c>
      <c r="BA3752">
        <v>1</v>
      </c>
      <c r="BC3752" t="s">
        <v>7609</v>
      </c>
      <c r="BD3752" s="4">
        <v>43283.089583333334</v>
      </c>
      <c r="BE3752" s="4">
        <v>43283.093506944446</v>
      </c>
      <c r="BF3752" s="4">
        <v>43283.093506944446</v>
      </c>
      <c r="BG3752" t="s">
        <v>83</v>
      </c>
      <c r="BH3752" t="s">
        <v>84</v>
      </c>
      <c r="BI3752" t="s">
        <v>85</v>
      </c>
    </row>
    <row r="3753" spans="1:61" x14ac:dyDescent="0.3">
      <c r="A3753" t="str">
        <f>"202357C0100"</f>
        <v>202357C0100</v>
      </c>
      <c r="B3753" t="s">
        <v>7610</v>
      </c>
      <c r="C3753">
        <v>20</v>
      </c>
      <c r="D3753" t="s">
        <v>79</v>
      </c>
      <c r="E3753">
        <v>17</v>
      </c>
      <c r="F3753" t="s">
        <v>7160</v>
      </c>
      <c r="G3753">
        <v>2357</v>
      </c>
      <c r="H3753">
        <v>1</v>
      </c>
      <c r="I3753" t="s">
        <v>89</v>
      </c>
      <c r="J3753">
        <v>0</v>
      </c>
      <c r="K3753">
        <v>1</v>
      </c>
      <c r="L3753">
        <v>2</v>
      </c>
      <c r="M3753">
        <v>239</v>
      </c>
      <c r="N3753">
        <v>466</v>
      </c>
      <c r="O3753">
        <v>7</v>
      </c>
      <c r="P3753">
        <v>467</v>
      </c>
      <c r="Q3753">
        <v>76</v>
      </c>
      <c r="R3753">
        <v>82</v>
      </c>
      <c r="S3753">
        <v>16</v>
      </c>
      <c r="T3753">
        <v>9</v>
      </c>
      <c r="U3753">
        <v>24</v>
      </c>
      <c r="V3753">
        <v>7</v>
      </c>
      <c r="W3753">
        <v>7</v>
      </c>
      <c r="X3753">
        <v>8</v>
      </c>
      <c r="Y3753">
        <v>178</v>
      </c>
      <c r="Z3753">
        <v>4</v>
      </c>
      <c r="AA3753">
        <v>0</v>
      </c>
      <c r="AB3753">
        <v>23</v>
      </c>
      <c r="AC3753">
        <v>1</v>
      </c>
      <c r="AD3753">
        <v>0</v>
      </c>
      <c r="AE3753">
        <v>1</v>
      </c>
      <c r="AF3753">
        <v>0</v>
      </c>
      <c r="AG3753">
        <v>1</v>
      </c>
      <c r="AH3753">
        <v>1</v>
      </c>
      <c r="AI3753">
        <v>1</v>
      </c>
      <c r="AJ3753">
        <v>0</v>
      </c>
      <c r="AK3753">
        <v>3</v>
      </c>
      <c r="AL3753">
        <v>2</v>
      </c>
      <c r="AM3753">
        <v>1</v>
      </c>
      <c r="AN3753">
        <v>2</v>
      </c>
      <c r="AT3753">
        <v>0</v>
      </c>
      <c r="AU3753">
        <v>20</v>
      </c>
      <c r="AV3753">
        <v>467</v>
      </c>
      <c r="AW3753">
        <v>467</v>
      </c>
      <c r="AX3753">
        <v>683</v>
      </c>
      <c r="BA3753">
        <v>1</v>
      </c>
      <c r="BC3753" s="2" t="s">
        <v>7611</v>
      </c>
      <c r="BD3753" s="4">
        <v>43283.091666666667</v>
      </c>
      <c r="BE3753" s="4">
        <v>43283.096516203703</v>
      </c>
      <c r="BF3753" s="4">
        <v>43283.096516203703</v>
      </c>
      <c r="BG3753" t="s">
        <v>83</v>
      </c>
      <c r="BH3753" t="s">
        <v>84</v>
      </c>
      <c r="BI3753" t="s">
        <v>85</v>
      </c>
    </row>
    <row r="3754" spans="1:61" x14ac:dyDescent="0.3">
      <c r="A3754" t="str">
        <f>"202358B0100"</f>
        <v>202358B0100</v>
      </c>
      <c r="B3754" t="s">
        <v>7612</v>
      </c>
      <c r="C3754">
        <v>20</v>
      </c>
      <c r="D3754" t="s">
        <v>79</v>
      </c>
      <c r="E3754">
        <v>17</v>
      </c>
      <c r="F3754" t="s">
        <v>7160</v>
      </c>
      <c r="G3754">
        <v>2358</v>
      </c>
      <c r="H3754">
        <v>1</v>
      </c>
      <c r="I3754" t="s">
        <v>81</v>
      </c>
      <c r="J3754">
        <v>0</v>
      </c>
      <c r="K3754">
        <v>2</v>
      </c>
      <c r="L3754">
        <v>2</v>
      </c>
      <c r="M3754">
        <v>259</v>
      </c>
      <c r="N3754">
        <v>356</v>
      </c>
      <c r="O3754">
        <v>3</v>
      </c>
      <c r="P3754">
        <v>356</v>
      </c>
      <c r="Q3754">
        <v>40</v>
      </c>
      <c r="R3754">
        <v>69</v>
      </c>
      <c r="S3754">
        <v>5</v>
      </c>
      <c r="T3754">
        <v>7</v>
      </c>
      <c r="U3754">
        <v>15</v>
      </c>
      <c r="V3754">
        <v>6</v>
      </c>
      <c r="W3754">
        <v>4</v>
      </c>
      <c r="X3754">
        <v>11</v>
      </c>
      <c r="Y3754">
        <v>154</v>
      </c>
      <c r="Z3754">
        <v>7</v>
      </c>
      <c r="AA3754">
        <v>0</v>
      </c>
      <c r="AB3754">
        <v>15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2</v>
      </c>
      <c r="AL3754">
        <v>2</v>
      </c>
      <c r="AM3754">
        <v>1</v>
      </c>
      <c r="AN3754">
        <v>1</v>
      </c>
      <c r="AT3754">
        <v>0</v>
      </c>
      <c r="AU3754">
        <v>17</v>
      </c>
      <c r="AV3754">
        <v>356</v>
      </c>
      <c r="AW3754">
        <v>356</v>
      </c>
      <c r="AX3754">
        <v>593</v>
      </c>
      <c r="BA3754">
        <v>1</v>
      </c>
      <c r="BC3754" t="s">
        <v>7613</v>
      </c>
      <c r="BD3754" s="4">
        <v>43283.122916666667</v>
      </c>
      <c r="BE3754" s="4">
        <v>43283.12636574074</v>
      </c>
      <c r="BF3754" s="4">
        <v>43283.12636574074</v>
      </c>
      <c r="BG3754" t="s">
        <v>83</v>
      </c>
      <c r="BH3754" t="s">
        <v>84</v>
      </c>
      <c r="BI3754" t="s">
        <v>85</v>
      </c>
    </row>
    <row r="3755" spans="1:61" x14ac:dyDescent="0.3">
      <c r="A3755" t="str">
        <f>"202358C0100"</f>
        <v>202358C0100</v>
      </c>
      <c r="B3755" t="s">
        <v>7614</v>
      </c>
      <c r="C3755">
        <v>20</v>
      </c>
      <c r="D3755" t="s">
        <v>79</v>
      </c>
      <c r="E3755">
        <v>17</v>
      </c>
      <c r="F3755" t="s">
        <v>7160</v>
      </c>
      <c r="G3755">
        <v>2358</v>
      </c>
      <c r="H3755">
        <v>1</v>
      </c>
      <c r="I3755" t="s">
        <v>89</v>
      </c>
      <c r="J3755">
        <v>0</v>
      </c>
      <c r="K3755">
        <v>2</v>
      </c>
      <c r="L3755">
        <v>2</v>
      </c>
      <c r="M3755">
        <v>274</v>
      </c>
      <c r="N3755">
        <v>341</v>
      </c>
      <c r="O3755">
        <v>3</v>
      </c>
      <c r="P3755">
        <v>341</v>
      </c>
      <c r="Q3755">
        <v>39</v>
      </c>
      <c r="R3755">
        <v>53</v>
      </c>
      <c r="S3755">
        <v>6</v>
      </c>
      <c r="T3755">
        <v>6</v>
      </c>
      <c r="U3755">
        <v>23</v>
      </c>
      <c r="V3755">
        <v>3</v>
      </c>
      <c r="W3755">
        <v>4</v>
      </c>
      <c r="X3755">
        <v>9</v>
      </c>
      <c r="Y3755">
        <v>144</v>
      </c>
      <c r="Z3755">
        <v>3</v>
      </c>
      <c r="AA3755">
        <v>2</v>
      </c>
      <c r="AB3755">
        <v>23</v>
      </c>
      <c r="AC3755">
        <v>0</v>
      </c>
      <c r="AD3755">
        <v>1</v>
      </c>
      <c r="AE3755">
        <v>0</v>
      </c>
      <c r="AF3755">
        <v>0</v>
      </c>
      <c r="AG3755">
        <v>2</v>
      </c>
      <c r="AH3755">
        <v>3</v>
      </c>
      <c r="AI3755">
        <v>0</v>
      </c>
      <c r="AJ3755">
        <v>0</v>
      </c>
      <c r="AK3755">
        <v>0</v>
      </c>
      <c r="AL3755">
        <v>1</v>
      </c>
      <c r="AM3755">
        <v>0</v>
      </c>
      <c r="AN3755">
        <v>4</v>
      </c>
      <c r="AT3755">
        <v>1</v>
      </c>
      <c r="AU3755">
        <v>14</v>
      </c>
      <c r="AV3755">
        <v>341</v>
      </c>
      <c r="AW3755">
        <v>341</v>
      </c>
      <c r="AX3755">
        <v>593</v>
      </c>
      <c r="BA3755">
        <v>1</v>
      </c>
      <c r="BC3755" t="s">
        <v>7615</v>
      </c>
      <c r="BD3755" s="4">
        <v>43283.122916666667</v>
      </c>
      <c r="BE3755" s="4">
        <v>43283.132361111115</v>
      </c>
      <c r="BF3755" s="4">
        <v>43283.132361111115</v>
      </c>
      <c r="BG3755" t="s">
        <v>83</v>
      </c>
      <c r="BH3755" t="s">
        <v>84</v>
      </c>
      <c r="BI3755" t="s">
        <v>85</v>
      </c>
    </row>
    <row r="3756" spans="1:61" x14ac:dyDescent="0.3">
      <c r="A3756" t="str">
        <f>"202358C0200"</f>
        <v>202358C0200</v>
      </c>
      <c r="B3756" t="s">
        <v>7616</v>
      </c>
      <c r="C3756">
        <v>20</v>
      </c>
      <c r="D3756" t="s">
        <v>79</v>
      </c>
      <c r="E3756">
        <v>17</v>
      </c>
      <c r="F3756" t="s">
        <v>7160</v>
      </c>
      <c r="G3756">
        <v>2358</v>
      </c>
      <c r="H3756">
        <v>2</v>
      </c>
      <c r="I3756" t="s">
        <v>89</v>
      </c>
      <c r="J3756">
        <v>0</v>
      </c>
      <c r="K3756">
        <v>2</v>
      </c>
      <c r="L3756">
        <v>2</v>
      </c>
      <c r="AX3756">
        <v>593</v>
      </c>
      <c r="AZ3756" t="s">
        <v>156</v>
      </c>
      <c r="BA3756">
        <v>0</v>
      </c>
      <c r="BC3756" t="s">
        <v>7617</v>
      </c>
      <c r="BD3756" s="4">
        <v>43283.714583333334</v>
      </c>
      <c r="BE3756" s="4">
        <v>43283.725069444445</v>
      </c>
      <c r="BF3756" s="4">
        <v>43283.725069444445</v>
      </c>
      <c r="BG3756" t="s">
        <v>83</v>
      </c>
      <c r="BH3756" t="s">
        <v>84</v>
      </c>
      <c r="BI3756" t="s">
        <v>85</v>
      </c>
    </row>
    <row r="3757" spans="1:61" x14ac:dyDescent="0.3">
      <c r="A3757" t="str">
        <f>"202359B0100"</f>
        <v>202359B0100</v>
      </c>
      <c r="B3757" t="s">
        <v>7618</v>
      </c>
      <c r="C3757">
        <v>20</v>
      </c>
      <c r="D3757" t="s">
        <v>79</v>
      </c>
      <c r="E3757">
        <v>17</v>
      </c>
      <c r="F3757" t="s">
        <v>7160</v>
      </c>
      <c r="G3757">
        <v>2359</v>
      </c>
      <c r="H3757">
        <v>1</v>
      </c>
      <c r="I3757" t="s">
        <v>81</v>
      </c>
      <c r="J3757">
        <v>0</v>
      </c>
      <c r="K3757">
        <v>1</v>
      </c>
      <c r="L3757">
        <v>2</v>
      </c>
      <c r="M3757">
        <v>229</v>
      </c>
      <c r="N3757">
        <v>366</v>
      </c>
      <c r="O3757">
        <v>2</v>
      </c>
      <c r="P3757">
        <v>366</v>
      </c>
      <c r="Q3757">
        <v>71</v>
      </c>
      <c r="R3757">
        <v>76</v>
      </c>
      <c r="S3757">
        <v>12</v>
      </c>
      <c r="T3757">
        <v>3</v>
      </c>
      <c r="U3757">
        <v>17</v>
      </c>
      <c r="V3757">
        <v>7</v>
      </c>
      <c r="W3757">
        <v>8</v>
      </c>
      <c r="X3757">
        <v>3</v>
      </c>
      <c r="Y3757">
        <v>126</v>
      </c>
      <c r="Z3757">
        <v>7</v>
      </c>
      <c r="AA3757">
        <v>1</v>
      </c>
      <c r="AB3757">
        <v>13</v>
      </c>
      <c r="AC3757">
        <v>1</v>
      </c>
      <c r="AD3757">
        <v>1</v>
      </c>
      <c r="AE3757">
        <v>0</v>
      </c>
      <c r="AF3757">
        <v>0</v>
      </c>
      <c r="AG3757">
        <v>1</v>
      </c>
      <c r="AH3757">
        <v>0</v>
      </c>
      <c r="AI3757">
        <v>0</v>
      </c>
      <c r="AJ3757">
        <v>0</v>
      </c>
      <c r="AK3757">
        <v>2</v>
      </c>
      <c r="AL3757">
        <v>2</v>
      </c>
      <c r="AM3757">
        <v>0</v>
      </c>
      <c r="AN3757">
        <v>0</v>
      </c>
      <c r="AT3757">
        <v>0</v>
      </c>
      <c r="AU3757">
        <v>15</v>
      </c>
      <c r="AV3757">
        <v>365</v>
      </c>
      <c r="AW3757">
        <v>366</v>
      </c>
      <c r="AX3757">
        <v>573</v>
      </c>
      <c r="BA3757">
        <v>1</v>
      </c>
      <c r="BC3757" t="s">
        <v>7619</v>
      </c>
      <c r="BD3757" s="4">
        <v>43283.122916666667</v>
      </c>
      <c r="BE3757" s="4">
        <v>43283.131932870368</v>
      </c>
      <c r="BF3757" s="4">
        <v>43283.131932870368</v>
      </c>
      <c r="BG3757" t="s">
        <v>83</v>
      </c>
      <c r="BH3757" t="s">
        <v>84</v>
      </c>
      <c r="BI3757" t="s">
        <v>85</v>
      </c>
    </row>
    <row r="3758" spans="1:61" x14ac:dyDescent="0.3">
      <c r="A3758" t="str">
        <f>"202360B0100"</f>
        <v>202360B0100</v>
      </c>
      <c r="B3758" t="s">
        <v>7620</v>
      </c>
      <c r="C3758">
        <v>20</v>
      </c>
      <c r="D3758" t="s">
        <v>79</v>
      </c>
      <c r="E3758">
        <v>17</v>
      </c>
      <c r="F3758" t="s">
        <v>7160</v>
      </c>
      <c r="G3758">
        <v>2360</v>
      </c>
      <c r="H3758">
        <v>1</v>
      </c>
      <c r="I3758" t="s">
        <v>81</v>
      </c>
      <c r="J3758">
        <v>0</v>
      </c>
      <c r="K3758">
        <v>2</v>
      </c>
      <c r="L3758">
        <v>2</v>
      </c>
      <c r="M3758">
        <v>257</v>
      </c>
      <c r="N3758">
        <v>207</v>
      </c>
      <c r="O3758">
        <v>6</v>
      </c>
      <c r="P3758">
        <v>207</v>
      </c>
      <c r="Q3758">
        <v>24</v>
      </c>
      <c r="R3758">
        <v>60</v>
      </c>
      <c r="S3758">
        <v>2</v>
      </c>
      <c r="T3758">
        <v>7</v>
      </c>
      <c r="U3758">
        <v>21</v>
      </c>
      <c r="V3758">
        <v>3</v>
      </c>
      <c r="W3758">
        <v>2</v>
      </c>
      <c r="X3758">
        <v>2</v>
      </c>
      <c r="Y3758">
        <v>63</v>
      </c>
      <c r="Z3758">
        <v>2</v>
      </c>
      <c r="AA3758">
        <v>0</v>
      </c>
      <c r="AB3758">
        <v>4</v>
      </c>
      <c r="AC3758">
        <v>1</v>
      </c>
      <c r="AD3758">
        <v>0</v>
      </c>
      <c r="AE3758">
        <v>0</v>
      </c>
      <c r="AF3758">
        <v>0</v>
      </c>
      <c r="AG3758">
        <v>1</v>
      </c>
      <c r="AH3758">
        <v>3</v>
      </c>
      <c r="AI3758">
        <v>0</v>
      </c>
      <c r="AJ3758">
        <v>0</v>
      </c>
      <c r="AK3758">
        <v>4</v>
      </c>
      <c r="AL3758">
        <v>0</v>
      </c>
      <c r="AM3758">
        <v>0</v>
      </c>
      <c r="AN3758">
        <v>0</v>
      </c>
      <c r="AT3758">
        <v>0</v>
      </c>
      <c r="AU3758">
        <v>8</v>
      </c>
      <c r="AV3758">
        <v>207</v>
      </c>
      <c r="AW3758">
        <v>207</v>
      </c>
      <c r="AX3758">
        <v>442</v>
      </c>
      <c r="BA3758">
        <v>1</v>
      </c>
      <c r="BC3758" t="s">
        <v>7621</v>
      </c>
      <c r="BD3758" s="4">
        <v>43283.122916666667</v>
      </c>
      <c r="BE3758" s="4">
        <v>43283.13140046296</v>
      </c>
      <c r="BF3758" s="4">
        <v>43283.13140046296</v>
      </c>
      <c r="BG3758" t="s">
        <v>83</v>
      </c>
      <c r="BH3758" t="s">
        <v>84</v>
      </c>
      <c r="BI3758" t="s">
        <v>85</v>
      </c>
    </row>
    <row r="3759" spans="1:61" x14ac:dyDescent="0.3">
      <c r="A3759" t="str">
        <f>"202360C0100"</f>
        <v>202360C0100</v>
      </c>
      <c r="B3759" t="s">
        <v>7622</v>
      </c>
      <c r="C3759">
        <v>20</v>
      </c>
      <c r="D3759" t="s">
        <v>79</v>
      </c>
      <c r="E3759">
        <v>17</v>
      </c>
      <c r="F3759" t="s">
        <v>7160</v>
      </c>
      <c r="G3759">
        <v>2360</v>
      </c>
      <c r="H3759">
        <v>1</v>
      </c>
      <c r="I3759" t="s">
        <v>89</v>
      </c>
      <c r="J3759">
        <v>0</v>
      </c>
      <c r="K3759">
        <v>2</v>
      </c>
      <c r="L3759">
        <v>2</v>
      </c>
      <c r="M3759">
        <v>260</v>
      </c>
      <c r="N3759">
        <v>203</v>
      </c>
      <c r="O3759">
        <v>5</v>
      </c>
      <c r="P3759">
        <v>203</v>
      </c>
      <c r="Q3759">
        <v>24</v>
      </c>
      <c r="R3759">
        <v>66</v>
      </c>
      <c r="S3759">
        <v>4</v>
      </c>
      <c r="T3759">
        <v>2</v>
      </c>
      <c r="U3759">
        <v>16</v>
      </c>
      <c r="V3759">
        <v>4</v>
      </c>
      <c r="W3759">
        <v>5</v>
      </c>
      <c r="X3759">
        <v>5</v>
      </c>
      <c r="Y3759">
        <v>55</v>
      </c>
      <c r="Z3759">
        <v>2</v>
      </c>
      <c r="AA3759">
        <v>0</v>
      </c>
      <c r="AB3759">
        <v>8</v>
      </c>
      <c r="AC3759">
        <v>1</v>
      </c>
      <c r="AD3759">
        <v>0</v>
      </c>
      <c r="AE3759">
        <v>0</v>
      </c>
      <c r="AF3759">
        <v>0</v>
      </c>
      <c r="AG3759">
        <v>1</v>
      </c>
      <c r="AH3759">
        <v>1</v>
      </c>
      <c r="AI3759">
        <v>0</v>
      </c>
      <c r="AJ3759">
        <v>0</v>
      </c>
      <c r="AK3759">
        <v>2</v>
      </c>
      <c r="AL3759">
        <v>0</v>
      </c>
      <c r="AM3759">
        <v>0</v>
      </c>
      <c r="AN3759">
        <v>0</v>
      </c>
      <c r="AT3759">
        <v>0</v>
      </c>
      <c r="AU3759">
        <v>7</v>
      </c>
      <c r="AV3759">
        <v>203</v>
      </c>
      <c r="AW3759">
        <v>203</v>
      </c>
      <c r="AX3759">
        <v>441</v>
      </c>
      <c r="BA3759">
        <v>1</v>
      </c>
      <c r="BC3759" t="s">
        <v>7623</v>
      </c>
      <c r="BD3759" s="4">
        <v>43283.122916666667</v>
      </c>
      <c r="BE3759" s="4">
        <v>43283.143067129633</v>
      </c>
      <c r="BF3759" s="4">
        <v>43283.143067129633</v>
      </c>
      <c r="BG3759" t="s">
        <v>83</v>
      </c>
      <c r="BH3759" t="s">
        <v>84</v>
      </c>
      <c r="BI3759" t="s">
        <v>85</v>
      </c>
    </row>
    <row r="3760" spans="1:61" x14ac:dyDescent="0.3">
      <c r="A3760" t="str">
        <f>"202361B0100"</f>
        <v>202361B0100</v>
      </c>
      <c r="B3760" t="s">
        <v>7624</v>
      </c>
      <c r="C3760">
        <v>20</v>
      </c>
      <c r="D3760" t="s">
        <v>79</v>
      </c>
      <c r="E3760">
        <v>17</v>
      </c>
      <c r="F3760" t="s">
        <v>7160</v>
      </c>
      <c r="G3760">
        <v>2361</v>
      </c>
      <c r="H3760">
        <v>1</v>
      </c>
      <c r="I3760" t="s">
        <v>81</v>
      </c>
      <c r="J3760">
        <v>0</v>
      </c>
      <c r="K3760">
        <v>2</v>
      </c>
      <c r="L3760">
        <v>2</v>
      </c>
      <c r="M3760">
        <v>159</v>
      </c>
      <c r="N3760">
        <v>214</v>
      </c>
      <c r="O3760">
        <v>2</v>
      </c>
      <c r="P3760">
        <v>214</v>
      </c>
      <c r="Q3760">
        <v>13</v>
      </c>
      <c r="R3760">
        <v>77</v>
      </c>
      <c r="S3760">
        <v>0</v>
      </c>
      <c r="T3760">
        <v>7</v>
      </c>
      <c r="U3760">
        <v>10</v>
      </c>
      <c r="V3760">
        <v>5</v>
      </c>
      <c r="W3760">
        <v>10</v>
      </c>
      <c r="X3760">
        <v>5</v>
      </c>
      <c r="Y3760">
        <v>39</v>
      </c>
      <c r="Z3760">
        <v>7</v>
      </c>
      <c r="AA3760">
        <v>2</v>
      </c>
      <c r="AB3760">
        <v>24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1</v>
      </c>
      <c r="AI3760">
        <v>1</v>
      </c>
      <c r="AJ3760">
        <v>0</v>
      </c>
      <c r="AK3760">
        <v>3</v>
      </c>
      <c r="AL3760">
        <v>0</v>
      </c>
      <c r="AM3760">
        <v>0</v>
      </c>
      <c r="AN3760">
        <v>0</v>
      </c>
      <c r="AT3760">
        <v>0</v>
      </c>
      <c r="AU3760">
        <v>9</v>
      </c>
      <c r="AV3760">
        <v>213</v>
      </c>
      <c r="AW3760">
        <v>213</v>
      </c>
      <c r="AX3760">
        <v>351</v>
      </c>
      <c r="BA3760">
        <v>1</v>
      </c>
      <c r="BC3760" t="s">
        <v>7625</v>
      </c>
      <c r="BD3760" s="4">
        <v>43283.165277777778</v>
      </c>
      <c r="BE3760" s="4">
        <v>43283.179363425923</v>
      </c>
      <c r="BF3760" s="4">
        <v>43283.179363425923</v>
      </c>
      <c r="BG3760" t="s">
        <v>83</v>
      </c>
      <c r="BH3760" t="s">
        <v>84</v>
      </c>
      <c r="BI3760" t="s">
        <v>85</v>
      </c>
    </row>
    <row r="3761" spans="1:61" x14ac:dyDescent="0.3">
      <c r="A3761" t="str">
        <f>"202412B0100"</f>
        <v>202412B0100</v>
      </c>
      <c r="B3761" t="s">
        <v>7626</v>
      </c>
      <c r="C3761">
        <v>20</v>
      </c>
      <c r="D3761" t="s">
        <v>79</v>
      </c>
      <c r="E3761">
        <v>17</v>
      </c>
      <c r="F3761" t="s">
        <v>7160</v>
      </c>
      <c r="G3761">
        <v>2412</v>
      </c>
      <c r="H3761">
        <v>1</v>
      </c>
      <c r="I3761" t="s">
        <v>81</v>
      </c>
      <c r="J3761">
        <v>0</v>
      </c>
      <c r="K3761">
        <v>1</v>
      </c>
      <c r="L3761">
        <v>2</v>
      </c>
      <c r="M3761">
        <v>318</v>
      </c>
      <c r="N3761">
        <v>278</v>
      </c>
      <c r="O3761">
        <v>0</v>
      </c>
      <c r="P3761">
        <v>278</v>
      </c>
      <c r="Q3761">
        <v>18</v>
      </c>
      <c r="R3761">
        <v>33</v>
      </c>
      <c r="S3761">
        <v>13</v>
      </c>
      <c r="T3761">
        <v>5</v>
      </c>
      <c r="U3761">
        <v>31</v>
      </c>
      <c r="V3761">
        <v>4</v>
      </c>
      <c r="W3761">
        <v>2</v>
      </c>
      <c r="X3761">
        <v>6</v>
      </c>
      <c r="Y3761">
        <v>122</v>
      </c>
      <c r="Z3761">
        <v>6</v>
      </c>
      <c r="AA3761">
        <v>1</v>
      </c>
      <c r="AB3761">
        <v>18</v>
      </c>
      <c r="AC3761">
        <v>1</v>
      </c>
      <c r="AD3761">
        <v>0</v>
      </c>
      <c r="AE3761">
        <v>0</v>
      </c>
      <c r="AF3761">
        <v>0</v>
      </c>
      <c r="AG3761">
        <v>2</v>
      </c>
      <c r="AH3761">
        <v>1</v>
      </c>
      <c r="AI3761">
        <v>0</v>
      </c>
      <c r="AJ3761">
        <v>0</v>
      </c>
      <c r="AK3761">
        <v>0</v>
      </c>
      <c r="AL3761">
        <v>2</v>
      </c>
      <c r="AM3761">
        <v>0</v>
      </c>
      <c r="AN3761">
        <v>5</v>
      </c>
      <c r="AT3761">
        <v>0</v>
      </c>
      <c r="AU3761">
        <v>8</v>
      </c>
      <c r="AV3761">
        <v>278</v>
      </c>
      <c r="AW3761">
        <v>278</v>
      </c>
      <c r="AX3761">
        <v>573</v>
      </c>
      <c r="BA3761">
        <v>1</v>
      </c>
      <c r="BC3761" t="s">
        <v>7627</v>
      </c>
      <c r="BD3761" s="4">
        <v>43283.079861111109</v>
      </c>
      <c r="BE3761" s="4">
        <v>43283.084722222222</v>
      </c>
      <c r="BF3761" s="4">
        <v>43283.084722222222</v>
      </c>
      <c r="BG3761" t="s">
        <v>83</v>
      </c>
      <c r="BH3761" t="s">
        <v>84</v>
      </c>
      <c r="BI3761" t="s">
        <v>85</v>
      </c>
    </row>
    <row r="3762" spans="1:61" x14ac:dyDescent="0.3">
      <c r="A3762" t="str">
        <f>"202412C0100"</f>
        <v>202412C0100</v>
      </c>
      <c r="B3762" t="s">
        <v>7628</v>
      </c>
      <c r="C3762">
        <v>20</v>
      </c>
      <c r="D3762" t="s">
        <v>79</v>
      </c>
      <c r="E3762">
        <v>17</v>
      </c>
      <c r="F3762" t="s">
        <v>7160</v>
      </c>
      <c r="G3762">
        <v>2412</v>
      </c>
      <c r="H3762">
        <v>1</v>
      </c>
      <c r="I3762" t="s">
        <v>89</v>
      </c>
      <c r="J3762">
        <v>0</v>
      </c>
      <c r="K3762">
        <v>1</v>
      </c>
      <c r="L3762">
        <v>2</v>
      </c>
      <c r="M3762">
        <v>290</v>
      </c>
      <c r="N3762">
        <v>304</v>
      </c>
      <c r="O3762">
        <v>0</v>
      </c>
      <c r="P3762">
        <v>303</v>
      </c>
      <c r="Q3762">
        <v>22</v>
      </c>
      <c r="R3762">
        <v>42</v>
      </c>
      <c r="S3762">
        <v>7</v>
      </c>
      <c r="T3762">
        <v>6</v>
      </c>
      <c r="U3762">
        <v>32</v>
      </c>
      <c r="V3762">
        <v>5</v>
      </c>
      <c r="W3762">
        <v>2</v>
      </c>
      <c r="X3762">
        <v>8</v>
      </c>
      <c r="Y3762">
        <v>120</v>
      </c>
      <c r="Z3762">
        <v>3</v>
      </c>
      <c r="AA3762">
        <v>2</v>
      </c>
      <c r="AB3762">
        <v>29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1</v>
      </c>
      <c r="AI3762">
        <v>0</v>
      </c>
      <c r="AJ3762">
        <v>0</v>
      </c>
      <c r="AK3762">
        <v>3</v>
      </c>
      <c r="AL3762">
        <v>3</v>
      </c>
      <c r="AM3762">
        <v>0</v>
      </c>
      <c r="AN3762">
        <v>1</v>
      </c>
      <c r="AT3762">
        <v>0</v>
      </c>
      <c r="AU3762">
        <v>17</v>
      </c>
      <c r="AV3762">
        <v>303</v>
      </c>
      <c r="AW3762">
        <v>303</v>
      </c>
      <c r="AX3762">
        <v>572</v>
      </c>
      <c r="BA3762">
        <v>1</v>
      </c>
      <c r="BC3762" t="s">
        <v>7629</v>
      </c>
      <c r="BD3762" s="4">
        <v>43283.079861111109</v>
      </c>
      <c r="BE3762" s="4">
        <v>43283.0862037037</v>
      </c>
      <c r="BF3762" s="4">
        <v>43283.0862037037</v>
      </c>
      <c r="BG3762" t="s">
        <v>83</v>
      </c>
      <c r="BH3762" t="s">
        <v>84</v>
      </c>
      <c r="BI3762" t="s">
        <v>85</v>
      </c>
    </row>
    <row r="3763" spans="1:61" x14ac:dyDescent="0.3">
      <c r="A3763" t="str">
        <f>"202413B0100"</f>
        <v>202413B0100</v>
      </c>
      <c r="B3763" t="s">
        <v>7630</v>
      </c>
      <c r="C3763">
        <v>20</v>
      </c>
      <c r="D3763" t="s">
        <v>79</v>
      </c>
      <c r="E3763">
        <v>17</v>
      </c>
      <c r="F3763" t="s">
        <v>7160</v>
      </c>
      <c r="G3763">
        <v>2413</v>
      </c>
      <c r="H3763">
        <v>1</v>
      </c>
      <c r="I3763" t="s">
        <v>81</v>
      </c>
      <c r="J3763">
        <v>0</v>
      </c>
      <c r="K3763">
        <v>1</v>
      </c>
      <c r="L3763">
        <v>2</v>
      </c>
      <c r="M3763">
        <v>255</v>
      </c>
      <c r="N3763">
        <v>289</v>
      </c>
      <c r="O3763">
        <v>2</v>
      </c>
      <c r="P3763">
        <v>289</v>
      </c>
      <c r="Q3763">
        <v>23</v>
      </c>
      <c r="R3763">
        <v>39</v>
      </c>
      <c r="S3763">
        <v>16</v>
      </c>
      <c r="T3763">
        <v>9</v>
      </c>
      <c r="U3763">
        <v>34</v>
      </c>
      <c r="V3763">
        <v>5</v>
      </c>
      <c r="W3763">
        <v>3</v>
      </c>
      <c r="X3763">
        <v>9</v>
      </c>
      <c r="Y3763">
        <v>109</v>
      </c>
      <c r="Z3763">
        <v>2</v>
      </c>
      <c r="AA3763">
        <v>1</v>
      </c>
      <c r="AB3763">
        <v>20</v>
      </c>
      <c r="AC3763">
        <v>0</v>
      </c>
      <c r="AD3763">
        <v>0</v>
      </c>
      <c r="AE3763">
        <v>0</v>
      </c>
      <c r="AF3763">
        <v>0</v>
      </c>
      <c r="AG3763">
        <v>1</v>
      </c>
      <c r="AH3763">
        <v>0</v>
      </c>
      <c r="AI3763">
        <v>0</v>
      </c>
      <c r="AJ3763">
        <v>0</v>
      </c>
      <c r="AK3763">
        <v>6</v>
      </c>
      <c r="AL3763">
        <v>2</v>
      </c>
      <c r="AM3763">
        <v>0</v>
      </c>
      <c r="AN3763">
        <v>2</v>
      </c>
      <c r="AT3763">
        <v>0</v>
      </c>
      <c r="AU3763">
        <v>8</v>
      </c>
      <c r="AV3763">
        <v>289</v>
      </c>
      <c r="AW3763">
        <v>289</v>
      </c>
      <c r="AX3763">
        <v>522</v>
      </c>
      <c r="BA3763">
        <v>1</v>
      </c>
      <c r="BC3763" t="s">
        <v>7631</v>
      </c>
      <c r="BD3763" s="4">
        <v>43283.079861111109</v>
      </c>
      <c r="BE3763" s="4">
        <v>43283.084872685184</v>
      </c>
      <c r="BF3763" s="4">
        <v>43283.084872685184</v>
      </c>
      <c r="BG3763" t="s">
        <v>83</v>
      </c>
      <c r="BH3763" t="s">
        <v>84</v>
      </c>
      <c r="BI3763" t="s">
        <v>85</v>
      </c>
    </row>
    <row r="3764" spans="1:61" x14ac:dyDescent="0.3">
      <c r="A3764" t="str">
        <f>"202413C0100"</f>
        <v>202413C0100</v>
      </c>
      <c r="B3764" t="s">
        <v>7632</v>
      </c>
      <c r="C3764">
        <v>20</v>
      </c>
      <c r="D3764" t="s">
        <v>79</v>
      </c>
      <c r="E3764">
        <v>17</v>
      </c>
      <c r="F3764" t="s">
        <v>7160</v>
      </c>
      <c r="G3764">
        <v>2413</v>
      </c>
      <c r="H3764">
        <v>1</v>
      </c>
      <c r="I3764" t="s">
        <v>89</v>
      </c>
      <c r="J3764">
        <v>0</v>
      </c>
      <c r="K3764">
        <v>1</v>
      </c>
      <c r="L3764">
        <v>2</v>
      </c>
      <c r="M3764">
        <v>223</v>
      </c>
      <c r="N3764">
        <v>321</v>
      </c>
      <c r="O3764">
        <v>6</v>
      </c>
      <c r="P3764">
        <v>321</v>
      </c>
      <c r="Q3764">
        <v>21</v>
      </c>
      <c r="R3764">
        <v>73</v>
      </c>
      <c r="S3764">
        <v>12</v>
      </c>
      <c r="T3764">
        <v>10</v>
      </c>
      <c r="U3764">
        <v>36</v>
      </c>
      <c r="V3764">
        <v>3</v>
      </c>
      <c r="W3764">
        <v>2</v>
      </c>
      <c r="X3764">
        <v>4</v>
      </c>
      <c r="Y3764">
        <v>99</v>
      </c>
      <c r="Z3764">
        <v>9</v>
      </c>
      <c r="AA3764">
        <v>2</v>
      </c>
      <c r="AB3764">
        <v>20</v>
      </c>
      <c r="AC3764">
        <v>0</v>
      </c>
      <c r="AD3764">
        <v>1</v>
      </c>
      <c r="AE3764">
        <v>1</v>
      </c>
      <c r="AF3764">
        <v>0</v>
      </c>
      <c r="AG3764">
        <v>1</v>
      </c>
      <c r="AH3764" t="s">
        <v>315</v>
      </c>
      <c r="AI3764">
        <v>2</v>
      </c>
      <c r="AJ3764">
        <v>0</v>
      </c>
      <c r="AK3764">
        <v>2</v>
      </c>
      <c r="AL3764">
        <v>0</v>
      </c>
      <c r="AM3764">
        <v>0</v>
      </c>
      <c r="AN3764">
        <v>0</v>
      </c>
      <c r="AT3764">
        <v>0</v>
      </c>
      <c r="AU3764">
        <v>20</v>
      </c>
      <c r="AV3764" t="s">
        <v>100</v>
      </c>
      <c r="AW3764">
        <v>318</v>
      </c>
      <c r="AX3764">
        <v>522</v>
      </c>
      <c r="AZ3764" t="s">
        <v>101</v>
      </c>
      <c r="BA3764">
        <v>1</v>
      </c>
      <c r="BC3764" t="s">
        <v>7633</v>
      </c>
      <c r="BD3764" s="4">
        <v>43283.079861111109</v>
      </c>
      <c r="BE3764" s="4">
        <v>43283.089398148149</v>
      </c>
      <c r="BF3764" s="4">
        <v>43283.089398148149</v>
      </c>
      <c r="BG3764" t="s">
        <v>83</v>
      </c>
      <c r="BH3764" t="s">
        <v>84</v>
      </c>
      <c r="BI3764" t="s">
        <v>85</v>
      </c>
    </row>
    <row r="3765" spans="1:61" x14ac:dyDescent="0.3">
      <c r="A3765" t="str">
        <f>"202414B0100"</f>
        <v>202414B0100</v>
      </c>
      <c r="B3765" t="s">
        <v>7634</v>
      </c>
      <c r="C3765">
        <v>20</v>
      </c>
      <c r="D3765" t="s">
        <v>79</v>
      </c>
      <c r="E3765">
        <v>17</v>
      </c>
      <c r="F3765" t="s">
        <v>7160</v>
      </c>
      <c r="G3765">
        <v>2414</v>
      </c>
      <c r="H3765">
        <v>1</v>
      </c>
      <c r="I3765" t="s">
        <v>81</v>
      </c>
      <c r="J3765">
        <v>0</v>
      </c>
      <c r="K3765">
        <v>2</v>
      </c>
      <c r="L3765">
        <v>2</v>
      </c>
      <c r="M3765">
        <v>214</v>
      </c>
      <c r="N3765">
        <v>275</v>
      </c>
      <c r="O3765">
        <v>8</v>
      </c>
      <c r="P3765">
        <v>267</v>
      </c>
      <c r="Q3765">
        <v>15</v>
      </c>
      <c r="R3765">
        <v>36</v>
      </c>
      <c r="S3765">
        <v>8</v>
      </c>
      <c r="T3765">
        <v>4</v>
      </c>
      <c r="U3765">
        <v>40</v>
      </c>
      <c r="V3765">
        <v>4</v>
      </c>
      <c r="W3765">
        <v>3</v>
      </c>
      <c r="X3765">
        <v>6</v>
      </c>
      <c r="Y3765">
        <v>112</v>
      </c>
      <c r="Z3765">
        <v>8</v>
      </c>
      <c r="AA3765">
        <v>0</v>
      </c>
      <c r="AB3765">
        <v>5</v>
      </c>
      <c r="AC3765">
        <v>1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1</v>
      </c>
      <c r="AK3765">
        <v>0</v>
      </c>
      <c r="AL3765">
        <v>4</v>
      </c>
      <c r="AM3765">
        <v>1</v>
      </c>
      <c r="AN3765">
        <v>2</v>
      </c>
      <c r="AT3765">
        <v>0</v>
      </c>
      <c r="AU3765">
        <v>16</v>
      </c>
      <c r="AV3765">
        <v>267</v>
      </c>
      <c r="AW3765">
        <v>266</v>
      </c>
      <c r="AX3765">
        <v>458</v>
      </c>
      <c r="BA3765">
        <v>1</v>
      </c>
      <c r="BC3765" t="s">
        <v>7635</v>
      </c>
      <c r="BD3765" s="4">
        <v>43283.079861111109</v>
      </c>
      <c r="BE3765" s="4">
        <v>43283.086562500001</v>
      </c>
      <c r="BF3765" s="4">
        <v>43283.086562500001</v>
      </c>
      <c r="BG3765" t="s">
        <v>83</v>
      </c>
      <c r="BH3765" t="s">
        <v>84</v>
      </c>
      <c r="BI3765" t="s">
        <v>85</v>
      </c>
    </row>
    <row r="3766" spans="1:61" x14ac:dyDescent="0.3">
      <c r="A3766" t="str">
        <f>"202414C0100"</f>
        <v>202414C0100</v>
      </c>
      <c r="B3766" t="s">
        <v>7636</v>
      </c>
      <c r="C3766">
        <v>20</v>
      </c>
      <c r="D3766" t="s">
        <v>79</v>
      </c>
      <c r="E3766">
        <v>17</v>
      </c>
      <c r="F3766" t="s">
        <v>7160</v>
      </c>
      <c r="G3766">
        <v>2414</v>
      </c>
      <c r="H3766">
        <v>1</v>
      </c>
      <c r="I3766" t="s">
        <v>89</v>
      </c>
      <c r="J3766">
        <v>0</v>
      </c>
      <c r="K3766">
        <v>2</v>
      </c>
      <c r="L3766">
        <v>2</v>
      </c>
      <c r="M3766">
        <v>250</v>
      </c>
      <c r="N3766">
        <v>229</v>
      </c>
      <c r="O3766">
        <v>8</v>
      </c>
      <c r="P3766">
        <v>229</v>
      </c>
      <c r="Q3766">
        <v>13</v>
      </c>
      <c r="R3766">
        <v>24</v>
      </c>
      <c r="S3766">
        <v>11</v>
      </c>
      <c r="T3766">
        <v>4</v>
      </c>
      <c r="U3766">
        <v>38</v>
      </c>
      <c r="V3766">
        <v>1</v>
      </c>
      <c r="W3766">
        <v>1</v>
      </c>
      <c r="X3766">
        <v>1</v>
      </c>
      <c r="Y3766">
        <v>96</v>
      </c>
      <c r="Z3766">
        <v>3</v>
      </c>
      <c r="AA3766">
        <v>0</v>
      </c>
      <c r="AB3766">
        <v>8</v>
      </c>
      <c r="AC3766">
        <v>0</v>
      </c>
      <c r="AD3766">
        <v>0</v>
      </c>
      <c r="AE3766">
        <v>0</v>
      </c>
      <c r="AF3766">
        <v>0</v>
      </c>
      <c r="AG3766">
        <v>1</v>
      </c>
      <c r="AH3766">
        <v>0</v>
      </c>
      <c r="AI3766">
        <v>0</v>
      </c>
      <c r="AJ3766">
        <v>0</v>
      </c>
      <c r="AK3766">
        <v>8</v>
      </c>
      <c r="AL3766">
        <v>0</v>
      </c>
      <c r="AM3766">
        <v>0</v>
      </c>
      <c r="AN3766">
        <v>2</v>
      </c>
      <c r="AT3766">
        <v>0</v>
      </c>
      <c r="AU3766">
        <v>18</v>
      </c>
      <c r="AV3766">
        <v>229</v>
      </c>
      <c r="AW3766">
        <v>229</v>
      </c>
      <c r="AX3766">
        <v>457</v>
      </c>
      <c r="BA3766">
        <v>1</v>
      </c>
      <c r="BC3766" t="s">
        <v>7637</v>
      </c>
      <c r="BD3766" s="4">
        <v>43283.079861111109</v>
      </c>
      <c r="BE3766" s="4">
        <v>43283.086689814816</v>
      </c>
      <c r="BF3766" s="4">
        <v>43283.086689814816</v>
      </c>
      <c r="BG3766" t="s">
        <v>83</v>
      </c>
      <c r="BH3766" t="s">
        <v>84</v>
      </c>
      <c r="BI3766" t="s">
        <v>85</v>
      </c>
    </row>
    <row r="3767" spans="1:61" x14ac:dyDescent="0.3">
      <c r="A3767" t="str">
        <f>"202414E0100"</f>
        <v>202414E0100</v>
      </c>
      <c r="B3767" s="2" t="s">
        <v>7638</v>
      </c>
      <c r="C3767">
        <v>20</v>
      </c>
      <c r="D3767" t="s">
        <v>79</v>
      </c>
      <c r="E3767">
        <v>17</v>
      </c>
      <c r="F3767" t="s">
        <v>7160</v>
      </c>
      <c r="G3767">
        <v>2414</v>
      </c>
      <c r="H3767">
        <v>1</v>
      </c>
      <c r="I3767" t="s">
        <v>145</v>
      </c>
      <c r="J3767">
        <v>0</v>
      </c>
      <c r="K3767">
        <v>2</v>
      </c>
      <c r="L3767">
        <v>2</v>
      </c>
      <c r="M3767">
        <v>69</v>
      </c>
      <c r="N3767">
        <v>84</v>
      </c>
      <c r="O3767">
        <v>5</v>
      </c>
      <c r="P3767">
        <v>84</v>
      </c>
      <c r="Q3767">
        <v>7</v>
      </c>
      <c r="R3767">
        <v>16</v>
      </c>
      <c r="S3767">
        <v>3</v>
      </c>
      <c r="T3767">
        <v>0</v>
      </c>
      <c r="U3767">
        <v>10</v>
      </c>
      <c r="V3767">
        <v>1</v>
      </c>
      <c r="W3767">
        <v>0</v>
      </c>
      <c r="X3767">
        <v>1</v>
      </c>
      <c r="Y3767">
        <v>34</v>
      </c>
      <c r="Z3767">
        <v>2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1</v>
      </c>
      <c r="AL3767">
        <v>2</v>
      </c>
      <c r="AM3767">
        <v>0</v>
      </c>
      <c r="AN3767">
        <v>2</v>
      </c>
      <c r="AT3767">
        <v>0</v>
      </c>
      <c r="AU3767">
        <v>5</v>
      </c>
      <c r="AV3767">
        <v>84</v>
      </c>
      <c r="AW3767">
        <v>84</v>
      </c>
      <c r="AX3767">
        <v>131</v>
      </c>
      <c r="BA3767">
        <v>1</v>
      </c>
      <c r="BC3767" t="s">
        <v>7639</v>
      </c>
      <c r="BD3767" s="4">
        <v>43283.079861111109</v>
      </c>
      <c r="BE3767" s="4">
        <v>43283.380532407406</v>
      </c>
      <c r="BF3767" s="4">
        <v>43283.380532407406</v>
      </c>
      <c r="BG3767" t="s">
        <v>83</v>
      </c>
      <c r="BH3767" t="s">
        <v>84</v>
      </c>
      <c r="BI3767" t="s">
        <v>85</v>
      </c>
    </row>
    <row r="3768" spans="1:61" x14ac:dyDescent="0.3">
      <c r="A3768" t="str">
        <f>"202415B0100"</f>
        <v>202415B0100</v>
      </c>
      <c r="B3768" t="s">
        <v>7640</v>
      </c>
      <c r="C3768">
        <v>20</v>
      </c>
      <c r="D3768" t="s">
        <v>79</v>
      </c>
      <c r="E3768">
        <v>17</v>
      </c>
      <c r="F3768" t="s">
        <v>7160</v>
      </c>
      <c r="G3768">
        <v>2415</v>
      </c>
      <c r="H3768">
        <v>1</v>
      </c>
      <c r="I3768" t="s">
        <v>81</v>
      </c>
      <c r="J3768">
        <v>0</v>
      </c>
      <c r="K3768">
        <v>1</v>
      </c>
      <c r="L3768">
        <v>2</v>
      </c>
      <c r="M3768">
        <v>264</v>
      </c>
      <c r="N3768">
        <v>357</v>
      </c>
      <c r="O3768">
        <v>2</v>
      </c>
      <c r="P3768">
        <v>357</v>
      </c>
      <c r="Q3768">
        <v>31</v>
      </c>
      <c r="R3768">
        <v>53</v>
      </c>
      <c r="S3768">
        <v>8</v>
      </c>
      <c r="T3768">
        <v>5</v>
      </c>
      <c r="U3768">
        <v>49</v>
      </c>
      <c r="V3768">
        <v>8</v>
      </c>
      <c r="W3768">
        <v>3</v>
      </c>
      <c r="X3768">
        <v>6</v>
      </c>
      <c r="Y3768">
        <v>141</v>
      </c>
      <c r="Z3768">
        <v>7</v>
      </c>
      <c r="AA3768">
        <v>0</v>
      </c>
      <c r="AB3768">
        <v>16</v>
      </c>
      <c r="AC3768">
        <v>0</v>
      </c>
      <c r="AD3768">
        <v>0</v>
      </c>
      <c r="AE3768">
        <v>1</v>
      </c>
      <c r="AF3768">
        <v>0</v>
      </c>
      <c r="AG3768">
        <v>0</v>
      </c>
      <c r="AH3768">
        <v>1</v>
      </c>
      <c r="AI3768">
        <v>0</v>
      </c>
      <c r="AJ3768">
        <v>1</v>
      </c>
      <c r="AK3768">
        <v>4</v>
      </c>
      <c r="AL3768">
        <v>3</v>
      </c>
      <c r="AM3768">
        <v>0</v>
      </c>
      <c r="AN3768">
        <v>3</v>
      </c>
      <c r="AT3768">
        <v>0</v>
      </c>
      <c r="AU3768">
        <v>17</v>
      </c>
      <c r="AV3768">
        <v>357</v>
      </c>
      <c r="AW3768">
        <v>357</v>
      </c>
      <c r="AX3768">
        <v>599</v>
      </c>
      <c r="BA3768">
        <v>1</v>
      </c>
      <c r="BC3768" t="s">
        <v>7641</v>
      </c>
      <c r="BD3768" s="4">
        <v>43283.079861111109</v>
      </c>
      <c r="BE3768" s="4">
        <v>43283.091689814813</v>
      </c>
      <c r="BF3768" s="4">
        <v>43283.091689814813</v>
      </c>
      <c r="BG3768" t="s">
        <v>83</v>
      </c>
      <c r="BH3768" t="s">
        <v>84</v>
      </c>
      <c r="BI3768" t="s">
        <v>85</v>
      </c>
    </row>
    <row r="3769" spans="1:61" x14ac:dyDescent="0.3">
      <c r="A3769" t="str">
        <f>"202415C0100"</f>
        <v>202415C0100</v>
      </c>
      <c r="B3769" t="s">
        <v>7642</v>
      </c>
      <c r="C3769">
        <v>20</v>
      </c>
      <c r="D3769" t="s">
        <v>79</v>
      </c>
      <c r="E3769">
        <v>17</v>
      </c>
      <c r="F3769" t="s">
        <v>7160</v>
      </c>
      <c r="G3769">
        <v>2415</v>
      </c>
      <c r="H3769">
        <v>1</v>
      </c>
      <c r="I3769" t="s">
        <v>89</v>
      </c>
      <c r="J3769">
        <v>0</v>
      </c>
      <c r="K3769">
        <v>1</v>
      </c>
      <c r="L3769">
        <v>2</v>
      </c>
      <c r="M3769">
        <v>294</v>
      </c>
      <c r="N3769">
        <v>326</v>
      </c>
      <c r="O3769">
        <v>2</v>
      </c>
      <c r="P3769">
        <v>326</v>
      </c>
      <c r="Q3769">
        <v>11</v>
      </c>
      <c r="R3769">
        <v>36</v>
      </c>
      <c r="S3769">
        <v>11</v>
      </c>
      <c r="T3769">
        <v>2</v>
      </c>
      <c r="U3769">
        <v>64</v>
      </c>
      <c r="V3769">
        <v>8</v>
      </c>
      <c r="W3769">
        <v>2</v>
      </c>
      <c r="X3769">
        <v>6</v>
      </c>
      <c r="Y3769">
        <v>145</v>
      </c>
      <c r="Z3769">
        <v>7</v>
      </c>
      <c r="AA3769">
        <v>0</v>
      </c>
      <c r="AB3769">
        <v>15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4</v>
      </c>
      <c r="AL3769">
        <v>1</v>
      </c>
      <c r="AM3769">
        <v>0</v>
      </c>
      <c r="AN3769">
        <v>2</v>
      </c>
      <c r="AT3769">
        <v>0</v>
      </c>
      <c r="AU3769">
        <v>12</v>
      </c>
      <c r="AV3769">
        <v>326</v>
      </c>
      <c r="AW3769">
        <v>326</v>
      </c>
      <c r="AX3769">
        <v>598</v>
      </c>
      <c r="BA3769">
        <v>1</v>
      </c>
      <c r="BC3769" t="s">
        <v>7643</v>
      </c>
      <c r="BD3769" s="4">
        <v>43283.079861111109</v>
      </c>
      <c r="BE3769" s="4">
        <v>43283.085532407407</v>
      </c>
      <c r="BF3769" s="4">
        <v>43283.085532407407</v>
      </c>
      <c r="BG3769" t="s">
        <v>83</v>
      </c>
      <c r="BH3769" t="s">
        <v>84</v>
      </c>
      <c r="BI3769" t="s">
        <v>85</v>
      </c>
    </row>
    <row r="3770" spans="1:61" x14ac:dyDescent="0.3">
      <c r="A3770" t="str">
        <f>"202416B0100"</f>
        <v>202416B0100</v>
      </c>
      <c r="B3770" t="s">
        <v>7644</v>
      </c>
      <c r="C3770">
        <v>20</v>
      </c>
      <c r="D3770" t="s">
        <v>79</v>
      </c>
      <c r="E3770">
        <v>17</v>
      </c>
      <c r="F3770" t="s">
        <v>7160</v>
      </c>
      <c r="G3770">
        <v>2416</v>
      </c>
      <c r="H3770">
        <v>1</v>
      </c>
      <c r="I3770" t="s">
        <v>81</v>
      </c>
      <c r="J3770">
        <v>0</v>
      </c>
      <c r="K3770">
        <v>2</v>
      </c>
      <c r="L3770">
        <v>2</v>
      </c>
      <c r="M3770">
        <v>107</v>
      </c>
      <c r="N3770" t="s">
        <v>100</v>
      </c>
      <c r="O3770">
        <v>4</v>
      </c>
      <c r="P3770">
        <v>191</v>
      </c>
      <c r="Q3770">
        <v>11</v>
      </c>
      <c r="R3770">
        <v>13</v>
      </c>
      <c r="S3770">
        <v>7</v>
      </c>
      <c r="T3770">
        <v>3</v>
      </c>
      <c r="U3770">
        <v>23</v>
      </c>
      <c r="V3770">
        <v>7</v>
      </c>
      <c r="W3770">
        <v>4</v>
      </c>
      <c r="X3770">
        <v>3</v>
      </c>
      <c r="Y3770">
        <v>81</v>
      </c>
      <c r="Z3770">
        <v>9</v>
      </c>
      <c r="AA3770" t="s">
        <v>100</v>
      </c>
      <c r="AB3770">
        <v>3</v>
      </c>
      <c r="AC3770" t="s">
        <v>100</v>
      </c>
      <c r="AD3770" t="s">
        <v>100</v>
      </c>
      <c r="AE3770" t="s">
        <v>100</v>
      </c>
      <c r="AF3770" t="s">
        <v>100</v>
      </c>
      <c r="AG3770" t="s">
        <v>100</v>
      </c>
      <c r="AH3770" t="s">
        <v>100</v>
      </c>
      <c r="AI3770" t="s">
        <v>100</v>
      </c>
      <c r="AJ3770" t="s">
        <v>100</v>
      </c>
      <c r="AK3770">
        <v>14</v>
      </c>
      <c r="AL3770">
        <v>6</v>
      </c>
      <c r="AM3770">
        <v>1</v>
      </c>
      <c r="AN3770">
        <v>1</v>
      </c>
      <c r="AT3770" t="s">
        <v>100</v>
      </c>
      <c r="AU3770">
        <v>6</v>
      </c>
      <c r="AV3770">
        <v>191</v>
      </c>
      <c r="AW3770">
        <v>192</v>
      </c>
      <c r="AX3770">
        <v>277</v>
      </c>
      <c r="AZ3770" t="s">
        <v>101</v>
      </c>
      <c r="BA3770">
        <v>1</v>
      </c>
      <c r="BC3770" t="s">
        <v>7645</v>
      </c>
      <c r="BD3770" s="4">
        <v>43283.470138888886</v>
      </c>
      <c r="BE3770" s="4">
        <v>43283.473495370374</v>
      </c>
      <c r="BF3770" s="4">
        <v>43283.473495370374</v>
      </c>
      <c r="BG3770" t="s">
        <v>83</v>
      </c>
      <c r="BH3770" t="s">
        <v>84</v>
      </c>
      <c r="BI3770" t="s">
        <v>85</v>
      </c>
    </row>
    <row r="3771" spans="1:61" x14ac:dyDescent="0.3">
      <c r="A3771" t="str">
        <f>"202419B0100"</f>
        <v>202419B0100</v>
      </c>
      <c r="B3771" t="s">
        <v>7646</v>
      </c>
      <c r="C3771">
        <v>20</v>
      </c>
      <c r="D3771" t="s">
        <v>79</v>
      </c>
      <c r="E3771">
        <v>17</v>
      </c>
      <c r="F3771" t="s">
        <v>7160</v>
      </c>
      <c r="G3771">
        <v>2419</v>
      </c>
      <c r="H3771">
        <v>1</v>
      </c>
      <c r="I3771" t="s">
        <v>81</v>
      </c>
      <c r="J3771">
        <v>0</v>
      </c>
      <c r="K3771">
        <v>1</v>
      </c>
      <c r="L3771">
        <v>2</v>
      </c>
      <c r="M3771">
        <v>229</v>
      </c>
      <c r="N3771">
        <v>233</v>
      </c>
      <c r="O3771">
        <v>0</v>
      </c>
      <c r="P3771">
        <v>231</v>
      </c>
      <c r="Q3771">
        <v>13</v>
      </c>
      <c r="R3771">
        <v>33</v>
      </c>
      <c r="S3771">
        <v>8</v>
      </c>
      <c r="T3771">
        <v>7</v>
      </c>
      <c r="U3771">
        <v>18</v>
      </c>
      <c r="V3771">
        <v>4</v>
      </c>
      <c r="W3771">
        <v>1</v>
      </c>
      <c r="X3771">
        <v>4</v>
      </c>
      <c r="Y3771">
        <v>98</v>
      </c>
      <c r="Z3771">
        <v>9</v>
      </c>
      <c r="AA3771">
        <v>0</v>
      </c>
      <c r="AB3771">
        <v>3</v>
      </c>
      <c r="AC3771">
        <v>0</v>
      </c>
      <c r="AD3771">
        <v>1</v>
      </c>
      <c r="AE3771">
        <v>0</v>
      </c>
      <c r="AF3771">
        <v>0</v>
      </c>
      <c r="AG3771">
        <v>0</v>
      </c>
      <c r="AH3771">
        <v>1</v>
      </c>
      <c r="AI3771">
        <v>0</v>
      </c>
      <c r="AJ3771">
        <v>1</v>
      </c>
      <c r="AK3771">
        <v>6</v>
      </c>
      <c r="AL3771">
        <v>3</v>
      </c>
      <c r="AM3771">
        <v>2</v>
      </c>
      <c r="AN3771">
        <v>0</v>
      </c>
      <c r="AT3771">
        <v>0</v>
      </c>
      <c r="AU3771">
        <v>21</v>
      </c>
      <c r="AV3771">
        <v>233</v>
      </c>
      <c r="AW3771">
        <v>233</v>
      </c>
      <c r="AX3771">
        <v>440</v>
      </c>
      <c r="BA3771">
        <v>1</v>
      </c>
      <c r="BC3771" t="s">
        <v>7647</v>
      </c>
      <c r="BD3771" s="4">
        <v>43283.288888888892</v>
      </c>
      <c r="BE3771" s="4">
        <v>43283.317060185182</v>
      </c>
      <c r="BF3771" s="4">
        <v>43283.317060185182</v>
      </c>
      <c r="BG3771" t="s">
        <v>83</v>
      </c>
      <c r="BH3771" t="s">
        <v>84</v>
      </c>
      <c r="BI3771" t="s">
        <v>85</v>
      </c>
    </row>
    <row r="3772" spans="1:61" x14ac:dyDescent="0.3">
      <c r="A3772" t="str">
        <f>"202419C0100"</f>
        <v>202419C0100</v>
      </c>
      <c r="B3772" t="s">
        <v>7648</v>
      </c>
      <c r="C3772">
        <v>20</v>
      </c>
      <c r="D3772" t="s">
        <v>79</v>
      </c>
      <c r="E3772">
        <v>17</v>
      </c>
      <c r="F3772" t="s">
        <v>7160</v>
      </c>
      <c r="G3772">
        <v>2419</v>
      </c>
      <c r="H3772">
        <v>1</v>
      </c>
      <c r="I3772" t="s">
        <v>89</v>
      </c>
      <c r="J3772">
        <v>0</v>
      </c>
      <c r="K3772">
        <v>1</v>
      </c>
      <c r="L3772">
        <v>2</v>
      </c>
      <c r="M3772">
        <v>241</v>
      </c>
      <c r="N3772">
        <v>221</v>
      </c>
      <c r="O3772">
        <v>0</v>
      </c>
      <c r="P3772">
        <v>221</v>
      </c>
      <c r="Q3772">
        <v>13</v>
      </c>
      <c r="R3772">
        <v>38</v>
      </c>
      <c r="S3772">
        <v>4</v>
      </c>
      <c r="T3772">
        <v>5</v>
      </c>
      <c r="U3772">
        <v>26</v>
      </c>
      <c r="V3772">
        <v>1</v>
      </c>
      <c r="W3772">
        <v>1</v>
      </c>
      <c r="X3772">
        <v>4</v>
      </c>
      <c r="Y3772">
        <v>95</v>
      </c>
      <c r="Z3772">
        <v>0</v>
      </c>
      <c r="AA3772">
        <v>0</v>
      </c>
      <c r="AB3772">
        <v>9</v>
      </c>
      <c r="AC3772">
        <v>1</v>
      </c>
      <c r="AD3772">
        <v>1</v>
      </c>
      <c r="AE3772">
        <v>1</v>
      </c>
      <c r="AF3772">
        <v>1</v>
      </c>
      <c r="AG3772">
        <v>1</v>
      </c>
      <c r="AH3772">
        <v>1</v>
      </c>
      <c r="AI3772">
        <v>1</v>
      </c>
      <c r="AJ3772">
        <v>0</v>
      </c>
      <c r="AK3772">
        <v>8</v>
      </c>
      <c r="AL3772">
        <v>0</v>
      </c>
      <c r="AM3772">
        <v>1</v>
      </c>
      <c r="AN3772">
        <v>0</v>
      </c>
      <c r="AT3772">
        <v>0</v>
      </c>
      <c r="AU3772">
        <v>9</v>
      </c>
      <c r="AV3772">
        <v>221</v>
      </c>
      <c r="AW3772">
        <v>221</v>
      </c>
      <c r="AX3772">
        <v>440</v>
      </c>
      <c r="BA3772">
        <v>1</v>
      </c>
      <c r="BC3772" t="s">
        <v>7649</v>
      </c>
      <c r="BD3772" s="4">
        <v>43283.288888888892</v>
      </c>
      <c r="BE3772" s="4">
        <v>43283.322418981479</v>
      </c>
      <c r="BF3772" s="4">
        <v>43283.322418981479</v>
      </c>
      <c r="BG3772" t="s">
        <v>83</v>
      </c>
      <c r="BH3772" t="s">
        <v>84</v>
      </c>
      <c r="BI3772" t="s">
        <v>85</v>
      </c>
    </row>
    <row r="3773" spans="1:61" x14ac:dyDescent="0.3">
      <c r="A3773" t="str">
        <f>"202420B0100"</f>
        <v>202420B0100</v>
      </c>
      <c r="B3773" t="s">
        <v>7650</v>
      </c>
      <c r="C3773">
        <v>20</v>
      </c>
      <c r="D3773" t="s">
        <v>79</v>
      </c>
      <c r="E3773">
        <v>17</v>
      </c>
      <c r="F3773" t="s">
        <v>7160</v>
      </c>
      <c r="G3773">
        <v>2420</v>
      </c>
      <c r="H3773">
        <v>1</v>
      </c>
      <c r="I3773" t="s">
        <v>81</v>
      </c>
      <c r="J3773">
        <v>0</v>
      </c>
      <c r="K3773">
        <v>1</v>
      </c>
      <c r="L3773">
        <v>2</v>
      </c>
      <c r="M3773">
        <v>280</v>
      </c>
      <c r="N3773">
        <v>255</v>
      </c>
      <c r="O3773">
        <v>0</v>
      </c>
      <c r="P3773">
        <v>255</v>
      </c>
      <c r="Q3773">
        <v>15</v>
      </c>
      <c r="R3773">
        <v>37</v>
      </c>
      <c r="S3773">
        <v>9</v>
      </c>
      <c r="T3773">
        <v>17</v>
      </c>
      <c r="U3773">
        <v>39</v>
      </c>
      <c r="V3773">
        <v>9</v>
      </c>
      <c r="W3773">
        <v>3</v>
      </c>
      <c r="X3773">
        <v>2</v>
      </c>
      <c r="Y3773">
        <v>91</v>
      </c>
      <c r="Z3773">
        <v>4</v>
      </c>
      <c r="AA3773">
        <v>1</v>
      </c>
      <c r="AB3773">
        <v>7</v>
      </c>
      <c r="AC3773">
        <v>0</v>
      </c>
      <c r="AD3773">
        <v>1</v>
      </c>
      <c r="AE3773">
        <v>0</v>
      </c>
      <c r="AF3773">
        <v>0</v>
      </c>
      <c r="AG3773">
        <v>0</v>
      </c>
      <c r="AH3773">
        <v>1</v>
      </c>
      <c r="AI3773">
        <v>0</v>
      </c>
      <c r="AJ3773">
        <v>0</v>
      </c>
      <c r="AK3773">
        <v>3</v>
      </c>
      <c r="AL3773">
        <v>1</v>
      </c>
      <c r="AM3773">
        <v>0</v>
      </c>
      <c r="AN3773">
        <v>0</v>
      </c>
      <c r="AT3773">
        <v>0</v>
      </c>
      <c r="AU3773">
        <v>15</v>
      </c>
      <c r="AV3773">
        <v>255</v>
      </c>
      <c r="AW3773">
        <v>255</v>
      </c>
      <c r="AX3773">
        <v>513</v>
      </c>
      <c r="BA3773">
        <v>1</v>
      </c>
      <c r="BC3773" t="s">
        <v>7651</v>
      </c>
      <c r="BD3773" s="4">
        <v>43283.288888888892</v>
      </c>
      <c r="BE3773" s="4">
        <v>43283.321481481478</v>
      </c>
      <c r="BF3773" s="4">
        <v>43283.321481481478</v>
      </c>
      <c r="BG3773" t="s">
        <v>83</v>
      </c>
      <c r="BH3773" t="s">
        <v>84</v>
      </c>
      <c r="BI3773" t="s">
        <v>85</v>
      </c>
    </row>
    <row r="3774" spans="1:61" x14ac:dyDescent="0.3">
      <c r="A3774" t="str">
        <f>"202420C0100"</f>
        <v>202420C0100</v>
      </c>
      <c r="B3774" t="s">
        <v>7652</v>
      </c>
      <c r="C3774">
        <v>20</v>
      </c>
      <c r="D3774" t="s">
        <v>79</v>
      </c>
      <c r="E3774">
        <v>17</v>
      </c>
      <c r="F3774" t="s">
        <v>7160</v>
      </c>
      <c r="G3774">
        <v>2420</v>
      </c>
      <c r="H3774">
        <v>1</v>
      </c>
      <c r="I3774" t="s">
        <v>89</v>
      </c>
      <c r="J3774">
        <v>0</v>
      </c>
      <c r="K3774">
        <v>1</v>
      </c>
      <c r="L3774">
        <v>2</v>
      </c>
      <c r="M3774">
        <v>277</v>
      </c>
      <c r="N3774">
        <v>257</v>
      </c>
      <c r="O3774">
        <v>0</v>
      </c>
      <c r="P3774">
        <v>257</v>
      </c>
      <c r="Q3774">
        <v>17</v>
      </c>
      <c r="R3774">
        <v>34</v>
      </c>
      <c r="S3774">
        <v>10</v>
      </c>
      <c r="T3774">
        <v>14</v>
      </c>
      <c r="U3774">
        <v>26</v>
      </c>
      <c r="V3774">
        <v>4</v>
      </c>
      <c r="W3774">
        <v>1</v>
      </c>
      <c r="X3774">
        <v>3</v>
      </c>
      <c r="Y3774">
        <v>114</v>
      </c>
      <c r="Z3774">
        <v>4</v>
      </c>
      <c r="AA3774">
        <v>0</v>
      </c>
      <c r="AB3774">
        <v>11</v>
      </c>
      <c r="AC3774">
        <v>0</v>
      </c>
      <c r="AD3774">
        <v>1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1</v>
      </c>
      <c r="AK3774">
        <v>3</v>
      </c>
      <c r="AL3774">
        <v>2</v>
      </c>
      <c r="AM3774">
        <v>1</v>
      </c>
      <c r="AN3774">
        <v>0</v>
      </c>
      <c r="AT3774">
        <v>0</v>
      </c>
      <c r="AU3774">
        <v>11</v>
      </c>
      <c r="AV3774">
        <v>257</v>
      </c>
      <c r="AW3774">
        <v>257</v>
      </c>
      <c r="AX3774">
        <v>512</v>
      </c>
      <c r="BA3774">
        <v>1</v>
      </c>
      <c r="BC3774" t="s">
        <v>7653</v>
      </c>
      <c r="BD3774" s="4">
        <v>43283.288888888892</v>
      </c>
      <c r="BE3774" s="4">
        <v>43283.352696759262</v>
      </c>
      <c r="BF3774" s="4">
        <v>43283.352696759262</v>
      </c>
      <c r="BG3774" t="s">
        <v>83</v>
      </c>
      <c r="BH3774" t="s">
        <v>84</v>
      </c>
      <c r="BI3774" t="s">
        <v>85</v>
      </c>
    </row>
    <row r="3775" spans="1:61" x14ac:dyDescent="0.3">
      <c r="A3775" t="str">
        <f>"200068B0100"</f>
        <v>200068B0100</v>
      </c>
      <c r="B3775" t="s">
        <v>7654</v>
      </c>
      <c r="C3775">
        <v>20</v>
      </c>
      <c r="D3775" t="s">
        <v>79</v>
      </c>
      <c r="E3775">
        <v>18</v>
      </c>
      <c r="F3775" t="s">
        <v>7655</v>
      </c>
      <c r="G3775">
        <v>68</v>
      </c>
      <c r="H3775">
        <v>1</v>
      </c>
      <c r="I3775" t="s">
        <v>81</v>
      </c>
      <c r="J3775">
        <v>0</v>
      </c>
      <c r="K3775">
        <v>1</v>
      </c>
      <c r="L3775">
        <v>2</v>
      </c>
      <c r="M3775">
        <v>145</v>
      </c>
      <c r="N3775">
        <v>308</v>
      </c>
      <c r="O3775">
        <v>0</v>
      </c>
      <c r="P3775">
        <v>308</v>
      </c>
      <c r="Q3775">
        <v>3</v>
      </c>
      <c r="R3775">
        <v>74</v>
      </c>
      <c r="S3775">
        <v>4</v>
      </c>
      <c r="T3775">
        <v>3</v>
      </c>
      <c r="U3775">
        <v>23</v>
      </c>
      <c r="V3775">
        <v>6</v>
      </c>
      <c r="W3775">
        <v>1</v>
      </c>
      <c r="X3775">
        <v>3</v>
      </c>
      <c r="Y3775">
        <v>150</v>
      </c>
      <c r="Z3775">
        <v>6</v>
      </c>
      <c r="AA3775">
        <v>0</v>
      </c>
      <c r="AB3775">
        <v>1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1</v>
      </c>
      <c r="AI3775">
        <v>0</v>
      </c>
      <c r="AJ3775">
        <v>0</v>
      </c>
      <c r="AK3775">
        <v>10</v>
      </c>
      <c r="AL3775">
        <v>3</v>
      </c>
      <c r="AM3775">
        <v>0</v>
      </c>
      <c r="AN3775">
        <v>4</v>
      </c>
      <c r="AT3775">
        <v>0</v>
      </c>
      <c r="AU3775">
        <v>16</v>
      </c>
      <c r="AV3775">
        <v>308</v>
      </c>
      <c r="AW3775">
        <v>308</v>
      </c>
      <c r="AX3775">
        <v>431</v>
      </c>
      <c r="BA3775">
        <v>1</v>
      </c>
      <c r="BC3775" s="2" t="s">
        <v>7656</v>
      </c>
      <c r="BD3775" s="4">
        <v>43283.384722222225</v>
      </c>
      <c r="BE3775" s="4">
        <v>43283.389664351853</v>
      </c>
      <c r="BF3775" s="4">
        <v>43283.389664351853</v>
      </c>
      <c r="BG3775" t="s">
        <v>83</v>
      </c>
      <c r="BH3775" t="s">
        <v>84</v>
      </c>
      <c r="BI3775" t="s">
        <v>85</v>
      </c>
    </row>
    <row r="3776" spans="1:61" x14ac:dyDescent="0.3">
      <c r="A3776" t="str">
        <f>"200069B0100"</f>
        <v>200069B0100</v>
      </c>
      <c r="B3776" t="s">
        <v>7657</v>
      </c>
      <c r="C3776">
        <v>20</v>
      </c>
      <c r="D3776" t="s">
        <v>79</v>
      </c>
      <c r="E3776">
        <v>18</v>
      </c>
      <c r="F3776" t="s">
        <v>7655</v>
      </c>
      <c r="G3776">
        <v>69</v>
      </c>
      <c r="H3776">
        <v>1</v>
      </c>
      <c r="I3776" t="s">
        <v>81</v>
      </c>
      <c r="J3776">
        <v>0</v>
      </c>
      <c r="K3776">
        <v>2</v>
      </c>
      <c r="L3776">
        <v>2</v>
      </c>
      <c r="AX3776">
        <v>207</v>
      </c>
      <c r="AZ3776" t="s">
        <v>156</v>
      </c>
      <c r="BA3776">
        <v>0</v>
      </c>
      <c r="BC3776" t="s">
        <v>7658</v>
      </c>
      <c r="BD3776" s="4">
        <v>43283.718055555553</v>
      </c>
      <c r="BE3776" s="4">
        <v>43283.719386574077</v>
      </c>
      <c r="BF3776" s="4">
        <v>43283.719386574077</v>
      </c>
      <c r="BG3776" t="s">
        <v>83</v>
      </c>
      <c r="BH3776" t="s">
        <v>84</v>
      </c>
      <c r="BI3776" t="s">
        <v>85</v>
      </c>
    </row>
    <row r="3777" spans="1:61" x14ac:dyDescent="0.3">
      <c r="A3777" t="str">
        <f>"200194B0100"</f>
        <v>200194B0100</v>
      </c>
      <c r="B3777" t="s">
        <v>7659</v>
      </c>
      <c r="C3777">
        <v>20</v>
      </c>
      <c r="D3777" t="s">
        <v>79</v>
      </c>
      <c r="E3777">
        <v>18</v>
      </c>
      <c r="F3777" t="s">
        <v>7655</v>
      </c>
      <c r="G3777">
        <v>194</v>
      </c>
      <c r="H3777">
        <v>1</v>
      </c>
      <c r="I3777" t="s">
        <v>81</v>
      </c>
      <c r="J3777">
        <v>0</v>
      </c>
      <c r="K3777">
        <v>2</v>
      </c>
      <c r="L3777">
        <v>2</v>
      </c>
      <c r="M3777" t="s">
        <v>100</v>
      </c>
      <c r="N3777" t="s">
        <v>100</v>
      </c>
      <c r="O3777" t="s">
        <v>100</v>
      </c>
      <c r="P3777" t="s">
        <v>100</v>
      </c>
      <c r="Q3777">
        <v>7</v>
      </c>
      <c r="R3777">
        <v>57</v>
      </c>
      <c r="S3777">
        <v>12</v>
      </c>
      <c r="T3777">
        <v>1</v>
      </c>
      <c r="U3777">
        <v>40</v>
      </c>
      <c r="V3777">
        <v>1</v>
      </c>
      <c r="W3777">
        <v>1</v>
      </c>
      <c r="X3777">
        <v>0</v>
      </c>
      <c r="Y3777">
        <v>77</v>
      </c>
      <c r="Z3777">
        <v>9</v>
      </c>
      <c r="AA3777" t="s">
        <v>315</v>
      </c>
      <c r="AB3777">
        <v>0</v>
      </c>
      <c r="AC3777">
        <v>0</v>
      </c>
      <c r="AD3777">
        <v>0</v>
      </c>
      <c r="AE3777">
        <v>0</v>
      </c>
      <c r="AF3777">
        <v>1</v>
      </c>
      <c r="AG3777">
        <v>0</v>
      </c>
      <c r="AH3777">
        <v>2</v>
      </c>
      <c r="AI3777">
        <v>0</v>
      </c>
      <c r="AJ3777">
        <v>0</v>
      </c>
      <c r="AK3777">
        <v>0</v>
      </c>
      <c r="AL3777">
        <v>3</v>
      </c>
      <c r="AM3777">
        <v>0</v>
      </c>
      <c r="AN3777">
        <v>1</v>
      </c>
      <c r="AT3777" t="s">
        <v>100</v>
      </c>
      <c r="AU3777">
        <v>24</v>
      </c>
      <c r="AV3777" t="s">
        <v>100</v>
      </c>
      <c r="AW3777">
        <v>236</v>
      </c>
      <c r="AX3777">
        <v>507</v>
      </c>
      <c r="AZ3777" t="s">
        <v>101</v>
      </c>
      <c r="BA3777">
        <v>1</v>
      </c>
      <c r="BC3777" t="s">
        <v>7660</v>
      </c>
      <c r="BD3777" s="4">
        <v>43283.216666666667</v>
      </c>
      <c r="BE3777" s="4">
        <v>43283.247384259259</v>
      </c>
      <c r="BF3777" s="4">
        <v>43283.247384259259</v>
      </c>
      <c r="BG3777" t="s">
        <v>83</v>
      </c>
      <c r="BH3777" t="s">
        <v>84</v>
      </c>
      <c r="BI3777" t="s">
        <v>85</v>
      </c>
    </row>
    <row r="3778" spans="1:61" x14ac:dyDescent="0.3">
      <c r="A3778" t="str">
        <f>"200194C0100"</f>
        <v>200194C0100</v>
      </c>
      <c r="B3778" t="s">
        <v>7661</v>
      </c>
      <c r="C3778">
        <v>20</v>
      </c>
      <c r="D3778" t="s">
        <v>79</v>
      </c>
      <c r="E3778">
        <v>18</v>
      </c>
      <c r="F3778" t="s">
        <v>7655</v>
      </c>
      <c r="G3778">
        <v>194</v>
      </c>
      <c r="H3778">
        <v>1</v>
      </c>
      <c r="I3778" t="s">
        <v>89</v>
      </c>
      <c r="J3778">
        <v>0</v>
      </c>
      <c r="K3778">
        <v>2</v>
      </c>
      <c r="L3778">
        <v>2</v>
      </c>
      <c r="M3778">
        <v>317</v>
      </c>
      <c r="N3778" t="s">
        <v>100</v>
      </c>
      <c r="O3778">
        <v>317</v>
      </c>
      <c r="P3778">
        <v>212</v>
      </c>
      <c r="Q3778">
        <v>8</v>
      </c>
      <c r="R3778">
        <v>79</v>
      </c>
      <c r="S3778">
        <v>6</v>
      </c>
      <c r="T3778">
        <v>1</v>
      </c>
      <c r="U3778">
        <v>34</v>
      </c>
      <c r="V3778">
        <v>2</v>
      </c>
      <c r="W3778">
        <v>1</v>
      </c>
      <c r="X3778">
        <v>1</v>
      </c>
      <c r="Y3778">
        <v>49</v>
      </c>
      <c r="Z3778">
        <v>4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8</v>
      </c>
      <c r="AL3778">
        <v>0</v>
      </c>
      <c r="AM3778">
        <v>0</v>
      </c>
      <c r="AN3778">
        <v>10</v>
      </c>
      <c r="AT3778" t="s">
        <v>100</v>
      </c>
      <c r="AU3778">
        <v>16</v>
      </c>
      <c r="AV3778">
        <v>212</v>
      </c>
      <c r="AW3778">
        <v>219</v>
      </c>
      <c r="AX3778">
        <v>507</v>
      </c>
      <c r="AZ3778" t="s">
        <v>101</v>
      </c>
      <c r="BA3778">
        <v>1</v>
      </c>
      <c r="BC3778" s="2" t="s">
        <v>7662</v>
      </c>
      <c r="BD3778" s="4">
        <v>43283.226388888892</v>
      </c>
      <c r="BE3778" s="4">
        <v>43283.250532407408</v>
      </c>
      <c r="BF3778" s="4">
        <v>43283.250532407408</v>
      </c>
      <c r="BG3778" t="s">
        <v>83</v>
      </c>
      <c r="BH3778" t="s">
        <v>84</v>
      </c>
      <c r="BI3778" t="s">
        <v>85</v>
      </c>
    </row>
    <row r="3779" spans="1:61" x14ac:dyDescent="0.3">
      <c r="A3779" t="str">
        <f>"200195B0100"</f>
        <v>200195B0100</v>
      </c>
      <c r="B3779" t="s">
        <v>7663</v>
      </c>
      <c r="C3779">
        <v>20</v>
      </c>
      <c r="D3779" t="s">
        <v>79</v>
      </c>
      <c r="E3779">
        <v>18</v>
      </c>
      <c r="F3779" t="s">
        <v>7655</v>
      </c>
      <c r="G3779">
        <v>195</v>
      </c>
      <c r="H3779">
        <v>1</v>
      </c>
      <c r="I3779" t="s">
        <v>81</v>
      </c>
      <c r="J3779">
        <v>0</v>
      </c>
      <c r="K3779">
        <v>2</v>
      </c>
      <c r="L3779">
        <v>2</v>
      </c>
      <c r="AX3779">
        <v>577</v>
      </c>
      <c r="AZ3779" t="s">
        <v>156</v>
      </c>
      <c r="BA3779">
        <v>0</v>
      </c>
      <c r="BC3779" t="s">
        <v>7664</v>
      </c>
      <c r="BD3779" s="4">
        <v>43282.638194444444</v>
      </c>
      <c r="BE3779" s="4">
        <v>43283.635046296295</v>
      </c>
      <c r="BF3779" s="4">
        <v>43283.635046296295</v>
      </c>
      <c r="BG3779" t="s">
        <v>83</v>
      </c>
      <c r="BH3779" t="s">
        <v>84</v>
      </c>
      <c r="BI3779" t="s">
        <v>85</v>
      </c>
    </row>
    <row r="3780" spans="1:61" x14ac:dyDescent="0.3">
      <c r="A3780" t="str">
        <f>"200195C0100"</f>
        <v>200195C0100</v>
      </c>
      <c r="B3780" t="s">
        <v>7665</v>
      </c>
      <c r="C3780">
        <v>20</v>
      </c>
      <c r="D3780" t="s">
        <v>79</v>
      </c>
      <c r="E3780">
        <v>18</v>
      </c>
      <c r="F3780" t="s">
        <v>7655</v>
      </c>
      <c r="G3780">
        <v>195</v>
      </c>
      <c r="H3780">
        <v>1</v>
      </c>
      <c r="I3780" t="s">
        <v>89</v>
      </c>
      <c r="J3780">
        <v>0</v>
      </c>
      <c r="K3780">
        <v>2</v>
      </c>
      <c r="L3780">
        <v>2</v>
      </c>
      <c r="AX3780">
        <v>576</v>
      </c>
      <c r="AZ3780" t="s">
        <v>156</v>
      </c>
      <c r="BA3780">
        <v>0</v>
      </c>
      <c r="BC3780" t="s">
        <v>7666</v>
      </c>
      <c r="BD3780" s="4">
        <v>43283.68472222222</v>
      </c>
      <c r="BE3780" s="4">
        <v>43283.692453703705</v>
      </c>
      <c r="BF3780" s="4">
        <v>43283.692453703705</v>
      </c>
      <c r="BG3780" t="s">
        <v>83</v>
      </c>
      <c r="BH3780" t="s">
        <v>84</v>
      </c>
      <c r="BI3780" t="s">
        <v>85</v>
      </c>
    </row>
    <row r="3781" spans="1:61" x14ac:dyDescent="0.3">
      <c r="A3781" t="str">
        <f>"200196B0100"</f>
        <v>200196B0100</v>
      </c>
      <c r="B3781" t="s">
        <v>7667</v>
      </c>
      <c r="C3781">
        <v>20</v>
      </c>
      <c r="D3781" t="s">
        <v>79</v>
      </c>
      <c r="E3781">
        <v>18</v>
      </c>
      <c r="F3781" t="s">
        <v>7655</v>
      </c>
      <c r="G3781">
        <v>196</v>
      </c>
      <c r="H3781">
        <v>1</v>
      </c>
      <c r="I3781" t="s">
        <v>81</v>
      </c>
      <c r="J3781">
        <v>0</v>
      </c>
      <c r="K3781">
        <v>2</v>
      </c>
      <c r="L3781">
        <v>2</v>
      </c>
      <c r="M3781">
        <v>324</v>
      </c>
      <c r="N3781" t="s">
        <v>100</v>
      </c>
      <c r="O3781">
        <v>0</v>
      </c>
      <c r="P3781">
        <v>295</v>
      </c>
      <c r="Q3781">
        <v>12</v>
      </c>
      <c r="R3781">
        <v>80</v>
      </c>
      <c r="S3781">
        <v>4</v>
      </c>
      <c r="T3781">
        <v>4</v>
      </c>
      <c r="U3781">
        <v>14</v>
      </c>
      <c r="V3781" t="s">
        <v>315</v>
      </c>
      <c r="W3781">
        <v>0</v>
      </c>
      <c r="X3781">
        <v>0</v>
      </c>
      <c r="Y3781">
        <v>122</v>
      </c>
      <c r="Z3781">
        <v>10</v>
      </c>
      <c r="AA3781">
        <v>1</v>
      </c>
      <c r="AB3781">
        <v>1</v>
      </c>
      <c r="AC3781">
        <v>0</v>
      </c>
      <c r="AD3781">
        <v>0</v>
      </c>
      <c r="AE3781">
        <v>0</v>
      </c>
      <c r="AF3781">
        <v>0</v>
      </c>
      <c r="AG3781">
        <v>1</v>
      </c>
      <c r="AH3781">
        <v>2</v>
      </c>
      <c r="AI3781">
        <v>0</v>
      </c>
      <c r="AJ3781">
        <v>0</v>
      </c>
      <c r="AK3781">
        <v>14</v>
      </c>
      <c r="AL3781">
        <v>4</v>
      </c>
      <c r="AM3781">
        <v>3</v>
      </c>
      <c r="AN3781">
        <v>1</v>
      </c>
      <c r="AT3781">
        <v>0</v>
      </c>
      <c r="AU3781">
        <v>11</v>
      </c>
      <c r="AV3781" t="s">
        <v>100</v>
      </c>
      <c r="AW3781">
        <v>284</v>
      </c>
      <c r="AX3781">
        <v>607</v>
      </c>
      <c r="AZ3781" t="s">
        <v>101</v>
      </c>
      <c r="BA3781">
        <v>1</v>
      </c>
      <c r="BC3781" t="s">
        <v>7668</v>
      </c>
      <c r="BD3781" s="4">
        <v>43283.166666666664</v>
      </c>
      <c r="BE3781" s="4">
        <v>43283.18645833333</v>
      </c>
      <c r="BF3781" s="4">
        <v>43283.18645833333</v>
      </c>
      <c r="BG3781" t="s">
        <v>83</v>
      </c>
      <c r="BH3781" t="s">
        <v>84</v>
      </c>
      <c r="BI3781" t="s">
        <v>85</v>
      </c>
    </row>
    <row r="3782" spans="1:61" x14ac:dyDescent="0.3">
      <c r="A3782" t="str">
        <f>"200196C0100"</f>
        <v>200196C0100</v>
      </c>
      <c r="B3782" t="s">
        <v>7669</v>
      </c>
      <c r="C3782">
        <v>20</v>
      </c>
      <c r="D3782" t="s">
        <v>79</v>
      </c>
      <c r="E3782">
        <v>18</v>
      </c>
      <c r="F3782" t="s">
        <v>7655</v>
      </c>
      <c r="G3782">
        <v>196</v>
      </c>
      <c r="H3782">
        <v>1</v>
      </c>
      <c r="I3782" t="s">
        <v>89</v>
      </c>
      <c r="J3782">
        <v>0</v>
      </c>
      <c r="K3782">
        <v>2</v>
      </c>
      <c r="L3782">
        <v>2</v>
      </c>
      <c r="M3782">
        <v>328</v>
      </c>
      <c r="N3782">
        <v>629</v>
      </c>
      <c r="O3782">
        <v>5</v>
      </c>
      <c r="P3782" t="s">
        <v>100</v>
      </c>
      <c r="Q3782">
        <v>7</v>
      </c>
      <c r="R3782">
        <v>115</v>
      </c>
      <c r="S3782">
        <v>14</v>
      </c>
      <c r="T3782">
        <v>0</v>
      </c>
      <c r="U3782">
        <v>16</v>
      </c>
      <c r="V3782">
        <v>6</v>
      </c>
      <c r="W3782">
        <v>0</v>
      </c>
      <c r="X3782">
        <v>0</v>
      </c>
      <c r="Y3782">
        <v>117</v>
      </c>
      <c r="Z3782">
        <v>1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2</v>
      </c>
      <c r="AM3782">
        <v>1</v>
      </c>
      <c r="AN3782">
        <v>0</v>
      </c>
      <c r="AT3782">
        <v>0</v>
      </c>
      <c r="AU3782">
        <v>6</v>
      </c>
      <c r="AV3782">
        <v>301</v>
      </c>
      <c r="AW3782">
        <v>285</v>
      </c>
      <c r="AX3782">
        <v>607</v>
      </c>
      <c r="BA3782">
        <v>1</v>
      </c>
      <c r="BC3782" t="s">
        <v>7670</v>
      </c>
      <c r="BD3782" s="4">
        <v>43283.15902777778</v>
      </c>
      <c r="BE3782" s="4">
        <v>43283.170798611114</v>
      </c>
      <c r="BF3782" s="4">
        <v>43283.170798611114</v>
      </c>
      <c r="BG3782" t="s">
        <v>83</v>
      </c>
      <c r="BH3782" t="s">
        <v>84</v>
      </c>
      <c r="BI3782" t="s">
        <v>85</v>
      </c>
    </row>
    <row r="3783" spans="1:61" x14ac:dyDescent="0.3">
      <c r="A3783" t="str">
        <f>"200197B0100"</f>
        <v>200197B0100</v>
      </c>
      <c r="B3783" t="s">
        <v>7671</v>
      </c>
      <c r="C3783">
        <v>20</v>
      </c>
      <c r="D3783" t="s">
        <v>79</v>
      </c>
      <c r="E3783">
        <v>18</v>
      </c>
      <c r="F3783" t="s">
        <v>7655</v>
      </c>
      <c r="G3783">
        <v>197</v>
      </c>
      <c r="H3783">
        <v>1</v>
      </c>
      <c r="I3783" t="s">
        <v>81</v>
      </c>
      <c r="J3783">
        <v>0</v>
      </c>
      <c r="K3783">
        <v>2</v>
      </c>
      <c r="L3783">
        <v>2</v>
      </c>
      <c r="M3783">
        <v>186</v>
      </c>
      <c r="N3783">
        <v>215</v>
      </c>
      <c r="O3783">
        <v>0</v>
      </c>
      <c r="P3783">
        <v>215</v>
      </c>
      <c r="Q3783" t="s">
        <v>315</v>
      </c>
      <c r="R3783">
        <v>78</v>
      </c>
      <c r="S3783">
        <v>3</v>
      </c>
      <c r="T3783">
        <v>4</v>
      </c>
      <c r="U3783">
        <v>2</v>
      </c>
      <c r="V3783">
        <v>1</v>
      </c>
      <c r="W3783" t="s">
        <v>100</v>
      </c>
      <c r="X3783">
        <v>1</v>
      </c>
      <c r="Y3783">
        <v>95</v>
      </c>
      <c r="Z3783">
        <v>5</v>
      </c>
      <c r="AA3783" t="s">
        <v>100</v>
      </c>
      <c r="AB3783">
        <v>1</v>
      </c>
      <c r="AC3783" t="s">
        <v>100</v>
      </c>
      <c r="AD3783" t="s">
        <v>100</v>
      </c>
      <c r="AE3783" t="s">
        <v>100</v>
      </c>
      <c r="AF3783" t="s">
        <v>100</v>
      </c>
      <c r="AG3783" t="s">
        <v>100</v>
      </c>
      <c r="AH3783" t="s">
        <v>100</v>
      </c>
      <c r="AI3783" t="s">
        <v>100</v>
      </c>
      <c r="AJ3783" t="s">
        <v>100</v>
      </c>
      <c r="AK3783" t="s">
        <v>100</v>
      </c>
      <c r="AL3783" t="s">
        <v>100</v>
      </c>
      <c r="AM3783" t="s">
        <v>100</v>
      </c>
      <c r="AN3783" t="s">
        <v>100</v>
      </c>
      <c r="AT3783" t="s">
        <v>100</v>
      </c>
      <c r="AU3783">
        <v>19</v>
      </c>
      <c r="AV3783">
        <v>215</v>
      </c>
      <c r="AW3783">
        <v>209</v>
      </c>
      <c r="AX3783">
        <v>379</v>
      </c>
      <c r="AZ3783" t="s">
        <v>101</v>
      </c>
      <c r="BA3783">
        <v>1</v>
      </c>
      <c r="BC3783" t="s">
        <v>7672</v>
      </c>
      <c r="BD3783" s="4">
        <v>43283.132638888892</v>
      </c>
      <c r="BE3783" s="4">
        <v>43283.151076388887</v>
      </c>
      <c r="BF3783" s="4">
        <v>43283.151076388887</v>
      </c>
      <c r="BG3783" t="s">
        <v>83</v>
      </c>
      <c r="BH3783" t="s">
        <v>84</v>
      </c>
      <c r="BI3783" t="s">
        <v>85</v>
      </c>
    </row>
    <row r="3784" spans="1:61" x14ac:dyDescent="0.3">
      <c r="A3784" t="str">
        <f>"200380B0100"</f>
        <v>200380B0100</v>
      </c>
      <c r="B3784" t="s">
        <v>7673</v>
      </c>
      <c r="C3784">
        <v>20</v>
      </c>
      <c r="D3784" t="s">
        <v>79</v>
      </c>
      <c r="E3784">
        <v>18</v>
      </c>
      <c r="F3784" t="s">
        <v>7655</v>
      </c>
      <c r="G3784">
        <v>380</v>
      </c>
      <c r="H3784">
        <v>1</v>
      </c>
      <c r="I3784" t="s">
        <v>81</v>
      </c>
      <c r="J3784">
        <v>0</v>
      </c>
      <c r="K3784">
        <v>2</v>
      </c>
      <c r="L3784">
        <v>2</v>
      </c>
      <c r="AX3784">
        <v>627</v>
      </c>
      <c r="AZ3784" t="s">
        <v>156</v>
      </c>
      <c r="BA3784">
        <v>0</v>
      </c>
      <c r="BC3784" t="s">
        <v>7674</v>
      </c>
      <c r="BD3784" s="4">
        <v>43283.68472222222</v>
      </c>
      <c r="BE3784" s="4">
        <v>43283.692048611112</v>
      </c>
      <c r="BF3784" s="4">
        <v>43283.692048611112</v>
      </c>
      <c r="BG3784" t="s">
        <v>83</v>
      </c>
      <c r="BH3784" t="s">
        <v>84</v>
      </c>
      <c r="BI3784" t="s">
        <v>85</v>
      </c>
    </row>
    <row r="3785" spans="1:61" x14ac:dyDescent="0.3">
      <c r="A3785" t="str">
        <f>"200380C0100"</f>
        <v>200380C0100</v>
      </c>
      <c r="B3785" t="s">
        <v>7675</v>
      </c>
      <c r="C3785">
        <v>20</v>
      </c>
      <c r="D3785" t="s">
        <v>79</v>
      </c>
      <c r="E3785">
        <v>18</v>
      </c>
      <c r="F3785" t="s">
        <v>7655</v>
      </c>
      <c r="G3785">
        <v>380</v>
      </c>
      <c r="H3785">
        <v>1</v>
      </c>
      <c r="I3785" t="s">
        <v>89</v>
      </c>
      <c r="J3785">
        <v>0</v>
      </c>
      <c r="K3785">
        <v>2</v>
      </c>
      <c r="L3785">
        <v>2</v>
      </c>
      <c r="AX3785">
        <v>626</v>
      </c>
      <c r="AZ3785" t="s">
        <v>156</v>
      </c>
      <c r="BA3785">
        <v>0</v>
      </c>
      <c r="BC3785" t="s">
        <v>7676</v>
      </c>
      <c r="BD3785" s="4">
        <v>43283.684027777781</v>
      </c>
      <c r="BE3785" s="4">
        <v>43283.690011574072</v>
      </c>
      <c r="BF3785" s="4">
        <v>43283.690011574072</v>
      </c>
      <c r="BG3785" t="s">
        <v>83</v>
      </c>
      <c r="BH3785" t="s">
        <v>84</v>
      </c>
      <c r="BI3785" t="s">
        <v>85</v>
      </c>
    </row>
    <row r="3786" spans="1:61" x14ac:dyDescent="0.3">
      <c r="A3786" t="str">
        <f>"200381B0100"</f>
        <v>200381B0100</v>
      </c>
      <c r="B3786" t="s">
        <v>7677</v>
      </c>
      <c r="C3786">
        <v>20</v>
      </c>
      <c r="D3786" t="s">
        <v>79</v>
      </c>
      <c r="E3786">
        <v>18</v>
      </c>
      <c r="F3786" t="s">
        <v>7655</v>
      </c>
      <c r="G3786">
        <v>381</v>
      </c>
      <c r="H3786">
        <v>1</v>
      </c>
      <c r="I3786" t="s">
        <v>81</v>
      </c>
      <c r="J3786">
        <v>0</v>
      </c>
      <c r="K3786">
        <v>2</v>
      </c>
      <c r="L3786">
        <v>2</v>
      </c>
      <c r="M3786">
        <v>135</v>
      </c>
      <c r="N3786" t="s">
        <v>100</v>
      </c>
      <c r="O3786">
        <v>0</v>
      </c>
      <c r="P3786">
        <v>560</v>
      </c>
      <c r="Q3786">
        <v>6</v>
      </c>
      <c r="R3786">
        <v>77</v>
      </c>
      <c r="S3786">
        <v>9</v>
      </c>
      <c r="T3786">
        <v>6</v>
      </c>
      <c r="U3786">
        <v>33</v>
      </c>
      <c r="V3786">
        <v>30</v>
      </c>
      <c r="W3786">
        <v>90</v>
      </c>
      <c r="X3786">
        <v>3</v>
      </c>
      <c r="Y3786">
        <v>237</v>
      </c>
      <c r="Z3786">
        <v>12</v>
      </c>
      <c r="AA3786">
        <v>10</v>
      </c>
      <c r="AB3786">
        <v>9</v>
      </c>
      <c r="AC3786" t="s">
        <v>100</v>
      </c>
      <c r="AD3786" t="s">
        <v>100</v>
      </c>
      <c r="AE3786" t="s">
        <v>100</v>
      </c>
      <c r="AF3786" t="s">
        <v>100</v>
      </c>
      <c r="AG3786">
        <v>1</v>
      </c>
      <c r="AH3786">
        <v>2</v>
      </c>
      <c r="AI3786" t="s">
        <v>100</v>
      </c>
      <c r="AJ3786" t="s">
        <v>100</v>
      </c>
      <c r="AK3786" t="s">
        <v>100</v>
      </c>
      <c r="AL3786" t="s">
        <v>100</v>
      </c>
      <c r="AM3786">
        <v>1</v>
      </c>
      <c r="AN3786" t="s">
        <v>100</v>
      </c>
      <c r="AT3786">
        <v>2</v>
      </c>
      <c r="AU3786">
        <v>32</v>
      </c>
      <c r="AV3786">
        <v>560</v>
      </c>
      <c r="AW3786">
        <v>560</v>
      </c>
      <c r="AX3786">
        <v>673</v>
      </c>
      <c r="AZ3786" t="s">
        <v>101</v>
      </c>
      <c r="BA3786">
        <v>1</v>
      </c>
      <c r="BC3786" t="s">
        <v>7678</v>
      </c>
      <c r="BD3786" s="4">
        <v>43283.293749999997</v>
      </c>
      <c r="BE3786" s="4">
        <v>43283.335740740738</v>
      </c>
      <c r="BF3786" s="4">
        <v>43283.335740740738</v>
      </c>
      <c r="BG3786" t="s">
        <v>83</v>
      </c>
      <c r="BH3786" t="s">
        <v>84</v>
      </c>
      <c r="BI3786" t="s">
        <v>85</v>
      </c>
    </row>
    <row r="3787" spans="1:61" x14ac:dyDescent="0.3">
      <c r="A3787" t="str">
        <f>"200381C0100"</f>
        <v>200381C0100</v>
      </c>
      <c r="B3787" t="s">
        <v>7679</v>
      </c>
      <c r="C3787">
        <v>20</v>
      </c>
      <c r="D3787" t="s">
        <v>79</v>
      </c>
      <c r="E3787">
        <v>18</v>
      </c>
      <c r="F3787" t="s">
        <v>7655</v>
      </c>
      <c r="G3787">
        <v>381</v>
      </c>
      <c r="H3787">
        <v>1</v>
      </c>
      <c r="I3787" t="s">
        <v>89</v>
      </c>
      <c r="J3787">
        <v>0</v>
      </c>
      <c r="K3787">
        <v>2</v>
      </c>
      <c r="L3787">
        <v>2</v>
      </c>
      <c r="M3787">
        <v>143</v>
      </c>
      <c r="N3787">
        <v>552</v>
      </c>
      <c r="O3787" t="s">
        <v>100</v>
      </c>
      <c r="P3787">
        <v>552</v>
      </c>
      <c r="Q3787">
        <v>16</v>
      </c>
      <c r="R3787">
        <v>75</v>
      </c>
      <c r="S3787">
        <v>7</v>
      </c>
      <c r="T3787">
        <v>6</v>
      </c>
      <c r="U3787">
        <v>17</v>
      </c>
      <c r="V3787">
        <v>38</v>
      </c>
      <c r="W3787">
        <v>74</v>
      </c>
      <c r="X3787">
        <v>0</v>
      </c>
      <c r="Y3787">
        <v>251</v>
      </c>
      <c r="Z3787">
        <v>16</v>
      </c>
      <c r="AA3787">
        <v>4</v>
      </c>
      <c r="AB3787">
        <v>19</v>
      </c>
      <c r="AC3787">
        <v>0</v>
      </c>
      <c r="AD3787">
        <v>0</v>
      </c>
      <c r="AE3787">
        <v>0</v>
      </c>
      <c r="AF3787">
        <v>0</v>
      </c>
      <c r="AG3787">
        <v>1</v>
      </c>
      <c r="AH3787">
        <v>2</v>
      </c>
      <c r="AI3787">
        <v>0</v>
      </c>
      <c r="AJ3787">
        <v>0</v>
      </c>
      <c r="AK3787">
        <v>1</v>
      </c>
      <c r="AL3787">
        <v>1</v>
      </c>
      <c r="AM3787">
        <v>0</v>
      </c>
      <c r="AN3787">
        <v>3</v>
      </c>
      <c r="AT3787">
        <v>1</v>
      </c>
      <c r="AU3787">
        <v>19</v>
      </c>
      <c r="AV3787">
        <v>552</v>
      </c>
      <c r="AW3787">
        <v>551</v>
      </c>
      <c r="AX3787">
        <v>672</v>
      </c>
      <c r="BA3787">
        <v>1</v>
      </c>
      <c r="BC3787" t="s">
        <v>7680</v>
      </c>
      <c r="BD3787" s="4">
        <v>43283.282638888886</v>
      </c>
      <c r="BE3787" s="4">
        <v>43283.311643518522</v>
      </c>
      <c r="BF3787" s="4">
        <v>43283.311643518522</v>
      </c>
      <c r="BG3787" t="s">
        <v>83</v>
      </c>
      <c r="BH3787" t="s">
        <v>84</v>
      </c>
      <c r="BI3787" t="s">
        <v>85</v>
      </c>
    </row>
    <row r="3788" spans="1:61" x14ac:dyDescent="0.3">
      <c r="A3788" t="str">
        <f>"200382B0100"</f>
        <v>200382B0100</v>
      </c>
      <c r="B3788" t="s">
        <v>7681</v>
      </c>
      <c r="C3788">
        <v>20</v>
      </c>
      <c r="D3788" t="s">
        <v>79</v>
      </c>
      <c r="E3788">
        <v>18</v>
      </c>
      <c r="F3788" t="s">
        <v>7655</v>
      </c>
      <c r="G3788">
        <v>382</v>
      </c>
      <c r="H3788">
        <v>1</v>
      </c>
      <c r="I3788" t="s">
        <v>81</v>
      </c>
      <c r="J3788">
        <v>0</v>
      </c>
      <c r="K3788">
        <v>2</v>
      </c>
      <c r="L3788">
        <v>2</v>
      </c>
      <c r="M3788">
        <v>107</v>
      </c>
      <c r="N3788">
        <v>432</v>
      </c>
      <c r="O3788">
        <v>0</v>
      </c>
      <c r="P3788">
        <v>432</v>
      </c>
      <c r="Q3788">
        <v>12</v>
      </c>
      <c r="R3788">
        <v>48</v>
      </c>
      <c r="S3788">
        <v>7</v>
      </c>
      <c r="T3788">
        <v>5</v>
      </c>
      <c r="U3788">
        <v>11</v>
      </c>
      <c r="V3788">
        <v>16</v>
      </c>
      <c r="W3788">
        <v>84</v>
      </c>
      <c r="X3788">
        <v>7</v>
      </c>
      <c r="Y3788">
        <v>185</v>
      </c>
      <c r="Z3788">
        <v>20</v>
      </c>
      <c r="AA3788">
        <v>4</v>
      </c>
      <c r="AB3788">
        <v>7</v>
      </c>
      <c r="AC3788">
        <v>0</v>
      </c>
      <c r="AD3788">
        <v>0</v>
      </c>
      <c r="AE3788">
        <v>0</v>
      </c>
      <c r="AF3788">
        <v>1</v>
      </c>
      <c r="AG3788">
        <v>1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0</v>
      </c>
      <c r="AN3788">
        <v>0</v>
      </c>
      <c r="AT3788">
        <v>0</v>
      </c>
      <c r="AU3788">
        <v>24</v>
      </c>
      <c r="AV3788">
        <v>432</v>
      </c>
      <c r="AW3788">
        <v>432</v>
      </c>
      <c r="AX3788">
        <v>517</v>
      </c>
      <c r="BA3788">
        <v>1</v>
      </c>
      <c r="BC3788" t="s">
        <v>7682</v>
      </c>
      <c r="BD3788" s="4">
        <v>43283.275694444441</v>
      </c>
      <c r="BE3788" s="4">
        <v>43283.302233796298</v>
      </c>
      <c r="BF3788" s="4">
        <v>43283.302233796298</v>
      </c>
      <c r="BG3788" t="s">
        <v>83</v>
      </c>
      <c r="BH3788" t="s">
        <v>84</v>
      </c>
      <c r="BI3788" t="s">
        <v>85</v>
      </c>
    </row>
    <row r="3789" spans="1:61" x14ac:dyDescent="0.3">
      <c r="A3789" t="str">
        <f>"200382C0100"</f>
        <v>200382C0100</v>
      </c>
      <c r="B3789" t="s">
        <v>7683</v>
      </c>
      <c r="C3789">
        <v>20</v>
      </c>
      <c r="D3789" t="s">
        <v>79</v>
      </c>
      <c r="E3789">
        <v>18</v>
      </c>
      <c r="F3789" t="s">
        <v>7655</v>
      </c>
      <c r="G3789">
        <v>382</v>
      </c>
      <c r="H3789">
        <v>1</v>
      </c>
      <c r="I3789" t="s">
        <v>89</v>
      </c>
      <c r="J3789">
        <v>0</v>
      </c>
      <c r="K3789">
        <v>2</v>
      </c>
      <c r="L3789">
        <v>2</v>
      </c>
      <c r="M3789">
        <v>126</v>
      </c>
      <c r="N3789">
        <v>412</v>
      </c>
      <c r="O3789">
        <v>1</v>
      </c>
      <c r="P3789">
        <v>412</v>
      </c>
      <c r="Q3789">
        <v>1</v>
      </c>
      <c r="R3789">
        <v>44</v>
      </c>
      <c r="S3789">
        <v>7</v>
      </c>
      <c r="T3789">
        <v>5</v>
      </c>
      <c r="U3789">
        <v>11</v>
      </c>
      <c r="V3789">
        <v>31</v>
      </c>
      <c r="W3789">
        <v>62</v>
      </c>
      <c r="X3789">
        <v>1</v>
      </c>
      <c r="Y3789">
        <v>201</v>
      </c>
      <c r="Z3789">
        <v>8</v>
      </c>
      <c r="AA3789">
        <v>7</v>
      </c>
      <c r="AB3789">
        <v>9</v>
      </c>
      <c r="AC3789" t="s">
        <v>100</v>
      </c>
      <c r="AD3789" t="s">
        <v>100</v>
      </c>
      <c r="AE3789" t="s">
        <v>100</v>
      </c>
      <c r="AF3789">
        <v>1</v>
      </c>
      <c r="AG3789">
        <v>1</v>
      </c>
      <c r="AH3789">
        <v>2</v>
      </c>
      <c r="AI3789" t="s">
        <v>100</v>
      </c>
      <c r="AJ3789" t="s">
        <v>100</v>
      </c>
      <c r="AK3789">
        <v>1</v>
      </c>
      <c r="AL3789">
        <v>2</v>
      </c>
      <c r="AM3789" t="s">
        <v>100</v>
      </c>
      <c r="AN3789">
        <v>1</v>
      </c>
      <c r="AT3789" t="s">
        <v>100</v>
      </c>
      <c r="AU3789">
        <v>18</v>
      </c>
      <c r="AV3789" t="s">
        <v>100</v>
      </c>
      <c r="AW3789">
        <v>413</v>
      </c>
      <c r="AX3789">
        <v>517</v>
      </c>
      <c r="AZ3789" t="s">
        <v>101</v>
      </c>
      <c r="BA3789">
        <v>1</v>
      </c>
      <c r="BC3789" t="s">
        <v>7684</v>
      </c>
      <c r="BD3789" s="4">
        <v>43283.256944444445</v>
      </c>
      <c r="BE3789" s="4">
        <v>43283.283321759256</v>
      </c>
      <c r="BF3789" s="4">
        <v>43283.283321759256</v>
      </c>
      <c r="BG3789" t="s">
        <v>83</v>
      </c>
      <c r="BH3789" t="s">
        <v>84</v>
      </c>
      <c r="BI3789" t="s">
        <v>85</v>
      </c>
    </row>
    <row r="3790" spans="1:61" x14ac:dyDescent="0.3">
      <c r="A3790" t="str">
        <f>"200382C0200"</f>
        <v>200382C0200</v>
      </c>
      <c r="B3790" t="s">
        <v>7685</v>
      </c>
      <c r="C3790">
        <v>20</v>
      </c>
      <c r="D3790" t="s">
        <v>79</v>
      </c>
      <c r="E3790">
        <v>18</v>
      </c>
      <c r="F3790" t="s">
        <v>7655</v>
      </c>
      <c r="G3790">
        <v>382</v>
      </c>
      <c r="H3790">
        <v>2</v>
      </c>
      <c r="I3790" t="s">
        <v>89</v>
      </c>
      <c r="J3790">
        <v>0</v>
      </c>
      <c r="K3790">
        <v>2</v>
      </c>
      <c r="L3790">
        <v>2</v>
      </c>
      <c r="M3790">
        <v>122</v>
      </c>
      <c r="N3790">
        <v>416</v>
      </c>
      <c r="O3790">
        <v>3</v>
      </c>
      <c r="P3790">
        <v>416</v>
      </c>
      <c r="Q3790">
        <v>2</v>
      </c>
      <c r="R3790">
        <v>64</v>
      </c>
      <c r="S3790">
        <v>8</v>
      </c>
      <c r="T3790">
        <v>3</v>
      </c>
      <c r="U3790">
        <v>8</v>
      </c>
      <c r="V3790">
        <v>18</v>
      </c>
      <c r="W3790">
        <v>72</v>
      </c>
      <c r="X3790">
        <v>2</v>
      </c>
      <c r="Y3790">
        <v>163</v>
      </c>
      <c r="Z3790">
        <v>24</v>
      </c>
      <c r="AA3790">
        <v>9</v>
      </c>
      <c r="AB3790">
        <v>17</v>
      </c>
      <c r="AC3790" t="s">
        <v>100</v>
      </c>
      <c r="AD3790" t="s">
        <v>100</v>
      </c>
      <c r="AE3790" t="s">
        <v>100</v>
      </c>
      <c r="AF3790" t="s">
        <v>100</v>
      </c>
      <c r="AG3790">
        <v>5</v>
      </c>
      <c r="AH3790" t="s">
        <v>100</v>
      </c>
      <c r="AI3790" t="s">
        <v>100</v>
      </c>
      <c r="AJ3790" t="s">
        <v>100</v>
      </c>
      <c r="AK3790">
        <v>2</v>
      </c>
      <c r="AL3790" t="s">
        <v>100</v>
      </c>
      <c r="AM3790" t="s">
        <v>100</v>
      </c>
      <c r="AN3790">
        <v>2</v>
      </c>
      <c r="AT3790" t="s">
        <v>100</v>
      </c>
      <c r="AU3790">
        <v>17</v>
      </c>
      <c r="AV3790">
        <v>416</v>
      </c>
      <c r="AW3790">
        <v>416</v>
      </c>
      <c r="AX3790">
        <v>516</v>
      </c>
      <c r="AZ3790" t="s">
        <v>101</v>
      </c>
      <c r="BA3790">
        <v>1</v>
      </c>
      <c r="BC3790" t="s">
        <v>7686</v>
      </c>
      <c r="BD3790" s="4">
        <v>43283.271527777775</v>
      </c>
      <c r="BE3790" s="4">
        <v>43283.301134259258</v>
      </c>
      <c r="BF3790" s="4">
        <v>43283.301134259258</v>
      </c>
      <c r="BG3790" t="s">
        <v>83</v>
      </c>
      <c r="BH3790" t="s">
        <v>84</v>
      </c>
      <c r="BI3790" t="s">
        <v>85</v>
      </c>
    </row>
    <row r="3791" spans="1:61" x14ac:dyDescent="0.3">
      <c r="A3791" t="str">
        <f>"200382E0100"</f>
        <v>200382E0100</v>
      </c>
      <c r="B3791" s="2" t="s">
        <v>7687</v>
      </c>
      <c r="C3791">
        <v>20</v>
      </c>
      <c r="D3791" t="s">
        <v>79</v>
      </c>
      <c r="E3791">
        <v>18</v>
      </c>
      <c r="F3791" t="s">
        <v>7655</v>
      </c>
      <c r="G3791">
        <v>382</v>
      </c>
      <c r="H3791">
        <v>1</v>
      </c>
      <c r="I3791" t="s">
        <v>145</v>
      </c>
      <c r="J3791">
        <v>0</v>
      </c>
      <c r="K3791">
        <v>2</v>
      </c>
      <c r="L3791">
        <v>2</v>
      </c>
      <c r="M3791">
        <v>80</v>
      </c>
      <c r="N3791">
        <v>286</v>
      </c>
      <c r="O3791">
        <v>3</v>
      </c>
      <c r="P3791">
        <v>286</v>
      </c>
      <c r="Q3791">
        <v>8</v>
      </c>
      <c r="R3791">
        <v>66</v>
      </c>
      <c r="S3791">
        <v>8</v>
      </c>
      <c r="T3791">
        <v>5</v>
      </c>
      <c r="U3791">
        <v>11</v>
      </c>
      <c r="V3791">
        <v>22</v>
      </c>
      <c r="W3791">
        <v>31</v>
      </c>
      <c r="X3791">
        <v>0</v>
      </c>
      <c r="Y3791">
        <v>95</v>
      </c>
      <c r="Z3791">
        <v>4</v>
      </c>
      <c r="AA3791">
        <v>1</v>
      </c>
      <c r="AB3791">
        <v>15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4</v>
      </c>
      <c r="AL3791">
        <v>0</v>
      </c>
      <c r="AM3791">
        <v>0</v>
      </c>
      <c r="AN3791">
        <v>0</v>
      </c>
      <c r="AT3791">
        <v>0</v>
      </c>
      <c r="AU3791">
        <v>16</v>
      </c>
      <c r="AV3791">
        <v>286</v>
      </c>
      <c r="AW3791">
        <v>286</v>
      </c>
      <c r="AX3791">
        <v>344</v>
      </c>
      <c r="BA3791">
        <v>1</v>
      </c>
      <c r="BC3791" t="s">
        <v>7688</v>
      </c>
      <c r="BD3791" s="4">
        <v>43283.261111111111</v>
      </c>
      <c r="BE3791" s="4">
        <v>43283.287291666667</v>
      </c>
      <c r="BF3791" s="4">
        <v>43283.287291666667</v>
      </c>
      <c r="BG3791" t="s">
        <v>83</v>
      </c>
      <c r="BH3791" t="s">
        <v>84</v>
      </c>
      <c r="BI3791" t="s">
        <v>85</v>
      </c>
    </row>
    <row r="3792" spans="1:61" x14ac:dyDescent="0.3">
      <c r="A3792" t="str">
        <f>"200383B0100"</f>
        <v>200383B0100</v>
      </c>
      <c r="B3792" t="s">
        <v>7689</v>
      </c>
      <c r="C3792">
        <v>20</v>
      </c>
      <c r="D3792" t="s">
        <v>79</v>
      </c>
      <c r="E3792">
        <v>18</v>
      </c>
      <c r="F3792" t="s">
        <v>7655</v>
      </c>
      <c r="G3792">
        <v>383</v>
      </c>
      <c r="H3792">
        <v>1</v>
      </c>
      <c r="I3792" t="s">
        <v>81</v>
      </c>
      <c r="J3792">
        <v>0</v>
      </c>
      <c r="K3792">
        <v>2</v>
      </c>
      <c r="L3792">
        <v>2</v>
      </c>
      <c r="M3792">
        <v>38</v>
      </c>
      <c r="N3792">
        <v>134</v>
      </c>
      <c r="O3792">
        <v>2</v>
      </c>
      <c r="P3792">
        <v>134</v>
      </c>
      <c r="Q3792">
        <v>5</v>
      </c>
      <c r="R3792">
        <v>15</v>
      </c>
      <c r="S3792">
        <v>4</v>
      </c>
      <c r="T3792">
        <v>0</v>
      </c>
      <c r="U3792">
        <v>5</v>
      </c>
      <c r="V3792">
        <v>33</v>
      </c>
      <c r="W3792">
        <v>3</v>
      </c>
      <c r="X3792">
        <v>2</v>
      </c>
      <c r="Y3792">
        <v>44</v>
      </c>
      <c r="Z3792">
        <v>4</v>
      </c>
      <c r="AA3792">
        <v>0</v>
      </c>
      <c r="AB3792">
        <v>7</v>
      </c>
      <c r="AC3792">
        <v>0</v>
      </c>
      <c r="AD3792">
        <v>0</v>
      </c>
      <c r="AE3792">
        <v>0</v>
      </c>
      <c r="AF3792">
        <v>0</v>
      </c>
      <c r="AG3792">
        <v>2</v>
      </c>
      <c r="AH3792">
        <v>0</v>
      </c>
      <c r="AI3792">
        <v>0</v>
      </c>
      <c r="AJ3792">
        <v>1</v>
      </c>
      <c r="AK3792">
        <v>0</v>
      </c>
      <c r="AL3792">
        <v>0</v>
      </c>
      <c r="AM3792">
        <v>0</v>
      </c>
      <c r="AN3792">
        <v>0</v>
      </c>
      <c r="AT3792">
        <v>0</v>
      </c>
      <c r="AU3792" t="s">
        <v>315</v>
      </c>
      <c r="AV3792">
        <v>134</v>
      </c>
      <c r="AW3792">
        <v>125</v>
      </c>
      <c r="AX3792">
        <v>150</v>
      </c>
      <c r="AZ3792" t="s">
        <v>101</v>
      </c>
      <c r="BA3792">
        <v>1</v>
      </c>
      <c r="BC3792" t="s">
        <v>7690</v>
      </c>
      <c r="BD3792" s="4">
        <v>43283.291666666664</v>
      </c>
      <c r="BE3792" s="4">
        <v>43283.344363425924</v>
      </c>
      <c r="BF3792" s="4">
        <v>43283.344363425924</v>
      </c>
      <c r="BG3792" t="s">
        <v>83</v>
      </c>
      <c r="BH3792" t="s">
        <v>84</v>
      </c>
      <c r="BI3792" t="s">
        <v>85</v>
      </c>
    </row>
    <row r="3793" spans="1:61" x14ac:dyDescent="0.3">
      <c r="A3793" t="str">
        <f>"200384B0100"</f>
        <v>200384B0100</v>
      </c>
      <c r="B3793" t="s">
        <v>7691</v>
      </c>
      <c r="C3793">
        <v>20</v>
      </c>
      <c r="D3793" t="s">
        <v>79</v>
      </c>
      <c r="E3793">
        <v>18</v>
      </c>
      <c r="F3793" t="s">
        <v>7655</v>
      </c>
      <c r="G3793">
        <v>384</v>
      </c>
      <c r="H3793">
        <v>1</v>
      </c>
      <c r="I3793" t="s">
        <v>81</v>
      </c>
      <c r="J3793">
        <v>0</v>
      </c>
      <c r="K3793">
        <v>2</v>
      </c>
      <c r="L3793">
        <v>2</v>
      </c>
      <c r="AX3793">
        <v>117</v>
      </c>
      <c r="AZ3793" t="s">
        <v>156</v>
      </c>
      <c r="BA3793">
        <v>0</v>
      </c>
      <c r="BC3793" t="s">
        <v>7692</v>
      </c>
      <c r="BD3793" s="4">
        <v>43283.68472222222</v>
      </c>
      <c r="BE3793" s="4">
        <v>43283.69158564815</v>
      </c>
      <c r="BF3793" s="4">
        <v>43283.69158564815</v>
      </c>
      <c r="BG3793" t="s">
        <v>83</v>
      </c>
      <c r="BH3793" t="s">
        <v>84</v>
      </c>
      <c r="BI3793" t="s">
        <v>85</v>
      </c>
    </row>
    <row r="3794" spans="1:61" x14ac:dyDescent="0.3">
      <c r="A3794" t="str">
        <f>"200385B0100"</f>
        <v>200385B0100</v>
      </c>
      <c r="B3794" t="s">
        <v>7693</v>
      </c>
      <c r="C3794">
        <v>20</v>
      </c>
      <c r="D3794" t="s">
        <v>79</v>
      </c>
      <c r="E3794">
        <v>18</v>
      </c>
      <c r="F3794" t="s">
        <v>7655</v>
      </c>
      <c r="G3794">
        <v>385</v>
      </c>
      <c r="H3794">
        <v>1</v>
      </c>
      <c r="I3794" t="s">
        <v>81</v>
      </c>
      <c r="J3794">
        <v>0</v>
      </c>
      <c r="K3794">
        <v>2</v>
      </c>
      <c r="L3794">
        <v>2</v>
      </c>
      <c r="M3794" t="s">
        <v>315</v>
      </c>
      <c r="N3794" t="s">
        <v>315</v>
      </c>
      <c r="O3794" t="s">
        <v>315</v>
      </c>
      <c r="P3794" t="s">
        <v>315</v>
      </c>
      <c r="Q3794" t="s">
        <v>315</v>
      </c>
      <c r="R3794" t="s">
        <v>315</v>
      </c>
      <c r="S3794" t="s">
        <v>315</v>
      </c>
      <c r="T3794" t="s">
        <v>315</v>
      </c>
      <c r="U3794" t="s">
        <v>315</v>
      </c>
      <c r="V3794" t="s">
        <v>315</v>
      </c>
      <c r="W3794" t="s">
        <v>315</v>
      </c>
      <c r="X3794" t="s">
        <v>315</v>
      </c>
      <c r="Y3794" t="s">
        <v>315</v>
      </c>
      <c r="Z3794" t="s">
        <v>315</v>
      </c>
      <c r="AA3794" t="s">
        <v>315</v>
      </c>
      <c r="AB3794" t="s">
        <v>315</v>
      </c>
      <c r="AC3794" t="s">
        <v>315</v>
      </c>
      <c r="AD3794" t="s">
        <v>315</v>
      </c>
      <c r="AE3794" t="s">
        <v>315</v>
      </c>
      <c r="AF3794" t="s">
        <v>315</v>
      </c>
      <c r="AG3794" t="s">
        <v>315</v>
      </c>
      <c r="AH3794" t="s">
        <v>315</v>
      </c>
      <c r="AI3794" t="s">
        <v>315</v>
      </c>
      <c r="AJ3794" t="s">
        <v>315</v>
      </c>
      <c r="AK3794" t="s">
        <v>315</v>
      </c>
      <c r="AL3794" t="s">
        <v>315</v>
      </c>
      <c r="AM3794" t="s">
        <v>315</v>
      </c>
      <c r="AN3794" t="s">
        <v>315</v>
      </c>
      <c r="AT3794" t="s">
        <v>315</v>
      </c>
      <c r="AU3794" t="s">
        <v>315</v>
      </c>
      <c r="AX3794">
        <v>698</v>
      </c>
      <c r="AZ3794" t="s">
        <v>794</v>
      </c>
      <c r="BA3794">
        <v>0</v>
      </c>
      <c r="BC3794" t="s">
        <v>7694</v>
      </c>
      <c r="BD3794" s="4">
        <v>43283.392361111109</v>
      </c>
      <c r="BE3794" s="4">
        <v>43283.398657407408</v>
      </c>
      <c r="BF3794" s="4">
        <v>43283.398657407408</v>
      </c>
      <c r="BG3794" t="s">
        <v>83</v>
      </c>
      <c r="BH3794" t="s">
        <v>84</v>
      </c>
      <c r="BI3794" t="s">
        <v>85</v>
      </c>
    </row>
    <row r="3795" spans="1:61" x14ac:dyDescent="0.3">
      <c r="A3795" t="str">
        <f>"200386B0100"</f>
        <v>200386B0100</v>
      </c>
      <c r="B3795" t="s">
        <v>7695</v>
      </c>
      <c r="C3795">
        <v>20</v>
      </c>
      <c r="D3795" t="s">
        <v>79</v>
      </c>
      <c r="E3795">
        <v>18</v>
      </c>
      <c r="F3795" t="s">
        <v>7655</v>
      </c>
      <c r="G3795">
        <v>386</v>
      </c>
      <c r="H3795">
        <v>1</v>
      </c>
      <c r="I3795" t="s">
        <v>81</v>
      </c>
      <c r="J3795">
        <v>0</v>
      </c>
      <c r="K3795">
        <v>2</v>
      </c>
      <c r="L3795">
        <v>2</v>
      </c>
      <c r="AX3795">
        <v>542</v>
      </c>
      <c r="AZ3795" t="s">
        <v>156</v>
      </c>
      <c r="BA3795">
        <v>0</v>
      </c>
      <c r="BC3795" t="s">
        <v>7696</v>
      </c>
      <c r="BD3795" s="4">
        <v>43283.684027777781</v>
      </c>
      <c r="BE3795" s="4">
        <v>43283.690428240741</v>
      </c>
      <c r="BF3795" s="4">
        <v>43283.690428240741</v>
      </c>
      <c r="BG3795" t="s">
        <v>83</v>
      </c>
      <c r="BH3795" t="s">
        <v>84</v>
      </c>
      <c r="BI3795" t="s">
        <v>85</v>
      </c>
    </row>
    <row r="3796" spans="1:61" x14ac:dyDescent="0.3">
      <c r="A3796" t="str">
        <f>"200386C0100"</f>
        <v>200386C0100</v>
      </c>
      <c r="B3796" t="s">
        <v>7697</v>
      </c>
      <c r="C3796">
        <v>20</v>
      </c>
      <c r="D3796" t="s">
        <v>79</v>
      </c>
      <c r="E3796">
        <v>18</v>
      </c>
      <c r="F3796" t="s">
        <v>7655</v>
      </c>
      <c r="G3796">
        <v>386</v>
      </c>
      <c r="H3796">
        <v>1</v>
      </c>
      <c r="I3796" t="s">
        <v>89</v>
      </c>
      <c r="J3796">
        <v>0</v>
      </c>
      <c r="K3796">
        <v>2</v>
      </c>
      <c r="L3796">
        <v>2</v>
      </c>
      <c r="M3796">
        <v>58</v>
      </c>
      <c r="N3796">
        <v>308</v>
      </c>
      <c r="O3796">
        <v>0</v>
      </c>
      <c r="P3796">
        <v>308</v>
      </c>
      <c r="Q3796">
        <v>10</v>
      </c>
      <c r="R3796">
        <v>26</v>
      </c>
      <c r="S3796">
        <v>6</v>
      </c>
      <c r="T3796">
        <v>2</v>
      </c>
      <c r="U3796">
        <v>10</v>
      </c>
      <c r="V3796">
        <v>13</v>
      </c>
      <c r="W3796">
        <v>159</v>
      </c>
      <c r="X3796">
        <v>2</v>
      </c>
      <c r="Y3796">
        <v>157</v>
      </c>
      <c r="Z3796">
        <v>2</v>
      </c>
      <c r="AA3796">
        <v>0</v>
      </c>
      <c r="AB3796">
        <v>69</v>
      </c>
      <c r="AC3796" t="s">
        <v>100</v>
      </c>
      <c r="AD3796" t="s">
        <v>100</v>
      </c>
      <c r="AE3796" t="s">
        <v>100</v>
      </c>
      <c r="AF3796" t="s">
        <v>100</v>
      </c>
      <c r="AG3796" t="s">
        <v>100</v>
      </c>
      <c r="AH3796" t="s">
        <v>100</v>
      </c>
      <c r="AI3796" t="s">
        <v>100</v>
      </c>
      <c r="AJ3796" t="s">
        <v>100</v>
      </c>
      <c r="AK3796" t="s">
        <v>100</v>
      </c>
      <c r="AL3796" t="s">
        <v>100</v>
      </c>
      <c r="AM3796" t="s">
        <v>100</v>
      </c>
      <c r="AN3796" t="s">
        <v>100</v>
      </c>
      <c r="AT3796" t="s">
        <v>100</v>
      </c>
      <c r="AU3796">
        <v>21</v>
      </c>
      <c r="AV3796">
        <v>308</v>
      </c>
      <c r="AW3796">
        <v>477</v>
      </c>
      <c r="AX3796">
        <v>541</v>
      </c>
      <c r="AZ3796" t="s">
        <v>101</v>
      </c>
      <c r="BA3796">
        <v>1</v>
      </c>
      <c r="BC3796" t="s">
        <v>7698</v>
      </c>
      <c r="BD3796" s="4">
        <v>43283.445833333331</v>
      </c>
      <c r="BE3796" s="4">
        <v>43283.450648148151</v>
      </c>
      <c r="BF3796" s="4">
        <v>43283.450648148151</v>
      </c>
      <c r="BG3796" t="s">
        <v>83</v>
      </c>
      <c r="BH3796" t="s">
        <v>84</v>
      </c>
      <c r="BI3796" t="s">
        <v>85</v>
      </c>
    </row>
    <row r="3797" spans="1:61" x14ac:dyDescent="0.3">
      <c r="A3797" t="str">
        <f>"201402B0100"</f>
        <v>201402B0100</v>
      </c>
      <c r="B3797" t="s">
        <v>7699</v>
      </c>
      <c r="C3797">
        <v>20</v>
      </c>
      <c r="D3797" t="s">
        <v>79</v>
      </c>
      <c r="E3797">
        <v>18</v>
      </c>
      <c r="F3797" t="s">
        <v>7655</v>
      </c>
      <c r="G3797">
        <v>1402</v>
      </c>
      <c r="H3797">
        <v>1</v>
      </c>
      <c r="I3797" t="s">
        <v>81</v>
      </c>
      <c r="J3797">
        <v>0</v>
      </c>
      <c r="K3797">
        <v>2</v>
      </c>
      <c r="L3797">
        <v>2</v>
      </c>
      <c r="M3797">
        <v>277</v>
      </c>
      <c r="N3797">
        <v>330</v>
      </c>
      <c r="O3797">
        <v>0</v>
      </c>
      <c r="P3797">
        <v>330</v>
      </c>
      <c r="Q3797">
        <v>12</v>
      </c>
      <c r="R3797">
        <v>118</v>
      </c>
      <c r="S3797">
        <v>13</v>
      </c>
      <c r="T3797">
        <v>10</v>
      </c>
      <c r="U3797">
        <v>64</v>
      </c>
      <c r="V3797">
        <v>3</v>
      </c>
      <c r="W3797">
        <v>4</v>
      </c>
      <c r="X3797">
        <v>3</v>
      </c>
      <c r="Y3797">
        <v>62</v>
      </c>
      <c r="Z3797">
        <v>12</v>
      </c>
      <c r="AA3797">
        <v>1</v>
      </c>
      <c r="AB3797">
        <v>1</v>
      </c>
      <c r="AC3797">
        <v>0</v>
      </c>
      <c r="AD3797">
        <v>0</v>
      </c>
      <c r="AE3797">
        <v>0</v>
      </c>
      <c r="AF3797">
        <v>0</v>
      </c>
      <c r="AG3797">
        <v>1</v>
      </c>
      <c r="AH3797">
        <v>8</v>
      </c>
      <c r="AI3797">
        <v>0</v>
      </c>
      <c r="AJ3797">
        <v>0</v>
      </c>
      <c r="AK3797">
        <v>3</v>
      </c>
      <c r="AL3797">
        <v>2</v>
      </c>
      <c r="AM3797">
        <v>1</v>
      </c>
      <c r="AN3797">
        <v>1</v>
      </c>
      <c r="AT3797">
        <v>0</v>
      </c>
      <c r="AU3797">
        <v>11</v>
      </c>
      <c r="AV3797">
        <v>330</v>
      </c>
      <c r="AW3797">
        <v>330</v>
      </c>
      <c r="AX3797">
        <v>585</v>
      </c>
      <c r="BA3797">
        <v>1</v>
      </c>
      <c r="BC3797" t="s">
        <v>7700</v>
      </c>
      <c r="BD3797" s="4">
        <v>43283.39166666667</v>
      </c>
      <c r="BE3797" s="4">
        <v>43283.395787037036</v>
      </c>
      <c r="BF3797" s="4">
        <v>43283.395787037036</v>
      </c>
      <c r="BG3797" t="s">
        <v>83</v>
      </c>
      <c r="BH3797" t="s">
        <v>84</v>
      </c>
      <c r="BI3797" t="s">
        <v>85</v>
      </c>
    </row>
    <row r="3798" spans="1:61" x14ac:dyDescent="0.3">
      <c r="A3798" t="str">
        <f>"201465B0100"</f>
        <v>201465B0100</v>
      </c>
      <c r="B3798" t="s">
        <v>7701</v>
      </c>
      <c r="C3798">
        <v>20</v>
      </c>
      <c r="D3798" t="s">
        <v>79</v>
      </c>
      <c r="E3798">
        <v>18</v>
      </c>
      <c r="F3798" t="s">
        <v>7655</v>
      </c>
      <c r="G3798">
        <v>1465</v>
      </c>
      <c r="H3798">
        <v>1</v>
      </c>
      <c r="I3798" t="s">
        <v>81</v>
      </c>
      <c r="J3798">
        <v>0</v>
      </c>
      <c r="K3798">
        <v>1</v>
      </c>
      <c r="L3798">
        <v>2</v>
      </c>
      <c r="M3798">
        <v>102</v>
      </c>
      <c r="N3798">
        <v>347</v>
      </c>
      <c r="O3798">
        <v>2</v>
      </c>
      <c r="P3798">
        <v>347</v>
      </c>
      <c r="Q3798">
        <v>2</v>
      </c>
      <c r="R3798">
        <v>35</v>
      </c>
      <c r="S3798">
        <v>7</v>
      </c>
      <c r="T3798">
        <v>14</v>
      </c>
      <c r="U3798">
        <v>5</v>
      </c>
      <c r="V3798">
        <v>1</v>
      </c>
      <c r="W3798">
        <v>162</v>
      </c>
      <c r="X3798">
        <v>0</v>
      </c>
      <c r="Y3798">
        <v>91</v>
      </c>
      <c r="Z3798">
        <v>2</v>
      </c>
      <c r="AA3798">
        <v>5</v>
      </c>
      <c r="AB3798">
        <v>1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4</v>
      </c>
      <c r="AI3798">
        <v>0</v>
      </c>
      <c r="AJ3798">
        <v>0</v>
      </c>
      <c r="AK3798">
        <v>3</v>
      </c>
      <c r="AL3798">
        <v>1</v>
      </c>
      <c r="AM3798">
        <v>0</v>
      </c>
      <c r="AN3798">
        <v>0</v>
      </c>
      <c r="AT3798">
        <v>0</v>
      </c>
      <c r="AU3798">
        <v>14</v>
      </c>
      <c r="AV3798">
        <v>347</v>
      </c>
      <c r="AW3798">
        <v>347</v>
      </c>
      <c r="AX3798">
        <v>427</v>
      </c>
      <c r="BA3798">
        <v>1</v>
      </c>
      <c r="BC3798" t="s">
        <v>7702</v>
      </c>
      <c r="BD3798" s="4">
        <v>43283.152083333334</v>
      </c>
      <c r="BE3798" s="4">
        <v>43283.174768518518</v>
      </c>
      <c r="BF3798" s="4">
        <v>43283.174768518518</v>
      </c>
      <c r="BG3798" t="s">
        <v>83</v>
      </c>
      <c r="BH3798" t="s">
        <v>84</v>
      </c>
      <c r="BI3798" t="s">
        <v>85</v>
      </c>
    </row>
    <row r="3799" spans="1:61" x14ac:dyDescent="0.3">
      <c r="A3799" t="str">
        <f>"201465C0100"</f>
        <v>201465C0100</v>
      </c>
      <c r="B3799" t="s">
        <v>7703</v>
      </c>
      <c r="C3799">
        <v>20</v>
      </c>
      <c r="D3799" t="s">
        <v>79</v>
      </c>
      <c r="E3799">
        <v>18</v>
      </c>
      <c r="F3799" t="s">
        <v>7655</v>
      </c>
      <c r="G3799">
        <v>1465</v>
      </c>
      <c r="H3799">
        <v>1</v>
      </c>
      <c r="I3799" t="s">
        <v>89</v>
      </c>
      <c r="J3799">
        <v>0</v>
      </c>
      <c r="K3799">
        <v>1</v>
      </c>
      <c r="L3799">
        <v>2</v>
      </c>
      <c r="M3799">
        <v>120</v>
      </c>
      <c r="N3799">
        <v>329</v>
      </c>
      <c r="O3799">
        <v>0</v>
      </c>
      <c r="P3799">
        <v>329</v>
      </c>
      <c r="Q3799">
        <v>2</v>
      </c>
      <c r="R3799">
        <v>34</v>
      </c>
      <c r="S3799">
        <v>5</v>
      </c>
      <c r="T3799">
        <v>13</v>
      </c>
      <c r="U3799">
        <v>7</v>
      </c>
      <c r="V3799">
        <v>4</v>
      </c>
      <c r="W3799">
        <v>139</v>
      </c>
      <c r="X3799">
        <v>2</v>
      </c>
      <c r="Y3799">
        <v>106</v>
      </c>
      <c r="Z3799">
        <v>2</v>
      </c>
      <c r="AA3799">
        <v>0</v>
      </c>
      <c r="AB3799">
        <v>1</v>
      </c>
      <c r="AC3799">
        <v>0</v>
      </c>
      <c r="AD3799">
        <v>0</v>
      </c>
      <c r="AE3799">
        <v>0</v>
      </c>
      <c r="AF3799">
        <v>0</v>
      </c>
      <c r="AG3799">
        <v>2</v>
      </c>
      <c r="AH3799">
        <v>0</v>
      </c>
      <c r="AI3799">
        <v>0</v>
      </c>
      <c r="AJ3799">
        <v>0</v>
      </c>
      <c r="AK3799">
        <v>1</v>
      </c>
      <c r="AL3799">
        <v>0</v>
      </c>
      <c r="AM3799">
        <v>0</v>
      </c>
      <c r="AN3799">
        <v>1</v>
      </c>
      <c r="AT3799" t="s">
        <v>100</v>
      </c>
      <c r="AU3799">
        <v>10</v>
      </c>
      <c r="AV3799">
        <v>329</v>
      </c>
      <c r="AW3799">
        <v>329</v>
      </c>
      <c r="AX3799">
        <v>427</v>
      </c>
      <c r="AZ3799" t="s">
        <v>101</v>
      </c>
      <c r="BA3799">
        <v>1</v>
      </c>
      <c r="BC3799" t="s">
        <v>7704</v>
      </c>
      <c r="BD3799" s="4">
        <v>43283.144444444442</v>
      </c>
      <c r="BE3799" s="4">
        <v>43283.151435185187</v>
      </c>
      <c r="BF3799" s="4">
        <v>43283.151435185187</v>
      </c>
      <c r="BG3799" t="s">
        <v>83</v>
      </c>
      <c r="BH3799" t="s">
        <v>84</v>
      </c>
      <c r="BI3799" t="s">
        <v>85</v>
      </c>
    </row>
    <row r="3800" spans="1:61" x14ac:dyDescent="0.3">
      <c r="A3800" t="str">
        <f>"201466B0100"</f>
        <v>201466B0100</v>
      </c>
      <c r="B3800" t="s">
        <v>7705</v>
      </c>
      <c r="C3800">
        <v>20</v>
      </c>
      <c r="D3800" t="s">
        <v>79</v>
      </c>
      <c r="E3800">
        <v>18</v>
      </c>
      <c r="F3800" t="s">
        <v>7655</v>
      </c>
      <c r="G3800">
        <v>1466</v>
      </c>
      <c r="H3800">
        <v>1</v>
      </c>
      <c r="I3800" t="s">
        <v>81</v>
      </c>
      <c r="J3800">
        <v>0</v>
      </c>
      <c r="K3800">
        <v>2</v>
      </c>
      <c r="L3800">
        <v>2</v>
      </c>
      <c r="M3800">
        <v>124</v>
      </c>
      <c r="N3800">
        <v>379</v>
      </c>
      <c r="O3800">
        <v>2</v>
      </c>
      <c r="P3800" t="s">
        <v>100</v>
      </c>
      <c r="Q3800">
        <v>7</v>
      </c>
      <c r="R3800">
        <v>36</v>
      </c>
      <c r="S3800">
        <v>6</v>
      </c>
      <c r="T3800">
        <v>9</v>
      </c>
      <c r="U3800">
        <v>12</v>
      </c>
      <c r="V3800">
        <v>5</v>
      </c>
      <c r="W3800">
        <v>176</v>
      </c>
      <c r="X3800">
        <v>3</v>
      </c>
      <c r="Y3800">
        <v>94</v>
      </c>
      <c r="Z3800">
        <v>4</v>
      </c>
      <c r="AA3800">
        <v>1</v>
      </c>
      <c r="AB3800">
        <v>1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1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T3800">
        <v>0</v>
      </c>
      <c r="AU3800">
        <v>16</v>
      </c>
      <c r="AV3800">
        <v>371</v>
      </c>
      <c r="AW3800">
        <v>371</v>
      </c>
      <c r="AX3800">
        <v>473</v>
      </c>
      <c r="BA3800">
        <v>1</v>
      </c>
      <c r="BC3800" t="s">
        <v>7706</v>
      </c>
      <c r="BD3800" s="4">
        <v>43283.213194444441</v>
      </c>
      <c r="BE3800" s="4">
        <v>43283.234849537039</v>
      </c>
      <c r="BF3800" s="4">
        <v>43283.234849537039</v>
      </c>
      <c r="BG3800" t="s">
        <v>83</v>
      </c>
      <c r="BH3800" t="s">
        <v>84</v>
      </c>
      <c r="BI3800" t="s">
        <v>85</v>
      </c>
    </row>
    <row r="3801" spans="1:61" x14ac:dyDescent="0.3">
      <c r="A3801" t="str">
        <f>"201466C0100"</f>
        <v>201466C0100</v>
      </c>
      <c r="B3801" t="s">
        <v>7707</v>
      </c>
      <c r="C3801">
        <v>20</v>
      </c>
      <c r="D3801" t="s">
        <v>79</v>
      </c>
      <c r="E3801">
        <v>18</v>
      </c>
      <c r="F3801" t="s">
        <v>7655</v>
      </c>
      <c r="G3801">
        <v>1466</v>
      </c>
      <c r="H3801">
        <v>1</v>
      </c>
      <c r="I3801" t="s">
        <v>89</v>
      </c>
      <c r="J3801">
        <v>0</v>
      </c>
      <c r="K3801">
        <v>2</v>
      </c>
      <c r="L3801">
        <v>2</v>
      </c>
      <c r="M3801">
        <v>120</v>
      </c>
      <c r="N3801">
        <v>374</v>
      </c>
      <c r="O3801">
        <v>2</v>
      </c>
      <c r="P3801">
        <v>374</v>
      </c>
      <c r="Q3801">
        <v>5</v>
      </c>
      <c r="R3801">
        <v>35</v>
      </c>
      <c r="S3801">
        <v>5</v>
      </c>
      <c r="T3801">
        <v>4</v>
      </c>
      <c r="U3801">
        <v>8</v>
      </c>
      <c r="V3801">
        <v>2</v>
      </c>
      <c r="W3801">
        <v>174</v>
      </c>
      <c r="X3801">
        <v>4</v>
      </c>
      <c r="Y3801">
        <v>106</v>
      </c>
      <c r="Z3801">
        <v>5</v>
      </c>
      <c r="AA3801">
        <v>2</v>
      </c>
      <c r="AB3801">
        <v>1</v>
      </c>
      <c r="AC3801">
        <v>0</v>
      </c>
      <c r="AD3801">
        <v>0</v>
      </c>
      <c r="AE3801">
        <v>0</v>
      </c>
      <c r="AF3801">
        <v>0</v>
      </c>
      <c r="AG3801">
        <v>2</v>
      </c>
      <c r="AH3801">
        <v>5</v>
      </c>
      <c r="AI3801">
        <v>1</v>
      </c>
      <c r="AJ3801">
        <v>0</v>
      </c>
      <c r="AK3801">
        <v>3</v>
      </c>
      <c r="AL3801">
        <v>0</v>
      </c>
      <c r="AM3801">
        <v>0</v>
      </c>
      <c r="AN3801">
        <v>0</v>
      </c>
      <c r="AT3801">
        <v>0</v>
      </c>
      <c r="AU3801">
        <v>12</v>
      </c>
      <c r="AV3801">
        <v>374</v>
      </c>
      <c r="AW3801">
        <v>374</v>
      </c>
      <c r="AX3801">
        <v>472</v>
      </c>
      <c r="BA3801">
        <v>1</v>
      </c>
      <c r="BC3801" t="s">
        <v>7708</v>
      </c>
      <c r="BD3801" s="4">
        <v>43283.210416666669</v>
      </c>
      <c r="BE3801" s="4">
        <v>43283.230995370373</v>
      </c>
      <c r="BF3801" s="4">
        <v>43283.230995370373</v>
      </c>
      <c r="BG3801" t="s">
        <v>83</v>
      </c>
      <c r="BH3801" t="s">
        <v>84</v>
      </c>
      <c r="BI3801" t="s">
        <v>85</v>
      </c>
    </row>
    <row r="3802" spans="1:61" x14ac:dyDescent="0.3">
      <c r="A3802" t="str">
        <f>"201467B0100"</f>
        <v>201467B0100</v>
      </c>
      <c r="B3802" t="s">
        <v>7709</v>
      </c>
      <c r="C3802">
        <v>20</v>
      </c>
      <c r="D3802" t="s">
        <v>79</v>
      </c>
      <c r="E3802">
        <v>18</v>
      </c>
      <c r="F3802" t="s">
        <v>7655</v>
      </c>
      <c r="G3802">
        <v>1467</v>
      </c>
      <c r="H3802">
        <v>1</v>
      </c>
      <c r="I3802" t="s">
        <v>81</v>
      </c>
      <c r="J3802">
        <v>0</v>
      </c>
      <c r="K3802">
        <v>2</v>
      </c>
      <c r="L3802">
        <v>2</v>
      </c>
      <c r="M3802">
        <v>56</v>
      </c>
      <c r="N3802">
        <v>147</v>
      </c>
      <c r="O3802">
        <v>3</v>
      </c>
      <c r="P3802">
        <v>1</v>
      </c>
      <c r="Q3802" t="s">
        <v>100</v>
      </c>
      <c r="R3802">
        <v>22</v>
      </c>
      <c r="S3802" t="s">
        <v>100</v>
      </c>
      <c r="T3802">
        <v>2</v>
      </c>
      <c r="U3802" t="s">
        <v>100</v>
      </c>
      <c r="V3802" t="s">
        <v>100</v>
      </c>
      <c r="W3802">
        <v>57</v>
      </c>
      <c r="X3802" t="s">
        <v>100</v>
      </c>
      <c r="Y3802">
        <v>55</v>
      </c>
      <c r="Z3802">
        <v>2</v>
      </c>
      <c r="AA3802" t="s">
        <v>100</v>
      </c>
      <c r="AB3802">
        <v>2</v>
      </c>
      <c r="AC3802" t="s">
        <v>100</v>
      </c>
      <c r="AD3802" t="s">
        <v>100</v>
      </c>
      <c r="AE3802" t="s">
        <v>100</v>
      </c>
      <c r="AF3802" t="s">
        <v>100</v>
      </c>
      <c r="AG3802">
        <v>3</v>
      </c>
      <c r="AH3802">
        <v>2</v>
      </c>
      <c r="AI3802" t="s">
        <v>100</v>
      </c>
      <c r="AJ3802" t="s">
        <v>100</v>
      </c>
      <c r="AK3802">
        <v>1</v>
      </c>
      <c r="AL3802" t="s">
        <v>100</v>
      </c>
      <c r="AM3802" t="s">
        <v>100</v>
      </c>
      <c r="AN3802" t="s">
        <v>100</v>
      </c>
      <c r="AT3802" t="s">
        <v>100</v>
      </c>
      <c r="AU3802">
        <v>1</v>
      </c>
      <c r="AV3802">
        <v>147</v>
      </c>
      <c r="AW3802">
        <v>147</v>
      </c>
      <c r="AX3802">
        <v>181</v>
      </c>
      <c r="AZ3802" t="s">
        <v>101</v>
      </c>
      <c r="BA3802">
        <v>1</v>
      </c>
      <c r="BC3802" t="s">
        <v>7710</v>
      </c>
      <c r="BD3802" s="4">
        <v>43283.147916666669</v>
      </c>
      <c r="BE3802" s="4">
        <v>43283.161990740744</v>
      </c>
      <c r="BF3802" s="4">
        <v>43283.161990740744</v>
      </c>
      <c r="BG3802" t="s">
        <v>83</v>
      </c>
      <c r="BH3802" t="s">
        <v>84</v>
      </c>
      <c r="BI3802" t="s">
        <v>85</v>
      </c>
    </row>
    <row r="3803" spans="1:61" x14ac:dyDescent="0.3">
      <c r="A3803" t="str">
        <f>"201468B0100"</f>
        <v>201468B0100</v>
      </c>
      <c r="B3803" t="s">
        <v>7711</v>
      </c>
      <c r="C3803">
        <v>20</v>
      </c>
      <c r="D3803" t="s">
        <v>79</v>
      </c>
      <c r="E3803">
        <v>18</v>
      </c>
      <c r="F3803" t="s">
        <v>7655</v>
      </c>
      <c r="G3803">
        <v>1468</v>
      </c>
      <c r="H3803">
        <v>1</v>
      </c>
      <c r="I3803" t="s">
        <v>81</v>
      </c>
      <c r="J3803">
        <v>0</v>
      </c>
      <c r="K3803">
        <v>2</v>
      </c>
      <c r="L3803">
        <v>2</v>
      </c>
      <c r="M3803">
        <v>193</v>
      </c>
      <c r="N3803">
        <v>397</v>
      </c>
      <c r="O3803">
        <v>2</v>
      </c>
      <c r="P3803">
        <v>397</v>
      </c>
      <c r="Q3803">
        <v>9</v>
      </c>
      <c r="R3803">
        <v>38</v>
      </c>
      <c r="S3803">
        <v>18</v>
      </c>
      <c r="T3803">
        <v>9</v>
      </c>
      <c r="U3803">
        <v>11</v>
      </c>
      <c r="V3803">
        <v>5</v>
      </c>
      <c r="W3803">
        <v>72</v>
      </c>
      <c r="X3803">
        <v>5</v>
      </c>
      <c r="Y3803">
        <v>178</v>
      </c>
      <c r="Z3803">
        <v>6</v>
      </c>
      <c r="AA3803">
        <v>4</v>
      </c>
      <c r="AB3803">
        <v>10</v>
      </c>
      <c r="AC3803">
        <v>1</v>
      </c>
      <c r="AD3803">
        <v>0</v>
      </c>
      <c r="AE3803">
        <v>0</v>
      </c>
      <c r="AF3803">
        <v>0</v>
      </c>
      <c r="AG3803">
        <v>0</v>
      </c>
      <c r="AH3803">
        <v>3</v>
      </c>
      <c r="AI3803">
        <v>0</v>
      </c>
      <c r="AJ3803">
        <v>0</v>
      </c>
      <c r="AK3803">
        <v>4</v>
      </c>
      <c r="AL3803">
        <v>2</v>
      </c>
      <c r="AM3803">
        <v>0</v>
      </c>
      <c r="AN3803">
        <v>0</v>
      </c>
      <c r="AT3803" t="s">
        <v>100</v>
      </c>
      <c r="AU3803">
        <v>22</v>
      </c>
      <c r="AV3803">
        <v>397</v>
      </c>
      <c r="AW3803">
        <v>397</v>
      </c>
      <c r="AX3803">
        <v>568</v>
      </c>
      <c r="AZ3803" t="s">
        <v>101</v>
      </c>
      <c r="BA3803">
        <v>1</v>
      </c>
      <c r="BC3803" t="s">
        <v>7712</v>
      </c>
      <c r="BD3803" s="4">
        <v>43283.219444444447</v>
      </c>
      <c r="BE3803" s="4">
        <v>43283.242037037038</v>
      </c>
      <c r="BF3803" s="4">
        <v>43283.242037037038</v>
      </c>
      <c r="BG3803" t="s">
        <v>83</v>
      </c>
      <c r="BH3803" t="s">
        <v>84</v>
      </c>
      <c r="BI3803" t="s">
        <v>85</v>
      </c>
    </row>
    <row r="3804" spans="1:61" x14ac:dyDescent="0.3">
      <c r="A3804" t="str">
        <f>"201468C0100"</f>
        <v>201468C0100</v>
      </c>
      <c r="B3804" t="s">
        <v>7713</v>
      </c>
      <c r="C3804">
        <v>20</v>
      </c>
      <c r="D3804" t="s">
        <v>79</v>
      </c>
      <c r="E3804">
        <v>18</v>
      </c>
      <c r="F3804" t="s">
        <v>7655</v>
      </c>
      <c r="G3804">
        <v>1468</v>
      </c>
      <c r="H3804">
        <v>1</v>
      </c>
      <c r="I3804" t="s">
        <v>89</v>
      </c>
      <c r="J3804">
        <v>0</v>
      </c>
      <c r="K3804">
        <v>2</v>
      </c>
      <c r="L3804">
        <v>2</v>
      </c>
      <c r="M3804">
        <v>186</v>
      </c>
      <c r="N3804">
        <v>404</v>
      </c>
      <c r="O3804">
        <v>2</v>
      </c>
      <c r="P3804">
        <v>400</v>
      </c>
      <c r="Q3804">
        <v>11</v>
      </c>
      <c r="R3804">
        <v>28</v>
      </c>
      <c r="S3804">
        <v>25</v>
      </c>
      <c r="T3804">
        <v>13</v>
      </c>
      <c r="U3804">
        <v>5</v>
      </c>
      <c r="V3804">
        <v>3</v>
      </c>
      <c r="W3804">
        <v>45</v>
      </c>
      <c r="X3804">
        <v>3</v>
      </c>
      <c r="Y3804">
        <v>209</v>
      </c>
      <c r="Z3804">
        <v>4</v>
      </c>
      <c r="AA3804">
        <v>8</v>
      </c>
      <c r="AB3804">
        <v>16</v>
      </c>
      <c r="AC3804">
        <v>1</v>
      </c>
      <c r="AD3804">
        <v>0</v>
      </c>
      <c r="AE3804">
        <v>0</v>
      </c>
      <c r="AF3804">
        <v>0</v>
      </c>
      <c r="AG3804">
        <v>10</v>
      </c>
      <c r="AH3804">
        <v>0</v>
      </c>
      <c r="AI3804">
        <v>0</v>
      </c>
      <c r="AJ3804">
        <v>0</v>
      </c>
      <c r="AK3804">
        <v>3</v>
      </c>
      <c r="AL3804">
        <v>0</v>
      </c>
      <c r="AM3804">
        <v>0</v>
      </c>
      <c r="AN3804">
        <v>2</v>
      </c>
      <c r="AT3804">
        <v>0</v>
      </c>
      <c r="AU3804">
        <v>21</v>
      </c>
      <c r="AV3804" t="s">
        <v>100</v>
      </c>
      <c r="AW3804">
        <v>407</v>
      </c>
      <c r="AX3804">
        <v>567</v>
      </c>
      <c r="BA3804">
        <v>1</v>
      </c>
      <c r="BC3804" t="s">
        <v>7714</v>
      </c>
      <c r="BD3804" s="4">
        <v>43283.217361111114</v>
      </c>
      <c r="BE3804" s="4">
        <v>43283.239236111112</v>
      </c>
      <c r="BF3804" s="4">
        <v>43283.239236111112</v>
      </c>
      <c r="BG3804" t="s">
        <v>83</v>
      </c>
      <c r="BH3804" t="s">
        <v>84</v>
      </c>
      <c r="BI3804" t="s">
        <v>85</v>
      </c>
    </row>
    <row r="3805" spans="1:61" x14ac:dyDescent="0.3">
      <c r="A3805" t="str">
        <f>"201469B0100"</f>
        <v>201469B0100</v>
      </c>
      <c r="B3805" t="s">
        <v>7715</v>
      </c>
      <c r="C3805">
        <v>20</v>
      </c>
      <c r="D3805" t="s">
        <v>79</v>
      </c>
      <c r="E3805">
        <v>18</v>
      </c>
      <c r="F3805" t="s">
        <v>7655</v>
      </c>
      <c r="G3805">
        <v>1469</v>
      </c>
      <c r="H3805">
        <v>1</v>
      </c>
      <c r="I3805" t="s">
        <v>81</v>
      </c>
      <c r="J3805">
        <v>0</v>
      </c>
      <c r="K3805">
        <v>2</v>
      </c>
      <c r="L3805">
        <v>2</v>
      </c>
      <c r="M3805">
        <v>91</v>
      </c>
      <c r="N3805">
        <v>185</v>
      </c>
      <c r="O3805">
        <v>4</v>
      </c>
      <c r="P3805">
        <v>185</v>
      </c>
      <c r="Q3805">
        <v>3</v>
      </c>
      <c r="R3805">
        <v>25</v>
      </c>
      <c r="S3805">
        <v>13</v>
      </c>
      <c r="T3805">
        <v>6</v>
      </c>
      <c r="U3805">
        <v>13</v>
      </c>
      <c r="V3805">
        <v>1</v>
      </c>
      <c r="W3805">
        <v>22</v>
      </c>
      <c r="X3805">
        <v>1</v>
      </c>
      <c r="Y3805">
        <v>67</v>
      </c>
      <c r="Z3805">
        <v>2</v>
      </c>
      <c r="AA3805">
        <v>0</v>
      </c>
      <c r="AB3805">
        <v>17</v>
      </c>
      <c r="AC3805">
        <v>0</v>
      </c>
      <c r="AD3805">
        <v>0</v>
      </c>
      <c r="AE3805">
        <v>0</v>
      </c>
      <c r="AF3805">
        <v>0</v>
      </c>
      <c r="AG3805">
        <v>1</v>
      </c>
      <c r="AH3805">
        <v>0</v>
      </c>
      <c r="AI3805">
        <v>0</v>
      </c>
      <c r="AJ3805">
        <v>0</v>
      </c>
      <c r="AK3805">
        <v>2</v>
      </c>
      <c r="AL3805">
        <v>1</v>
      </c>
      <c r="AM3805">
        <v>0</v>
      </c>
      <c r="AN3805">
        <v>1</v>
      </c>
      <c r="AT3805">
        <v>0</v>
      </c>
      <c r="AU3805">
        <v>10</v>
      </c>
      <c r="AV3805">
        <v>185</v>
      </c>
      <c r="AW3805">
        <v>185</v>
      </c>
      <c r="AX3805">
        <v>254</v>
      </c>
      <c r="BA3805">
        <v>1</v>
      </c>
      <c r="BC3805" t="s">
        <v>7716</v>
      </c>
      <c r="BD3805" s="4">
        <v>43283.061655092592</v>
      </c>
      <c r="BE3805" s="4">
        <v>43283.072268518517</v>
      </c>
      <c r="BF3805" s="4">
        <v>43283.072268518517</v>
      </c>
      <c r="BG3805" t="s">
        <v>373</v>
      </c>
      <c r="BH3805" t="s">
        <v>374</v>
      </c>
      <c r="BI3805" t="s">
        <v>85</v>
      </c>
    </row>
    <row r="3806" spans="1:61" x14ac:dyDescent="0.3">
      <c r="A3806" t="str">
        <f>"201469E0100"</f>
        <v>201469E0100</v>
      </c>
      <c r="B3806" s="2" t="s">
        <v>7717</v>
      </c>
      <c r="C3806">
        <v>20</v>
      </c>
      <c r="D3806" t="s">
        <v>79</v>
      </c>
      <c r="E3806">
        <v>18</v>
      </c>
      <c r="F3806" t="s">
        <v>7655</v>
      </c>
      <c r="G3806">
        <v>1469</v>
      </c>
      <c r="H3806">
        <v>1</v>
      </c>
      <c r="I3806" t="s">
        <v>145</v>
      </c>
      <c r="J3806">
        <v>0</v>
      </c>
      <c r="K3806">
        <v>2</v>
      </c>
      <c r="L3806">
        <v>2</v>
      </c>
      <c r="M3806">
        <v>72</v>
      </c>
      <c r="N3806">
        <v>84</v>
      </c>
      <c r="O3806">
        <v>5</v>
      </c>
      <c r="P3806">
        <v>84</v>
      </c>
      <c r="Q3806">
        <v>0</v>
      </c>
      <c r="R3806">
        <v>7</v>
      </c>
      <c r="S3806">
        <v>3</v>
      </c>
      <c r="T3806">
        <v>2</v>
      </c>
      <c r="U3806">
        <v>2</v>
      </c>
      <c r="V3806">
        <v>4</v>
      </c>
      <c r="W3806">
        <v>12</v>
      </c>
      <c r="X3806">
        <v>0</v>
      </c>
      <c r="Y3806">
        <v>34</v>
      </c>
      <c r="Z3806">
        <v>2</v>
      </c>
      <c r="AA3806">
        <v>5</v>
      </c>
      <c r="AB3806">
        <v>5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5</v>
      </c>
      <c r="AL3806">
        <v>0</v>
      </c>
      <c r="AM3806">
        <v>1</v>
      </c>
      <c r="AN3806">
        <v>0</v>
      </c>
      <c r="AT3806">
        <v>0</v>
      </c>
      <c r="AU3806">
        <v>2</v>
      </c>
      <c r="AV3806">
        <v>84</v>
      </c>
      <c r="AW3806">
        <v>84</v>
      </c>
      <c r="AX3806">
        <v>134</v>
      </c>
      <c r="BA3806">
        <v>1</v>
      </c>
      <c r="BC3806" t="s">
        <v>7718</v>
      </c>
      <c r="BD3806" s="4">
        <v>43283.34652777778</v>
      </c>
      <c r="BE3806" s="4">
        <v>43283.361562500002</v>
      </c>
      <c r="BF3806" s="4">
        <v>43283.361562500002</v>
      </c>
      <c r="BG3806" t="s">
        <v>83</v>
      </c>
      <c r="BH3806" t="s">
        <v>84</v>
      </c>
      <c r="BI3806" t="s">
        <v>85</v>
      </c>
    </row>
    <row r="3807" spans="1:61" x14ac:dyDescent="0.3">
      <c r="A3807" t="str">
        <f>"201470B0100"</f>
        <v>201470B0100</v>
      </c>
      <c r="B3807" t="s">
        <v>7719</v>
      </c>
      <c r="C3807">
        <v>20</v>
      </c>
      <c r="D3807" t="s">
        <v>79</v>
      </c>
      <c r="E3807">
        <v>18</v>
      </c>
      <c r="F3807" t="s">
        <v>7655</v>
      </c>
      <c r="G3807">
        <v>1470</v>
      </c>
      <c r="H3807">
        <v>1</v>
      </c>
      <c r="I3807" t="s">
        <v>81</v>
      </c>
      <c r="J3807">
        <v>0</v>
      </c>
      <c r="K3807">
        <v>2</v>
      </c>
      <c r="L3807">
        <v>2</v>
      </c>
      <c r="M3807">
        <v>160</v>
      </c>
      <c r="N3807">
        <v>442</v>
      </c>
      <c r="O3807">
        <v>0</v>
      </c>
      <c r="P3807">
        <v>442</v>
      </c>
      <c r="Q3807">
        <v>6</v>
      </c>
      <c r="R3807">
        <v>33</v>
      </c>
      <c r="S3807">
        <v>2</v>
      </c>
      <c r="T3807">
        <v>5</v>
      </c>
      <c r="U3807">
        <v>28</v>
      </c>
      <c r="V3807">
        <v>4</v>
      </c>
      <c r="W3807">
        <v>123</v>
      </c>
      <c r="X3807">
        <v>1</v>
      </c>
      <c r="Y3807">
        <v>190</v>
      </c>
      <c r="Z3807">
        <v>5</v>
      </c>
      <c r="AA3807">
        <v>2</v>
      </c>
      <c r="AB3807">
        <v>27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3</v>
      </c>
      <c r="AI3807">
        <v>0</v>
      </c>
      <c r="AJ3807">
        <v>0</v>
      </c>
      <c r="AK3807">
        <v>0</v>
      </c>
      <c r="AL3807">
        <v>2</v>
      </c>
      <c r="AM3807">
        <v>0</v>
      </c>
      <c r="AN3807">
        <v>0</v>
      </c>
      <c r="AT3807">
        <v>0</v>
      </c>
      <c r="AU3807">
        <v>10</v>
      </c>
      <c r="AV3807">
        <v>441</v>
      </c>
      <c r="AW3807">
        <v>441</v>
      </c>
      <c r="AX3807">
        <v>580</v>
      </c>
      <c r="BA3807">
        <v>1</v>
      </c>
      <c r="BC3807" t="s">
        <v>7720</v>
      </c>
      <c r="BD3807" s="4">
        <v>43283.320138888892</v>
      </c>
      <c r="BE3807" s="4">
        <v>43283.367025462961</v>
      </c>
      <c r="BF3807" s="4">
        <v>43283.367025462961</v>
      </c>
      <c r="BG3807" t="s">
        <v>83</v>
      </c>
      <c r="BH3807" t="s">
        <v>84</v>
      </c>
      <c r="BI3807" t="s">
        <v>85</v>
      </c>
    </row>
    <row r="3808" spans="1:61" x14ac:dyDescent="0.3">
      <c r="A3808" t="str">
        <f>"201470E0100"</f>
        <v>201470E0100</v>
      </c>
      <c r="B3808" s="2" t="s">
        <v>7721</v>
      </c>
      <c r="C3808">
        <v>20</v>
      </c>
      <c r="D3808" t="s">
        <v>79</v>
      </c>
      <c r="E3808">
        <v>18</v>
      </c>
      <c r="F3808" t="s">
        <v>7655</v>
      </c>
      <c r="G3808">
        <v>1470</v>
      </c>
      <c r="H3808">
        <v>1</v>
      </c>
      <c r="I3808" t="s">
        <v>145</v>
      </c>
      <c r="J3808">
        <v>0</v>
      </c>
      <c r="K3808">
        <v>2</v>
      </c>
      <c r="L3808">
        <v>2</v>
      </c>
      <c r="M3808">
        <v>158</v>
      </c>
      <c r="N3808">
        <v>420</v>
      </c>
      <c r="O3808">
        <v>0</v>
      </c>
      <c r="P3808">
        <v>418</v>
      </c>
      <c r="Q3808">
        <v>2</v>
      </c>
      <c r="R3808">
        <v>43</v>
      </c>
      <c r="S3808">
        <v>6</v>
      </c>
      <c r="T3808">
        <v>33</v>
      </c>
      <c r="U3808">
        <v>5</v>
      </c>
      <c r="V3808">
        <v>1</v>
      </c>
      <c r="W3808">
        <v>50</v>
      </c>
      <c r="X3808">
        <v>3</v>
      </c>
      <c r="Y3808">
        <v>220</v>
      </c>
      <c r="Z3808">
        <v>3</v>
      </c>
      <c r="AA3808">
        <v>6</v>
      </c>
      <c r="AB3808">
        <v>16</v>
      </c>
      <c r="AC3808" t="s">
        <v>100</v>
      </c>
      <c r="AD3808" t="s">
        <v>100</v>
      </c>
      <c r="AE3808" t="s">
        <v>100</v>
      </c>
      <c r="AF3808" t="s">
        <v>100</v>
      </c>
      <c r="AG3808">
        <v>2</v>
      </c>
      <c r="AH3808">
        <v>1</v>
      </c>
      <c r="AI3808" t="s">
        <v>100</v>
      </c>
      <c r="AJ3808" t="s">
        <v>100</v>
      </c>
      <c r="AK3808">
        <v>3</v>
      </c>
      <c r="AL3808">
        <v>1</v>
      </c>
      <c r="AM3808" t="s">
        <v>100</v>
      </c>
      <c r="AN3808">
        <v>1</v>
      </c>
      <c r="AT3808" t="s">
        <v>100</v>
      </c>
      <c r="AU3808">
        <v>22</v>
      </c>
      <c r="AV3808">
        <v>418</v>
      </c>
      <c r="AW3808">
        <v>418</v>
      </c>
      <c r="AX3808">
        <v>555</v>
      </c>
      <c r="AZ3808" t="s">
        <v>101</v>
      </c>
      <c r="BA3808">
        <v>1</v>
      </c>
      <c r="BC3808" t="s">
        <v>7722</v>
      </c>
      <c r="BD3808" s="4">
        <v>43283.313194444447</v>
      </c>
      <c r="BE3808" s="4">
        <v>43283.364930555559</v>
      </c>
      <c r="BF3808" s="4">
        <v>43283.364930555559</v>
      </c>
      <c r="BG3808" t="s">
        <v>83</v>
      </c>
      <c r="BH3808" t="s">
        <v>84</v>
      </c>
      <c r="BI3808" t="s">
        <v>85</v>
      </c>
    </row>
    <row r="3809" spans="1:61" x14ac:dyDescent="0.3">
      <c r="A3809" t="str">
        <f>"201470E0101"</f>
        <v>201470E0101</v>
      </c>
      <c r="B3809" s="2" t="s">
        <v>7723</v>
      </c>
      <c r="C3809">
        <v>20</v>
      </c>
      <c r="D3809" t="s">
        <v>79</v>
      </c>
      <c r="E3809">
        <v>18</v>
      </c>
      <c r="F3809" t="s">
        <v>7655</v>
      </c>
      <c r="G3809">
        <v>1470</v>
      </c>
      <c r="H3809">
        <v>1</v>
      </c>
      <c r="I3809" t="s">
        <v>145</v>
      </c>
      <c r="J3809">
        <v>1</v>
      </c>
      <c r="K3809">
        <v>2</v>
      </c>
      <c r="L3809">
        <v>2</v>
      </c>
      <c r="M3809">
        <v>135</v>
      </c>
      <c r="N3809">
        <v>443</v>
      </c>
      <c r="O3809">
        <v>2</v>
      </c>
      <c r="P3809">
        <v>0</v>
      </c>
      <c r="Q3809">
        <v>6</v>
      </c>
      <c r="R3809">
        <v>52</v>
      </c>
      <c r="S3809">
        <v>3</v>
      </c>
      <c r="T3809">
        <v>28</v>
      </c>
      <c r="U3809">
        <v>9</v>
      </c>
      <c r="V3809">
        <v>0</v>
      </c>
      <c r="W3809">
        <v>55</v>
      </c>
      <c r="X3809">
        <v>3</v>
      </c>
      <c r="Y3809">
        <v>187</v>
      </c>
      <c r="Z3809">
        <v>4</v>
      </c>
      <c r="AA3809">
        <v>22</v>
      </c>
      <c r="AB3809">
        <v>15</v>
      </c>
      <c r="AC3809">
        <v>0</v>
      </c>
      <c r="AD3809">
        <v>0</v>
      </c>
      <c r="AE3809">
        <v>0</v>
      </c>
      <c r="AF3809">
        <v>0</v>
      </c>
      <c r="AG3809">
        <v>3</v>
      </c>
      <c r="AH3809">
        <v>3</v>
      </c>
      <c r="AI3809">
        <v>0</v>
      </c>
      <c r="AJ3809">
        <v>0</v>
      </c>
      <c r="AK3809">
        <v>8</v>
      </c>
      <c r="AL3809">
        <v>1</v>
      </c>
      <c r="AM3809">
        <v>0</v>
      </c>
      <c r="AN3809">
        <v>3</v>
      </c>
      <c r="AT3809">
        <v>0</v>
      </c>
      <c r="AU3809">
        <v>36</v>
      </c>
      <c r="AV3809">
        <v>438</v>
      </c>
      <c r="AW3809">
        <v>438</v>
      </c>
      <c r="AX3809">
        <v>555</v>
      </c>
      <c r="BA3809">
        <v>1</v>
      </c>
      <c r="BC3809" t="s">
        <v>7724</v>
      </c>
      <c r="BD3809" s="4">
        <v>43283.314583333333</v>
      </c>
      <c r="BE3809" s="4">
        <v>43283.345104166663</v>
      </c>
      <c r="BF3809" s="4">
        <v>43283.345104166663</v>
      </c>
      <c r="BG3809" t="s">
        <v>83</v>
      </c>
      <c r="BH3809" t="s">
        <v>84</v>
      </c>
      <c r="BI3809" t="s">
        <v>85</v>
      </c>
    </row>
    <row r="3810" spans="1:61" x14ac:dyDescent="0.3">
      <c r="A3810" t="str">
        <f>"201471B0100"</f>
        <v>201471B0100</v>
      </c>
      <c r="B3810" t="s">
        <v>7725</v>
      </c>
      <c r="C3810">
        <v>20</v>
      </c>
      <c r="D3810" t="s">
        <v>79</v>
      </c>
      <c r="E3810">
        <v>18</v>
      </c>
      <c r="F3810" t="s">
        <v>7655</v>
      </c>
      <c r="G3810">
        <v>1471</v>
      </c>
      <c r="H3810">
        <v>1</v>
      </c>
      <c r="I3810" t="s">
        <v>81</v>
      </c>
      <c r="J3810">
        <v>0</v>
      </c>
      <c r="K3810">
        <v>2</v>
      </c>
      <c r="L3810">
        <v>2</v>
      </c>
      <c r="M3810">
        <v>263</v>
      </c>
      <c r="N3810">
        <v>423</v>
      </c>
      <c r="O3810">
        <v>0</v>
      </c>
      <c r="P3810">
        <v>423</v>
      </c>
      <c r="Q3810">
        <v>0</v>
      </c>
      <c r="R3810">
        <v>69</v>
      </c>
      <c r="S3810">
        <v>8</v>
      </c>
      <c r="T3810">
        <v>0</v>
      </c>
      <c r="U3810">
        <v>0</v>
      </c>
      <c r="V3810">
        <v>0</v>
      </c>
      <c r="W3810">
        <v>28</v>
      </c>
      <c r="X3810">
        <v>0</v>
      </c>
      <c r="Y3810">
        <v>268</v>
      </c>
      <c r="Z3810">
        <v>0</v>
      </c>
      <c r="AA3810">
        <v>14</v>
      </c>
      <c r="AB3810">
        <v>17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0</v>
      </c>
      <c r="AT3810">
        <v>0</v>
      </c>
      <c r="AU3810">
        <v>19</v>
      </c>
      <c r="AV3810">
        <v>423</v>
      </c>
      <c r="AW3810">
        <v>423</v>
      </c>
      <c r="AX3810">
        <v>664</v>
      </c>
      <c r="BA3810">
        <v>1</v>
      </c>
      <c r="BC3810" t="s">
        <v>7726</v>
      </c>
      <c r="BD3810" s="4">
        <v>43283.334722222222</v>
      </c>
      <c r="BE3810" s="4">
        <v>43283.354351851849</v>
      </c>
      <c r="BF3810" s="4">
        <v>43283.354351851849</v>
      </c>
      <c r="BG3810" t="s">
        <v>83</v>
      </c>
      <c r="BH3810" t="s">
        <v>84</v>
      </c>
      <c r="BI3810" t="s">
        <v>85</v>
      </c>
    </row>
    <row r="3811" spans="1:61" x14ac:dyDescent="0.3">
      <c r="A3811" t="str">
        <f>"201471C0100"</f>
        <v>201471C0100</v>
      </c>
      <c r="B3811" t="s">
        <v>7727</v>
      </c>
      <c r="C3811">
        <v>20</v>
      </c>
      <c r="D3811" t="s">
        <v>79</v>
      </c>
      <c r="E3811">
        <v>18</v>
      </c>
      <c r="F3811" t="s">
        <v>7655</v>
      </c>
      <c r="G3811">
        <v>1471</v>
      </c>
      <c r="H3811">
        <v>1</v>
      </c>
      <c r="I3811" t="s">
        <v>89</v>
      </c>
      <c r="J3811">
        <v>0</v>
      </c>
      <c r="K3811">
        <v>2</v>
      </c>
      <c r="L3811">
        <v>2</v>
      </c>
      <c r="M3811">
        <v>251</v>
      </c>
      <c r="N3811" t="s">
        <v>100</v>
      </c>
      <c r="O3811" t="s">
        <v>100</v>
      </c>
      <c r="P3811" t="s">
        <v>100</v>
      </c>
      <c r="Q3811">
        <v>2</v>
      </c>
      <c r="R3811">
        <v>41</v>
      </c>
      <c r="S3811">
        <v>0</v>
      </c>
      <c r="T3811">
        <v>44</v>
      </c>
      <c r="U3811">
        <v>10</v>
      </c>
      <c r="V3811">
        <v>1</v>
      </c>
      <c r="W3811">
        <v>40</v>
      </c>
      <c r="X3811">
        <v>3</v>
      </c>
      <c r="Y3811">
        <v>227</v>
      </c>
      <c r="Z3811">
        <v>6</v>
      </c>
      <c r="AA3811">
        <v>11</v>
      </c>
      <c r="AB3811">
        <v>15</v>
      </c>
      <c r="AC3811">
        <v>0</v>
      </c>
      <c r="AD3811">
        <v>0</v>
      </c>
      <c r="AE3811">
        <v>0</v>
      </c>
      <c r="AF3811">
        <v>0</v>
      </c>
      <c r="AG3811">
        <v>3</v>
      </c>
      <c r="AH3811">
        <v>7</v>
      </c>
      <c r="AI3811">
        <v>0</v>
      </c>
      <c r="AJ3811">
        <v>0</v>
      </c>
      <c r="AK3811">
        <v>2</v>
      </c>
      <c r="AL3811">
        <v>1</v>
      </c>
      <c r="AM3811">
        <v>0</v>
      </c>
      <c r="AN3811">
        <v>0</v>
      </c>
      <c r="AT3811" t="s">
        <v>100</v>
      </c>
      <c r="AU3811">
        <v>21</v>
      </c>
      <c r="AV3811" t="s">
        <v>100</v>
      </c>
      <c r="AW3811">
        <v>434</v>
      </c>
      <c r="AX3811">
        <v>663</v>
      </c>
      <c r="AZ3811" t="s">
        <v>101</v>
      </c>
      <c r="BA3811">
        <v>1</v>
      </c>
      <c r="BC3811" t="s">
        <v>7728</v>
      </c>
      <c r="BD3811" s="4">
        <v>43283.365972222222</v>
      </c>
      <c r="BE3811" s="4">
        <v>43283.377523148149</v>
      </c>
      <c r="BF3811" s="4">
        <v>43283.377523148149</v>
      </c>
      <c r="BG3811" t="s">
        <v>83</v>
      </c>
      <c r="BH3811" t="s">
        <v>84</v>
      </c>
      <c r="BI3811" t="s">
        <v>85</v>
      </c>
    </row>
    <row r="3812" spans="1:61" x14ac:dyDescent="0.3">
      <c r="A3812" t="str">
        <f>"201471C0200"</f>
        <v>201471C0200</v>
      </c>
      <c r="B3812" t="s">
        <v>7729</v>
      </c>
      <c r="C3812">
        <v>20</v>
      </c>
      <c r="D3812" t="s">
        <v>79</v>
      </c>
      <c r="E3812">
        <v>18</v>
      </c>
      <c r="F3812" t="s">
        <v>7655</v>
      </c>
      <c r="G3812">
        <v>1471</v>
      </c>
      <c r="H3812">
        <v>2</v>
      </c>
      <c r="I3812" t="s">
        <v>89</v>
      </c>
      <c r="J3812">
        <v>0</v>
      </c>
      <c r="K3812">
        <v>2</v>
      </c>
      <c r="L3812">
        <v>2</v>
      </c>
      <c r="AX3812">
        <v>663</v>
      </c>
      <c r="AZ3812" t="s">
        <v>156</v>
      </c>
      <c r="BA3812">
        <v>0</v>
      </c>
      <c r="BC3812" t="s">
        <v>7730</v>
      </c>
      <c r="BD3812" s="4">
        <v>43283.684027777781</v>
      </c>
      <c r="BE3812" s="4">
        <v>43283.689606481479</v>
      </c>
      <c r="BF3812" s="4">
        <v>43283.689606481479</v>
      </c>
      <c r="BG3812" t="s">
        <v>83</v>
      </c>
      <c r="BH3812" t="s">
        <v>84</v>
      </c>
      <c r="BI3812" t="s">
        <v>85</v>
      </c>
    </row>
    <row r="3813" spans="1:61" x14ac:dyDescent="0.3">
      <c r="A3813" t="str">
        <f>"201834B0100"</f>
        <v>201834B0100</v>
      </c>
      <c r="B3813" t="s">
        <v>7731</v>
      </c>
      <c r="C3813">
        <v>20</v>
      </c>
      <c r="D3813" t="s">
        <v>79</v>
      </c>
      <c r="E3813">
        <v>18</v>
      </c>
      <c r="F3813" t="s">
        <v>7655</v>
      </c>
      <c r="G3813">
        <v>1834</v>
      </c>
      <c r="H3813">
        <v>1</v>
      </c>
      <c r="I3813" t="s">
        <v>81</v>
      </c>
      <c r="J3813">
        <v>0</v>
      </c>
      <c r="K3813">
        <v>2</v>
      </c>
      <c r="L3813">
        <v>2</v>
      </c>
      <c r="M3813">
        <v>153</v>
      </c>
      <c r="N3813">
        <v>207</v>
      </c>
      <c r="O3813">
        <v>1</v>
      </c>
      <c r="P3813">
        <v>207</v>
      </c>
      <c r="Q3813">
        <v>6</v>
      </c>
      <c r="R3813">
        <v>44</v>
      </c>
      <c r="S3813">
        <v>5</v>
      </c>
      <c r="T3813">
        <v>8</v>
      </c>
      <c r="U3813">
        <v>5</v>
      </c>
      <c r="V3813">
        <v>8</v>
      </c>
      <c r="W3813">
        <v>5</v>
      </c>
      <c r="X3813">
        <v>2</v>
      </c>
      <c r="Y3813">
        <v>97</v>
      </c>
      <c r="Z3813">
        <v>4</v>
      </c>
      <c r="AA3813">
        <v>0</v>
      </c>
      <c r="AB3813">
        <v>1</v>
      </c>
      <c r="AC3813">
        <v>1</v>
      </c>
      <c r="AD3813">
        <v>0</v>
      </c>
      <c r="AE3813">
        <v>1</v>
      </c>
      <c r="AF3813">
        <v>0</v>
      </c>
      <c r="AG3813">
        <v>0</v>
      </c>
      <c r="AH3813">
        <v>0</v>
      </c>
      <c r="AI3813">
        <v>2</v>
      </c>
      <c r="AJ3813">
        <v>0</v>
      </c>
      <c r="AK3813">
        <v>3</v>
      </c>
      <c r="AL3813">
        <v>2</v>
      </c>
      <c r="AM3813">
        <v>1</v>
      </c>
      <c r="AN3813">
        <v>2</v>
      </c>
      <c r="AT3813">
        <v>0</v>
      </c>
      <c r="AU3813">
        <v>10</v>
      </c>
      <c r="AV3813">
        <v>207</v>
      </c>
      <c r="AW3813">
        <v>207</v>
      </c>
      <c r="AX3813">
        <v>338</v>
      </c>
      <c r="BA3813">
        <v>1</v>
      </c>
      <c r="BC3813" t="s">
        <v>7732</v>
      </c>
      <c r="BD3813" s="4">
        <v>43283.417361111111</v>
      </c>
      <c r="BE3813" s="4">
        <v>43283.422638888886</v>
      </c>
      <c r="BF3813" s="4">
        <v>43283.422638888886</v>
      </c>
      <c r="BG3813" t="s">
        <v>83</v>
      </c>
      <c r="BH3813" t="s">
        <v>84</v>
      </c>
      <c r="BI3813" t="s">
        <v>85</v>
      </c>
    </row>
    <row r="3814" spans="1:61" x14ac:dyDescent="0.3">
      <c r="A3814" t="str">
        <f>"201834E0100"</f>
        <v>201834E0100</v>
      </c>
      <c r="B3814" s="2" t="s">
        <v>7733</v>
      </c>
      <c r="C3814">
        <v>20</v>
      </c>
      <c r="D3814" t="s">
        <v>79</v>
      </c>
      <c r="E3814">
        <v>18</v>
      </c>
      <c r="F3814" t="s">
        <v>7655</v>
      </c>
      <c r="G3814">
        <v>1834</v>
      </c>
      <c r="H3814">
        <v>1</v>
      </c>
      <c r="I3814" t="s">
        <v>145</v>
      </c>
      <c r="J3814">
        <v>0</v>
      </c>
      <c r="K3814">
        <v>2</v>
      </c>
      <c r="L3814">
        <v>2</v>
      </c>
      <c r="M3814">
        <v>122</v>
      </c>
      <c r="N3814">
        <v>259</v>
      </c>
      <c r="O3814">
        <v>2</v>
      </c>
      <c r="P3814">
        <v>259</v>
      </c>
      <c r="Q3814">
        <v>8</v>
      </c>
      <c r="R3814">
        <v>3</v>
      </c>
      <c r="S3814">
        <v>3</v>
      </c>
      <c r="T3814">
        <v>6</v>
      </c>
      <c r="U3814">
        <v>16</v>
      </c>
      <c r="V3814">
        <v>5</v>
      </c>
      <c r="W3814">
        <v>1</v>
      </c>
      <c r="X3814">
        <v>2</v>
      </c>
      <c r="Y3814">
        <v>201</v>
      </c>
      <c r="Z3814">
        <v>11</v>
      </c>
      <c r="AA3814" t="s">
        <v>100</v>
      </c>
      <c r="AB3814" t="s">
        <v>100</v>
      </c>
      <c r="AC3814" t="s">
        <v>100</v>
      </c>
      <c r="AD3814">
        <v>1</v>
      </c>
      <c r="AE3814" t="s">
        <v>100</v>
      </c>
      <c r="AF3814" t="s">
        <v>100</v>
      </c>
      <c r="AG3814" t="s">
        <v>100</v>
      </c>
      <c r="AH3814">
        <v>1</v>
      </c>
      <c r="AI3814" t="s">
        <v>100</v>
      </c>
      <c r="AJ3814" t="s">
        <v>100</v>
      </c>
      <c r="AK3814">
        <v>1</v>
      </c>
      <c r="AL3814" t="s">
        <v>100</v>
      </c>
      <c r="AM3814" t="s">
        <v>100</v>
      </c>
      <c r="AN3814" t="s">
        <v>100</v>
      </c>
      <c r="AT3814" t="s">
        <v>100</v>
      </c>
      <c r="AU3814" t="s">
        <v>100</v>
      </c>
      <c r="AV3814">
        <v>259</v>
      </c>
      <c r="AW3814">
        <v>259</v>
      </c>
      <c r="AX3814">
        <v>359</v>
      </c>
      <c r="AZ3814" t="s">
        <v>101</v>
      </c>
      <c r="BA3814">
        <v>1</v>
      </c>
      <c r="BC3814" t="s">
        <v>7734</v>
      </c>
      <c r="BD3814" s="4">
        <v>43283.466666666667</v>
      </c>
      <c r="BE3814" s="4">
        <v>43283.472222222219</v>
      </c>
      <c r="BF3814" s="4">
        <v>43283.472222222219</v>
      </c>
      <c r="BG3814" t="s">
        <v>83</v>
      </c>
      <c r="BH3814" t="s">
        <v>84</v>
      </c>
      <c r="BI3814" t="s">
        <v>85</v>
      </c>
    </row>
    <row r="3815" spans="1:61" x14ac:dyDescent="0.3">
      <c r="A3815" t="str">
        <f>"201835B0100"</f>
        <v>201835B0100</v>
      </c>
      <c r="B3815" t="s">
        <v>7735</v>
      </c>
      <c r="C3815">
        <v>20</v>
      </c>
      <c r="D3815" t="s">
        <v>79</v>
      </c>
      <c r="E3815">
        <v>18</v>
      </c>
      <c r="F3815" t="s">
        <v>7655</v>
      </c>
      <c r="G3815">
        <v>1835</v>
      </c>
      <c r="H3815">
        <v>1</v>
      </c>
      <c r="I3815" t="s">
        <v>81</v>
      </c>
      <c r="J3815">
        <v>0</v>
      </c>
      <c r="K3815">
        <v>2</v>
      </c>
      <c r="L3815">
        <v>2</v>
      </c>
      <c r="M3815">
        <v>131</v>
      </c>
      <c r="N3815">
        <v>172</v>
      </c>
      <c r="O3815">
        <v>1</v>
      </c>
      <c r="P3815">
        <v>171</v>
      </c>
      <c r="Q3815">
        <v>3</v>
      </c>
      <c r="R3815">
        <v>26</v>
      </c>
      <c r="S3815">
        <v>2</v>
      </c>
      <c r="T3815">
        <v>2</v>
      </c>
      <c r="U3815">
        <v>14</v>
      </c>
      <c r="V3815">
        <v>2</v>
      </c>
      <c r="W3815">
        <v>1</v>
      </c>
      <c r="X3815">
        <v>2</v>
      </c>
      <c r="Y3815">
        <v>101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1</v>
      </c>
      <c r="AI3815">
        <v>0</v>
      </c>
      <c r="AJ3815">
        <v>0</v>
      </c>
      <c r="AK3815">
        <v>5</v>
      </c>
      <c r="AL3815">
        <v>0</v>
      </c>
      <c r="AM3815">
        <v>0</v>
      </c>
      <c r="AN3815">
        <v>2</v>
      </c>
      <c r="AT3815">
        <v>0</v>
      </c>
      <c r="AU3815">
        <v>12</v>
      </c>
      <c r="AV3815">
        <v>171</v>
      </c>
      <c r="AW3815">
        <v>173</v>
      </c>
      <c r="AX3815">
        <v>280</v>
      </c>
      <c r="BA3815">
        <v>1</v>
      </c>
      <c r="BC3815" t="s">
        <v>7736</v>
      </c>
      <c r="BD3815" s="4">
        <v>43283.413194444445</v>
      </c>
      <c r="BE3815" s="4">
        <v>43283.418854166666</v>
      </c>
      <c r="BF3815" s="4">
        <v>43283.418854166666</v>
      </c>
      <c r="BG3815" t="s">
        <v>83</v>
      </c>
      <c r="BH3815" t="s">
        <v>84</v>
      </c>
      <c r="BI3815" t="s">
        <v>85</v>
      </c>
    </row>
    <row r="3816" spans="1:61" x14ac:dyDescent="0.3">
      <c r="A3816" t="str">
        <f>"201836B0100"</f>
        <v>201836B0100</v>
      </c>
      <c r="B3816" t="s">
        <v>7737</v>
      </c>
      <c r="C3816">
        <v>20</v>
      </c>
      <c r="D3816" t="s">
        <v>79</v>
      </c>
      <c r="E3816">
        <v>18</v>
      </c>
      <c r="F3816" t="s">
        <v>7655</v>
      </c>
      <c r="G3816">
        <v>1836</v>
      </c>
      <c r="H3816">
        <v>1</v>
      </c>
      <c r="I3816" t="s">
        <v>81</v>
      </c>
      <c r="J3816">
        <v>0</v>
      </c>
      <c r="K3816">
        <v>2</v>
      </c>
      <c r="L3816">
        <v>2</v>
      </c>
      <c r="M3816">
        <v>79</v>
      </c>
      <c r="N3816">
        <v>195</v>
      </c>
      <c r="O3816">
        <v>1</v>
      </c>
      <c r="P3816">
        <v>195</v>
      </c>
      <c r="Q3816">
        <v>7</v>
      </c>
      <c r="R3816">
        <v>7</v>
      </c>
      <c r="S3816">
        <v>3</v>
      </c>
      <c r="T3816">
        <v>4</v>
      </c>
      <c r="U3816">
        <v>24</v>
      </c>
      <c r="V3816">
        <v>2</v>
      </c>
      <c r="W3816">
        <v>3</v>
      </c>
      <c r="X3816">
        <v>0</v>
      </c>
      <c r="Y3816">
        <v>126</v>
      </c>
      <c r="Z3816">
        <v>4</v>
      </c>
      <c r="AA3816">
        <v>3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3</v>
      </c>
      <c r="AL3816">
        <v>1</v>
      </c>
      <c r="AM3816">
        <v>0</v>
      </c>
      <c r="AN3816">
        <v>5</v>
      </c>
      <c r="AT3816">
        <v>0</v>
      </c>
      <c r="AU3816">
        <v>3</v>
      </c>
      <c r="AV3816">
        <v>195</v>
      </c>
      <c r="AW3816">
        <v>195</v>
      </c>
      <c r="AX3816">
        <v>252</v>
      </c>
      <c r="BA3816">
        <v>1</v>
      </c>
      <c r="BC3816" t="s">
        <v>7738</v>
      </c>
      <c r="BD3816" s="4">
        <v>43283.40625</v>
      </c>
      <c r="BE3816" s="4">
        <v>43283.409583333334</v>
      </c>
      <c r="BF3816" s="4">
        <v>43283.409583333334</v>
      </c>
      <c r="BG3816" t="s">
        <v>83</v>
      </c>
      <c r="BH3816" t="s">
        <v>84</v>
      </c>
      <c r="BI3816" t="s">
        <v>85</v>
      </c>
    </row>
    <row r="3817" spans="1:61" x14ac:dyDescent="0.3">
      <c r="A3817" t="str">
        <f>"201836E0100"</f>
        <v>201836E0100</v>
      </c>
      <c r="B3817" s="2" t="s">
        <v>7739</v>
      </c>
      <c r="C3817">
        <v>20</v>
      </c>
      <c r="D3817" t="s">
        <v>79</v>
      </c>
      <c r="E3817">
        <v>18</v>
      </c>
      <c r="F3817" t="s">
        <v>7655</v>
      </c>
      <c r="G3817">
        <v>1836</v>
      </c>
      <c r="H3817">
        <v>1</v>
      </c>
      <c r="I3817" t="s">
        <v>145</v>
      </c>
      <c r="J3817">
        <v>0</v>
      </c>
      <c r="K3817">
        <v>2</v>
      </c>
      <c r="L3817">
        <v>2</v>
      </c>
      <c r="M3817">
        <v>110</v>
      </c>
      <c r="N3817">
        <v>216</v>
      </c>
      <c r="O3817">
        <v>0</v>
      </c>
      <c r="P3817">
        <v>216</v>
      </c>
      <c r="Q3817">
        <v>2</v>
      </c>
      <c r="R3817">
        <v>4</v>
      </c>
      <c r="S3817">
        <v>3</v>
      </c>
      <c r="T3817">
        <v>1</v>
      </c>
      <c r="U3817">
        <v>10</v>
      </c>
      <c r="V3817">
        <v>1</v>
      </c>
      <c r="W3817">
        <v>2</v>
      </c>
      <c r="X3817">
        <v>0</v>
      </c>
      <c r="Y3817">
        <v>164</v>
      </c>
      <c r="Z3817">
        <v>11</v>
      </c>
      <c r="AA3817">
        <v>1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6</v>
      </c>
      <c r="AL3817">
        <v>2</v>
      </c>
      <c r="AM3817">
        <v>0</v>
      </c>
      <c r="AN3817">
        <v>4</v>
      </c>
      <c r="AT3817">
        <v>0</v>
      </c>
      <c r="AU3817">
        <v>5</v>
      </c>
      <c r="AV3817">
        <v>216</v>
      </c>
      <c r="AW3817">
        <v>216</v>
      </c>
      <c r="AX3817">
        <v>304</v>
      </c>
      <c r="BA3817">
        <v>1</v>
      </c>
      <c r="BC3817" t="s">
        <v>7740</v>
      </c>
      <c r="BD3817" s="4">
        <v>43283.427083333336</v>
      </c>
      <c r="BE3817" s="4">
        <v>43283.432604166665</v>
      </c>
      <c r="BF3817" s="4">
        <v>43283.432604166665</v>
      </c>
      <c r="BG3817" t="s">
        <v>83</v>
      </c>
      <c r="BH3817" t="s">
        <v>84</v>
      </c>
      <c r="BI3817" t="s">
        <v>85</v>
      </c>
    </row>
    <row r="3818" spans="1:61" x14ac:dyDescent="0.3">
      <c r="A3818" t="str">
        <f>"201837B0100"</f>
        <v>201837B0100</v>
      </c>
      <c r="B3818" t="s">
        <v>7741</v>
      </c>
      <c r="C3818">
        <v>20</v>
      </c>
      <c r="D3818" t="s">
        <v>79</v>
      </c>
      <c r="E3818">
        <v>18</v>
      </c>
      <c r="F3818" t="s">
        <v>7655</v>
      </c>
      <c r="G3818">
        <v>1837</v>
      </c>
      <c r="H3818">
        <v>1</v>
      </c>
      <c r="I3818" t="s">
        <v>81</v>
      </c>
      <c r="J3818">
        <v>0</v>
      </c>
      <c r="K3818">
        <v>2</v>
      </c>
      <c r="L3818">
        <v>2</v>
      </c>
      <c r="AX3818">
        <v>747</v>
      </c>
      <c r="AZ3818" t="s">
        <v>156</v>
      </c>
      <c r="BA3818">
        <v>0</v>
      </c>
      <c r="BC3818" t="s">
        <v>7742</v>
      </c>
      <c r="BD3818" s="4">
        <v>43283.684027777781</v>
      </c>
      <c r="BE3818" s="4">
        <v>43283.689131944448</v>
      </c>
      <c r="BF3818" s="4">
        <v>43283.689131944448</v>
      </c>
      <c r="BG3818" t="s">
        <v>83</v>
      </c>
      <c r="BH3818" t="s">
        <v>84</v>
      </c>
      <c r="BI3818" t="s">
        <v>85</v>
      </c>
    </row>
    <row r="3819" spans="1:61" x14ac:dyDescent="0.3">
      <c r="A3819" t="str">
        <f>"201839B0100"</f>
        <v>201839B0100</v>
      </c>
      <c r="B3819" t="s">
        <v>7743</v>
      </c>
      <c r="C3819">
        <v>20</v>
      </c>
      <c r="D3819" t="s">
        <v>79</v>
      </c>
      <c r="E3819">
        <v>18</v>
      </c>
      <c r="F3819" t="s">
        <v>7655</v>
      </c>
      <c r="G3819">
        <v>1839</v>
      </c>
      <c r="H3819">
        <v>1</v>
      </c>
      <c r="I3819" t="s">
        <v>81</v>
      </c>
      <c r="J3819">
        <v>0</v>
      </c>
      <c r="K3819">
        <v>2</v>
      </c>
      <c r="L3819">
        <v>2</v>
      </c>
      <c r="M3819">
        <v>293</v>
      </c>
      <c r="N3819">
        <v>335</v>
      </c>
      <c r="O3819">
        <v>0</v>
      </c>
      <c r="P3819" t="s">
        <v>100</v>
      </c>
      <c r="Q3819">
        <v>8</v>
      </c>
      <c r="R3819">
        <v>91</v>
      </c>
      <c r="S3819">
        <v>9</v>
      </c>
      <c r="T3819">
        <v>5</v>
      </c>
      <c r="U3819">
        <v>12</v>
      </c>
      <c r="V3819">
        <v>13</v>
      </c>
      <c r="W3819">
        <v>0</v>
      </c>
      <c r="X3819">
        <v>3</v>
      </c>
      <c r="Y3819">
        <v>162</v>
      </c>
      <c r="Z3819">
        <v>8</v>
      </c>
      <c r="AA3819">
        <v>1</v>
      </c>
      <c r="AB3819">
        <v>2</v>
      </c>
      <c r="AC3819">
        <v>0</v>
      </c>
      <c r="AD3819">
        <v>0</v>
      </c>
      <c r="AE3819">
        <v>0</v>
      </c>
      <c r="AF3819">
        <v>0</v>
      </c>
      <c r="AG3819">
        <v>1</v>
      </c>
      <c r="AH3819">
        <v>4</v>
      </c>
      <c r="AI3819">
        <v>0</v>
      </c>
      <c r="AJ3819">
        <v>0</v>
      </c>
      <c r="AK3819">
        <v>1</v>
      </c>
      <c r="AL3819">
        <v>0</v>
      </c>
      <c r="AM3819">
        <v>0</v>
      </c>
      <c r="AN3819">
        <v>2</v>
      </c>
      <c r="AT3819">
        <v>0</v>
      </c>
      <c r="AU3819">
        <v>14</v>
      </c>
      <c r="AV3819">
        <v>336</v>
      </c>
      <c r="AW3819">
        <v>336</v>
      </c>
      <c r="AX3819">
        <v>606</v>
      </c>
      <c r="BA3819">
        <v>1</v>
      </c>
      <c r="BC3819" t="s">
        <v>7744</v>
      </c>
      <c r="BD3819" s="4">
        <v>43283.23333333333</v>
      </c>
      <c r="BE3819" s="4">
        <v>43283.25644675926</v>
      </c>
      <c r="BF3819" s="4">
        <v>43283.25644675926</v>
      </c>
      <c r="BG3819" t="s">
        <v>83</v>
      </c>
      <c r="BH3819" t="s">
        <v>84</v>
      </c>
      <c r="BI3819" t="s">
        <v>85</v>
      </c>
    </row>
    <row r="3820" spans="1:61" x14ac:dyDescent="0.3">
      <c r="A3820" t="str">
        <f>"201839C0100"</f>
        <v>201839C0100</v>
      </c>
      <c r="B3820" t="s">
        <v>7745</v>
      </c>
      <c r="C3820">
        <v>20</v>
      </c>
      <c r="D3820" t="s">
        <v>79</v>
      </c>
      <c r="E3820">
        <v>18</v>
      </c>
      <c r="F3820" t="s">
        <v>7655</v>
      </c>
      <c r="G3820">
        <v>1839</v>
      </c>
      <c r="H3820">
        <v>1</v>
      </c>
      <c r="I3820" t="s">
        <v>89</v>
      </c>
      <c r="J3820">
        <v>0</v>
      </c>
      <c r="K3820">
        <v>2</v>
      </c>
      <c r="L3820">
        <v>2</v>
      </c>
      <c r="M3820">
        <v>362</v>
      </c>
      <c r="N3820">
        <v>263</v>
      </c>
      <c r="O3820">
        <v>1</v>
      </c>
      <c r="P3820">
        <v>0</v>
      </c>
      <c r="Q3820">
        <v>3</v>
      </c>
      <c r="R3820">
        <v>78</v>
      </c>
      <c r="S3820">
        <v>8</v>
      </c>
      <c r="T3820">
        <v>4</v>
      </c>
      <c r="U3820">
        <v>15</v>
      </c>
      <c r="V3820">
        <v>11</v>
      </c>
      <c r="W3820">
        <v>0</v>
      </c>
      <c r="X3820">
        <v>1</v>
      </c>
      <c r="Y3820">
        <v>113</v>
      </c>
      <c r="Z3820">
        <v>14</v>
      </c>
      <c r="AA3820">
        <v>0</v>
      </c>
      <c r="AB3820">
        <v>1</v>
      </c>
      <c r="AC3820">
        <v>0</v>
      </c>
      <c r="AD3820">
        <v>1</v>
      </c>
      <c r="AE3820">
        <v>1</v>
      </c>
      <c r="AF3820">
        <v>0</v>
      </c>
      <c r="AG3820">
        <v>1</v>
      </c>
      <c r="AH3820">
        <v>2</v>
      </c>
      <c r="AI3820">
        <v>1</v>
      </c>
      <c r="AJ3820">
        <v>0</v>
      </c>
      <c r="AK3820">
        <v>2</v>
      </c>
      <c r="AL3820">
        <v>1</v>
      </c>
      <c r="AM3820">
        <v>0</v>
      </c>
      <c r="AN3820">
        <v>1</v>
      </c>
      <c r="AT3820">
        <v>0</v>
      </c>
      <c r="AU3820">
        <v>6</v>
      </c>
      <c r="AV3820">
        <v>264</v>
      </c>
      <c r="AW3820">
        <v>264</v>
      </c>
      <c r="AX3820">
        <v>605</v>
      </c>
      <c r="BA3820">
        <v>1</v>
      </c>
      <c r="BC3820" t="s">
        <v>7746</v>
      </c>
      <c r="BD3820" s="4">
        <v>43283.238194444442</v>
      </c>
      <c r="BE3820" s="4">
        <v>43283.260763888888</v>
      </c>
      <c r="BF3820" s="4">
        <v>43283.260763888888</v>
      </c>
      <c r="BG3820" t="s">
        <v>83</v>
      </c>
      <c r="BH3820" t="s">
        <v>84</v>
      </c>
      <c r="BI3820" t="s">
        <v>85</v>
      </c>
    </row>
    <row r="3821" spans="1:61" x14ac:dyDescent="0.3">
      <c r="A3821" t="str">
        <f>"201839C0200"</f>
        <v>201839C0200</v>
      </c>
      <c r="B3821" t="s">
        <v>7747</v>
      </c>
      <c r="C3821">
        <v>20</v>
      </c>
      <c r="D3821" t="s">
        <v>79</v>
      </c>
      <c r="E3821">
        <v>18</v>
      </c>
      <c r="F3821" t="s">
        <v>7655</v>
      </c>
      <c r="G3821">
        <v>1839</v>
      </c>
      <c r="H3821">
        <v>2</v>
      </c>
      <c r="I3821" t="s">
        <v>89</v>
      </c>
      <c r="J3821">
        <v>0</v>
      </c>
      <c r="K3821">
        <v>2</v>
      </c>
      <c r="L3821">
        <v>2</v>
      </c>
      <c r="M3821">
        <v>335</v>
      </c>
      <c r="N3821">
        <v>293</v>
      </c>
      <c r="O3821">
        <v>1</v>
      </c>
      <c r="P3821">
        <v>292</v>
      </c>
      <c r="Q3821">
        <v>3</v>
      </c>
      <c r="R3821">
        <v>6</v>
      </c>
      <c r="S3821">
        <v>3</v>
      </c>
      <c r="T3821">
        <v>8</v>
      </c>
      <c r="U3821">
        <v>9</v>
      </c>
      <c r="V3821">
        <v>3</v>
      </c>
      <c r="W3821">
        <v>3</v>
      </c>
      <c r="X3821">
        <v>4</v>
      </c>
      <c r="Y3821">
        <v>137</v>
      </c>
      <c r="Z3821">
        <v>3</v>
      </c>
      <c r="AA3821">
        <v>0</v>
      </c>
      <c r="AB3821">
        <v>1</v>
      </c>
      <c r="AC3821">
        <v>0</v>
      </c>
      <c r="AD3821">
        <v>0</v>
      </c>
      <c r="AE3821">
        <v>0</v>
      </c>
      <c r="AF3821">
        <v>0</v>
      </c>
      <c r="AG3821">
        <v>4</v>
      </c>
      <c r="AH3821">
        <v>1</v>
      </c>
      <c r="AI3821">
        <v>0</v>
      </c>
      <c r="AJ3821">
        <v>0</v>
      </c>
      <c r="AK3821">
        <v>3</v>
      </c>
      <c r="AL3821">
        <v>1</v>
      </c>
      <c r="AM3821">
        <v>0</v>
      </c>
      <c r="AN3821">
        <v>1</v>
      </c>
      <c r="AT3821">
        <v>0</v>
      </c>
      <c r="AU3821">
        <v>12</v>
      </c>
      <c r="AV3821">
        <v>292</v>
      </c>
      <c r="AW3821">
        <v>202</v>
      </c>
      <c r="AX3821">
        <v>605</v>
      </c>
      <c r="BA3821">
        <v>1</v>
      </c>
      <c r="BC3821" t="s">
        <v>7748</v>
      </c>
      <c r="BD3821" s="4">
        <v>43283.201388888891</v>
      </c>
      <c r="BE3821" s="4">
        <v>43283.267592592594</v>
      </c>
      <c r="BF3821" s="4">
        <v>43283.267592592594</v>
      </c>
      <c r="BG3821" t="s">
        <v>83</v>
      </c>
      <c r="BH3821" t="s">
        <v>84</v>
      </c>
      <c r="BI3821" t="s">
        <v>85</v>
      </c>
    </row>
    <row r="3822" spans="1:61" x14ac:dyDescent="0.3">
      <c r="A3822" t="str">
        <f>"201840B0100"</f>
        <v>201840B0100</v>
      </c>
      <c r="B3822" t="s">
        <v>7749</v>
      </c>
      <c r="C3822">
        <v>20</v>
      </c>
      <c r="D3822" t="s">
        <v>79</v>
      </c>
      <c r="E3822">
        <v>18</v>
      </c>
      <c r="F3822" t="s">
        <v>7655</v>
      </c>
      <c r="G3822">
        <v>1840</v>
      </c>
      <c r="H3822">
        <v>1</v>
      </c>
      <c r="I3822" t="s">
        <v>81</v>
      </c>
      <c r="J3822">
        <v>0</v>
      </c>
      <c r="K3822">
        <v>2</v>
      </c>
      <c r="L3822">
        <v>2</v>
      </c>
      <c r="M3822">
        <v>211</v>
      </c>
      <c r="N3822">
        <v>155</v>
      </c>
      <c r="O3822">
        <v>0</v>
      </c>
      <c r="P3822">
        <v>155</v>
      </c>
      <c r="Q3822">
        <v>4</v>
      </c>
      <c r="R3822">
        <v>49</v>
      </c>
      <c r="S3822">
        <v>7</v>
      </c>
      <c r="T3822">
        <v>2</v>
      </c>
      <c r="U3822">
        <v>6</v>
      </c>
      <c r="V3822">
        <v>0</v>
      </c>
      <c r="W3822">
        <v>4</v>
      </c>
      <c r="X3822">
        <v>0</v>
      </c>
      <c r="Y3822">
        <v>55</v>
      </c>
      <c r="Z3822">
        <v>7</v>
      </c>
      <c r="AA3822">
        <v>1</v>
      </c>
      <c r="AB3822">
        <v>1</v>
      </c>
      <c r="AC3822">
        <v>0</v>
      </c>
      <c r="AD3822">
        <v>0</v>
      </c>
      <c r="AE3822">
        <v>0</v>
      </c>
      <c r="AF3822">
        <v>0</v>
      </c>
      <c r="AG3822">
        <v>1</v>
      </c>
      <c r="AH3822">
        <v>4</v>
      </c>
      <c r="AI3822">
        <v>1</v>
      </c>
      <c r="AJ3822">
        <v>0</v>
      </c>
      <c r="AK3822">
        <v>5</v>
      </c>
      <c r="AL3822">
        <v>1</v>
      </c>
      <c r="AM3822">
        <v>0</v>
      </c>
      <c r="AN3822">
        <v>0</v>
      </c>
      <c r="AT3822">
        <v>0</v>
      </c>
      <c r="AU3822">
        <v>7</v>
      </c>
      <c r="AV3822">
        <v>155</v>
      </c>
      <c r="AW3822">
        <v>155</v>
      </c>
      <c r="AX3822">
        <v>344</v>
      </c>
      <c r="BA3822">
        <v>1</v>
      </c>
      <c r="BC3822" t="s">
        <v>7750</v>
      </c>
      <c r="BD3822" s="4">
        <v>43283.254166666666</v>
      </c>
      <c r="BE3822" s="4">
        <v>43283.293622685182</v>
      </c>
      <c r="BF3822" s="4">
        <v>43283.293622685182</v>
      </c>
      <c r="BG3822" t="s">
        <v>83</v>
      </c>
      <c r="BH3822" t="s">
        <v>84</v>
      </c>
      <c r="BI3822" t="s">
        <v>85</v>
      </c>
    </row>
    <row r="3823" spans="1:61" x14ac:dyDescent="0.3">
      <c r="A3823" t="str">
        <f>"201866B0100"</f>
        <v>201866B0100</v>
      </c>
      <c r="B3823" t="s">
        <v>7751</v>
      </c>
      <c r="C3823">
        <v>20</v>
      </c>
      <c r="D3823" t="s">
        <v>79</v>
      </c>
      <c r="E3823">
        <v>18</v>
      </c>
      <c r="F3823" t="s">
        <v>7655</v>
      </c>
      <c r="G3823">
        <v>1866</v>
      </c>
      <c r="H3823">
        <v>1</v>
      </c>
      <c r="I3823" t="s">
        <v>81</v>
      </c>
      <c r="J3823">
        <v>0</v>
      </c>
      <c r="K3823">
        <v>1</v>
      </c>
      <c r="L3823">
        <v>2</v>
      </c>
      <c r="M3823">
        <v>177</v>
      </c>
      <c r="N3823">
        <v>589</v>
      </c>
      <c r="O3823">
        <v>3</v>
      </c>
      <c r="P3823">
        <v>590</v>
      </c>
      <c r="Q3823">
        <v>6</v>
      </c>
      <c r="R3823">
        <v>102</v>
      </c>
      <c r="S3823">
        <v>11</v>
      </c>
      <c r="T3823">
        <v>25</v>
      </c>
      <c r="U3823">
        <v>23</v>
      </c>
      <c r="V3823">
        <v>11</v>
      </c>
      <c r="W3823">
        <v>22</v>
      </c>
      <c r="X3823">
        <v>1</v>
      </c>
      <c r="Y3823">
        <v>324</v>
      </c>
      <c r="Z3823">
        <v>5</v>
      </c>
      <c r="AA3823">
        <v>12</v>
      </c>
      <c r="AB3823">
        <v>2</v>
      </c>
      <c r="AC3823">
        <v>1</v>
      </c>
      <c r="AD3823">
        <v>0</v>
      </c>
      <c r="AE3823">
        <v>0</v>
      </c>
      <c r="AF3823">
        <v>0</v>
      </c>
      <c r="AG3823">
        <v>0</v>
      </c>
      <c r="AH3823">
        <v>3</v>
      </c>
      <c r="AI3823">
        <v>0</v>
      </c>
      <c r="AJ3823">
        <v>0</v>
      </c>
      <c r="AK3823">
        <v>4</v>
      </c>
      <c r="AL3823">
        <v>0</v>
      </c>
      <c r="AM3823">
        <v>0</v>
      </c>
      <c r="AN3823">
        <v>2</v>
      </c>
      <c r="AT3823">
        <v>0</v>
      </c>
      <c r="AU3823">
        <v>36</v>
      </c>
      <c r="AV3823">
        <v>590</v>
      </c>
      <c r="AW3823">
        <v>590</v>
      </c>
      <c r="AX3823">
        <v>744</v>
      </c>
      <c r="BA3823">
        <v>1</v>
      </c>
      <c r="BC3823" t="s">
        <v>7752</v>
      </c>
      <c r="BD3823" s="4">
        <v>43283.386805555558</v>
      </c>
      <c r="BE3823" s="4">
        <v>43283.394930555558</v>
      </c>
      <c r="BF3823" s="4">
        <v>43283.394930555558</v>
      </c>
      <c r="BG3823" t="s">
        <v>83</v>
      </c>
      <c r="BH3823" t="s">
        <v>84</v>
      </c>
      <c r="BI3823" t="s">
        <v>85</v>
      </c>
    </row>
    <row r="3824" spans="1:61" x14ac:dyDescent="0.3">
      <c r="A3824" t="str">
        <f>"201866C0100"</f>
        <v>201866C0100</v>
      </c>
      <c r="B3824" t="s">
        <v>7753</v>
      </c>
      <c r="C3824">
        <v>20</v>
      </c>
      <c r="D3824" t="s">
        <v>79</v>
      </c>
      <c r="E3824">
        <v>18</v>
      </c>
      <c r="F3824" t="s">
        <v>7655</v>
      </c>
      <c r="G3824">
        <v>1866</v>
      </c>
      <c r="H3824">
        <v>1</v>
      </c>
      <c r="I3824" t="s">
        <v>89</v>
      </c>
      <c r="J3824">
        <v>0</v>
      </c>
      <c r="K3824">
        <v>1</v>
      </c>
      <c r="L3824">
        <v>2</v>
      </c>
      <c r="M3824">
        <v>191</v>
      </c>
      <c r="N3824">
        <v>575</v>
      </c>
      <c r="O3824">
        <v>0</v>
      </c>
      <c r="P3824">
        <v>574</v>
      </c>
      <c r="Q3824">
        <v>12</v>
      </c>
      <c r="R3824">
        <v>102</v>
      </c>
      <c r="S3824">
        <v>14</v>
      </c>
      <c r="T3824">
        <v>20</v>
      </c>
      <c r="U3824">
        <v>16</v>
      </c>
      <c r="V3824">
        <v>2</v>
      </c>
      <c r="W3824">
        <v>21</v>
      </c>
      <c r="X3824">
        <v>1</v>
      </c>
      <c r="Y3824">
        <v>341</v>
      </c>
      <c r="Z3824">
        <v>5</v>
      </c>
      <c r="AA3824">
        <v>11</v>
      </c>
      <c r="AB3824">
        <v>2</v>
      </c>
      <c r="AC3824">
        <v>0</v>
      </c>
      <c r="AD3824">
        <v>0</v>
      </c>
      <c r="AE3824">
        <v>0</v>
      </c>
      <c r="AF3824">
        <v>0</v>
      </c>
      <c r="AG3824">
        <v>1</v>
      </c>
      <c r="AH3824">
        <v>0</v>
      </c>
      <c r="AI3824">
        <v>0</v>
      </c>
      <c r="AJ3824">
        <v>0</v>
      </c>
      <c r="AK3824">
        <v>2</v>
      </c>
      <c r="AL3824">
        <v>1</v>
      </c>
      <c r="AM3824">
        <v>1</v>
      </c>
      <c r="AN3824">
        <v>0</v>
      </c>
      <c r="AT3824">
        <v>0</v>
      </c>
      <c r="AU3824">
        <v>22</v>
      </c>
      <c r="AV3824">
        <v>574</v>
      </c>
      <c r="AW3824">
        <v>574</v>
      </c>
      <c r="AX3824">
        <v>743</v>
      </c>
      <c r="BA3824">
        <v>1</v>
      </c>
      <c r="BC3824" t="s">
        <v>7754</v>
      </c>
      <c r="BD3824" s="4">
        <v>43283.379861111112</v>
      </c>
      <c r="BE3824" s="4">
        <v>43283.384768518517</v>
      </c>
      <c r="BF3824" s="4">
        <v>43283.384768518517</v>
      </c>
      <c r="BG3824" t="s">
        <v>83</v>
      </c>
      <c r="BH3824" t="s">
        <v>84</v>
      </c>
      <c r="BI3824" t="s">
        <v>85</v>
      </c>
    </row>
    <row r="3825" spans="1:61" x14ac:dyDescent="0.3">
      <c r="A3825" t="str">
        <f>"201867B0100"</f>
        <v>201867B0100</v>
      </c>
      <c r="B3825" t="s">
        <v>7755</v>
      </c>
      <c r="C3825">
        <v>20</v>
      </c>
      <c r="D3825" t="s">
        <v>79</v>
      </c>
      <c r="E3825">
        <v>18</v>
      </c>
      <c r="F3825" t="s">
        <v>7655</v>
      </c>
      <c r="G3825">
        <v>1867</v>
      </c>
      <c r="H3825">
        <v>1</v>
      </c>
      <c r="I3825" t="s">
        <v>81</v>
      </c>
      <c r="J3825">
        <v>0</v>
      </c>
      <c r="K3825">
        <v>1</v>
      </c>
      <c r="L3825">
        <v>2</v>
      </c>
      <c r="M3825">
        <v>152</v>
      </c>
      <c r="N3825">
        <v>446</v>
      </c>
      <c r="O3825">
        <v>10</v>
      </c>
      <c r="P3825">
        <v>446</v>
      </c>
      <c r="Q3825">
        <v>13</v>
      </c>
      <c r="R3825">
        <v>49</v>
      </c>
      <c r="S3825">
        <v>15</v>
      </c>
      <c r="T3825">
        <v>22</v>
      </c>
      <c r="U3825">
        <v>13</v>
      </c>
      <c r="V3825">
        <v>8</v>
      </c>
      <c r="W3825">
        <v>11</v>
      </c>
      <c r="X3825">
        <v>3</v>
      </c>
      <c r="Y3825">
        <v>274</v>
      </c>
      <c r="Z3825" t="s">
        <v>315</v>
      </c>
      <c r="AA3825">
        <v>7</v>
      </c>
      <c r="AB3825">
        <v>3</v>
      </c>
      <c r="AC3825">
        <v>1</v>
      </c>
      <c r="AD3825">
        <v>0</v>
      </c>
      <c r="AE3825">
        <v>0</v>
      </c>
      <c r="AF3825">
        <v>0</v>
      </c>
      <c r="AG3825">
        <v>0</v>
      </c>
      <c r="AH3825">
        <v>2</v>
      </c>
      <c r="AI3825">
        <v>0</v>
      </c>
      <c r="AJ3825">
        <v>0</v>
      </c>
      <c r="AK3825">
        <v>3</v>
      </c>
      <c r="AL3825">
        <v>0</v>
      </c>
      <c r="AM3825">
        <v>0</v>
      </c>
      <c r="AN3825">
        <v>0</v>
      </c>
      <c r="AT3825">
        <v>0</v>
      </c>
      <c r="AU3825">
        <v>20</v>
      </c>
      <c r="AV3825">
        <v>446</v>
      </c>
      <c r="AW3825">
        <v>444</v>
      </c>
      <c r="AX3825">
        <v>576</v>
      </c>
      <c r="AZ3825" t="s">
        <v>101</v>
      </c>
      <c r="BA3825">
        <v>1</v>
      </c>
      <c r="BC3825" t="s">
        <v>7756</v>
      </c>
      <c r="BD3825" s="4">
        <v>43283.302777777775</v>
      </c>
      <c r="BE3825" s="4">
        <v>43283.357743055552</v>
      </c>
      <c r="BF3825" s="4">
        <v>43283.357743055552</v>
      </c>
      <c r="BG3825" t="s">
        <v>83</v>
      </c>
      <c r="BH3825" t="s">
        <v>84</v>
      </c>
      <c r="BI3825" t="s">
        <v>85</v>
      </c>
    </row>
    <row r="3826" spans="1:61" x14ac:dyDescent="0.3">
      <c r="A3826" t="str">
        <f>"201867C0100"</f>
        <v>201867C0100</v>
      </c>
      <c r="B3826" t="s">
        <v>7757</v>
      </c>
      <c r="C3826">
        <v>20</v>
      </c>
      <c r="D3826" t="s">
        <v>79</v>
      </c>
      <c r="E3826">
        <v>18</v>
      </c>
      <c r="F3826" t="s">
        <v>7655</v>
      </c>
      <c r="G3826">
        <v>1867</v>
      </c>
      <c r="H3826">
        <v>1</v>
      </c>
      <c r="I3826" t="s">
        <v>89</v>
      </c>
      <c r="J3826">
        <v>0</v>
      </c>
      <c r="K3826">
        <v>1</v>
      </c>
      <c r="L3826">
        <v>2</v>
      </c>
      <c r="M3826">
        <v>141</v>
      </c>
      <c r="N3826">
        <v>456</v>
      </c>
      <c r="O3826">
        <v>8</v>
      </c>
      <c r="P3826">
        <v>456</v>
      </c>
      <c r="Q3826">
        <v>8</v>
      </c>
      <c r="R3826">
        <v>72</v>
      </c>
      <c r="S3826">
        <v>14</v>
      </c>
      <c r="T3826">
        <v>23</v>
      </c>
      <c r="U3826">
        <v>8</v>
      </c>
      <c r="V3826">
        <v>6</v>
      </c>
      <c r="W3826">
        <v>18</v>
      </c>
      <c r="X3826">
        <v>1</v>
      </c>
      <c r="Y3826">
        <v>273</v>
      </c>
      <c r="Z3826">
        <v>6</v>
      </c>
      <c r="AA3826">
        <v>6</v>
      </c>
      <c r="AB3826" t="s">
        <v>100</v>
      </c>
      <c r="AC3826" t="s">
        <v>100</v>
      </c>
      <c r="AD3826" t="s">
        <v>100</v>
      </c>
      <c r="AE3826" t="s">
        <v>100</v>
      </c>
      <c r="AF3826" t="s">
        <v>100</v>
      </c>
      <c r="AG3826" t="s">
        <v>100</v>
      </c>
      <c r="AH3826" t="s">
        <v>100</v>
      </c>
      <c r="AI3826" t="s">
        <v>100</v>
      </c>
      <c r="AJ3826" t="s">
        <v>100</v>
      </c>
      <c r="AK3826">
        <v>1</v>
      </c>
      <c r="AL3826">
        <v>1</v>
      </c>
      <c r="AM3826" t="s">
        <v>100</v>
      </c>
      <c r="AN3826">
        <v>1</v>
      </c>
      <c r="AT3826" t="s">
        <v>100</v>
      </c>
      <c r="AU3826">
        <v>18</v>
      </c>
      <c r="AV3826">
        <v>456</v>
      </c>
      <c r="AW3826">
        <v>456</v>
      </c>
      <c r="AX3826">
        <v>576</v>
      </c>
      <c r="AZ3826" t="s">
        <v>101</v>
      </c>
      <c r="BA3826">
        <v>1</v>
      </c>
      <c r="BC3826" t="s">
        <v>7758</v>
      </c>
      <c r="BD3826" s="4">
        <v>43283.306250000001</v>
      </c>
      <c r="BE3826" s="4">
        <v>43283.338599537034</v>
      </c>
      <c r="BF3826" s="4">
        <v>43283.338599537034</v>
      </c>
      <c r="BG3826" t="s">
        <v>83</v>
      </c>
      <c r="BH3826" t="s">
        <v>84</v>
      </c>
      <c r="BI3826" t="s">
        <v>85</v>
      </c>
    </row>
    <row r="3827" spans="1:61" x14ac:dyDescent="0.3">
      <c r="A3827" t="str">
        <f>"201868B0100"</f>
        <v>201868B0100</v>
      </c>
      <c r="B3827" t="s">
        <v>7759</v>
      </c>
      <c r="C3827">
        <v>20</v>
      </c>
      <c r="D3827" t="s">
        <v>79</v>
      </c>
      <c r="E3827">
        <v>18</v>
      </c>
      <c r="F3827" t="s">
        <v>7655</v>
      </c>
      <c r="G3827">
        <v>1868</v>
      </c>
      <c r="H3827">
        <v>1</v>
      </c>
      <c r="I3827" t="s">
        <v>81</v>
      </c>
      <c r="J3827">
        <v>0</v>
      </c>
      <c r="K3827">
        <v>2</v>
      </c>
      <c r="L3827">
        <v>2</v>
      </c>
      <c r="M3827">
        <v>159</v>
      </c>
      <c r="N3827">
        <v>402</v>
      </c>
      <c r="O3827">
        <v>5</v>
      </c>
      <c r="P3827">
        <v>405</v>
      </c>
      <c r="Q3827">
        <v>6</v>
      </c>
      <c r="R3827">
        <v>91</v>
      </c>
      <c r="S3827">
        <v>15</v>
      </c>
      <c r="T3827">
        <v>24</v>
      </c>
      <c r="U3827">
        <v>13</v>
      </c>
      <c r="V3827">
        <v>14</v>
      </c>
      <c r="W3827">
        <v>4</v>
      </c>
      <c r="X3827">
        <v>3</v>
      </c>
      <c r="Y3827">
        <v>212</v>
      </c>
      <c r="Z3827">
        <v>1</v>
      </c>
      <c r="AA3827">
        <v>1</v>
      </c>
      <c r="AB3827">
        <v>0</v>
      </c>
      <c r="AC3827" t="s">
        <v>100</v>
      </c>
      <c r="AD3827" t="s">
        <v>100</v>
      </c>
      <c r="AE3827" t="s">
        <v>100</v>
      </c>
      <c r="AF3827" t="s">
        <v>100</v>
      </c>
      <c r="AG3827">
        <v>1</v>
      </c>
      <c r="AH3827" t="s">
        <v>100</v>
      </c>
      <c r="AI3827" t="s">
        <v>100</v>
      </c>
      <c r="AJ3827" t="s">
        <v>100</v>
      </c>
      <c r="AK3827">
        <v>1</v>
      </c>
      <c r="AL3827">
        <v>2</v>
      </c>
      <c r="AM3827" t="s">
        <v>100</v>
      </c>
      <c r="AN3827" t="s">
        <v>100</v>
      </c>
      <c r="AT3827" t="s">
        <v>100</v>
      </c>
      <c r="AU3827">
        <v>17</v>
      </c>
      <c r="AV3827" t="s">
        <v>315</v>
      </c>
      <c r="AW3827">
        <v>405</v>
      </c>
      <c r="AX3827">
        <v>539</v>
      </c>
      <c r="AZ3827" t="s">
        <v>101</v>
      </c>
      <c r="BA3827">
        <v>1</v>
      </c>
      <c r="BC3827" t="s">
        <v>7760</v>
      </c>
      <c r="BD3827" s="4">
        <v>43283.301388888889</v>
      </c>
      <c r="BE3827" s="4">
        <v>43283.342395833337</v>
      </c>
      <c r="BF3827" s="4">
        <v>43283.342395833337</v>
      </c>
      <c r="BG3827" t="s">
        <v>83</v>
      </c>
      <c r="BH3827" t="s">
        <v>84</v>
      </c>
      <c r="BI3827" t="s">
        <v>85</v>
      </c>
    </row>
    <row r="3828" spans="1:61" x14ac:dyDescent="0.3">
      <c r="A3828" t="str">
        <f>"201868C0100"</f>
        <v>201868C0100</v>
      </c>
      <c r="B3828" t="s">
        <v>7761</v>
      </c>
      <c r="C3828">
        <v>20</v>
      </c>
      <c r="D3828" t="s">
        <v>79</v>
      </c>
      <c r="E3828">
        <v>18</v>
      </c>
      <c r="F3828" t="s">
        <v>7655</v>
      </c>
      <c r="G3828">
        <v>1868</v>
      </c>
      <c r="H3828">
        <v>1</v>
      </c>
      <c r="I3828" t="s">
        <v>89</v>
      </c>
      <c r="J3828">
        <v>0</v>
      </c>
      <c r="K3828">
        <v>2</v>
      </c>
      <c r="L3828">
        <v>2</v>
      </c>
      <c r="M3828">
        <v>157</v>
      </c>
      <c r="N3828">
        <v>404</v>
      </c>
      <c r="O3828">
        <v>3</v>
      </c>
      <c r="P3828">
        <v>403</v>
      </c>
      <c r="Q3828">
        <v>8</v>
      </c>
      <c r="R3828">
        <v>93</v>
      </c>
      <c r="S3828">
        <v>11</v>
      </c>
      <c r="T3828">
        <v>30</v>
      </c>
      <c r="U3828">
        <v>6</v>
      </c>
      <c r="V3828">
        <v>10</v>
      </c>
      <c r="W3828">
        <v>4</v>
      </c>
      <c r="X3828">
        <v>0</v>
      </c>
      <c r="Y3828">
        <v>216</v>
      </c>
      <c r="Z3828">
        <v>3</v>
      </c>
      <c r="AA3828">
        <v>2</v>
      </c>
      <c r="AB3828">
        <v>1</v>
      </c>
      <c r="AC3828">
        <v>1</v>
      </c>
      <c r="AD3828">
        <v>0</v>
      </c>
      <c r="AE3828">
        <v>0</v>
      </c>
      <c r="AF3828">
        <v>0</v>
      </c>
      <c r="AG3828">
        <v>0</v>
      </c>
      <c r="AH3828">
        <v>1</v>
      </c>
      <c r="AI3828">
        <v>0</v>
      </c>
      <c r="AJ3828">
        <v>0</v>
      </c>
      <c r="AK3828">
        <v>4</v>
      </c>
      <c r="AL3828">
        <v>2</v>
      </c>
      <c r="AM3828">
        <v>0</v>
      </c>
      <c r="AN3828">
        <v>0</v>
      </c>
      <c r="AT3828">
        <v>0</v>
      </c>
      <c r="AU3828">
        <v>11</v>
      </c>
      <c r="AV3828">
        <v>403</v>
      </c>
      <c r="AW3828">
        <v>403</v>
      </c>
      <c r="AX3828">
        <v>539</v>
      </c>
      <c r="BA3828">
        <v>1</v>
      </c>
      <c r="BC3828" t="s">
        <v>7762</v>
      </c>
      <c r="BD3828" s="4">
        <v>43283.293055555558</v>
      </c>
      <c r="BE3828" s="4">
        <v>43283.330763888887</v>
      </c>
      <c r="BF3828" s="4">
        <v>43283.330763888887</v>
      </c>
      <c r="BG3828" t="s">
        <v>83</v>
      </c>
      <c r="BH3828" t="s">
        <v>84</v>
      </c>
      <c r="BI3828" t="s">
        <v>85</v>
      </c>
    </row>
    <row r="3829" spans="1:61" x14ac:dyDescent="0.3">
      <c r="A3829" t="str">
        <f>"201868C0200"</f>
        <v>201868C0200</v>
      </c>
      <c r="B3829" t="s">
        <v>7763</v>
      </c>
      <c r="C3829">
        <v>20</v>
      </c>
      <c r="D3829" t="s">
        <v>79</v>
      </c>
      <c r="E3829">
        <v>18</v>
      </c>
      <c r="F3829" t="s">
        <v>7655</v>
      </c>
      <c r="G3829">
        <v>1868</v>
      </c>
      <c r="H3829">
        <v>2</v>
      </c>
      <c r="I3829" t="s">
        <v>89</v>
      </c>
      <c r="J3829">
        <v>0</v>
      </c>
      <c r="K3829">
        <v>2</v>
      </c>
      <c r="L3829">
        <v>2</v>
      </c>
      <c r="M3829">
        <v>138</v>
      </c>
      <c r="N3829" t="s">
        <v>100</v>
      </c>
      <c r="O3829" t="s">
        <v>100</v>
      </c>
      <c r="P3829" t="s">
        <v>100</v>
      </c>
      <c r="Q3829">
        <v>14</v>
      </c>
      <c r="R3829">
        <v>88</v>
      </c>
      <c r="S3829">
        <v>17</v>
      </c>
      <c r="T3829">
        <v>29</v>
      </c>
      <c r="U3829">
        <v>8</v>
      </c>
      <c r="V3829">
        <v>5</v>
      </c>
      <c r="W3829">
        <v>6</v>
      </c>
      <c r="X3829" t="s">
        <v>100</v>
      </c>
      <c r="Y3829">
        <v>235</v>
      </c>
      <c r="Z3829">
        <v>3</v>
      </c>
      <c r="AA3829">
        <v>2</v>
      </c>
      <c r="AB3829">
        <v>1</v>
      </c>
      <c r="AC3829" t="s">
        <v>100</v>
      </c>
      <c r="AD3829" t="s">
        <v>100</v>
      </c>
      <c r="AE3829" t="s">
        <v>100</v>
      </c>
      <c r="AF3829" t="s">
        <v>100</v>
      </c>
      <c r="AG3829" t="s">
        <v>100</v>
      </c>
      <c r="AH3829">
        <v>3</v>
      </c>
      <c r="AI3829" t="s">
        <v>100</v>
      </c>
      <c r="AJ3829" t="s">
        <v>100</v>
      </c>
      <c r="AK3829" t="s">
        <v>100</v>
      </c>
      <c r="AL3829" t="s">
        <v>100</v>
      </c>
      <c r="AM3829" t="s">
        <v>100</v>
      </c>
      <c r="AN3829">
        <v>1</v>
      </c>
      <c r="AT3829" t="s">
        <v>100</v>
      </c>
      <c r="AU3829">
        <v>9</v>
      </c>
      <c r="AV3829">
        <v>421</v>
      </c>
      <c r="AW3829">
        <v>421</v>
      </c>
      <c r="AX3829">
        <v>539</v>
      </c>
      <c r="AZ3829" t="s">
        <v>101</v>
      </c>
      <c r="BA3829">
        <v>1</v>
      </c>
      <c r="BC3829" t="s">
        <v>7764</v>
      </c>
      <c r="BD3829" s="4">
        <v>43283.305555555555</v>
      </c>
      <c r="BE3829" s="4">
        <v>43283.340300925927</v>
      </c>
      <c r="BF3829" s="4">
        <v>43283.340300925927</v>
      </c>
      <c r="BG3829" t="s">
        <v>83</v>
      </c>
      <c r="BH3829" t="s">
        <v>84</v>
      </c>
      <c r="BI3829" t="s">
        <v>85</v>
      </c>
    </row>
    <row r="3830" spans="1:61" x14ac:dyDescent="0.3">
      <c r="A3830" t="str">
        <f>"201869B0100"</f>
        <v>201869B0100</v>
      </c>
      <c r="B3830" t="s">
        <v>7765</v>
      </c>
      <c r="C3830">
        <v>20</v>
      </c>
      <c r="D3830" t="s">
        <v>79</v>
      </c>
      <c r="E3830">
        <v>18</v>
      </c>
      <c r="F3830" t="s">
        <v>7655</v>
      </c>
      <c r="G3830">
        <v>1869</v>
      </c>
      <c r="H3830">
        <v>1</v>
      </c>
      <c r="I3830" t="s">
        <v>81</v>
      </c>
      <c r="J3830">
        <v>0</v>
      </c>
      <c r="K3830">
        <v>2</v>
      </c>
      <c r="L3830">
        <v>2</v>
      </c>
      <c r="M3830">
        <v>216</v>
      </c>
      <c r="N3830">
        <v>532</v>
      </c>
      <c r="O3830">
        <v>10</v>
      </c>
      <c r="P3830">
        <v>530</v>
      </c>
      <c r="Q3830">
        <v>20</v>
      </c>
      <c r="R3830">
        <v>109</v>
      </c>
      <c r="S3830">
        <v>23</v>
      </c>
      <c r="T3830">
        <v>31</v>
      </c>
      <c r="U3830">
        <v>13</v>
      </c>
      <c r="V3830">
        <v>10</v>
      </c>
      <c r="W3830">
        <v>8</v>
      </c>
      <c r="X3830">
        <v>1</v>
      </c>
      <c r="Y3830">
        <v>283</v>
      </c>
      <c r="Z3830" t="s">
        <v>100</v>
      </c>
      <c r="AA3830">
        <v>1</v>
      </c>
      <c r="AB3830">
        <v>1</v>
      </c>
      <c r="AC3830" t="s">
        <v>100</v>
      </c>
      <c r="AD3830" t="s">
        <v>100</v>
      </c>
      <c r="AE3830" t="s">
        <v>100</v>
      </c>
      <c r="AF3830" t="s">
        <v>100</v>
      </c>
      <c r="AG3830" t="s">
        <v>100</v>
      </c>
      <c r="AH3830" t="s">
        <v>100</v>
      </c>
      <c r="AI3830" t="s">
        <v>100</v>
      </c>
      <c r="AJ3830" t="s">
        <v>100</v>
      </c>
      <c r="AK3830" t="s">
        <v>100</v>
      </c>
      <c r="AL3830" t="s">
        <v>100</v>
      </c>
      <c r="AM3830" t="s">
        <v>100</v>
      </c>
      <c r="AN3830" t="s">
        <v>100</v>
      </c>
      <c r="AT3830" t="s">
        <v>100</v>
      </c>
      <c r="AU3830">
        <v>34</v>
      </c>
      <c r="AV3830">
        <v>534</v>
      </c>
      <c r="AW3830">
        <v>534</v>
      </c>
      <c r="AX3830">
        <v>724</v>
      </c>
      <c r="AZ3830" t="s">
        <v>101</v>
      </c>
      <c r="BA3830">
        <v>1</v>
      </c>
      <c r="BC3830" t="s">
        <v>7766</v>
      </c>
      <c r="BD3830" s="4">
        <v>43283.304861111108</v>
      </c>
      <c r="BE3830" s="4">
        <v>43283.336805555555</v>
      </c>
      <c r="BF3830" s="4">
        <v>43283.336805555555</v>
      </c>
      <c r="BG3830" t="s">
        <v>83</v>
      </c>
      <c r="BH3830" t="s">
        <v>84</v>
      </c>
      <c r="BI3830" t="s">
        <v>85</v>
      </c>
    </row>
    <row r="3831" spans="1:61" x14ac:dyDescent="0.3">
      <c r="A3831" t="str">
        <f>"201869C0100"</f>
        <v>201869C0100</v>
      </c>
      <c r="B3831" t="s">
        <v>7767</v>
      </c>
      <c r="C3831">
        <v>20</v>
      </c>
      <c r="D3831" t="s">
        <v>79</v>
      </c>
      <c r="E3831">
        <v>18</v>
      </c>
      <c r="F3831" t="s">
        <v>7655</v>
      </c>
      <c r="G3831">
        <v>1869</v>
      </c>
      <c r="H3831">
        <v>1</v>
      </c>
      <c r="I3831" t="s">
        <v>89</v>
      </c>
      <c r="J3831">
        <v>0</v>
      </c>
      <c r="K3831">
        <v>2</v>
      </c>
      <c r="L3831">
        <v>2</v>
      </c>
      <c r="M3831">
        <v>201</v>
      </c>
      <c r="N3831">
        <v>545</v>
      </c>
      <c r="O3831">
        <v>3</v>
      </c>
      <c r="P3831">
        <v>544</v>
      </c>
      <c r="Q3831">
        <v>9</v>
      </c>
      <c r="R3831">
        <v>103</v>
      </c>
      <c r="S3831">
        <v>19</v>
      </c>
      <c r="T3831">
        <v>32</v>
      </c>
      <c r="U3831">
        <v>10</v>
      </c>
      <c r="V3831">
        <v>11</v>
      </c>
      <c r="W3831">
        <v>14</v>
      </c>
      <c r="X3831">
        <v>7</v>
      </c>
      <c r="Y3831">
        <v>295</v>
      </c>
      <c r="Z3831">
        <v>9</v>
      </c>
      <c r="AA3831">
        <v>9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1</v>
      </c>
      <c r="AH3831">
        <v>0</v>
      </c>
      <c r="AI3831">
        <v>0</v>
      </c>
      <c r="AJ3831">
        <v>0</v>
      </c>
      <c r="AK3831">
        <v>1</v>
      </c>
      <c r="AL3831">
        <v>0</v>
      </c>
      <c r="AM3831">
        <v>0</v>
      </c>
      <c r="AN3831">
        <v>0</v>
      </c>
      <c r="AT3831">
        <v>0</v>
      </c>
      <c r="AU3831">
        <v>24</v>
      </c>
      <c r="AV3831">
        <v>544</v>
      </c>
      <c r="AW3831">
        <v>544</v>
      </c>
      <c r="AX3831">
        <v>724</v>
      </c>
      <c r="BA3831">
        <v>1</v>
      </c>
      <c r="BC3831" t="s">
        <v>7768</v>
      </c>
      <c r="BD3831" s="4">
        <v>43283.29583333333</v>
      </c>
      <c r="BE3831" s="4">
        <v>43283.346145833333</v>
      </c>
      <c r="BF3831" s="4">
        <v>43283.346145833333</v>
      </c>
      <c r="BG3831" t="s">
        <v>83</v>
      </c>
      <c r="BH3831" t="s">
        <v>84</v>
      </c>
      <c r="BI3831" t="s">
        <v>85</v>
      </c>
    </row>
    <row r="3832" spans="1:61" x14ac:dyDescent="0.3">
      <c r="A3832" t="str">
        <f>"201870B0100"</f>
        <v>201870B0100</v>
      </c>
      <c r="B3832" t="s">
        <v>7769</v>
      </c>
      <c r="C3832">
        <v>20</v>
      </c>
      <c r="D3832" t="s">
        <v>79</v>
      </c>
      <c r="E3832">
        <v>18</v>
      </c>
      <c r="F3832" t="s">
        <v>7655</v>
      </c>
      <c r="G3832">
        <v>1870</v>
      </c>
      <c r="H3832">
        <v>1</v>
      </c>
      <c r="I3832" t="s">
        <v>81</v>
      </c>
      <c r="J3832">
        <v>0</v>
      </c>
      <c r="K3832">
        <v>1</v>
      </c>
      <c r="L3832">
        <v>2</v>
      </c>
      <c r="M3832">
        <v>159</v>
      </c>
      <c r="N3832" t="s">
        <v>100</v>
      </c>
      <c r="O3832" t="s">
        <v>100</v>
      </c>
      <c r="P3832">
        <v>441</v>
      </c>
      <c r="Q3832">
        <v>11</v>
      </c>
      <c r="R3832">
        <v>119</v>
      </c>
      <c r="S3832">
        <v>6</v>
      </c>
      <c r="T3832">
        <v>27</v>
      </c>
      <c r="U3832">
        <v>10</v>
      </c>
      <c r="V3832">
        <v>11</v>
      </c>
      <c r="W3832">
        <v>5</v>
      </c>
      <c r="X3832">
        <v>0</v>
      </c>
      <c r="Y3832">
        <v>220</v>
      </c>
      <c r="Z3832">
        <v>1</v>
      </c>
      <c r="AA3832">
        <v>3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2</v>
      </c>
      <c r="AL3832">
        <v>1</v>
      </c>
      <c r="AM3832">
        <v>1</v>
      </c>
      <c r="AN3832">
        <v>1</v>
      </c>
      <c r="AT3832">
        <v>0</v>
      </c>
      <c r="AU3832">
        <v>23</v>
      </c>
      <c r="AV3832">
        <v>441</v>
      </c>
      <c r="AW3832">
        <v>441</v>
      </c>
      <c r="AX3832">
        <v>578</v>
      </c>
      <c r="BA3832">
        <v>1</v>
      </c>
      <c r="BC3832" t="s">
        <v>7770</v>
      </c>
      <c r="BD3832" s="4">
        <v>43283.3125</v>
      </c>
      <c r="BE3832" s="4">
        <v>43283.344583333332</v>
      </c>
      <c r="BF3832" s="4">
        <v>43283.344583333332</v>
      </c>
      <c r="BG3832" t="s">
        <v>83</v>
      </c>
      <c r="BH3832" t="s">
        <v>84</v>
      </c>
      <c r="BI3832" t="s">
        <v>85</v>
      </c>
    </row>
    <row r="3833" spans="1:61" x14ac:dyDescent="0.3">
      <c r="A3833" t="str">
        <f>"201870C0100"</f>
        <v>201870C0100</v>
      </c>
      <c r="B3833" t="s">
        <v>7771</v>
      </c>
      <c r="C3833">
        <v>20</v>
      </c>
      <c r="D3833" t="s">
        <v>79</v>
      </c>
      <c r="E3833">
        <v>18</v>
      </c>
      <c r="F3833" t="s">
        <v>7655</v>
      </c>
      <c r="G3833">
        <v>1870</v>
      </c>
      <c r="H3833">
        <v>1</v>
      </c>
      <c r="I3833" t="s">
        <v>89</v>
      </c>
      <c r="J3833">
        <v>0</v>
      </c>
      <c r="K3833">
        <v>1</v>
      </c>
      <c r="L3833">
        <v>2</v>
      </c>
      <c r="M3833">
        <v>169</v>
      </c>
      <c r="N3833">
        <v>428</v>
      </c>
      <c r="O3833">
        <v>8</v>
      </c>
      <c r="P3833">
        <v>432</v>
      </c>
      <c r="Q3833">
        <v>5</v>
      </c>
      <c r="R3833">
        <v>92</v>
      </c>
      <c r="S3833">
        <v>10</v>
      </c>
      <c r="T3833">
        <v>20</v>
      </c>
      <c r="U3833">
        <v>7</v>
      </c>
      <c r="V3833">
        <v>9</v>
      </c>
      <c r="W3833">
        <v>3</v>
      </c>
      <c r="X3833">
        <v>0</v>
      </c>
      <c r="Y3833">
        <v>254</v>
      </c>
      <c r="Z3833">
        <v>4</v>
      </c>
      <c r="AA3833">
        <v>2</v>
      </c>
      <c r="AB3833">
        <v>1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1</v>
      </c>
      <c r="AJ3833">
        <v>0</v>
      </c>
      <c r="AK3833">
        <v>0</v>
      </c>
      <c r="AL3833">
        <v>0</v>
      </c>
      <c r="AM3833">
        <v>0</v>
      </c>
      <c r="AN3833">
        <v>0</v>
      </c>
      <c r="AT3833">
        <v>0</v>
      </c>
      <c r="AU3833">
        <v>24</v>
      </c>
      <c r="AV3833">
        <v>432</v>
      </c>
      <c r="AW3833">
        <v>432</v>
      </c>
      <c r="AX3833">
        <v>578</v>
      </c>
      <c r="BA3833">
        <v>1</v>
      </c>
      <c r="BC3833" t="s">
        <v>7772</v>
      </c>
      <c r="BD3833" s="4">
        <v>43283.316666666666</v>
      </c>
      <c r="BE3833" s="4">
        <v>43283.345104166663</v>
      </c>
      <c r="BF3833" s="4">
        <v>43283.345104166663</v>
      </c>
      <c r="BG3833" t="s">
        <v>83</v>
      </c>
      <c r="BH3833" t="s">
        <v>84</v>
      </c>
      <c r="BI3833" t="s">
        <v>85</v>
      </c>
    </row>
    <row r="3834" spans="1:61" x14ac:dyDescent="0.3">
      <c r="A3834" t="str">
        <f>"201870C0200"</f>
        <v>201870C0200</v>
      </c>
      <c r="B3834" t="s">
        <v>7773</v>
      </c>
      <c r="C3834">
        <v>20</v>
      </c>
      <c r="D3834" t="s">
        <v>79</v>
      </c>
      <c r="E3834">
        <v>18</v>
      </c>
      <c r="F3834" t="s">
        <v>7655</v>
      </c>
      <c r="G3834">
        <v>1870</v>
      </c>
      <c r="H3834">
        <v>2</v>
      </c>
      <c r="I3834" t="s">
        <v>89</v>
      </c>
      <c r="J3834">
        <v>0</v>
      </c>
      <c r="K3834">
        <v>1</v>
      </c>
      <c r="L3834">
        <v>2</v>
      </c>
      <c r="M3834">
        <v>147</v>
      </c>
      <c r="N3834" t="s">
        <v>315</v>
      </c>
      <c r="O3834">
        <v>10</v>
      </c>
      <c r="P3834">
        <v>452</v>
      </c>
      <c r="Q3834">
        <v>7</v>
      </c>
      <c r="R3834">
        <v>95</v>
      </c>
      <c r="S3834">
        <v>19</v>
      </c>
      <c r="T3834">
        <v>29</v>
      </c>
      <c r="U3834">
        <v>16</v>
      </c>
      <c r="V3834">
        <v>5</v>
      </c>
      <c r="W3834">
        <v>5</v>
      </c>
      <c r="X3834">
        <v>1</v>
      </c>
      <c r="Y3834">
        <v>234</v>
      </c>
      <c r="Z3834">
        <v>4</v>
      </c>
      <c r="AA3834">
        <v>2</v>
      </c>
      <c r="AB3834">
        <v>1</v>
      </c>
      <c r="AC3834">
        <v>2</v>
      </c>
      <c r="AD3834" t="s">
        <v>100</v>
      </c>
      <c r="AE3834" t="s">
        <v>100</v>
      </c>
      <c r="AF3834" t="s">
        <v>100</v>
      </c>
      <c r="AG3834" t="s">
        <v>100</v>
      </c>
      <c r="AH3834">
        <v>1</v>
      </c>
      <c r="AI3834" t="s">
        <v>100</v>
      </c>
      <c r="AJ3834" t="s">
        <v>100</v>
      </c>
      <c r="AK3834">
        <v>3</v>
      </c>
      <c r="AL3834">
        <v>4</v>
      </c>
      <c r="AM3834" t="s">
        <v>100</v>
      </c>
      <c r="AN3834">
        <v>1</v>
      </c>
      <c r="AT3834" t="s">
        <v>100</v>
      </c>
      <c r="AU3834">
        <v>22</v>
      </c>
      <c r="AV3834">
        <v>452</v>
      </c>
      <c r="AW3834">
        <v>451</v>
      </c>
      <c r="AX3834">
        <v>577</v>
      </c>
      <c r="AZ3834" t="s">
        <v>101</v>
      </c>
      <c r="BA3834">
        <v>1</v>
      </c>
      <c r="BC3834" t="s">
        <v>7774</v>
      </c>
      <c r="BD3834" s="4">
        <v>43283.324305555558</v>
      </c>
      <c r="BE3834" s="4">
        <v>43283.346990740742</v>
      </c>
      <c r="BF3834" s="4">
        <v>43283.346990740742</v>
      </c>
      <c r="BG3834" t="s">
        <v>83</v>
      </c>
      <c r="BH3834" t="s">
        <v>84</v>
      </c>
      <c r="BI3834" t="s">
        <v>85</v>
      </c>
    </row>
    <row r="3835" spans="1:61" x14ac:dyDescent="0.3">
      <c r="A3835" t="str">
        <f>"201871B0100"</f>
        <v>201871B0100</v>
      </c>
      <c r="B3835" t="s">
        <v>7775</v>
      </c>
      <c r="C3835">
        <v>20</v>
      </c>
      <c r="D3835" t="s">
        <v>79</v>
      </c>
      <c r="E3835">
        <v>18</v>
      </c>
      <c r="F3835" t="s">
        <v>7655</v>
      </c>
      <c r="G3835">
        <v>1871</v>
      </c>
      <c r="H3835">
        <v>1</v>
      </c>
      <c r="I3835" t="s">
        <v>81</v>
      </c>
      <c r="J3835">
        <v>0</v>
      </c>
      <c r="K3835">
        <v>2</v>
      </c>
      <c r="L3835">
        <v>2</v>
      </c>
      <c r="M3835">
        <v>49</v>
      </c>
      <c r="N3835">
        <v>104</v>
      </c>
      <c r="O3835">
        <v>0</v>
      </c>
      <c r="P3835">
        <v>104</v>
      </c>
      <c r="Q3835">
        <v>2</v>
      </c>
      <c r="R3835">
        <v>10</v>
      </c>
      <c r="S3835">
        <v>4</v>
      </c>
      <c r="T3835">
        <v>32</v>
      </c>
      <c r="U3835">
        <v>3</v>
      </c>
      <c r="V3835">
        <v>3</v>
      </c>
      <c r="W3835">
        <v>1</v>
      </c>
      <c r="X3835">
        <v>0</v>
      </c>
      <c r="Y3835">
        <v>15</v>
      </c>
      <c r="Z3835">
        <v>4</v>
      </c>
      <c r="AA3835">
        <v>3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0</v>
      </c>
      <c r="AN3835">
        <v>0</v>
      </c>
      <c r="AT3835">
        <v>0</v>
      </c>
      <c r="AU3835">
        <v>27</v>
      </c>
      <c r="AV3835" t="s">
        <v>100</v>
      </c>
      <c r="AW3835">
        <v>104</v>
      </c>
      <c r="AX3835">
        <v>131</v>
      </c>
      <c r="BA3835">
        <v>1</v>
      </c>
      <c r="BC3835" t="s">
        <v>7776</v>
      </c>
      <c r="BD3835" s="4">
        <v>43283.370138888888</v>
      </c>
      <c r="BE3835" s="4">
        <v>43283.377627314818</v>
      </c>
      <c r="BF3835" s="4">
        <v>43283.377627314818</v>
      </c>
      <c r="BG3835" t="s">
        <v>83</v>
      </c>
      <c r="BH3835" t="s">
        <v>84</v>
      </c>
      <c r="BI3835" t="s">
        <v>85</v>
      </c>
    </row>
    <row r="3836" spans="1:61" x14ac:dyDescent="0.3">
      <c r="A3836" t="str">
        <f>"201871E0100"</f>
        <v>201871E0100</v>
      </c>
      <c r="B3836" s="2" t="s">
        <v>7777</v>
      </c>
      <c r="C3836">
        <v>20</v>
      </c>
      <c r="D3836" t="s">
        <v>79</v>
      </c>
      <c r="E3836">
        <v>18</v>
      </c>
      <c r="F3836" t="s">
        <v>7655</v>
      </c>
      <c r="G3836">
        <v>1871</v>
      </c>
      <c r="H3836">
        <v>1</v>
      </c>
      <c r="I3836" t="s">
        <v>145</v>
      </c>
      <c r="J3836">
        <v>0</v>
      </c>
      <c r="K3836">
        <v>2</v>
      </c>
      <c r="L3836">
        <v>2</v>
      </c>
      <c r="M3836">
        <v>140</v>
      </c>
      <c r="N3836">
        <v>423</v>
      </c>
      <c r="O3836">
        <v>1</v>
      </c>
      <c r="P3836">
        <v>423</v>
      </c>
      <c r="Q3836">
        <v>6</v>
      </c>
      <c r="R3836">
        <v>126</v>
      </c>
      <c r="S3836">
        <v>4</v>
      </c>
      <c r="T3836">
        <v>8</v>
      </c>
      <c r="U3836">
        <v>11</v>
      </c>
      <c r="V3836">
        <v>15</v>
      </c>
      <c r="W3836">
        <v>4</v>
      </c>
      <c r="X3836">
        <v>4</v>
      </c>
      <c r="Y3836">
        <v>213</v>
      </c>
      <c r="Z3836">
        <v>9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1</v>
      </c>
      <c r="AI3836">
        <v>0</v>
      </c>
      <c r="AJ3836">
        <v>0</v>
      </c>
      <c r="AK3836">
        <v>3</v>
      </c>
      <c r="AL3836">
        <v>0</v>
      </c>
      <c r="AM3836">
        <v>0</v>
      </c>
      <c r="AN3836">
        <v>1</v>
      </c>
      <c r="AT3836">
        <v>0</v>
      </c>
      <c r="AU3836">
        <v>18</v>
      </c>
      <c r="AV3836">
        <v>423</v>
      </c>
      <c r="AW3836">
        <v>423</v>
      </c>
      <c r="AX3836">
        <v>541</v>
      </c>
      <c r="BA3836">
        <v>1</v>
      </c>
      <c r="BC3836" t="s">
        <v>7778</v>
      </c>
      <c r="BD3836" s="4">
        <v>43283.374305555553</v>
      </c>
      <c r="BE3836" s="4">
        <v>43283.380856481483</v>
      </c>
      <c r="BF3836" s="4">
        <v>43283.380856481483</v>
      </c>
      <c r="BG3836" t="s">
        <v>83</v>
      </c>
      <c r="BH3836" t="s">
        <v>84</v>
      </c>
      <c r="BI3836" t="s">
        <v>85</v>
      </c>
    </row>
    <row r="3837" spans="1:61" x14ac:dyDescent="0.3">
      <c r="A3837" t="str">
        <f>"201872B0100"</f>
        <v>201872B0100</v>
      </c>
      <c r="B3837" t="s">
        <v>7779</v>
      </c>
      <c r="C3837">
        <v>20</v>
      </c>
      <c r="D3837" t="s">
        <v>79</v>
      </c>
      <c r="E3837">
        <v>18</v>
      </c>
      <c r="F3837" t="s">
        <v>7655</v>
      </c>
      <c r="G3837">
        <v>1872</v>
      </c>
      <c r="H3837">
        <v>1</v>
      </c>
      <c r="I3837" t="s">
        <v>81</v>
      </c>
      <c r="J3837">
        <v>0</v>
      </c>
      <c r="K3837">
        <v>2</v>
      </c>
      <c r="L3837">
        <v>2</v>
      </c>
      <c r="M3837">
        <v>142</v>
      </c>
      <c r="N3837">
        <v>505</v>
      </c>
      <c r="O3837">
        <v>2</v>
      </c>
      <c r="P3837">
        <v>505</v>
      </c>
      <c r="Q3837">
        <v>10</v>
      </c>
      <c r="R3837">
        <v>143</v>
      </c>
      <c r="S3837">
        <v>4</v>
      </c>
      <c r="T3837">
        <v>19</v>
      </c>
      <c r="U3837">
        <v>10</v>
      </c>
      <c r="V3837">
        <v>9</v>
      </c>
      <c r="W3837">
        <v>3</v>
      </c>
      <c r="X3837">
        <v>1</v>
      </c>
      <c r="Y3837">
        <v>260</v>
      </c>
      <c r="Z3837">
        <v>9</v>
      </c>
      <c r="AA3837">
        <v>1</v>
      </c>
      <c r="AB3837">
        <v>3</v>
      </c>
      <c r="AC3837">
        <v>0</v>
      </c>
      <c r="AD3837">
        <v>1</v>
      </c>
      <c r="AE3837">
        <v>0</v>
      </c>
      <c r="AF3837">
        <v>0</v>
      </c>
      <c r="AG3837">
        <v>0</v>
      </c>
      <c r="AH3837">
        <v>2</v>
      </c>
      <c r="AI3837">
        <v>0</v>
      </c>
      <c r="AJ3837">
        <v>0</v>
      </c>
      <c r="AK3837">
        <v>0</v>
      </c>
      <c r="AL3837">
        <v>1</v>
      </c>
      <c r="AM3837">
        <v>0</v>
      </c>
      <c r="AN3837">
        <v>2</v>
      </c>
      <c r="AT3837" t="s">
        <v>100</v>
      </c>
      <c r="AU3837">
        <v>24</v>
      </c>
      <c r="AV3837" t="s">
        <v>100</v>
      </c>
      <c r="AW3837">
        <v>502</v>
      </c>
      <c r="AX3837">
        <v>625</v>
      </c>
      <c r="AZ3837" t="s">
        <v>101</v>
      </c>
      <c r="BA3837">
        <v>1</v>
      </c>
      <c r="BC3837" t="s">
        <v>7780</v>
      </c>
      <c r="BD3837" s="4">
        <v>43283.163888888892</v>
      </c>
      <c r="BE3837" s="4">
        <v>43283.174479166664</v>
      </c>
      <c r="BF3837" s="4">
        <v>43283.174479166664</v>
      </c>
      <c r="BG3837" t="s">
        <v>83</v>
      </c>
      <c r="BH3837" t="s">
        <v>84</v>
      </c>
      <c r="BI3837" t="s">
        <v>85</v>
      </c>
    </row>
    <row r="3838" spans="1:61" x14ac:dyDescent="0.3">
      <c r="A3838" t="str">
        <f>"201872E0100"</f>
        <v>201872E0100</v>
      </c>
      <c r="B3838" s="2" t="s">
        <v>7781</v>
      </c>
      <c r="C3838">
        <v>20</v>
      </c>
      <c r="D3838" t="s">
        <v>79</v>
      </c>
      <c r="E3838">
        <v>18</v>
      </c>
      <c r="F3838" t="s">
        <v>7655</v>
      </c>
      <c r="G3838">
        <v>1872</v>
      </c>
      <c r="H3838">
        <v>1</v>
      </c>
      <c r="I3838" t="s">
        <v>145</v>
      </c>
      <c r="J3838">
        <v>0</v>
      </c>
      <c r="K3838">
        <v>2</v>
      </c>
      <c r="L3838">
        <v>2</v>
      </c>
      <c r="M3838">
        <v>144</v>
      </c>
      <c r="N3838">
        <v>287</v>
      </c>
      <c r="O3838">
        <v>4</v>
      </c>
      <c r="P3838">
        <v>287</v>
      </c>
      <c r="Q3838">
        <v>5</v>
      </c>
      <c r="R3838">
        <v>23</v>
      </c>
      <c r="S3838">
        <v>15</v>
      </c>
      <c r="T3838">
        <v>11</v>
      </c>
      <c r="U3838">
        <v>12</v>
      </c>
      <c r="V3838">
        <v>5</v>
      </c>
      <c r="W3838">
        <v>3</v>
      </c>
      <c r="X3838">
        <v>1</v>
      </c>
      <c r="Y3838">
        <v>187</v>
      </c>
      <c r="Z3838">
        <v>4</v>
      </c>
      <c r="AA3838">
        <v>6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0</v>
      </c>
      <c r="AN3838">
        <v>0</v>
      </c>
      <c r="AT3838">
        <v>0</v>
      </c>
      <c r="AU3838">
        <v>12</v>
      </c>
      <c r="AV3838">
        <v>287</v>
      </c>
      <c r="AW3838">
        <v>284</v>
      </c>
      <c r="AX3838">
        <v>409</v>
      </c>
      <c r="BA3838">
        <v>1</v>
      </c>
      <c r="BC3838" t="s">
        <v>7782</v>
      </c>
      <c r="BD3838" s="4">
        <v>43283.168749999997</v>
      </c>
      <c r="BE3838" s="4">
        <v>43283.188356481478</v>
      </c>
      <c r="BF3838" s="4">
        <v>43283.188356481478</v>
      </c>
      <c r="BG3838" t="s">
        <v>83</v>
      </c>
      <c r="BH3838" t="s">
        <v>84</v>
      </c>
      <c r="BI3838" t="s">
        <v>85</v>
      </c>
    </row>
    <row r="3839" spans="1:61" x14ac:dyDescent="0.3">
      <c r="A3839" t="str">
        <f>"201875B0100"</f>
        <v>201875B0100</v>
      </c>
      <c r="B3839" t="s">
        <v>7783</v>
      </c>
      <c r="C3839">
        <v>20</v>
      </c>
      <c r="D3839" t="s">
        <v>79</v>
      </c>
      <c r="E3839">
        <v>18</v>
      </c>
      <c r="F3839" t="s">
        <v>7655</v>
      </c>
      <c r="G3839">
        <v>1875</v>
      </c>
      <c r="H3839">
        <v>1</v>
      </c>
      <c r="I3839" t="s">
        <v>81</v>
      </c>
      <c r="J3839">
        <v>0</v>
      </c>
      <c r="K3839">
        <v>2</v>
      </c>
      <c r="L3839">
        <v>2</v>
      </c>
      <c r="M3839">
        <v>115</v>
      </c>
      <c r="N3839">
        <v>398</v>
      </c>
      <c r="O3839">
        <v>0</v>
      </c>
      <c r="P3839">
        <v>398</v>
      </c>
      <c r="Q3839">
        <v>6</v>
      </c>
      <c r="R3839">
        <v>58</v>
      </c>
      <c r="S3839">
        <v>84</v>
      </c>
      <c r="T3839">
        <v>18</v>
      </c>
      <c r="U3839">
        <v>45</v>
      </c>
      <c r="V3839">
        <v>9</v>
      </c>
      <c r="W3839">
        <v>18</v>
      </c>
      <c r="X3839">
        <v>2</v>
      </c>
      <c r="Y3839">
        <v>123</v>
      </c>
      <c r="Z3839">
        <v>1</v>
      </c>
      <c r="AA3839">
        <v>0</v>
      </c>
      <c r="AB3839">
        <v>2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1</v>
      </c>
      <c r="AL3839">
        <v>1</v>
      </c>
      <c r="AM3839">
        <v>0</v>
      </c>
      <c r="AN3839">
        <v>1</v>
      </c>
      <c r="AT3839">
        <v>0</v>
      </c>
      <c r="AU3839">
        <v>29</v>
      </c>
      <c r="AV3839">
        <v>398</v>
      </c>
      <c r="AW3839">
        <v>398</v>
      </c>
      <c r="AX3839">
        <v>491</v>
      </c>
      <c r="BA3839">
        <v>1</v>
      </c>
      <c r="BC3839" t="s">
        <v>7784</v>
      </c>
      <c r="BD3839" s="4">
        <v>43283.236111111109</v>
      </c>
      <c r="BE3839" s="4">
        <v>43283.258321759262</v>
      </c>
      <c r="BF3839" s="4">
        <v>43283.258321759262</v>
      </c>
      <c r="BG3839" t="s">
        <v>83</v>
      </c>
      <c r="BH3839" t="s">
        <v>84</v>
      </c>
      <c r="BI3839" t="s">
        <v>85</v>
      </c>
    </row>
    <row r="3840" spans="1:61" x14ac:dyDescent="0.3">
      <c r="A3840" t="str">
        <f>"201875C0100"</f>
        <v>201875C0100</v>
      </c>
      <c r="B3840" t="s">
        <v>7785</v>
      </c>
      <c r="C3840">
        <v>20</v>
      </c>
      <c r="D3840" t="s">
        <v>79</v>
      </c>
      <c r="E3840">
        <v>18</v>
      </c>
      <c r="F3840" t="s">
        <v>7655</v>
      </c>
      <c r="G3840">
        <v>1875</v>
      </c>
      <c r="H3840">
        <v>1</v>
      </c>
      <c r="I3840" t="s">
        <v>89</v>
      </c>
      <c r="J3840">
        <v>0</v>
      </c>
      <c r="K3840">
        <v>2</v>
      </c>
      <c r="L3840">
        <v>2</v>
      </c>
      <c r="M3840">
        <v>124</v>
      </c>
      <c r="N3840">
        <v>388</v>
      </c>
      <c r="O3840">
        <v>1</v>
      </c>
      <c r="P3840">
        <v>387</v>
      </c>
      <c r="Q3840">
        <v>9</v>
      </c>
      <c r="R3840">
        <v>63</v>
      </c>
      <c r="S3840">
        <v>60</v>
      </c>
      <c r="T3840">
        <v>20</v>
      </c>
      <c r="U3840">
        <v>41</v>
      </c>
      <c r="V3840">
        <v>10</v>
      </c>
      <c r="W3840">
        <v>24</v>
      </c>
      <c r="X3840">
        <v>2</v>
      </c>
      <c r="Y3840">
        <v>128</v>
      </c>
      <c r="Z3840">
        <v>1</v>
      </c>
      <c r="AA3840">
        <v>1</v>
      </c>
      <c r="AB3840">
        <v>2</v>
      </c>
      <c r="AC3840">
        <v>0</v>
      </c>
      <c r="AD3840">
        <v>0</v>
      </c>
      <c r="AE3840">
        <v>0</v>
      </c>
      <c r="AF3840">
        <v>1</v>
      </c>
      <c r="AG3840">
        <v>0</v>
      </c>
      <c r="AH3840">
        <v>0</v>
      </c>
      <c r="AI3840">
        <v>0</v>
      </c>
      <c r="AJ3840">
        <v>0</v>
      </c>
      <c r="AK3840">
        <v>4</v>
      </c>
      <c r="AL3840">
        <v>3</v>
      </c>
      <c r="AM3840">
        <v>1</v>
      </c>
      <c r="AN3840">
        <v>0</v>
      </c>
      <c r="AT3840">
        <v>0</v>
      </c>
      <c r="AU3840">
        <v>17</v>
      </c>
      <c r="AV3840">
        <v>387</v>
      </c>
      <c r="AW3840">
        <v>387</v>
      </c>
      <c r="AX3840">
        <v>490</v>
      </c>
      <c r="BA3840">
        <v>1</v>
      </c>
      <c r="BC3840" t="s">
        <v>7786</v>
      </c>
      <c r="BD3840" s="4">
        <v>43283.240277777775</v>
      </c>
      <c r="BE3840" s="4">
        <v>43283.266215277778</v>
      </c>
      <c r="BF3840" s="4">
        <v>43283.266215277778</v>
      </c>
      <c r="BG3840" t="s">
        <v>83</v>
      </c>
      <c r="BH3840" t="s">
        <v>84</v>
      </c>
      <c r="BI3840" t="s">
        <v>85</v>
      </c>
    </row>
    <row r="3841" spans="1:61" x14ac:dyDescent="0.3">
      <c r="A3841" t="str">
        <f>"201876B0100"</f>
        <v>201876B0100</v>
      </c>
      <c r="B3841" t="s">
        <v>7787</v>
      </c>
      <c r="C3841">
        <v>20</v>
      </c>
      <c r="D3841" t="s">
        <v>79</v>
      </c>
      <c r="E3841">
        <v>18</v>
      </c>
      <c r="F3841" t="s">
        <v>7655</v>
      </c>
      <c r="G3841">
        <v>1876</v>
      </c>
      <c r="H3841">
        <v>1</v>
      </c>
      <c r="I3841" t="s">
        <v>81</v>
      </c>
      <c r="J3841">
        <v>0</v>
      </c>
      <c r="K3841">
        <v>1</v>
      </c>
      <c r="L3841">
        <v>2</v>
      </c>
      <c r="M3841">
        <v>154</v>
      </c>
      <c r="N3841">
        <v>551</v>
      </c>
      <c r="O3841">
        <v>1</v>
      </c>
      <c r="P3841">
        <v>550</v>
      </c>
      <c r="Q3841">
        <v>8</v>
      </c>
      <c r="R3841">
        <v>76</v>
      </c>
      <c r="S3841">
        <v>124</v>
      </c>
      <c r="T3841">
        <v>31</v>
      </c>
      <c r="U3841">
        <v>70</v>
      </c>
      <c r="V3841">
        <v>11</v>
      </c>
      <c r="W3841">
        <v>31</v>
      </c>
      <c r="X3841">
        <v>0</v>
      </c>
      <c r="Y3841">
        <v>152</v>
      </c>
      <c r="Z3841">
        <v>8</v>
      </c>
      <c r="AA3841">
        <v>1</v>
      </c>
      <c r="AB3841">
        <v>1</v>
      </c>
      <c r="AC3841">
        <v>1</v>
      </c>
      <c r="AD3841">
        <v>2</v>
      </c>
      <c r="AE3841">
        <v>0</v>
      </c>
      <c r="AF3841">
        <v>0</v>
      </c>
      <c r="AG3841">
        <v>0</v>
      </c>
      <c r="AH3841">
        <v>0</v>
      </c>
      <c r="AI3841">
        <v>1</v>
      </c>
      <c r="AJ3841">
        <v>0</v>
      </c>
      <c r="AK3841">
        <v>5</v>
      </c>
      <c r="AL3841">
        <v>1</v>
      </c>
      <c r="AM3841">
        <v>1</v>
      </c>
      <c r="AN3841">
        <v>0</v>
      </c>
      <c r="AT3841" t="s">
        <v>100</v>
      </c>
      <c r="AU3841" t="s">
        <v>100</v>
      </c>
      <c r="AV3841" t="s">
        <v>100</v>
      </c>
      <c r="AW3841">
        <v>524</v>
      </c>
      <c r="AX3841">
        <v>682</v>
      </c>
      <c r="AZ3841" t="s">
        <v>101</v>
      </c>
      <c r="BA3841">
        <v>1</v>
      </c>
      <c r="BC3841" t="s">
        <v>7788</v>
      </c>
      <c r="BD3841" s="4">
        <v>43283.220833333333</v>
      </c>
      <c r="BE3841" s="4">
        <v>43283.24417824074</v>
      </c>
      <c r="BF3841" s="4">
        <v>43283.24417824074</v>
      </c>
      <c r="BG3841" t="s">
        <v>83</v>
      </c>
      <c r="BH3841" t="s">
        <v>84</v>
      </c>
      <c r="BI3841" t="s">
        <v>85</v>
      </c>
    </row>
    <row r="3842" spans="1:61" x14ac:dyDescent="0.3">
      <c r="A3842" t="str">
        <f>"201876C0100"</f>
        <v>201876C0100</v>
      </c>
      <c r="B3842" t="s">
        <v>7789</v>
      </c>
      <c r="C3842">
        <v>20</v>
      </c>
      <c r="D3842" t="s">
        <v>79</v>
      </c>
      <c r="E3842">
        <v>18</v>
      </c>
      <c r="F3842" t="s">
        <v>7655</v>
      </c>
      <c r="G3842">
        <v>1876</v>
      </c>
      <c r="H3842">
        <v>1</v>
      </c>
      <c r="I3842" t="s">
        <v>89</v>
      </c>
      <c r="J3842">
        <v>0</v>
      </c>
      <c r="K3842">
        <v>1</v>
      </c>
      <c r="L3842">
        <v>2</v>
      </c>
      <c r="M3842">
        <v>151</v>
      </c>
      <c r="N3842">
        <v>553</v>
      </c>
      <c r="O3842">
        <v>0</v>
      </c>
      <c r="P3842">
        <v>552</v>
      </c>
      <c r="Q3842">
        <v>9</v>
      </c>
      <c r="R3842">
        <v>94</v>
      </c>
      <c r="S3842">
        <v>93</v>
      </c>
      <c r="T3842">
        <v>41</v>
      </c>
      <c r="U3842">
        <v>75</v>
      </c>
      <c r="V3842">
        <v>3</v>
      </c>
      <c r="W3842">
        <v>33</v>
      </c>
      <c r="X3842">
        <v>2</v>
      </c>
      <c r="Y3842">
        <v>160</v>
      </c>
      <c r="Z3842">
        <v>6</v>
      </c>
      <c r="AA3842">
        <v>0</v>
      </c>
      <c r="AB3842">
        <v>1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1</v>
      </c>
      <c r="AJ3842">
        <v>0</v>
      </c>
      <c r="AK3842">
        <v>5</v>
      </c>
      <c r="AL3842">
        <v>1</v>
      </c>
      <c r="AM3842">
        <v>0</v>
      </c>
      <c r="AN3842">
        <v>0</v>
      </c>
      <c r="AT3842">
        <v>0</v>
      </c>
      <c r="AU3842">
        <v>28</v>
      </c>
      <c r="AV3842">
        <v>552</v>
      </c>
      <c r="AW3842">
        <v>552</v>
      </c>
      <c r="AX3842">
        <v>682</v>
      </c>
      <c r="BA3842">
        <v>1</v>
      </c>
      <c r="BC3842" t="s">
        <v>7790</v>
      </c>
      <c r="BD3842" s="4">
        <v>43283.224999999999</v>
      </c>
      <c r="BE3842" s="4">
        <v>43283.251377314817</v>
      </c>
      <c r="BF3842" s="4">
        <v>43283.251377314817</v>
      </c>
      <c r="BG3842" t="s">
        <v>83</v>
      </c>
      <c r="BH3842" t="s">
        <v>84</v>
      </c>
      <c r="BI3842" t="s">
        <v>85</v>
      </c>
    </row>
    <row r="3843" spans="1:61" x14ac:dyDescent="0.3">
      <c r="A3843" t="str">
        <f>"201877B0100"</f>
        <v>201877B0100</v>
      </c>
      <c r="B3843" t="s">
        <v>7791</v>
      </c>
      <c r="C3843">
        <v>20</v>
      </c>
      <c r="D3843" t="s">
        <v>79</v>
      </c>
      <c r="E3843">
        <v>18</v>
      </c>
      <c r="F3843" t="s">
        <v>7655</v>
      </c>
      <c r="G3843">
        <v>1877</v>
      </c>
      <c r="H3843">
        <v>1</v>
      </c>
      <c r="I3843" t="s">
        <v>81</v>
      </c>
      <c r="J3843">
        <v>0</v>
      </c>
      <c r="K3843">
        <v>2</v>
      </c>
      <c r="L3843">
        <v>2</v>
      </c>
      <c r="M3843">
        <v>129</v>
      </c>
      <c r="N3843">
        <v>446</v>
      </c>
      <c r="O3843">
        <v>3</v>
      </c>
      <c r="P3843">
        <v>447</v>
      </c>
      <c r="Q3843">
        <v>7</v>
      </c>
      <c r="R3843">
        <v>72</v>
      </c>
      <c r="S3843">
        <v>69</v>
      </c>
      <c r="T3843">
        <v>26</v>
      </c>
      <c r="U3843">
        <v>73</v>
      </c>
      <c r="V3843">
        <v>3</v>
      </c>
      <c r="W3843">
        <v>36</v>
      </c>
      <c r="X3843">
        <v>3</v>
      </c>
      <c r="Y3843">
        <v>125</v>
      </c>
      <c r="Z3843">
        <v>3</v>
      </c>
      <c r="AA3843">
        <v>1</v>
      </c>
      <c r="AB3843">
        <v>1</v>
      </c>
      <c r="AC3843">
        <v>0</v>
      </c>
      <c r="AD3843">
        <v>0</v>
      </c>
      <c r="AE3843">
        <v>0</v>
      </c>
      <c r="AF3843">
        <v>1</v>
      </c>
      <c r="AG3843">
        <v>0</v>
      </c>
      <c r="AH3843">
        <v>0</v>
      </c>
      <c r="AI3843">
        <v>0</v>
      </c>
      <c r="AJ3843">
        <v>0</v>
      </c>
      <c r="AK3843">
        <v>1</v>
      </c>
      <c r="AL3843">
        <v>4</v>
      </c>
      <c r="AM3843">
        <v>0</v>
      </c>
      <c r="AN3843">
        <v>0</v>
      </c>
      <c r="AT3843">
        <v>0</v>
      </c>
      <c r="AU3843">
        <v>22</v>
      </c>
      <c r="AV3843">
        <v>447</v>
      </c>
      <c r="AW3843">
        <v>447</v>
      </c>
      <c r="AX3843">
        <v>554</v>
      </c>
      <c r="BA3843">
        <v>1</v>
      </c>
      <c r="BC3843" t="s">
        <v>7792</v>
      </c>
      <c r="BD3843" s="4">
        <v>43283.229861111111</v>
      </c>
      <c r="BE3843" s="4">
        <v>43283.254999999997</v>
      </c>
      <c r="BF3843" s="4">
        <v>43283.254999999997</v>
      </c>
      <c r="BG3843" t="s">
        <v>83</v>
      </c>
      <c r="BH3843" t="s">
        <v>84</v>
      </c>
      <c r="BI3843" t="s">
        <v>85</v>
      </c>
    </row>
    <row r="3844" spans="1:61" x14ac:dyDescent="0.3">
      <c r="A3844" t="str">
        <f>"201877C0100"</f>
        <v>201877C0100</v>
      </c>
      <c r="B3844" t="s">
        <v>7793</v>
      </c>
      <c r="C3844">
        <v>20</v>
      </c>
      <c r="D3844" t="s">
        <v>79</v>
      </c>
      <c r="E3844">
        <v>18</v>
      </c>
      <c r="F3844" t="s">
        <v>7655</v>
      </c>
      <c r="G3844">
        <v>1877</v>
      </c>
      <c r="H3844">
        <v>1</v>
      </c>
      <c r="I3844" t="s">
        <v>89</v>
      </c>
      <c r="J3844">
        <v>0</v>
      </c>
      <c r="K3844">
        <v>2</v>
      </c>
      <c r="L3844">
        <v>2</v>
      </c>
      <c r="M3844">
        <v>115</v>
      </c>
      <c r="N3844">
        <v>461</v>
      </c>
      <c r="O3844">
        <v>0</v>
      </c>
      <c r="P3844">
        <v>4</v>
      </c>
      <c r="Q3844">
        <v>6</v>
      </c>
      <c r="R3844">
        <v>85</v>
      </c>
      <c r="S3844">
        <v>85</v>
      </c>
      <c r="T3844">
        <v>22</v>
      </c>
      <c r="U3844">
        <v>56</v>
      </c>
      <c r="V3844">
        <v>8</v>
      </c>
      <c r="W3844">
        <v>37</v>
      </c>
      <c r="X3844">
        <v>2</v>
      </c>
      <c r="Y3844">
        <v>128</v>
      </c>
      <c r="Z3844">
        <v>3</v>
      </c>
      <c r="AA3844">
        <v>1</v>
      </c>
      <c r="AB3844">
        <v>1</v>
      </c>
      <c r="AC3844">
        <v>2</v>
      </c>
      <c r="AD3844">
        <v>1</v>
      </c>
      <c r="AE3844">
        <v>0</v>
      </c>
      <c r="AF3844">
        <v>0</v>
      </c>
      <c r="AG3844">
        <v>1</v>
      </c>
      <c r="AH3844">
        <v>0</v>
      </c>
      <c r="AI3844">
        <v>0</v>
      </c>
      <c r="AJ3844">
        <v>0</v>
      </c>
      <c r="AK3844">
        <v>0</v>
      </c>
      <c r="AL3844">
        <v>2</v>
      </c>
      <c r="AM3844">
        <v>0</v>
      </c>
      <c r="AN3844">
        <v>0</v>
      </c>
      <c r="AT3844">
        <v>0</v>
      </c>
      <c r="AU3844">
        <v>21</v>
      </c>
      <c r="AV3844">
        <v>461</v>
      </c>
      <c r="AW3844">
        <v>461</v>
      </c>
      <c r="AX3844">
        <v>554</v>
      </c>
      <c r="BA3844">
        <v>1</v>
      </c>
      <c r="BC3844" t="s">
        <v>7794</v>
      </c>
      <c r="BD3844" s="4">
        <v>43283.232638888891</v>
      </c>
      <c r="BE3844" s="4">
        <v>43283.255925925929</v>
      </c>
      <c r="BF3844" s="4">
        <v>43283.255925925929</v>
      </c>
      <c r="BG3844" t="s">
        <v>83</v>
      </c>
      <c r="BH3844" t="s">
        <v>84</v>
      </c>
      <c r="BI3844" t="s">
        <v>85</v>
      </c>
    </row>
    <row r="3845" spans="1:61" x14ac:dyDescent="0.3">
      <c r="A3845" t="str">
        <f>"201928B0100"</f>
        <v>201928B0100</v>
      </c>
      <c r="B3845" t="s">
        <v>7795</v>
      </c>
      <c r="C3845">
        <v>20</v>
      </c>
      <c r="D3845" t="s">
        <v>79</v>
      </c>
      <c r="E3845">
        <v>18</v>
      </c>
      <c r="F3845" t="s">
        <v>7655</v>
      </c>
      <c r="G3845">
        <v>1928</v>
      </c>
      <c r="H3845">
        <v>1</v>
      </c>
      <c r="I3845" t="s">
        <v>81</v>
      </c>
      <c r="J3845">
        <v>0</v>
      </c>
      <c r="K3845">
        <v>1</v>
      </c>
      <c r="L3845">
        <v>2</v>
      </c>
      <c r="M3845">
        <v>188</v>
      </c>
      <c r="N3845">
        <v>518</v>
      </c>
      <c r="O3845">
        <v>0</v>
      </c>
      <c r="P3845">
        <v>524</v>
      </c>
      <c r="Q3845">
        <v>5</v>
      </c>
      <c r="R3845">
        <v>59</v>
      </c>
      <c r="S3845">
        <v>5</v>
      </c>
      <c r="T3845">
        <v>4</v>
      </c>
      <c r="U3845">
        <v>223</v>
      </c>
      <c r="V3845">
        <v>1</v>
      </c>
      <c r="W3845">
        <v>1</v>
      </c>
      <c r="X3845">
        <v>158</v>
      </c>
      <c r="Y3845">
        <v>14</v>
      </c>
      <c r="Z3845">
        <v>0</v>
      </c>
      <c r="AA3845">
        <v>1</v>
      </c>
      <c r="AB3845">
        <v>0</v>
      </c>
      <c r="AC3845">
        <v>1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30</v>
      </c>
      <c r="AL3845">
        <v>3</v>
      </c>
      <c r="AM3845">
        <v>0</v>
      </c>
      <c r="AN3845">
        <v>1</v>
      </c>
      <c r="AT3845">
        <v>0</v>
      </c>
      <c r="AU3845">
        <v>14</v>
      </c>
      <c r="AV3845" t="s">
        <v>100</v>
      </c>
      <c r="AW3845">
        <v>520</v>
      </c>
      <c r="AX3845">
        <v>689</v>
      </c>
      <c r="BA3845">
        <v>1</v>
      </c>
      <c r="BC3845" t="s">
        <v>7796</v>
      </c>
      <c r="BD3845" s="4">
        <v>43283.175000000003</v>
      </c>
      <c r="BE3845" s="4">
        <v>43283.188807870371</v>
      </c>
      <c r="BF3845" s="4">
        <v>43283.188807870371</v>
      </c>
      <c r="BG3845" t="s">
        <v>83</v>
      </c>
      <c r="BH3845" t="s">
        <v>84</v>
      </c>
      <c r="BI3845" t="s">
        <v>85</v>
      </c>
    </row>
    <row r="3846" spans="1:61" x14ac:dyDescent="0.3">
      <c r="A3846" t="str">
        <f>"201965B0100"</f>
        <v>201965B0100</v>
      </c>
      <c r="B3846" t="s">
        <v>7797</v>
      </c>
      <c r="C3846">
        <v>20</v>
      </c>
      <c r="D3846" t="s">
        <v>79</v>
      </c>
      <c r="E3846">
        <v>18</v>
      </c>
      <c r="F3846" t="s">
        <v>7655</v>
      </c>
      <c r="G3846">
        <v>1965</v>
      </c>
      <c r="H3846">
        <v>1</v>
      </c>
      <c r="I3846" t="s">
        <v>81</v>
      </c>
      <c r="J3846">
        <v>0</v>
      </c>
      <c r="K3846">
        <v>1</v>
      </c>
      <c r="L3846">
        <v>2</v>
      </c>
      <c r="M3846">
        <v>260</v>
      </c>
      <c r="N3846">
        <v>272</v>
      </c>
      <c r="O3846">
        <v>0</v>
      </c>
      <c r="P3846">
        <v>272</v>
      </c>
      <c r="Q3846">
        <v>4</v>
      </c>
      <c r="R3846">
        <v>43</v>
      </c>
      <c r="S3846">
        <v>9</v>
      </c>
      <c r="T3846">
        <v>3</v>
      </c>
      <c r="U3846">
        <v>26</v>
      </c>
      <c r="V3846">
        <v>10</v>
      </c>
      <c r="W3846">
        <v>3</v>
      </c>
      <c r="X3846">
        <v>2</v>
      </c>
      <c r="Y3846">
        <v>135</v>
      </c>
      <c r="Z3846">
        <v>13</v>
      </c>
      <c r="AA3846">
        <v>0</v>
      </c>
      <c r="AB3846">
        <v>1</v>
      </c>
      <c r="AC3846">
        <v>0</v>
      </c>
      <c r="AD3846">
        <v>0</v>
      </c>
      <c r="AE3846">
        <v>0</v>
      </c>
      <c r="AF3846">
        <v>0</v>
      </c>
      <c r="AG3846">
        <v>3</v>
      </c>
      <c r="AH3846">
        <v>1</v>
      </c>
      <c r="AI3846">
        <v>0</v>
      </c>
      <c r="AJ3846">
        <v>0</v>
      </c>
      <c r="AK3846">
        <v>7</v>
      </c>
      <c r="AL3846">
        <v>2</v>
      </c>
      <c r="AM3846">
        <v>1</v>
      </c>
      <c r="AN3846">
        <v>2</v>
      </c>
      <c r="AT3846" t="s">
        <v>100</v>
      </c>
      <c r="AU3846">
        <v>7</v>
      </c>
      <c r="AV3846" t="s">
        <v>100</v>
      </c>
      <c r="AW3846">
        <v>272</v>
      </c>
      <c r="AX3846">
        <v>510</v>
      </c>
      <c r="AZ3846" t="s">
        <v>101</v>
      </c>
      <c r="BA3846">
        <v>1</v>
      </c>
      <c r="BC3846" t="s">
        <v>7798</v>
      </c>
      <c r="BD3846" s="4">
        <v>43283.120833333334</v>
      </c>
      <c r="BE3846" s="4">
        <v>43283.125509259262</v>
      </c>
      <c r="BF3846" s="4">
        <v>43283.125509259262</v>
      </c>
      <c r="BG3846" t="s">
        <v>83</v>
      </c>
      <c r="BH3846" t="s">
        <v>84</v>
      </c>
      <c r="BI3846" t="s">
        <v>85</v>
      </c>
    </row>
    <row r="3847" spans="1:61" x14ac:dyDescent="0.3">
      <c r="A3847" t="str">
        <f>"201965C0100"</f>
        <v>201965C0100</v>
      </c>
      <c r="B3847" t="s">
        <v>7799</v>
      </c>
      <c r="C3847">
        <v>20</v>
      </c>
      <c r="D3847" t="s">
        <v>79</v>
      </c>
      <c r="E3847">
        <v>18</v>
      </c>
      <c r="F3847" t="s">
        <v>7655</v>
      </c>
      <c r="G3847">
        <v>1965</v>
      </c>
      <c r="H3847">
        <v>1</v>
      </c>
      <c r="I3847" t="s">
        <v>89</v>
      </c>
      <c r="J3847">
        <v>0</v>
      </c>
      <c r="K3847">
        <v>1</v>
      </c>
      <c r="L3847">
        <v>2</v>
      </c>
      <c r="AX3847">
        <v>509</v>
      </c>
      <c r="AZ3847" t="s">
        <v>156</v>
      </c>
      <c r="BA3847">
        <v>0</v>
      </c>
      <c r="BC3847" t="s">
        <v>7800</v>
      </c>
      <c r="BD3847" s="4">
        <v>43283.683333333334</v>
      </c>
      <c r="BE3847" s="4">
        <v>43283.688402777778</v>
      </c>
      <c r="BF3847" s="4">
        <v>43283.688402777778</v>
      </c>
      <c r="BG3847" t="s">
        <v>83</v>
      </c>
      <c r="BH3847" t="s">
        <v>84</v>
      </c>
      <c r="BI3847" t="s">
        <v>85</v>
      </c>
    </row>
    <row r="3848" spans="1:61" x14ac:dyDescent="0.3">
      <c r="A3848" t="str">
        <f>"201966B0100"</f>
        <v>201966B0100</v>
      </c>
      <c r="B3848" t="s">
        <v>7801</v>
      </c>
      <c r="C3848">
        <v>20</v>
      </c>
      <c r="D3848" t="s">
        <v>79</v>
      </c>
      <c r="E3848">
        <v>18</v>
      </c>
      <c r="F3848" t="s">
        <v>7655</v>
      </c>
      <c r="G3848">
        <v>1966</v>
      </c>
      <c r="H3848">
        <v>1</v>
      </c>
      <c r="I3848" t="s">
        <v>81</v>
      </c>
      <c r="J3848">
        <v>0</v>
      </c>
      <c r="K3848">
        <v>2</v>
      </c>
      <c r="L3848">
        <v>2</v>
      </c>
      <c r="M3848">
        <v>198</v>
      </c>
      <c r="N3848">
        <v>221</v>
      </c>
      <c r="O3848" t="s">
        <v>100</v>
      </c>
      <c r="P3848">
        <v>221</v>
      </c>
      <c r="Q3848">
        <v>8</v>
      </c>
      <c r="R3848">
        <v>38</v>
      </c>
      <c r="S3848">
        <v>4</v>
      </c>
      <c r="T3848">
        <v>1</v>
      </c>
      <c r="U3848">
        <v>37</v>
      </c>
      <c r="V3848">
        <v>6</v>
      </c>
      <c r="W3848" t="s">
        <v>100</v>
      </c>
      <c r="X3848">
        <v>1</v>
      </c>
      <c r="Y3848">
        <v>93</v>
      </c>
      <c r="Z3848">
        <v>10</v>
      </c>
      <c r="AA3848" t="s">
        <v>100</v>
      </c>
      <c r="AB3848" t="s">
        <v>100</v>
      </c>
      <c r="AC3848" t="s">
        <v>100</v>
      </c>
      <c r="AD3848" t="s">
        <v>100</v>
      </c>
      <c r="AE3848" t="s">
        <v>100</v>
      </c>
      <c r="AF3848" t="s">
        <v>100</v>
      </c>
      <c r="AG3848">
        <v>1</v>
      </c>
      <c r="AH3848">
        <v>1</v>
      </c>
      <c r="AI3848" t="s">
        <v>100</v>
      </c>
      <c r="AJ3848">
        <v>2</v>
      </c>
      <c r="AK3848">
        <v>9</v>
      </c>
      <c r="AL3848">
        <v>1</v>
      </c>
      <c r="AM3848">
        <v>1</v>
      </c>
      <c r="AN3848" t="s">
        <v>100</v>
      </c>
      <c r="AT3848" t="s">
        <v>100</v>
      </c>
      <c r="AU3848">
        <v>8</v>
      </c>
      <c r="AV3848">
        <v>221</v>
      </c>
      <c r="AW3848">
        <v>221</v>
      </c>
      <c r="AX3848">
        <v>397</v>
      </c>
      <c r="AZ3848" t="s">
        <v>101</v>
      </c>
      <c r="BA3848">
        <v>1</v>
      </c>
      <c r="BC3848" t="s">
        <v>7802</v>
      </c>
      <c r="BD3848" s="4">
        <v>43283.129166666666</v>
      </c>
      <c r="BE3848" s="4">
        <v>43283.135474537034</v>
      </c>
      <c r="BF3848" s="4">
        <v>43283.135474537034</v>
      </c>
      <c r="BG3848" t="s">
        <v>83</v>
      </c>
      <c r="BH3848" t="s">
        <v>84</v>
      </c>
      <c r="BI3848" t="s">
        <v>85</v>
      </c>
    </row>
    <row r="3849" spans="1:61" x14ac:dyDescent="0.3">
      <c r="A3849" t="str">
        <f>"201966C0100"</f>
        <v>201966C0100</v>
      </c>
      <c r="B3849" t="s">
        <v>7803</v>
      </c>
      <c r="C3849">
        <v>20</v>
      </c>
      <c r="D3849" t="s">
        <v>79</v>
      </c>
      <c r="E3849">
        <v>18</v>
      </c>
      <c r="F3849" t="s">
        <v>7655</v>
      </c>
      <c r="G3849">
        <v>1966</v>
      </c>
      <c r="H3849">
        <v>1</v>
      </c>
      <c r="I3849" t="s">
        <v>89</v>
      </c>
      <c r="J3849">
        <v>0</v>
      </c>
      <c r="K3849">
        <v>2</v>
      </c>
      <c r="L3849">
        <v>2</v>
      </c>
      <c r="M3849">
        <v>160</v>
      </c>
      <c r="N3849">
        <v>259</v>
      </c>
      <c r="O3849">
        <v>0</v>
      </c>
      <c r="P3849">
        <v>259</v>
      </c>
      <c r="Q3849">
        <v>7</v>
      </c>
      <c r="R3849">
        <v>36</v>
      </c>
      <c r="S3849">
        <v>3</v>
      </c>
      <c r="T3849">
        <v>3</v>
      </c>
      <c r="U3849">
        <v>6</v>
      </c>
      <c r="V3849">
        <v>36</v>
      </c>
      <c r="W3849">
        <v>5</v>
      </c>
      <c r="X3849">
        <v>1</v>
      </c>
      <c r="Y3849">
        <v>2</v>
      </c>
      <c r="Z3849">
        <v>127</v>
      </c>
      <c r="AA3849">
        <v>8</v>
      </c>
      <c r="AB3849">
        <v>1</v>
      </c>
      <c r="AC3849">
        <v>3</v>
      </c>
      <c r="AD3849">
        <v>1</v>
      </c>
      <c r="AE3849">
        <v>0</v>
      </c>
      <c r="AF3849">
        <v>0</v>
      </c>
      <c r="AG3849">
        <v>1</v>
      </c>
      <c r="AH3849">
        <v>0</v>
      </c>
      <c r="AI3849">
        <v>0</v>
      </c>
      <c r="AJ3849">
        <v>7</v>
      </c>
      <c r="AK3849">
        <v>2</v>
      </c>
      <c r="AL3849">
        <v>0</v>
      </c>
      <c r="AM3849">
        <v>0</v>
      </c>
      <c r="AN3849">
        <v>12</v>
      </c>
      <c r="AT3849" t="s">
        <v>100</v>
      </c>
      <c r="AU3849" t="s">
        <v>100</v>
      </c>
      <c r="AV3849">
        <v>258</v>
      </c>
      <c r="AW3849">
        <v>261</v>
      </c>
      <c r="AX3849">
        <v>397</v>
      </c>
      <c r="AZ3849" t="s">
        <v>101</v>
      </c>
      <c r="BA3849">
        <v>1</v>
      </c>
      <c r="BC3849" t="s">
        <v>7804</v>
      </c>
      <c r="BD3849" s="4">
        <v>43283.133333333331</v>
      </c>
      <c r="BE3849" s="4">
        <v>43283.13726851852</v>
      </c>
      <c r="BF3849" s="4">
        <v>43283.13726851852</v>
      </c>
      <c r="BG3849" t="s">
        <v>83</v>
      </c>
      <c r="BH3849" t="s">
        <v>84</v>
      </c>
      <c r="BI3849" t="s">
        <v>85</v>
      </c>
    </row>
    <row r="3850" spans="1:61" x14ac:dyDescent="0.3">
      <c r="A3850" t="str">
        <f>"201967B0100"</f>
        <v>201967B0100</v>
      </c>
      <c r="B3850" t="s">
        <v>7805</v>
      </c>
      <c r="C3850">
        <v>20</v>
      </c>
      <c r="D3850" t="s">
        <v>79</v>
      </c>
      <c r="E3850">
        <v>18</v>
      </c>
      <c r="F3850" t="s">
        <v>7655</v>
      </c>
      <c r="G3850">
        <v>1967</v>
      </c>
      <c r="H3850">
        <v>1</v>
      </c>
      <c r="I3850" t="s">
        <v>81</v>
      </c>
      <c r="J3850">
        <v>0</v>
      </c>
      <c r="K3850">
        <v>2</v>
      </c>
      <c r="L3850">
        <v>2</v>
      </c>
      <c r="M3850">
        <v>91</v>
      </c>
      <c r="N3850">
        <v>166</v>
      </c>
      <c r="O3850">
        <v>1</v>
      </c>
      <c r="P3850">
        <v>164</v>
      </c>
      <c r="Q3850">
        <v>0</v>
      </c>
      <c r="R3850">
        <v>24</v>
      </c>
      <c r="S3850">
        <v>1</v>
      </c>
      <c r="T3850">
        <v>1</v>
      </c>
      <c r="U3850">
        <v>52</v>
      </c>
      <c r="V3850">
        <v>5</v>
      </c>
      <c r="W3850">
        <v>0</v>
      </c>
      <c r="X3850">
        <v>2</v>
      </c>
      <c r="Y3850">
        <v>57</v>
      </c>
      <c r="Z3850">
        <v>2</v>
      </c>
      <c r="AA3850">
        <v>0</v>
      </c>
      <c r="AB3850">
        <v>1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2</v>
      </c>
      <c r="AI3850">
        <v>0</v>
      </c>
      <c r="AJ3850">
        <v>0</v>
      </c>
      <c r="AK3850">
        <v>10</v>
      </c>
      <c r="AL3850">
        <v>1</v>
      </c>
      <c r="AM3850">
        <v>0</v>
      </c>
      <c r="AN3850">
        <v>1</v>
      </c>
      <c r="AT3850">
        <v>0</v>
      </c>
      <c r="AU3850">
        <v>5</v>
      </c>
      <c r="AV3850">
        <v>164</v>
      </c>
      <c r="AW3850">
        <v>164</v>
      </c>
      <c r="AX3850">
        <v>235</v>
      </c>
      <c r="BA3850">
        <v>1</v>
      </c>
      <c r="BC3850" t="s">
        <v>7806</v>
      </c>
      <c r="BD3850" s="4">
        <v>43283.021701388891</v>
      </c>
      <c r="BE3850" s="4">
        <v>43283.025740740741</v>
      </c>
      <c r="BF3850" s="4">
        <v>43283.025740740741</v>
      </c>
      <c r="BG3850" t="s">
        <v>373</v>
      </c>
      <c r="BH3850" t="s">
        <v>374</v>
      </c>
      <c r="BI3850" t="s">
        <v>85</v>
      </c>
    </row>
    <row r="3851" spans="1:61" x14ac:dyDescent="0.3">
      <c r="A3851" t="str">
        <f>"201968B0100"</f>
        <v>201968B0100</v>
      </c>
      <c r="B3851" t="s">
        <v>7807</v>
      </c>
      <c r="C3851">
        <v>20</v>
      </c>
      <c r="D3851" t="s">
        <v>79</v>
      </c>
      <c r="E3851">
        <v>18</v>
      </c>
      <c r="F3851" t="s">
        <v>7655</v>
      </c>
      <c r="G3851">
        <v>1968</v>
      </c>
      <c r="H3851">
        <v>1</v>
      </c>
      <c r="I3851" t="s">
        <v>81</v>
      </c>
      <c r="J3851">
        <v>0</v>
      </c>
      <c r="K3851">
        <v>2</v>
      </c>
      <c r="L3851">
        <v>2</v>
      </c>
      <c r="M3851">
        <v>231</v>
      </c>
      <c r="N3851">
        <v>225</v>
      </c>
      <c r="O3851">
        <v>0</v>
      </c>
      <c r="P3851">
        <v>225</v>
      </c>
      <c r="Q3851">
        <v>10</v>
      </c>
      <c r="R3851">
        <v>28</v>
      </c>
      <c r="S3851">
        <v>8</v>
      </c>
      <c r="T3851">
        <v>35</v>
      </c>
      <c r="U3851">
        <v>14</v>
      </c>
      <c r="V3851">
        <v>1</v>
      </c>
      <c r="W3851">
        <v>1</v>
      </c>
      <c r="X3851">
        <v>4</v>
      </c>
      <c r="Y3851">
        <v>83</v>
      </c>
      <c r="Z3851">
        <v>11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1</v>
      </c>
      <c r="AG3851">
        <v>1</v>
      </c>
      <c r="AH3851">
        <v>5</v>
      </c>
      <c r="AI3851">
        <v>0</v>
      </c>
      <c r="AJ3851">
        <v>1</v>
      </c>
      <c r="AK3851">
        <v>11</v>
      </c>
      <c r="AL3851">
        <v>1</v>
      </c>
      <c r="AM3851">
        <v>3</v>
      </c>
      <c r="AN3851">
        <v>2</v>
      </c>
      <c r="AT3851">
        <v>0</v>
      </c>
      <c r="AU3851">
        <v>6</v>
      </c>
      <c r="AV3851">
        <v>225</v>
      </c>
      <c r="AW3851">
        <v>226</v>
      </c>
      <c r="AX3851">
        <v>434</v>
      </c>
      <c r="BA3851">
        <v>1</v>
      </c>
      <c r="BC3851" t="s">
        <v>7808</v>
      </c>
      <c r="BD3851" s="4">
        <v>43283.376388888886</v>
      </c>
      <c r="BE3851" s="4">
        <v>43283.380833333336</v>
      </c>
      <c r="BF3851" s="4">
        <v>43283.380833333336</v>
      </c>
      <c r="BG3851" t="s">
        <v>83</v>
      </c>
      <c r="BH3851" t="s">
        <v>84</v>
      </c>
      <c r="BI3851" t="s">
        <v>85</v>
      </c>
    </row>
    <row r="3852" spans="1:61" x14ac:dyDescent="0.3">
      <c r="A3852" t="str">
        <f>"201968C0100"</f>
        <v>201968C0100</v>
      </c>
      <c r="B3852" t="s">
        <v>7809</v>
      </c>
      <c r="C3852">
        <v>20</v>
      </c>
      <c r="D3852" t="s">
        <v>79</v>
      </c>
      <c r="E3852">
        <v>18</v>
      </c>
      <c r="F3852" t="s">
        <v>7655</v>
      </c>
      <c r="G3852">
        <v>1968</v>
      </c>
      <c r="H3852">
        <v>1</v>
      </c>
      <c r="I3852" t="s">
        <v>89</v>
      </c>
      <c r="J3852">
        <v>0</v>
      </c>
      <c r="K3852">
        <v>2</v>
      </c>
      <c r="L3852">
        <v>2</v>
      </c>
      <c r="M3852">
        <v>239</v>
      </c>
      <c r="N3852">
        <v>217</v>
      </c>
      <c r="O3852">
        <v>1</v>
      </c>
      <c r="P3852">
        <v>217</v>
      </c>
      <c r="Q3852">
        <v>4</v>
      </c>
      <c r="R3852">
        <v>15</v>
      </c>
      <c r="S3852">
        <v>3</v>
      </c>
      <c r="T3852">
        <v>34</v>
      </c>
      <c r="U3852">
        <v>17</v>
      </c>
      <c r="V3852">
        <v>8</v>
      </c>
      <c r="W3852">
        <v>1</v>
      </c>
      <c r="X3852">
        <v>0</v>
      </c>
      <c r="Y3852">
        <v>100</v>
      </c>
      <c r="Z3852">
        <v>11</v>
      </c>
      <c r="AA3852">
        <v>0</v>
      </c>
      <c r="AB3852">
        <v>2</v>
      </c>
      <c r="AC3852">
        <v>0</v>
      </c>
      <c r="AD3852">
        <v>0</v>
      </c>
      <c r="AE3852">
        <v>0</v>
      </c>
      <c r="AF3852">
        <v>0</v>
      </c>
      <c r="AG3852">
        <v>1</v>
      </c>
      <c r="AH3852">
        <v>0</v>
      </c>
      <c r="AI3852">
        <v>0</v>
      </c>
      <c r="AJ3852">
        <v>0</v>
      </c>
      <c r="AK3852">
        <v>5</v>
      </c>
      <c r="AL3852">
        <v>1</v>
      </c>
      <c r="AM3852">
        <v>1</v>
      </c>
      <c r="AN3852">
        <v>2</v>
      </c>
      <c r="AT3852">
        <v>0</v>
      </c>
      <c r="AU3852">
        <v>9</v>
      </c>
      <c r="AV3852">
        <v>217</v>
      </c>
      <c r="AW3852">
        <v>214</v>
      </c>
      <c r="AX3852">
        <v>434</v>
      </c>
      <c r="BA3852">
        <v>1</v>
      </c>
      <c r="BC3852" t="s">
        <v>7810</v>
      </c>
      <c r="BD3852" s="4">
        <v>43283.370833333334</v>
      </c>
      <c r="BE3852" s="4">
        <v>43283.403761574074</v>
      </c>
      <c r="BF3852" s="4">
        <v>43283.403761574074</v>
      </c>
      <c r="BG3852" t="s">
        <v>83</v>
      </c>
      <c r="BH3852" t="s">
        <v>84</v>
      </c>
      <c r="BI3852" t="s">
        <v>85</v>
      </c>
    </row>
    <row r="3853" spans="1:61" x14ac:dyDescent="0.3">
      <c r="A3853" t="str">
        <f>"202050B0100"</f>
        <v>202050B0100</v>
      </c>
      <c r="B3853" t="s">
        <v>7811</v>
      </c>
      <c r="C3853">
        <v>20</v>
      </c>
      <c r="D3853" t="s">
        <v>79</v>
      </c>
      <c r="E3853">
        <v>18</v>
      </c>
      <c r="F3853" t="s">
        <v>7655</v>
      </c>
      <c r="G3853">
        <v>2050</v>
      </c>
      <c r="H3853">
        <v>1</v>
      </c>
      <c r="I3853" t="s">
        <v>81</v>
      </c>
      <c r="J3853">
        <v>0</v>
      </c>
      <c r="K3853">
        <v>2</v>
      </c>
      <c r="L3853">
        <v>2</v>
      </c>
      <c r="M3853">
        <v>339</v>
      </c>
      <c r="N3853">
        <v>285</v>
      </c>
      <c r="O3853">
        <v>1</v>
      </c>
      <c r="P3853">
        <v>283</v>
      </c>
      <c r="Q3853">
        <v>5</v>
      </c>
      <c r="R3853">
        <v>85</v>
      </c>
      <c r="S3853">
        <v>34</v>
      </c>
      <c r="T3853">
        <v>10</v>
      </c>
      <c r="U3853">
        <v>10</v>
      </c>
      <c r="V3853">
        <v>4</v>
      </c>
      <c r="W3853">
        <v>1</v>
      </c>
      <c r="X3853">
        <v>2</v>
      </c>
      <c r="Y3853">
        <v>78</v>
      </c>
      <c r="Z3853">
        <v>39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1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  <c r="AT3853">
        <v>0</v>
      </c>
      <c r="AU3853">
        <v>15</v>
      </c>
      <c r="AV3853">
        <v>283</v>
      </c>
      <c r="AW3853">
        <v>284</v>
      </c>
      <c r="AX3853">
        <v>600</v>
      </c>
      <c r="BA3853">
        <v>1</v>
      </c>
      <c r="BC3853" t="s">
        <v>7812</v>
      </c>
      <c r="BD3853" s="4">
        <v>43283.145833333336</v>
      </c>
      <c r="BE3853" s="4">
        <v>43283.163356481484</v>
      </c>
      <c r="BF3853" s="4">
        <v>43283.163356481484</v>
      </c>
      <c r="BG3853" t="s">
        <v>83</v>
      </c>
      <c r="BH3853" t="s">
        <v>84</v>
      </c>
      <c r="BI3853" t="s">
        <v>85</v>
      </c>
    </row>
    <row r="3854" spans="1:61" x14ac:dyDescent="0.3">
      <c r="A3854" t="str">
        <f>"202050C0100"</f>
        <v>202050C0100</v>
      </c>
      <c r="B3854" t="s">
        <v>7813</v>
      </c>
      <c r="C3854">
        <v>20</v>
      </c>
      <c r="D3854" t="s">
        <v>79</v>
      </c>
      <c r="E3854">
        <v>18</v>
      </c>
      <c r="F3854" t="s">
        <v>7655</v>
      </c>
      <c r="G3854">
        <v>2050</v>
      </c>
      <c r="H3854">
        <v>1</v>
      </c>
      <c r="I3854" t="s">
        <v>89</v>
      </c>
      <c r="J3854">
        <v>0</v>
      </c>
      <c r="K3854">
        <v>2</v>
      </c>
      <c r="L3854">
        <v>2</v>
      </c>
      <c r="M3854" t="s">
        <v>100</v>
      </c>
      <c r="N3854">
        <v>362</v>
      </c>
      <c r="O3854">
        <v>0</v>
      </c>
      <c r="P3854" t="s">
        <v>315</v>
      </c>
      <c r="Q3854">
        <v>8</v>
      </c>
      <c r="R3854">
        <v>87</v>
      </c>
      <c r="S3854">
        <v>29</v>
      </c>
      <c r="T3854">
        <v>3</v>
      </c>
      <c r="U3854">
        <v>13</v>
      </c>
      <c r="V3854">
        <v>4</v>
      </c>
      <c r="W3854">
        <v>0</v>
      </c>
      <c r="X3854">
        <v>0</v>
      </c>
      <c r="Y3854">
        <v>56</v>
      </c>
      <c r="Z3854">
        <v>29</v>
      </c>
      <c r="AA3854">
        <v>1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3</v>
      </c>
      <c r="AI3854">
        <v>0</v>
      </c>
      <c r="AJ3854">
        <v>0</v>
      </c>
      <c r="AK3854">
        <v>1</v>
      </c>
      <c r="AL3854">
        <v>0</v>
      </c>
      <c r="AM3854">
        <v>0</v>
      </c>
      <c r="AN3854">
        <v>0</v>
      </c>
      <c r="AT3854">
        <v>0</v>
      </c>
      <c r="AU3854">
        <v>24</v>
      </c>
      <c r="AV3854">
        <v>258</v>
      </c>
      <c r="AW3854">
        <v>258</v>
      </c>
      <c r="AX3854">
        <v>599</v>
      </c>
      <c r="BA3854">
        <v>1</v>
      </c>
      <c r="BC3854" t="s">
        <v>7814</v>
      </c>
      <c r="BD3854" s="4">
        <v>43283.150694444441</v>
      </c>
      <c r="BE3854" s="4">
        <v>43283.158946759257</v>
      </c>
      <c r="BF3854" s="4">
        <v>43283.158946759257</v>
      </c>
      <c r="BG3854" t="s">
        <v>83</v>
      </c>
      <c r="BH3854" t="s">
        <v>84</v>
      </c>
      <c r="BI3854" t="s">
        <v>85</v>
      </c>
    </row>
    <row r="3855" spans="1:61" x14ac:dyDescent="0.3">
      <c r="A3855" t="str">
        <f>"202051B0100"</f>
        <v>202051B0100</v>
      </c>
      <c r="B3855" t="s">
        <v>7815</v>
      </c>
      <c r="C3855">
        <v>20</v>
      </c>
      <c r="D3855" t="s">
        <v>79</v>
      </c>
      <c r="E3855">
        <v>18</v>
      </c>
      <c r="F3855" t="s">
        <v>7655</v>
      </c>
      <c r="G3855">
        <v>2051</v>
      </c>
      <c r="H3855">
        <v>1</v>
      </c>
      <c r="I3855" t="s">
        <v>81</v>
      </c>
      <c r="J3855">
        <v>0</v>
      </c>
      <c r="K3855">
        <v>1</v>
      </c>
      <c r="L3855">
        <v>2</v>
      </c>
      <c r="M3855">
        <v>200</v>
      </c>
      <c r="N3855">
        <v>218</v>
      </c>
      <c r="O3855">
        <v>1</v>
      </c>
      <c r="P3855">
        <v>218</v>
      </c>
      <c r="Q3855">
        <v>5</v>
      </c>
      <c r="R3855">
        <v>79</v>
      </c>
      <c r="S3855">
        <v>15</v>
      </c>
      <c r="T3855">
        <v>6</v>
      </c>
      <c r="U3855">
        <v>4</v>
      </c>
      <c r="V3855">
        <v>4</v>
      </c>
      <c r="W3855">
        <v>0</v>
      </c>
      <c r="X3855">
        <v>1</v>
      </c>
      <c r="Y3855">
        <v>45</v>
      </c>
      <c r="Z3855">
        <v>26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3</v>
      </c>
      <c r="AI3855">
        <v>0</v>
      </c>
      <c r="AJ3855">
        <v>0</v>
      </c>
      <c r="AK3855">
        <v>1</v>
      </c>
      <c r="AL3855">
        <v>0</v>
      </c>
      <c r="AM3855">
        <v>0</v>
      </c>
      <c r="AN3855">
        <v>1</v>
      </c>
      <c r="AT3855">
        <v>28</v>
      </c>
      <c r="AU3855">
        <v>28</v>
      </c>
      <c r="AV3855">
        <v>218</v>
      </c>
      <c r="AW3855">
        <v>246</v>
      </c>
      <c r="AX3855">
        <v>396</v>
      </c>
      <c r="BA3855">
        <v>1</v>
      </c>
      <c r="BC3855" t="s">
        <v>7816</v>
      </c>
      <c r="BD3855" s="4">
        <v>43283.15625</v>
      </c>
      <c r="BE3855" s="4">
        <v>43283.166701388887</v>
      </c>
      <c r="BF3855" s="4">
        <v>43283.166701388887</v>
      </c>
      <c r="BG3855" t="s">
        <v>83</v>
      </c>
      <c r="BH3855" t="s">
        <v>84</v>
      </c>
      <c r="BI3855" t="s">
        <v>85</v>
      </c>
    </row>
    <row r="3856" spans="1:61" x14ac:dyDescent="0.3">
      <c r="A3856" t="str">
        <f>"202051C0100"</f>
        <v>202051C0100</v>
      </c>
      <c r="B3856" t="s">
        <v>7817</v>
      </c>
      <c r="C3856">
        <v>20</v>
      </c>
      <c r="D3856" t="s">
        <v>79</v>
      </c>
      <c r="E3856">
        <v>18</v>
      </c>
      <c r="F3856" t="s">
        <v>7655</v>
      </c>
      <c r="G3856">
        <v>2051</v>
      </c>
      <c r="H3856">
        <v>1</v>
      </c>
      <c r="I3856" t="s">
        <v>89</v>
      </c>
      <c r="J3856">
        <v>0</v>
      </c>
      <c r="K3856">
        <v>1</v>
      </c>
      <c r="L3856">
        <v>2</v>
      </c>
      <c r="M3856">
        <v>207</v>
      </c>
      <c r="N3856">
        <v>211</v>
      </c>
      <c r="O3856">
        <v>4</v>
      </c>
      <c r="P3856">
        <v>211</v>
      </c>
      <c r="Q3856">
        <v>4</v>
      </c>
      <c r="R3856">
        <v>67</v>
      </c>
      <c r="S3856">
        <v>26</v>
      </c>
      <c r="T3856">
        <v>4</v>
      </c>
      <c r="U3856">
        <v>4</v>
      </c>
      <c r="V3856">
        <v>2</v>
      </c>
      <c r="W3856">
        <v>1</v>
      </c>
      <c r="X3856">
        <v>1</v>
      </c>
      <c r="Y3856">
        <v>58</v>
      </c>
      <c r="Z3856">
        <v>27</v>
      </c>
      <c r="AA3856">
        <v>1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1</v>
      </c>
      <c r="AL3856">
        <v>1</v>
      </c>
      <c r="AM3856">
        <v>0</v>
      </c>
      <c r="AN3856">
        <v>0</v>
      </c>
      <c r="AT3856">
        <v>0</v>
      </c>
      <c r="AU3856">
        <v>14</v>
      </c>
      <c r="AV3856">
        <v>211</v>
      </c>
      <c r="AW3856">
        <v>211</v>
      </c>
      <c r="AX3856">
        <v>396</v>
      </c>
      <c r="BA3856">
        <v>1</v>
      </c>
      <c r="BC3856" t="s">
        <v>7818</v>
      </c>
      <c r="BD3856" s="4">
        <v>43283.160416666666</v>
      </c>
      <c r="BE3856" s="4">
        <v>43283.183518518519</v>
      </c>
      <c r="BF3856" s="4">
        <v>43283.183518518519</v>
      </c>
      <c r="BG3856" t="s">
        <v>83</v>
      </c>
      <c r="BH3856" t="s">
        <v>84</v>
      </c>
      <c r="BI3856" t="s">
        <v>85</v>
      </c>
    </row>
    <row r="3857" spans="1:61" x14ac:dyDescent="0.3">
      <c r="A3857" t="str">
        <f>"202052B0100"</f>
        <v>202052B0100</v>
      </c>
      <c r="B3857" t="s">
        <v>7819</v>
      </c>
      <c r="C3857">
        <v>20</v>
      </c>
      <c r="D3857" t="s">
        <v>79</v>
      </c>
      <c r="E3857">
        <v>18</v>
      </c>
      <c r="F3857" t="s">
        <v>7655</v>
      </c>
      <c r="G3857">
        <v>2052</v>
      </c>
      <c r="H3857">
        <v>1</v>
      </c>
      <c r="I3857" t="s">
        <v>81</v>
      </c>
      <c r="J3857">
        <v>0</v>
      </c>
      <c r="K3857">
        <v>2</v>
      </c>
      <c r="L3857">
        <v>2</v>
      </c>
      <c r="M3857">
        <v>258</v>
      </c>
      <c r="N3857">
        <v>237</v>
      </c>
      <c r="O3857">
        <v>0</v>
      </c>
      <c r="P3857">
        <v>237</v>
      </c>
      <c r="Q3857">
        <v>10</v>
      </c>
      <c r="R3857">
        <v>46</v>
      </c>
      <c r="S3857">
        <v>2</v>
      </c>
      <c r="T3857">
        <v>3</v>
      </c>
      <c r="U3857">
        <v>13</v>
      </c>
      <c r="V3857">
        <v>1</v>
      </c>
      <c r="W3857">
        <v>2</v>
      </c>
      <c r="X3857">
        <v>3</v>
      </c>
      <c r="Y3857">
        <v>115</v>
      </c>
      <c r="Z3857">
        <v>9</v>
      </c>
      <c r="AA3857">
        <v>0</v>
      </c>
      <c r="AB3857">
        <v>1</v>
      </c>
      <c r="AC3857">
        <v>0</v>
      </c>
      <c r="AD3857">
        <v>1</v>
      </c>
      <c r="AE3857">
        <v>0</v>
      </c>
      <c r="AF3857">
        <v>0</v>
      </c>
      <c r="AG3857">
        <v>1</v>
      </c>
      <c r="AH3857">
        <v>2</v>
      </c>
      <c r="AI3857">
        <v>0</v>
      </c>
      <c r="AJ3857">
        <v>0</v>
      </c>
      <c r="AK3857">
        <v>5</v>
      </c>
      <c r="AL3857">
        <v>2</v>
      </c>
      <c r="AM3857">
        <v>2</v>
      </c>
      <c r="AN3857">
        <v>4</v>
      </c>
      <c r="AT3857">
        <v>0</v>
      </c>
      <c r="AU3857">
        <v>15</v>
      </c>
      <c r="AV3857">
        <v>237</v>
      </c>
      <c r="AW3857">
        <v>237</v>
      </c>
      <c r="AX3857">
        <v>473</v>
      </c>
      <c r="BA3857">
        <v>1</v>
      </c>
      <c r="BC3857" t="s">
        <v>7820</v>
      </c>
      <c r="BD3857" s="4">
        <v>43283.17083333333</v>
      </c>
      <c r="BE3857" s="4">
        <v>43283.188750000001</v>
      </c>
      <c r="BF3857" s="4">
        <v>43283.188750000001</v>
      </c>
      <c r="BG3857" t="s">
        <v>83</v>
      </c>
      <c r="BH3857" t="s">
        <v>84</v>
      </c>
      <c r="BI3857" t="s">
        <v>85</v>
      </c>
    </row>
    <row r="3858" spans="1:61" x14ac:dyDescent="0.3">
      <c r="A3858" t="str">
        <f>"202052E0100"</f>
        <v>202052E0100</v>
      </c>
      <c r="B3858" s="2" t="s">
        <v>7821</v>
      </c>
      <c r="C3858">
        <v>20</v>
      </c>
      <c r="D3858" t="s">
        <v>79</v>
      </c>
      <c r="E3858">
        <v>18</v>
      </c>
      <c r="F3858" t="s">
        <v>7655</v>
      </c>
      <c r="G3858">
        <v>2052</v>
      </c>
      <c r="H3858">
        <v>1</v>
      </c>
      <c r="I3858" t="s">
        <v>145</v>
      </c>
      <c r="J3858">
        <v>0</v>
      </c>
      <c r="K3858">
        <v>2</v>
      </c>
      <c r="L3858">
        <v>2</v>
      </c>
      <c r="M3858">
        <v>51</v>
      </c>
      <c r="N3858">
        <v>149</v>
      </c>
      <c r="O3858">
        <v>1</v>
      </c>
      <c r="P3858">
        <v>149</v>
      </c>
      <c r="Q3858">
        <v>1</v>
      </c>
      <c r="R3858">
        <v>10</v>
      </c>
      <c r="S3858">
        <v>2</v>
      </c>
      <c r="T3858">
        <v>4</v>
      </c>
      <c r="U3858">
        <v>2</v>
      </c>
      <c r="V3858">
        <v>1</v>
      </c>
      <c r="W3858">
        <v>1</v>
      </c>
      <c r="X3858">
        <v>0</v>
      </c>
      <c r="Y3858">
        <v>56</v>
      </c>
      <c r="Z3858">
        <v>56</v>
      </c>
      <c r="AA3858">
        <v>1</v>
      </c>
      <c r="AB3858">
        <v>1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2</v>
      </c>
      <c r="AL3858">
        <v>1</v>
      </c>
      <c r="AM3858">
        <v>1</v>
      </c>
      <c r="AN3858">
        <v>4</v>
      </c>
      <c r="AT3858">
        <v>0</v>
      </c>
      <c r="AU3858">
        <v>6</v>
      </c>
      <c r="AV3858" t="s">
        <v>100</v>
      </c>
      <c r="AW3858">
        <v>149</v>
      </c>
      <c r="AX3858">
        <v>178</v>
      </c>
      <c r="BA3858">
        <v>1</v>
      </c>
      <c r="BC3858" t="s">
        <v>7822</v>
      </c>
      <c r="BD3858" s="4">
        <v>43283.157638888886</v>
      </c>
      <c r="BE3858" s="4">
        <v>43283.168877314813</v>
      </c>
      <c r="BF3858" s="4">
        <v>43283.168877314813</v>
      </c>
      <c r="BG3858" t="s">
        <v>83</v>
      </c>
      <c r="BH3858" t="s">
        <v>84</v>
      </c>
      <c r="BI3858" t="s">
        <v>85</v>
      </c>
    </row>
    <row r="3859" spans="1:61" x14ac:dyDescent="0.3">
      <c r="A3859" t="str">
        <f>"202053B0100"</f>
        <v>202053B0100</v>
      </c>
      <c r="B3859" t="s">
        <v>7823</v>
      </c>
      <c r="C3859">
        <v>20</v>
      </c>
      <c r="D3859" t="s">
        <v>79</v>
      </c>
      <c r="E3859">
        <v>18</v>
      </c>
      <c r="F3859" t="s">
        <v>7655</v>
      </c>
      <c r="G3859">
        <v>2053</v>
      </c>
      <c r="H3859">
        <v>1</v>
      </c>
      <c r="I3859" t="s">
        <v>81</v>
      </c>
      <c r="J3859">
        <v>0</v>
      </c>
      <c r="K3859">
        <v>2</v>
      </c>
      <c r="L3859">
        <v>2</v>
      </c>
      <c r="M3859">
        <v>191</v>
      </c>
      <c r="N3859">
        <v>255</v>
      </c>
      <c r="O3859">
        <v>2</v>
      </c>
      <c r="P3859">
        <v>255</v>
      </c>
      <c r="Q3859">
        <v>6</v>
      </c>
      <c r="R3859">
        <v>129</v>
      </c>
      <c r="S3859">
        <v>2</v>
      </c>
      <c r="T3859">
        <v>3</v>
      </c>
      <c r="U3859">
        <v>10</v>
      </c>
      <c r="V3859">
        <v>2</v>
      </c>
      <c r="W3859">
        <v>2</v>
      </c>
      <c r="X3859">
        <v>0</v>
      </c>
      <c r="Y3859">
        <v>63</v>
      </c>
      <c r="Z3859">
        <v>5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2</v>
      </c>
      <c r="AJ3859">
        <v>0</v>
      </c>
      <c r="AK3859">
        <v>1</v>
      </c>
      <c r="AL3859">
        <v>0</v>
      </c>
      <c r="AM3859">
        <v>0</v>
      </c>
      <c r="AN3859">
        <v>1</v>
      </c>
      <c r="AT3859">
        <v>3</v>
      </c>
      <c r="AU3859">
        <v>26</v>
      </c>
      <c r="AV3859">
        <v>255</v>
      </c>
      <c r="AW3859">
        <v>255</v>
      </c>
      <c r="AX3859">
        <v>425</v>
      </c>
      <c r="BA3859">
        <v>1</v>
      </c>
      <c r="BC3859" t="s">
        <v>7824</v>
      </c>
      <c r="BD3859" s="4">
        <v>43283.162499999999</v>
      </c>
      <c r="BE3859" s="4">
        <v>43283.173518518517</v>
      </c>
      <c r="BF3859" s="4">
        <v>43283.173518518517</v>
      </c>
      <c r="BG3859" t="s">
        <v>83</v>
      </c>
      <c r="BH3859" t="s">
        <v>84</v>
      </c>
      <c r="BI3859" t="s">
        <v>85</v>
      </c>
    </row>
    <row r="3860" spans="1:61" x14ac:dyDescent="0.3">
      <c r="A3860" t="str">
        <f>"202054B0100"</f>
        <v>202054B0100</v>
      </c>
      <c r="B3860" t="s">
        <v>7825</v>
      </c>
      <c r="C3860">
        <v>20</v>
      </c>
      <c r="D3860" t="s">
        <v>79</v>
      </c>
      <c r="E3860">
        <v>18</v>
      </c>
      <c r="F3860" t="s">
        <v>7655</v>
      </c>
      <c r="G3860">
        <v>2054</v>
      </c>
      <c r="H3860">
        <v>1</v>
      </c>
      <c r="I3860" t="s">
        <v>81</v>
      </c>
      <c r="J3860">
        <v>0</v>
      </c>
      <c r="K3860">
        <v>2</v>
      </c>
      <c r="L3860">
        <v>2</v>
      </c>
      <c r="M3860">
        <v>141</v>
      </c>
      <c r="N3860">
        <v>444</v>
      </c>
      <c r="O3860">
        <v>1</v>
      </c>
      <c r="P3860">
        <v>446</v>
      </c>
      <c r="Q3860">
        <v>2</v>
      </c>
      <c r="R3860">
        <v>66</v>
      </c>
      <c r="S3860">
        <v>38</v>
      </c>
      <c r="T3860">
        <v>1</v>
      </c>
      <c r="U3860">
        <v>113</v>
      </c>
      <c r="V3860">
        <v>9</v>
      </c>
      <c r="W3860">
        <v>0</v>
      </c>
      <c r="X3860">
        <v>3</v>
      </c>
      <c r="Y3860">
        <v>179</v>
      </c>
      <c r="Z3860">
        <v>5</v>
      </c>
      <c r="AA3860">
        <v>0</v>
      </c>
      <c r="AB3860">
        <v>3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1</v>
      </c>
      <c r="AI3860">
        <v>0</v>
      </c>
      <c r="AJ3860">
        <v>0</v>
      </c>
      <c r="AK3860">
        <v>0</v>
      </c>
      <c r="AL3860">
        <v>1</v>
      </c>
      <c r="AM3860">
        <v>0</v>
      </c>
      <c r="AN3860">
        <v>0</v>
      </c>
      <c r="AT3860">
        <v>0</v>
      </c>
      <c r="AU3860">
        <v>25</v>
      </c>
      <c r="AV3860">
        <v>446</v>
      </c>
      <c r="AW3860">
        <v>446</v>
      </c>
      <c r="AX3860">
        <v>564</v>
      </c>
      <c r="BA3860">
        <v>1</v>
      </c>
      <c r="BC3860" t="s">
        <v>7826</v>
      </c>
      <c r="BD3860" s="4">
        <v>43283.438888888886</v>
      </c>
      <c r="BE3860" s="4">
        <v>43283.447581018518</v>
      </c>
      <c r="BF3860" s="4">
        <v>43283.447581018518</v>
      </c>
      <c r="BG3860" t="s">
        <v>83</v>
      </c>
      <c r="BH3860" t="s">
        <v>84</v>
      </c>
      <c r="BI3860" t="s">
        <v>85</v>
      </c>
    </row>
    <row r="3861" spans="1:61" x14ac:dyDescent="0.3">
      <c r="A3861" t="str">
        <f>"202055B0100"</f>
        <v>202055B0100</v>
      </c>
      <c r="B3861" t="s">
        <v>7827</v>
      </c>
      <c r="C3861">
        <v>20</v>
      </c>
      <c r="D3861" t="s">
        <v>79</v>
      </c>
      <c r="E3861">
        <v>18</v>
      </c>
      <c r="F3861" t="s">
        <v>7655</v>
      </c>
      <c r="G3861">
        <v>2055</v>
      </c>
      <c r="H3861">
        <v>1</v>
      </c>
      <c r="I3861" t="s">
        <v>81</v>
      </c>
      <c r="J3861">
        <v>0</v>
      </c>
      <c r="K3861">
        <v>2</v>
      </c>
      <c r="L3861">
        <v>2</v>
      </c>
      <c r="M3861">
        <v>338</v>
      </c>
      <c r="N3861">
        <v>139</v>
      </c>
      <c r="O3861">
        <v>1</v>
      </c>
      <c r="P3861">
        <v>15</v>
      </c>
      <c r="Q3861">
        <v>2</v>
      </c>
      <c r="R3861">
        <v>46</v>
      </c>
      <c r="S3861">
        <v>11</v>
      </c>
      <c r="T3861">
        <v>2</v>
      </c>
      <c r="U3861">
        <v>8</v>
      </c>
      <c r="V3861">
        <v>3</v>
      </c>
      <c r="W3861">
        <v>0</v>
      </c>
      <c r="X3861">
        <v>1</v>
      </c>
      <c r="Y3861">
        <v>32</v>
      </c>
      <c r="Z3861">
        <v>25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1</v>
      </c>
      <c r="AI3861">
        <v>0</v>
      </c>
      <c r="AJ3861">
        <v>0</v>
      </c>
      <c r="AK3861">
        <v>1</v>
      </c>
      <c r="AL3861">
        <v>0</v>
      </c>
      <c r="AM3861">
        <v>0</v>
      </c>
      <c r="AN3861">
        <v>0</v>
      </c>
      <c r="AT3861">
        <v>0</v>
      </c>
      <c r="AU3861">
        <v>6</v>
      </c>
      <c r="AV3861">
        <v>138</v>
      </c>
      <c r="AW3861">
        <v>138</v>
      </c>
      <c r="AX3861">
        <v>454</v>
      </c>
      <c r="BA3861">
        <v>1</v>
      </c>
      <c r="BC3861" t="s">
        <v>7828</v>
      </c>
      <c r="BD3861" s="4">
        <v>43283.13958333333</v>
      </c>
      <c r="BE3861" s="4">
        <v>43283.158865740741</v>
      </c>
      <c r="BF3861" s="4">
        <v>43283.158865740741</v>
      </c>
      <c r="BG3861" t="s">
        <v>83</v>
      </c>
      <c r="BH3861" t="s">
        <v>84</v>
      </c>
      <c r="BI3861" t="s">
        <v>85</v>
      </c>
    </row>
    <row r="3862" spans="1:61" x14ac:dyDescent="0.3">
      <c r="A3862" t="str">
        <f>"202057B0100"</f>
        <v>202057B0100</v>
      </c>
      <c r="B3862" t="s">
        <v>7829</v>
      </c>
      <c r="C3862">
        <v>20</v>
      </c>
      <c r="D3862" t="s">
        <v>79</v>
      </c>
      <c r="E3862">
        <v>18</v>
      </c>
      <c r="F3862" t="s">
        <v>7655</v>
      </c>
      <c r="G3862">
        <v>2057</v>
      </c>
      <c r="H3862">
        <v>1</v>
      </c>
      <c r="I3862" t="s">
        <v>81</v>
      </c>
      <c r="J3862">
        <v>0</v>
      </c>
      <c r="K3862">
        <v>2</v>
      </c>
      <c r="L3862">
        <v>2</v>
      </c>
      <c r="M3862">
        <v>85</v>
      </c>
      <c r="N3862">
        <v>384</v>
      </c>
      <c r="O3862">
        <v>1</v>
      </c>
      <c r="P3862">
        <v>384</v>
      </c>
      <c r="Q3862">
        <v>0</v>
      </c>
      <c r="R3862">
        <v>118</v>
      </c>
      <c r="S3862">
        <v>2</v>
      </c>
      <c r="T3862">
        <v>20</v>
      </c>
      <c r="U3862">
        <v>67</v>
      </c>
      <c r="V3862">
        <v>0</v>
      </c>
      <c r="W3862">
        <v>18</v>
      </c>
      <c r="X3862">
        <v>2</v>
      </c>
      <c r="Y3862">
        <v>142</v>
      </c>
      <c r="Z3862">
        <v>2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1</v>
      </c>
      <c r="AM3862">
        <v>0</v>
      </c>
      <c r="AN3862">
        <v>0</v>
      </c>
      <c r="AT3862">
        <v>0</v>
      </c>
      <c r="AU3862">
        <v>12</v>
      </c>
      <c r="AV3862">
        <v>384</v>
      </c>
      <c r="AW3862">
        <v>384</v>
      </c>
      <c r="AX3862">
        <v>447</v>
      </c>
      <c r="BA3862">
        <v>1</v>
      </c>
      <c r="BC3862" t="s">
        <v>7830</v>
      </c>
      <c r="BD3862" s="4">
        <v>43283.428472222222</v>
      </c>
      <c r="BE3862" s="4">
        <v>43283.433530092596</v>
      </c>
      <c r="BF3862" s="4">
        <v>43283.433530092596</v>
      </c>
      <c r="BG3862" t="s">
        <v>83</v>
      </c>
      <c r="BH3862" t="s">
        <v>84</v>
      </c>
      <c r="BI3862" t="s">
        <v>85</v>
      </c>
    </row>
    <row r="3863" spans="1:61" x14ac:dyDescent="0.3">
      <c r="A3863" t="str">
        <f>"202057C0100"</f>
        <v>202057C0100</v>
      </c>
      <c r="B3863" t="s">
        <v>7831</v>
      </c>
      <c r="C3863">
        <v>20</v>
      </c>
      <c r="D3863" t="s">
        <v>79</v>
      </c>
      <c r="E3863">
        <v>18</v>
      </c>
      <c r="F3863" t="s">
        <v>7655</v>
      </c>
      <c r="G3863">
        <v>2057</v>
      </c>
      <c r="H3863">
        <v>1</v>
      </c>
      <c r="I3863" t="s">
        <v>89</v>
      </c>
      <c r="J3863">
        <v>0</v>
      </c>
      <c r="K3863">
        <v>2</v>
      </c>
      <c r="L3863">
        <v>2</v>
      </c>
      <c r="M3863">
        <v>77</v>
      </c>
      <c r="N3863">
        <v>391</v>
      </c>
      <c r="O3863">
        <v>5</v>
      </c>
      <c r="P3863">
        <v>391</v>
      </c>
      <c r="Q3863">
        <v>0</v>
      </c>
      <c r="R3863">
        <v>114</v>
      </c>
      <c r="S3863">
        <v>2</v>
      </c>
      <c r="T3863">
        <v>15</v>
      </c>
      <c r="U3863">
        <v>89</v>
      </c>
      <c r="V3863">
        <v>2</v>
      </c>
      <c r="W3863">
        <v>25</v>
      </c>
      <c r="X3863">
        <v>4</v>
      </c>
      <c r="Y3863">
        <v>128</v>
      </c>
      <c r="Z3863">
        <v>3</v>
      </c>
      <c r="AA3863" t="s">
        <v>100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1</v>
      </c>
      <c r="AL3863">
        <v>1</v>
      </c>
      <c r="AM3863">
        <v>0</v>
      </c>
      <c r="AN3863">
        <v>1</v>
      </c>
      <c r="AT3863" t="s">
        <v>100</v>
      </c>
      <c r="AU3863">
        <v>5</v>
      </c>
      <c r="AV3863" t="s">
        <v>100</v>
      </c>
      <c r="AW3863">
        <v>390</v>
      </c>
      <c r="AX3863">
        <v>446</v>
      </c>
      <c r="AZ3863" t="s">
        <v>101</v>
      </c>
      <c r="BA3863">
        <v>1</v>
      </c>
      <c r="BC3863" t="s">
        <v>7832</v>
      </c>
      <c r="BD3863" s="4">
        <v>43283.421527777777</v>
      </c>
      <c r="BE3863" s="4">
        <v>43283.425555555557</v>
      </c>
      <c r="BF3863" s="4">
        <v>43283.425555555557</v>
      </c>
      <c r="BG3863" t="s">
        <v>83</v>
      </c>
      <c r="BH3863" t="s">
        <v>84</v>
      </c>
      <c r="BI3863" t="s">
        <v>85</v>
      </c>
    </row>
    <row r="3864" spans="1:61" x14ac:dyDescent="0.3">
      <c r="A3864" t="str">
        <f>"202058B0100"</f>
        <v>202058B0100</v>
      </c>
      <c r="B3864" t="s">
        <v>7833</v>
      </c>
      <c r="C3864">
        <v>20</v>
      </c>
      <c r="D3864" t="s">
        <v>79</v>
      </c>
      <c r="E3864">
        <v>18</v>
      </c>
      <c r="F3864" t="s">
        <v>7655</v>
      </c>
      <c r="G3864">
        <v>2058</v>
      </c>
      <c r="H3864">
        <v>1</v>
      </c>
      <c r="I3864" t="s">
        <v>81</v>
      </c>
      <c r="J3864">
        <v>0</v>
      </c>
      <c r="K3864">
        <v>2</v>
      </c>
      <c r="L3864">
        <v>2</v>
      </c>
      <c r="AX3864">
        <v>541</v>
      </c>
      <c r="AZ3864" t="s">
        <v>1868</v>
      </c>
      <c r="BA3864">
        <v>0</v>
      </c>
      <c r="BC3864" t="s">
        <v>7834</v>
      </c>
      <c r="BD3864" s="4">
        <v>43283.424305555556</v>
      </c>
      <c r="BE3864" s="4">
        <v>43283.431342592594</v>
      </c>
      <c r="BF3864" s="4">
        <v>43283.431342592594</v>
      </c>
      <c r="BG3864" t="s">
        <v>83</v>
      </c>
      <c r="BH3864" t="s">
        <v>84</v>
      </c>
      <c r="BI3864" t="s">
        <v>85</v>
      </c>
    </row>
    <row r="3865" spans="1:61" x14ac:dyDescent="0.3">
      <c r="A3865" t="str">
        <f>"202058C0100"</f>
        <v>202058C0100</v>
      </c>
      <c r="B3865" t="s">
        <v>7835</v>
      </c>
      <c r="C3865">
        <v>20</v>
      </c>
      <c r="D3865" t="s">
        <v>79</v>
      </c>
      <c r="E3865">
        <v>18</v>
      </c>
      <c r="F3865" t="s">
        <v>7655</v>
      </c>
      <c r="G3865">
        <v>2058</v>
      </c>
      <c r="H3865">
        <v>1</v>
      </c>
      <c r="I3865" t="s">
        <v>89</v>
      </c>
      <c r="J3865">
        <v>0</v>
      </c>
      <c r="K3865">
        <v>2</v>
      </c>
      <c r="L3865">
        <v>2</v>
      </c>
      <c r="M3865">
        <v>118</v>
      </c>
      <c r="N3865">
        <v>446</v>
      </c>
      <c r="O3865">
        <v>4</v>
      </c>
      <c r="P3865">
        <v>444</v>
      </c>
      <c r="Q3865">
        <v>5</v>
      </c>
      <c r="R3865">
        <v>168</v>
      </c>
      <c r="S3865">
        <v>0</v>
      </c>
      <c r="T3865">
        <v>15</v>
      </c>
      <c r="U3865">
        <v>93</v>
      </c>
      <c r="V3865">
        <v>1</v>
      </c>
      <c r="W3865">
        <v>9</v>
      </c>
      <c r="X3865">
        <v>1</v>
      </c>
      <c r="Y3865">
        <v>127</v>
      </c>
      <c r="Z3865">
        <v>3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1</v>
      </c>
      <c r="AH3865">
        <v>1</v>
      </c>
      <c r="AI3865">
        <v>0</v>
      </c>
      <c r="AJ3865">
        <v>0</v>
      </c>
      <c r="AK3865">
        <v>5</v>
      </c>
      <c r="AL3865">
        <v>5</v>
      </c>
      <c r="AM3865">
        <v>0</v>
      </c>
      <c r="AN3865">
        <v>0</v>
      </c>
      <c r="AT3865">
        <v>0</v>
      </c>
      <c r="AU3865">
        <v>12</v>
      </c>
      <c r="AV3865">
        <v>446</v>
      </c>
      <c r="AW3865">
        <v>446</v>
      </c>
      <c r="AX3865">
        <v>540</v>
      </c>
      <c r="BA3865">
        <v>1</v>
      </c>
      <c r="BC3865" t="s">
        <v>7836</v>
      </c>
      <c r="BD3865" s="4">
        <v>43283.432638888888</v>
      </c>
      <c r="BE3865" s="4">
        <v>43283.438020833331</v>
      </c>
      <c r="BF3865" s="4">
        <v>43283.438020833331</v>
      </c>
      <c r="BG3865" t="s">
        <v>83</v>
      </c>
      <c r="BH3865" t="s">
        <v>84</v>
      </c>
      <c r="BI3865" t="s">
        <v>85</v>
      </c>
    </row>
    <row r="3866" spans="1:61" x14ac:dyDescent="0.3">
      <c r="A3866" t="str">
        <f>"202058C0200"</f>
        <v>202058C0200</v>
      </c>
      <c r="B3866" t="s">
        <v>7837</v>
      </c>
      <c r="C3866">
        <v>20</v>
      </c>
      <c r="D3866" t="s">
        <v>79</v>
      </c>
      <c r="E3866">
        <v>18</v>
      </c>
      <c r="F3866" t="s">
        <v>7655</v>
      </c>
      <c r="G3866">
        <v>2058</v>
      </c>
      <c r="H3866">
        <v>2</v>
      </c>
      <c r="I3866" t="s">
        <v>89</v>
      </c>
      <c r="J3866">
        <v>0</v>
      </c>
      <c r="K3866">
        <v>2</v>
      </c>
      <c r="L3866">
        <v>2</v>
      </c>
      <c r="M3866">
        <v>116</v>
      </c>
      <c r="N3866">
        <v>446</v>
      </c>
      <c r="O3866">
        <v>0</v>
      </c>
      <c r="P3866">
        <v>456</v>
      </c>
      <c r="Q3866">
        <v>11</v>
      </c>
      <c r="R3866">
        <v>136</v>
      </c>
      <c r="S3866">
        <v>6</v>
      </c>
      <c r="T3866">
        <v>7</v>
      </c>
      <c r="U3866">
        <v>97</v>
      </c>
      <c r="V3866">
        <v>3</v>
      </c>
      <c r="W3866">
        <v>4</v>
      </c>
      <c r="X3866">
        <v>4</v>
      </c>
      <c r="Y3866">
        <v>148</v>
      </c>
      <c r="Z3866">
        <v>5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3</v>
      </c>
      <c r="AI3866">
        <v>0</v>
      </c>
      <c r="AJ3866">
        <v>0</v>
      </c>
      <c r="AK3866">
        <v>5</v>
      </c>
      <c r="AL3866">
        <v>0</v>
      </c>
      <c r="AM3866">
        <v>0</v>
      </c>
      <c r="AN3866">
        <v>0</v>
      </c>
      <c r="AT3866">
        <v>0</v>
      </c>
      <c r="AU3866">
        <v>17</v>
      </c>
      <c r="AV3866">
        <v>446</v>
      </c>
      <c r="AW3866">
        <v>446</v>
      </c>
      <c r="AX3866">
        <v>540</v>
      </c>
      <c r="BA3866">
        <v>1</v>
      </c>
      <c r="BC3866" t="s">
        <v>7838</v>
      </c>
      <c r="BD3866" s="4">
        <v>43283.426388888889</v>
      </c>
      <c r="BE3866" s="4">
        <v>43283.432442129626</v>
      </c>
      <c r="BF3866" s="4">
        <v>43283.432442129626</v>
      </c>
      <c r="BG3866" t="s">
        <v>83</v>
      </c>
      <c r="BH3866" t="s">
        <v>84</v>
      </c>
      <c r="BI3866" t="s">
        <v>85</v>
      </c>
    </row>
    <row r="3867" spans="1:61" x14ac:dyDescent="0.3">
      <c r="A3867" t="str">
        <f>"202059B0100"</f>
        <v>202059B0100</v>
      </c>
      <c r="B3867" t="s">
        <v>7839</v>
      </c>
      <c r="C3867">
        <v>20</v>
      </c>
      <c r="D3867" t="s">
        <v>79</v>
      </c>
      <c r="E3867">
        <v>18</v>
      </c>
      <c r="F3867" t="s">
        <v>7655</v>
      </c>
      <c r="G3867">
        <v>2059</v>
      </c>
      <c r="H3867">
        <v>1</v>
      </c>
      <c r="I3867" t="s">
        <v>81</v>
      </c>
      <c r="J3867">
        <v>0</v>
      </c>
      <c r="K3867">
        <v>2</v>
      </c>
      <c r="L3867">
        <v>2</v>
      </c>
      <c r="M3867">
        <v>66</v>
      </c>
      <c r="N3867">
        <v>243</v>
      </c>
      <c r="O3867">
        <v>243</v>
      </c>
      <c r="P3867">
        <v>243</v>
      </c>
      <c r="Q3867">
        <v>0</v>
      </c>
      <c r="R3867">
        <v>98</v>
      </c>
      <c r="S3867">
        <v>0</v>
      </c>
      <c r="T3867">
        <v>1</v>
      </c>
      <c r="U3867">
        <v>58</v>
      </c>
      <c r="V3867">
        <v>1</v>
      </c>
      <c r="W3867">
        <v>11</v>
      </c>
      <c r="X3867">
        <v>2</v>
      </c>
      <c r="Y3867">
        <v>48</v>
      </c>
      <c r="Z3867">
        <v>5</v>
      </c>
      <c r="AA3867">
        <v>0</v>
      </c>
      <c r="AB3867">
        <v>1</v>
      </c>
      <c r="AC3867">
        <v>0</v>
      </c>
      <c r="AD3867">
        <v>0</v>
      </c>
      <c r="AE3867">
        <v>0</v>
      </c>
      <c r="AF3867">
        <v>0</v>
      </c>
      <c r="AG3867">
        <v>1</v>
      </c>
      <c r="AH3867">
        <v>1</v>
      </c>
      <c r="AI3867">
        <v>0</v>
      </c>
      <c r="AJ3867">
        <v>0</v>
      </c>
      <c r="AK3867">
        <v>6</v>
      </c>
      <c r="AL3867">
        <v>4</v>
      </c>
      <c r="AM3867">
        <v>1</v>
      </c>
      <c r="AN3867">
        <v>0</v>
      </c>
      <c r="AT3867" t="s">
        <v>100</v>
      </c>
      <c r="AU3867">
        <v>5</v>
      </c>
      <c r="AV3867" t="s">
        <v>100</v>
      </c>
      <c r="AW3867">
        <v>243</v>
      </c>
      <c r="AX3867">
        <v>287</v>
      </c>
      <c r="AZ3867" t="s">
        <v>101</v>
      </c>
      <c r="BA3867">
        <v>1</v>
      </c>
      <c r="BC3867" t="s">
        <v>7840</v>
      </c>
      <c r="BD3867" s="4">
        <v>43283.436111111114</v>
      </c>
      <c r="BE3867" s="4">
        <v>43283.439236111109</v>
      </c>
      <c r="BF3867" s="4">
        <v>43283.439236111109</v>
      </c>
      <c r="BG3867" t="s">
        <v>83</v>
      </c>
      <c r="BH3867" t="s">
        <v>84</v>
      </c>
      <c r="BI3867" t="s">
        <v>85</v>
      </c>
    </row>
    <row r="3868" spans="1:61" x14ac:dyDescent="0.3">
      <c r="A3868" t="str">
        <f>"202175B0100"</f>
        <v>202175B0100</v>
      </c>
      <c r="B3868" t="s">
        <v>7841</v>
      </c>
      <c r="C3868">
        <v>20</v>
      </c>
      <c r="D3868" t="s">
        <v>79</v>
      </c>
      <c r="E3868">
        <v>18</v>
      </c>
      <c r="F3868" t="s">
        <v>7655</v>
      </c>
      <c r="G3868">
        <v>2175</v>
      </c>
      <c r="H3868">
        <v>1</v>
      </c>
      <c r="I3868" t="s">
        <v>81</v>
      </c>
      <c r="J3868">
        <v>0</v>
      </c>
      <c r="K3868">
        <v>2</v>
      </c>
      <c r="L3868">
        <v>2</v>
      </c>
      <c r="AX3868">
        <v>651</v>
      </c>
      <c r="AZ3868" t="s">
        <v>156</v>
      </c>
      <c r="BA3868">
        <v>0</v>
      </c>
      <c r="BC3868" t="s">
        <v>7842</v>
      </c>
      <c r="BD3868" s="4">
        <v>43283.683333333334</v>
      </c>
      <c r="BE3868" s="4">
        <v>43283.688067129631</v>
      </c>
      <c r="BF3868" s="4">
        <v>43283.688067129631</v>
      </c>
      <c r="BG3868" t="s">
        <v>83</v>
      </c>
      <c r="BH3868" t="s">
        <v>84</v>
      </c>
      <c r="BI3868" t="s">
        <v>85</v>
      </c>
    </row>
    <row r="3869" spans="1:61" x14ac:dyDescent="0.3">
      <c r="A3869" t="str">
        <f>"202175C0100"</f>
        <v>202175C0100</v>
      </c>
      <c r="B3869" t="s">
        <v>7843</v>
      </c>
      <c r="C3869">
        <v>20</v>
      </c>
      <c r="D3869" t="s">
        <v>79</v>
      </c>
      <c r="E3869">
        <v>18</v>
      </c>
      <c r="F3869" t="s">
        <v>7655</v>
      </c>
      <c r="G3869">
        <v>2175</v>
      </c>
      <c r="H3869">
        <v>1</v>
      </c>
      <c r="I3869" t="s">
        <v>89</v>
      </c>
      <c r="J3869">
        <v>0</v>
      </c>
      <c r="K3869">
        <v>2</v>
      </c>
      <c r="L3869">
        <v>2</v>
      </c>
      <c r="M3869">
        <v>145</v>
      </c>
      <c r="N3869">
        <v>528</v>
      </c>
      <c r="O3869">
        <v>0</v>
      </c>
      <c r="P3869">
        <v>528</v>
      </c>
      <c r="Q3869">
        <v>4</v>
      </c>
      <c r="R3869">
        <v>48</v>
      </c>
      <c r="S3869">
        <v>7</v>
      </c>
      <c r="T3869">
        <v>3</v>
      </c>
      <c r="U3869">
        <v>77</v>
      </c>
      <c r="V3869">
        <v>0</v>
      </c>
      <c r="W3869">
        <v>58</v>
      </c>
      <c r="X3869">
        <v>130</v>
      </c>
      <c r="Y3869">
        <v>171</v>
      </c>
      <c r="Z3869">
        <v>3</v>
      </c>
      <c r="AA3869">
        <v>1</v>
      </c>
      <c r="AB3869">
        <v>2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1</v>
      </c>
      <c r="AI3869">
        <v>1</v>
      </c>
      <c r="AJ3869">
        <v>0</v>
      </c>
      <c r="AK3869">
        <v>1</v>
      </c>
      <c r="AL3869">
        <v>3</v>
      </c>
      <c r="AM3869">
        <v>0</v>
      </c>
      <c r="AN3869">
        <v>0</v>
      </c>
      <c r="AT3869">
        <v>0</v>
      </c>
      <c r="AU3869">
        <v>18</v>
      </c>
      <c r="AV3869">
        <v>528</v>
      </c>
      <c r="AW3869">
        <v>528</v>
      </c>
      <c r="AX3869">
        <v>651</v>
      </c>
      <c r="BA3869">
        <v>1</v>
      </c>
      <c r="BC3869" t="s">
        <v>7844</v>
      </c>
      <c r="BD3869" s="4">
        <v>43283.443055555559</v>
      </c>
      <c r="BE3869" s="4">
        <v>43283.448148148149</v>
      </c>
      <c r="BF3869" s="4">
        <v>43283.448148148149</v>
      </c>
      <c r="BG3869" t="s">
        <v>83</v>
      </c>
      <c r="BH3869" t="s">
        <v>84</v>
      </c>
      <c r="BI3869" t="s">
        <v>85</v>
      </c>
    </row>
    <row r="3870" spans="1:61" x14ac:dyDescent="0.3">
      <c r="A3870" t="str">
        <f>"202190B0100"</f>
        <v>202190B0100</v>
      </c>
      <c r="B3870" t="s">
        <v>7845</v>
      </c>
      <c r="C3870">
        <v>20</v>
      </c>
      <c r="D3870" t="s">
        <v>79</v>
      </c>
      <c r="E3870">
        <v>18</v>
      </c>
      <c r="F3870" t="s">
        <v>7655</v>
      </c>
      <c r="G3870">
        <v>2190</v>
      </c>
      <c r="H3870">
        <v>1</v>
      </c>
      <c r="I3870" t="s">
        <v>81</v>
      </c>
      <c r="J3870">
        <v>0</v>
      </c>
      <c r="K3870">
        <v>2</v>
      </c>
      <c r="L3870">
        <v>2</v>
      </c>
      <c r="M3870">
        <v>99</v>
      </c>
      <c r="N3870">
        <v>335</v>
      </c>
      <c r="O3870">
        <v>4</v>
      </c>
      <c r="P3870">
        <v>335</v>
      </c>
      <c r="Q3870">
        <v>7</v>
      </c>
      <c r="R3870">
        <v>89</v>
      </c>
      <c r="S3870">
        <v>5</v>
      </c>
      <c r="T3870">
        <v>0</v>
      </c>
      <c r="U3870">
        <v>2</v>
      </c>
      <c r="V3870">
        <v>3</v>
      </c>
      <c r="W3870">
        <v>0</v>
      </c>
      <c r="X3870">
        <v>74</v>
      </c>
      <c r="Y3870">
        <v>145</v>
      </c>
      <c r="Z3870">
        <v>2</v>
      </c>
      <c r="AA3870">
        <v>2</v>
      </c>
      <c r="AB3870">
        <v>1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  <c r="AN3870">
        <v>0</v>
      </c>
      <c r="AT3870">
        <v>0</v>
      </c>
      <c r="AU3870">
        <v>0</v>
      </c>
      <c r="AV3870">
        <v>335</v>
      </c>
      <c r="AW3870">
        <v>330</v>
      </c>
      <c r="AX3870">
        <v>412</v>
      </c>
      <c r="BA3870">
        <v>1</v>
      </c>
      <c r="BC3870" t="s">
        <v>7846</v>
      </c>
      <c r="BD3870" s="4">
        <v>43283.438194444447</v>
      </c>
      <c r="BE3870" s="4">
        <v>43283.443333333336</v>
      </c>
      <c r="BF3870" s="4">
        <v>43283.443333333336</v>
      </c>
      <c r="BG3870" t="s">
        <v>83</v>
      </c>
      <c r="BH3870" t="s">
        <v>84</v>
      </c>
      <c r="BI3870" t="s">
        <v>85</v>
      </c>
    </row>
    <row r="3871" spans="1:61" x14ac:dyDescent="0.3">
      <c r="A3871" t="str">
        <f>"202190C0100"</f>
        <v>202190C0100</v>
      </c>
      <c r="B3871" t="s">
        <v>7847</v>
      </c>
      <c r="C3871">
        <v>20</v>
      </c>
      <c r="D3871" t="s">
        <v>79</v>
      </c>
      <c r="E3871">
        <v>18</v>
      </c>
      <c r="F3871" t="s">
        <v>7655</v>
      </c>
      <c r="G3871">
        <v>2190</v>
      </c>
      <c r="H3871">
        <v>1</v>
      </c>
      <c r="I3871" t="s">
        <v>89</v>
      </c>
      <c r="J3871">
        <v>0</v>
      </c>
      <c r="K3871">
        <v>2</v>
      </c>
      <c r="L3871">
        <v>2</v>
      </c>
      <c r="M3871">
        <v>100</v>
      </c>
      <c r="N3871">
        <v>334</v>
      </c>
      <c r="O3871">
        <v>4</v>
      </c>
      <c r="P3871">
        <v>334</v>
      </c>
      <c r="Q3871">
        <v>1</v>
      </c>
      <c r="R3871">
        <v>74</v>
      </c>
      <c r="S3871">
        <v>7</v>
      </c>
      <c r="T3871">
        <v>1</v>
      </c>
      <c r="U3871" t="s">
        <v>100</v>
      </c>
      <c r="V3871">
        <v>3</v>
      </c>
      <c r="W3871">
        <v>1</v>
      </c>
      <c r="X3871">
        <v>96</v>
      </c>
      <c r="Y3871">
        <v>143</v>
      </c>
      <c r="Z3871">
        <v>2</v>
      </c>
      <c r="AA3871">
        <v>1</v>
      </c>
      <c r="AB3871">
        <v>1</v>
      </c>
      <c r="AC3871" t="s">
        <v>100</v>
      </c>
      <c r="AD3871" t="s">
        <v>100</v>
      </c>
      <c r="AE3871" t="s">
        <v>100</v>
      </c>
      <c r="AF3871" t="s">
        <v>100</v>
      </c>
      <c r="AG3871" t="s">
        <v>100</v>
      </c>
      <c r="AH3871" t="s">
        <v>100</v>
      </c>
      <c r="AI3871" t="s">
        <v>100</v>
      </c>
      <c r="AJ3871" t="s">
        <v>100</v>
      </c>
      <c r="AK3871" t="s">
        <v>100</v>
      </c>
      <c r="AL3871" t="s">
        <v>100</v>
      </c>
      <c r="AM3871" t="s">
        <v>100</v>
      </c>
      <c r="AN3871" t="s">
        <v>100</v>
      </c>
      <c r="AT3871" t="s">
        <v>100</v>
      </c>
      <c r="AU3871">
        <v>4</v>
      </c>
      <c r="AV3871">
        <v>334</v>
      </c>
      <c r="AW3871">
        <v>334</v>
      </c>
      <c r="AX3871">
        <v>412</v>
      </c>
      <c r="AZ3871" t="s">
        <v>101</v>
      </c>
      <c r="BA3871">
        <v>1</v>
      </c>
      <c r="BC3871" t="s">
        <v>7848</v>
      </c>
      <c r="BD3871" s="4">
        <v>43283.443749999999</v>
      </c>
      <c r="BE3871" s="4">
        <v>43283.448912037034</v>
      </c>
      <c r="BF3871" s="4">
        <v>43283.448912037034</v>
      </c>
      <c r="BG3871" t="s">
        <v>83</v>
      </c>
      <c r="BH3871" t="s">
        <v>84</v>
      </c>
      <c r="BI3871" t="s">
        <v>85</v>
      </c>
    </row>
    <row r="3872" spans="1:61" x14ac:dyDescent="0.3">
      <c r="A3872" t="str">
        <f>"202191B0100"</f>
        <v>202191B0100</v>
      </c>
      <c r="B3872" t="s">
        <v>7849</v>
      </c>
      <c r="C3872">
        <v>20</v>
      </c>
      <c r="D3872" t="s">
        <v>79</v>
      </c>
      <c r="E3872">
        <v>18</v>
      </c>
      <c r="F3872" t="s">
        <v>7655</v>
      </c>
      <c r="G3872">
        <v>2191</v>
      </c>
      <c r="H3872">
        <v>1</v>
      </c>
      <c r="I3872" t="s">
        <v>81</v>
      </c>
      <c r="J3872">
        <v>0</v>
      </c>
      <c r="K3872">
        <v>2</v>
      </c>
      <c r="L3872">
        <v>2</v>
      </c>
      <c r="M3872">
        <v>121</v>
      </c>
      <c r="N3872">
        <v>494</v>
      </c>
      <c r="O3872">
        <v>2</v>
      </c>
      <c r="P3872">
        <v>494</v>
      </c>
      <c r="Q3872">
        <v>4</v>
      </c>
      <c r="R3872">
        <v>130</v>
      </c>
      <c r="S3872">
        <v>12</v>
      </c>
      <c r="T3872">
        <v>2</v>
      </c>
      <c r="U3872">
        <v>9</v>
      </c>
      <c r="V3872">
        <v>5</v>
      </c>
      <c r="W3872">
        <v>0</v>
      </c>
      <c r="X3872">
        <v>95</v>
      </c>
      <c r="Y3872">
        <v>225</v>
      </c>
      <c r="Z3872">
        <v>5</v>
      </c>
      <c r="AA3872">
        <v>0</v>
      </c>
      <c r="AB3872">
        <v>1</v>
      </c>
      <c r="AC3872" t="s">
        <v>100</v>
      </c>
      <c r="AD3872" t="s">
        <v>100</v>
      </c>
      <c r="AE3872" t="s">
        <v>100</v>
      </c>
      <c r="AF3872" t="s">
        <v>100</v>
      </c>
      <c r="AG3872" t="s">
        <v>100</v>
      </c>
      <c r="AH3872" t="s">
        <v>100</v>
      </c>
      <c r="AI3872" t="s">
        <v>100</v>
      </c>
      <c r="AJ3872" t="s">
        <v>100</v>
      </c>
      <c r="AK3872" t="s">
        <v>100</v>
      </c>
      <c r="AL3872" t="s">
        <v>100</v>
      </c>
      <c r="AM3872" t="s">
        <v>100</v>
      </c>
      <c r="AN3872" t="s">
        <v>100</v>
      </c>
      <c r="AT3872" t="s">
        <v>100</v>
      </c>
      <c r="AU3872">
        <v>6</v>
      </c>
      <c r="AV3872">
        <v>494</v>
      </c>
      <c r="AW3872">
        <v>494</v>
      </c>
      <c r="AX3872">
        <v>593</v>
      </c>
      <c r="AZ3872" t="s">
        <v>101</v>
      </c>
      <c r="BA3872">
        <v>1</v>
      </c>
      <c r="BC3872" t="s">
        <v>7850</v>
      </c>
      <c r="BD3872" s="4">
        <v>43283.418055555558</v>
      </c>
      <c r="BE3872" s="4">
        <v>43283.421678240738</v>
      </c>
      <c r="BF3872" s="4">
        <v>43283.421678240738</v>
      </c>
      <c r="BG3872" t="s">
        <v>83</v>
      </c>
      <c r="BH3872" t="s">
        <v>84</v>
      </c>
      <c r="BI3872" t="s">
        <v>85</v>
      </c>
    </row>
    <row r="3873" spans="1:61" x14ac:dyDescent="0.3">
      <c r="A3873" t="str">
        <f>"202191C0100"</f>
        <v>202191C0100</v>
      </c>
      <c r="B3873" t="s">
        <v>7851</v>
      </c>
      <c r="C3873">
        <v>20</v>
      </c>
      <c r="D3873" t="s">
        <v>79</v>
      </c>
      <c r="E3873">
        <v>18</v>
      </c>
      <c r="F3873" t="s">
        <v>7655</v>
      </c>
      <c r="G3873">
        <v>2191</v>
      </c>
      <c r="H3873">
        <v>1</v>
      </c>
      <c r="I3873" t="s">
        <v>89</v>
      </c>
      <c r="J3873">
        <v>0</v>
      </c>
      <c r="K3873">
        <v>2</v>
      </c>
      <c r="L3873">
        <v>2</v>
      </c>
      <c r="M3873">
        <v>132</v>
      </c>
      <c r="N3873">
        <v>482</v>
      </c>
      <c r="O3873">
        <v>4</v>
      </c>
      <c r="P3873">
        <v>482</v>
      </c>
      <c r="Q3873">
        <v>3</v>
      </c>
      <c r="R3873">
        <v>109</v>
      </c>
      <c r="S3873">
        <v>7</v>
      </c>
      <c r="T3873">
        <v>2</v>
      </c>
      <c r="U3873">
        <v>7</v>
      </c>
      <c r="V3873">
        <v>5</v>
      </c>
      <c r="W3873">
        <v>1</v>
      </c>
      <c r="X3873">
        <v>68</v>
      </c>
      <c r="Y3873">
        <v>264</v>
      </c>
      <c r="Z3873">
        <v>3</v>
      </c>
      <c r="AA3873">
        <v>1</v>
      </c>
      <c r="AB3873">
        <v>0</v>
      </c>
      <c r="AC3873">
        <v>1</v>
      </c>
      <c r="AD3873">
        <v>0</v>
      </c>
      <c r="AE3873">
        <v>0</v>
      </c>
      <c r="AF3873">
        <v>0</v>
      </c>
      <c r="AG3873">
        <v>0</v>
      </c>
      <c r="AH3873">
        <v>1</v>
      </c>
      <c r="AI3873">
        <v>0</v>
      </c>
      <c r="AJ3873">
        <v>0</v>
      </c>
      <c r="AK3873">
        <v>1</v>
      </c>
      <c r="AL3873">
        <v>0</v>
      </c>
      <c r="AM3873">
        <v>0</v>
      </c>
      <c r="AN3873">
        <v>0</v>
      </c>
      <c r="AT3873">
        <v>0</v>
      </c>
      <c r="AU3873">
        <v>9</v>
      </c>
      <c r="AV3873">
        <v>482</v>
      </c>
      <c r="AW3873">
        <v>482</v>
      </c>
      <c r="AX3873">
        <v>592</v>
      </c>
      <c r="BA3873">
        <v>1</v>
      </c>
      <c r="BC3873" t="s">
        <v>7852</v>
      </c>
      <c r="BD3873" s="4">
        <v>43283.446527777778</v>
      </c>
      <c r="BE3873" s="4">
        <v>43283.452268518522</v>
      </c>
      <c r="BF3873" s="4">
        <v>43283.452268518522</v>
      </c>
      <c r="BG3873" t="s">
        <v>83</v>
      </c>
      <c r="BH3873" t="s">
        <v>84</v>
      </c>
      <c r="BI3873" t="s">
        <v>85</v>
      </c>
    </row>
    <row r="3874" spans="1:61" x14ac:dyDescent="0.3">
      <c r="A3874" t="str">
        <f>"202192B0100"</f>
        <v>202192B0100</v>
      </c>
      <c r="B3874" t="s">
        <v>7853</v>
      </c>
      <c r="C3874">
        <v>20</v>
      </c>
      <c r="D3874" t="s">
        <v>79</v>
      </c>
      <c r="E3874">
        <v>18</v>
      </c>
      <c r="F3874" t="s">
        <v>7655</v>
      </c>
      <c r="G3874">
        <v>2192</v>
      </c>
      <c r="H3874">
        <v>1</v>
      </c>
      <c r="I3874" t="s">
        <v>81</v>
      </c>
      <c r="J3874">
        <v>0</v>
      </c>
      <c r="K3874">
        <v>2</v>
      </c>
      <c r="L3874">
        <v>2</v>
      </c>
      <c r="M3874">
        <v>171</v>
      </c>
      <c r="N3874">
        <v>485</v>
      </c>
      <c r="O3874">
        <v>0</v>
      </c>
      <c r="P3874">
        <v>485</v>
      </c>
      <c r="Q3874">
        <v>2</v>
      </c>
      <c r="R3874">
        <v>138</v>
      </c>
      <c r="S3874">
        <v>13</v>
      </c>
      <c r="T3874">
        <v>0</v>
      </c>
      <c r="U3874">
        <v>10</v>
      </c>
      <c r="V3874">
        <v>0</v>
      </c>
      <c r="W3874">
        <v>0</v>
      </c>
      <c r="X3874">
        <v>81</v>
      </c>
      <c r="Y3874">
        <v>229</v>
      </c>
      <c r="Z3874">
        <v>3</v>
      </c>
      <c r="AA3874">
        <v>0</v>
      </c>
      <c r="AB3874">
        <v>1</v>
      </c>
      <c r="AC3874" t="s">
        <v>100</v>
      </c>
      <c r="AD3874" t="s">
        <v>100</v>
      </c>
      <c r="AE3874" t="s">
        <v>100</v>
      </c>
      <c r="AF3874" t="s">
        <v>100</v>
      </c>
      <c r="AG3874" t="s">
        <v>100</v>
      </c>
      <c r="AH3874" t="s">
        <v>100</v>
      </c>
      <c r="AI3874" t="s">
        <v>100</v>
      </c>
      <c r="AJ3874" t="s">
        <v>100</v>
      </c>
      <c r="AK3874" t="s">
        <v>100</v>
      </c>
      <c r="AL3874" t="s">
        <v>100</v>
      </c>
      <c r="AM3874" t="s">
        <v>100</v>
      </c>
      <c r="AN3874" t="s">
        <v>100</v>
      </c>
      <c r="AT3874" t="s">
        <v>100</v>
      </c>
      <c r="AU3874">
        <v>8</v>
      </c>
      <c r="AV3874">
        <v>485</v>
      </c>
      <c r="AW3874">
        <v>485</v>
      </c>
      <c r="AX3874">
        <v>634</v>
      </c>
      <c r="AZ3874" t="s">
        <v>101</v>
      </c>
      <c r="BA3874">
        <v>1</v>
      </c>
      <c r="BC3874" t="s">
        <v>7854</v>
      </c>
      <c r="BD3874" s="4">
        <v>43283.456250000003</v>
      </c>
      <c r="BE3874" s="4">
        <v>43283.468229166669</v>
      </c>
      <c r="BF3874" s="4">
        <v>43283.468229166669</v>
      </c>
      <c r="BG3874" t="s">
        <v>83</v>
      </c>
      <c r="BH3874" t="s">
        <v>84</v>
      </c>
      <c r="BI3874" t="s">
        <v>85</v>
      </c>
    </row>
    <row r="3875" spans="1:61" x14ac:dyDescent="0.3">
      <c r="A3875" t="str">
        <f>"202192C0100"</f>
        <v>202192C0100</v>
      </c>
      <c r="B3875" t="s">
        <v>7855</v>
      </c>
      <c r="C3875">
        <v>20</v>
      </c>
      <c r="D3875" t="s">
        <v>79</v>
      </c>
      <c r="E3875">
        <v>18</v>
      </c>
      <c r="F3875" t="s">
        <v>7655</v>
      </c>
      <c r="G3875">
        <v>2192</v>
      </c>
      <c r="H3875">
        <v>1</v>
      </c>
      <c r="I3875" t="s">
        <v>89</v>
      </c>
      <c r="J3875">
        <v>0</v>
      </c>
      <c r="K3875">
        <v>2</v>
      </c>
      <c r="L3875">
        <v>2</v>
      </c>
      <c r="M3875">
        <v>138</v>
      </c>
      <c r="N3875">
        <v>517</v>
      </c>
      <c r="O3875">
        <v>4</v>
      </c>
      <c r="P3875">
        <v>518</v>
      </c>
      <c r="Q3875">
        <v>0</v>
      </c>
      <c r="R3875">
        <v>159</v>
      </c>
      <c r="S3875">
        <v>6</v>
      </c>
      <c r="T3875">
        <v>1</v>
      </c>
      <c r="U3875">
        <v>4</v>
      </c>
      <c r="V3875">
        <v>3</v>
      </c>
      <c r="W3875">
        <v>0</v>
      </c>
      <c r="X3875">
        <v>98</v>
      </c>
      <c r="Y3875">
        <v>230</v>
      </c>
      <c r="Z3875">
        <v>2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0</v>
      </c>
      <c r="AN3875">
        <v>0</v>
      </c>
      <c r="AT3875">
        <v>0</v>
      </c>
      <c r="AU3875">
        <v>15</v>
      </c>
      <c r="AV3875">
        <v>518</v>
      </c>
      <c r="AW3875">
        <v>518</v>
      </c>
      <c r="AX3875">
        <v>633</v>
      </c>
      <c r="BA3875">
        <v>1</v>
      </c>
      <c r="BC3875" t="s">
        <v>7856</v>
      </c>
      <c r="BD3875" s="4">
        <v>43283.451388888891</v>
      </c>
      <c r="BE3875" s="4">
        <v>43283.457604166666</v>
      </c>
      <c r="BF3875" s="4">
        <v>43283.457604166666</v>
      </c>
      <c r="BG3875" t="s">
        <v>83</v>
      </c>
      <c r="BH3875" t="s">
        <v>84</v>
      </c>
      <c r="BI3875" t="s">
        <v>85</v>
      </c>
    </row>
    <row r="3876" spans="1:61" x14ac:dyDescent="0.3">
      <c r="A3876" t="str">
        <f>"202193B0100"</f>
        <v>202193B0100</v>
      </c>
      <c r="B3876" t="s">
        <v>7857</v>
      </c>
      <c r="C3876">
        <v>20</v>
      </c>
      <c r="D3876" t="s">
        <v>79</v>
      </c>
      <c r="E3876">
        <v>18</v>
      </c>
      <c r="F3876" t="s">
        <v>7655</v>
      </c>
      <c r="G3876">
        <v>2193</v>
      </c>
      <c r="H3876">
        <v>1</v>
      </c>
      <c r="I3876" t="s">
        <v>81</v>
      </c>
      <c r="J3876">
        <v>0</v>
      </c>
      <c r="K3876">
        <v>2</v>
      </c>
      <c r="L3876">
        <v>2</v>
      </c>
      <c r="M3876">
        <v>145</v>
      </c>
      <c r="N3876">
        <v>405</v>
      </c>
      <c r="O3876">
        <v>3</v>
      </c>
      <c r="P3876">
        <v>427</v>
      </c>
      <c r="Q3876">
        <v>1</v>
      </c>
      <c r="R3876">
        <v>141</v>
      </c>
      <c r="S3876">
        <v>1</v>
      </c>
      <c r="T3876">
        <v>2</v>
      </c>
      <c r="U3876">
        <v>1</v>
      </c>
      <c r="V3876">
        <v>2</v>
      </c>
      <c r="W3876">
        <v>0</v>
      </c>
      <c r="X3876">
        <v>74</v>
      </c>
      <c r="Y3876">
        <v>199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1</v>
      </c>
      <c r="AI3876">
        <v>0</v>
      </c>
      <c r="AJ3876">
        <v>0</v>
      </c>
      <c r="AK3876">
        <v>0</v>
      </c>
      <c r="AL3876">
        <v>0</v>
      </c>
      <c r="AM3876">
        <v>0</v>
      </c>
      <c r="AN3876">
        <v>0</v>
      </c>
      <c r="AT3876">
        <v>0</v>
      </c>
      <c r="AU3876">
        <v>5</v>
      </c>
      <c r="AV3876">
        <v>427</v>
      </c>
      <c r="AW3876">
        <v>427</v>
      </c>
      <c r="AX3876">
        <v>550</v>
      </c>
      <c r="BA3876">
        <v>1</v>
      </c>
      <c r="BC3876" t="s">
        <v>7858</v>
      </c>
      <c r="BD3876" s="4">
        <v>43283.423611111109</v>
      </c>
      <c r="BE3876" s="4">
        <v>43283.428240740737</v>
      </c>
      <c r="BF3876" s="4">
        <v>43283.428240740737</v>
      </c>
      <c r="BG3876" t="s">
        <v>83</v>
      </c>
      <c r="BH3876" t="s">
        <v>84</v>
      </c>
      <c r="BI3876" t="s">
        <v>85</v>
      </c>
    </row>
    <row r="3877" spans="1:61" x14ac:dyDescent="0.3">
      <c r="A3877" t="str">
        <f>"202193C0100"</f>
        <v>202193C0100</v>
      </c>
      <c r="B3877" t="s">
        <v>7859</v>
      </c>
      <c r="C3877">
        <v>20</v>
      </c>
      <c r="D3877" t="s">
        <v>79</v>
      </c>
      <c r="E3877">
        <v>18</v>
      </c>
      <c r="F3877" t="s">
        <v>7655</v>
      </c>
      <c r="G3877">
        <v>2193</v>
      </c>
      <c r="H3877">
        <v>1</v>
      </c>
      <c r="I3877" t="s">
        <v>89</v>
      </c>
      <c r="J3877">
        <v>0</v>
      </c>
      <c r="K3877">
        <v>2</v>
      </c>
      <c r="L3877">
        <v>2</v>
      </c>
      <c r="AX3877">
        <v>550</v>
      </c>
      <c r="AZ3877" t="s">
        <v>156</v>
      </c>
      <c r="BA3877">
        <v>0</v>
      </c>
      <c r="BC3877" t="s">
        <v>7860</v>
      </c>
      <c r="BD3877" s="4">
        <v>43283.683333333334</v>
      </c>
      <c r="BE3877" s="4">
        <v>43283.687337962961</v>
      </c>
      <c r="BF3877" s="4">
        <v>43283.687337962961</v>
      </c>
      <c r="BG3877" t="s">
        <v>83</v>
      </c>
      <c r="BH3877" t="s">
        <v>84</v>
      </c>
      <c r="BI3877" t="s">
        <v>85</v>
      </c>
    </row>
    <row r="3878" spans="1:61" x14ac:dyDescent="0.3">
      <c r="A3878" t="str">
        <f>"202194B0100"</f>
        <v>202194B0100</v>
      </c>
      <c r="B3878" t="s">
        <v>7861</v>
      </c>
      <c r="C3878">
        <v>20</v>
      </c>
      <c r="D3878" t="s">
        <v>79</v>
      </c>
      <c r="E3878">
        <v>18</v>
      </c>
      <c r="F3878" t="s">
        <v>7655</v>
      </c>
      <c r="G3878">
        <v>2194</v>
      </c>
      <c r="H3878">
        <v>1</v>
      </c>
      <c r="I3878" t="s">
        <v>81</v>
      </c>
      <c r="J3878">
        <v>0</v>
      </c>
      <c r="K3878">
        <v>2</v>
      </c>
      <c r="L3878">
        <v>2</v>
      </c>
      <c r="AX3878">
        <v>687</v>
      </c>
      <c r="AZ3878" t="s">
        <v>156</v>
      </c>
      <c r="BA3878">
        <v>0</v>
      </c>
      <c r="BC3878" t="s">
        <v>7862</v>
      </c>
      <c r="BD3878" s="4">
        <v>43283.682638888888</v>
      </c>
      <c r="BE3878" s="4">
        <v>43283.696261574078</v>
      </c>
      <c r="BF3878" s="4">
        <v>43283.696261574078</v>
      </c>
      <c r="BG3878" t="s">
        <v>83</v>
      </c>
      <c r="BH3878" t="s">
        <v>84</v>
      </c>
      <c r="BI3878" t="s">
        <v>85</v>
      </c>
    </row>
    <row r="3879" spans="1:61" x14ac:dyDescent="0.3">
      <c r="A3879" t="str">
        <f>"202195B0100"</f>
        <v>202195B0100</v>
      </c>
      <c r="B3879" t="s">
        <v>7863</v>
      </c>
      <c r="C3879">
        <v>20</v>
      </c>
      <c r="D3879" t="s">
        <v>79</v>
      </c>
      <c r="E3879">
        <v>18</v>
      </c>
      <c r="F3879" t="s">
        <v>7655</v>
      </c>
      <c r="G3879">
        <v>2195</v>
      </c>
      <c r="H3879">
        <v>1</v>
      </c>
      <c r="I3879" t="s">
        <v>81</v>
      </c>
      <c r="J3879">
        <v>0</v>
      </c>
      <c r="K3879">
        <v>2</v>
      </c>
      <c r="L3879">
        <v>2</v>
      </c>
      <c r="M3879">
        <v>69</v>
      </c>
      <c r="N3879">
        <v>245</v>
      </c>
      <c r="O3879">
        <v>0</v>
      </c>
      <c r="P3879">
        <v>245</v>
      </c>
      <c r="Q3879">
        <v>0</v>
      </c>
      <c r="R3879">
        <v>83</v>
      </c>
      <c r="S3879">
        <v>3</v>
      </c>
      <c r="T3879">
        <v>4</v>
      </c>
      <c r="U3879">
        <v>2</v>
      </c>
      <c r="V3879">
        <v>0</v>
      </c>
      <c r="W3879">
        <v>0</v>
      </c>
      <c r="X3879">
        <v>84</v>
      </c>
      <c r="Y3879">
        <v>59</v>
      </c>
      <c r="Z3879">
        <v>1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2</v>
      </c>
      <c r="AL3879">
        <v>1</v>
      </c>
      <c r="AM3879">
        <v>0</v>
      </c>
      <c r="AN3879">
        <v>0</v>
      </c>
      <c r="AT3879">
        <v>0</v>
      </c>
      <c r="AU3879">
        <v>6</v>
      </c>
      <c r="AV3879">
        <v>245</v>
      </c>
      <c r="AW3879">
        <v>245</v>
      </c>
      <c r="AX3879">
        <v>292</v>
      </c>
      <c r="BA3879">
        <v>1</v>
      </c>
      <c r="BC3879" t="s">
        <v>7864</v>
      </c>
      <c r="BD3879" s="4">
        <v>43283.43472222222</v>
      </c>
      <c r="BE3879" s="4">
        <v>43283.438483796293</v>
      </c>
      <c r="BF3879" s="4">
        <v>43283.438483796293</v>
      </c>
      <c r="BG3879" t="s">
        <v>83</v>
      </c>
      <c r="BH3879" t="s">
        <v>84</v>
      </c>
      <c r="BI3879" t="s">
        <v>85</v>
      </c>
    </row>
    <row r="3880" spans="1:61" x14ac:dyDescent="0.3">
      <c r="A3880" t="str">
        <f>"202195E0100"</f>
        <v>202195E0100</v>
      </c>
      <c r="B3880" s="2" t="s">
        <v>7865</v>
      </c>
      <c r="C3880">
        <v>20</v>
      </c>
      <c r="D3880" t="s">
        <v>79</v>
      </c>
      <c r="E3880">
        <v>18</v>
      </c>
      <c r="F3880" t="s">
        <v>7655</v>
      </c>
      <c r="G3880">
        <v>2195</v>
      </c>
      <c r="H3880">
        <v>1</v>
      </c>
      <c r="I3880" t="s">
        <v>145</v>
      </c>
      <c r="J3880">
        <v>0</v>
      </c>
      <c r="K3880">
        <v>2</v>
      </c>
      <c r="L3880">
        <v>2</v>
      </c>
      <c r="AX3880">
        <v>269</v>
      </c>
      <c r="AZ3880" t="s">
        <v>156</v>
      </c>
      <c r="BA3880">
        <v>0</v>
      </c>
      <c r="BC3880" t="s">
        <v>7866</v>
      </c>
      <c r="BD3880" s="4">
        <v>43283.682638888888</v>
      </c>
      <c r="BE3880" s="4">
        <v>43283.697048611109</v>
      </c>
      <c r="BF3880" s="4">
        <v>43283.697048611109</v>
      </c>
      <c r="BG3880" t="s">
        <v>83</v>
      </c>
      <c r="BH3880" t="s">
        <v>84</v>
      </c>
      <c r="BI3880" t="s">
        <v>85</v>
      </c>
    </row>
    <row r="3881" spans="1:61" x14ac:dyDescent="0.3">
      <c r="A3881" t="str">
        <f>"202196B0100"</f>
        <v>202196B0100</v>
      </c>
      <c r="B3881" t="s">
        <v>7867</v>
      </c>
      <c r="C3881">
        <v>20</v>
      </c>
      <c r="D3881" t="s">
        <v>79</v>
      </c>
      <c r="E3881">
        <v>18</v>
      </c>
      <c r="F3881" t="s">
        <v>7655</v>
      </c>
      <c r="G3881">
        <v>2196</v>
      </c>
      <c r="H3881">
        <v>1</v>
      </c>
      <c r="I3881" t="s">
        <v>81</v>
      </c>
      <c r="J3881">
        <v>0</v>
      </c>
      <c r="K3881">
        <v>2</v>
      </c>
      <c r="L3881">
        <v>2</v>
      </c>
      <c r="M3881">
        <v>40</v>
      </c>
      <c r="N3881">
        <v>264</v>
      </c>
      <c r="O3881">
        <v>1</v>
      </c>
      <c r="P3881">
        <v>264</v>
      </c>
      <c r="Q3881">
        <v>0</v>
      </c>
      <c r="R3881">
        <v>77</v>
      </c>
      <c r="S3881">
        <v>2</v>
      </c>
      <c r="T3881">
        <v>1</v>
      </c>
      <c r="U3881">
        <v>0</v>
      </c>
      <c r="V3881">
        <v>1</v>
      </c>
      <c r="W3881">
        <v>0</v>
      </c>
      <c r="X3881">
        <v>94</v>
      </c>
      <c r="Y3881">
        <v>86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0</v>
      </c>
      <c r="AN3881">
        <v>0</v>
      </c>
      <c r="AT3881">
        <v>0</v>
      </c>
      <c r="AU3881">
        <v>3</v>
      </c>
      <c r="AV3881" t="s">
        <v>100</v>
      </c>
      <c r="AW3881">
        <v>264</v>
      </c>
      <c r="AX3881">
        <v>282</v>
      </c>
      <c r="BA3881">
        <v>1</v>
      </c>
      <c r="BC3881" t="s">
        <v>7868</v>
      </c>
      <c r="BD3881" s="4">
        <v>43283.430555555555</v>
      </c>
      <c r="BE3881" s="4">
        <v>43283.433611111112</v>
      </c>
      <c r="BF3881" s="4">
        <v>43283.433611111112</v>
      </c>
      <c r="BG3881" t="s">
        <v>83</v>
      </c>
      <c r="BH3881" t="s">
        <v>84</v>
      </c>
      <c r="BI3881" t="s">
        <v>85</v>
      </c>
    </row>
    <row r="3882" spans="1:61" x14ac:dyDescent="0.3">
      <c r="A3882" t="str">
        <f>"202197B0100"</f>
        <v>202197B0100</v>
      </c>
      <c r="B3882" t="s">
        <v>7869</v>
      </c>
      <c r="C3882">
        <v>20</v>
      </c>
      <c r="D3882" t="s">
        <v>79</v>
      </c>
      <c r="E3882">
        <v>18</v>
      </c>
      <c r="F3882" t="s">
        <v>7655</v>
      </c>
      <c r="G3882">
        <v>2197</v>
      </c>
      <c r="H3882">
        <v>1</v>
      </c>
      <c r="I3882" t="s">
        <v>81</v>
      </c>
      <c r="J3882">
        <v>0</v>
      </c>
      <c r="K3882">
        <v>2</v>
      </c>
      <c r="L3882">
        <v>2</v>
      </c>
      <c r="M3882">
        <v>32</v>
      </c>
      <c r="N3882">
        <v>133</v>
      </c>
      <c r="O3882">
        <v>2</v>
      </c>
      <c r="P3882">
        <v>133</v>
      </c>
      <c r="Q3882">
        <v>0</v>
      </c>
      <c r="R3882">
        <v>47</v>
      </c>
      <c r="S3882">
        <v>0</v>
      </c>
      <c r="T3882">
        <v>2</v>
      </c>
      <c r="U3882">
        <v>1</v>
      </c>
      <c r="V3882">
        <v>0</v>
      </c>
      <c r="W3882">
        <v>1</v>
      </c>
      <c r="X3882">
        <v>29</v>
      </c>
      <c r="Y3882">
        <v>53</v>
      </c>
      <c r="Z3882">
        <v>0</v>
      </c>
      <c r="AA3882">
        <v>0</v>
      </c>
      <c r="AB3882">
        <v>1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0</v>
      </c>
      <c r="AN3882">
        <v>0</v>
      </c>
      <c r="AT3882">
        <v>0</v>
      </c>
      <c r="AU3882">
        <v>0</v>
      </c>
      <c r="AV3882">
        <v>133</v>
      </c>
      <c r="AW3882">
        <v>134</v>
      </c>
      <c r="AX3882">
        <v>143</v>
      </c>
      <c r="BA3882">
        <v>1</v>
      </c>
      <c r="BC3882" t="s">
        <v>7870</v>
      </c>
      <c r="BD3882" s="4">
        <v>43283.407638888886</v>
      </c>
      <c r="BE3882" s="4">
        <v>43283.414953703701</v>
      </c>
      <c r="BF3882" s="4">
        <v>43283.414953703701</v>
      </c>
      <c r="BG3882" t="s">
        <v>83</v>
      </c>
      <c r="BH3882" t="s">
        <v>84</v>
      </c>
      <c r="BI3882" t="s">
        <v>85</v>
      </c>
    </row>
    <row r="3883" spans="1:61" x14ac:dyDescent="0.3">
      <c r="A3883" t="str">
        <f>"202198B0100"</f>
        <v>202198B0100</v>
      </c>
      <c r="B3883" t="s">
        <v>7871</v>
      </c>
      <c r="C3883">
        <v>20</v>
      </c>
      <c r="D3883" t="s">
        <v>79</v>
      </c>
      <c r="E3883">
        <v>18</v>
      </c>
      <c r="F3883" t="s">
        <v>7655</v>
      </c>
      <c r="G3883">
        <v>2198</v>
      </c>
      <c r="H3883">
        <v>1</v>
      </c>
      <c r="I3883" t="s">
        <v>81</v>
      </c>
      <c r="J3883">
        <v>0</v>
      </c>
      <c r="K3883">
        <v>2</v>
      </c>
      <c r="L3883">
        <v>2</v>
      </c>
      <c r="M3883">
        <v>45</v>
      </c>
      <c r="N3883">
        <v>201</v>
      </c>
      <c r="O3883">
        <v>0</v>
      </c>
      <c r="P3883">
        <v>201</v>
      </c>
      <c r="Q3883">
        <v>2</v>
      </c>
      <c r="R3883">
        <v>69</v>
      </c>
      <c r="S3883">
        <v>4</v>
      </c>
      <c r="T3883">
        <v>1</v>
      </c>
      <c r="U3883">
        <v>1</v>
      </c>
      <c r="V3883">
        <v>0</v>
      </c>
      <c r="W3883">
        <v>0</v>
      </c>
      <c r="X3883">
        <v>52</v>
      </c>
      <c r="Y3883">
        <v>72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>
        <v>0</v>
      </c>
      <c r="AM3883">
        <v>0</v>
      </c>
      <c r="AN3883">
        <v>0</v>
      </c>
      <c r="AT3883">
        <v>0</v>
      </c>
      <c r="AU3883">
        <v>0</v>
      </c>
      <c r="AV3883">
        <v>201</v>
      </c>
      <c r="AW3883">
        <v>201</v>
      </c>
      <c r="AX3883">
        <v>224</v>
      </c>
      <c r="BA3883">
        <v>1</v>
      </c>
      <c r="BC3883" t="s">
        <v>7872</v>
      </c>
      <c r="BD3883" s="4">
        <v>43283.396527777775</v>
      </c>
      <c r="BE3883" s="4">
        <v>43283.400509259256</v>
      </c>
      <c r="BF3883" s="4">
        <v>43283.400509259256</v>
      </c>
      <c r="BG3883" t="s">
        <v>83</v>
      </c>
      <c r="BH3883" t="s">
        <v>84</v>
      </c>
      <c r="BI3883" t="s">
        <v>85</v>
      </c>
    </row>
    <row r="3884" spans="1:61" x14ac:dyDescent="0.3">
      <c r="A3884" t="str">
        <f>"202200B0100"</f>
        <v>202200B0100</v>
      </c>
      <c r="B3884" t="s">
        <v>7873</v>
      </c>
      <c r="C3884">
        <v>20</v>
      </c>
      <c r="D3884" t="s">
        <v>79</v>
      </c>
      <c r="E3884">
        <v>18</v>
      </c>
      <c r="F3884" t="s">
        <v>7655</v>
      </c>
      <c r="G3884">
        <v>2200</v>
      </c>
      <c r="H3884">
        <v>1</v>
      </c>
      <c r="I3884" t="s">
        <v>81</v>
      </c>
      <c r="J3884">
        <v>0</v>
      </c>
      <c r="K3884">
        <v>2</v>
      </c>
      <c r="L3884">
        <v>2</v>
      </c>
      <c r="M3884">
        <v>200</v>
      </c>
      <c r="N3884">
        <v>392</v>
      </c>
      <c r="O3884">
        <v>13</v>
      </c>
      <c r="P3884">
        <v>398</v>
      </c>
      <c r="Q3884">
        <v>8</v>
      </c>
      <c r="R3884">
        <v>57</v>
      </c>
      <c r="S3884">
        <v>50</v>
      </c>
      <c r="T3884">
        <v>14</v>
      </c>
      <c r="U3884">
        <v>37</v>
      </c>
      <c r="V3884">
        <v>14</v>
      </c>
      <c r="W3884">
        <v>8</v>
      </c>
      <c r="X3884">
        <v>1</v>
      </c>
      <c r="Y3884">
        <v>162</v>
      </c>
      <c r="Z3884">
        <v>1</v>
      </c>
      <c r="AA3884">
        <v>9</v>
      </c>
      <c r="AB3884">
        <v>7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3</v>
      </c>
      <c r="AL3884">
        <v>1</v>
      </c>
      <c r="AM3884">
        <v>0</v>
      </c>
      <c r="AN3884">
        <v>1</v>
      </c>
      <c r="AT3884" t="s">
        <v>100</v>
      </c>
      <c r="AU3884">
        <v>25</v>
      </c>
      <c r="AV3884">
        <v>398</v>
      </c>
      <c r="AW3884">
        <v>398</v>
      </c>
      <c r="AX3884">
        <v>575</v>
      </c>
      <c r="AZ3884" t="s">
        <v>101</v>
      </c>
      <c r="BA3884">
        <v>1</v>
      </c>
      <c r="BC3884" t="s">
        <v>7874</v>
      </c>
      <c r="BD3884" s="4">
        <v>43283.147916666669</v>
      </c>
      <c r="BE3884" s="4">
        <v>43283.155405092592</v>
      </c>
      <c r="BF3884" s="4">
        <v>43283.155405092592</v>
      </c>
      <c r="BG3884" t="s">
        <v>83</v>
      </c>
      <c r="BH3884" t="s">
        <v>84</v>
      </c>
      <c r="BI3884" t="s">
        <v>85</v>
      </c>
    </row>
    <row r="3885" spans="1:61" x14ac:dyDescent="0.3">
      <c r="A3885" t="str">
        <f>"202200C0100"</f>
        <v>202200C0100</v>
      </c>
      <c r="B3885" t="s">
        <v>7875</v>
      </c>
      <c r="C3885">
        <v>20</v>
      </c>
      <c r="D3885" t="s">
        <v>79</v>
      </c>
      <c r="E3885">
        <v>18</v>
      </c>
      <c r="F3885" t="s">
        <v>7655</v>
      </c>
      <c r="G3885">
        <v>2200</v>
      </c>
      <c r="H3885">
        <v>1</v>
      </c>
      <c r="I3885" t="s">
        <v>89</v>
      </c>
      <c r="J3885">
        <v>0</v>
      </c>
      <c r="K3885">
        <v>2</v>
      </c>
      <c r="L3885">
        <v>2</v>
      </c>
      <c r="M3885">
        <v>198</v>
      </c>
      <c r="N3885">
        <v>400</v>
      </c>
      <c r="O3885">
        <v>5</v>
      </c>
      <c r="P3885">
        <v>399</v>
      </c>
      <c r="Q3885">
        <v>12</v>
      </c>
      <c r="R3885">
        <v>74</v>
      </c>
      <c r="S3885">
        <v>38</v>
      </c>
      <c r="T3885">
        <v>11</v>
      </c>
      <c r="U3885">
        <v>38</v>
      </c>
      <c r="V3885">
        <v>5</v>
      </c>
      <c r="W3885">
        <v>8</v>
      </c>
      <c r="X3885">
        <v>5</v>
      </c>
      <c r="Y3885">
        <v>172</v>
      </c>
      <c r="Z3885">
        <v>2</v>
      </c>
      <c r="AA3885">
        <v>2</v>
      </c>
      <c r="AB3885">
        <v>4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1</v>
      </c>
      <c r="AI3885">
        <v>0</v>
      </c>
      <c r="AJ3885">
        <v>0</v>
      </c>
      <c r="AK3885">
        <v>2</v>
      </c>
      <c r="AL3885">
        <v>0</v>
      </c>
      <c r="AM3885">
        <v>1</v>
      </c>
      <c r="AN3885">
        <v>0</v>
      </c>
      <c r="AT3885">
        <v>0</v>
      </c>
      <c r="AU3885">
        <v>23</v>
      </c>
      <c r="AV3885">
        <v>399</v>
      </c>
      <c r="AW3885">
        <v>398</v>
      </c>
      <c r="AX3885">
        <v>575</v>
      </c>
      <c r="BA3885">
        <v>1</v>
      </c>
      <c r="BC3885" t="s">
        <v>7876</v>
      </c>
      <c r="BD3885" s="4">
        <v>43283.371527777781</v>
      </c>
      <c r="BE3885" s="4">
        <v>43283.379907407405</v>
      </c>
      <c r="BF3885" s="4">
        <v>43283.379907407405</v>
      </c>
      <c r="BG3885" t="s">
        <v>83</v>
      </c>
      <c r="BH3885" t="s">
        <v>84</v>
      </c>
      <c r="BI3885" t="s">
        <v>85</v>
      </c>
    </row>
    <row r="3886" spans="1:61" x14ac:dyDescent="0.3">
      <c r="A3886" t="str">
        <f>"202200C0200"</f>
        <v>202200C0200</v>
      </c>
      <c r="B3886" t="s">
        <v>7877</v>
      </c>
      <c r="C3886">
        <v>20</v>
      </c>
      <c r="D3886" t="s">
        <v>79</v>
      </c>
      <c r="E3886">
        <v>18</v>
      </c>
      <c r="F3886" t="s">
        <v>7655</v>
      </c>
      <c r="G3886">
        <v>2200</v>
      </c>
      <c r="H3886">
        <v>2</v>
      </c>
      <c r="I3886" t="s">
        <v>89</v>
      </c>
      <c r="J3886">
        <v>0</v>
      </c>
      <c r="K3886">
        <v>2</v>
      </c>
      <c r="L3886">
        <v>2</v>
      </c>
      <c r="M3886" t="s">
        <v>315</v>
      </c>
      <c r="N3886" t="s">
        <v>315</v>
      </c>
      <c r="O3886" t="s">
        <v>315</v>
      </c>
      <c r="P3886" t="s">
        <v>315</v>
      </c>
      <c r="Q3886" t="s">
        <v>315</v>
      </c>
      <c r="R3886" t="s">
        <v>315</v>
      </c>
      <c r="S3886" t="s">
        <v>315</v>
      </c>
      <c r="T3886" t="s">
        <v>315</v>
      </c>
      <c r="U3886" t="s">
        <v>315</v>
      </c>
      <c r="V3886" t="s">
        <v>315</v>
      </c>
      <c r="W3886" t="s">
        <v>315</v>
      </c>
      <c r="X3886" t="s">
        <v>315</v>
      </c>
      <c r="Y3886" t="s">
        <v>315</v>
      </c>
      <c r="Z3886" t="s">
        <v>315</v>
      </c>
      <c r="AA3886" t="s">
        <v>315</v>
      </c>
      <c r="AB3886" t="s">
        <v>315</v>
      </c>
      <c r="AC3886" t="s">
        <v>315</v>
      </c>
      <c r="AD3886" t="s">
        <v>315</v>
      </c>
      <c r="AE3886" t="s">
        <v>315</v>
      </c>
      <c r="AF3886" t="s">
        <v>315</v>
      </c>
      <c r="AG3886" t="s">
        <v>315</v>
      </c>
      <c r="AH3886" t="s">
        <v>315</v>
      </c>
      <c r="AI3886" t="s">
        <v>315</v>
      </c>
      <c r="AJ3886" t="s">
        <v>315</v>
      </c>
      <c r="AK3886" t="s">
        <v>315</v>
      </c>
      <c r="AL3886" t="s">
        <v>315</v>
      </c>
      <c r="AM3886" t="s">
        <v>315</v>
      </c>
      <c r="AN3886" t="s">
        <v>315</v>
      </c>
      <c r="AT3886" t="s">
        <v>315</v>
      </c>
      <c r="AU3886" t="s">
        <v>315</v>
      </c>
      <c r="AX3886">
        <v>575</v>
      </c>
      <c r="AZ3886" t="s">
        <v>794</v>
      </c>
      <c r="BA3886">
        <v>0</v>
      </c>
      <c r="BC3886" t="s">
        <v>7878</v>
      </c>
      <c r="BD3886" s="4">
        <v>43283.376388888886</v>
      </c>
      <c r="BE3886" s="4">
        <v>43283.388761574075</v>
      </c>
      <c r="BF3886" s="4">
        <v>43283.388761574075</v>
      </c>
      <c r="BG3886" t="s">
        <v>83</v>
      </c>
      <c r="BH3886" t="s">
        <v>84</v>
      </c>
      <c r="BI3886" t="s">
        <v>85</v>
      </c>
    </row>
    <row r="3887" spans="1:61" x14ac:dyDescent="0.3">
      <c r="A3887" t="str">
        <f>"202200E0100"</f>
        <v>202200E0100</v>
      </c>
      <c r="B3887" s="2" t="s">
        <v>7879</v>
      </c>
      <c r="C3887">
        <v>20</v>
      </c>
      <c r="D3887" t="s">
        <v>79</v>
      </c>
      <c r="E3887">
        <v>18</v>
      </c>
      <c r="F3887" t="s">
        <v>7655</v>
      </c>
      <c r="G3887">
        <v>2200</v>
      </c>
      <c r="H3887">
        <v>1</v>
      </c>
      <c r="I3887" t="s">
        <v>145</v>
      </c>
      <c r="J3887">
        <v>0</v>
      </c>
      <c r="K3887">
        <v>2</v>
      </c>
      <c r="L3887">
        <v>2</v>
      </c>
      <c r="M3887">
        <v>178</v>
      </c>
      <c r="N3887">
        <v>251</v>
      </c>
      <c r="O3887">
        <v>1</v>
      </c>
      <c r="P3887" t="s">
        <v>100</v>
      </c>
      <c r="Q3887">
        <v>10</v>
      </c>
      <c r="R3887">
        <v>57</v>
      </c>
      <c r="S3887">
        <v>45</v>
      </c>
      <c r="T3887">
        <v>2</v>
      </c>
      <c r="U3887">
        <v>14</v>
      </c>
      <c r="V3887">
        <v>4</v>
      </c>
      <c r="W3887">
        <v>2</v>
      </c>
      <c r="X3887">
        <v>0</v>
      </c>
      <c r="Y3887">
        <v>107</v>
      </c>
      <c r="Z3887">
        <v>1</v>
      </c>
      <c r="AA3887">
        <v>0</v>
      </c>
      <c r="AB3887">
        <v>1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1</v>
      </c>
      <c r="AI3887">
        <v>0</v>
      </c>
      <c r="AJ3887">
        <v>0</v>
      </c>
      <c r="AK3887">
        <v>0</v>
      </c>
      <c r="AL3887">
        <v>2</v>
      </c>
      <c r="AM3887">
        <v>0</v>
      </c>
      <c r="AN3887">
        <v>0</v>
      </c>
      <c r="AT3887">
        <v>0</v>
      </c>
      <c r="AU3887">
        <v>5</v>
      </c>
      <c r="AV3887">
        <v>251</v>
      </c>
      <c r="AW3887">
        <v>251</v>
      </c>
      <c r="AX3887">
        <v>406</v>
      </c>
      <c r="BA3887">
        <v>1</v>
      </c>
      <c r="BC3887" t="s">
        <v>7880</v>
      </c>
      <c r="BD3887" s="4">
        <v>43283.243750000001</v>
      </c>
      <c r="BE3887" s="4">
        <v>43283.271215277775</v>
      </c>
      <c r="BF3887" s="4">
        <v>43283.271215277775</v>
      </c>
      <c r="BG3887" t="s">
        <v>83</v>
      </c>
      <c r="BH3887" t="s">
        <v>84</v>
      </c>
      <c r="BI3887" t="s">
        <v>85</v>
      </c>
    </row>
    <row r="3888" spans="1:61" x14ac:dyDescent="0.3">
      <c r="A3888" t="str">
        <f>"202200E0101"</f>
        <v>202200E0101</v>
      </c>
      <c r="B3888" s="2" t="s">
        <v>7881</v>
      </c>
      <c r="C3888">
        <v>20</v>
      </c>
      <c r="D3888" t="s">
        <v>79</v>
      </c>
      <c r="E3888">
        <v>18</v>
      </c>
      <c r="F3888" t="s">
        <v>7655</v>
      </c>
      <c r="G3888">
        <v>2200</v>
      </c>
      <c r="H3888">
        <v>1</v>
      </c>
      <c r="I3888" t="s">
        <v>145</v>
      </c>
      <c r="J3888">
        <v>1</v>
      </c>
      <c r="K3888">
        <v>2</v>
      </c>
      <c r="L3888">
        <v>2</v>
      </c>
      <c r="M3888">
        <v>136</v>
      </c>
      <c r="N3888">
        <v>292</v>
      </c>
      <c r="O3888">
        <v>1</v>
      </c>
      <c r="P3888">
        <v>28</v>
      </c>
      <c r="Q3888">
        <v>11</v>
      </c>
      <c r="R3888">
        <v>40</v>
      </c>
      <c r="S3888">
        <v>48</v>
      </c>
      <c r="T3888">
        <v>3</v>
      </c>
      <c r="U3888">
        <v>15</v>
      </c>
      <c r="V3888">
        <v>3</v>
      </c>
      <c r="W3888">
        <v>4</v>
      </c>
      <c r="X3888">
        <v>2</v>
      </c>
      <c r="Y3888">
        <v>134</v>
      </c>
      <c r="Z3888">
        <v>3</v>
      </c>
      <c r="AA3888">
        <v>1</v>
      </c>
      <c r="AB3888">
        <v>1</v>
      </c>
      <c r="AC3888">
        <v>0</v>
      </c>
      <c r="AD3888">
        <v>3</v>
      </c>
      <c r="AE3888">
        <v>0</v>
      </c>
      <c r="AF3888">
        <v>0</v>
      </c>
      <c r="AG3888">
        <v>0</v>
      </c>
      <c r="AH3888">
        <v>1</v>
      </c>
      <c r="AI3888">
        <v>0</v>
      </c>
      <c r="AJ3888">
        <v>0</v>
      </c>
      <c r="AK3888">
        <v>0</v>
      </c>
      <c r="AL3888">
        <v>0</v>
      </c>
      <c r="AM3888">
        <v>0</v>
      </c>
      <c r="AN3888">
        <v>2</v>
      </c>
      <c r="AT3888">
        <v>7</v>
      </c>
      <c r="AU3888" t="s">
        <v>100</v>
      </c>
      <c r="AV3888" t="s">
        <v>100</v>
      </c>
      <c r="AW3888">
        <v>278</v>
      </c>
      <c r="AX3888">
        <v>405</v>
      </c>
      <c r="AZ3888" t="s">
        <v>101</v>
      </c>
      <c r="BA3888">
        <v>1</v>
      </c>
      <c r="BC3888" t="s">
        <v>7882</v>
      </c>
      <c r="BD3888" s="4">
        <v>43283.247916666667</v>
      </c>
      <c r="BE3888" s="4">
        <v>43283.291759259257</v>
      </c>
      <c r="BF3888" s="4">
        <v>43283.291759259257</v>
      </c>
      <c r="BG3888" t="s">
        <v>83</v>
      </c>
      <c r="BH3888" t="s">
        <v>84</v>
      </c>
      <c r="BI3888" t="s">
        <v>85</v>
      </c>
    </row>
    <row r="3889" spans="1:61" x14ac:dyDescent="0.3">
      <c r="A3889" t="str">
        <f>"202201B0100"</f>
        <v>202201B0100</v>
      </c>
      <c r="B3889" t="s">
        <v>7883</v>
      </c>
      <c r="C3889">
        <v>20</v>
      </c>
      <c r="D3889" t="s">
        <v>79</v>
      </c>
      <c r="E3889">
        <v>18</v>
      </c>
      <c r="F3889" t="s">
        <v>7655</v>
      </c>
      <c r="G3889">
        <v>2201</v>
      </c>
      <c r="H3889">
        <v>1</v>
      </c>
      <c r="I3889" t="s">
        <v>81</v>
      </c>
      <c r="J3889">
        <v>0</v>
      </c>
      <c r="K3889">
        <v>2</v>
      </c>
      <c r="L3889">
        <v>2</v>
      </c>
      <c r="M3889">
        <v>187</v>
      </c>
      <c r="N3889">
        <v>398</v>
      </c>
      <c r="O3889">
        <v>4</v>
      </c>
      <c r="P3889">
        <v>398</v>
      </c>
      <c r="Q3889">
        <v>8</v>
      </c>
      <c r="R3889">
        <v>78</v>
      </c>
      <c r="S3889">
        <v>36</v>
      </c>
      <c r="T3889">
        <v>8</v>
      </c>
      <c r="U3889">
        <v>42</v>
      </c>
      <c r="V3889">
        <v>9</v>
      </c>
      <c r="W3889">
        <v>24</v>
      </c>
      <c r="X3889">
        <v>2</v>
      </c>
      <c r="Y3889">
        <v>160</v>
      </c>
      <c r="Z3889">
        <v>1</v>
      </c>
      <c r="AA3889">
        <v>2</v>
      </c>
      <c r="AB3889">
        <v>6</v>
      </c>
      <c r="AC3889">
        <v>0</v>
      </c>
      <c r="AD3889">
        <v>0</v>
      </c>
      <c r="AE3889">
        <v>0</v>
      </c>
      <c r="AF3889">
        <v>1</v>
      </c>
      <c r="AG3889">
        <v>0</v>
      </c>
      <c r="AH3889">
        <v>2</v>
      </c>
      <c r="AI3889">
        <v>0</v>
      </c>
      <c r="AJ3889">
        <v>0</v>
      </c>
      <c r="AK3889">
        <v>2</v>
      </c>
      <c r="AL3889">
        <v>0</v>
      </c>
      <c r="AM3889">
        <v>0</v>
      </c>
      <c r="AN3889">
        <v>1</v>
      </c>
      <c r="AT3889">
        <v>1</v>
      </c>
      <c r="AU3889">
        <v>15</v>
      </c>
      <c r="AV3889">
        <v>398</v>
      </c>
      <c r="AW3889">
        <v>398</v>
      </c>
      <c r="AX3889">
        <v>562</v>
      </c>
      <c r="BA3889">
        <v>1</v>
      </c>
      <c r="BC3889" t="s">
        <v>7884</v>
      </c>
      <c r="BD3889" s="4">
        <v>43283.380555555559</v>
      </c>
      <c r="BE3889" s="4">
        <v>43283.385798611111</v>
      </c>
      <c r="BF3889" s="4">
        <v>43283.385798611111</v>
      </c>
      <c r="BG3889" t="s">
        <v>83</v>
      </c>
      <c r="BH3889" t="s">
        <v>84</v>
      </c>
      <c r="BI3889" t="s">
        <v>85</v>
      </c>
    </row>
    <row r="3890" spans="1:61" x14ac:dyDescent="0.3">
      <c r="A3890" t="str">
        <f>"202201C0100"</f>
        <v>202201C0100</v>
      </c>
      <c r="B3890" t="s">
        <v>7885</v>
      </c>
      <c r="C3890">
        <v>20</v>
      </c>
      <c r="D3890" t="s">
        <v>79</v>
      </c>
      <c r="E3890">
        <v>18</v>
      </c>
      <c r="F3890" t="s">
        <v>7655</v>
      </c>
      <c r="G3890">
        <v>2201</v>
      </c>
      <c r="H3890">
        <v>1</v>
      </c>
      <c r="I3890" t="s">
        <v>89</v>
      </c>
      <c r="J3890">
        <v>0</v>
      </c>
      <c r="K3890">
        <v>2</v>
      </c>
      <c r="L3890">
        <v>2</v>
      </c>
      <c r="M3890">
        <v>197</v>
      </c>
      <c r="N3890">
        <v>386</v>
      </c>
      <c r="O3890">
        <v>6</v>
      </c>
      <c r="P3890">
        <v>3</v>
      </c>
      <c r="Q3890">
        <v>10</v>
      </c>
      <c r="R3890">
        <v>61</v>
      </c>
      <c r="S3890">
        <v>39</v>
      </c>
      <c r="T3890">
        <v>16</v>
      </c>
      <c r="U3890">
        <v>42</v>
      </c>
      <c r="V3890">
        <v>12</v>
      </c>
      <c r="W3890">
        <v>24</v>
      </c>
      <c r="X3890">
        <v>4</v>
      </c>
      <c r="Y3890">
        <v>136</v>
      </c>
      <c r="Z3890">
        <v>3</v>
      </c>
      <c r="AA3890">
        <v>1</v>
      </c>
      <c r="AB3890">
        <v>8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1</v>
      </c>
      <c r="AI3890">
        <v>1</v>
      </c>
      <c r="AJ3890">
        <v>0</v>
      </c>
      <c r="AK3890">
        <v>4</v>
      </c>
      <c r="AL3890">
        <v>2</v>
      </c>
      <c r="AM3890">
        <v>0</v>
      </c>
      <c r="AN3890">
        <v>0</v>
      </c>
      <c r="AT3890">
        <v>0</v>
      </c>
      <c r="AU3890">
        <v>26</v>
      </c>
      <c r="AV3890">
        <v>387</v>
      </c>
      <c r="AW3890">
        <v>390</v>
      </c>
      <c r="AX3890">
        <v>562</v>
      </c>
      <c r="BA3890">
        <v>1</v>
      </c>
      <c r="BC3890" t="s">
        <v>7886</v>
      </c>
      <c r="BD3890" s="4">
        <v>43283.386805555558</v>
      </c>
      <c r="BE3890" s="4">
        <v>43283.397615740738</v>
      </c>
      <c r="BF3890" s="4">
        <v>43283.397615740738</v>
      </c>
      <c r="BG3890" t="s">
        <v>83</v>
      </c>
      <c r="BH3890" t="s">
        <v>84</v>
      </c>
      <c r="BI3890" t="s">
        <v>85</v>
      </c>
    </row>
    <row r="3891" spans="1:61" x14ac:dyDescent="0.3">
      <c r="A3891" t="str">
        <f>"202201C0200"</f>
        <v>202201C0200</v>
      </c>
      <c r="B3891" t="s">
        <v>7887</v>
      </c>
      <c r="C3891">
        <v>20</v>
      </c>
      <c r="D3891" t="s">
        <v>79</v>
      </c>
      <c r="E3891">
        <v>18</v>
      </c>
      <c r="F3891" t="s">
        <v>7655</v>
      </c>
      <c r="G3891">
        <v>2201</v>
      </c>
      <c r="H3891">
        <v>2</v>
      </c>
      <c r="I3891" t="s">
        <v>89</v>
      </c>
      <c r="J3891">
        <v>0</v>
      </c>
      <c r="K3891">
        <v>2</v>
      </c>
      <c r="L3891">
        <v>2</v>
      </c>
      <c r="M3891" t="s">
        <v>100</v>
      </c>
      <c r="N3891">
        <v>387</v>
      </c>
      <c r="O3891">
        <v>2</v>
      </c>
      <c r="P3891">
        <v>387</v>
      </c>
      <c r="Q3891">
        <v>12</v>
      </c>
      <c r="R3891">
        <v>69</v>
      </c>
      <c r="S3891">
        <v>38</v>
      </c>
      <c r="T3891">
        <v>12</v>
      </c>
      <c r="U3891">
        <v>37</v>
      </c>
      <c r="V3891">
        <v>11</v>
      </c>
      <c r="W3891">
        <v>16</v>
      </c>
      <c r="X3891">
        <v>3</v>
      </c>
      <c r="Y3891">
        <v>158</v>
      </c>
      <c r="Z3891">
        <v>4</v>
      </c>
      <c r="AA3891">
        <v>1</v>
      </c>
      <c r="AB3891">
        <v>1</v>
      </c>
      <c r="AC3891">
        <v>1</v>
      </c>
      <c r="AD3891">
        <v>2</v>
      </c>
      <c r="AE3891">
        <v>0</v>
      </c>
      <c r="AF3891">
        <v>0</v>
      </c>
      <c r="AG3891">
        <v>0</v>
      </c>
      <c r="AH3891">
        <v>1</v>
      </c>
      <c r="AI3891">
        <v>0</v>
      </c>
      <c r="AJ3891">
        <v>0</v>
      </c>
      <c r="AK3891">
        <v>1</v>
      </c>
      <c r="AL3891">
        <v>0</v>
      </c>
      <c r="AM3891">
        <v>0</v>
      </c>
      <c r="AN3891">
        <v>1</v>
      </c>
      <c r="AT3891">
        <v>0</v>
      </c>
      <c r="AU3891">
        <v>17</v>
      </c>
      <c r="AV3891">
        <v>385</v>
      </c>
      <c r="AW3891">
        <v>385</v>
      </c>
      <c r="AX3891">
        <v>562</v>
      </c>
      <c r="BA3891">
        <v>1</v>
      </c>
      <c r="BC3891" t="s">
        <v>7888</v>
      </c>
      <c r="BD3891" s="4">
        <v>43283.390972222223</v>
      </c>
      <c r="BE3891" s="4">
        <v>43283.395358796297</v>
      </c>
      <c r="BF3891" s="4">
        <v>43283.395358796297</v>
      </c>
      <c r="BG3891" t="s">
        <v>83</v>
      </c>
      <c r="BH3891" t="s">
        <v>84</v>
      </c>
      <c r="BI3891" t="s">
        <v>85</v>
      </c>
    </row>
    <row r="3892" spans="1:61" x14ac:dyDescent="0.3">
      <c r="A3892" t="str">
        <f>"202202B0100"</f>
        <v>202202B0100</v>
      </c>
      <c r="B3892" t="s">
        <v>7889</v>
      </c>
      <c r="C3892">
        <v>20</v>
      </c>
      <c r="D3892" t="s">
        <v>79</v>
      </c>
      <c r="E3892">
        <v>18</v>
      </c>
      <c r="F3892" t="s">
        <v>7655</v>
      </c>
      <c r="G3892">
        <v>2202</v>
      </c>
      <c r="H3892">
        <v>1</v>
      </c>
      <c r="I3892" t="s">
        <v>81</v>
      </c>
      <c r="J3892">
        <v>0</v>
      </c>
      <c r="K3892">
        <v>1</v>
      </c>
      <c r="L3892">
        <v>2</v>
      </c>
      <c r="M3892">
        <v>199</v>
      </c>
      <c r="N3892">
        <v>497</v>
      </c>
      <c r="O3892">
        <v>8</v>
      </c>
      <c r="P3892">
        <v>490</v>
      </c>
      <c r="Q3892">
        <v>16</v>
      </c>
      <c r="R3892">
        <v>106</v>
      </c>
      <c r="S3892">
        <v>47</v>
      </c>
      <c r="T3892">
        <v>17</v>
      </c>
      <c r="U3892">
        <v>34</v>
      </c>
      <c r="V3892">
        <v>16</v>
      </c>
      <c r="W3892">
        <v>0</v>
      </c>
      <c r="X3892">
        <v>17</v>
      </c>
      <c r="Y3892">
        <v>201</v>
      </c>
      <c r="Z3892">
        <v>3</v>
      </c>
      <c r="AA3892">
        <v>1</v>
      </c>
      <c r="AB3892">
        <v>3</v>
      </c>
      <c r="AC3892">
        <v>3</v>
      </c>
      <c r="AD3892">
        <v>1</v>
      </c>
      <c r="AE3892">
        <v>0</v>
      </c>
      <c r="AF3892">
        <v>0</v>
      </c>
      <c r="AG3892">
        <v>1</v>
      </c>
      <c r="AH3892">
        <v>0</v>
      </c>
      <c r="AI3892">
        <v>0</v>
      </c>
      <c r="AJ3892">
        <v>0</v>
      </c>
      <c r="AK3892">
        <v>0</v>
      </c>
      <c r="AL3892">
        <v>0</v>
      </c>
      <c r="AM3892">
        <v>2</v>
      </c>
      <c r="AN3892">
        <v>0</v>
      </c>
      <c r="AT3892">
        <v>0</v>
      </c>
      <c r="AU3892">
        <v>23</v>
      </c>
      <c r="AV3892">
        <v>467</v>
      </c>
      <c r="AW3892">
        <v>491</v>
      </c>
      <c r="AX3892">
        <v>673</v>
      </c>
      <c r="BA3892">
        <v>1</v>
      </c>
      <c r="BC3892" t="s">
        <v>7890</v>
      </c>
      <c r="BD3892" s="4">
        <v>43283.34652777778</v>
      </c>
      <c r="BE3892" s="4">
        <v>43283.382268518515</v>
      </c>
      <c r="BF3892" s="4">
        <v>43283.382268518515</v>
      </c>
      <c r="BG3892" t="s">
        <v>83</v>
      </c>
      <c r="BH3892" t="s">
        <v>84</v>
      </c>
      <c r="BI3892" t="s">
        <v>85</v>
      </c>
    </row>
    <row r="3893" spans="1:61" x14ac:dyDescent="0.3">
      <c r="A3893" t="str">
        <f>"202202C0100"</f>
        <v>202202C0100</v>
      </c>
      <c r="B3893" t="s">
        <v>7891</v>
      </c>
      <c r="C3893">
        <v>20</v>
      </c>
      <c r="D3893" t="s">
        <v>79</v>
      </c>
      <c r="E3893">
        <v>18</v>
      </c>
      <c r="F3893" t="s">
        <v>7655</v>
      </c>
      <c r="G3893">
        <v>2202</v>
      </c>
      <c r="H3893">
        <v>1</v>
      </c>
      <c r="I3893" t="s">
        <v>89</v>
      </c>
      <c r="J3893">
        <v>0</v>
      </c>
      <c r="K3893">
        <v>1</v>
      </c>
      <c r="L3893">
        <v>2</v>
      </c>
      <c r="M3893">
        <v>237</v>
      </c>
      <c r="N3893">
        <v>458</v>
      </c>
      <c r="O3893">
        <v>8</v>
      </c>
      <c r="P3893">
        <v>458</v>
      </c>
      <c r="Q3893">
        <v>11</v>
      </c>
      <c r="R3893">
        <v>107</v>
      </c>
      <c r="S3893">
        <v>54</v>
      </c>
      <c r="T3893">
        <v>5</v>
      </c>
      <c r="U3893">
        <v>42</v>
      </c>
      <c r="V3893">
        <v>10</v>
      </c>
      <c r="W3893">
        <v>17</v>
      </c>
      <c r="X3893">
        <v>7</v>
      </c>
      <c r="Y3893">
        <v>163</v>
      </c>
      <c r="Z3893">
        <v>2</v>
      </c>
      <c r="AA3893">
        <v>1</v>
      </c>
      <c r="AB3893">
        <v>9</v>
      </c>
      <c r="AC3893">
        <v>1</v>
      </c>
      <c r="AD3893">
        <v>0</v>
      </c>
      <c r="AE3893">
        <v>0</v>
      </c>
      <c r="AF3893">
        <v>0</v>
      </c>
      <c r="AG3893">
        <v>1</v>
      </c>
      <c r="AH3893">
        <v>2</v>
      </c>
      <c r="AI3893">
        <v>2</v>
      </c>
      <c r="AJ3893">
        <v>0</v>
      </c>
      <c r="AK3893">
        <v>4</v>
      </c>
      <c r="AL3893">
        <v>2</v>
      </c>
      <c r="AM3893">
        <v>0</v>
      </c>
      <c r="AN3893">
        <v>1</v>
      </c>
      <c r="AT3893">
        <v>0</v>
      </c>
      <c r="AU3893">
        <v>15</v>
      </c>
      <c r="AV3893">
        <v>456</v>
      </c>
      <c r="AW3893">
        <v>456</v>
      </c>
      <c r="AX3893">
        <v>672</v>
      </c>
      <c r="BA3893">
        <v>1</v>
      </c>
      <c r="BC3893" t="s">
        <v>7892</v>
      </c>
      <c r="BD3893" s="4">
        <v>43283.18472222222</v>
      </c>
      <c r="BE3893" s="4">
        <v>43283.202766203707</v>
      </c>
      <c r="BF3893" s="4">
        <v>43283.202766203707</v>
      </c>
      <c r="BG3893" t="s">
        <v>83</v>
      </c>
      <c r="BH3893" t="s">
        <v>84</v>
      </c>
      <c r="BI3893" t="s">
        <v>85</v>
      </c>
    </row>
    <row r="3894" spans="1:61" x14ac:dyDescent="0.3">
      <c r="A3894" t="str">
        <f>"202203B0100"</f>
        <v>202203B0100</v>
      </c>
      <c r="B3894" t="s">
        <v>7893</v>
      </c>
      <c r="C3894">
        <v>20</v>
      </c>
      <c r="D3894" t="s">
        <v>79</v>
      </c>
      <c r="E3894">
        <v>18</v>
      </c>
      <c r="F3894" t="s">
        <v>7655</v>
      </c>
      <c r="G3894">
        <v>2203</v>
      </c>
      <c r="H3894">
        <v>1</v>
      </c>
      <c r="I3894" t="s">
        <v>81</v>
      </c>
      <c r="J3894">
        <v>0</v>
      </c>
      <c r="K3894">
        <v>1</v>
      </c>
      <c r="L3894">
        <v>2</v>
      </c>
      <c r="M3894">
        <v>146</v>
      </c>
      <c r="N3894">
        <v>324</v>
      </c>
      <c r="O3894">
        <v>5</v>
      </c>
      <c r="P3894">
        <v>333</v>
      </c>
      <c r="Q3894">
        <v>10</v>
      </c>
      <c r="R3894">
        <v>73</v>
      </c>
      <c r="S3894">
        <v>27</v>
      </c>
      <c r="T3894">
        <v>8</v>
      </c>
      <c r="U3894">
        <v>24</v>
      </c>
      <c r="V3894">
        <v>15</v>
      </c>
      <c r="W3894">
        <v>31</v>
      </c>
      <c r="X3894">
        <v>0</v>
      </c>
      <c r="Y3894">
        <v>119</v>
      </c>
      <c r="Z3894">
        <v>3</v>
      </c>
      <c r="AA3894">
        <v>1</v>
      </c>
      <c r="AB3894">
        <v>4</v>
      </c>
      <c r="AC3894">
        <v>1</v>
      </c>
      <c r="AD3894">
        <v>0</v>
      </c>
      <c r="AE3894">
        <v>0</v>
      </c>
      <c r="AF3894">
        <v>0</v>
      </c>
      <c r="AG3894">
        <v>0</v>
      </c>
      <c r="AH3894">
        <v>2</v>
      </c>
      <c r="AI3894">
        <v>0</v>
      </c>
      <c r="AJ3894">
        <v>0</v>
      </c>
      <c r="AK3894">
        <v>6</v>
      </c>
      <c r="AL3894">
        <v>0</v>
      </c>
      <c r="AM3894">
        <v>0</v>
      </c>
      <c r="AN3894">
        <v>1</v>
      </c>
      <c r="AT3894">
        <v>0</v>
      </c>
      <c r="AU3894">
        <v>8</v>
      </c>
      <c r="AV3894">
        <v>334</v>
      </c>
      <c r="AW3894">
        <v>333</v>
      </c>
      <c r="AX3894">
        <v>456</v>
      </c>
      <c r="BA3894">
        <v>1</v>
      </c>
      <c r="BC3894" t="s">
        <v>7894</v>
      </c>
      <c r="BD3894" s="4">
        <v>43283.350694444445</v>
      </c>
      <c r="BE3894" s="4">
        <v>43283.372106481482</v>
      </c>
      <c r="BF3894" s="4">
        <v>43283.372106481482</v>
      </c>
      <c r="BG3894" t="s">
        <v>83</v>
      </c>
      <c r="BH3894" t="s">
        <v>84</v>
      </c>
      <c r="BI3894" t="s">
        <v>85</v>
      </c>
    </row>
    <row r="3895" spans="1:61" x14ac:dyDescent="0.3">
      <c r="A3895" t="str">
        <f>"202203C0100"</f>
        <v>202203C0100</v>
      </c>
      <c r="B3895" t="s">
        <v>7895</v>
      </c>
      <c r="C3895">
        <v>20</v>
      </c>
      <c r="D3895" t="s">
        <v>79</v>
      </c>
      <c r="E3895">
        <v>18</v>
      </c>
      <c r="F3895" t="s">
        <v>7655</v>
      </c>
      <c r="G3895">
        <v>2203</v>
      </c>
      <c r="H3895">
        <v>1</v>
      </c>
      <c r="I3895" t="s">
        <v>89</v>
      </c>
      <c r="J3895">
        <v>0</v>
      </c>
      <c r="K3895">
        <v>1</v>
      </c>
      <c r="L3895">
        <v>2</v>
      </c>
      <c r="M3895">
        <v>146</v>
      </c>
      <c r="N3895">
        <v>340</v>
      </c>
      <c r="O3895">
        <v>8</v>
      </c>
      <c r="P3895">
        <v>331</v>
      </c>
      <c r="Q3895">
        <v>8</v>
      </c>
      <c r="R3895">
        <v>82</v>
      </c>
      <c r="S3895">
        <v>25</v>
      </c>
      <c r="T3895">
        <v>9</v>
      </c>
      <c r="U3895">
        <v>27</v>
      </c>
      <c r="V3895">
        <v>10</v>
      </c>
      <c r="W3895">
        <v>19</v>
      </c>
      <c r="X3895">
        <v>3</v>
      </c>
      <c r="Y3895">
        <v>122</v>
      </c>
      <c r="Z3895">
        <v>3</v>
      </c>
      <c r="AA3895">
        <v>1</v>
      </c>
      <c r="AB3895">
        <v>4</v>
      </c>
      <c r="AC3895">
        <v>0</v>
      </c>
      <c r="AD3895">
        <v>1</v>
      </c>
      <c r="AE3895">
        <v>0</v>
      </c>
      <c r="AF3895">
        <v>0</v>
      </c>
      <c r="AG3895">
        <v>1</v>
      </c>
      <c r="AH3895">
        <v>0</v>
      </c>
      <c r="AI3895">
        <v>0</v>
      </c>
      <c r="AJ3895">
        <v>0</v>
      </c>
      <c r="AK3895">
        <v>2</v>
      </c>
      <c r="AL3895">
        <v>0</v>
      </c>
      <c r="AM3895">
        <v>0</v>
      </c>
      <c r="AN3895">
        <v>0</v>
      </c>
      <c r="AT3895">
        <v>0</v>
      </c>
      <c r="AU3895">
        <v>11</v>
      </c>
      <c r="AV3895">
        <v>331</v>
      </c>
      <c r="AW3895">
        <v>328</v>
      </c>
      <c r="AX3895">
        <v>455</v>
      </c>
      <c r="BA3895">
        <v>1</v>
      </c>
      <c r="BC3895" t="s">
        <v>7896</v>
      </c>
      <c r="BD3895" s="4">
        <v>43283.334722222222</v>
      </c>
      <c r="BE3895" s="4">
        <v>43283.35297453704</v>
      </c>
      <c r="BF3895" s="4">
        <v>43283.35297453704</v>
      </c>
      <c r="BG3895" t="s">
        <v>83</v>
      </c>
      <c r="BH3895" t="s">
        <v>84</v>
      </c>
      <c r="BI3895" t="s">
        <v>85</v>
      </c>
    </row>
    <row r="3896" spans="1:61" x14ac:dyDescent="0.3">
      <c r="A3896" t="str">
        <f>"202204B0100"</f>
        <v>202204B0100</v>
      </c>
      <c r="B3896" t="s">
        <v>7897</v>
      </c>
      <c r="C3896">
        <v>20</v>
      </c>
      <c r="D3896" t="s">
        <v>79</v>
      </c>
      <c r="E3896">
        <v>18</v>
      </c>
      <c r="F3896" t="s">
        <v>7655</v>
      </c>
      <c r="G3896">
        <v>2204</v>
      </c>
      <c r="H3896">
        <v>1</v>
      </c>
      <c r="I3896" t="s">
        <v>81</v>
      </c>
      <c r="J3896">
        <v>0</v>
      </c>
      <c r="K3896">
        <v>2</v>
      </c>
      <c r="L3896">
        <v>2</v>
      </c>
      <c r="M3896">
        <v>149</v>
      </c>
      <c r="N3896">
        <v>378</v>
      </c>
      <c r="O3896">
        <v>7</v>
      </c>
      <c r="P3896">
        <v>378</v>
      </c>
      <c r="Q3896">
        <v>9</v>
      </c>
      <c r="R3896">
        <v>70</v>
      </c>
      <c r="S3896">
        <v>44</v>
      </c>
      <c r="T3896">
        <v>10</v>
      </c>
      <c r="U3896">
        <v>41</v>
      </c>
      <c r="V3896">
        <v>11</v>
      </c>
      <c r="W3896">
        <v>8</v>
      </c>
      <c r="X3896">
        <v>5</v>
      </c>
      <c r="Y3896">
        <v>155</v>
      </c>
      <c r="Z3896">
        <v>4</v>
      </c>
      <c r="AA3896">
        <v>1</v>
      </c>
      <c r="AB3896">
        <v>6</v>
      </c>
      <c r="AC3896" t="s">
        <v>100</v>
      </c>
      <c r="AD3896">
        <v>1</v>
      </c>
      <c r="AE3896" t="s">
        <v>100</v>
      </c>
      <c r="AF3896" t="s">
        <v>100</v>
      </c>
      <c r="AG3896" t="s">
        <v>100</v>
      </c>
      <c r="AH3896">
        <v>1</v>
      </c>
      <c r="AI3896" t="s">
        <v>100</v>
      </c>
      <c r="AJ3896" t="s">
        <v>100</v>
      </c>
      <c r="AK3896" t="s">
        <v>100</v>
      </c>
      <c r="AL3896" t="s">
        <v>100</v>
      </c>
      <c r="AM3896" t="s">
        <v>100</v>
      </c>
      <c r="AN3896" t="s">
        <v>100</v>
      </c>
      <c r="AT3896" t="s">
        <v>100</v>
      </c>
      <c r="AU3896">
        <v>12</v>
      </c>
      <c r="AV3896">
        <v>378</v>
      </c>
      <c r="AW3896">
        <v>378</v>
      </c>
      <c r="AX3896">
        <v>507</v>
      </c>
      <c r="AZ3896" t="s">
        <v>101</v>
      </c>
      <c r="BA3896">
        <v>1</v>
      </c>
      <c r="BC3896" t="s">
        <v>7898</v>
      </c>
      <c r="BD3896" s="4">
        <v>43283.356249999997</v>
      </c>
      <c r="BE3896" s="4">
        <v>43283.372025462966</v>
      </c>
      <c r="BF3896" s="4">
        <v>43283.372025462966</v>
      </c>
      <c r="BG3896" t="s">
        <v>83</v>
      </c>
      <c r="BH3896" t="s">
        <v>84</v>
      </c>
      <c r="BI3896" t="s">
        <v>85</v>
      </c>
    </row>
    <row r="3897" spans="1:61" x14ac:dyDescent="0.3">
      <c r="A3897" t="str">
        <f>"202204C0100"</f>
        <v>202204C0100</v>
      </c>
      <c r="B3897" t="s">
        <v>7899</v>
      </c>
      <c r="C3897">
        <v>20</v>
      </c>
      <c r="D3897" t="s">
        <v>79</v>
      </c>
      <c r="E3897">
        <v>18</v>
      </c>
      <c r="F3897" t="s">
        <v>7655</v>
      </c>
      <c r="G3897">
        <v>2204</v>
      </c>
      <c r="H3897">
        <v>1</v>
      </c>
      <c r="I3897" t="s">
        <v>89</v>
      </c>
      <c r="J3897">
        <v>0</v>
      </c>
      <c r="K3897">
        <v>2</v>
      </c>
      <c r="L3897">
        <v>2</v>
      </c>
      <c r="M3897">
        <v>162</v>
      </c>
      <c r="N3897">
        <v>367</v>
      </c>
      <c r="O3897">
        <v>6</v>
      </c>
      <c r="P3897">
        <v>366</v>
      </c>
      <c r="Q3897">
        <v>12</v>
      </c>
      <c r="R3897">
        <v>67</v>
      </c>
      <c r="S3897">
        <v>30</v>
      </c>
      <c r="T3897">
        <v>7</v>
      </c>
      <c r="U3897">
        <v>44</v>
      </c>
      <c r="V3897">
        <v>16</v>
      </c>
      <c r="W3897">
        <v>4</v>
      </c>
      <c r="X3897">
        <v>2</v>
      </c>
      <c r="Y3897">
        <v>156</v>
      </c>
      <c r="Z3897">
        <v>6</v>
      </c>
      <c r="AA3897">
        <v>3</v>
      </c>
      <c r="AB3897">
        <v>1</v>
      </c>
      <c r="AC3897">
        <v>0</v>
      </c>
      <c r="AD3897">
        <v>2</v>
      </c>
      <c r="AE3897">
        <v>0</v>
      </c>
      <c r="AF3897">
        <v>0</v>
      </c>
      <c r="AG3897">
        <v>0</v>
      </c>
      <c r="AH3897">
        <v>1</v>
      </c>
      <c r="AI3897">
        <v>1</v>
      </c>
      <c r="AJ3897">
        <v>0</v>
      </c>
      <c r="AK3897">
        <v>2</v>
      </c>
      <c r="AL3897">
        <v>1</v>
      </c>
      <c r="AM3897">
        <v>0</v>
      </c>
      <c r="AN3897">
        <v>0</v>
      </c>
      <c r="AT3897">
        <v>1</v>
      </c>
      <c r="AU3897">
        <v>10</v>
      </c>
      <c r="AV3897">
        <v>366</v>
      </c>
      <c r="AW3897">
        <v>366</v>
      </c>
      <c r="AX3897">
        <v>507</v>
      </c>
      <c r="BA3897">
        <v>1</v>
      </c>
      <c r="BC3897" t="s">
        <v>7900</v>
      </c>
      <c r="BD3897" s="4">
        <v>43283.362500000003</v>
      </c>
      <c r="BE3897" s="4">
        <v>43283.375914351855</v>
      </c>
      <c r="BF3897" s="4">
        <v>43283.375914351855</v>
      </c>
      <c r="BG3897" t="s">
        <v>83</v>
      </c>
      <c r="BH3897" t="s">
        <v>84</v>
      </c>
      <c r="BI3897" t="s">
        <v>85</v>
      </c>
    </row>
    <row r="3898" spans="1:61" x14ac:dyDescent="0.3">
      <c r="A3898" t="str">
        <f>"202205B0100"</f>
        <v>202205B0100</v>
      </c>
      <c r="B3898" t="s">
        <v>7901</v>
      </c>
      <c r="C3898">
        <v>20</v>
      </c>
      <c r="D3898" t="s">
        <v>79</v>
      </c>
      <c r="E3898">
        <v>18</v>
      </c>
      <c r="F3898" t="s">
        <v>7655</v>
      </c>
      <c r="G3898">
        <v>2205</v>
      </c>
      <c r="H3898">
        <v>1</v>
      </c>
      <c r="I3898" t="s">
        <v>81</v>
      </c>
      <c r="J3898">
        <v>0</v>
      </c>
      <c r="K3898">
        <v>1</v>
      </c>
      <c r="L3898">
        <v>2</v>
      </c>
      <c r="M3898">
        <v>142</v>
      </c>
      <c r="N3898">
        <v>547</v>
      </c>
      <c r="O3898">
        <v>0</v>
      </c>
      <c r="P3898" t="s">
        <v>100</v>
      </c>
      <c r="Q3898">
        <v>13</v>
      </c>
      <c r="R3898">
        <v>41</v>
      </c>
      <c r="S3898">
        <v>36</v>
      </c>
      <c r="T3898">
        <v>11</v>
      </c>
      <c r="U3898">
        <v>57</v>
      </c>
      <c r="V3898">
        <v>11</v>
      </c>
      <c r="W3898">
        <v>3</v>
      </c>
      <c r="X3898">
        <v>7</v>
      </c>
      <c r="Y3898">
        <v>194</v>
      </c>
      <c r="Z3898">
        <v>4</v>
      </c>
      <c r="AA3898">
        <v>0</v>
      </c>
      <c r="AB3898">
        <v>11</v>
      </c>
      <c r="AC3898">
        <v>1</v>
      </c>
      <c r="AD3898">
        <v>1</v>
      </c>
      <c r="AE3898" t="s">
        <v>100</v>
      </c>
      <c r="AF3898" t="s">
        <v>100</v>
      </c>
      <c r="AG3898">
        <v>1</v>
      </c>
      <c r="AH3898" t="s">
        <v>100</v>
      </c>
      <c r="AI3898" t="s">
        <v>100</v>
      </c>
      <c r="AJ3898" t="s">
        <v>100</v>
      </c>
      <c r="AK3898">
        <v>2</v>
      </c>
      <c r="AL3898" t="s">
        <v>100</v>
      </c>
      <c r="AM3898" t="s">
        <v>100</v>
      </c>
      <c r="AN3898">
        <v>1</v>
      </c>
      <c r="AT3898" t="s">
        <v>100</v>
      </c>
      <c r="AU3898">
        <v>11</v>
      </c>
      <c r="AV3898">
        <v>405</v>
      </c>
      <c r="AW3898">
        <v>405</v>
      </c>
      <c r="AX3898">
        <v>524</v>
      </c>
      <c r="AZ3898" t="s">
        <v>101</v>
      </c>
      <c r="BA3898">
        <v>1</v>
      </c>
      <c r="BC3898" t="s">
        <v>7902</v>
      </c>
      <c r="BD3898" s="4">
        <v>43283.253472222219</v>
      </c>
      <c r="BE3898" s="4">
        <v>43283.280347222222</v>
      </c>
      <c r="BF3898" s="4">
        <v>43283.280347222222</v>
      </c>
      <c r="BG3898" t="s">
        <v>83</v>
      </c>
      <c r="BH3898" t="s">
        <v>84</v>
      </c>
      <c r="BI3898" t="s">
        <v>85</v>
      </c>
    </row>
    <row r="3899" spans="1:61" x14ac:dyDescent="0.3">
      <c r="A3899" t="str">
        <f>"202205C0100"</f>
        <v>202205C0100</v>
      </c>
      <c r="B3899" t="s">
        <v>7903</v>
      </c>
      <c r="C3899">
        <v>20</v>
      </c>
      <c r="D3899" t="s">
        <v>79</v>
      </c>
      <c r="E3899">
        <v>18</v>
      </c>
      <c r="F3899" t="s">
        <v>7655</v>
      </c>
      <c r="G3899">
        <v>2205</v>
      </c>
      <c r="H3899">
        <v>1</v>
      </c>
      <c r="I3899" t="s">
        <v>89</v>
      </c>
      <c r="J3899">
        <v>0</v>
      </c>
      <c r="K3899">
        <v>1</v>
      </c>
      <c r="L3899">
        <v>2</v>
      </c>
      <c r="M3899">
        <v>147</v>
      </c>
      <c r="N3899">
        <v>400</v>
      </c>
      <c r="O3899">
        <v>4</v>
      </c>
      <c r="P3899">
        <v>0</v>
      </c>
      <c r="Q3899">
        <v>11</v>
      </c>
      <c r="R3899">
        <v>57</v>
      </c>
      <c r="S3899">
        <v>41</v>
      </c>
      <c r="T3899">
        <v>5</v>
      </c>
      <c r="U3899">
        <v>44</v>
      </c>
      <c r="V3899">
        <v>10</v>
      </c>
      <c r="W3899">
        <v>3</v>
      </c>
      <c r="X3899">
        <v>5</v>
      </c>
      <c r="Y3899">
        <v>195</v>
      </c>
      <c r="Z3899">
        <v>4</v>
      </c>
      <c r="AA3899" t="s">
        <v>100</v>
      </c>
      <c r="AB3899">
        <v>6</v>
      </c>
      <c r="AC3899" t="s">
        <v>100</v>
      </c>
      <c r="AD3899" t="s">
        <v>100</v>
      </c>
      <c r="AE3899" t="s">
        <v>100</v>
      </c>
      <c r="AF3899" t="s">
        <v>100</v>
      </c>
      <c r="AG3899" t="s">
        <v>100</v>
      </c>
      <c r="AH3899" t="s">
        <v>100</v>
      </c>
      <c r="AI3899" t="s">
        <v>100</v>
      </c>
      <c r="AJ3899" t="s">
        <v>100</v>
      </c>
      <c r="AK3899">
        <v>2</v>
      </c>
      <c r="AL3899">
        <v>2</v>
      </c>
      <c r="AM3899">
        <v>0</v>
      </c>
      <c r="AN3899" t="s">
        <v>100</v>
      </c>
      <c r="AT3899" t="s">
        <v>100</v>
      </c>
      <c r="AU3899" t="s">
        <v>100</v>
      </c>
      <c r="AV3899">
        <v>400</v>
      </c>
      <c r="AW3899">
        <v>385</v>
      </c>
      <c r="AX3899">
        <v>523</v>
      </c>
      <c r="AZ3899" t="s">
        <v>101</v>
      </c>
      <c r="BA3899">
        <v>1</v>
      </c>
      <c r="BC3899" t="s">
        <v>7904</v>
      </c>
      <c r="BD3899" s="4">
        <v>43283.270833333336</v>
      </c>
      <c r="BE3899" s="4">
        <v>43283.309965277775</v>
      </c>
      <c r="BF3899" s="4">
        <v>43283.309965277775</v>
      </c>
      <c r="BG3899" t="s">
        <v>83</v>
      </c>
      <c r="BH3899" t="s">
        <v>84</v>
      </c>
      <c r="BI3899" t="s">
        <v>85</v>
      </c>
    </row>
    <row r="3900" spans="1:61" x14ac:dyDescent="0.3">
      <c r="A3900" t="str">
        <f>"202205C0200"</f>
        <v>202205C0200</v>
      </c>
      <c r="B3900" t="s">
        <v>7905</v>
      </c>
      <c r="C3900">
        <v>20</v>
      </c>
      <c r="D3900" t="s">
        <v>79</v>
      </c>
      <c r="E3900">
        <v>18</v>
      </c>
      <c r="F3900" t="s">
        <v>7655</v>
      </c>
      <c r="G3900">
        <v>2205</v>
      </c>
      <c r="H3900">
        <v>2</v>
      </c>
      <c r="I3900" t="s">
        <v>89</v>
      </c>
      <c r="J3900">
        <v>0</v>
      </c>
      <c r="K3900">
        <v>1</v>
      </c>
      <c r="L3900">
        <v>2</v>
      </c>
      <c r="M3900">
        <v>139</v>
      </c>
      <c r="N3900" t="s">
        <v>100</v>
      </c>
      <c r="O3900">
        <v>4</v>
      </c>
      <c r="P3900" t="s">
        <v>100</v>
      </c>
      <c r="Q3900">
        <v>9</v>
      </c>
      <c r="R3900">
        <v>49</v>
      </c>
      <c r="S3900">
        <v>39</v>
      </c>
      <c r="T3900">
        <v>8</v>
      </c>
      <c r="U3900">
        <v>44</v>
      </c>
      <c r="V3900">
        <v>8</v>
      </c>
      <c r="W3900">
        <v>7</v>
      </c>
      <c r="X3900">
        <v>8</v>
      </c>
      <c r="Y3900">
        <v>208</v>
      </c>
      <c r="Z3900" t="s">
        <v>100</v>
      </c>
      <c r="AA3900" t="s">
        <v>100</v>
      </c>
      <c r="AB3900" t="s">
        <v>100</v>
      </c>
      <c r="AC3900">
        <v>1</v>
      </c>
      <c r="AD3900" t="s">
        <v>100</v>
      </c>
      <c r="AE3900" t="s">
        <v>100</v>
      </c>
      <c r="AF3900" t="s">
        <v>100</v>
      </c>
      <c r="AG3900" t="s">
        <v>100</v>
      </c>
      <c r="AH3900" t="s">
        <v>100</v>
      </c>
      <c r="AI3900" t="s">
        <v>100</v>
      </c>
      <c r="AJ3900" t="s">
        <v>100</v>
      </c>
      <c r="AK3900">
        <v>2</v>
      </c>
      <c r="AL3900">
        <v>1</v>
      </c>
      <c r="AM3900" t="s">
        <v>100</v>
      </c>
      <c r="AN3900" t="s">
        <v>100</v>
      </c>
      <c r="AT3900" t="s">
        <v>100</v>
      </c>
      <c r="AU3900">
        <v>14</v>
      </c>
      <c r="AV3900" t="s">
        <v>100</v>
      </c>
      <c r="AW3900">
        <v>398</v>
      </c>
      <c r="AX3900">
        <v>523</v>
      </c>
      <c r="AZ3900" t="s">
        <v>101</v>
      </c>
      <c r="BA3900">
        <v>1</v>
      </c>
      <c r="BC3900" t="s">
        <v>7906</v>
      </c>
      <c r="BD3900" s="4">
        <v>43283.28402777778</v>
      </c>
      <c r="BE3900" s="4">
        <v>43283.311261574076</v>
      </c>
      <c r="BF3900" s="4">
        <v>43283.311261574076</v>
      </c>
      <c r="BG3900" t="s">
        <v>83</v>
      </c>
      <c r="BH3900" t="s">
        <v>84</v>
      </c>
      <c r="BI3900" t="s">
        <v>85</v>
      </c>
    </row>
    <row r="3901" spans="1:61" x14ac:dyDescent="0.3">
      <c r="A3901" t="str">
        <f>"202206B0100"</f>
        <v>202206B0100</v>
      </c>
      <c r="B3901" t="s">
        <v>7907</v>
      </c>
      <c r="C3901">
        <v>20</v>
      </c>
      <c r="D3901" t="s">
        <v>79</v>
      </c>
      <c r="E3901">
        <v>18</v>
      </c>
      <c r="F3901" t="s">
        <v>7655</v>
      </c>
      <c r="G3901">
        <v>2206</v>
      </c>
      <c r="H3901">
        <v>1</v>
      </c>
      <c r="I3901" t="s">
        <v>81</v>
      </c>
      <c r="J3901">
        <v>0</v>
      </c>
      <c r="K3901">
        <v>1</v>
      </c>
      <c r="L3901">
        <v>2</v>
      </c>
      <c r="M3901">
        <v>230</v>
      </c>
      <c r="N3901">
        <v>473</v>
      </c>
      <c r="O3901">
        <v>7</v>
      </c>
      <c r="P3901" t="s">
        <v>100</v>
      </c>
      <c r="Q3901">
        <v>13</v>
      </c>
      <c r="R3901">
        <v>65</v>
      </c>
      <c r="S3901">
        <v>41</v>
      </c>
      <c r="T3901">
        <v>15</v>
      </c>
      <c r="U3901">
        <v>50</v>
      </c>
      <c r="V3901">
        <v>9</v>
      </c>
      <c r="W3901">
        <v>15</v>
      </c>
      <c r="X3901">
        <v>5</v>
      </c>
      <c r="Y3901">
        <v>200</v>
      </c>
      <c r="Z3901">
        <v>6</v>
      </c>
      <c r="AA3901">
        <v>2</v>
      </c>
      <c r="AB3901">
        <v>5</v>
      </c>
      <c r="AC3901">
        <v>0</v>
      </c>
      <c r="AD3901">
        <v>0</v>
      </c>
      <c r="AE3901">
        <v>0</v>
      </c>
      <c r="AF3901">
        <v>0</v>
      </c>
      <c r="AG3901">
        <v>1</v>
      </c>
      <c r="AH3901">
        <v>1</v>
      </c>
      <c r="AI3901">
        <v>1</v>
      </c>
      <c r="AJ3901">
        <v>0</v>
      </c>
      <c r="AK3901">
        <v>7</v>
      </c>
      <c r="AL3901">
        <v>2</v>
      </c>
      <c r="AM3901">
        <v>0</v>
      </c>
      <c r="AN3901">
        <v>2</v>
      </c>
      <c r="AT3901" t="s">
        <v>100</v>
      </c>
      <c r="AU3901">
        <v>7</v>
      </c>
      <c r="AV3901" t="s">
        <v>100</v>
      </c>
      <c r="AW3901">
        <v>447</v>
      </c>
      <c r="AX3901">
        <v>680</v>
      </c>
      <c r="AZ3901" t="s">
        <v>101</v>
      </c>
      <c r="BA3901">
        <v>1</v>
      </c>
      <c r="BC3901" t="s">
        <v>7908</v>
      </c>
      <c r="BD3901" s="4">
        <v>43283.340277777781</v>
      </c>
      <c r="BE3901" s="4">
        <v>43283.357094907406</v>
      </c>
      <c r="BF3901" s="4">
        <v>43283.357094907406</v>
      </c>
      <c r="BG3901" t="s">
        <v>83</v>
      </c>
      <c r="BH3901" t="s">
        <v>84</v>
      </c>
      <c r="BI3901" t="s">
        <v>85</v>
      </c>
    </row>
    <row r="3902" spans="1:61" x14ac:dyDescent="0.3">
      <c r="A3902" t="str">
        <f>"202206C0100"</f>
        <v>202206C0100</v>
      </c>
      <c r="B3902" t="s">
        <v>7909</v>
      </c>
      <c r="C3902">
        <v>20</v>
      </c>
      <c r="D3902" t="s">
        <v>79</v>
      </c>
      <c r="E3902">
        <v>18</v>
      </c>
      <c r="F3902" t="s">
        <v>7655</v>
      </c>
      <c r="G3902">
        <v>2206</v>
      </c>
      <c r="H3902">
        <v>1</v>
      </c>
      <c r="I3902" t="s">
        <v>89</v>
      </c>
      <c r="J3902">
        <v>0</v>
      </c>
      <c r="K3902">
        <v>1</v>
      </c>
      <c r="L3902">
        <v>2</v>
      </c>
      <c r="M3902">
        <v>229</v>
      </c>
      <c r="N3902">
        <v>473</v>
      </c>
      <c r="O3902">
        <v>6</v>
      </c>
      <c r="P3902">
        <v>473</v>
      </c>
      <c r="Q3902">
        <v>13</v>
      </c>
      <c r="R3902">
        <v>71</v>
      </c>
      <c r="S3902">
        <v>38</v>
      </c>
      <c r="T3902">
        <v>23</v>
      </c>
      <c r="U3902">
        <v>50</v>
      </c>
      <c r="V3902">
        <v>5</v>
      </c>
      <c r="W3902">
        <v>17</v>
      </c>
      <c r="X3902">
        <v>7</v>
      </c>
      <c r="Y3902">
        <v>209</v>
      </c>
      <c r="Z3902">
        <v>5</v>
      </c>
      <c r="AA3902">
        <v>1</v>
      </c>
      <c r="AB3902">
        <v>8</v>
      </c>
      <c r="AC3902">
        <v>0</v>
      </c>
      <c r="AD3902">
        <v>1</v>
      </c>
      <c r="AE3902">
        <v>0</v>
      </c>
      <c r="AF3902">
        <v>2</v>
      </c>
      <c r="AG3902">
        <v>0</v>
      </c>
      <c r="AH3902">
        <v>1</v>
      </c>
      <c r="AI3902">
        <v>1</v>
      </c>
      <c r="AJ3902">
        <v>0</v>
      </c>
      <c r="AK3902">
        <v>3</v>
      </c>
      <c r="AL3902">
        <v>0</v>
      </c>
      <c r="AM3902">
        <v>0</v>
      </c>
      <c r="AN3902">
        <v>0</v>
      </c>
      <c r="AT3902">
        <v>0</v>
      </c>
      <c r="AU3902">
        <v>18</v>
      </c>
      <c r="AV3902">
        <v>473</v>
      </c>
      <c r="AW3902">
        <v>473</v>
      </c>
      <c r="AX3902">
        <v>679</v>
      </c>
      <c r="BA3902">
        <v>1</v>
      </c>
      <c r="BC3902" t="s">
        <v>7910</v>
      </c>
      <c r="BD3902" s="4">
        <v>43283.356944444444</v>
      </c>
      <c r="BE3902" s="4">
        <v>43283.374189814815</v>
      </c>
      <c r="BF3902" s="4">
        <v>43283.374189814815</v>
      </c>
      <c r="BG3902" t="s">
        <v>83</v>
      </c>
      <c r="BH3902" t="s">
        <v>84</v>
      </c>
      <c r="BI3902" t="s">
        <v>85</v>
      </c>
    </row>
    <row r="3903" spans="1:61" x14ac:dyDescent="0.3">
      <c r="A3903" t="str">
        <f>"202207B0100"</f>
        <v>202207B0100</v>
      </c>
      <c r="B3903" t="s">
        <v>7911</v>
      </c>
      <c r="C3903">
        <v>20</v>
      </c>
      <c r="D3903" t="s">
        <v>79</v>
      </c>
      <c r="E3903">
        <v>18</v>
      </c>
      <c r="F3903" t="s">
        <v>7655</v>
      </c>
      <c r="G3903">
        <v>2207</v>
      </c>
      <c r="H3903">
        <v>1</v>
      </c>
      <c r="I3903" t="s">
        <v>81</v>
      </c>
      <c r="J3903">
        <v>0</v>
      </c>
      <c r="K3903">
        <v>2</v>
      </c>
      <c r="L3903">
        <v>2</v>
      </c>
      <c r="M3903">
        <v>166</v>
      </c>
      <c r="N3903">
        <v>411</v>
      </c>
      <c r="O3903">
        <v>6</v>
      </c>
      <c r="P3903">
        <v>410</v>
      </c>
      <c r="Q3903">
        <v>24</v>
      </c>
      <c r="R3903">
        <v>70</v>
      </c>
      <c r="S3903">
        <v>68</v>
      </c>
      <c r="T3903">
        <v>8</v>
      </c>
      <c r="U3903">
        <v>27</v>
      </c>
      <c r="V3903">
        <v>50</v>
      </c>
      <c r="W3903">
        <v>8</v>
      </c>
      <c r="X3903">
        <v>4</v>
      </c>
      <c r="Y3903">
        <v>122</v>
      </c>
      <c r="Z3903" t="s">
        <v>100</v>
      </c>
      <c r="AA3903">
        <v>1</v>
      </c>
      <c r="AB3903">
        <v>2</v>
      </c>
      <c r="AC3903" t="s">
        <v>100</v>
      </c>
      <c r="AD3903" t="s">
        <v>100</v>
      </c>
      <c r="AE3903" t="s">
        <v>100</v>
      </c>
      <c r="AF3903">
        <v>8</v>
      </c>
      <c r="AG3903">
        <v>1</v>
      </c>
      <c r="AH3903" t="s">
        <v>100</v>
      </c>
      <c r="AI3903" t="s">
        <v>100</v>
      </c>
      <c r="AJ3903" t="s">
        <v>100</v>
      </c>
      <c r="AK3903" t="s">
        <v>100</v>
      </c>
      <c r="AL3903" t="s">
        <v>100</v>
      </c>
      <c r="AM3903">
        <v>4</v>
      </c>
      <c r="AN3903" t="s">
        <v>100</v>
      </c>
      <c r="AT3903" t="s">
        <v>100</v>
      </c>
      <c r="AU3903">
        <v>13</v>
      </c>
      <c r="AV3903">
        <v>410</v>
      </c>
      <c r="AW3903">
        <v>410</v>
      </c>
      <c r="AX3903">
        <v>554</v>
      </c>
      <c r="AZ3903" t="s">
        <v>101</v>
      </c>
      <c r="BA3903">
        <v>1</v>
      </c>
      <c r="BC3903" t="s">
        <v>7912</v>
      </c>
      <c r="BD3903" s="4">
        <v>43283.371527777781</v>
      </c>
      <c r="BE3903" s="4">
        <v>43283.380543981482</v>
      </c>
      <c r="BF3903" s="4">
        <v>43283.380543981482</v>
      </c>
      <c r="BG3903" t="s">
        <v>83</v>
      </c>
      <c r="BH3903" t="s">
        <v>84</v>
      </c>
      <c r="BI3903" t="s">
        <v>85</v>
      </c>
    </row>
    <row r="3904" spans="1:61" x14ac:dyDescent="0.3">
      <c r="A3904" t="str">
        <f>"202207C0100"</f>
        <v>202207C0100</v>
      </c>
      <c r="B3904" t="s">
        <v>7913</v>
      </c>
      <c r="C3904">
        <v>20</v>
      </c>
      <c r="D3904" t="s">
        <v>79</v>
      </c>
      <c r="E3904">
        <v>18</v>
      </c>
      <c r="F3904" t="s">
        <v>7655</v>
      </c>
      <c r="G3904">
        <v>2207</v>
      </c>
      <c r="H3904">
        <v>1</v>
      </c>
      <c r="I3904" t="s">
        <v>89</v>
      </c>
      <c r="J3904">
        <v>0</v>
      </c>
      <c r="K3904">
        <v>2</v>
      </c>
      <c r="L3904">
        <v>2</v>
      </c>
      <c r="M3904">
        <v>164</v>
      </c>
      <c r="N3904" t="s">
        <v>100</v>
      </c>
      <c r="O3904">
        <v>574</v>
      </c>
      <c r="P3904" t="s">
        <v>100</v>
      </c>
      <c r="Q3904">
        <v>15</v>
      </c>
      <c r="R3904">
        <v>69</v>
      </c>
      <c r="S3904">
        <v>60</v>
      </c>
      <c r="T3904">
        <v>7</v>
      </c>
      <c r="U3904">
        <v>23</v>
      </c>
      <c r="V3904">
        <v>57</v>
      </c>
      <c r="W3904">
        <v>5</v>
      </c>
      <c r="X3904">
        <v>142</v>
      </c>
      <c r="Y3904">
        <v>2</v>
      </c>
      <c r="Z3904">
        <v>2</v>
      </c>
      <c r="AA3904">
        <v>7</v>
      </c>
      <c r="AB3904">
        <v>7</v>
      </c>
      <c r="AC3904">
        <v>4</v>
      </c>
      <c r="AD3904" t="s">
        <v>100</v>
      </c>
      <c r="AE3904" t="s">
        <v>100</v>
      </c>
      <c r="AF3904" t="s">
        <v>100</v>
      </c>
      <c r="AG3904">
        <v>1</v>
      </c>
      <c r="AH3904" t="s">
        <v>100</v>
      </c>
      <c r="AI3904" t="s">
        <v>100</v>
      </c>
      <c r="AJ3904" t="s">
        <v>100</v>
      </c>
      <c r="AK3904">
        <v>1</v>
      </c>
      <c r="AL3904" t="s">
        <v>100</v>
      </c>
      <c r="AM3904" t="s">
        <v>100</v>
      </c>
      <c r="AN3904" t="s">
        <v>100</v>
      </c>
      <c r="AT3904" t="s">
        <v>100</v>
      </c>
      <c r="AU3904">
        <v>14</v>
      </c>
      <c r="AV3904">
        <v>410</v>
      </c>
      <c r="AW3904">
        <v>416</v>
      </c>
      <c r="AX3904">
        <v>554</v>
      </c>
      <c r="AZ3904" t="s">
        <v>101</v>
      </c>
      <c r="BA3904">
        <v>1</v>
      </c>
      <c r="BC3904" t="s">
        <v>7914</v>
      </c>
      <c r="BD3904" s="4">
        <v>43283.35833333333</v>
      </c>
      <c r="BE3904" s="4">
        <v>43283.374074074076</v>
      </c>
      <c r="BF3904" s="4">
        <v>43283.374074074076</v>
      </c>
      <c r="BG3904" t="s">
        <v>83</v>
      </c>
      <c r="BH3904" t="s">
        <v>84</v>
      </c>
      <c r="BI3904" t="s">
        <v>85</v>
      </c>
    </row>
    <row r="3905" spans="1:61" x14ac:dyDescent="0.3">
      <c r="A3905" t="str">
        <f>"202207E0100"</f>
        <v>202207E0100</v>
      </c>
      <c r="B3905" s="2" t="s">
        <v>7915</v>
      </c>
      <c r="C3905">
        <v>20</v>
      </c>
      <c r="D3905" t="s">
        <v>79</v>
      </c>
      <c r="E3905">
        <v>18</v>
      </c>
      <c r="F3905" t="s">
        <v>7655</v>
      </c>
      <c r="G3905">
        <v>2207</v>
      </c>
      <c r="H3905">
        <v>1</v>
      </c>
      <c r="I3905" t="s">
        <v>145</v>
      </c>
      <c r="J3905">
        <v>0</v>
      </c>
      <c r="K3905">
        <v>2</v>
      </c>
      <c r="L3905">
        <v>2</v>
      </c>
      <c r="M3905">
        <v>163</v>
      </c>
      <c r="N3905">
        <v>313</v>
      </c>
      <c r="O3905">
        <v>0</v>
      </c>
      <c r="P3905">
        <v>8</v>
      </c>
      <c r="Q3905">
        <v>5</v>
      </c>
      <c r="R3905">
        <v>55</v>
      </c>
      <c r="S3905">
        <v>71</v>
      </c>
      <c r="T3905">
        <v>5</v>
      </c>
      <c r="U3905">
        <v>33</v>
      </c>
      <c r="V3905">
        <v>4</v>
      </c>
      <c r="W3905">
        <v>3</v>
      </c>
      <c r="X3905">
        <v>2</v>
      </c>
      <c r="Y3905">
        <v>157</v>
      </c>
      <c r="Z3905">
        <v>2</v>
      </c>
      <c r="AA3905">
        <v>0</v>
      </c>
      <c r="AB3905">
        <v>19</v>
      </c>
      <c r="AC3905">
        <v>0</v>
      </c>
      <c r="AD3905">
        <v>0</v>
      </c>
      <c r="AE3905">
        <v>1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1</v>
      </c>
      <c r="AL3905">
        <v>1</v>
      </c>
      <c r="AM3905">
        <v>0</v>
      </c>
      <c r="AN3905">
        <v>0</v>
      </c>
      <c r="AT3905">
        <v>0</v>
      </c>
      <c r="AU3905">
        <v>13</v>
      </c>
      <c r="AV3905">
        <v>372</v>
      </c>
      <c r="AW3905">
        <v>372</v>
      </c>
      <c r="AX3905">
        <v>513</v>
      </c>
      <c r="BA3905">
        <v>1</v>
      </c>
      <c r="BC3905" t="s">
        <v>7916</v>
      </c>
      <c r="BD3905" s="4">
        <v>43283.368750000001</v>
      </c>
      <c r="BE3905" s="4">
        <v>43283.378483796296</v>
      </c>
      <c r="BF3905" s="4">
        <v>43283.378483796296</v>
      </c>
      <c r="BG3905" t="s">
        <v>83</v>
      </c>
      <c r="BH3905" t="s">
        <v>84</v>
      </c>
      <c r="BI3905" t="s">
        <v>85</v>
      </c>
    </row>
    <row r="3906" spans="1:61" x14ac:dyDescent="0.3">
      <c r="A3906" t="str">
        <f>"202207E0101"</f>
        <v>202207E0101</v>
      </c>
      <c r="B3906" s="2" t="s">
        <v>7917</v>
      </c>
      <c r="C3906">
        <v>20</v>
      </c>
      <c r="D3906" t="s">
        <v>79</v>
      </c>
      <c r="E3906">
        <v>18</v>
      </c>
      <c r="F3906" t="s">
        <v>7655</v>
      </c>
      <c r="G3906">
        <v>2207</v>
      </c>
      <c r="H3906">
        <v>1</v>
      </c>
      <c r="I3906" t="s">
        <v>145</v>
      </c>
      <c r="J3906">
        <v>1</v>
      </c>
      <c r="K3906">
        <v>2</v>
      </c>
      <c r="L3906">
        <v>2</v>
      </c>
      <c r="M3906">
        <v>145</v>
      </c>
      <c r="N3906">
        <v>390</v>
      </c>
      <c r="O3906">
        <v>3</v>
      </c>
      <c r="P3906">
        <v>390</v>
      </c>
      <c r="Q3906">
        <v>8</v>
      </c>
      <c r="R3906">
        <v>75</v>
      </c>
      <c r="S3906">
        <v>66</v>
      </c>
      <c r="T3906">
        <v>9</v>
      </c>
      <c r="U3906">
        <v>22</v>
      </c>
      <c r="V3906">
        <v>5</v>
      </c>
      <c r="W3906">
        <v>7</v>
      </c>
      <c r="X3906">
        <v>5</v>
      </c>
      <c r="Y3906">
        <v>133</v>
      </c>
      <c r="Z3906">
        <v>8</v>
      </c>
      <c r="AA3906">
        <v>1</v>
      </c>
      <c r="AB3906">
        <v>15</v>
      </c>
      <c r="AC3906">
        <v>2</v>
      </c>
      <c r="AD3906">
        <v>3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1</v>
      </c>
      <c r="AM3906">
        <v>0</v>
      </c>
      <c r="AN3906">
        <v>0</v>
      </c>
      <c r="AT3906" t="s">
        <v>100</v>
      </c>
      <c r="AU3906">
        <v>28</v>
      </c>
      <c r="AV3906">
        <v>391</v>
      </c>
      <c r="AW3906">
        <v>388</v>
      </c>
      <c r="AX3906">
        <v>512</v>
      </c>
      <c r="AZ3906" t="s">
        <v>101</v>
      </c>
      <c r="BA3906">
        <v>1</v>
      </c>
      <c r="BC3906" t="s">
        <v>7918</v>
      </c>
      <c r="BD3906" s="4">
        <v>43283.377083333333</v>
      </c>
      <c r="BE3906" s="4">
        <v>43283.381828703707</v>
      </c>
      <c r="BF3906" s="4">
        <v>43283.381828703707</v>
      </c>
      <c r="BG3906" t="s">
        <v>83</v>
      </c>
      <c r="BH3906" t="s">
        <v>84</v>
      </c>
      <c r="BI3906" t="s">
        <v>85</v>
      </c>
    </row>
    <row r="3907" spans="1:61" x14ac:dyDescent="0.3">
      <c r="A3907" t="str">
        <f>"202207S0100"</f>
        <v>202207S0100</v>
      </c>
      <c r="B3907" t="s">
        <v>7919</v>
      </c>
      <c r="C3907">
        <v>20</v>
      </c>
      <c r="D3907" t="s">
        <v>79</v>
      </c>
      <c r="E3907">
        <v>18</v>
      </c>
      <c r="F3907" t="s">
        <v>7655</v>
      </c>
      <c r="G3907">
        <v>2207</v>
      </c>
      <c r="H3907">
        <v>1</v>
      </c>
      <c r="I3907" t="s">
        <v>104</v>
      </c>
      <c r="J3907">
        <v>0</v>
      </c>
      <c r="K3907">
        <v>2</v>
      </c>
      <c r="L3907">
        <v>3</v>
      </c>
      <c r="AX3907">
        <v>0</v>
      </c>
      <c r="AZ3907" t="s">
        <v>156</v>
      </c>
      <c r="BA3907">
        <v>0</v>
      </c>
      <c r="BC3907" t="s">
        <v>7920</v>
      </c>
      <c r="BD3907" s="4">
        <v>43283.681944444441</v>
      </c>
      <c r="BE3907" s="4">
        <v>43283.685740740744</v>
      </c>
      <c r="BF3907" s="4">
        <v>43283.685740740744</v>
      </c>
      <c r="BG3907" t="s">
        <v>83</v>
      </c>
      <c r="BH3907" t="s">
        <v>84</v>
      </c>
      <c r="BI3907" t="s">
        <v>85</v>
      </c>
    </row>
    <row r="3908" spans="1:61" x14ac:dyDescent="0.3">
      <c r="A3908" t="str">
        <f>"202207S0200"</f>
        <v>202207S0200</v>
      </c>
      <c r="B3908" t="s">
        <v>7921</v>
      </c>
      <c r="C3908">
        <v>20</v>
      </c>
      <c r="D3908" t="s">
        <v>79</v>
      </c>
      <c r="E3908">
        <v>18</v>
      </c>
      <c r="F3908" t="s">
        <v>7655</v>
      </c>
      <c r="G3908">
        <v>2207</v>
      </c>
      <c r="H3908">
        <v>2</v>
      </c>
      <c r="I3908" t="s">
        <v>104</v>
      </c>
      <c r="J3908">
        <v>0</v>
      </c>
      <c r="K3908">
        <v>2</v>
      </c>
      <c r="L3908">
        <v>3</v>
      </c>
      <c r="AX3908">
        <v>0</v>
      </c>
      <c r="AZ3908" t="s">
        <v>156</v>
      </c>
      <c r="BA3908">
        <v>0</v>
      </c>
      <c r="BC3908" t="s">
        <v>7922</v>
      </c>
      <c r="BD3908" s="4">
        <v>43283.682638888888</v>
      </c>
      <c r="BE3908" s="4">
        <v>43283.685995370368</v>
      </c>
      <c r="BF3908" s="4">
        <v>43283.685995370368</v>
      </c>
      <c r="BG3908" t="s">
        <v>83</v>
      </c>
      <c r="BH3908" t="s">
        <v>84</v>
      </c>
      <c r="BI3908" t="s">
        <v>85</v>
      </c>
    </row>
    <row r="3909" spans="1:61" x14ac:dyDescent="0.3">
      <c r="A3909" t="str">
        <f>"202208B0100"</f>
        <v>202208B0100</v>
      </c>
      <c r="B3909" t="s">
        <v>7923</v>
      </c>
      <c r="C3909">
        <v>20</v>
      </c>
      <c r="D3909" t="s">
        <v>79</v>
      </c>
      <c r="E3909">
        <v>18</v>
      </c>
      <c r="F3909" t="s">
        <v>7655</v>
      </c>
      <c r="G3909">
        <v>2208</v>
      </c>
      <c r="H3909">
        <v>1</v>
      </c>
      <c r="I3909" t="s">
        <v>81</v>
      </c>
      <c r="J3909">
        <v>0</v>
      </c>
      <c r="K3909">
        <v>1</v>
      </c>
      <c r="L3909">
        <v>2</v>
      </c>
      <c r="M3909">
        <v>127</v>
      </c>
      <c r="N3909">
        <v>311</v>
      </c>
      <c r="O3909">
        <v>4</v>
      </c>
      <c r="P3909">
        <v>311</v>
      </c>
      <c r="Q3909">
        <v>14</v>
      </c>
      <c r="R3909">
        <v>60</v>
      </c>
      <c r="S3909">
        <v>39</v>
      </c>
      <c r="T3909">
        <v>8</v>
      </c>
      <c r="U3909">
        <v>30</v>
      </c>
      <c r="V3909">
        <v>40</v>
      </c>
      <c r="W3909">
        <v>2</v>
      </c>
      <c r="X3909">
        <v>8</v>
      </c>
      <c r="Y3909">
        <v>90</v>
      </c>
      <c r="Z3909">
        <v>3</v>
      </c>
      <c r="AA3909">
        <v>0</v>
      </c>
      <c r="AB3909">
        <v>2</v>
      </c>
      <c r="AC3909">
        <v>1</v>
      </c>
      <c r="AD3909">
        <v>2</v>
      </c>
      <c r="AE3909">
        <v>0</v>
      </c>
      <c r="AF3909">
        <v>0</v>
      </c>
      <c r="AG3909">
        <v>0</v>
      </c>
      <c r="AH3909">
        <v>1</v>
      </c>
      <c r="AI3909">
        <v>0</v>
      </c>
      <c r="AJ3909">
        <v>0</v>
      </c>
      <c r="AK3909">
        <v>4</v>
      </c>
      <c r="AL3909">
        <v>1</v>
      </c>
      <c r="AM3909">
        <v>0</v>
      </c>
      <c r="AN3909">
        <v>0</v>
      </c>
      <c r="AT3909">
        <v>0</v>
      </c>
      <c r="AU3909">
        <v>6</v>
      </c>
      <c r="AV3909">
        <v>311</v>
      </c>
      <c r="AW3909">
        <v>311</v>
      </c>
      <c r="AX3909">
        <v>415</v>
      </c>
      <c r="BA3909">
        <v>1</v>
      </c>
      <c r="BC3909" t="s">
        <v>7924</v>
      </c>
      <c r="BD3909" s="4">
        <v>43283.361805555556</v>
      </c>
      <c r="BE3909" s="4">
        <v>43283.376145833332</v>
      </c>
      <c r="BF3909" s="4">
        <v>43283.376145833332</v>
      </c>
      <c r="BG3909" t="s">
        <v>83</v>
      </c>
      <c r="BH3909" t="s">
        <v>84</v>
      </c>
      <c r="BI3909" t="s">
        <v>85</v>
      </c>
    </row>
    <row r="3910" spans="1:61" x14ac:dyDescent="0.3">
      <c r="A3910" t="str">
        <f>"202208C0100"</f>
        <v>202208C0100</v>
      </c>
      <c r="B3910" t="s">
        <v>7925</v>
      </c>
      <c r="C3910">
        <v>20</v>
      </c>
      <c r="D3910" t="s">
        <v>79</v>
      </c>
      <c r="E3910">
        <v>18</v>
      </c>
      <c r="F3910" t="s">
        <v>7655</v>
      </c>
      <c r="G3910">
        <v>2208</v>
      </c>
      <c r="H3910">
        <v>1</v>
      </c>
      <c r="I3910" t="s">
        <v>89</v>
      </c>
      <c r="J3910">
        <v>0</v>
      </c>
      <c r="K3910">
        <v>1</v>
      </c>
      <c r="L3910">
        <v>2</v>
      </c>
      <c r="M3910">
        <v>122</v>
      </c>
      <c r="N3910">
        <v>316</v>
      </c>
      <c r="O3910">
        <v>4</v>
      </c>
      <c r="P3910">
        <v>316</v>
      </c>
      <c r="Q3910">
        <v>15</v>
      </c>
      <c r="R3910">
        <v>51</v>
      </c>
      <c r="S3910">
        <v>35</v>
      </c>
      <c r="T3910">
        <v>6</v>
      </c>
      <c r="U3910">
        <v>22</v>
      </c>
      <c r="V3910">
        <v>30</v>
      </c>
      <c r="W3910">
        <v>2</v>
      </c>
      <c r="X3910">
        <v>7</v>
      </c>
      <c r="Y3910">
        <v>117</v>
      </c>
      <c r="Z3910">
        <v>3</v>
      </c>
      <c r="AA3910">
        <v>0</v>
      </c>
      <c r="AB3910">
        <v>7</v>
      </c>
      <c r="AC3910">
        <v>2</v>
      </c>
      <c r="AD3910">
        <v>0</v>
      </c>
      <c r="AE3910">
        <v>1</v>
      </c>
      <c r="AF3910">
        <v>2</v>
      </c>
      <c r="AG3910">
        <v>1</v>
      </c>
      <c r="AH3910">
        <v>1</v>
      </c>
      <c r="AI3910">
        <v>0</v>
      </c>
      <c r="AJ3910">
        <v>0</v>
      </c>
      <c r="AK3910">
        <v>2</v>
      </c>
      <c r="AL3910">
        <v>2</v>
      </c>
      <c r="AM3910">
        <v>0</v>
      </c>
      <c r="AN3910">
        <v>0</v>
      </c>
      <c r="AT3910">
        <v>0</v>
      </c>
      <c r="AU3910">
        <v>10</v>
      </c>
      <c r="AV3910">
        <v>316</v>
      </c>
      <c r="AW3910">
        <v>316</v>
      </c>
      <c r="AX3910">
        <v>415</v>
      </c>
      <c r="BA3910">
        <v>1</v>
      </c>
      <c r="BC3910" t="s">
        <v>7926</v>
      </c>
      <c r="BD3910" s="4">
        <v>43283.365277777775</v>
      </c>
      <c r="BE3910" s="4">
        <v>43283.377349537041</v>
      </c>
      <c r="BF3910" s="4">
        <v>43283.377349537041</v>
      </c>
      <c r="BG3910" t="s">
        <v>83</v>
      </c>
      <c r="BH3910" t="s">
        <v>84</v>
      </c>
      <c r="BI3910" t="s">
        <v>85</v>
      </c>
    </row>
    <row r="3911" spans="1:61" x14ac:dyDescent="0.3">
      <c r="A3911" t="str">
        <f>"202209B0100"</f>
        <v>202209B0100</v>
      </c>
      <c r="B3911" t="s">
        <v>7927</v>
      </c>
      <c r="C3911">
        <v>20</v>
      </c>
      <c r="D3911" t="s">
        <v>79</v>
      </c>
      <c r="E3911">
        <v>18</v>
      </c>
      <c r="F3911" t="s">
        <v>7655</v>
      </c>
      <c r="G3911">
        <v>2209</v>
      </c>
      <c r="H3911">
        <v>1</v>
      </c>
      <c r="I3911" t="s">
        <v>81</v>
      </c>
      <c r="J3911">
        <v>0</v>
      </c>
      <c r="K3911">
        <v>1</v>
      </c>
      <c r="L3911">
        <v>2</v>
      </c>
      <c r="M3911">
        <v>137</v>
      </c>
      <c r="N3911" t="s">
        <v>100</v>
      </c>
      <c r="O3911" t="s">
        <v>100</v>
      </c>
      <c r="P3911" t="s">
        <v>100</v>
      </c>
      <c r="Q3911">
        <v>11</v>
      </c>
      <c r="R3911">
        <v>48</v>
      </c>
      <c r="S3911">
        <v>25</v>
      </c>
      <c r="T3911">
        <v>17</v>
      </c>
      <c r="U3911">
        <v>65</v>
      </c>
      <c r="V3911">
        <v>12</v>
      </c>
      <c r="W3911">
        <v>3</v>
      </c>
      <c r="X3911">
        <v>3</v>
      </c>
      <c r="Y3911">
        <v>196</v>
      </c>
      <c r="Z3911">
        <v>3</v>
      </c>
      <c r="AA3911">
        <v>1</v>
      </c>
      <c r="AB3911">
        <v>5</v>
      </c>
      <c r="AC3911">
        <v>2</v>
      </c>
      <c r="AD3911" t="s">
        <v>100</v>
      </c>
      <c r="AE3911" t="s">
        <v>100</v>
      </c>
      <c r="AF3911" t="s">
        <v>100</v>
      </c>
      <c r="AG3911" t="s">
        <v>100</v>
      </c>
      <c r="AH3911">
        <v>1</v>
      </c>
      <c r="AI3911" t="s">
        <v>100</v>
      </c>
      <c r="AJ3911" t="s">
        <v>100</v>
      </c>
      <c r="AK3911">
        <v>1</v>
      </c>
      <c r="AL3911">
        <v>1</v>
      </c>
      <c r="AM3911">
        <v>1</v>
      </c>
      <c r="AN3911">
        <v>1</v>
      </c>
      <c r="AT3911" t="s">
        <v>100</v>
      </c>
      <c r="AU3911">
        <v>10</v>
      </c>
      <c r="AV3911">
        <v>409</v>
      </c>
      <c r="AW3911">
        <v>406</v>
      </c>
      <c r="AX3911">
        <v>522</v>
      </c>
      <c r="AZ3911" t="s">
        <v>101</v>
      </c>
      <c r="BA3911">
        <v>1</v>
      </c>
      <c r="BC3911" t="s">
        <v>7928</v>
      </c>
      <c r="BD3911" s="4">
        <v>43283.267361111109</v>
      </c>
      <c r="BE3911" s="4">
        <v>43283.29346064815</v>
      </c>
      <c r="BF3911" s="4">
        <v>43283.29346064815</v>
      </c>
      <c r="BG3911" t="s">
        <v>83</v>
      </c>
      <c r="BH3911" t="s">
        <v>84</v>
      </c>
      <c r="BI3911" t="s">
        <v>85</v>
      </c>
    </row>
    <row r="3912" spans="1:61" x14ac:dyDescent="0.3">
      <c r="A3912" t="str">
        <f>"202209C0100"</f>
        <v>202209C0100</v>
      </c>
      <c r="B3912" t="s">
        <v>7929</v>
      </c>
      <c r="C3912">
        <v>20</v>
      </c>
      <c r="D3912" t="s">
        <v>79</v>
      </c>
      <c r="E3912">
        <v>18</v>
      </c>
      <c r="F3912" t="s">
        <v>7655</v>
      </c>
      <c r="G3912">
        <v>2209</v>
      </c>
      <c r="H3912">
        <v>1</v>
      </c>
      <c r="I3912" t="s">
        <v>89</v>
      </c>
      <c r="J3912">
        <v>0</v>
      </c>
      <c r="K3912">
        <v>1</v>
      </c>
      <c r="L3912">
        <v>2</v>
      </c>
      <c r="M3912">
        <v>164</v>
      </c>
      <c r="N3912">
        <v>381</v>
      </c>
      <c r="O3912">
        <v>0</v>
      </c>
      <c r="P3912">
        <v>383</v>
      </c>
      <c r="Q3912">
        <v>13</v>
      </c>
      <c r="R3912">
        <v>29</v>
      </c>
      <c r="S3912">
        <v>31</v>
      </c>
      <c r="T3912">
        <v>6</v>
      </c>
      <c r="U3912">
        <v>67</v>
      </c>
      <c r="V3912">
        <v>12</v>
      </c>
      <c r="W3912">
        <v>2</v>
      </c>
      <c r="X3912">
        <v>2</v>
      </c>
      <c r="Y3912">
        <v>199</v>
      </c>
      <c r="Z3912">
        <v>2</v>
      </c>
      <c r="AA3912">
        <v>1</v>
      </c>
      <c r="AB3912">
        <v>2</v>
      </c>
      <c r="AC3912" t="s">
        <v>100</v>
      </c>
      <c r="AD3912">
        <v>1</v>
      </c>
      <c r="AE3912" t="s">
        <v>100</v>
      </c>
      <c r="AF3912" t="s">
        <v>100</v>
      </c>
      <c r="AG3912" t="s">
        <v>100</v>
      </c>
      <c r="AH3912" t="s">
        <v>100</v>
      </c>
      <c r="AI3912" t="s">
        <v>100</v>
      </c>
      <c r="AJ3912">
        <v>0</v>
      </c>
      <c r="AK3912">
        <v>4</v>
      </c>
      <c r="AL3912" t="s">
        <v>100</v>
      </c>
      <c r="AM3912" t="s">
        <v>100</v>
      </c>
      <c r="AN3912">
        <v>2</v>
      </c>
      <c r="AT3912" t="s">
        <v>100</v>
      </c>
      <c r="AU3912">
        <v>10</v>
      </c>
      <c r="AV3912" t="s">
        <v>100</v>
      </c>
      <c r="AW3912">
        <v>383</v>
      </c>
      <c r="AX3912">
        <v>522</v>
      </c>
      <c r="AZ3912" t="s">
        <v>101</v>
      </c>
      <c r="BA3912">
        <v>1</v>
      </c>
      <c r="BC3912" t="s">
        <v>7930</v>
      </c>
      <c r="BD3912" s="4">
        <v>43283.262499999997</v>
      </c>
      <c r="BE3912" s="4">
        <v>43283.301863425928</v>
      </c>
      <c r="BF3912" s="4">
        <v>43283.301863425928</v>
      </c>
      <c r="BG3912" t="s">
        <v>83</v>
      </c>
      <c r="BH3912" t="s">
        <v>84</v>
      </c>
      <c r="BI3912" t="s">
        <v>85</v>
      </c>
    </row>
    <row r="3913" spans="1:61" x14ac:dyDescent="0.3">
      <c r="A3913" t="str">
        <f>"202210B0100"</f>
        <v>202210B0100</v>
      </c>
      <c r="B3913" t="s">
        <v>7931</v>
      </c>
      <c r="C3913">
        <v>20</v>
      </c>
      <c r="D3913" t="s">
        <v>79</v>
      </c>
      <c r="E3913">
        <v>18</v>
      </c>
      <c r="F3913" t="s">
        <v>7655</v>
      </c>
      <c r="G3913">
        <v>2210</v>
      </c>
      <c r="H3913">
        <v>1</v>
      </c>
      <c r="I3913" t="s">
        <v>81</v>
      </c>
      <c r="J3913">
        <v>0</v>
      </c>
      <c r="K3913">
        <v>1</v>
      </c>
      <c r="L3913">
        <v>2</v>
      </c>
      <c r="M3913">
        <v>137</v>
      </c>
      <c r="N3913">
        <v>493</v>
      </c>
      <c r="O3913">
        <v>7</v>
      </c>
      <c r="P3913">
        <v>493</v>
      </c>
      <c r="Q3913">
        <v>11</v>
      </c>
      <c r="R3913">
        <v>70</v>
      </c>
      <c r="S3913">
        <v>38</v>
      </c>
      <c r="T3913">
        <v>13</v>
      </c>
      <c r="U3913">
        <v>79</v>
      </c>
      <c r="V3913">
        <v>12</v>
      </c>
      <c r="W3913">
        <v>7</v>
      </c>
      <c r="X3913">
        <v>5</v>
      </c>
      <c r="Y3913">
        <v>224</v>
      </c>
      <c r="Z3913">
        <v>5</v>
      </c>
      <c r="AA3913">
        <v>2</v>
      </c>
      <c r="AB3913">
        <v>4</v>
      </c>
      <c r="AC3913">
        <v>0</v>
      </c>
      <c r="AD3913">
        <v>1</v>
      </c>
      <c r="AE3913">
        <v>0</v>
      </c>
      <c r="AF3913">
        <v>0</v>
      </c>
      <c r="AG3913">
        <v>1</v>
      </c>
      <c r="AH3913">
        <v>1</v>
      </c>
      <c r="AI3913">
        <v>0</v>
      </c>
      <c r="AJ3913">
        <v>0</v>
      </c>
      <c r="AK3913">
        <v>4</v>
      </c>
      <c r="AL3913">
        <v>1</v>
      </c>
      <c r="AM3913">
        <v>1</v>
      </c>
      <c r="AN3913">
        <v>0</v>
      </c>
      <c r="AT3913">
        <v>0</v>
      </c>
      <c r="AU3913">
        <v>14</v>
      </c>
      <c r="AV3913">
        <v>493</v>
      </c>
      <c r="AW3913">
        <v>493</v>
      </c>
      <c r="AX3913">
        <v>607</v>
      </c>
      <c r="BA3913">
        <v>1</v>
      </c>
      <c r="BC3913" t="s">
        <v>7932</v>
      </c>
      <c r="BD3913" s="4">
        <v>43283.27847222222</v>
      </c>
      <c r="BE3913" s="4">
        <v>43283.312361111108</v>
      </c>
      <c r="BF3913" s="4">
        <v>43283.312361111108</v>
      </c>
      <c r="BG3913" t="s">
        <v>83</v>
      </c>
      <c r="BH3913" t="s">
        <v>84</v>
      </c>
      <c r="BI3913" t="s">
        <v>85</v>
      </c>
    </row>
    <row r="3914" spans="1:61" x14ac:dyDescent="0.3">
      <c r="A3914" t="str">
        <f>"202210C0100"</f>
        <v>202210C0100</v>
      </c>
      <c r="B3914" t="s">
        <v>7933</v>
      </c>
      <c r="C3914">
        <v>20</v>
      </c>
      <c r="D3914" t="s">
        <v>79</v>
      </c>
      <c r="E3914">
        <v>18</v>
      </c>
      <c r="F3914" t="s">
        <v>7655</v>
      </c>
      <c r="G3914">
        <v>2210</v>
      </c>
      <c r="H3914">
        <v>1</v>
      </c>
      <c r="I3914" t="s">
        <v>89</v>
      </c>
      <c r="J3914">
        <v>0</v>
      </c>
      <c r="K3914">
        <v>1</v>
      </c>
      <c r="L3914">
        <v>2</v>
      </c>
      <c r="M3914">
        <v>190</v>
      </c>
      <c r="N3914">
        <v>440</v>
      </c>
      <c r="O3914">
        <v>4</v>
      </c>
      <c r="P3914">
        <v>438</v>
      </c>
      <c r="Q3914">
        <v>12</v>
      </c>
      <c r="R3914">
        <v>51</v>
      </c>
      <c r="S3914">
        <v>39</v>
      </c>
      <c r="T3914">
        <v>3</v>
      </c>
      <c r="U3914">
        <v>60</v>
      </c>
      <c r="V3914">
        <v>9</v>
      </c>
      <c r="W3914">
        <v>4</v>
      </c>
      <c r="X3914">
        <v>2</v>
      </c>
      <c r="Y3914">
        <v>220</v>
      </c>
      <c r="Z3914">
        <v>7</v>
      </c>
      <c r="AA3914">
        <v>0</v>
      </c>
      <c r="AB3914">
        <v>5</v>
      </c>
      <c r="AC3914">
        <v>0</v>
      </c>
      <c r="AD3914">
        <v>0</v>
      </c>
      <c r="AE3914">
        <v>0</v>
      </c>
      <c r="AF3914">
        <v>1</v>
      </c>
      <c r="AG3914">
        <v>1</v>
      </c>
      <c r="AH3914">
        <v>3</v>
      </c>
      <c r="AI3914">
        <v>1</v>
      </c>
      <c r="AJ3914">
        <v>0</v>
      </c>
      <c r="AK3914">
        <v>2</v>
      </c>
      <c r="AL3914">
        <v>1</v>
      </c>
      <c r="AM3914">
        <v>1</v>
      </c>
      <c r="AN3914">
        <v>1</v>
      </c>
      <c r="AT3914">
        <v>0</v>
      </c>
      <c r="AU3914">
        <v>15</v>
      </c>
      <c r="AV3914">
        <v>438</v>
      </c>
      <c r="AW3914">
        <v>438</v>
      </c>
      <c r="AX3914">
        <v>607</v>
      </c>
      <c r="BA3914">
        <v>1</v>
      </c>
      <c r="BC3914" t="s">
        <v>7934</v>
      </c>
      <c r="BD3914" s="4">
        <v>43283.273611111108</v>
      </c>
      <c r="BE3914" s="4">
        <v>43283.312719907408</v>
      </c>
      <c r="BF3914" s="4">
        <v>43283.312719907408</v>
      </c>
      <c r="BG3914" t="s">
        <v>83</v>
      </c>
      <c r="BH3914" t="s">
        <v>84</v>
      </c>
      <c r="BI3914" t="s">
        <v>85</v>
      </c>
    </row>
    <row r="3915" spans="1:61" x14ac:dyDescent="0.3">
      <c r="A3915" t="str">
        <f>"202210C0200"</f>
        <v>202210C0200</v>
      </c>
      <c r="B3915" t="s">
        <v>7935</v>
      </c>
      <c r="C3915">
        <v>20</v>
      </c>
      <c r="D3915" t="s">
        <v>79</v>
      </c>
      <c r="E3915">
        <v>18</v>
      </c>
      <c r="F3915" t="s">
        <v>7655</v>
      </c>
      <c r="G3915">
        <v>2210</v>
      </c>
      <c r="H3915">
        <v>2</v>
      </c>
      <c r="I3915" t="s">
        <v>89</v>
      </c>
      <c r="J3915">
        <v>0</v>
      </c>
      <c r="K3915">
        <v>1</v>
      </c>
      <c r="L3915">
        <v>2</v>
      </c>
      <c r="M3915">
        <v>189</v>
      </c>
      <c r="N3915">
        <v>445</v>
      </c>
      <c r="O3915">
        <v>2</v>
      </c>
      <c r="P3915">
        <v>436</v>
      </c>
      <c r="Q3915">
        <v>5</v>
      </c>
      <c r="R3915">
        <v>59</v>
      </c>
      <c r="S3915">
        <v>37</v>
      </c>
      <c r="T3915">
        <v>9</v>
      </c>
      <c r="U3915">
        <v>89</v>
      </c>
      <c r="V3915">
        <v>14</v>
      </c>
      <c r="W3915">
        <v>2</v>
      </c>
      <c r="X3915">
        <v>3</v>
      </c>
      <c r="Y3915">
        <v>182</v>
      </c>
      <c r="Z3915">
        <v>7</v>
      </c>
      <c r="AA3915">
        <v>2</v>
      </c>
      <c r="AB3915">
        <v>4</v>
      </c>
      <c r="AC3915">
        <v>1</v>
      </c>
      <c r="AD3915">
        <v>0</v>
      </c>
      <c r="AE3915">
        <v>0</v>
      </c>
      <c r="AF3915">
        <v>0</v>
      </c>
      <c r="AG3915">
        <v>0</v>
      </c>
      <c r="AH3915">
        <v>1</v>
      </c>
      <c r="AI3915">
        <v>1</v>
      </c>
      <c r="AJ3915">
        <v>0</v>
      </c>
      <c r="AK3915">
        <v>2</v>
      </c>
      <c r="AL3915">
        <v>1</v>
      </c>
      <c r="AM3915">
        <v>1</v>
      </c>
      <c r="AN3915">
        <v>0</v>
      </c>
      <c r="AT3915">
        <v>0</v>
      </c>
      <c r="AU3915">
        <v>17</v>
      </c>
      <c r="AV3915">
        <v>436</v>
      </c>
      <c r="AW3915">
        <v>437</v>
      </c>
      <c r="AX3915">
        <v>607</v>
      </c>
      <c r="BA3915">
        <v>1</v>
      </c>
      <c r="BC3915" t="s">
        <v>7936</v>
      </c>
      <c r="BD3915" s="4">
        <v>43283.256944444445</v>
      </c>
      <c r="BE3915" s="4">
        <v>43283.283935185187</v>
      </c>
      <c r="BF3915" s="4">
        <v>43283.283935185187</v>
      </c>
      <c r="BG3915" t="s">
        <v>83</v>
      </c>
      <c r="BH3915" t="s">
        <v>84</v>
      </c>
      <c r="BI3915" t="s">
        <v>85</v>
      </c>
    </row>
    <row r="3916" spans="1:61" x14ac:dyDescent="0.3">
      <c r="A3916" t="str">
        <f>"202211B0100"</f>
        <v>202211B0100</v>
      </c>
      <c r="B3916" t="s">
        <v>7937</v>
      </c>
      <c r="C3916">
        <v>20</v>
      </c>
      <c r="D3916" t="s">
        <v>79</v>
      </c>
      <c r="E3916">
        <v>18</v>
      </c>
      <c r="F3916" t="s">
        <v>7655</v>
      </c>
      <c r="G3916">
        <v>2211</v>
      </c>
      <c r="H3916">
        <v>1</v>
      </c>
      <c r="I3916" t="s">
        <v>81</v>
      </c>
      <c r="J3916">
        <v>0</v>
      </c>
      <c r="K3916">
        <v>1</v>
      </c>
      <c r="L3916">
        <v>2</v>
      </c>
      <c r="M3916">
        <v>139</v>
      </c>
      <c r="N3916" t="s">
        <v>315</v>
      </c>
      <c r="O3916">
        <v>3</v>
      </c>
      <c r="P3916" t="s">
        <v>315</v>
      </c>
      <c r="Q3916">
        <v>12</v>
      </c>
      <c r="R3916">
        <v>67</v>
      </c>
      <c r="S3916">
        <v>22</v>
      </c>
      <c r="T3916">
        <v>4</v>
      </c>
      <c r="U3916">
        <v>26</v>
      </c>
      <c r="V3916">
        <v>10</v>
      </c>
      <c r="W3916">
        <v>5</v>
      </c>
      <c r="X3916">
        <v>1</v>
      </c>
      <c r="Y3916">
        <v>157</v>
      </c>
      <c r="Z3916">
        <v>6</v>
      </c>
      <c r="AA3916">
        <v>3</v>
      </c>
      <c r="AB3916">
        <v>3</v>
      </c>
      <c r="AC3916">
        <v>0</v>
      </c>
      <c r="AD3916">
        <v>1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3</v>
      </c>
      <c r="AL3916">
        <v>1</v>
      </c>
      <c r="AM3916">
        <v>0</v>
      </c>
      <c r="AN3916">
        <v>1</v>
      </c>
      <c r="AT3916">
        <v>0</v>
      </c>
      <c r="AU3916">
        <v>3</v>
      </c>
      <c r="AV3916">
        <v>319</v>
      </c>
      <c r="AW3916">
        <v>325</v>
      </c>
      <c r="AX3916">
        <v>435</v>
      </c>
      <c r="BA3916">
        <v>1</v>
      </c>
      <c r="BC3916" t="s">
        <v>7938</v>
      </c>
      <c r="BD3916" s="4">
        <v>43283.259722222225</v>
      </c>
      <c r="BE3916" s="4">
        <v>43283.28738425926</v>
      </c>
      <c r="BF3916" s="4">
        <v>43283.28738425926</v>
      </c>
      <c r="BG3916" t="s">
        <v>83</v>
      </c>
      <c r="BH3916" t="s">
        <v>84</v>
      </c>
      <c r="BI3916" t="s">
        <v>85</v>
      </c>
    </row>
    <row r="3917" spans="1:61" x14ac:dyDescent="0.3">
      <c r="A3917" t="str">
        <f>"202212B0100"</f>
        <v>202212B0100</v>
      </c>
      <c r="B3917" t="s">
        <v>7939</v>
      </c>
      <c r="C3917">
        <v>20</v>
      </c>
      <c r="D3917" t="s">
        <v>79</v>
      </c>
      <c r="E3917">
        <v>18</v>
      </c>
      <c r="F3917" t="s">
        <v>7655</v>
      </c>
      <c r="G3917">
        <v>2212</v>
      </c>
      <c r="H3917">
        <v>1</v>
      </c>
      <c r="I3917" t="s">
        <v>81</v>
      </c>
      <c r="J3917">
        <v>0</v>
      </c>
      <c r="K3917">
        <v>1</v>
      </c>
      <c r="L3917">
        <v>2</v>
      </c>
      <c r="M3917">
        <v>121</v>
      </c>
      <c r="N3917">
        <v>346</v>
      </c>
      <c r="O3917">
        <v>3</v>
      </c>
      <c r="P3917">
        <v>349</v>
      </c>
      <c r="Q3917">
        <v>2</v>
      </c>
      <c r="R3917">
        <v>79</v>
      </c>
      <c r="S3917">
        <v>41</v>
      </c>
      <c r="T3917">
        <v>7</v>
      </c>
      <c r="U3917">
        <v>33</v>
      </c>
      <c r="V3917">
        <v>14</v>
      </c>
      <c r="W3917">
        <v>3</v>
      </c>
      <c r="X3917">
        <v>3</v>
      </c>
      <c r="Y3917">
        <v>148</v>
      </c>
      <c r="Z3917">
        <v>5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1</v>
      </c>
      <c r="AI3917">
        <v>0</v>
      </c>
      <c r="AJ3917">
        <v>0</v>
      </c>
      <c r="AK3917">
        <v>1</v>
      </c>
      <c r="AL3917">
        <v>2</v>
      </c>
      <c r="AM3917">
        <v>0</v>
      </c>
      <c r="AN3917">
        <v>1</v>
      </c>
      <c r="AT3917">
        <v>0</v>
      </c>
      <c r="AU3917">
        <v>9</v>
      </c>
      <c r="AV3917">
        <v>349</v>
      </c>
      <c r="AW3917">
        <v>349</v>
      </c>
      <c r="AX3917">
        <v>447</v>
      </c>
      <c r="BA3917">
        <v>1</v>
      </c>
      <c r="BC3917" t="s">
        <v>7940</v>
      </c>
      <c r="BD3917" s="4">
        <v>43283.279861111114</v>
      </c>
      <c r="BE3917" s="4">
        <v>43283.311030092591</v>
      </c>
      <c r="BF3917" s="4">
        <v>43283.311030092591</v>
      </c>
      <c r="BG3917" t="s">
        <v>83</v>
      </c>
      <c r="BH3917" t="s">
        <v>84</v>
      </c>
      <c r="BI3917" t="s">
        <v>85</v>
      </c>
    </row>
    <row r="3918" spans="1:61" x14ac:dyDescent="0.3">
      <c r="A3918" t="str">
        <f>"202212C0100"</f>
        <v>202212C0100</v>
      </c>
      <c r="B3918" t="s">
        <v>7941</v>
      </c>
      <c r="C3918">
        <v>20</v>
      </c>
      <c r="D3918" t="s">
        <v>79</v>
      </c>
      <c r="E3918">
        <v>18</v>
      </c>
      <c r="F3918" t="s">
        <v>7655</v>
      </c>
      <c r="G3918">
        <v>2212</v>
      </c>
      <c r="H3918">
        <v>1</v>
      </c>
      <c r="I3918" t="s">
        <v>89</v>
      </c>
      <c r="J3918">
        <v>0</v>
      </c>
      <c r="K3918">
        <v>1</v>
      </c>
      <c r="L3918">
        <v>2</v>
      </c>
      <c r="M3918">
        <v>128</v>
      </c>
      <c r="N3918">
        <v>340</v>
      </c>
      <c r="O3918">
        <v>11</v>
      </c>
      <c r="P3918">
        <v>340</v>
      </c>
      <c r="Q3918">
        <v>8</v>
      </c>
      <c r="R3918">
        <v>56</v>
      </c>
      <c r="S3918">
        <v>31</v>
      </c>
      <c r="T3918">
        <v>5</v>
      </c>
      <c r="U3918">
        <v>43</v>
      </c>
      <c r="V3918">
        <v>12</v>
      </c>
      <c r="W3918">
        <v>1</v>
      </c>
      <c r="X3918">
        <v>4</v>
      </c>
      <c r="Y3918">
        <v>164</v>
      </c>
      <c r="Z3918">
        <v>3</v>
      </c>
      <c r="AA3918">
        <v>1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2</v>
      </c>
      <c r="AI3918">
        <v>0</v>
      </c>
      <c r="AJ3918">
        <v>0</v>
      </c>
      <c r="AK3918">
        <v>0</v>
      </c>
      <c r="AL3918">
        <v>0</v>
      </c>
      <c r="AM3918">
        <v>0</v>
      </c>
      <c r="AN3918">
        <v>0</v>
      </c>
      <c r="AT3918">
        <v>0</v>
      </c>
      <c r="AU3918">
        <v>10</v>
      </c>
      <c r="AV3918">
        <v>340</v>
      </c>
      <c r="AW3918">
        <v>340</v>
      </c>
      <c r="AX3918">
        <v>446</v>
      </c>
      <c r="BA3918">
        <v>1</v>
      </c>
      <c r="BC3918" t="s">
        <v>7942</v>
      </c>
      <c r="BD3918" s="4">
        <v>43283.25</v>
      </c>
      <c r="BE3918" s="4">
        <v>43283.277951388889</v>
      </c>
      <c r="BF3918" s="4">
        <v>43283.277951388889</v>
      </c>
      <c r="BG3918" t="s">
        <v>83</v>
      </c>
      <c r="BH3918" t="s">
        <v>84</v>
      </c>
      <c r="BI3918" t="s">
        <v>85</v>
      </c>
    </row>
    <row r="3919" spans="1:61" x14ac:dyDescent="0.3">
      <c r="A3919" t="str">
        <f>"202213B0100"</f>
        <v>202213B0100</v>
      </c>
      <c r="B3919" t="s">
        <v>7943</v>
      </c>
      <c r="C3919">
        <v>20</v>
      </c>
      <c r="D3919" t="s">
        <v>79</v>
      </c>
      <c r="E3919">
        <v>18</v>
      </c>
      <c r="F3919" t="s">
        <v>7655</v>
      </c>
      <c r="G3919">
        <v>2213</v>
      </c>
      <c r="H3919">
        <v>1</v>
      </c>
      <c r="I3919" t="s">
        <v>81</v>
      </c>
      <c r="J3919">
        <v>0</v>
      </c>
      <c r="K3919">
        <v>1</v>
      </c>
      <c r="L3919">
        <v>2</v>
      </c>
      <c r="AX3919">
        <v>630</v>
      </c>
      <c r="AZ3919" t="s">
        <v>156</v>
      </c>
      <c r="BA3919">
        <v>0</v>
      </c>
      <c r="BC3919" t="s">
        <v>7944</v>
      </c>
      <c r="BD3919" s="4">
        <v>43283.681944444441</v>
      </c>
      <c r="BE3919" s="4">
        <v>43283.685347222221</v>
      </c>
      <c r="BF3919" s="4">
        <v>43283.685347222221</v>
      </c>
      <c r="BG3919" t="s">
        <v>83</v>
      </c>
      <c r="BH3919" t="s">
        <v>84</v>
      </c>
      <c r="BI3919" t="s">
        <v>85</v>
      </c>
    </row>
    <row r="3920" spans="1:61" x14ac:dyDescent="0.3">
      <c r="A3920" t="str">
        <f>"202213C0100"</f>
        <v>202213C0100</v>
      </c>
      <c r="B3920" t="s">
        <v>7945</v>
      </c>
      <c r="C3920">
        <v>20</v>
      </c>
      <c r="D3920" t="s">
        <v>79</v>
      </c>
      <c r="E3920">
        <v>18</v>
      </c>
      <c r="F3920" t="s">
        <v>7655</v>
      </c>
      <c r="G3920">
        <v>2213</v>
      </c>
      <c r="H3920">
        <v>1</v>
      </c>
      <c r="I3920" t="s">
        <v>89</v>
      </c>
      <c r="J3920">
        <v>0</v>
      </c>
      <c r="K3920">
        <v>1</v>
      </c>
      <c r="L3920">
        <v>2</v>
      </c>
      <c r="AX3920">
        <v>629</v>
      </c>
      <c r="AZ3920" t="s">
        <v>156</v>
      </c>
      <c r="BA3920">
        <v>0</v>
      </c>
      <c r="BC3920" t="s">
        <v>7946</v>
      </c>
      <c r="BD3920" s="4">
        <v>43283.681944444441</v>
      </c>
      <c r="BE3920" s="4">
        <v>43283.684108796297</v>
      </c>
      <c r="BF3920" s="4">
        <v>43283.684108796297</v>
      </c>
      <c r="BG3920" t="s">
        <v>83</v>
      </c>
      <c r="BH3920" t="s">
        <v>84</v>
      </c>
      <c r="BI3920" t="s">
        <v>85</v>
      </c>
    </row>
    <row r="3921" spans="1:61" x14ac:dyDescent="0.3">
      <c r="A3921" t="str">
        <f>"202213C0200"</f>
        <v>202213C0200</v>
      </c>
      <c r="B3921" t="s">
        <v>7947</v>
      </c>
      <c r="C3921">
        <v>20</v>
      </c>
      <c r="D3921" t="s">
        <v>79</v>
      </c>
      <c r="E3921">
        <v>18</v>
      </c>
      <c r="F3921" t="s">
        <v>7655</v>
      </c>
      <c r="G3921">
        <v>2213</v>
      </c>
      <c r="H3921">
        <v>2</v>
      </c>
      <c r="I3921" t="s">
        <v>89</v>
      </c>
      <c r="J3921">
        <v>0</v>
      </c>
      <c r="K3921">
        <v>1</v>
      </c>
      <c r="L3921">
        <v>2</v>
      </c>
      <c r="AX3921">
        <v>629</v>
      </c>
      <c r="AZ3921" t="s">
        <v>156</v>
      </c>
      <c r="BA3921">
        <v>0</v>
      </c>
      <c r="BC3921" t="s">
        <v>7948</v>
      </c>
      <c r="BD3921" s="4">
        <v>43283.681250000001</v>
      </c>
      <c r="BE3921" s="4">
        <v>43283.683240740742</v>
      </c>
      <c r="BF3921" s="4">
        <v>43283.683240740742</v>
      </c>
      <c r="BG3921" t="s">
        <v>83</v>
      </c>
      <c r="BH3921" t="s">
        <v>84</v>
      </c>
      <c r="BI3921" t="s">
        <v>85</v>
      </c>
    </row>
    <row r="3922" spans="1:61" x14ac:dyDescent="0.3">
      <c r="A3922" t="str">
        <f>"202214B0100"</f>
        <v>202214B0100</v>
      </c>
      <c r="B3922" t="s">
        <v>7949</v>
      </c>
      <c r="C3922">
        <v>20</v>
      </c>
      <c r="D3922" t="s">
        <v>79</v>
      </c>
      <c r="E3922">
        <v>18</v>
      </c>
      <c r="F3922" t="s">
        <v>7655</v>
      </c>
      <c r="G3922">
        <v>2214</v>
      </c>
      <c r="H3922">
        <v>1</v>
      </c>
      <c r="I3922" t="s">
        <v>81</v>
      </c>
      <c r="J3922">
        <v>0</v>
      </c>
      <c r="K3922">
        <v>1</v>
      </c>
      <c r="L3922">
        <v>2</v>
      </c>
      <c r="M3922">
        <v>220</v>
      </c>
      <c r="N3922">
        <v>441</v>
      </c>
      <c r="O3922">
        <v>8</v>
      </c>
      <c r="P3922">
        <v>438</v>
      </c>
      <c r="Q3922">
        <v>13</v>
      </c>
      <c r="R3922">
        <v>46</v>
      </c>
      <c r="S3922">
        <v>38</v>
      </c>
      <c r="T3922">
        <v>6</v>
      </c>
      <c r="U3922">
        <v>53</v>
      </c>
      <c r="V3922">
        <v>13</v>
      </c>
      <c r="W3922">
        <v>3</v>
      </c>
      <c r="X3922">
        <v>1</v>
      </c>
      <c r="Y3922">
        <v>221</v>
      </c>
      <c r="Z3922">
        <v>3</v>
      </c>
      <c r="AA3922">
        <v>3</v>
      </c>
      <c r="AB3922">
        <v>8</v>
      </c>
      <c r="AC3922">
        <v>0</v>
      </c>
      <c r="AD3922">
        <v>1</v>
      </c>
      <c r="AE3922">
        <v>0</v>
      </c>
      <c r="AF3922">
        <v>2</v>
      </c>
      <c r="AG3922">
        <v>0</v>
      </c>
      <c r="AH3922">
        <v>0</v>
      </c>
      <c r="AI3922">
        <v>0</v>
      </c>
      <c r="AJ3922">
        <v>0</v>
      </c>
      <c r="AK3922">
        <v>5</v>
      </c>
      <c r="AL3922">
        <v>0</v>
      </c>
      <c r="AM3922">
        <v>0</v>
      </c>
      <c r="AN3922">
        <v>2</v>
      </c>
      <c r="AT3922">
        <v>0</v>
      </c>
      <c r="AU3922">
        <v>20</v>
      </c>
      <c r="AV3922">
        <v>438</v>
      </c>
      <c r="AW3922">
        <v>438</v>
      </c>
      <c r="AX3922">
        <v>638</v>
      </c>
      <c r="BA3922">
        <v>1</v>
      </c>
      <c r="BC3922" t="s">
        <v>7950</v>
      </c>
      <c r="BD3922" s="4">
        <v>43283.186805555553</v>
      </c>
      <c r="BE3922" s="4">
        <v>43283.212870370371</v>
      </c>
      <c r="BF3922" s="4">
        <v>43283.212870370371</v>
      </c>
      <c r="BG3922" t="s">
        <v>83</v>
      </c>
      <c r="BH3922" t="s">
        <v>84</v>
      </c>
      <c r="BI3922" t="s">
        <v>85</v>
      </c>
    </row>
    <row r="3923" spans="1:61" x14ac:dyDescent="0.3">
      <c r="A3923" t="str">
        <f>"202214C0100"</f>
        <v>202214C0100</v>
      </c>
      <c r="B3923" t="s">
        <v>7951</v>
      </c>
      <c r="C3923">
        <v>20</v>
      </c>
      <c r="D3923" t="s">
        <v>79</v>
      </c>
      <c r="E3923">
        <v>18</v>
      </c>
      <c r="F3923" t="s">
        <v>7655</v>
      </c>
      <c r="G3923">
        <v>2214</v>
      </c>
      <c r="H3923">
        <v>1</v>
      </c>
      <c r="I3923" t="s">
        <v>89</v>
      </c>
      <c r="J3923">
        <v>0</v>
      </c>
      <c r="K3923">
        <v>1</v>
      </c>
      <c r="L3923">
        <v>2</v>
      </c>
      <c r="M3923">
        <v>196</v>
      </c>
      <c r="N3923">
        <v>468</v>
      </c>
      <c r="O3923">
        <v>5</v>
      </c>
      <c r="P3923">
        <v>468</v>
      </c>
      <c r="Q3923">
        <v>14</v>
      </c>
      <c r="R3923">
        <v>55</v>
      </c>
      <c r="S3923">
        <v>28</v>
      </c>
      <c r="T3923">
        <v>7</v>
      </c>
      <c r="U3923">
        <v>70</v>
      </c>
      <c r="V3923">
        <v>7</v>
      </c>
      <c r="W3923">
        <v>2</v>
      </c>
      <c r="X3923">
        <v>8</v>
      </c>
      <c r="Y3923">
        <v>238</v>
      </c>
      <c r="Z3923">
        <v>4</v>
      </c>
      <c r="AA3923">
        <v>2</v>
      </c>
      <c r="AB3923">
        <v>3</v>
      </c>
      <c r="AC3923">
        <v>0</v>
      </c>
      <c r="AD3923">
        <v>0</v>
      </c>
      <c r="AE3923">
        <v>0</v>
      </c>
      <c r="AF3923">
        <v>1</v>
      </c>
      <c r="AG3923">
        <v>3</v>
      </c>
      <c r="AH3923">
        <v>1</v>
      </c>
      <c r="AI3923">
        <v>0</v>
      </c>
      <c r="AJ3923">
        <v>0</v>
      </c>
      <c r="AK3923">
        <v>8</v>
      </c>
      <c r="AL3923">
        <v>1</v>
      </c>
      <c r="AM3923">
        <v>0</v>
      </c>
      <c r="AN3923">
        <v>1</v>
      </c>
      <c r="AT3923">
        <v>0</v>
      </c>
      <c r="AU3923">
        <v>16</v>
      </c>
      <c r="AV3923">
        <v>469</v>
      </c>
      <c r="AW3923">
        <v>469</v>
      </c>
      <c r="AX3923">
        <v>638</v>
      </c>
      <c r="BA3923">
        <v>1</v>
      </c>
      <c r="BC3923" t="s">
        <v>7952</v>
      </c>
      <c r="BD3923" s="4">
        <v>43283.192361111112</v>
      </c>
      <c r="BE3923" s="4">
        <v>43283.209988425922</v>
      </c>
      <c r="BF3923" s="4">
        <v>43283.209988425922</v>
      </c>
      <c r="BG3923" t="s">
        <v>83</v>
      </c>
      <c r="BH3923" t="s">
        <v>84</v>
      </c>
      <c r="BI3923" t="s">
        <v>85</v>
      </c>
    </row>
    <row r="3924" spans="1:61" x14ac:dyDescent="0.3">
      <c r="A3924" t="str">
        <f>"202214C0200"</f>
        <v>202214C0200</v>
      </c>
      <c r="B3924" t="s">
        <v>7953</v>
      </c>
      <c r="C3924">
        <v>20</v>
      </c>
      <c r="D3924" t="s">
        <v>79</v>
      </c>
      <c r="E3924">
        <v>18</v>
      </c>
      <c r="F3924" t="s">
        <v>7655</v>
      </c>
      <c r="G3924">
        <v>2214</v>
      </c>
      <c r="H3924">
        <v>2</v>
      </c>
      <c r="I3924" t="s">
        <v>89</v>
      </c>
      <c r="J3924">
        <v>0</v>
      </c>
      <c r="K3924">
        <v>1</v>
      </c>
      <c r="L3924">
        <v>2</v>
      </c>
      <c r="M3924">
        <v>204</v>
      </c>
      <c r="N3924">
        <v>456</v>
      </c>
      <c r="O3924">
        <v>8</v>
      </c>
      <c r="P3924">
        <v>456</v>
      </c>
      <c r="Q3924">
        <v>14</v>
      </c>
      <c r="R3924">
        <v>50</v>
      </c>
      <c r="S3924">
        <v>40</v>
      </c>
      <c r="T3924">
        <v>4</v>
      </c>
      <c r="U3924">
        <v>75</v>
      </c>
      <c r="V3924">
        <v>10</v>
      </c>
      <c r="W3924">
        <v>6</v>
      </c>
      <c r="X3924">
        <v>1</v>
      </c>
      <c r="Y3924">
        <v>225</v>
      </c>
      <c r="Z3924">
        <v>2</v>
      </c>
      <c r="AA3924">
        <v>2</v>
      </c>
      <c r="AB3924">
        <v>2</v>
      </c>
      <c r="AC3924" t="s">
        <v>100</v>
      </c>
      <c r="AD3924" t="s">
        <v>100</v>
      </c>
      <c r="AE3924" t="s">
        <v>100</v>
      </c>
      <c r="AF3924">
        <v>1</v>
      </c>
      <c r="AG3924" t="s">
        <v>100</v>
      </c>
      <c r="AH3924">
        <v>2</v>
      </c>
      <c r="AI3924" t="s">
        <v>100</v>
      </c>
      <c r="AJ3924" t="s">
        <v>100</v>
      </c>
      <c r="AK3924">
        <v>1</v>
      </c>
      <c r="AL3924">
        <v>3</v>
      </c>
      <c r="AM3924" t="s">
        <v>100</v>
      </c>
      <c r="AN3924">
        <v>1</v>
      </c>
      <c r="AT3924" t="s">
        <v>100</v>
      </c>
      <c r="AU3924">
        <v>16</v>
      </c>
      <c r="AV3924">
        <v>456</v>
      </c>
      <c r="AW3924">
        <v>455</v>
      </c>
      <c r="AX3924">
        <v>637</v>
      </c>
      <c r="AZ3924" t="s">
        <v>101</v>
      </c>
      <c r="BA3924">
        <v>1</v>
      </c>
      <c r="BC3924" t="s">
        <v>7954</v>
      </c>
      <c r="BD3924" s="4">
        <v>43283.189583333333</v>
      </c>
      <c r="BE3924" s="4">
        <v>43283.206701388888</v>
      </c>
      <c r="BF3924" s="4">
        <v>43283.206701388888</v>
      </c>
      <c r="BG3924" t="s">
        <v>83</v>
      </c>
      <c r="BH3924" t="s">
        <v>84</v>
      </c>
      <c r="BI3924" t="s">
        <v>85</v>
      </c>
    </row>
    <row r="3925" spans="1:61" x14ac:dyDescent="0.3">
      <c r="A3925" t="str">
        <f>"202215B0100"</f>
        <v>202215B0100</v>
      </c>
      <c r="B3925" t="s">
        <v>7955</v>
      </c>
      <c r="C3925">
        <v>20</v>
      </c>
      <c r="D3925" t="s">
        <v>79</v>
      </c>
      <c r="E3925">
        <v>18</v>
      </c>
      <c r="F3925" t="s">
        <v>7655</v>
      </c>
      <c r="G3925">
        <v>2215</v>
      </c>
      <c r="H3925">
        <v>1</v>
      </c>
      <c r="I3925" t="s">
        <v>81</v>
      </c>
      <c r="J3925">
        <v>0</v>
      </c>
      <c r="K3925">
        <v>1</v>
      </c>
      <c r="L3925">
        <v>2</v>
      </c>
      <c r="M3925">
        <v>202</v>
      </c>
      <c r="N3925">
        <v>504</v>
      </c>
      <c r="O3925">
        <v>9</v>
      </c>
      <c r="P3925">
        <v>504</v>
      </c>
      <c r="Q3925">
        <v>17</v>
      </c>
      <c r="R3925">
        <v>63</v>
      </c>
      <c r="S3925">
        <v>50</v>
      </c>
      <c r="T3925">
        <v>6</v>
      </c>
      <c r="U3925">
        <v>96</v>
      </c>
      <c r="V3925">
        <v>19</v>
      </c>
      <c r="W3925">
        <v>8</v>
      </c>
      <c r="X3925">
        <v>3</v>
      </c>
      <c r="Y3925">
        <v>211</v>
      </c>
      <c r="Z3925">
        <v>3</v>
      </c>
      <c r="AA3925">
        <v>4</v>
      </c>
      <c r="AB3925">
        <v>5</v>
      </c>
      <c r="AC3925">
        <v>2</v>
      </c>
      <c r="AD3925">
        <v>0</v>
      </c>
      <c r="AE3925">
        <v>0</v>
      </c>
      <c r="AF3925">
        <v>1</v>
      </c>
      <c r="AG3925">
        <v>1</v>
      </c>
      <c r="AH3925">
        <v>0</v>
      </c>
      <c r="AI3925">
        <v>0</v>
      </c>
      <c r="AJ3925">
        <v>0</v>
      </c>
      <c r="AK3925">
        <v>4</v>
      </c>
      <c r="AL3925">
        <v>0</v>
      </c>
      <c r="AM3925">
        <v>1</v>
      </c>
      <c r="AN3925">
        <v>0</v>
      </c>
      <c r="AT3925">
        <v>0</v>
      </c>
      <c r="AU3925">
        <v>10</v>
      </c>
      <c r="AV3925">
        <v>504</v>
      </c>
      <c r="AW3925">
        <v>504</v>
      </c>
      <c r="AX3925">
        <v>683</v>
      </c>
      <c r="BA3925">
        <v>1</v>
      </c>
      <c r="BC3925" t="s">
        <v>7956</v>
      </c>
      <c r="BD3925" s="4">
        <v>43283.180555555555</v>
      </c>
      <c r="BE3925" s="4">
        <v>43283.19809027778</v>
      </c>
      <c r="BF3925" s="4">
        <v>43283.19809027778</v>
      </c>
      <c r="BG3925" t="s">
        <v>83</v>
      </c>
      <c r="BH3925" t="s">
        <v>84</v>
      </c>
      <c r="BI3925" t="s">
        <v>85</v>
      </c>
    </row>
    <row r="3926" spans="1:61" x14ac:dyDescent="0.3">
      <c r="A3926" t="str">
        <f>"202215C0100"</f>
        <v>202215C0100</v>
      </c>
      <c r="B3926" t="s">
        <v>7957</v>
      </c>
      <c r="C3926">
        <v>20</v>
      </c>
      <c r="D3926" t="s">
        <v>79</v>
      </c>
      <c r="E3926">
        <v>18</v>
      </c>
      <c r="F3926" t="s">
        <v>7655</v>
      </c>
      <c r="G3926">
        <v>2215</v>
      </c>
      <c r="H3926">
        <v>1</v>
      </c>
      <c r="I3926" t="s">
        <v>89</v>
      </c>
      <c r="J3926">
        <v>0</v>
      </c>
      <c r="K3926">
        <v>1</v>
      </c>
      <c r="L3926">
        <v>2</v>
      </c>
      <c r="M3926">
        <v>204</v>
      </c>
      <c r="N3926">
        <v>502</v>
      </c>
      <c r="O3926">
        <v>5</v>
      </c>
      <c r="P3926">
        <v>502</v>
      </c>
      <c r="Q3926">
        <v>22</v>
      </c>
      <c r="R3926">
        <v>55</v>
      </c>
      <c r="S3926">
        <v>29</v>
      </c>
      <c r="T3926">
        <v>3</v>
      </c>
      <c r="U3926">
        <v>66</v>
      </c>
      <c r="V3926">
        <v>18</v>
      </c>
      <c r="W3926">
        <v>6</v>
      </c>
      <c r="X3926">
        <v>7</v>
      </c>
      <c r="Y3926">
        <v>246</v>
      </c>
      <c r="Z3926">
        <v>5</v>
      </c>
      <c r="AA3926">
        <v>2</v>
      </c>
      <c r="AB3926">
        <v>4</v>
      </c>
      <c r="AC3926">
        <v>0</v>
      </c>
      <c r="AD3926">
        <v>0</v>
      </c>
      <c r="AE3926">
        <v>0</v>
      </c>
      <c r="AF3926">
        <v>0</v>
      </c>
      <c r="AG3926">
        <v>1</v>
      </c>
      <c r="AH3926">
        <v>0</v>
      </c>
      <c r="AI3926">
        <v>0</v>
      </c>
      <c r="AJ3926">
        <v>0</v>
      </c>
      <c r="AK3926">
        <v>5</v>
      </c>
      <c r="AL3926">
        <v>1</v>
      </c>
      <c r="AM3926">
        <v>0</v>
      </c>
      <c r="AN3926">
        <v>0</v>
      </c>
      <c r="AT3926">
        <v>0</v>
      </c>
      <c r="AU3926">
        <v>20</v>
      </c>
      <c r="AV3926">
        <v>501</v>
      </c>
      <c r="AW3926">
        <v>490</v>
      </c>
      <c r="AX3926">
        <v>683</v>
      </c>
      <c r="BA3926">
        <v>1</v>
      </c>
      <c r="BC3926" t="s">
        <v>7958</v>
      </c>
      <c r="BD3926" s="4">
        <v>43283.176388888889</v>
      </c>
      <c r="BE3926" s="4">
        <v>43283.193124999998</v>
      </c>
      <c r="BF3926" s="4">
        <v>43283.193124999998</v>
      </c>
      <c r="BG3926" t="s">
        <v>83</v>
      </c>
      <c r="BH3926" t="s">
        <v>84</v>
      </c>
      <c r="BI3926" t="s">
        <v>85</v>
      </c>
    </row>
    <row r="3927" spans="1:61" x14ac:dyDescent="0.3">
      <c r="A3927" t="str">
        <f>"202215C0200"</f>
        <v>202215C0200</v>
      </c>
      <c r="B3927" t="s">
        <v>7959</v>
      </c>
      <c r="C3927">
        <v>20</v>
      </c>
      <c r="D3927" t="s">
        <v>79</v>
      </c>
      <c r="E3927">
        <v>18</v>
      </c>
      <c r="F3927" t="s">
        <v>7655</v>
      </c>
      <c r="G3927">
        <v>2215</v>
      </c>
      <c r="H3927">
        <v>2</v>
      </c>
      <c r="I3927" t="s">
        <v>89</v>
      </c>
      <c r="J3927">
        <v>0</v>
      </c>
      <c r="K3927">
        <v>1</v>
      </c>
      <c r="L3927">
        <v>2</v>
      </c>
      <c r="M3927">
        <v>189</v>
      </c>
      <c r="N3927">
        <v>517</v>
      </c>
      <c r="O3927">
        <v>5</v>
      </c>
      <c r="P3927">
        <v>517</v>
      </c>
      <c r="Q3927">
        <v>20</v>
      </c>
      <c r="R3927">
        <v>55</v>
      </c>
      <c r="S3927">
        <v>39</v>
      </c>
      <c r="T3927">
        <v>5</v>
      </c>
      <c r="U3927">
        <v>89</v>
      </c>
      <c r="V3927">
        <v>22</v>
      </c>
      <c r="W3927">
        <v>9</v>
      </c>
      <c r="X3927">
        <v>10</v>
      </c>
      <c r="Y3927">
        <v>229</v>
      </c>
      <c r="Z3927">
        <v>5</v>
      </c>
      <c r="AA3927">
        <v>0</v>
      </c>
      <c r="AB3927">
        <v>5</v>
      </c>
      <c r="AC3927">
        <v>0</v>
      </c>
      <c r="AD3927">
        <v>1</v>
      </c>
      <c r="AE3927">
        <v>0</v>
      </c>
      <c r="AF3927">
        <v>0</v>
      </c>
      <c r="AG3927">
        <v>0</v>
      </c>
      <c r="AH3927">
        <v>1</v>
      </c>
      <c r="AI3927">
        <v>0</v>
      </c>
      <c r="AJ3927">
        <v>0</v>
      </c>
      <c r="AK3927">
        <v>5</v>
      </c>
      <c r="AL3927">
        <v>1</v>
      </c>
      <c r="AM3927">
        <v>1</v>
      </c>
      <c r="AN3927">
        <v>1</v>
      </c>
      <c r="AT3927">
        <v>1</v>
      </c>
      <c r="AU3927">
        <v>18</v>
      </c>
      <c r="AV3927">
        <v>517</v>
      </c>
      <c r="AW3927">
        <v>517</v>
      </c>
      <c r="AX3927">
        <v>683</v>
      </c>
      <c r="BA3927">
        <v>1</v>
      </c>
      <c r="BC3927" t="s">
        <v>7960</v>
      </c>
      <c r="BD3927" s="4">
        <v>43283.184027777781</v>
      </c>
      <c r="BE3927" s="4">
        <v>43283.201689814814</v>
      </c>
      <c r="BF3927" s="4">
        <v>43283.201689814814</v>
      </c>
      <c r="BG3927" t="s">
        <v>83</v>
      </c>
      <c r="BH3927" t="s">
        <v>84</v>
      </c>
      <c r="BI3927" t="s">
        <v>85</v>
      </c>
    </row>
    <row r="3928" spans="1:61" x14ac:dyDescent="0.3">
      <c r="A3928" t="str">
        <f>"202216B0100"</f>
        <v>202216B0100</v>
      </c>
      <c r="B3928" t="s">
        <v>7961</v>
      </c>
      <c r="C3928">
        <v>20</v>
      </c>
      <c r="D3928" t="s">
        <v>79</v>
      </c>
      <c r="E3928">
        <v>18</v>
      </c>
      <c r="F3928" t="s">
        <v>7655</v>
      </c>
      <c r="G3928">
        <v>2216</v>
      </c>
      <c r="H3928">
        <v>1</v>
      </c>
      <c r="I3928" t="s">
        <v>81</v>
      </c>
      <c r="J3928">
        <v>0</v>
      </c>
      <c r="K3928">
        <v>1</v>
      </c>
      <c r="L3928">
        <v>2</v>
      </c>
      <c r="M3928">
        <v>183</v>
      </c>
      <c r="N3928">
        <v>585</v>
      </c>
      <c r="O3928">
        <v>6</v>
      </c>
      <c r="P3928">
        <v>585</v>
      </c>
      <c r="Q3928">
        <v>12</v>
      </c>
      <c r="R3928">
        <v>58</v>
      </c>
      <c r="S3928">
        <v>50</v>
      </c>
      <c r="T3928">
        <v>10</v>
      </c>
      <c r="U3928">
        <v>87</v>
      </c>
      <c r="V3928">
        <v>22</v>
      </c>
      <c r="W3928">
        <v>5</v>
      </c>
      <c r="X3928">
        <v>5</v>
      </c>
      <c r="Y3928">
        <v>293</v>
      </c>
      <c r="Z3928">
        <v>2</v>
      </c>
      <c r="AA3928">
        <v>5</v>
      </c>
      <c r="AB3928">
        <v>6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1</v>
      </c>
      <c r="AI3928">
        <v>0</v>
      </c>
      <c r="AJ3928">
        <v>0</v>
      </c>
      <c r="AK3928">
        <v>8</v>
      </c>
      <c r="AL3928">
        <v>4</v>
      </c>
      <c r="AM3928">
        <v>0</v>
      </c>
      <c r="AN3928">
        <v>1</v>
      </c>
      <c r="AT3928">
        <v>0</v>
      </c>
      <c r="AU3928">
        <v>16</v>
      </c>
      <c r="AV3928">
        <v>585</v>
      </c>
      <c r="AW3928">
        <v>585</v>
      </c>
      <c r="AX3928">
        <v>745</v>
      </c>
      <c r="BA3928">
        <v>1</v>
      </c>
      <c r="BC3928" t="s">
        <v>7962</v>
      </c>
      <c r="BD3928" s="4">
        <v>43283.236805555556</v>
      </c>
      <c r="BE3928" s="4">
        <v>43283.265474537038</v>
      </c>
      <c r="BF3928" s="4">
        <v>43283.265474537038</v>
      </c>
      <c r="BG3928" t="s">
        <v>83</v>
      </c>
      <c r="BH3928" t="s">
        <v>84</v>
      </c>
      <c r="BI3928" t="s">
        <v>85</v>
      </c>
    </row>
    <row r="3929" spans="1:61" x14ac:dyDescent="0.3">
      <c r="A3929" t="str">
        <f>"202216C0100"</f>
        <v>202216C0100</v>
      </c>
      <c r="B3929" t="s">
        <v>7963</v>
      </c>
      <c r="C3929">
        <v>20</v>
      </c>
      <c r="D3929" t="s">
        <v>79</v>
      </c>
      <c r="E3929">
        <v>18</v>
      </c>
      <c r="F3929" t="s">
        <v>7655</v>
      </c>
      <c r="G3929">
        <v>2216</v>
      </c>
      <c r="H3929">
        <v>1</v>
      </c>
      <c r="I3929" t="s">
        <v>89</v>
      </c>
      <c r="J3929">
        <v>0</v>
      </c>
      <c r="K3929">
        <v>1</v>
      </c>
      <c r="L3929">
        <v>2</v>
      </c>
      <c r="M3929">
        <v>197</v>
      </c>
      <c r="N3929">
        <v>571</v>
      </c>
      <c r="O3929">
        <v>4</v>
      </c>
      <c r="P3929">
        <v>542</v>
      </c>
      <c r="Q3929">
        <v>12</v>
      </c>
      <c r="R3929">
        <v>58</v>
      </c>
      <c r="S3929">
        <v>47</v>
      </c>
      <c r="T3929">
        <v>9</v>
      </c>
      <c r="U3929">
        <v>105</v>
      </c>
      <c r="V3929">
        <v>16</v>
      </c>
      <c r="W3929">
        <v>0</v>
      </c>
      <c r="X3929">
        <v>4</v>
      </c>
      <c r="Y3929">
        <v>278</v>
      </c>
      <c r="Z3929">
        <v>3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2</v>
      </c>
      <c r="AI3929">
        <v>0</v>
      </c>
      <c r="AJ3929">
        <v>0</v>
      </c>
      <c r="AK3929">
        <v>0</v>
      </c>
      <c r="AL3929">
        <v>8</v>
      </c>
      <c r="AM3929">
        <v>0</v>
      </c>
      <c r="AN3929">
        <v>0</v>
      </c>
      <c r="AT3929">
        <v>0</v>
      </c>
      <c r="AU3929">
        <v>0</v>
      </c>
      <c r="AV3929">
        <v>542</v>
      </c>
      <c r="AW3929">
        <v>542</v>
      </c>
      <c r="AX3929">
        <v>745</v>
      </c>
      <c r="BA3929">
        <v>1</v>
      </c>
      <c r="BC3929" t="s">
        <v>7964</v>
      </c>
      <c r="BD3929" s="4">
        <v>43283.244444444441</v>
      </c>
      <c r="BE3929" s="4">
        <v>43283.269062500003</v>
      </c>
      <c r="BF3929" s="4">
        <v>43283.269062500003</v>
      </c>
      <c r="BG3929" t="s">
        <v>83</v>
      </c>
      <c r="BH3929" t="s">
        <v>84</v>
      </c>
      <c r="BI3929" t="s">
        <v>85</v>
      </c>
    </row>
    <row r="3930" spans="1:61" x14ac:dyDescent="0.3">
      <c r="A3930" t="str">
        <f>"202217B0100"</f>
        <v>202217B0100</v>
      </c>
      <c r="B3930" t="s">
        <v>7965</v>
      </c>
      <c r="C3930">
        <v>20</v>
      </c>
      <c r="D3930" t="s">
        <v>79</v>
      </c>
      <c r="E3930">
        <v>18</v>
      </c>
      <c r="F3930" t="s">
        <v>7655</v>
      </c>
      <c r="G3930">
        <v>2217</v>
      </c>
      <c r="H3930">
        <v>1</v>
      </c>
      <c r="I3930" t="s">
        <v>81</v>
      </c>
      <c r="J3930">
        <v>0</v>
      </c>
      <c r="K3930">
        <v>1</v>
      </c>
      <c r="L3930">
        <v>2</v>
      </c>
      <c r="M3930">
        <v>188</v>
      </c>
      <c r="N3930">
        <v>538</v>
      </c>
      <c r="O3930">
        <v>4</v>
      </c>
      <c r="P3930">
        <v>538</v>
      </c>
      <c r="Q3930">
        <v>12</v>
      </c>
      <c r="R3930">
        <v>61</v>
      </c>
      <c r="S3930">
        <v>44</v>
      </c>
      <c r="T3930">
        <v>7</v>
      </c>
      <c r="U3930">
        <v>103</v>
      </c>
      <c r="V3930">
        <v>14</v>
      </c>
      <c r="W3930">
        <v>11</v>
      </c>
      <c r="X3930">
        <v>10</v>
      </c>
      <c r="Y3930">
        <v>235</v>
      </c>
      <c r="Z3930">
        <v>6</v>
      </c>
      <c r="AA3930">
        <v>2</v>
      </c>
      <c r="AB3930">
        <v>9</v>
      </c>
      <c r="AC3930">
        <v>1</v>
      </c>
      <c r="AD3930">
        <v>1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4</v>
      </c>
      <c r="AL3930">
        <v>0</v>
      </c>
      <c r="AM3930">
        <v>1</v>
      </c>
      <c r="AN3930">
        <v>0</v>
      </c>
      <c r="AT3930">
        <v>1</v>
      </c>
      <c r="AU3930">
        <v>15</v>
      </c>
      <c r="AV3930">
        <v>537</v>
      </c>
      <c r="AW3930">
        <v>537</v>
      </c>
      <c r="AX3930">
        <v>703</v>
      </c>
      <c r="BA3930">
        <v>1</v>
      </c>
      <c r="BC3930" t="s">
        <v>7966</v>
      </c>
      <c r="BD3930" s="4">
        <v>43283.226388888892</v>
      </c>
      <c r="BE3930" s="4">
        <v>43283.24895833333</v>
      </c>
      <c r="BF3930" s="4">
        <v>43283.24895833333</v>
      </c>
      <c r="BG3930" t="s">
        <v>83</v>
      </c>
      <c r="BH3930" t="s">
        <v>84</v>
      </c>
      <c r="BI3930" t="s">
        <v>85</v>
      </c>
    </row>
    <row r="3931" spans="1:61" x14ac:dyDescent="0.3">
      <c r="A3931" t="str">
        <f>"202217C0100"</f>
        <v>202217C0100</v>
      </c>
      <c r="B3931" t="s">
        <v>7967</v>
      </c>
      <c r="C3931">
        <v>20</v>
      </c>
      <c r="D3931" t="s">
        <v>79</v>
      </c>
      <c r="E3931">
        <v>18</v>
      </c>
      <c r="F3931" t="s">
        <v>7655</v>
      </c>
      <c r="G3931">
        <v>2217</v>
      </c>
      <c r="H3931">
        <v>1</v>
      </c>
      <c r="I3931" t="s">
        <v>89</v>
      </c>
      <c r="J3931">
        <v>0</v>
      </c>
      <c r="K3931">
        <v>1</v>
      </c>
      <c r="L3931">
        <v>2</v>
      </c>
      <c r="M3931">
        <v>206</v>
      </c>
      <c r="N3931">
        <v>519</v>
      </c>
      <c r="O3931">
        <v>1</v>
      </c>
      <c r="P3931">
        <v>520</v>
      </c>
      <c r="Q3931">
        <v>5</v>
      </c>
      <c r="R3931">
        <v>57</v>
      </c>
      <c r="S3931">
        <v>48</v>
      </c>
      <c r="T3931">
        <v>8</v>
      </c>
      <c r="U3931">
        <v>117</v>
      </c>
      <c r="V3931">
        <v>19</v>
      </c>
      <c r="W3931">
        <v>7</v>
      </c>
      <c r="X3931">
        <v>4</v>
      </c>
      <c r="Y3931">
        <v>219</v>
      </c>
      <c r="Z3931">
        <v>1</v>
      </c>
      <c r="AA3931">
        <v>1</v>
      </c>
      <c r="AB3931">
        <v>9</v>
      </c>
      <c r="AC3931" t="s">
        <v>100</v>
      </c>
      <c r="AD3931">
        <v>1</v>
      </c>
      <c r="AE3931" t="s">
        <v>100</v>
      </c>
      <c r="AF3931" t="s">
        <v>100</v>
      </c>
      <c r="AG3931" t="s">
        <v>100</v>
      </c>
      <c r="AH3931">
        <v>1</v>
      </c>
      <c r="AI3931" t="s">
        <v>100</v>
      </c>
      <c r="AJ3931" t="s">
        <v>100</v>
      </c>
      <c r="AK3931" t="s">
        <v>100</v>
      </c>
      <c r="AL3931" t="s">
        <v>100</v>
      </c>
      <c r="AM3931" t="s">
        <v>100</v>
      </c>
      <c r="AN3931" t="s">
        <v>100</v>
      </c>
      <c r="AT3931" t="s">
        <v>100</v>
      </c>
      <c r="AU3931">
        <v>23</v>
      </c>
      <c r="AV3931">
        <v>520</v>
      </c>
      <c r="AW3931">
        <v>520</v>
      </c>
      <c r="AX3931">
        <v>703</v>
      </c>
      <c r="AZ3931" t="s">
        <v>101</v>
      </c>
      <c r="BA3931">
        <v>1</v>
      </c>
      <c r="BC3931" t="s">
        <v>7968</v>
      </c>
      <c r="BD3931" s="4">
        <v>43283.229861111111</v>
      </c>
      <c r="BE3931" s="4">
        <v>43283.253055555557</v>
      </c>
      <c r="BF3931" s="4">
        <v>43283.253055555557</v>
      </c>
      <c r="BG3931" t="s">
        <v>83</v>
      </c>
      <c r="BH3931" t="s">
        <v>84</v>
      </c>
      <c r="BI3931" t="s">
        <v>85</v>
      </c>
    </row>
    <row r="3932" spans="1:61" x14ac:dyDescent="0.3">
      <c r="A3932" t="str">
        <f>"202217C0200"</f>
        <v>202217C0200</v>
      </c>
      <c r="B3932" t="s">
        <v>7969</v>
      </c>
      <c r="C3932">
        <v>20</v>
      </c>
      <c r="D3932" t="s">
        <v>79</v>
      </c>
      <c r="E3932">
        <v>18</v>
      </c>
      <c r="F3932" t="s">
        <v>7655</v>
      </c>
      <c r="G3932">
        <v>2217</v>
      </c>
      <c r="H3932">
        <v>2</v>
      </c>
      <c r="I3932" t="s">
        <v>89</v>
      </c>
      <c r="J3932">
        <v>0</v>
      </c>
      <c r="K3932">
        <v>1</v>
      </c>
      <c r="L3932">
        <v>2</v>
      </c>
      <c r="M3932">
        <v>213</v>
      </c>
      <c r="N3932">
        <v>512</v>
      </c>
      <c r="O3932">
        <v>7</v>
      </c>
      <c r="P3932">
        <v>512</v>
      </c>
      <c r="Q3932">
        <v>5</v>
      </c>
      <c r="R3932">
        <v>61</v>
      </c>
      <c r="S3932">
        <v>49</v>
      </c>
      <c r="T3932">
        <v>11</v>
      </c>
      <c r="U3932">
        <v>80</v>
      </c>
      <c r="V3932">
        <v>23</v>
      </c>
      <c r="W3932">
        <v>15</v>
      </c>
      <c r="X3932">
        <v>5</v>
      </c>
      <c r="Y3932">
        <v>225</v>
      </c>
      <c r="Z3932">
        <v>2</v>
      </c>
      <c r="AA3932">
        <v>1</v>
      </c>
      <c r="AB3932">
        <v>5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2</v>
      </c>
      <c r="AI3932">
        <v>1</v>
      </c>
      <c r="AJ3932">
        <v>0</v>
      </c>
      <c r="AK3932">
        <v>3</v>
      </c>
      <c r="AL3932">
        <v>0</v>
      </c>
      <c r="AM3932">
        <v>0</v>
      </c>
      <c r="AN3932">
        <v>0</v>
      </c>
      <c r="AT3932">
        <v>0</v>
      </c>
      <c r="AU3932">
        <v>24</v>
      </c>
      <c r="AV3932">
        <v>512</v>
      </c>
      <c r="AW3932">
        <v>512</v>
      </c>
      <c r="AX3932">
        <v>702</v>
      </c>
      <c r="BA3932">
        <v>1</v>
      </c>
      <c r="BC3932" t="s">
        <v>7970</v>
      </c>
      <c r="BD3932" s="4">
        <v>43283.239583333336</v>
      </c>
      <c r="BE3932" s="4">
        <v>43283.265439814815</v>
      </c>
      <c r="BF3932" s="4">
        <v>43283.265439814815</v>
      </c>
      <c r="BG3932" t="s">
        <v>83</v>
      </c>
      <c r="BH3932" t="s">
        <v>84</v>
      </c>
      <c r="BI3932" t="s">
        <v>85</v>
      </c>
    </row>
    <row r="3933" spans="1:61" x14ac:dyDescent="0.3">
      <c r="A3933" t="str">
        <f>"202218B0100"</f>
        <v>202218B0100</v>
      </c>
      <c r="B3933" t="s">
        <v>7971</v>
      </c>
      <c r="C3933">
        <v>20</v>
      </c>
      <c r="D3933" t="s">
        <v>79</v>
      </c>
      <c r="E3933">
        <v>18</v>
      </c>
      <c r="F3933" t="s">
        <v>7655</v>
      </c>
      <c r="G3933">
        <v>2218</v>
      </c>
      <c r="H3933">
        <v>1</v>
      </c>
      <c r="I3933" t="s">
        <v>81</v>
      </c>
      <c r="J3933">
        <v>0</v>
      </c>
      <c r="K3933">
        <v>1</v>
      </c>
      <c r="L3933">
        <v>2</v>
      </c>
      <c r="M3933">
        <v>221</v>
      </c>
      <c r="N3933">
        <v>485</v>
      </c>
      <c r="O3933">
        <v>10</v>
      </c>
      <c r="P3933">
        <v>485</v>
      </c>
      <c r="Q3933">
        <v>9</v>
      </c>
      <c r="R3933">
        <v>51</v>
      </c>
      <c r="S3933">
        <v>51</v>
      </c>
      <c r="T3933">
        <v>10</v>
      </c>
      <c r="U3933">
        <v>96</v>
      </c>
      <c r="V3933">
        <v>10</v>
      </c>
      <c r="W3933">
        <v>1</v>
      </c>
      <c r="X3933">
        <v>1</v>
      </c>
      <c r="Y3933">
        <v>216</v>
      </c>
      <c r="Z3933">
        <v>5</v>
      </c>
      <c r="AA3933">
        <v>0</v>
      </c>
      <c r="AB3933">
        <v>3</v>
      </c>
      <c r="AC3933">
        <v>0</v>
      </c>
      <c r="AD3933">
        <v>1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0</v>
      </c>
      <c r="AN3933">
        <v>4</v>
      </c>
      <c r="AT3933">
        <v>0</v>
      </c>
      <c r="AU3933">
        <v>25</v>
      </c>
      <c r="AV3933">
        <v>485</v>
      </c>
      <c r="AW3933">
        <v>483</v>
      </c>
      <c r="AX3933">
        <v>686</v>
      </c>
      <c r="BA3933">
        <v>1</v>
      </c>
      <c r="BC3933" t="s">
        <v>7972</v>
      </c>
      <c r="BD3933" s="4">
        <v>43283.14166666667</v>
      </c>
      <c r="BE3933" s="4">
        <v>43283.146412037036</v>
      </c>
      <c r="BF3933" s="4">
        <v>43283.146412037036</v>
      </c>
      <c r="BG3933" t="s">
        <v>83</v>
      </c>
      <c r="BH3933" t="s">
        <v>84</v>
      </c>
      <c r="BI3933" t="s">
        <v>85</v>
      </c>
    </row>
    <row r="3934" spans="1:61" x14ac:dyDescent="0.3">
      <c r="A3934" t="str">
        <f>"202218C0100"</f>
        <v>202218C0100</v>
      </c>
      <c r="B3934" t="s">
        <v>7973</v>
      </c>
      <c r="C3934">
        <v>20</v>
      </c>
      <c r="D3934" t="s">
        <v>79</v>
      </c>
      <c r="E3934">
        <v>18</v>
      </c>
      <c r="F3934" t="s">
        <v>7655</v>
      </c>
      <c r="G3934">
        <v>2218</v>
      </c>
      <c r="H3934">
        <v>1</v>
      </c>
      <c r="I3934" t="s">
        <v>89</v>
      </c>
      <c r="J3934">
        <v>0</v>
      </c>
      <c r="K3934">
        <v>1</v>
      </c>
      <c r="L3934">
        <v>2</v>
      </c>
      <c r="M3934">
        <v>238</v>
      </c>
      <c r="N3934">
        <v>471</v>
      </c>
      <c r="O3934">
        <v>3</v>
      </c>
      <c r="P3934">
        <v>471</v>
      </c>
      <c r="Q3934">
        <v>16</v>
      </c>
      <c r="R3934">
        <v>42</v>
      </c>
      <c r="S3934">
        <v>51</v>
      </c>
      <c r="T3934">
        <v>12</v>
      </c>
      <c r="U3934">
        <v>110</v>
      </c>
      <c r="V3934">
        <v>6</v>
      </c>
      <c r="W3934">
        <v>3</v>
      </c>
      <c r="X3934">
        <v>2</v>
      </c>
      <c r="Y3934">
        <v>196</v>
      </c>
      <c r="Z3934">
        <v>3</v>
      </c>
      <c r="AA3934" t="s">
        <v>100</v>
      </c>
      <c r="AB3934">
        <v>1</v>
      </c>
      <c r="AC3934">
        <v>1</v>
      </c>
      <c r="AD3934" t="s">
        <v>100</v>
      </c>
      <c r="AE3934" t="s">
        <v>100</v>
      </c>
      <c r="AF3934" t="s">
        <v>100</v>
      </c>
      <c r="AG3934" t="s">
        <v>100</v>
      </c>
      <c r="AH3934" t="s">
        <v>100</v>
      </c>
      <c r="AI3934" t="s">
        <v>100</v>
      </c>
      <c r="AJ3934" t="s">
        <v>100</v>
      </c>
      <c r="AK3934">
        <v>1</v>
      </c>
      <c r="AL3934">
        <v>1</v>
      </c>
      <c r="AM3934">
        <v>1</v>
      </c>
      <c r="AN3934" t="s">
        <v>100</v>
      </c>
      <c r="AT3934" t="s">
        <v>100</v>
      </c>
      <c r="AU3934">
        <v>25</v>
      </c>
      <c r="AV3934">
        <v>471</v>
      </c>
      <c r="AW3934">
        <v>471</v>
      </c>
      <c r="AX3934">
        <v>686</v>
      </c>
      <c r="AZ3934" t="s">
        <v>101</v>
      </c>
      <c r="BA3934">
        <v>1</v>
      </c>
      <c r="BC3934" t="s">
        <v>7974</v>
      </c>
      <c r="BD3934" s="4">
        <v>43283.145138888889</v>
      </c>
      <c r="BE3934" s="4">
        <v>43283.151412037034</v>
      </c>
      <c r="BF3934" s="4">
        <v>43283.151412037034</v>
      </c>
      <c r="BG3934" t="s">
        <v>83</v>
      </c>
      <c r="BH3934" t="s">
        <v>84</v>
      </c>
      <c r="BI3934" t="s">
        <v>85</v>
      </c>
    </row>
    <row r="3935" spans="1:61" x14ac:dyDescent="0.3">
      <c r="A3935" t="str">
        <f>"202218C0200"</f>
        <v>202218C0200</v>
      </c>
      <c r="B3935" t="s">
        <v>7975</v>
      </c>
      <c r="C3935">
        <v>20</v>
      </c>
      <c r="D3935" t="s">
        <v>79</v>
      </c>
      <c r="E3935">
        <v>18</v>
      </c>
      <c r="F3935" t="s">
        <v>7655</v>
      </c>
      <c r="G3935">
        <v>2218</v>
      </c>
      <c r="H3935">
        <v>2</v>
      </c>
      <c r="I3935" t="s">
        <v>89</v>
      </c>
      <c r="J3935">
        <v>0</v>
      </c>
      <c r="K3935">
        <v>1</v>
      </c>
      <c r="L3935">
        <v>2</v>
      </c>
      <c r="M3935">
        <v>202</v>
      </c>
      <c r="N3935">
        <v>507</v>
      </c>
      <c r="O3935">
        <v>11</v>
      </c>
      <c r="P3935">
        <v>507</v>
      </c>
      <c r="Q3935">
        <v>14</v>
      </c>
      <c r="R3935">
        <v>50</v>
      </c>
      <c r="S3935">
        <v>55</v>
      </c>
      <c r="T3935">
        <v>10</v>
      </c>
      <c r="U3935">
        <v>97</v>
      </c>
      <c r="V3935">
        <v>13</v>
      </c>
      <c r="W3935">
        <v>5</v>
      </c>
      <c r="X3935">
        <v>5</v>
      </c>
      <c r="Y3935">
        <v>215</v>
      </c>
      <c r="Z3935">
        <v>5</v>
      </c>
      <c r="AA3935">
        <v>0</v>
      </c>
      <c r="AB3935">
        <v>4</v>
      </c>
      <c r="AC3935" t="s">
        <v>100</v>
      </c>
      <c r="AD3935">
        <v>2</v>
      </c>
      <c r="AE3935" t="s">
        <v>100</v>
      </c>
      <c r="AF3935" t="s">
        <v>100</v>
      </c>
      <c r="AG3935" t="s">
        <v>100</v>
      </c>
      <c r="AH3935">
        <v>2</v>
      </c>
      <c r="AI3935" t="s">
        <v>100</v>
      </c>
      <c r="AJ3935" t="s">
        <v>100</v>
      </c>
      <c r="AK3935">
        <v>3</v>
      </c>
      <c r="AL3935">
        <v>1</v>
      </c>
      <c r="AM3935">
        <v>1</v>
      </c>
      <c r="AN3935" t="s">
        <v>100</v>
      </c>
      <c r="AT3935" t="s">
        <v>100</v>
      </c>
      <c r="AU3935">
        <v>25</v>
      </c>
      <c r="AV3935">
        <v>507</v>
      </c>
      <c r="AW3935">
        <v>507</v>
      </c>
      <c r="AX3935">
        <v>686</v>
      </c>
      <c r="AZ3935" t="s">
        <v>101</v>
      </c>
      <c r="BA3935">
        <v>1</v>
      </c>
      <c r="BC3935" t="s">
        <v>7976</v>
      </c>
      <c r="BD3935" s="4">
        <v>43283.149305555555</v>
      </c>
      <c r="BE3935" s="4">
        <v>43283.161851851852</v>
      </c>
      <c r="BF3935" s="4">
        <v>43283.161851851852</v>
      </c>
      <c r="BG3935" t="s">
        <v>83</v>
      </c>
      <c r="BH3935" t="s">
        <v>84</v>
      </c>
      <c r="BI3935" t="s">
        <v>85</v>
      </c>
    </row>
    <row r="3936" spans="1:61" x14ac:dyDescent="0.3">
      <c r="A3936" t="str">
        <f>"202218C0300"</f>
        <v>202218C0300</v>
      </c>
      <c r="B3936" t="s">
        <v>7977</v>
      </c>
      <c r="C3936">
        <v>20</v>
      </c>
      <c r="D3936" t="s">
        <v>79</v>
      </c>
      <c r="E3936">
        <v>18</v>
      </c>
      <c r="F3936" t="s">
        <v>7655</v>
      </c>
      <c r="G3936">
        <v>2218</v>
      </c>
      <c r="H3936">
        <v>3</v>
      </c>
      <c r="I3936" t="s">
        <v>89</v>
      </c>
      <c r="J3936">
        <v>0</v>
      </c>
      <c r="K3936">
        <v>1</v>
      </c>
      <c r="L3936">
        <v>2</v>
      </c>
      <c r="M3936">
        <v>213</v>
      </c>
      <c r="N3936">
        <v>496</v>
      </c>
      <c r="O3936">
        <v>15</v>
      </c>
      <c r="P3936">
        <v>496</v>
      </c>
      <c r="Q3936">
        <v>11</v>
      </c>
      <c r="R3936">
        <v>39</v>
      </c>
      <c r="S3936">
        <v>57</v>
      </c>
      <c r="T3936">
        <v>8</v>
      </c>
      <c r="U3936">
        <v>118</v>
      </c>
      <c r="V3936">
        <v>5</v>
      </c>
      <c r="W3936">
        <v>3</v>
      </c>
      <c r="X3936">
        <v>2</v>
      </c>
      <c r="Y3936">
        <v>215</v>
      </c>
      <c r="Z3936">
        <v>5</v>
      </c>
      <c r="AA3936">
        <v>1</v>
      </c>
      <c r="AB3936">
        <v>5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>
        <v>3</v>
      </c>
      <c r="AM3936">
        <v>0</v>
      </c>
      <c r="AN3936">
        <v>0</v>
      </c>
      <c r="AT3936">
        <v>0</v>
      </c>
      <c r="AU3936">
        <v>24</v>
      </c>
      <c r="AV3936">
        <v>496</v>
      </c>
      <c r="AW3936">
        <v>496</v>
      </c>
      <c r="AX3936">
        <v>686</v>
      </c>
      <c r="BA3936">
        <v>1</v>
      </c>
      <c r="BC3936" t="s">
        <v>7978</v>
      </c>
      <c r="BD3936" s="4">
        <v>43283.152083333334</v>
      </c>
      <c r="BE3936" s="4">
        <v>43283.161643518521</v>
      </c>
      <c r="BF3936" s="4">
        <v>43283.161643518521</v>
      </c>
      <c r="BG3936" t="s">
        <v>83</v>
      </c>
      <c r="BH3936" t="s">
        <v>84</v>
      </c>
      <c r="BI3936" t="s">
        <v>85</v>
      </c>
    </row>
    <row r="3937" spans="1:61" x14ac:dyDescent="0.3">
      <c r="A3937" t="str">
        <f>"202218C0400"</f>
        <v>202218C0400</v>
      </c>
      <c r="B3937" t="s">
        <v>7979</v>
      </c>
      <c r="C3937">
        <v>20</v>
      </c>
      <c r="D3937" t="s">
        <v>79</v>
      </c>
      <c r="E3937">
        <v>18</v>
      </c>
      <c r="F3937" t="s">
        <v>7655</v>
      </c>
      <c r="G3937">
        <v>2218</v>
      </c>
      <c r="H3937">
        <v>4</v>
      </c>
      <c r="I3937" t="s">
        <v>89</v>
      </c>
      <c r="J3937">
        <v>0</v>
      </c>
      <c r="K3937">
        <v>1</v>
      </c>
      <c r="L3937">
        <v>2</v>
      </c>
      <c r="M3937">
        <v>196</v>
      </c>
      <c r="N3937">
        <v>502</v>
      </c>
      <c r="O3937">
        <v>4</v>
      </c>
      <c r="P3937">
        <v>502</v>
      </c>
      <c r="Q3937">
        <v>10</v>
      </c>
      <c r="R3937">
        <v>41</v>
      </c>
      <c r="S3937">
        <v>58</v>
      </c>
      <c r="T3937">
        <v>14</v>
      </c>
      <c r="U3937">
        <v>123</v>
      </c>
      <c r="V3937">
        <v>6</v>
      </c>
      <c r="W3937">
        <v>3</v>
      </c>
      <c r="X3937">
        <v>4</v>
      </c>
      <c r="Y3937">
        <v>207</v>
      </c>
      <c r="Z3937">
        <v>5</v>
      </c>
      <c r="AA3937">
        <v>1</v>
      </c>
      <c r="AB3937">
        <v>3</v>
      </c>
      <c r="AC3937">
        <v>0</v>
      </c>
      <c r="AD3937">
        <v>0</v>
      </c>
      <c r="AE3937">
        <v>0</v>
      </c>
      <c r="AF3937">
        <v>1</v>
      </c>
      <c r="AG3937">
        <v>0</v>
      </c>
      <c r="AH3937">
        <v>0</v>
      </c>
      <c r="AI3937">
        <v>0</v>
      </c>
      <c r="AJ3937">
        <v>0</v>
      </c>
      <c r="AK3937">
        <v>6</v>
      </c>
      <c r="AL3937">
        <v>0</v>
      </c>
      <c r="AM3937">
        <v>0</v>
      </c>
      <c r="AN3937">
        <v>0</v>
      </c>
      <c r="AT3937">
        <v>0</v>
      </c>
      <c r="AU3937">
        <v>20</v>
      </c>
      <c r="AV3937">
        <v>502</v>
      </c>
      <c r="AW3937">
        <v>502</v>
      </c>
      <c r="AX3937">
        <v>685</v>
      </c>
      <c r="BA3937">
        <v>1</v>
      </c>
      <c r="BC3937" t="s">
        <v>7980</v>
      </c>
      <c r="BD3937" s="4">
        <v>43283.156944444447</v>
      </c>
      <c r="BE3937" s="4">
        <v>43283.178541666668</v>
      </c>
      <c r="BF3937" s="4">
        <v>43283.178541666668</v>
      </c>
      <c r="BG3937" t="s">
        <v>83</v>
      </c>
      <c r="BH3937" t="s">
        <v>84</v>
      </c>
      <c r="BI3937" t="s">
        <v>85</v>
      </c>
    </row>
    <row r="3938" spans="1:61" x14ac:dyDescent="0.3">
      <c r="A3938" t="str">
        <f>"202219B0100"</f>
        <v>202219B0100</v>
      </c>
      <c r="B3938" t="s">
        <v>7981</v>
      </c>
      <c r="C3938">
        <v>20</v>
      </c>
      <c r="D3938" t="s">
        <v>79</v>
      </c>
      <c r="E3938">
        <v>18</v>
      </c>
      <c r="F3938" t="s">
        <v>7655</v>
      </c>
      <c r="G3938">
        <v>2219</v>
      </c>
      <c r="H3938">
        <v>1</v>
      </c>
      <c r="I3938" t="s">
        <v>81</v>
      </c>
      <c r="J3938">
        <v>0</v>
      </c>
      <c r="K3938">
        <v>1</v>
      </c>
      <c r="L3938">
        <v>2</v>
      </c>
      <c r="M3938">
        <v>246</v>
      </c>
      <c r="N3938">
        <v>534</v>
      </c>
      <c r="O3938">
        <v>10</v>
      </c>
      <c r="P3938">
        <v>582</v>
      </c>
      <c r="Q3938">
        <v>12</v>
      </c>
      <c r="R3938">
        <v>87</v>
      </c>
      <c r="S3938">
        <v>123</v>
      </c>
      <c r="T3938">
        <v>11</v>
      </c>
      <c r="U3938">
        <v>12</v>
      </c>
      <c r="V3938">
        <v>7</v>
      </c>
      <c r="W3938">
        <v>60</v>
      </c>
      <c r="X3938">
        <v>60</v>
      </c>
      <c r="Y3938">
        <v>216</v>
      </c>
      <c r="Z3938">
        <v>3</v>
      </c>
      <c r="AA3938">
        <v>0</v>
      </c>
      <c r="AB3938">
        <v>15</v>
      </c>
      <c r="AC3938">
        <v>0</v>
      </c>
      <c r="AD3938">
        <v>1</v>
      </c>
      <c r="AE3938">
        <v>0</v>
      </c>
      <c r="AF3938">
        <v>0</v>
      </c>
      <c r="AG3938">
        <v>0</v>
      </c>
      <c r="AH3938">
        <v>1</v>
      </c>
      <c r="AI3938">
        <v>0</v>
      </c>
      <c r="AJ3938">
        <v>0</v>
      </c>
      <c r="AK3938">
        <v>7</v>
      </c>
      <c r="AL3938">
        <v>1</v>
      </c>
      <c r="AM3938">
        <v>0</v>
      </c>
      <c r="AN3938">
        <v>0</v>
      </c>
      <c r="AT3938">
        <v>0</v>
      </c>
      <c r="AU3938">
        <v>20</v>
      </c>
      <c r="AV3938">
        <v>582</v>
      </c>
      <c r="AW3938">
        <v>636</v>
      </c>
      <c r="AX3938">
        <v>748</v>
      </c>
      <c r="BA3938">
        <v>1</v>
      </c>
      <c r="BC3938" t="s">
        <v>7982</v>
      </c>
      <c r="BD3938" s="4">
        <v>43283.324305555558</v>
      </c>
      <c r="BE3938" s="4">
        <v>43283.368391203701</v>
      </c>
      <c r="BF3938" s="4">
        <v>43283.368391203701</v>
      </c>
      <c r="BG3938" t="s">
        <v>83</v>
      </c>
      <c r="BH3938" t="s">
        <v>84</v>
      </c>
      <c r="BI3938" t="s">
        <v>85</v>
      </c>
    </row>
    <row r="3939" spans="1:61" x14ac:dyDescent="0.3">
      <c r="A3939" t="str">
        <f>"202219C0100"</f>
        <v>202219C0100</v>
      </c>
      <c r="B3939" t="s">
        <v>7983</v>
      </c>
      <c r="C3939">
        <v>20</v>
      </c>
      <c r="D3939" t="s">
        <v>79</v>
      </c>
      <c r="E3939">
        <v>18</v>
      </c>
      <c r="F3939" t="s">
        <v>7655</v>
      </c>
      <c r="G3939">
        <v>2219</v>
      </c>
      <c r="H3939">
        <v>1</v>
      </c>
      <c r="I3939" t="s">
        <v>89</v>
      </c>
      <c r="J3939">
        <v>0</v>
      </c>
      <c r="K3939">
        <v>1</v>
      </c>
      <c r="L3939">
        <v>2</v>
      </c>
      <c r="M3939">
        <v>245</v>
      </c>
      <c r="N3939">
        <v>533</v>
      </c>
      <c r="O3939">
        <v>9</v>
      </c>
      <c r="P3939">
        <v>0</v>
      </c>
      <c r="Q3939">
        <v>14</v>
      </c>
      <c r="R3939">
        <v>53</v>
      </c>
      <c r="S3939">
        <v>32</v>
      </c>
      <c r="T3939">
        <v>11</v>
      </c>
      <c r="U3939">
        <v>59</v>
      </c>
      <c r="V3939">
        <v>20</v>
      </c>
      <c r="W3939">
        <v>7</v>
      </c>
      <c r="X3939">
        <v>3</v>
      </c>
      <c r="Y3939">
        <v>290</v>
      </c>
      <c r="Z3939">
        <v>9</v>
      </c>
      <c r="AA3939">
        <v>2</v>
      </c>
      <c r="AB3939">
        <v>5</v>
      </c>
      <c r="AC3939">
        <v>1</v>
      </c>
      <c r="AD3939">
        <v>0</v>
      </c>
      <c r="AE3939">
        <v>0</v>
      </c>
      <c r="AF3939">
        <v>1</v>
      </c>
      <c r="AG3939">
        <v>0</v>
      </c>
      <c r="AH3939">
        <v>1</v>
      </c>
      <c r="AI3939">
        <v>1</v>
      </c>
      <c r="AJ3939">
        <v>0</v>
      </c>
      <c r="AK3939">
        <v>7</v>
      </c>
      <c r="AL3939">
        <v>1</v>
      </c>
      <c r="AM3939">
        <v>0</v>
      </c>
      <c r="AN3939">
        <v>1</v>
      </c>
      <c r="AT3939">
        <v>0</v>
      </c>
      <c r="AU3939">
        <v>6</v>
      </c>
      <c r="AV3939">
        <v>524</v>
      </c>
      <c r="AW3939">
        <v>524</v>
      </c>
      <c r="AX3939">
        <v>747</v>
      </c>
      <c r="BA3939">
        <v>1</v>
      </c>
      <c r="BC3939" t="s">
        <v>7984</v>
      </c>
      <c r="BD3939" s="4">
        <v>43283.327777777777</v>
      </c>
      <c r="BE3939" s="4">
        <v>43283.352210648147</v>
      </c>
      <c r="BF3939" s="4">
        <v>43283.352210648147</v>
      </c>
      <c r="BG3939" t="s">
        <v>83</v>
      </c>
      <c r="BH3939" t="s">
        <v>84</v>
      </c>
      <c r="BI3939" t="s">
        <v>85</v>
      </c>
    </row>
    <row r="3940" spans="1:61" x14ac:dyDescent="0.3">
      <c r="A3940" t="str">
        <f>"202219C0200"</f>
        <v>202219C0200</v>
      </c>
      <c r="B3940" t="s">
        <v>7985</v>
      </c>
      <c r="C3940">
        <v>20</v>
      </c>
      <c r="D3940" t="s">
        <v>79</v>
      </c>
      <c r="E3940">
        <v>18</v>
      </c>
      <c r="F3940" t="s">
        <v>7655</v>
      </c>
      <c r="G3940">
        <v>2219</v>
      </c>
      <c r="H3940">
        <v>2</v>
      </c>
      <c r="I3940" t="s">
        <v>89</v>
      </c>
      <c r="J3940">
        <v>0</v>
      </c>
      <c r="K3940">
        <v>1</v>
      </c>
      <c r="L3940">
        <v>2</v>
      </c>
      <c r="M3940">
        <v>254</v>
      </c>
      <c r="N3940">
        <v>512</v>
      </c>
      <c r="O3940">
        <v>14</v>
      </c>
      <c r="P3940">
        <v>513</v>
      </c>
      <c r="Q3940">
        <v>7</v>
      </c>
      <c r="R3940">
        <v>63</v>
      </c>
      <c r="S3940">
        <v>31</v>
      </c>
      <c r="T3940">
        <v>7</v>
      </c>
      <c r="U3940">
        <v>69</v>
      </c>
      <c r="V3940">
        <v>16</v>
      </c>
      <c r="W3940">
        <v>4</v>
      </c>
      <c r="X3940">
        <v>2</v>
      </c>
      <c r="Y3940">
        <v>272</v>
      </c>
      <c r="Z3940">
        <v>4</v>
      </c>
      <c r="AA3940">
        <v>1</v>
      </c>
      <c r="AB3940">
        <v>8</v>
      </c>
      <c r="AC3940">
        <v>2</v>
      </c>
      <c r="AD3940">
        <v>0</v>
      </c>
      <c r="AE3940">
        <v>0</v>
      </c>
      <c r="AF3940">
        <v>0</v>
      </c>
      <c r="AG3940">
        <v>1</v>
      </c>
      <c r="AH3940">
        <v>0</v>
      </c>
      <c r="AI3940">
        <v>0</v>
      </c>
      <c r="AJ3940">
        <v>0</v>
      </c>
      <c r="AK3940">
        <v>4</v>
      </c>
      <c r="AL3940">
        <v>4</v>
      </c>
      <c r="AM3940">
        <v>0</v>
      </c>
      <c r="AN3940">
        <v>1</v>
      </c>
      <c r="AT3940">
        <v>0</v>
      </c>
      <c r="AU3940">
        <v>17</v>
      </c>
      <c r="AV3940">
        <v>513</v>
      </c>
      <c r="AW3940">
        <v>513</v>
      </c>
      <c r="AX3940">
        <v>747</v>
      </c>
      <c r="BA3940">
        <v>1</v>
      </c>
      <c r="BC3940" t="s">
        <v>7986</v>
      </c>
      <c r="BD3940" s="4">
        <v>43283.331250000003</v>
      </c>
      <c r="BE3940" s="4">
        <v>43283.353182870371</v>
      </c>
      <c r="BF3940" s="4">
        <v>43283.353182870371</v>
      </c>
      <c r="BG3940" t="s">
        <v>83</v>
      </c>
      <c r="BH3940" t="s">
        <v>84</v>
      </c>
      <c r="BI3940" t="s">
        <v>85</v>
      </c>
    </row>
    <row r="3941" spans="1:61" x14ac:dyDescent="0.3">
      <c r="A3941" t="str">
        <f>"202219C0300"</f>
        <v>202219C0300</v>
      </c>
      <c r="B3941" t="s">
        <v>7987</v>
      </c>
      <c r="C3941">
        <v>20</v>
      </c>
      <c r="D3941" t="s">
        <v>79</v>
      </c>
      <c r="E3941">
        <v>18</v>
      </c>
      <c r="F3941" t="s">
        <v>7655</v>
      </c>
      <c r="G3941">
        <v>2219</v>
      </c>
      <c r="H3941">
        <v>3</v>
      </c>
      <c r="I3941" t="s">
        <v>89</v>
      </c>
      <c r="J3941">
        <v>0</v>
      </c>
      <c r="K3941">
        <v>1</v>
      </c>
      <c r="L3941">
        <v>2</v>
      </c>
      <c r="M3941">
        <v>260</v>
      </c>
      <c r="N3941">
        <v>510</v>
      </c>
      <c r="O3941">
        <v>8</v>
      </c>
      <c r="P3941">
        <v>510</v>
      </c>
      <c r="Q3941">
        <v>16</v>
      </c>
      <c r="R3941">
        <v>64</v>
      </c>
      <c r="S3941">
        <v>40</v>
      </c>
      <c r="T3941">
        <v>9</v>
      </c>
      <c r="U3941">
        <v>80</v>
      </c>
      <c r="V3941">
        <v>9</v>
      </c>
      <c r="W3941">
        <v>5</v>
      </c>
      <c r="X3941">
        <v>4</v>
      </c>
      <c r="Y3941">
        <v>235</v>
      </c>
      <c r="Z3941">
        <v>9</v>
      </c>
      <c r="AA3941">
        <v>3</v>
      </c>
      <c r="AB3941">
        <v>6</v>
      </c>
      <c r="AC3941">
        <v>2</v>
      </c>
      <c r="AD3941">
        <v>0</v>
      </c>
      <c r="AE3941">
        <v>0</v>
      </c>
      <c r="AF3941">
        <v>0</v>
      </c>
      <c r="AG3941">
        <v>0</v>
      </c>
      <c r="AH3941">
        <v>2</v>
      </c>
      <c r="AI3941">
        <v>0</v>
      </c>
      <c r="AJ3941">
        <v>0</v>
      </c>
      <c r="AK3941">
        <v>5</v>
      </c>
      <c r="AL3941">
        <v>2</v>
      </c>
      <c r="AM3941">
        <v>0</v>
      </c>
      <c r="AN3941">
        <v>1</v>
      </c>
      <c r="AT3941">
        <v>0</v>
      </c>
      <c r="AU3941">
        <v>23</v>
      </c>
      <c r="AV3941">
        <v>515</v>
      </c>
      <c r="AW3941">
        <v>515</v>
      </c>
      <c r="AX3941">
        <v>747</v>
      </c>
      <c r="BA3941">
        <v>1</v>
      </c>
      <c r="BC3941" t="s">
        <v>7988</v>
      </c>
      <c r="BD3941" s="4">
        <v>43283.334722222222</v>
      </c>
      <c r="BE3941" s="4">
        <v>43283.353564814817</v>
      </c>
      <c r="BF3941" s="4">
        <v>43283.353564814817</v>
      </c>
      <c r="BG3941" t="s">
        <v>83</v>
      </c>
      <c r="BH3941" t="s">
        <v>84</v>
      </c>
      <c r="BI3941" t="s">
        <v>85</v>
      </c>
    </row>
    <row r="3942" spans="1:61" x14ac:dyDescent="0.3">
      <c r="A3942" t="str">
        <f>"202219C0400"</f>
        <v>202219C0400</v>
      </c>
      <c r="B3942" t="s">
        <v>7989</v>
      </c>
      <c r="C3942">
        <v>20</v>
      </c>
      <c r="D3942" t="s">
        <v>79</v>
      </c>
      <c r="E3942">
        <v>18</v>
      </c>
      <c r="F3942" t="s">
        <v>7655</v>
      </c>
      <c r="G3942">
        <v>2219</v>
      </c>
      <c r="H3942">
        <v>4</v>
      </c>
      <c r="I3942" t="s">
        <v>89</v>
      </c>
      <c r="J3942">
        <v>0</v>
      </c>
      <c r="K3942">
        <v>1</v>
      </c>
      <c r="L3942">
        <v>2</v>
      </c>
      <c r="M3942">
        <v>279</v>
      </c>
      <c r="N3942">
        <v>491</v>
      </c>
      <c r="O3942">
        <v>5</v>
      </c>
      <c r="P3942">
        <v>492</v>
      </c>
      <c r="Q3942">
        <v>18</v>
      </c>
      <c r="R3942">
        <v>51</v>
      </c>
      <c r="S3942">
        <v>40</v>
      </c>
      <c r="T3942">
        <v>8</v>
      </c>
      <c r="U3942">
        <v>89</v>
      </c>
      <c r="V3942">
        <v>7</v>
      </c>
      <c r="W3942">
        <v>8</v>
      </c>
      <c r="X3942">
        <v>1</v>
      </c>
      <c r="Y3942">
        <v>230</v>
      </c>
      <c r="Z3942">
        <v>5</v>
      </c>
      <c r="AA3942">
        <v>3</v>
      </c>
      <c r="AB3942">
        <v>7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0</v>
      </c>
      <c r="AN3942">
        <v>0</v>
      </c>
      <c r="AT3942">
        <v>0</v>
      </c>
      <c r="AU3942">
        <v>13</v>
      </c>
      <c r="AV3942">
        <v>492</v>
      </c>
      <c r="AW3942">
        <v>480</v>
      </c>
      <c r="AX3942">
        <v>747</v>
      </c>
      <c r="BA3942">
        <v>1</v>
      </c>
      <c r="BC3942" t="s">
        <v>7990</v>
      </c>
      <c r="BD3942" s="4">
        <v>43283.334722222222</v>
      </c>
      <c r="BE3942" s="4">
        <v>43283.35528935185</v>
      </c>
      <c r="BF3942" s="4">
        <v>43283.35528935185</v>
      </c>
      <c r="BG3942" t="s">
        <v>83</v>
      </c>
      <c r="BH3942" t="s">
        <v>84</v>
      </c>
      <c r="BI3942" t="s">
        <v>85</v>
      </c>
    </row>
    <row r="3943" spans="1:61" x14ac:dyDescent="0.3">
      <c r="A3943" t="str">
        <f>"202220B0100"</f>
        <v>202220B0100</v>
      </c>
      <c r="B3943" t="s">
        <v>7991</v>
      </c>
      <c r="C3943">
        <v>20</v>
      </c>
      <c r="D3943" t="s">
        <v>79</v>
      </c>
      <c r="E3943">
        <v>18</v>
      </c>
      <c r="F3943" t="s">
        <v>7655</v>
      </c>
      <c r="G3943">
        <v>2220</v>
      </c>
      <c r="H3943">
        <v>1</v>
      </c>
      <c r="I3943" t="s">
        <v>81</v>
      </c>
      <c r="J3943">
        <v>0</v>
      </c>
      <c r="K3943">
        <v>1</v>
      </c>
      <c r="L3943">
        <v>2</v>
      </c>
      <c r="M3943">
        <v>178</v>
      </c>
      <c r="N3943">
        <v>382</v>
      </c>
      <c r="O3943">
        <v>5</v>
      </c>
      <c r="P3943">
        <v>379</v>
      </c>
      <c r="Q3943">
        <v>17</v>
      </c>
      <c r="R3943">
        <v>48</v>
      </c>
      <c r="S3943">
        <v>16</v>
      </c>
      <c r="T3943">
        <v>10</v>
      </c>
      <c r="U3943">
        <v>21</v>
      </c>
      <c r="V3943">
        <v>16</v>
      </c>
      <c r="W3943">
        <v>3</v>
      </c>
      <c r="X3943">
        <v>4</v>
      </c>
      <c r="Y3943">
        <v>222</v>
      </c>
      <c r="Z3943">
        <v>3</v>
      </c>
      <c r="AA3943">
        <v>1</v>
      </c>
      <c r="AB3943">
        <v>10</v>
      </c>
      <c r="AC3943">
        <v>1</v>
      </c>
      <c r="AD3943">
        <v>0</v>
      </c>
      <c r="AE3943">
        <v>0</v>
      </c>
      <c r="AF3943">
        <v>0</v>
      </c>
      <c r="AG3943">
        <v>2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0</v>
      </c>
      <c r="AN3943">
        <v>0</v>
      </c>
      <c r="AT3943">
        <v>0</v>
      </c>
      <c r="AU3943">
        <v>5</v>
      </c>
      <c r="AV3943">
        <v>379</v>
      </c>
      <c r="AW3943">
        <v>379</v>
      </c>
      <c r="AX3943">
        <v>537</v>
      </c>
      <c r="BA3943">
        <v>1</v>
      </c>
      <c r="BC3943" t="s">
        <v>7992</v>
      </c>
      <c r="BD3943" s="4">
        <v>43283.207638888889</v>
      </c>
      <c r="BE3943" s="4">
        <v>43283.229745370372</v>
      </c>
      <c r="BF3943" s="4">
        <v>43283.229745370372</v>
      </c>
      <c r="BG3943" t="s">
        <v>83</v>
      </c>
      <c r="BH3943" t="s">
        <v>84</v>
      </c>
      <c r="BI3943" t="s">
        <v>85</v>
      </c>
    </row>
    <row r="3944" spans="1:61" x14ac:dyDescent="0.3">
      <c r="A3944" t="str">
        <f>"202220C0100"</f>
        <v>202220C0100</v>
      </c>
      <c r="B3944" t="s">
        <v>7993</v>
      </c>
      <c r="C3944">
        <v>20</v>
      </c>
      <c r="D3944" t="s">
        <v>79</v>
      </c>
      <c r="E3944">
        <v>18</v>
      </c>
      <c r="F3944" t="s">
        <v>7655</v>
      </c>
      <c r="G3944">
        <v>2220</v>
      </c>
      <c r="H3944">
        <v>1</v>
      </c>
      <c r="I3944" t="s">
        <v>89</v>
      </c>
      <c r="J3944">
        <v>0</v>
      </c>
      <c r="K3944">
        <v>1</v>
      </c>
      <c r="L3944">
        <v>2</v>
      </c>
      <c r="M3944">
        <v>157</v>
      </c>
      <c r="N3944">
        <v>403</v>
      </c>
      <c r="O3944">
        <v>6</v>
      </c>
      <c r="P3944">
        <v>406</v>
      </c>
      <c r="Q3944">
        <v>13</v>
      </c>
      <c r="R3944">
        <v>47</v>
      </c>
      <c r="S3944">
        <v>41</v>
      </c>
      <c r="T3944">
        <v>5</v>
      </c>
      <c r="U3944">
        <v>26</v>
      </c>
      <c r="V3944">
        <v>14</v>
      </c>
      <c r="W3944">
        <v>4</v>
      </c>
      <c r="X3944">
        <v>1</v>
      </c>
      <c r="Y3944">
        <v>227</v>
      </c>
      <c r="Z3944">
        <v>8</v>
      </c>
      <c r="AA3944">
        <v>2</v>
      </c>
      <c r="AB3944">
        <v>4</v>
      </c>
      <c r="AC3944">
        <v>1</v>
      </c>
      <c r="AD3944">
        <v>0</v>
      </c>
      <c r="AE3944">
        <v>2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3</v>
      </c>
      <c r="AL3944">
        <v>1</v>
      </c>
      <c r="AM3944">
        <v>0</v>
      </c>
      <c r="AN3944">
        <v>0</v>
      </c>
      <c r="AT3944">
        <v>1</v>
      </c>
      <c r="AU3944">
        <v>6</v>
      </c>
      <c r="AV3944">
        <v>406</v>
      </c>
      <c r="AW3944">
        <v>406</v>
      </c>
      <c r="AX3944">
        <v>537</v>
      </c>
      <c r="BA3944">
        <v>1</v>
      </c>
      <c r="BC3944" t="s">
        <v>7994</v>
      </c>
      <c r="BD3944" s="4">
        <v>43283.211111111108</v>
      </c>
      <c r="BE3944" s="4">
        <v>43283.231979166667</v>
      </c>
      <c r="BF3944" s="4">
        <v>43283.231979166667</v>
      </c>
      <c r="BG3944" t="s">
        <v>83</v>
      </c>
      <c r="BH3944" t="s">
        <v>84</v>
      </c>
      <c r="BI3944" t="s">
        <v>85</v>
      </c>
    </row>
    <row r="3945" spans="1:61" x14ac:dyDescent="0.3">
      <c r="A3945" t="str">
        <f>"202220C0200"</f>
        <v>202220C0200</v>
      </c>
      <c r="B3945" t="s">
        <v>7995</v>
      </c>
      <c r="C3945">
        <v>20</v>
      </c>
      <c r="D3945" t="s">
        <v>79</v>
      </c>
      <c r="E3945">
        <v>18</v>
      </c>
      <c r="F3945" t="s">
        <v>7655</v>
      </c>
      <c r="G3945">
        <v>2220</v>
      </c>
      <c r="H3945">
        <v>2</v>
      </c>
      <c r="I3945" t="s">
        <v>89</v>
      </c>
      <c r="J3945">
        <v>0</v>
      </c>
      <c r="K3945">
        <v>1</v>
      </c>
      <c r="L3945">
        <v>2</v>
      </c>
      <c r="M3945">
        <v>194</v>
      </c>
      <c r="N3945">
        <v>366</v>
      </c>
      <c r="O3945">
        <v>1</v>
      </c>
      <c r="P3945">
        <v>366</v>
      </c>
      <c r="Q3945">
        <v>16</v>
      </c>
      <c r="R3945">
        <v>43</v>
      </c>
      <c r="S3945">
        <v>24</v>
      </c>
      <c r="T3945">
        <v>7</v>
      </c>
      <c r="U3945">
        <v>27</v>
      </c>
      <c r="V3945">
        <v>8</v>
      </c>
      <c r="W3945">
        <v>7</v>
      </c>
      <c r="X3945">
        <v>8</v>
      </c>
      <c r="Y3945">
        <v>194</v>
      </c>
      <c r="Z3945">
        <v>6</v>
      </c>
      <c r="AA3945">
        <v>1</v>
      </c>
      <c r="AB3945">
        <v>10</v>
      </c>
      <c r="AC3945" t="s">
        <v>100</v>
      </c>
      <c r="AD3945" t="s">
        <v>100</v>
      </c>
      <c r="AE3945" t="s">
        <v>100</v>
      </c>
      <c r="AF3945" t="s">
        <v>100</v>
      </c>
      <c r="AG3945" t="s">
        <v>100</v>
      </c>
      <c r="AH3945" t="s">
        <v>100</v>
      </c>
      <c r="AI3945" t="s">
        <v>100</v>
      </c>
      <c r="AJ3945" t="s">
        <v>100</v>
      </c>
      <c r="AK3945">
        <v>5</v>
      </c>
      <c r="AL3945" t="s">
        <v>100</v>
      </c>
      <c r="AM3945" t="s">
        <v>100</v>
      </c>
      <c r="AN3945" t="s">
        <v>100</v>
      </c>
      <c r="AT3945" t="s">
        <v>100</v>
      </c>
      <c r="AU3945">
        <v>10</v>
      </c>
      <c r="AV3945">
        <v>366</v>
      </c>
      <c r="AW3945">
        <v>366</v>
      </c>
      <c r="AX3945">
        <v>537</v>
      </c>
      <c r="AZ3945" t="s">
        <v>101</v>
      </c>
      <c r="BA3945">
        <v>1</v>
      </c>
      <c r="BC3945" t="s">
        <v>7996</v>
      </c>
      <c r="BD3945" s="4">
        <v>43283.21597222222</v>
      </c>
      <c r="BE3945" s="4">
        <v>43283.237997685188</v>
      </c>
      <c r="BF3945" s="4">
        <v>43283.237997685188</v>
      </c>
      <c r="BG3945" t="s">
        <v>83</v>
      </c>
      <c r="BH3945" t="s">
        <v>84</v>
      </c>
      <c r="BI3945" t="s">
        <v>85</v>
      </c>
    </row>
    <row r="3946" spans="1:61" x14ac:dyDescent="0.3">
      <c r="A3946" t="str">
        <f>"202221B0100"</f>
        <v>202221B0100</v>
      </c>
      <c r="B3946" t="s">
        <v>7997</v>
      </c>
      <c r="C3946">
        <v>20</v>
      </c>
      <c r="D3946" t="s">
        <v>79</v>
      </c>
      <c r="E3946">
        <v>18</v>
      </c>
      <c r="F3946" t="s">
        <v>7655</v>
      </c>
      <c r="G3946">
        <v>2221</v>
      </c>
      <c r="H3946">
        <v>1</v>
      </c>
      <c r="I3946" t="s">
        <v>81</v>
      </c>
      <c r="J3946">
        <v>0</v>
      </c>
      <c r="K3946">
        <v>1</v>
      </c>
      <c r="L3946">
        <v>2</v>
      </c>
      <c r="M3946">
        <v>227</v>
      </c>
      <c r="N3946">
        <v>429</v>
      </c>
      <c r="O3946">
        <v>8</v>
      </c>
      <c r="P3946">
        <v>418</v>
      </c>
      <c r="Q3946">
        <v>19</v>
      </c>
      <c r="R3946">
        <v>28</v>
      </c>
      <c r="S3946">
        <v>41</v>
      </c>
      <c r="T3946">
        <v>14</v>
      </c>
      <c r="U3946">
        <v>19</v>
      </c>
      <c r="V3946">
        <v>5</v>
      </c>
      <c r="W3946">
        <v>4</v>
      </c>
      <c r="X3946">
        <v>1</v>
      </c>
      <c r="Y3946">
        <v>260</v>
      </c>
      <c r="Z3946">
        <v>5</v>
      </c>
      <c r="AA3946">
        <v>1</v>
      </c>
      <c r="AB3946">
        <v>11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>
        <v>0</v>
      </c>
      <c r="AM3946">
        <v>0</v>
      </c>
      <c r="AN3946">
        <v>0</v>
      </c>
      <c r="AT3946">
        <v>5</v>
      </c>
      <c r="AU3946">
        <v>9</v>
      </c>
      <c r="AV3946">
        <v>418</v>
      </c>
      <c r="AW3946">
        <v>422</v>
      </c>
      <c r="AX3946">
        <v>624</v>
      </c>
      <c r="BA3946">
        <v>1</v>
      </c>
      <c r="BC3946" t="s">
        <v>7998</v>
      </c>
      <c r="BD3946" s="4">
        <v>43283.296527777777</v>
      </c>
      <c r="BE3946" s="4">
        <v>43283.341782407406</v>
      </c>
      <c r="BF3946" s="4">
        <v>43283.341782407406</v>
      </c>
      <c r="BG3946" t="s">
        <v>83</v>
      </c>
      <c r="BH3946" t="s">
        <v>84</v>
      </c>
      <c r="BI3946" t="s">
        <v>85</v>
      </c>
    </row>
    <row r="3947" spans="1:61" x14ac:dyDescent="0.3">
      <c r="A3947" t="str">
        <f>"202221C0100"</f>
        <v>202221C0100</v>
      </c>
      <c r="B3947" t="s">
        <v>7999</v>
      </c>
      <c r="C3947">
        <v>20</v>
      </c>
      <c r="D3947" t="s">
        <v>79</v>
      </c>
      <c r="E3947">
        <v>18</v>
      </c>
      <c r="F3947" t="s">
        <v>7655</v>
      </c>
      <c r="G3947">
        <v>2221</v>
      </c>
      <c r="H3947">
        <v>1</v>
      </c>
      <c r="I3947" t="s">
        <v>89</v>
      </c>
      <c r="J3947">
        <v>0</v>
      </c>
      <c r="K3947">
        <v>1</v>
      </c>
      <c r="L3947">
        <v>2</v>
      </c>
      <c r="M3947">
        <v>199</v>
      </c>
      <c r="N3947">
        <v>445</v>
      </c>
      <c r="O3947">
        <v>5</v>
      </c>
      <c r="P3947" t="s">
        <v>100</v>
      </c>
      <c r="Q3947">
        <v>14</v>
      </c>
      <c r="R3947">
        <v>39</v>
      </c>
      <c r="S3947">
        <v>29</v>
      </c>
      <c r="T3947">
        <v>10</v>
      </c>
      <c r="U3947">
        <v>32</v>
      </c>
      <c r="V3947">
        <v>2</v>
      </c>
      <c r="W3947">
        <v>4</v>
      </c>
      <c r="X3947">
        <v>3</v>
      </c>
      <c r="Y3947">
        <v>262</v>
      </c>
      <c r="Z3947">
        <v>5</v>
      </c>
      <c r="AA3947">
        <v>1</v>
      </c>
      <c r="AB3947">
        <v>9</v>
      </c>
      <c r="AC3947">
        <v>1</v>
      </c>
      <c r="AD3947">
        <v>0</v>
      </c>
      <c r="AE3947">
        <v>0</v>
      </c>
      <c r="AF3947">
        <v>0</v>
      </c>
      <c r="AG3947">
        <v>0</v>
      </c>
      <c r="AH3947">
        <v>1</v>
      </c>
      <c r="AI3947">
        <v>0</v>
      </c>
      <c r="AJ3947">
        <v>0</v>
      </c>
      <c r="AK3947">
        <v>5</v>
      </c>
      <c r="AL3947">
        <v>1</v>
      </c>
      <c r="AM3947">
        <v>0</v>
      </c>
      <c r="AN3947">
        <v>1</v>
      </c>
      <c r="AT3947">
        <v>1</v>
      </c>
      <c r="AU3947">
        <v>13</v>
      </c>
      <c r="AV3947" t="s">
        <v>100</v>
      </c>
      <c r="AW3947">
        <v>433</v>
      </c>
      <c r="AX3947">
        <v>623</v>
      </c>
      <c r="BA3947">
        <v>1</v>
      </c>
      <c r="BC3947" t="s">
        <v>8000</v>
      </c>
      <c r="BD3947" s="4">
        <v>43283.28125</v>
      </c>
      <c r="BE3947" s="4">
        <v>43283.312222222223</v>
      </c>
      <c r="BF3947" s="4">
        <v>43283.312222222223</v>
      </c>
      <c r="BG3947" t="s">
        <v>83</v>
      </c>
      <c r="BH3947" t="s">
        <v>84</v>
      </c>
      <c r="BI3947" t="s">
        <v>85</v>
      </c>
    </row>
    <row r="3948" spans="1:61" x14ac:dyDescent="0.3">
      <c r="A3948" t="str">
        <f>"202221C0200"</f>
        <v>202221C0200</v>
      </c>
      <c r="B3948" t="s">
        <v>8001</v>
      </c>
      <c r="C3948">
        <v>20</v>
      </c>
      <c r="D3948" t="s">
        <v>79</v>
      </c>
      <c r="E3948">
        <v>18</v>
      </c>
      <c r="F3948" t="s">
        <v>7655</v>
      </c>
      <c r="G3948">
        <v>2221</v>
      </c>
      <c r="H3948">
        <v>2</v>
      </c>
      <c r="I3948" t="s">
        <v>89</v>
      </c>
      <c r="J3948">
        <v>0</v>
      </c>
      <c r="K3948">
        <v>1</v>
      </c>
      <c r="L3948">
        <v>2</v>
      </c>
      <c r="AX3948">
        <v>623</v>
      </c>
      <c r="AZ3948" t="s">
        <v>156</v>
      </c>
      <c r="BA3948">
        <v>0</v>
      </c>
      <c r="BC3948" t="s">
        <v>8002</v>
      </c>
      <c r="BD3948" s="4">
        <v>43283.681250000001</v>
      </c>
      <c r="BE3948" s="4">
        <v>43283.683842592596</v>
      </c>
      <c r="BF3948" s="4">
        <v>43283.683842592596</v>
      </c>
      <c r="BG3948" t="s">
        <v>83</v>
      </c>
      <c r="BH3948" t="s">
        <v>84</v>
      </c>
      <c r="BI3948" t="s">
        <v>85</v>
      </c>
    </row>
    <row r="3949" spans="1:61" x14ac:dyDescent="0.3">
      <c r="A3949" t="str">
        <f>"202222B0100"</f>
        <v>202222B0100</v>
      </c>
      <c r="B3949" t="s">
        <v>8003</v>
      </c>
      <c r="C3949">
        <v>20</v>
      </c>
      <c r="D3949" t="s">
        <v>79</v>
      </c>
      <c r="E3949">
        <v>18</v>
      </c>
      <c r="F3949" t="s">
        <v>7655</v>
      </c>
      <c r="G3949">
        <v>2222</v>
      </c>
      <c r="H3949">
        <v>1</v>
      </c>
      <c r="I3949" t="s">
        <v>81</v>
      </c>
      <c r="J3949">
        <v>0</v>
      </c>
      <c r="K3949">
        <v>2</v>
      </c>
      <c r="L3949">
        <v>2</v>
      </c>
      <c r="M3949">
        <v>141</v>
      </c>
      <c r="N3949">
        <v>464</v>
      </c>
      <c r="O3949">
        <v>1</v>
      </c>
      <c r="P3949">
        <v>464</v>
      </c>
      <c r="Q3949">
        <v>3</v>
      </c>
      <c r="R3949">
        <v>90</v>
      </c>
      <c r="S3949">
        <v>53</v>
      </c>
      <c r="T3949">
        <v>5</v>
      </c>
      <c r="U3949">
        <v>3</v>
      </c>
      <c r="V3949">
        <v>1</v>
      </c>
      <c r="W3949">
        <v>2</v>
      </c>
      <c r="X3949">
        <v>1</v>
      </c>
      <c r="Y3949">
        <v>267</v>
      </c>
      <c r="Z3949">
        <v>1</v>
      </c>
      <c r="AA3949">
        <v>0</v>
      </c>
      <c r="AB3949">
        <v>1</v>
      </c>
      <c r="AC3949">
        <v>0</v>
      </c>
      <c r="AD3949">
        <v>2</v>
      </c>
      <c r="AE3949">
        <v>0</v>
      </c>
      <c r="AF3949">
        <v>0</v>
      </c>
      <c r="AG3949">
        <v>0</v>
      </c>
      <c r="AH3949">
        <v>0</v>
      </c>
      <c r="AI3949">
        <v>1</v>
      </c>
      <c r="AJ3949">
        <v>0</v>
      </c>
      <c r="AK3949">
        <v>3</v>
      </c>
      <c r="AL3949">
        <v>1</v>
      </c>
      <c r="AM3949">
        <v>0</v>
      </c>
      <c r="AN3949">
        <v>1</v>
      </c>
      <c r="AT3949">
        <v>0</v>
      </c>
      <c r="AU3949">
        <v>27</v>
      </c>
      <c r="AV3949">
        <v>463</v>
      </c>
      <c r="AW3949">
        <v>462</v>
      </c>
      <c r="AX3949">
        <v>583</v>
      </c>
      <c r="BA3949">
        <v>1</v>
      </c>
      <c r="BC3949" t="s">
        <v>8004</v>
      </c>
      <c r="BD3949" s="4">
        <v>43283.449305555558</v>
      </c>
      <c r="BE3949" s="4">
        <v>43283.452488425923</v>
      </c>
      <c r="BF3949" s="4">
        <v>43283.452488425923</v>
      </c>
      <c r="BG3949" t="s">
        <v>83</v>
      </c>
      <c r="BH3949" t="s">
        <v>84</v>
      </c>
      <c r="BI3949" t="s">
        <v>85</v>
      </c>
    </row>
    <row r="3950" spans="1:61" x14ac:dyDescent="0.3">
      <c r="A3950" t="str">
        <f>"202222E0100"</f>
        <v>202222E0100</v>
      </c>
      <c r="B3950" s="2" t="s">
        <v>8005</v>
      </c>
      <c r="C3950">
        <v>20</v>
      </c>
      <c r="D3950" t="s">
        <v>79</v>
      </c>
      <c r="E3950">
        <v>18</v>
      </c>
      <c r="F3950" t="s">
        <v>7655</v>
      </c>
      <c r="G3950">
        <v>2222</v>
      </c>
      <c r="H3950">
        <v>1</v>
      </c>
      <c r="I3950" t="s">
        <v>145</v>
      </c>
      <c r="J3950">
        <v>0</v>
      </c>
      <c r="K3950">
        <v>2</v>
      </c>
      <c r="L3950">
        <v>2</v>
      </c>
      <c r="M3950">
        <v>51</v>
      </c>
      <c r="N3950">
        <v>243</v>
      </c>
      <c r="O3950">
        <v>2</v>
      </c>
      <c r="P3950">
        <v>243</v>
      </c>
      <c r="Q3950">
        <v>5</v>
      </c>
      <c r="R3950">
        <v>34</v>
      </c>
      <c r="S3950">
        <v>22</v>
      </c>
      <c r="T3950">
        <v>6</v>
      </c>
      <c r="U3950">
        <v>16</v>
      </c>
      <c r="V3950">
        <v>4</v>
      </c>
      <c r="W3950">
        <v>3</v>
      </c>
      <c r="X3950">
        <v>1</v>
      </c>
      <c r="Y3950">
        <v>121</v>
      </c>
      <c r="Z3950">
        <v>7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1</v>
      </c>
      <c r="AJ3950">
        <v>0</v>
      </c>
      <c r="AK3950">
        <v>0</v>
      </c>
      <c r="AL3950">
        <v>0</v>
      </c>
      <c r="AM3950">
        <v>1</v>
      </c>
      <c r="AN3950">
        <v>0</v>
      </c>
      <c r="AT3950">
        <v>0</v>
      </c>
      <c r="AU3950">
        <v>22</v>
      </c>
      <c r="AV3950">
        <v>243</v>
      </c>
      <c r="AW3950">
        <v>243</v>
      </c>
      <c r="AX3950">
        <v>271</v>
      </c>
      <c r="BA3950">
        <v>1</v>
      </c>
      <c r="BC3950" t="s">
        <v>8006</v>
      </c>
      <c r="BD3950" s="4">
        <v>43283.45</v>
      </c>
      <c r="BE3950" s="4">
        <v>43283.453773148147</v>
      </c>
      <c r="BF3950" s="4">
        <v>43283.453773148147</v>
      </c>
      <c r="BG3950" t="s">
        <v>83</v>
      </c>
      <c r="BH3950" t="s">
        <v>84</v>
      </c>
      <c r="BI3950" t="s">
        <v>85</v>
      </c>
    </row>
    <row r="3951" spans="1:61" x14ac:dyDescent="0.3">
      <c r="A3951" t="str">
        <f>"202223B0100"</f>
        <v>202223B0100</v>
      </c>
      <c r="B3951" t="s">
        <v>8007</v>
      </c>
      <c r="C3951">
        <v>20</v>
      </c>
      <c r="D3951" t="s">
        <v>79</v>
      </c>
      <c r="E3951">
        <v>18</v>
      </c>
      <c r="F3951" t="s">
        <v>7655</v>
      </c>
      <c r="G3951">
        <v>2223</v>
      </c>
      <c r="H3951">
        <v>1</v>
      </c>
      <c r="I3951" t="s">
        <v>81</v>
      </c>
      <c r="J3951">
        <v>0</v>
      </c>
      <c r="K3951">
        <v>2</v>
      </c>
      <c r="L3951">
        <v>2</v>
      </c>
      <c r="M3951">
        <v>103</v>
      </c>
      <c r="N3951">
        <v>264</v>
      </c>
      <c r="O3951">
        <v>0</v>
      </c>
      <c r="P3951">
        <v>264</v>
      </c>
      <c r="Q3951">
        <v>9</v>
      </c>
      <c r="R3951">
        <v>77</v>
      </c>
      <c r="S3951">
        <v>27</v>
      </c>
      <c r="T3951">
        <v>5</v>
      </c>
      <c r="U3951">
        <v>13</v>
      </c>
      <c r="V3951">
        <v>6</v>
      </c>
      <c r="W3951">
        <v>2</v>
      </c>
      <c r="X3951">
        <v>1</v>
      </c>
      <c r="Y3951">
        <v>103</v>
      </c>
      <c r="Z3951">
        <v>4</v>
      </c>
      <c r="AA3951">
        <v>1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1</v>
      </c>
      <c r="AH3951">
        <v>0</v>
      </c>
      <c r="AI3951">
        <v>0</v>
      </c>
      <c r="AJ3951">
        <v>0</v>
      </c>
      <c r="AK3951">
        <v>0</v>
      </c>
      <c r="AL3951">
        <v>0</v>
      </c>
      <c r="AM3951">
        <v>0</v>
      </c>
      <c r="AN3951">
        <v>0</v>
      </c>
      <c r="AT3951">
        <v>0</v>
      </c>
      <c r="AU3951">
        <v>15</v>
      </c>
      <c r="AV3951">
        <v>264</v>
      </c>
      <c r="AW3951">
        <v>264</v>
      </c>
      <c r="AX3951">
        <v>344</v>
      </c>
      <c r="BA3951">
        <v>1</v>
      </c>
      <c r="BC3951" s="2" t="s">
        <v>8008</v>
      </c>
      <c r="BD3951" s="4">
        <v>43283.401388888888</v>
      </c>
      <c r="BE3951" s="4">
        <v>43283.405451388891</v>
      </c>
      <c r="BF3951" s="4">
        <v>43283.405451388891</v>
      </c>
      <c r="BG3951" t="s">
        <v>83</v>
      </c>
      <c r="BH3951" t="s">
        <v>84</v>
      </c>
      <c r="BI3951" t="s">
        <v>85</v>
      </c>
    </row>
    <row r="3952" spans="1:61" x14ac:dyDescent="0.3">
      <c r="A3952" t="str">
        <f>"202223E0100"</f>
        <v>202223E0100</v>
      </c>
      <c r="B3952" s="2" t="s">
        <v>8009</v>
      </c>
      <c r="C3952">
        <v>20</v>
      </c>
      <c r="D3952" t="s">
        <v>79</v>
      </c>
      <c r="E3952">
        <v>18</v>
      </c>
      <c r="F3952" t="s">
        <v>7655</v>
      </c>
      <c r="G3952">
        <v>2223</v>
      </c>
      <c r="H3952">
        <v>1</v>
      </c>
      <c r="I3952" t="s">
        <v>145</v>
      </c>
      <c r="J3952">
        <v>0</v>
      </c>
      <c r="K3952">
        <v>2</v>
      </c>
      <c r="L3952">
        <v>2</v>
      </c>
      <c r="M3952">
        <v>93</v>
      </c>
      <c r="N3952">
        <v>270</v>
      </c>
      <c r="O3952" t="s">
        <v>100</v>
      </c>
      <c r="P3952">
        <v>270</v>
      </c>
      <c r="Q3952">
        <v>6</v>
      </c>
      <c r="R3952">
        <v>58</v>
      </c>
      <c r="S3952">
        <v>60</v>
      </c>
      <c r="T3952">
        <v>3</v>
      </c>
      <c r="U3952">
        <v>19</v>
      </c>
      <c r="V3952">
        <v>13</v>
      </c>
      <c r="W3952">
        <v>0</v>
      </c>
      <c r="X3952">
        <v>1</v>
      </c>
      <c r="Y3952">
        <v>87</v>
      </c>
      <c r="Z3952">
        <v>5</v>
      </c>
      <c r="AA3952">
        <v>1</v>
      </c>
      <c r="AB3952">
        <v>0</v>
      </c>
      <c r="AC3952" t="s">
        <v>100</v>
      </c>
      <c r="AD3952">
        <v>1</v>
      </c>
      <c r="AE3952" t="s">
        <v>100</v>
      </c>
      <c r="AF3952">
        <v>1</v>
      </c>
      <c r="AG3952" t="s">
        <v>100</v>
      </c>
      <c r="AH3952" t="s">
        <v>100</v>
      </c>
      <c r="AI3952" t="s">
        <v>100</v>
      </c>
      <c r="AJ3952" t="s">
        <v>100</v>
      </c>
      <c r="AK3952" t="s">
        <v>100</v>
      </c>
      <c r="AL3952" t="s">
        <v>100</v>
      </c>
      <c r="AM3952" t="s">
        <v>100</v>
      </c>
      <c r="AN3952" t="s">
        <v>100</v>
      </c>
      <c r="AT3952" t="s">
        <v>100</v>
      </c>
      <c r="AU3952">
        <v>15</v>
      </c>
      <c r="AV3952">
        <v>270</v>
      </c>
      <c r="AW3952">
        <v>270</v>
      </c>
      <c r="AX3952">
        <v>340</v>
      </c>
      <c r="AZ3952" t="s">
        <v>101</v>
      </c>
      <c r="BA3952">
        <v>1</v>
      </c>
      <c r="BC3952" t="s">
        <v>8010</v>
      </c>
      <c r="BD3952" s="4">
        <v>43283.396527777775</v>
      </c>
      <c r="BE3952" s="4">
        <v>43283.400324074071</v>
      </c>
      <c r="BF3952" s="4">
        <v>43283.400324074071</v>
      </c>
      <c r="BG3952" t="s">
        <v>83</v>
      </c>
      <c r="BH3952" t="s">
        <v>84</v>
      </c>
      <c r="BI3952" t="s">
        <v>85</v>
      </c>
    </row>
    <row r="3953" spans="1:61" x14ac:dyDescent="0.3">
      <c r="A3953" t="str">
        <f>"202224B0100"</f>
        <v>202224B0100</v>
      </c>
      <c r="B3953" t="s">
        <v>8011</v>
      </c>
      <c r="C3953">
        <v>20</v>
      </c>
      <c r="D3953" t="s">
        <v>79</v>
      </c>
      <c r="E3953">
        <v>18</v>
      </c>
      <c r="F3953" t="s">
        <v>7655</v>
      </c>
      <c r="G3953">
        <v>2224</v>
      </c>
      <c r="H3953">
        <v>1</v>
      </c>
      <c r="I3953" t="s">
        <v>81</v>
      </c>
      <c r="J3953">
        <v>0</v>
      </c>
      <c r="K3953">
        <v>2</v>
      </c>
      <c r="L3953">
        <v>2</v>
      </c>
      <c r="M3953" t="s">
        <v>315</v>
      </c>
      <c r="N3953">
        <v>326</v>
      </c>
      <c r="O3953">
        <v>1</v>
      </c>
      <c r="P3953">
        <v>325</v>
      </c>
      <c r="Q3953">
        <v>9</v>
      </c>
      <c r="R3953">
        <v>43</v>
      </c>
      <c r="S3953">
        <v>31</v>
      </c>
      <c r="T3953">
        <v>15</v>
      </c>
      <c r="U3953">
        <v>16</v>
      </c>
      <c r="V3953">
        <v>12</v>
      </c>
      <c r="W3953">
        <v>2</v>
      </c>
      <c r="X3953">
        <v>1</v>
      </c>
      <c r="Y3953">
        <v>166</v>
      </c>
      <c r="Z3953">
        <v>2</v>
      </c>
      <c r="AA3953">
        <v>1</v>
      </c>
      <c r="AB3953">
        <v>9</v>
      </c>
      <c r="AC3953" t="s">
        <v>100</v>
      </c>
      <c r="AD3953" t="s">
        <v>100</v>
      </c>
      <c r="AE3953" t="s">
        <v>100</v>
      </c>
      <c r="AF3953" t="s">
        <v>100</v>
      </c>
      <c r="AG3953" t="s">
        <v>100</v>
      </c>
      <c r="AH3953" t="s">
        <v>100</v>
      </c>
      <c r="AI3953" t="s">
        <v>100</v>
      </c>
      <c r="AJ3953" t="s">
        <v>100</v>
      </c>
      <c r="AK3953">
        <v>7</v>
      </c>
      <c r="AL3953" t="s">
        <v>100</v>
      </c>
      <c r="AM3953" t="s">
        <v>100</v>
      </c>
      <c r="AN3953" t="s">
        <v>100</v>
      </c>
      <c r="AT3953" t="s">
        <v>100</v>
      </c>
      <c r="AU3953">
        <v>11</v>
      </c>
      <c r="AV3953">
        <v>325</v>
      </c>
      <c r="AW3953">
        <v>325</v>
      </c>
      <c r="AX3953">
        <v>411</v>
      </c>
      <c r="AZ3953" t="s">
        <v>101</v>
      </c>
      <c r="BA3953">
        <v>1</v>
      </c>
      <c r="BC3953" t="s">
        <v>8012</v>
      </c>
      <c r="BD3953" s="4">
        <v>43283.268055555556</v>
      </c>
      <c r="BE3953" s="4">
        <v>43283.293900462966</v>
      </c>
      <c r="BF3953" s="4">
        <v>43283.293900462966</v>
      </c>
      <c r="BG3953" t="s">
        <v>83</v>
      </c>
      <c r="BH3953" t="s">
        <v>84</v>
      </c>
      <c r="BI3953" t="s">
        <v>85</v>
      </c>
    </row>
    <row r="3954" spans="1:61" x14ac:dyDescent="0.3">
      <c r="A3954" t="str">
        <f>"202224C0100"</f>
        <v>202224C0100</v>
      </c>
      <c r="B3954" t="s">
        <v>8013</v>
      </c>
      <c r="C3954">
        <v>20</v>
      </c>
      <c r="D3954" t="s">
        <v>79</v>
      </c>
      <c r="E3954">
        <v>18</v>
      </c>
      <c r="F3954" t="s">
        <v>7655</v>
      </c>
      <c r="G3954">
        <v>2224</v>
      </c>
      <c r="H3954">
        <v>1</v>
      </c>
      <c r="I3954" t="s">
        <v>89</v>
      </c>
      <c r="J3954">
        <v>0</v>
      </c>
      <c r="K3954">
        <v>2</v>
      </c>
      <c r="L3954">
        <v>2</v>
      </c>
      <c r="M3954">
        <v>100</v>
      </c>
      <c r="N3954">
        <v>334</v>
      </c>
      <c r="O3954">
        <v>1</v>
      </c>
      <c r="P3954">
        <v>337</v>
      </c>
      <c r="Q3954">
        <v>5</v>
      </c>
      <c r="R3954">
        <v>45</v>
      </c>
      <c r="S3954">
        <v>31</v>
      </c>
      <c r="T3954">
        <v>18</v>
      </c>
      <c r="U3954">
        <v>27</v>
      </c>
      <c r="V3954">
        <v>13</v>
      </c>
      <c r="W3954">
        <v>2</v>
      </c>
      <c r="X3954">
        <v>3</v>
      </c>
      <c r="Y3954">
        <v>167</v>
      </c>
      <c r="Z3954">
        <v>4</v>
      </c>
      <c r="AA3954">
        <v>0</v>
      </c>
      <c r="AB3954">
        <v>8</v>
      </c>
      <c r="AC3954">
        <v>0</v>
      </c>
      <c r="AD3954">
        <v>1</v>
      </c>
      <c r="AE3954">
        <v>0</v>
      </c>
      <c r="AF3954">
        <v>0</v>
      </c>
      <c r="AG3954">
        <v>1</v>
      </c>
      <c r="AH3954">
        <v>1</v>
      </c>
      <c r="AI3954">
        <v>0</v>
      </c>
      <c r="AJ3954">
        <v>0</v>
      </c>
      <c r="AK3954">
        <v>0</v>
      </c>
      <c r="AL3954">
        <v>1</v>
      </c>
      <c r="AM3954">
        <v>0</v>
      </c>
      <c r="AN3954">
        <v>0</v>
      </c>
      <c r="AT3954">
        <v>10</v>
      </c>
      <c r="AU3954">
        <v>10</v>
      </c>
      <c r="AV3954">
        <v>337</v>
      </c>
      <c r="AW3954">
        <v>347</v>
      </c>
      <c r="AX3954">
        <v>411</v>
      </c>
      <c r="BA3954">
        <v>1</v>
      </c>
      <c r="BC3954" t="s">
        <v>8014</v>
      </c>
      <c r="BD3954" s="4">
        <v>43283.272222222222</v>
      </c>
      <c r="BE3954" s="4">
        <v>43283.298888888887</v>
      </c>
      <c r="BF3954" s="4">
        <v>43283.298888888887</v>
      </c>
      <c r="BG3954" t="s">
        <v>83</v>
      </c>
      <c r="BH3954" t="s">
        <v>84</v>
      </c>
      <c r="BI3954" t="s">
        <v>85</v>
      </c>
    </row>
    <row r="3955" spans="1:61" x14ac:dyDescent="0.3">
      <c r="A3955" t="str">
        <f>"202224E0100"</f>
        <v>202224E0100</v>
      </c>
      <c r="B3955" s="2" t="s">
        <v>8015</v>
      </c>
      <c r="C3955">
        <v>20</v>
      </c>
      <c r="D3955" t="s">
        <v>79</v>
      </c>
      <c r="E3955">
        <v>18</v>
      </c>
      <c r="F3955" t="s">
        <v>7655</v>
      </c>
      <c r="G3955">
        <v>2224</v>
      </c>
      <c r="H3955">
        <v>1</v>
      </c>
      <c r="I3955" t="s">
        <v>145</v>
      </c>
      <c r="J3955">
        <v>0</v>
      </c>
      <c r="K3955">
        <v>2</v>
      </c>
      <c r="L3955">
        <v>2</v>
      </c>
      <c r="M3955">
        <v>88</v>
      </c>
      <c r="N3955">
        <v>362</v>
      </c>
      <c r="O3955">
        <v>362</v>
      </c>
      <c r="P3955">
        <v>362</v>
      </c>
      <c r="Q3955">
        <v>5</v>
      </c>
      <c r="R3955">
        <v>22</v>
      </c>
      <c r="S3955">
        <v>69</v>
      </c>
      <c r="T3955">
        <v>8</v>
      </c>
      <c r="U3955">
        <v>13</v>
      </c>
      <c r="V3955">
        <v>5</v>
      </c>
      <c r="W3955" t="s">
        <v>100</v>
      </c>
      <c r="X3955">
        <v>1</v>
      </c>
      <c r="Y3955">
        <v>221</v>
      </c>
      <c r="Z3955">
        <v>8</v>
      </c>
      <c r="AA3955" t="s">
        <v>100</v>
      </c>
      <c r="AB3955">
        <v>2</v>
      </c>
      <c r="AC3955" t="s">
        <v>100</v>
      </c>
      <c r="AD3955" t="s">
        <v>100</v>
      </c>
      <c r="AE3955">
        <v>1</v>
      </c>
      <c r="AF3955" t="s">
        <v>100</v>
      </c>
      <c r="AG3955" t="s">
        <v>100</v>
      </c>
      <c r="AH3955" t="s">
        <v>100</v>
      </c>
      <c r="AI3955" t="s">
        <v>100</v>
      </c>
      <c r="AJ3955" t="s">
        <v>100</v>
      </c>
      <c r="AK3955" t="s">
        <v>100</v>
      </c>
      <c r="AL3955" t="s">
        <v>100</v>
      </c>
      <c r="AM3955" t="s">
        <v>100</v>
      </c>
      <c r="AN3955" t="s">
        <v>100</v>
      </c>
      <c r="AT3955" t="s">
        <v>100</v>
      </c>
      <c r="AU3955">
        <v>6</v>
      </c>
      <c r="AV3955">
        <v>361</v>
      </c>
      <c r="AW3955">
        <v>361</v>
      </c>
      <c r="AX3955">
        <v>427</v>
      </c>
      <c r="AZ3955" t="s">
        <v>101</v>
      </c>
      <c r="BA3955">
        <v>1</v>
      </c>
      <c r="BC3955" t="s">
        <v>8016</v>
      </c>
      <c r="BD3955" s="4">
        <v>43283.277083333334</v>
      </c>
      <c r="BE3955" s="4">
        <v>43283.306215277778</v>
      </c>
      <c r="BF3955" s="4">
        <v>43283.306215277778</v>
      </c>
      <c r="BG3955" t="s">
        <v>83</v>
      </c>
      <c r="BH3955" t="s">
        <v>84</v>
      </c>
      <c r="BI3955" t="s">
        <v>85</v>
      </c>
    </row>
    <row r="3956" spans="1:61" x14ac:dyDescent="0.3">
      <c r="A3956" t="str">
        <f>"202224E0200"</f>
        <v>202224E0200</v>
      </c>
      <c r="B3956" s="2" t="s">
        <v>8017</v>
      </c>
      <c r="C3956">
        <v>20</v>
      </c>
      <c r="D3956" t="s">
        <v>79</v>
      </c>
      <c r="E3956">
        <v>18</v>
      </c>
      <c r="F3956" t="s">
        <v>7655</v>
      </c>
      <c r="G3956">
        <v>2224</v>
      </c>
      <c r="H3956">
        <v>2</v>
      </c>
      <c r="I3956" t="s">
        <v>145</v>
      </c>
      <c r="J3956">
        <v>0</v>
      </c>
      <c r="K3956">
        <v>2</v>
      </c>
      <c r="L3956">
        <v>2</v>
      </c>
      <c r="M3956">
        <v>127</v>
      </c>
      <c r="N3956">
        <v>283</v>
      </c>
      <c r="O3956">
        <v>4</v>
      </c>
      <c r="P3956">
        <v>286</v>
      </c>
      <c r="Q3956">
        <v>15</v>
      </c>
      <c r="R3956">
        <v>20</v>
      </c>
      <c r="S3956">
        <v>14</v>
      </c>
      <c r="T3956">
        <v>2</v>
      </c>
      <c r="U3956">
        <v>6</v>
      </c>
      <c r="V3956">
        <v>6</v>
      </c>
      <c r="W3956">
        <v>1</v>
      </c>
      <c r="X3956">
        <v>6</v>
      </c>
      <c r="Y3956">
        <v>203</v>
      </c>
      <c r="Z3956">
        <v>4</v>
      </c>
      <c r="AA3956">
        <v>2</v>
      </c>
      <c r="AB3956">
        <v>1</v>
      </c>
      <c r="AC3956">
        <v>1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2</v>
      </c>
      <c r="AL3956">
        <v>0</v>
      </c>
      <c r="AM3956">
        <v>0</v>
      </c>
      <c r="AN3956">
        <v>0</v>
      </c>
      <c r="AT3956">
        <v>1</v>
      </c>
      <c r="AU3956">
        <v>2</v>
      </c>
      <c r="AV3956">
        <v>286</v>
      </c>
      <c r="AW3956">
        <v>286</v>
      </c>
      <c r="AX3956">
        <v>387</v>
      </c>
      <c r="BA3956">
        <v>1</v>
      </c>
      <c r="BC3956" t="s">
        <v>8018</v>
      </c>
      <c r="BD3956" s="4">
        <v>43283.294444444444</v>
      </c>
      <c r="BE3956" s="4">
        <v>43283.336284722223</v>
      </c>
      <c r="BF3956" s="4">
        <v>43283.336284722223</v>
      </c>
      <c r="BG3956" t="s">
        <v>83</v>
      </c>
      <c r="BH3956" t="s">
        <v>84</v>
      </c>
      <c r="BI3956" t="s">
        <v>85</v>
      </c>
    </row>
    <row r="3957" spans="1:61" x14ac:dyDescent="0.3">
      <c r="A3957" t="str">
        <f>"202224E0201"</f>
        <v>202224E0201</v>
      </c>
      <c r="B3957" s="2" t="s">
        <v>8019</v>
      </c>
      <c r="C3957">
        <v>20</v>
      </c>
      <c r="D3957" t="s">
        <v>79</v>
      </c>
      <c r="E3957">
        <v>18</v>
      </c>
      <c r="F3957" t="s">
        <v>7655</v>
      </c>
      <c r="G3957">
        <v>2224</v>
      </c>
      <c r="H3957">
        <v>2</v>
      </c>
      <c r="I3957" t="s">
        <v>145</v>
      </c>
      <c r="J3957">
        <v>1</v>
      </c>
      <c r="K3957">
        <v>2</v>
      </c>
      <c r="L3957">
        <v>2</v>
      </c>
      <c r="M3957">
        <v>113</v>
      </c>
      <c r="N3957">
        <v>296</v>
      </c>
      <c r="O3957">
        <v>5</v>
      </c>
      <c r="P3957">
        <v>296</v>
      </c>
      <c r="Q3957">
        <v>9</v>
      </c>
      <c r="R3957">
        <v>27</v>
      </c>
      <c r="S3957">
        <v>13</v>
      </c>
      <c r="T3957">
        <v>3</v>
      </c>
      <c r="U3957">
        <v>14</v>
      </c>
      <c r="V3957">
        <v>9</v>
      </c>
      <c r="W3957">
        <v>3</v>
      </c>
      <c r="X3957">
        <v>4</v>
      </c>
      <c r="Y3957">
        <v>200</v>
      </c>
      <c r="Z3957">
        <v>4</v>
      </c>
      <c r="AA3957">
        <v>0</v>
      </c>
      <c r="AB3957">
        <v>3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  <c r="AN3957">
        <v>0</v>
      </c>
      <c r="AT3957">
        <v>0</v>
      </c>
      <c r="AU3957">
        <v>5</v>
      </c>
      <c r="AV3957">
        <v>294</v>
      </c>
      <c r="AW3957">
        <v>294</v>
      </c>
      <c r="AX3957">
        <v>387</v>
      </c>
      <c r="BA3957">
        <v>1</v>
      </c>
      <c r="BC3957" t="s">
        <v>8020</v>
      </c>
      <c r="BD3957" s="4">
        <v>43283.268750000003</v>
      </c>
      <c r="BE3957" s="4">
        <v>43283.297650462962</v>
      </c>
      <c r="BF3957" s="4">
        <v>43283.297650462962</v>
      </c>
      <c r="BG3957" t="s">
        <v>83</v>
      </c>
      <c r="BH3957" t="s">
        <v>84</v>
      </c>
      <c r="BI3957" t="s">
        <v>85</v>
      </c>
    </row>
    <row r="3958" spans="1:61" x14ac:dyDescent="0.3">
      <c r="A3958" t="str">
        <f>"202224E0300"</f>
        <v>202224E0300</v>
      </c>
      <c r="B3958" s="2" t="s">
        <v>8021</v>
      </c>
      <c r="C3958">
        <v>20</v>
      </c>
      <c r="D3958" t="s">
        <v>79</v>
      </c>
      <c r="E3958">
        <v>18</v>
      </c>
      <c r="F3958" t="s">
        <v>7655</v>
      </c>
      <c r="G3958">
        <v>2224</v>
      </c>
      <c r="H3958">
        <v>3</v>
      </c>
      <c r="I3958" t="s">
        <v>145</v>
      </c>
      <c r="J3958">
        <v>0</v>
      </c>
      <c r="K3958">
        <v>2</v>
      </c>
      <c r="L3958">
        <v>2</v>
      </c>
      <c r="M3958">
        <v>228</v>
      </c>
      <c r="N3958">
        <v>431</v>
      </c>
      <c r="O3958">
        <v>2</v>
      </c>
      <c r="P3958" t="s">
        <v>100</v>
      </c>
      <c r="Q3958">
        <v>13</v>
      </c>
      <c r="R3958">
        <v>33</v>
      </c>
      <c r="S3958">
        <v>40</v>
      </c>
      <c r="T3958">
        <v>9</v>
      </c>
      <c r="U3958">
        <v>17</v>
      </c>
      <c r="V3958">
        <v>10</v>
      </c>
      <c r="W3958">
        <v>19</v>
      </c>
      <c r="X3958">
        <v>1</v>
      </c>
      <c r="Y3958">
        <v>247</v>
      </c>
      <c r="Z3958">
        <v>13</v>
      </c>
      <c r="AA3958">
        <v>0</v>
      </c>
      <c r="AB3958">
        <v>2</v>
      </c>
      <c r="AC3958">
        <v>0</v>
      </c>
      <c r="AD3958">
        <v>2</v>
      </c>
      <c r="AE3958">
        <v>0</v>
      </c>
      <c r="AF3958">
        <v>1</v>
      </c>
      <c r="AG3958">
        <v>0</v>
      </c>
      <c r="AH3958">
        <v>0</v>
      </c>
      <c r="AI3958">
        <v>0</v>
      </c>
      <c r="AJ3958">
        <v>0</v>
      </c>
      <c r="AK3958">
        <v>1</v>
      </c>
      <c r="AL3958">
        <v>1</v>
      </c>
      <c r="AM3958">
        <v>0</v>
      </c>
      <c r="AN3958">
        <v>2</v>
      </c>
      <c r="AT3958">
        <v>1</v>
      </c>
      <c r="AU3958">
        <v>19</v>
      </c>
      <c r="AV3958">
        <v>431</v>
      </c>
      <c r="AW3958">
        <v>431</v>
      </c>
      <c r="AX3958">
        <v>636</v>
      </c>
      <c r="BA3958">
        <v>1</v>
      </c>
      <c r="BC3958" t="s">
        <v>8022</v>
      </c>
      <c r="BD3958" s="4">
        <v>43283.288194444445</v>
      </c>
      <c r="BE3958" s="4">
        <v>43283.329629629632</v>
      </c>
      <c r="BF3958" s="4">
        <v>43283.329629629632</v>
      </c>
      <c r="BG3958" t="s">
        <v>83</v>
      </c>
      <c r="BH3958" t="s">
        <v>84</v>
      </c>
      <c r="BI3958" t="s">
        <v>85</v>
      </c>
    </row>
    <row r="3959" spans="1:61" x14ac:dyDescent="0.3">
      <c r="A3959" t="str">
        <f>"202225B0100"</f>
        <v>202225B0100</v>
      </c>
      <c r="B3959" t="s">
        <v>8023</v>
      </c>
      <c r="C3959">
        <v>20</v>
      </c>
      <c r="D3959" t="s">
        <v>79</v>
      </c>
      <c r="E3959">
        <v>18</v>
      </c>
      <c r="F3959" t="s">
        <v>7655</v>
      </c>
      <c r="G3959">
        <v>2225</v>
      </c>
      <c r="H3959">
        <v>1</v>
      </c>
      <c r="I3959" t="s">
        <v>81</v>
      </c>
      <c r="J3959">
        <v>0</v>
      </c>
      <c r="K3959">
        <v>2</v>
      </c>
      <c r="L3959">
        <v>2</v>
      </c>
      <c r="M3959">
        <v>110</v>
      </c>
      <c r="N3959">
        <v>377</v>
      </c>
      <c r="O3959">
        <v>1</v>
      </c>
      <c r="P3959" t="s">
        <v>100</v>
      </c>
      <c r="Q3959">
        <v>3</v>
      </c>
      <c r="R3959">
        <v>36</v>
      </c>
      <c r="S3959">
        <v>36</v>
      </c>
      <c r="T3959">
        <v>10</v>
      </c>
      <c r="U3959">
        <v>85</v>
      </c>
      <c r="V3959">
        <v>4</v>
      </c>
      <c r="W3959">
        <v>2</v>
      </c>
      <c r="X3959">
        <v>0</v>
      </c>
      <c r="Y3959">
        <v>166</v>
      </c>
      <c r="Z3959">
        <v>4</v>
      </c>
      <c r="AA3959">
        <v>0</v>
      </c>
      <c r="AB3959">
        <v>3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1</v>
      </c>
      <c r="AI3959">
        <v>0</v>
      </c>
      <c r="AJ3959">
        <v>0</v>
      </c>
      <c r="AK3959">
        <v>2</v>
      </c>
      <c r="AL3959">
        <v>0</v>
      </c>
      <c r="AM3959">
        <v>0</v>
      </c>
      <c r="AN3959">
        <v>2</v>
      </c>
      <c r="AT3959">
        <v>0</v>
      </c>
      <c r="AU3959">
        <v>19</v>
      </c>
      <c r="AV3959">
        <v>376</v>
      </c>
      <c r="AW3959">
        <v>373</v>
      </c>
      <c r="AX3959">
        <v>463</v>
      </c>
      <c r="BA3959">
        <v>1</v>
      </c>
      <c r="BC3959" t="s">
        <v>8024</v>
      </c>
      <c r="BD3959" s="4">
        <v>43283.3125</v>
      </c>
      <c r="BE3959" s="4">
        <v>43283.367592592593</v>
      </c>
      <c r="BF3959" s="4">
        <v>43283.367592592593</v>
      </c>
      <c r="BG3959" t="s">
        <v>83</v>
      </c>
      <c r="BH3959" t="s">
        <v>84</v>
      </c>
      <c r="BI3959" t="s">
        <v>85</v>
      </c>
    </row>
    <row r="3960" spans="1:61" x14ac:dyDescent="0.3">
      <c r="A3960" t="str">
        <f>"202226B0100"</f>
        <v>202226B0100</v>
      </c>
      <c r="B3960" t="s">
        <v>8025</v>
      </c>
      <c r="C3960">
        <v>20</v>
      </c>
      <c r="D3960" t="s">
        <v>79</v>
      </c>
      <c r="E3960">
        <v>18</v>
      </c>
      <c r="F3960" t="s">
        <v>7655</v>
      </c>
      <c r="G3960">
        <v>2226</v>
      </c>
      <c r="H3960">
        <v>1</v>
      </c>
      <c r="I3960" t="s">
        <v>81</v>
      </c>
      <c r="J3960">
        <v>0</v>
      </c>
      <c r="K3960">
        <v>2</v>
      </c>
      <c r="L3960">
        <v>2</v>
      </c>
      <c r="M3960">
        <v>99</v>
      </c>
      <c r="N3960">
        <v>304</v>
      </c>
      <c r="O3960">
        <v>2</v>
      </c>
      <c r="P3960">
        <v>304</v>
      </c>
      <c r="Q3960">
        <v>1</v>
      </c>
      <c r="R3960">
        <v>12</v>
      </c>
      <c r="S3960">
        <v>33</v>
      </c>
      <c r="T3960">
        <v>3</v>
      </c>
      <c r="U3960">
        <v>75</v>
      </c>
      <c r="V3960">
        <v>7</v>
      </c>
      <c r="W3960">
        <v>0</v>
      </c>
      <c r="X3960">
        <v>2</v>
      </c>
      <c r="Y3960">
        <v>151</v>
      </c>
      <c r="Z3960">
        <v>2</v>
      </c>
      <c r="AA3960">
        <v>0</v>
      </c>
      <c r="AB3960">
        <v>2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1</v>
      </c>
      <c r="AL3960">
        <v>3</v>
      </c>
      <c r="AM3960">
        <v>0</v>
      </c>
      <c r="AN3960">
        <v>0</v>
      </c>
      <c r="AT3960">
        <v>0</v>
      </c>
      <c r="AU3960">
        <v>12</v>
      </c>
      <c r="AV3960">
        <v>304</v>
      </c>
      <c r="AW3960">
        <v>304</v>
      </c>
      <c r="AX3960">
        <v>380</v>
      </c>
      <c r="BA3960">
        <v>1</v>
      </c>
      <c r="BC3960" t="s">
        <v>8026</v>
      </c>
      <c r="BD3960" s="4">
        <v>43283.119444444441</v>
      </c>
      <c r="BE3960" s="4">
        <v>43283.126423611109</v>
      </c>
      <c r="BF3960" s="4">
        <v>43283.126423611109</v>
      </c>
      <c r="BG3960" t="s">
        <v>83</v>
      </c>
      <c r="BH3960" t="s">
        <v>84</v>
      </c>
      <c r="BI3960" t="s">
        <v>85</v>
      </c>
    </row>
    <row r="3961" spans="1:61" x14ac:dyDescent="0.3">
      <c r="A3961" t="str">
        <f>"202226C0100"</f>
        <v>202226C0100</v>
      </c>
      <c r="B3961" t="s">
        <v>8027</v>
      </c>
      <c r="C3961">
        <v>20</v>
      </c>
      <c r="D3961" t="s">
        <v>79</v>
      </c>
      <c r="E3961">
        <v>18</v>
      </c>
      <c r="F3961" t="s">
        <v>7655</v>
      </c>
      <c r="G3961">
        <v>2226</v>
      </c>
      <c r="H3961">
        <v>1</v>
      </c>
      <c r="I3961" t="s">
        <v>89</v>
      </c>
      <c r="J3961">
        <v>0</v>
      </c>
      <c r="K3961">
        <v>2</v>
      </c>
      <c r="L3961">
        <v>2</v>
      </c>
      <c r="M3961" t="s">
        <v>315</v>
      </c>
      <c r="N3961">
        <v>300</v>
      </c>
      <c r="O3961">
        <v>0</v>
      </c>
      <c r="P3961">
        <v>300</v>
      </c>
      <c r="Q3961">
        <v>6</v>
      </c>
      <c r="R3961">
        <v>11</v>
      </c>
      <c r="S3961">
        <v>33</v>
      </c>
      <c r="T3961">
        <v>15</v>
      </c>
      <c r="U3961">
        <v>62</v>
      </c>
      <c r="V3961">
        <v>6</v>
      </c>
      <c r="W3961">
        <v>0</v>
      </c>
      <c r="X3961">
        <v>1</v>
      </c>
      <c r="Y3961">
        <v>147</v>
      </c>
      <c r="Z3961">
        <v>2</v>
      </c>
      <c r="AA3961">
        <v>2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2</v>
      </c>
      <c r="AL3961">
        <v>1</v>
      </c>
      <c r="AM3961">
        <v>0</v>
      </c>
      <c r="AN3961">
        <v>0</v>
      </c>
      <c r="AT3961">
        <v>0</v>
      </c>
      <c r="AU3961">
        <v>12</v>
      </c>
      <c r="AV3961">
        <v>300</v>
      </c>
      <c r="AW3961">
        <v>300</v>
      </c>
      <c r="AX3961">
        <v>379</v>
      </c>
      <c r="BA3961">
        <v>1</v>
      </c>
      <c r="BC3961" t="s">
        <v>8028</v>
      </c>
      <c r="BD3961" s="4">
        <v>43283.121527777781</v>
      </c>
      <c r="BE3961" s="4">
        <v>43283.125775462962</v>
      </c>
      <c r="BF3961" s="4">
        <v>43283.125775462962</v>
      </c>
      <c r="BG3961" t="s">
        <v>83</v>
      </c>
      <c r="BH3961" t="s">
        <v>84</v>
      </c>
      <c r="BI3961" t="s">
        <v>85</v>
      </c>
    </row>
    <row r="3962" spans="1:61" x14ac:dyDescent="0.3">
      <c r="A3962" t="str">
        <f>"202226E0100"</f>
        <v>202226E0100</v>
      </c>
      <c r="B3962" s="2" t="s">
        <v>8029</v>
      </c>
      <c r="C3962">
        <v>20</v>
      </c>
      <c r="D3962" t="s">
        <v>79</v>
      </c>
      <c r="E3962">
        <v>18</v>
      </c>
      <c r="F3962" t="s">
        <v>7655</v>
      </c>
      <c r="G3962">
        <v>2226</v>
      </c>
      <c r="H3962">
        <v>1</v>
      </c>
      <c r="I3962" t="s">
        <v>145</v>
      </c>
      <c r="J3962">
        <v>0</v>
      </c>
      <c r="K3962">
        <v>2</v>
      </c>
      <c r="L3962">
        <v>2</v>
      </c>
      <c r="M3962">
        <v>140</v>
      </c>
      <c r="N3962">
        <v>483</v>
      </c>
      <c r="O3962">
        <v>1</v>
      </c>
      <c r="P3962">
        <v>0</v>
      </c>
      <c r="Q3962">
        <v>2</v>
      </c>
      <c r="R3962">
        <v>92</v>
      </c>
      <c r="S3962">
        <v>102</v>
      </c>
      <c r="T3962">
        <v>5</v>
      </c>
      <c r="U3962">
        <v>43</v>
      </c>
      <c r="V3962">
        <v>7</v>
      </c>
      <c r="W3962">
        <v>0</v>
      </c>
      <c r="X3962">
        <v>3</v>
      </c>
      <c r="Y3962">
        <v>161</v>
      </c>
      <c r="Z3962">
        <v>1</v>
      </c>
      <c r="AA3962">
        <v>0</v>
      </c>
      <c r="AB3962">
        <v>1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4</v>
      </c>
      <c r="AI3962">
        <v>0</v>
      </c>
      <c r="AJ3962">
        <v>0</v>
      </c>
      <c r="AK3962">
        <v>2</v>
      </c>
      <c r="AL3962">
        <v>0</v>
      </c>
      <c r="AM3962">
        <v>0</v>
      </c>
      <c r="AN3962">
        <v>0</v>
      </c>
      <c r="AT3962">
        <v>0</v>
      </c>
      <c r="AU3962">
        <v>19</v>
      </c>
      <c r="AV3962">
        <v>442</v>
      </c>
      <c r="AW3962">
        <v>442</v>
      </c>
      <c r="AX3962">
        <v>559</v>
      </c>
      <c r="BA3962">
        <v>1</v>
      </c>
      <c r="BC3962" t="s">
        <v>8030</v>
      </c>
      <c r="BD3962" s="4">
        <v>43283.125694444447</v>
      </c>
      <c r="BE3962" s="4">
        <v>43283.135381944441</v>
      </c>
      <c r="BF3962" s="4">
        <v>43283.135381944441</v>
      </c>
      <c r="BG3962" t="s">
        <v>83</v>
      </c>
      <c r="BH3962" t="s">
        <v>84</v>
      </c>
      <c r="BI3962" t="s">
        <v>85</v>
      </c>
    </row>
    <row r="3963" spans="1:61" x14ac:dyDescent="0.3">
      <c r="A3963" t="str">
        <f>"202226E0101"</f>
        <v>202226E0101</v>
      </c>
      <c r="B3963" s="2" t="s">
        <v>8031</v>
      </c>
      <c r="C3963">
        <v>20</v>
      </c>
      <c r="D3963" t="s">
        <v>79</v>
      </c>
      <c r="E3963">
        <v>18</v>
      </c>
      <c r="F3963" t="s">
        <v>7655</v>
      </c>
      <c r="G3963">
        <v>2226</v>
      </c>
      <c r="H3963">
        <v>1</v>
      </c>
      <c r="I3963" t="s">
        <v>145</v>
      </c>
      <c r="J3963">
        <v>1</v>
      </c>
      <c r="K3963">
        <v>2</v>
      </c>
      <c r="L3963">
        <v>2</v>
      </c>
      <c r="M3963">
        <v>139</v>
      </c>
      <c r="N3963">
        <v>581</v>
      </c>
      <c r="O3963">
        <v>1</v>
      </c>
      <c r="P3963">
        <v>442</v>
      </c>
      <c r="Q3963">
        <v>3</v>
      </c>
      <c r="R3963">
        <v>88</v>
      </c>
      <c r="S3963">
        <v>84</v>
      </c>
      <c r="T3963">
        <v>1</v>
      </c>
      <c r="U3963">
        <v>50</v>
      </c>
      <c r="V3963">
        <v>2</v>
      </c>
      <c r="W3963">
        <v>1</v>
      </c>
      <c r="X3963">
        <v>3</v>
      </c>
      <c r="Y3963">
        <v>190</v>
      </c>
      <c r="Z3963">
        <v>1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3</v>
      </c>
      <c r="AL3963">
        <v>1</v>
      </c>
      <c r="AM3963">
        <v>2</v>
      </c>
      <c r="AN3963">
        <v>2</v>
      </c>
      <c r="AT3963" t="s">
        <v>100</v>
      </c>
      <c r="AU3963">
        <v>9</v>
      </c>
      <c r="AV3963">
        <v>441</v>
      </c>
      <c r="AW3963">
        <v>440</v>
      </c>
      <c r="AX3963">
        <v>558</v>
      </c>
      <c r="AZ3963" t="s">
        <v>101</v>
      </c>
      <c r="BA3963">
        <v>1</v>
      </c>
      <c r="BC3963" t="s">
        <v>8032</v>
      </c>
      <c r="BD3963" s="4">
        <v>43283.129861111112</v>
      </c>
      <c r="BE3963" s="4">
        <v>43283.149444444447</v>
      </c>
      <c r="BF3963" s="4">
        <v>43283.149444444447</v>
      </c>
      <c r="BG3963" t="s">
        <v>83</v>
      </c>
      <c r="BH3963" t="s">
        <v>84</v>
      </c>
      <c r="BI3963" t="s">
        <v>85</v>
      </c>
    </row>
    <row r="3964" spans="1:61" x14ac:dyDescent="0.3">
      <c r="A3964" t="str">
        <f>"202227B0100"</f>
        <v>202227B0100</v>
      </c>
      <c r="B3964" t="s">
        <v>8033</v>
      </c>
      <c r="C3964">
        <v>20</v>
      </c>
      <c r="D3964" t="s">
        <v>79</v>
      </c>
      <c r="E3964">
        <v>18</v>
      </c>
      <c r="F3964" t="s">
        <v>7655</v>
      </c>
      <c r="G3964">
        <v>2227</v>
      </c>
      <c r="H3964">
        <v>1</v>
      </c>
      <c r="I3964" t="s">
        <v>81</v>
      </c>
      <c r="J3964">
        <v>0</v>
      </c>
      <c r="K3964">
        <v>2</v>
      </c>
      <c r="L3964">
        <v>2</v>
      </c>
      <c r="M3964">
        <v>149</v>
      </c>
      <c r="N3964">
        <v>521</v>
      </c>
      <c r="O3964">
        <v>0</v>
      </c>
      <c r="P3964">
        <v>518</v>
      </c>
      <c r="Q3964">
        <v>6</v>
      </c>
      <c r="R3964">
        <v>91</v>
      </c>
      <c r="S3964">
        <v>98</v>
      </c>
      <c r="T3964">
        <v>4</v>
      </c>
      <c r="U3964">
        <v>44</v>
      </c>
      <c r="V3964">
        <v>8</v>
      </c>
      <c r="W3964">
        <v>19</v>
      </c>
      <c r="X3964">
        <v>4</v>
      </c>
      <c r="Y3964">
        <v>200</v>
      </c>
      <c r="Z3964">
        <v>9</v>
      </c>
      <c r="AA3964">
        <v>0</v>
      </c>
      <c r="AB3964">
        <v>1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3</v>
      </c>
      <c r="AL3964">
        <v>1</v>
      </c>
      <c r="AM3964">
        <v>0</v>
      </c>
      <c r="AN3964">
        <v>1</v>
      </c>
      <c r="AT3964">
        <v>0</v>
      </c>
      <c r="AU3964">
        <v>29</v>
      </c>
      <c r="AV3964">
        <v>518</v>
      </c>
      <c r="AW3964">
        <v>518</v>
      </c>
      <c r="AX3964">
        <v>647</v>
      </c>
      <c r="BA3964">
        <v>1</v>
      </c>
      <c r="BC3964" t="s">
        <v>8034</v>
      </c>
      <c r="BD3964" s="4">
        <v>43283.173611111109</v>
      </c>
      <c r="BE3964" s="4">
        <v>43283.194143518522</v>
      </c>
      <c r="BF3964" s="4">
        <v>43283.194143518522</v>
      </c>
      <c r="BG3964" t="s">
        <v>83</v>
      </c>
      <c r="BH3964" t="s">
        <v>84</v>
      </c>
      <c r="BI3964" t="s">
        <v>85</v>
      </c>
    </row>
    <row r="3965" spans="1:61" x14ac:dyDescent="0.3">
      <c r="A3965" t="str">
        <f>"202227C0100"</f>
        <v>202227C0100</v>
      </c>
      <c r="B3965" t="s">
        <v>8035</v>
      </c>
      <c r="C3965">
        <v>20</v>
      </c>
      <c r="D3965" t="s">
        <v>79</v>
      </c>
      <c r="E3965">
        <v>18</v>
      </c>
      <c r="F3965" t="s">
        <v>7655</v>
      </c>
      <c r="G3965">
        <v>2227</v>
      </c>
      <c r="H3965">
        <v>1</v>
      </c>
      <c r="I3965" t="s">
        <v>89</v>
      </c>
      <c r="J3965">
        <v>0</v>
      </c>
      <c r="K3965">
        <v>2</v>
      </c>
      <c r="L3965">
        <v>2</v>
      </c>
      <c r="M3965">
        <v>117</v>
      </c>
      <c r="N3965">
        <v>552</v>
      </c>
      <c r="O3965">
        <v>1</v>
      </c>
      <c r="P3965">
        <v>586</v>
      </c>
      <c r="Q3965">
        <v>5</v>
      </c>
      <c r="R3965">
        <v>83</v>
      </c>
      <c r="S3965">
        <v>99</v>
      </c>
      <c r="T3965">
        <v>9</v>
      </c>
      <c r="U3965">
        <v>63</v>
      </c>
      <c r="V3965">
        <v>22</v>
      </c>
      <c r="W3965">
        <v>2</v>
      </c>
      <c r="X3965">
        <v>12</v>
      </c>
      <c r="Y3965">
        <v>241</v>
      </c>
      <c r="Z3965">
        <v>5</v>
      </c>
      <c r="AA3965">
        <v>0</v>
      </c>
      <c r="AB3965">
        <v>1</v>
      </c>
      <c r="AC3965">
        <v>0</v>
      </c>
      <c r="AD3965">
        <v>1</v>
      </c>
      <c r="AE3965">
        <v>0</v>
      </c>
      <c r="AF3965">
        <v>0</v>
      </c>
      <c r="AG3965">
        <v>4</v>
      </c>
      <c r="AH3965">
        <v>0</v>
      </c>
      <c r="AI3965">
        <v>0</v>
      </c>
      <c r="AJ3965">
        <v>0</v>
      </c>
      <c r="AK3965">
        <v>5</v>
      </c>
      <c r="AL3965">
        <v>0</v>
      </c>
      <c r="AM3965">
        <v>0</v>
      </c>
      <c r="AN3965">
        <v>0</v>
      </c>
      <c r="AT3965">
        <v>1</v>
      </c>
      <c r="AU3965">
        <v>33</v>
      </c>
      <c r="AV3965">
        <v>586</v>
      </c>
      <c r="AW3965">
        <v>586</v>
      </c>
      <c r="AX3965">
        <v>647</v>
      </c>
      <c r="BA3965">
        <v>1</v>
      </c>
      <c r="BC3965" t="s">
        <v>8036</v>
      </c>
      <c r="BD3965" s="4">
        <v>43283.179166666669</v>
      </c>
      <c r="BE3965" s="4">
        <v>43283.198194444441</v>
      </c>
      <c r="BF3965" s="4">
        <v>43283.198194444441</v>
      </c>
      <c r="BG3965" t="s">
        <v>83</v>
      </c>
      <c r="BH3965" t="s">
        <v>84</v>
      </c>
      <c r="BI3965" t="s">
        <v>85</v>
      </c>
    </row>
    <row r="3966" spans="1:61" x14ac:dyDescent="0.3">
      <c r="A3966" t="str">
        <f>"202227E0100"</f>
        <v>202227E0100</v>
      </c>
      <c r="B3966" s="2" t="s">
        <v>8037</v>
      </c>
      <c r="C3966">
        <v>20</v>
      </c>
      <c r="D3966" t="s">
        <v>79</v>
      </c>
      <c r="E3966">
        <v>18</v>
      </c>
      <c r="F3966" t="s">
        <v>7655</v>
      </c>
      <c r="G3966">
        <v>2227</v>
      </c>
      <c r="H3966">
        <v>1</v>
      </c>
      <c r="I3966" t="s">
        <v>145</v>
      </c>
      <c r="J3966">
        <v>0</v>
      </c>
      <c r="K3966">
        <v>2</v>
      </c>
      <c r="L3966">
        <v>2</v>
      </c>
      <c r="M3966">
        <v>115</v>
      </c>
      <c r="N3966">
        <v>181</v>
      </c>
      <c r="O3966">
        <v>2</v>
      </c>
      <c r="P3966">
        <v>0</v>
      </c>
      <c r="Q3966">
        <v>1</v>
      </c>
      <c r="R3966">
        <v>28</v>
      </c>
      <c r="S3966">
        <v>24</v>
      </c>
      <c r="T3966" t="s">
        <v>100</v>
      </c>
      <c r="U3966">
        <v>1</v>
      </c>
      <c r="V3966" t="s">
        <v>100</v>
      </c>
      <c r="W3966">
        <v>2</v>
      </c>
      <c r="X3966" t="s">
        <v>100</v>
      </c>
      <c r="Y3966">
        <v>119</v>
      </c>
      <c r="Z3966" t="s">
        <v>100</v>
      </c>
      <c r="AA3966" t="s">
        <v>100</v>
      </c>
      <c r="AB3966" t="s">
        <v>100</v>
      </c>
      <c r="AC3966" t="s">
        <v>100</v>
      </c>
      <c r="AD3966" t="s">
        <v>100</v>
      </c>
      <c r="AE3966" t="s">
        <v>100</v>
      </c>
      <c r="AF3966" t="s">
        <v>100</v>
      </c>
      <c r="AG3966" t="s">
        <v>100</v>
      </c>
      <c r="AH3966">
        <v>1</v>
      </c>
      <c r="AI3966" t="s">
        <v>100</v>
      </c>
      <c r="AJ3966" t="s">
        <v>100</v>
      </c>
      <c r="AK3966" t="s">
        <v>100</v>
      </c>
      <c r="AL3966">
        <v>1</v>
      </c>
      <c r="AM3966" t="s">
        <v>100</v>
      </c>
      <c r="AN3966" t="s">
        <v>100</v>
      </c>
      <c r="AT3966" t="s">
        <v>100</v>
      </c>
      <c r="AU3966">
        <v>4</v>
      </c>
      <c r="AV3966">
        <v>181</v>
      </c>
      <c r="AW3966">
        <v>181</v>
      </c>
      <c r="AX3966">
        <v>273</v>
      </c>
      <c r="AZ3966" t="s">
        <v>101</v>
      </c>
      <c r="BA3966">
        <v>1</v>
      </c>
      <c r="BC3966" t="s">
        <v>8038</v>
      </c>
      <c r="BD3966" s="4">
        <v>43283.168055555558</v>
      </c>
      <c r="BE3966" s="4">
        <v>43283.182546296295</v>
      </c>
      <c r="BF3966" s="4">
        <v>43283.182546296295</v>
      </c>
      <c r="BG3966" t="s">
        <v>83</v>
      </c>
      <c r="BH3966" t="s">
        <v>84</v>
      </c>
      <c r="BI3966" t="s">
        <v>85</v>
      </c>
    </row>
    <row r="3967" spans="1:61" x14ac:dyDescent="0.3">
      <c r="A3967" t="str">
        <f>"202228B0100"</f>
        <v>202228B0100</v>
      </c>
      <c r="B3967" t="s">
        <v>8039</v>
      </c>
      <c r="C3967">
        <v>20</v>
      </c>
      <c r="D3967" t="s">
        <v>79</v>
      </c>
      <c r="E3967">
        <v>18</v>
      </c>
      <c r="F3967" t="s">
        <v>7655</v>
      </c>
      <c r="G3967">
        <v>2228</v>
      </c>
      <c r="H3967">
        <v>1</v>
      </c>
      <c r="I3967" t="s">
        <v>81</v>
      </c>
      <c r="J3967">
        <v>0</v>
      </c>
      <c r="K3967">
        <v>2</v>
      </c>
      <c r="L3967">
        <v>2</v>
      </c>
      <c r="M3967">
        <v>144</v>
      </c>
      <c r="N3967" t="s">
        <v>100</v>
      </c>
      <c r="O3967" t="s">
        <v>100</v>
      </c>
      <c r="P3967" t="s">
        <v>100</v>
      </c>
      <c r="Q3967">
        <v>2</v>
      </c>
      <c r="R3967">
        <v>25</v>
      </c>
      <c r="S3967">
        <v>53</v>
      </c>
      <c r="T3967">
        <v>10</v>
      </c>
      <c r="U3967">
        <v>125</v>
      </c>
      <c r="V3967">
        <v>13</v>
      </c>
      <c r="W3967">
        <v>1</v>
      </c>
      <c r="X3967">
        <v>4</v>
      </c>
      <c r="Y3967">
        <v>206</v>
      </c>
      <c r="Z3967">
        <v>3</v>
      </c>
      <c r="AA3967">
        <v>0</v>
      </c>
      <c r="AB3967">
        <v>1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1</v>
      </c>
      <c r="AM3967">
        <v>0</v>
      </c>
      <c r="AN3967">
        <v>1</v>
      </c>
      <c r="AT3967" t="s">
        <v>100</v>
      </c>
      <c r="AU3967">
        <v>24</v>
      </c>
      <c r="AV3967" t="s">
        <v>100</v>
      </c>
      <c r="AW3967">
        <v>469</v>
      </c>
      <c r="AX3967">
        <v>586</v>
      </c>
      <c r="AZ3967" t="s">
        <v>101</v>
      </c>
      <c r="BA3967">
        <v>1</v>
      </c>
      <c r="BC3967" t="s">
        <v>8040</v>
      </c>
      <c r="BD3967" s="4">
        <v>43283.31527777778</v>
      </c>
      <c r="BE3967" s="4">
        <v>43283.343680555554</v>
      </c>
      <c r="BF3967" s="4">
        <v>43283.343680555554</v>
      </c>
      <c r="BG3967" t="s">
        <v>83</v>
      </c>
      <c r="BH3967" t="s">
        <v>84</v>
      </c>
      <c r="BI3967" t="s">
        <v>85</v>
      </c>
    </row>
    <row r="3968" spans="1:61" x14ac:dyDescent="0.3">
      <c r="A3968" t="str">
        <f>"202228C0100"</f>
        <v>202228C0100</v>
      </c>
      <c r="B3968" t="s">
        <v>8041</v>
      </c>
      <c r="C3968">
        <v>20</v>
      </c>
      <c r="D3968" t="s">
        <v>79</v>
      </c>
      <c r="E3968">
        <v>18</v>
      </c>
      <c r="F3968" t="s">
        <v>7655</v>
      </c>
      <c r="G3968">
        <v>2228</v>
      </c>
      <c r="H3968">
        <v>1</v>
      </c>
      <c r="I3968" t="s">
        <v>89</v>
      </c>
      <c r="J3968">
        <v>0</v>
      </c>
      <c r="K3968">
        <v>2</v>
      </c>
      <c r="L3968">
        <v>2</v>
      </c>
      <c r="M3968">
        <v>136</v>
      </c>
      <c r="N3968">
        <v>475</v>
      </c>
      <c r="O3968">
        <v>1</v>
      </c>
      <c r="P3968">
        <v>475</v>
      </c>
      <c r="Q3968">
        <v>6</v>
      </c>
      <c r="R3968">
        <v>30</v>
      </c>
      <c r="S3968">
        <v>56</v>
      </c>
      <c r="T3968">
        <v>72</v>
      </c>
      <c r="U3968">
        <v>127</v>
      </c>
      <c r="V3968">
        <v>5</v>
      </c>
      <c r="W3968">
        <v>2</v>
      </c>
      <c r="X3968">
        <v>3</v>
      </c>
      <c r="Y3968">
        <v>211</v>
      </c>
      <c r="Z3968">
        <v>1</v>
      </c>
      <c r="AA3968">
        <v>0</v>
      </c>
      <c r="AB3968">
        <v>2</v>
      </c>
      <c r="AC3968">
        <v>0</v>
      </c>
      <c r="AD3968">
        <v>0</v>
      </c>
      <c r="AE3968">
        <v>0</v>
      </c>
      <c r="AF3968">
        <v>1</v>
      </c>
      <c r="AG3968">
        <v>0</v>
      </c>
      <c r="AH3968">
        <v>2</v>
      </c>
      <c r="AI3968">
        <v>0</v>
      </c>
      <c r="AJ3968">
        <v>0</v>
      </c>
      <c r="AK3968">
        <v>1</v>
      </c>
      <c r="AL3968">
        <v>0</v>
      </c>
      <c r="AM3968">
        <v>0</v>
      </c>
      <c r="AN3968">
        <v>0</v>
      </c>
      <c r="AT3968">
        <v>0</v>
      </c>
      <c r="AU3968">
        <v>21</v>
      </c>
      <c r="AV3968" t="s">
        <v>100</v>
      </c>
      <c r="AW3968">
        <v>540</v>
      </c>
      <c r="AX3968">
        <v>586</v>
      </c>
      <c r="BA3968">
        <v>1</v>
      </c>
      <c r="BC3968" t="s">
        <v>8042</v>
      </c>
      <c r="BD3968" s="4">
        <v>43283.318749999999</v>
      </c>
      <c r="BE3968" s="4">
        <v>43283.346435185187</v>
      </c>
      <c r="BF3968" s="4">
        <v>43283.346435185187</v>
      </c>
      <c r="BG3968" t="s">
        <v>83</v>
      </c>
      <c r="BH3968" t="s">
        <v>84</v>
      </c>
      <c r="BI3968" t="s">
        <v>85</v>
      </c>
    </row>
    <row r="3969" spans="1:61" x14ac:dyDescent="0.3">
      <c r="A3969" t="str">
        <f>"202228C0200"</f>
        <v>202228C0200</v>
      </c>
      <c r="B3969" t="s">
        <v>8043</v>
      </c>
      <c r="C3969">
        <v>20</v>
      </c>
      <c r="D3969" t="s">
        <v>79</v>
      </c>
      <c r="E3969">
        <v>18</v>
      </c>
      <c r="F3969" t="s">
        <v>7655</v>
      </c>
      <c r="G3969">
        <v>2228</v>
      </c>
      <c r="H3969">
        <v>2</v>
      </c>
      <c r="I3969" t="s">
        <v>89</v>
      </c>
      <c r="J3969">
        <v>0</v>
      </c>
      <c r="K3969">
        <v>2</v>
      </c>
      <c r="L3969">
        <v>2</v>
      </c>
      <c r="M3969">
        <v>120</v>
      </c>
      <c r="N3969">
        <v>608</v>
      </c>
      <c r="O3969" t="s">
        <v>315</v>
      </c>
      <c r="P3969">
        <v>488</v>
      </c>
      <c r="Q3969">
        <v>2</v>
      </c>
      <c r="R3969">
        <v>28</v>
      </c>
      <c r="S3969">
        <v>59</v>
      </c>
      <c r="T3969">
        <v>5</v>
      </c>
      <c r="U3969">
        <v>129</v>
      </c>
      <c r="V3969">
        <v>11</v>
      </c>
      <c r="W3969">
        <v>1</v>
      </c>
      <c r="X3969">
        <v>3</v>
      </c>
      <c r="Y3969">
        <v>219</v>
      </c>
      <c r="Z3969">
        <v>3</v>
      </c>
      <c r="AA3969">
        <v>0</v>
      </c>
      <c r="AB3969">
        <v>0</v>
      </c>
      <c r="AC3969">
        <v>1</v>
      </c>
      <c r="AD3969">
        <v>2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1</v>
      </c>
      <c r="AM3969">
        <v>0</v>
      </c>
      <c r="AN3969">
        <v>1</v>
      </c>
      <c r="AT3969">
        <v>0</v>
      </c>
      <c r="AU3969">
        <v>23</v>
      </c>
      <c r="AV3969">
        <v>488</v>
      </c>
      <c r="AW3969">
        <v>488</v>
      </c>
      <c r="AX3969">
        <v>585</v>
      </c>
      <c r="BA3969">
        <v>1</v>
      </c>
      <c r="BC3969" t="s">
        <v>8044</v>
      </c>
      <c r="BD3969" s="4">
        <v>43283.324999999997</v>
      </c>
      <c r="BE3969" s="4">
        <v>43283.34746527778</v>
      </c>
      <c r="BF3969" s="4">
        <v>43283.34746527778</v>
      </c>
      <c r="BG3969" t="s">
        <v>83</v>
      </c>
      <c r="BH3969" t="s">
        <v>84</v>
      </c>
      <c r="BI3969" t="s">
        <v>85</v>
      </c>
    </row>
    <row r="3970" spans="1:61" x14ac:dyDescent="0.3">
      <c r="A3970" t="str">
        <f>"200043B0100"</f>
        <v>200043B0100</v>
      </c>
      <c r="B3970" t="s">
        <v>8045</v>
      </c>
      <c r="C3970">
        <v>20</v>
      </c>
      <c r="D3970" t="s">
        <v>79</v>
      </c>
      <c r="E3970">
        <v>19</v>
      </c>
      <c r="F3970" t="s">
        <v>8046</v>
      </c>
      <c r="G3970">
        <v>43</v>
      </c>
      <c r="H3970">
        <v>1</v>
      </c>
      <c r="I3970" t="s">
        <v>81</v>
      </c>
      <c r="J3970">
        <v>0</v>
      </c>
      <c r="K3970">
        <v>2</v>
      </c>
      <c r="L3970">
        <v>2</v>
      </c>
      <c r="M3970">
        <v>96</v>
      </c>
      <c r="N3970">
        <v>309</v>
      </c>
      <c r="O3970">
        <v>5</v>
      </c>
      <c r="P3970">
        <v>306</v>
      </c>
      <c r="Q3970">
        <v>4</v>
      </c>
      <c r="R3970">
        <v>58</v>
      </c>
      <c r="S3970">
        <v>2</v>
      </c>
      <c r="T3970">
        <v>82</v>
      </c>
      <c r="U3970">
        <v>9</v>
      </c>
      <c r="V3970">
        <v>1</v>
      </c>
      <c r="W3970">
        <v>0</v>
      </c>
      <c r="X3970">
        <v>0</v>
      </c>
      <c r="Y3970">
        <v>133</v>
      </c>
      <c r="Z3970">
        <v>4</v>
      </c>
      <c r="AA3970">
        <v>0</v>
      </c>
      <c r="AB3970">
        <v>2</v>
      </c>
      <c r="AC3970">
        <v>0</v>
      </c>
      <c r="AD3970">
        <v>0</v>
      </c>
      <c r="AE3970">
        <v>0</v>
      </c>
      <c r="AF3970">
        <v>0</v>
      </c>
      <c r="AK3970">
        <v>0</v>
      </c>
      <c r="AL3970">
        <v>0</v>
      </c>
      <c r="AM3970">
        <v>0</v>
      </c>
      <c r="AN3970">
        <v>0</v>
      </c>
      <c r="AP3970">
        <v>7</v>
      </c>
      <c r="AS3970">
        <v>0</v>
      </c>
      <c r="AT3970">
        <v>0</v>
      </c>
      <c r="AU3970">
        <v>8</v>
      </c>
      <c r="AV3970">
        <v>310</v>
      </c>
      <c r="AW3970">
        <v>310</v>
      </c>
      <c r="AX3970">
        <v>381</v>
      </c>
      <c r="BA3970">
        <v>1</v>
      </c>
      <c r="BC3970" t="s">
        <v>8047</v>
      </c>
      <c r="BD3970" s="4">
        <v>43283.283333333333</v>
      </c>
      <c r="BE3970" s="4">
        <v>43283.318229166667</v>
      </c>
      <c r="BF3970" s="4">
        <v>43283.318229166667</v>
      </c>
      <c r="BG3970" t="s">
        <v>83</v>
      </c>
      <c r="BH3970" t="s">
        <v>84</v>
      </c>
      <c r="BI3970" t="s">
        <v>85</v>
      </c>
    </row>
    <row r="3971" spans="1:61" x14ac:dyDescent="0.3">
      <c r="A3971" t="str">
        <f>"200043C0100"</f>
        <v>200043C0100</v>
      </c>
      <c r="B3971" t="s">
        <v>8048</v>
      </c>
      <c r="C3971">
        <v>20</v>
      </c>
      <c r="D3971" t="s">
        <v>79</v>
      </c>
      <c r="E3971">
        <v>19</v>
      </c>
      <c r="F3971" t="s">
        <v>8046</v>
      </c>
      <c r="G3971">
        <v>43</v>
      </c>
      <c r="H3971">
        <v>1</v>
      </c>
      <c r="I3971" t="s">
        <v>89</v>
      </c>
      <c r="J3971">
        <v>0</v>
      </c>
      <c r="K3971">
        <v>2</v>
      </c>
      <c r="L3971">
        <v>2</v>
      </c>
      <c r="M3971">
        <v>94</v>
      </c>
      <c r="N3971">
        <v>309</v>
      </c>
      <c r="O3971">
        <v>2</v>
      </c>
      <c r="P3971">
        <v>309</v>
      </c>
      <c r="Q3971">
        <v>3</v>
      </c>
      <c r="R3971">
        <v>58</v>
      </c>
      <c r="S3971">
        <v>4</v>
      </c>
      <c r="T3971">
        <v>91</v>
      </c>
      <c r="U3971">
        <v>8</v>
      </c>
      <c r="V3971">
        <v>2</v>
      </c>
      <c r="W3971">
        <v>0</v>
      </c>
      <c r="X3971">
        <v>0</v>
      </c>
      <c r="Y3971">
        <v>120</v>
      </c>
      <c r="Z3971">
        <v>2</v>
      </c>
      <c r="AA3971">
        <v>1</v>
      </c>
      <c r="AB3971">
        <v>2</v>
      </c>
      <c r="AC3971">
        <v>0</v>
      </c>
      <c r="AD3971">
        <v>0</v>
      </c>
      <c r="AE3971">
        <v>0</v>
      </c>
      <c r="AF3971">
        <v>0</v>
      </c>
      <c r="AK3971">
        <v>0</v>
      </c>
      <c r="AL3971">
        <v>1</v>
      </c>
      <c r="AM3971">
        <v>0</v>
      </c>
      <c r="AN3971">
        <v>0</v>
      </c>
      <c r="AP3971">
        <v>5</v>
      </c>
      <c r="AS3971">
        <v>1</v>
      </c>
      <c r="AT3971">
        <v>0</v>
      </c>
      <c r="AU3971">
        <v>9</v>
      </c>
      <c r="AV3971">
        <v>307</v>
      </c>
      <c r="AW3971">
        <v>307</v>
      </c>
      <c r="AX3971">
        <v>381</v>
      </c>
      <c r="BA3971">
        <v>1</v>
      </c>
      <c r="BC3971" t="s">
        <v>8049</v>
      </c>
      <c r="BD3971" s="4">
        <v>43283.285416666666</v>
      </c>
      <c r="BE3971" s="4">
        <v>43283.315601851849</v>
      </c>
      <c r="BF3971" s="4">
        <v>43283.315601851849</v>
      </c>
      <c r="BG3971" t="s">
        <v>83</v>
      </c>
      <c r="BH3971" t="s">
        <v>84</v>
      </c>
      <c r="BI3971" t="s">
        <v>85</v>
      </c>
    </row>
    <row r="3972" spans="1:61" x14ac:dyDescent="0.3">
      <c r="A3972" t="str">
        <f>"200044B0100"</f>
        <v>200044B0100</v>
      </c>
      <c r="B3972" t="s">
        <v>8050</v>
      </c>
      <c r="C3972">
        <v>20</v>
      </c>
      <c r="D3972" t="s">
        <v>79</v>
      </c>
      <c r="E3972">
        <v>19</v>
      </c>
      <c r="F3972" t="s">
        <v>8046</v>
      </c>
      <c r="G3972">
        <v>44</v>
      </c>
      <c r="H3972">
        <v>1</v>
      </c>
      <c r="I3972" t="s">
        <v>81</v>
      </c>
      <c r="J3972">
        <v>0</v>
      </c>
      <c r="K3972">
        <v>2</v>
      </c>
      <c r="L3972">
        <v>2</v>
      </c>
      <c r="M3972">
        <v>127</v>
      </c>
      <c r="N3972">
        <v>323</v>
      </c>
      <c r="O3972">
        <v>2</v>
      </c>
      <c r="P3972">
        <v>319</v>
      </c>
      <c r="Q3972">
        <v>1</v>
      </c>
      <c r="R3972">
        <v>59</v>
      </c>
      <c r="S3972">
        <v>4</v>
      </c>
      <c r="T3972">
        <v>45</v>
      </c>
      <c r="U3972">
        <v>10</v>
      </c>
      <c r="V3972">
        <v>4</v>
      </c>
      <c r="W3972">
        <v>0</v>
      </c>
      <c r="X3972">
        <v>2</v>
      </c>
      <c r="Y3972">
        <v>157</v>
      </c>
      <c r="Z3972">
        <v>6</v>
      </c>
      <c r="AA3972">
        <v>0</v>
      </c>
      <c r="AB3972">
        <v>3</v>
      </c>
      <c r="AC3972">
        <v>0</v>
      </c>
      <c r="AD3972">
        <v>0</v>
      </c>
      <c r="AE3972">
        <v>0</v>
      </c>
      <c r="AF3972">
        <v>0</v>
      </c>
      <c r="AK3972">
        <v>2</v>
      </c>
      <c r="AL3972">
        <v>0</v>
      </c>
      <c r="AM3972">
        <v>0</v>
      </c>
      <c r="AN3972">
        <v>0</v>
      </c>
      <c r="AP3972">
        <v>4</v>
      </c>
      <c r="AS3972">
        <v>0</v>
      </c>
      <c r="AT3972">
        <v>1</v>
      </c>
      <c r="AU3972">
        <v>21</v>
      </c>
      <c r="AV3972">
        <v>321</v>
      </c>
      <c r="AW3972">
        <v>319</v>
      </c>
      <c r="AX3972">
        <v>425</v>
      </c>
      <c r="BA3972">
        <v>1</v>
      </c>
      <c r="BC3972" t="s">
        <v>8051</v>
      </c>
      <c r="BD3972" s="4">
        <v>43283.260416666664</v>
      </c>
      <c r="BE3972" s="4">
        <v>43283.293425925927</v>
      </c>
      <c r="BF3972" s="4">
        <v>43283.293425925927</v>
      </c>
      <c r="BG3972" t="s">
        <v>83</v>
      </c>
      <c r="BH3972" t="s">
        <v>84</v>
      </c>
      <c r="BI3972" t="s">
        <v>85</v>
      </c>
    </row>
    <row r="3973" spans="1:61" x14ac:dyDescent="0.3">
      <c r="A3973" t="str">
        <f>"200044C0100"</f>
        <v>200044C0100</v>
      </c>
      <c r="B3973" t="s">
        <v>8052</v>
      </c>
      <c r="C3973">
        <v>20</v>
      </c>
      <c r="D3973" t="s">
        <v>79</v>
      </c>
      <c r="E3973">
        <v>19</v>
      </c>
      <c r="F3973" t="s">
        <v>8046</v>
      </c>
      <c r="G3973">
        <v>44</v>
      </c>
      <c r="H3973">
        <v>1</v>
      </c>
      <c r="I3973" t="s">
        <v>89</v>
      </c>
      <c r="J3973">
        <v>0</v>
      </c>
      <c r="K3973">
        <v>2</v>
      </c>
      <c r="L3973">
        <v>2</v>
      </c>
      <c r="M3973">
        <v>109</v>
      </c>
      <c r="N3973">
        <v>338</v>
      </c>
      <c r="O3973">
        <v>5</v>
      </c>
      <c r="P3973">
        <v>338</v>
      </c>
      <c r="Q3973">
        <v>3</v>
      </c>
      <c r="R3973">
        <v>84</v>
      </c>
      <c r="S3973">
        <v>3</v>
      </c>
      <c r="T3973">
        <v>74</v>
      </c>
      <c r="U3973">
        <v>4</v>
      </c>
      <c r="V3973">
        <v>3</v>
      </c>
      <c r="W3973">
        <v>1</v>
      </c>
      <c r="X3973">
        <v>1</v>
      </c>
      <c r="Y3973">
        <v>140</v>
      </c>
      <c r="Z3973">
        <v>3</v>
      </c>
      <c r="AA3973">
        <v>1</v>
      </c>
      <c r="AB3973">
        <v>8</v>
      </c>
      <c r="AC3973">
        <v>0</v>
      </c>
      <c r="AD3973">
        <v>0</v>
      </c>
      <c r="AE3973">
        <v>0</v>
      </c>
      <c r="AF3973">
        <v>0</v>
      </c>
      <c r="AK3973">
        <v>2</v>
      </c>
      <c r="AL3973">
        <v>0</v>
      </c>
      <c r="AM3973">
        <v>0</v>
      </c>
      <c r="AN3973">
        <v>0</v>
      </c>
      <c r="AP3973">
        <v>4</v>
      </c>
      <c r="AS3973">
        <v>1</v>
      </c>
      <c r="AT3973">
        <v>0</v>
      </c>
      <c r="AU3973">
        <v>6</v>
      </c>
      <c r="AV3973">
        <v>338</v>
      </c>
      <c r="AW3973">
        <v>338</v>
      </c>
      <c r="AX3973">
        <v>424</v>
      </c>
      <c r="BA3973">
        <v>1</v>
      </c>
      <c r="BC3973" t="s">
        <v>8053</v>
      </c>
      <c r="BD3973" s="4">
        <v>43283.260416666664</v>
      </c>
      <c r="BE3973" s="4">
        <v>43283.29414351852</v>
      </c>
      <c r="BF3973" s="4">
        <v>43283.29414351852</v>
      </c>
      <c r="BG3973" t="s">
        <v>83</v>
      </c>
      <c r="BH3973" t="s">
        <v>84</v>
      </c>
      <c r="BI3973" t="s">
        <v>85</v>
      </c>
    </row>
    <row r="3974" spans="1:61" x14ac:dyDescent="0.3">
      <c r="A3974" t="str">
        <f>"200045B0100"</f>
        <v>200045B0100</v>
      </c>
      <c r="B3974" t="s">
        <v>8054</v>
      </c>
      <c r="C3974">
        <v>20</v>
      </c>
      <c r="D3974" t="s">
        <v>79</v>
      </c>
      <c r="E3974">
        <v>19</v>
      </c>
      <c r="F3974" t="s">
        <v>8046</v>
      </c>
      <c r="G3974">
        <v>45</v>
      </c>
      <c r="H3974">
        <v>1</v>
      </c>
      <c r="I3974" t="s">
        <v>81</v>
      </c>
      <c r="J3974">
        <v>0</v>
      </c>
      <c r="K3974">
        <v>2</v>
      </c>
      <c r="L3974">
        <v>2</v>
      </c>
      <c r="M3974">
        <v>93</v>
      </c>
      <c r="N3974">
        <v>315</v>
      </c>
      <c r="O3974">
        <v>0</v>
      </c>
      <c r="P3974">
        <v>315</v>
      </c>
      <c r="Q3974">
        <v>4</v>
      </c>
      <c r="R3974">
        <v>64</v>
      </c>
      <c r="S3974">
        <v>6</v>
      </c>
      <c r="T3974">
        <v>63</v>
      </c>
      <c r="U3974">
        <v>8</v>
      </c>
      <c r="V3974">
        <v>3</v>
      </c>
      <c r="W3974">
        <v>4</v>
      </c>
      <c r="X3974">
        <v>1</v>
      </c>
      <c r="Y3974">
        <v>134</v>
      </c>
      <c r="Z3974">
        <v>2</v>
      </c>
      <c r="AA3974">
        <v>0</v>
      </c>
      <c r="AB3974">
        <v>2</v>
      </c>
      <c r="AC3974">
        <v>0</v>
      </c>
      <c r="AD3974">
        <v>0</v>
      </c>
      <c r="AE3974">
        <v>0</v>
      </c>
      <c r="AF3974">
        <v>0</v>
      </c>
      <c r="AK3974">
        <v>0</v>
      </c>
      <c r="AL3974">
        <v>1</v>
      </c>
      <c r="AM3974">
        <v>0</v>
      </c>
      <c r="AN3974">
        <v>0</v>
      </c>
      <c r="AP3974">
        <v>2</v>
      </c>
      <c r="AS3974">
        <v>2</v>
      </c>
      <c r="AT3974">
        <v>0</v>
      </c>
      <c r="AU3974">
        <v>18</v>
      </c>
      <c r="AV3974">
        <v>315</v>
      </c>
      <c r="AW3974">
        <v>314</v>
      </c>
      <c r="AX3974">
        <v>385</v>
      </c>
      <c r="BA3974">
        <v>1</v>
      </c>
      <c r="BC3974" t="s">
        <v>8055</v>
      </c>
      <c r="BD3974" s="4">
        <v>43283.308333333334</v>
      </c>
      <c r="BE3974" s="4">
        <v>43283.334907407407</v>
      </c>
      <c r="BF3974" s="4">
        <v>43283.334907407407</v>
      </c>
      <c r="BG3974" t="s">
        <v>83</v>
      </c>
      <c r="BH3974" t="s">
        <v>84</v>
      </c>
      <c r="BI3974" t="s">
        <v>85</v>
      </c>
    </row>
    <row r="3975" spans="1:61" x14ac:dyDescent="0.3">
      <c r="A3975" t="str">
        <f>"200045C0100"</f>
        <v>200045C0100</v>
      </c>
      <c r="B3975" t="s">
        <v>8056</v>
      </c>
      <c r="C3975">
        <v>20</v>
      </c>
      <c r="D3975" t="s">
        <v>79</v>
      </c>
      <c r="E3975">
        <v>19</v>
      </c>
      <c r="F3975" t="s">
        <v>8046</v>
      </c>
      <c r="G3975">
        <v>45</v>
      </c>
      <c r="H3975">
        <v>1</v>
      </c>
      <c r="I3975" t="s">
        <v>89</v>
      </c>
      <c r="J3975">
        <v>0</v>
      </c>
      <c r="K3975">
        <v>2</v>
      </c>
      <c r="L3975">
        <v>2</v>
      </c>
      <c r="M3975">
        <v>103</v>
      </c>
      <c r="N3975">
        <v>305</v>
      </c>
      <c r="O3975">
        <v>2</v>
      </c>
      <c r="P3975">
        <v>305</v>
      </c>
      <c r="Q3975">
        <v>4</v>
      </c>
      <c r="R3975">
        <v>52</v>
      </c>
      <c r="S3975">
        <v>0</v>
      </c>
      <c r="T3975">
        <v>78</v>
      </c>
      <c r="U3975">
        <v>12</v>
      </c>
      <c r="V3975">
        <v>0</v>
      </c>
      <c r="W3975">
        <v>0</v>
      </c>
      <c r="X3975">
        <v>0</v>
      </c>
      <c r="Y3975">
        <v>130</v>
      </c>
      <c r="Z3975">
        <v>4</v>
      </c>
      <c r="AA3975">
        <v>0</v>
      </c>
      <c r="AB3975">
        <v>1</v>
      </c>
      <c r="AC3975">
        <v>1</v>
      </c>
      <c r="AD3975">
        <v>0</v>
      </c>
      <c r="AE3975">
        <v>0</v>
      </c>
      <c r="AF3975">
        <v>0</v>
      </c>
      <c r="AK3975">
        <v>0</v>
      </c>
      <c r="AL3975">
        <v>0</v>
      </c>
      <c r="AM3975">
        <v>0</v>
      </c>
      <c r="AN3975">
        <v>0</v>
      </c>
      <c r="AP3975">
        <v>3</v>
      </c>
      <c r="AS3975">
        <v>1</v>
      </c>
      <c r="AT3975">
        <v>0</v>
      </c>
      <c r="AU3975">
        <v>19</v>
      </c>
      <c r="AV3975">
        <v>305</v>
      </c>
      <c r="AW3975">
        <v>305</v>
      </c>
      <c r="AX3975">
        <v>385</v>
      </c>
      <c r="BA3975">
        <v>1</v>
      </c>
      <c r="BC3975" t="s">
        <v>8057</v>
      </c>
      <c r="BD3975" s="4">
        <v>43283.306250000001</v>
      </c>
      <c r="BE3975" s="4">
        <v>43283.335428240738</v>
      </c>
      <c r="BF3975" s="4">
        <v>43283.335428240738</v>
      </c>
      <c r="BG3975" t="s">
        <v>83</v>
      </c>
      <c r="BH3975" t="s">
        <v>84</v>
      </c>
      <c r="BI3975" t="s">
        <v>85</v>
      </c>
    </row>
    <row r="3976" spans="1:61" x14ac:dyDescent="0.3">
      <c r="A3976" t="str">
        <f>"200046B0100"</f>
        <v>200046B0100</v>
      </c>
      <c r="B3976" t="s">
        <v>8058</v>
      </c>
      <c r="C3976">
        <v>20</v>
      </c>
      <c r="D3976" t="s">
        <v>79</v>
      </c>
      <c r="E3976">
        <v>19</v>
      </c>
      <c r="F3976" t="s">
        <v>8046</v>
      </c>
      <c r="G3976">
        <v>46</v>
      </c>
      <c r="H3976">
        <v>1</v>
      </c>
      <c r="I3976" t="s">
        <v>81</v>
      </c>
      <c r="J3976">
        <v>0</v>
      </c>
      <c r="K3976">
        <v>2</v>
      </c>
      <c r="L3976">
        <v>2</v>
      </c>
      <c r="M3976">
        <v>145</v>
      </c>
      <c r="N3976">
        <v>376</v>
      </c>
      <c r="O3976">
        <v>0</v>
      </c>
      <c r="P3976">
        <v>376</v>
      </c>
      <c r="Q3976">
        <v>4</v>
      </c>
      <c r="R3976">
        <v>60</v>
      </c>
      <c r="S3976">
        <v>2</v>
      </c>
      <c r="T3976">
        <v>102</v>
      </c>
      <c r="U3976">
        <v>6</v>
      </c>
      <c r="V3976">
        <v>3</v>
      </c>
      <c r="W3976">
        <v>3</v>
      </c>
      <c r="X3976">
        <v>2</v>
      </c>
      <c r="Y3976">
        <v>155</v>
      </c>
      <c r="Z3976">
        <v>5</v>
      </c>
      <c r="AA3976">
        <v>1</v>
      </c>
      <c r="AB3976">
        <v>2</v>
      </c>
      <c r="AC3976">
        <v>0</v>
      </c>
      <c r="AD3976">
        <v>0</v>
      </c>
      <c r="AE3976">
        <v>0</v>
      </c>
      <c r="AF3976">
        <v>0</v>
      </c>
      <c r="AK3976">
        <v>2</v>
      </c>
      <c r="AL3976">
        <v>0</v>
      </c>
      <c r="AM3976">
        <v>0</v>
      </c>
      <c r="AN3976">
        <v>0</v>
      </c>
      <c r="AP3976">
        <v>6</v>
      </c>
      <c r="AS3976">
        <v>3</v>
      </c>
      <c r="AT3976">
        <v>0</v>
      </c>
      <c r="AU3976">
        <v>20</v>
      </c>
      <c r="AV3976">
        <v>376</v>
      </c>
      <c r="AW3976">
        <v>376</v>
      </c>
      <c r="AX3976">
        <v>498</v>
      </c>
      <c r="BA3976">
        <v>1</v>
      </c>
      <c r="BC3976" t="s">
        <v>8059</v>
      </c>
      <c r="BD3976" s="4">
        <v>43283.308333333334</v>
      </c>
      <c r="BE3976" s="4">
        <v>43283.340960648151</v>
      </c>
      <c r="BF3976" s="4">
        <v>43283.340960648151</v>
      </c>
      <c r="BG3976" t="s">
        <v>83</v>
      </c>
      <c r="BH3976" t="s">
        <v>84</v>
      </c>
      <c r="BI3976" t="s">
        <v>85</v>
      </c>
    </row>
    <row r="3977" spans="1:61" x14ac:dyDescent="0.3">
      <c r="A3977" t="str">
        <f>"200046C0100"</f>
        <v>200046C0100</v>
      </c>
      <c r="B3977" t="s">
        <v>8060</v>
      </c>
      <c r="C3977">
        <v>20</v>
      </c>
      <c r="D3977" t="s">
        <v>79</v>
      </c>
      <c r="E3977">
        <v>19</v>
      </c>
      <c r="F3977" t="s">
        <v>8046</v>
      </c>
      <c r="G3977">
        <v>46</v>
      </c>
      <c r="H3977">
        <v>1</v>
      </c>
      <c r="I3977" t="s">
        <v>89</v>
      </c>
      <c r="J3977">
        <v>0</v>
      </c>
      <c r="K3977">
        <v>2</v>
      </c>
      <c r="L3977">
        <v>2</v>
      </c>
      <c r="M3977">
        <v>129</v>
      </c>
      <c r="N3977">
        <v>391</v>
      </c>
      <c r="O3977">
        <v>0</v>
      </c>
      <c r="P3977">
        <v>391</v>
      </c>
      <c r="Q3977">
        <v>9</v>
      </c>
      <c r="R3977">
        <v>68</v>
      </c>
      <c r="S3977">
        <v>5</v>
      </c>
      <c r="T3977">
        <v>97</v>
      </c>
      <c r="U3977">
        <v>2</v>
      </c>
      <c r="V3977">
        <v>4</v>
      </c>
      <c r="W3977">
        <v>3</v>
      </c>
      <c r="X3977">
        <v>1</v>
      </c>
      <c r="Y3977">
        <v>157</v>
      </c>
      <c r="Z3977">
        <v>2</v>
      </c>
      <c r="AA3977">
        <v>2</v>
      </c>
      <c r="AB3977">
        <v>2</v>
      </c>
      <c r="AC3977">
        <v>0</v>
      </c>
      <c r="AD3977">
        <v>0</v>
      </c>
      <c r="AE3977">
        <v>0</v>
      </c>
      <c r="AF3977">
        <v>0</v>
      </c>
      <c r="AK3977">
        <v>0</v>
      </c>
      <c r="AL3977">
        <v>1</v>
      </c>
      <c r="AM3977">
        <v>0</v>
      </c>
      <c r="AN3977">
        <v>0</v>
      </c>
      <c r="AP3977">
        <v>3</v>
      </c>
      <c r="AS3977">
        <v>2</v>
      </c>
      <c r="AT3977" t="s">
        <v>100</v>
      </c>
      <c r="AU3977">
        <v>33</v>
      </c>
      <c r="AV3977">
        <v>391</v>
      </c>
      <c r="AW3977">
        <v>391</v>
      </c>
      <c r="AX3977">
        <v>497</v>
      </c>
      <c r="AZ3977" t="s">
        <v>101</v>
      </c>
      <c r="BA3977">
        <v>1</v>
      </c>
      <c r="BC3977" t="s">
        <v>8061</v>
      </c>
      <c r="BD3977" s="4">
        <v>43283.306250000001</v>
      </c>
      <c r="BE3977" s="4">
        <v>43283.336655092593</v>
      </c>
      <c r="BF3977" s="4">
        <v>43283.336655092593</v>
      </c>
      <c r="BG3977" t="s">
        <v>83</v>
      </c>
      <c r="BH3977" t="s">
        <v>84</v>
      </c>
      <c r="BI3977" t="s">
        <v>85</v>
      </c>
    </row>
    <row r="3978" spans="1:61" x14ac:dyDescent="0.3">
      <c r="A3978" t="str">
        <f>"200047B0100"</f>
        <v>200047B0100</v>
      </c>
      <c r="B3978" t="s">
        <v>8062</v>
      </c>
      <c r="C3978">
        <v>20</v>
      </c>
      <c r="D3978" t="s">
        <v>79</v>
      </c>
      <c r="E3978">
        <v>19</v>
      </c>
      <c r="F3978" t="s">
        <v>8046</v>
      </c>
      <c r="G3978">
        <v>47</v>
      </c>
      <c r="H3978">
        <v>1</v>
      </c>
      <c r="I3978" t="s">
        <v>81</v>
      </c>
      <c r="J3978">
        <v>0</v>
      </c>
      <c r="K3978">
        <v>2</v>
      </c>
      <c r="L3978">
        <v>2</v>
      </c>
      <c r="M3978">
        <v>201</v>
      </c>
      <c r="N3978">
        <v>681</v>
      </c>
      <c r="O3978">
        <v>2</v>
      </c>
      <c r="P3978" t="s">
        <v>100</v>
      </c>
      <c r="Q3978">
        <v>8</v>
      </c>
      <c r="R3978">
        <v>64</v>
      </c>
      <c r="S3978">
        <v>5</v>
      </c>
      <c r="T3978">
        <v>120</v>
      </c>
      <c r="U3978">
        <v>8</v>
      </c>
      <c r="V3978">
        <v>3</v>
      </c>
      <c r="W3978">
        <v>2</v>
      </c>
      <c r="X3978">
        <v>2</v>
      </c>
      <c r="Y3978">
        <v>237</v>
      </c>
      <c r="Z3978">
        <v>3</v>
      </c>
      <c r="AA3978">
        <v>1</v>
      </c>
      <c r="AB3978">
        <v>1</v>
      </c>
      <c r="AC3978" t="s">
        <v>100</v>
      </c>
      <c r="AD3978" t="s">
        <v>100</v>
      </c>
      <c r="AE3978" t="s">
        <v>100</v>
      </c>
      <c r="AF3978" t="s">
        <v>100</v>
      </c>
      <c r="AK3978">
        <v>1</v>
      </c>
      <c r="AL3978" t="s">
        <v>100</v>
      </c>
      <c r="AM3978" t="s">
        <v>100</v>
      </c>
      <c r="AN3978">
        <v>8</v>
      </c>
      <c r="AP3978">
        <v>8</v>
      </c>
      <c r="AS3978">
        <v>1</v>
      </c>
      <c r="AT3978" t="s">
        <v>315</v>
      </c>
      <c r="AU3978">
        <v>16</v>
      </c>
      <c r="AV3978">
        <v>479</v>
      </c>
      <c r="AW3978">
        <v>488</v>
      </c>
      <c r="AX3978">
        <v>658</v>
      </c>
      <c r="AZ3978" t="s">
        <v>101</v>
      </c>
      <c r="BA3978">
        <v>1</v>
      </c>
      <c r="BC3978" t="s">
        <v>8063</v>
      </c>
      <c r="BD3978" s="4">
        <v>43283.283333333333</v>
      </c>
      <c r="BE3978" s="4">
        <v>43283.331689814811</v>
      </c>
      <c r="BF3978" s="4">
        <v>43283.331689814811</v>
      </c>
      <c r="BG3978" t="s">
        <v>83</v>
      </c>
      <c r="BH3978" t="s">
        <v>84</v>
      </c>
      <c r="BI3978" t="s">
        <v>85</v>
      </c>
    </row>
    <row r="3979" spans="1:61" x14ac:dyDescent="0.3">
      <c r="A3979" t="str">
        <f>"200047C0100"</f>
        <v>200047C0100</v>
      </c>
      <c r="B3979" t="s">
        <v>8064</v>
      </c>
      <c r="C3979">
        <v>20</v>
      </c>
      <c r="D3979" t="s">
        <v>79</v>
      </c>
      <c r="E3979">
        <v>19</v>
      </c>
      <c r="F3979" t="s">
        <v>8046</v>
      </c>
      <c r="G3979">
        <v>47</v>
      </c>
      <c r="H3979">
        <v>1</v>
      </c>
      <c r="I3979" t="s">
        <v>89</v>
      </c>
      <c r="J3979">
        <v>0</v>
      </c>
      <c r="K3979">
        <v>2</v>
      </c>
      <c r="L3979">
        <v>2</v>
      </c>
      <c r="AX3979">
        <v>657</v>
      </c>
      <c r="AZ3979" t="s">
        <v>156</v>
      </c>
      <c r="BA3979">
        <v>0</v>
      </c>
      <c r="BC3979" t="s">
        <v>8065</v>
      </c>
      <c r="BD3979" s="4">
        <v>43283.779861111114</v>
      </c>
      <c r="BE3979" s="4">
        <v>43283.787604166668</v>
      </c>
      <c r="BF3979" s="4">
        <v>43283.787604166668</v>
      </c>
      <c r="BG3979" t="s">
        <v>83</v>
      </c>
      <c r="BH3979" t="s">
        <v>84</v>
      </c>
      <c r="BI3979" t="s">
        <v>85</v>
      </c>
    </row>
    <row r="3980" spans="1:61" x14ac:dyDescent="0.3">
      <c r="A3980" t="str">
        <f>"200048B0100"</f>
        <v>200048B0100</v>
      </c>
      <c r="B3980" t="s">
        <v>8066</v>
      </c>
      <c r="C3980">
        <v>20</v>
      </c>
      <c r="D3980" t="s">
        <v>79</v>
      </c>
      <c r="E3980">
        <v>19</v>
      </c>
      <c r="F3980" t="s">
        <v>8046</v>
      </c>
      <c r="G3980">
        <v>48</v>
      </c>
      <c r="H3980">
        <v>1</v>
      </c>
      <c r="I3980" t="s">
        <v>81</v>
      </c>
      <c r="J3980">
        <v>0</v>
      </c>
      <c r="K3980">
        <v>2</v>
      </c>
      <c r="L3980">
        <v>2</v>
      </c>
      <c r="AX3980">
        <v>381</v>
      </c>
      <c r="AZ3980" t="s">
        <v>156</v>
      </c>
      <c r="BA3980">
        <v>0</v>
      </c>
      <c r="BC3980" t="s">
        <v>8067</v>
      </c>
      <c r="BD3980" s="4">
        <v>43283.77847222222</v>
      </c>
      <c r="BE3980" s="4">
        <v>43283.786365740743</v>
      </c>
      <c r="BF3980" s="4">
        <v>43283.786365740743</v>
      </c>
      <c r="BG3980" t="s">
        <v>83</v>
      </c>
      <c r="BH3980" t="s">
        <v>84</v>
      </c>
      <c r="BI3980" t="s">
        <v>85</v>
      </c>
    </row>
    <row r="3981" spans="1:61" x14ac:dyDescent="0.3">
      <c r="A3981" t="str">
        <f>"200048C0100"</f>
        <v>200048C0100</v>
      </c>
      <c r="B3981" t="s">
        <v>8068</v>
      </c>
      <c r="C3981">
        <v>20</v>
      </c>
      <c r="D3981" t="s">
        <v>79</v>
      </c>
      <c r="E3981">
        <v>19</v>
      </c>
      <c r="F3981" t="s">
        <v>8046</v>
      </c>
      <c r="G3981">
        <v>48</v>
      </c>
      <c r="H3981">
        <v>1</v>
      </c>
      <c r="I3981" t="s">
        <v>89</v>
      </c>
      <c r="J3981">
        <v>0</v>
      </c>
      <c r="K3981">
        <v>2</v>
      </c>
      <c r="L3981">
        <v>2</v>
      </c>
      <c r="M3981">
        <v>99</v>
      </c>
      <c r="N3981">
        <v>303</v>
      </c>
      <c r="O3981">
        <v>4</v>
      </c>
      <c r="P3981">
        <v>304</v>
      </c>
      <c r="Q3981">
        <v>1</v>
      </c>
      <c r="R3981">
        <v>53</v>
      </c>
      <c r="S3981">
        <v>2</v>
      </c>
      <c r="T3981">
        <v>55</v>
      </c>
      <c r="U3981">
        <v>2</v>
      </c>
      <c r="V3981">
        <v>0</v>
      </c>
      <c r="W3981">
        <v>1</v>
      </c>
      <c r="X3981">
        <v>1</v>
      </c>
      <c r="Y3981">
        <v>175</v>
      </c>
      <c r="Z3981">
        <v>2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K3981">
        <v>1</v>
      </c>
      <c r="AL3981">
        <v>0</v>
      </c>
      <c r="AM3981">
        <v>0</v>
      </c>
      <c r="AN3981">
        <v>1</v>
      </c>
      <c r="AP3981">
        <v>2</v>
      </c>
      <c r="AS3981">
        <v>0</v>
      </c>
      <c r="AT3981">
        <v>0</v>
      </c>
      <c r="AU3981">
        <v>8</v>
      </c>
      <c r="AV3981">
        <v>304</v>
      </c>
      <c r="AW3981">
        <v>304</v>
      </c>
      <c r="AX3981">
        <v>380</v>
      </c>
      <c r="BA3981">
        <v>1</v>
      </c>
      <c r="BC3981" s="2" t="s">
        <v>8069</v>
      </c>
      <c r="BD3981" s="4">
        <v>43283.285416666666</v>
      </c>
      <c r="BE3981" s="4">
        <v>43283.319351851853</v>
      </c>
      <c r="BF3981" s="4">
        <v>43283.319351851853</v>
      </c>
      <c r="BG3981" t="s">
        <v>83</v>
      </c>
      <c r="BH3981" t="s">
        <v>84</v>
      </c>
      <c r="BI3981" t="s">
        <v>85</v>
      </c>
    </row>
    <row r="3982" spans="1:61" x14ac:dyDescent="0.3">
      <c r="A3982" t="str">
        <f>"200049B0100"</f>
        <v>200049B0100</v>
      </c>
      <c r="B3982" t="s">
        <v>8070</v>
      </c>
      <c r="C3982">
        <v>20</v>
      </c>
      <c r="D3982" t="s">
        <v>79</v>
      </c>
      <c r="E3982">
        <v>19</v>
      </c>
      <c r="F3982" t="s">
        <v>8046</v>
      </c>
      <c r="G3982">
        <v>49</v>
      </c>
      <c r="H3982">
        <v>1</v>
      </c>
      <c r="I3982" t="s">
        <v>81</v>
      </c>
      <c r="J3982">
        <v>0</v>
      </c>
      <c r="K3982">
        <v>2</v>
      </c>
      <c r="L3982">
        <v>2</v>
      </c>
      <c r="M3982">
        <v>126</v>
      </c>
      <c r="N3982">
        <v>404</v>
      </c>
      <c r="O3982">
        <v>2</v>
      </c>
      <c r="P3982" t="s">
        <v>100</v>
      </c>
      <c r="Q3982">
        <v>2</v>
      </c>
      <c r="R3982">
        <v>80</v>
      </c>
      <c r="S3982">
        <v>9</v>
      </c>
      <c r="T3982">
        <v>49</v>
      </c>
      <c r="U3982">
        <v>7</v>
      </c>
      <c r="V3982">
        <v>4</v>
      </c>
      <c r="W3982">
        <v>0</v>
      </c>
      <c r="X3982">
        <v>3</v>
      </c>
      <c r="Y3982">
        <v>204</v>
      </c>
      <c r="Z3982">
        <v>1</v>
      </c>
      <c r="AA3982">
        <v>0</v>
      </c>
      <c r="AB3982">
        <v>5</v>
      </c>
      <c r="AC3982">
        <v>0</v>
      </c>
      <c r="AD3982">
        <v>0</v>
      </c>
      <c r="AE3982">
        <v>0</v>
      </c>
      <c r="AF3982">
        <v>0</v>
      </c>
      <c r="AK3982">
        <v>2</v>
      </c>
      <c r="AL3982">
        <v>1</v>
      </c>
      <c r="AM3982">
        <v>0</v>
      </c>
      <c r="AN3982">
        <v>0</v>
      </c>
      <c r="AP3982">
        <v>3</v>
      </c>
      <c r="AS3982">
        <v>3</v>
      </c>
      <c r="AT3982">
        <v>0</v>
      </c>
      <c r="AU3982">
        <v>25</v>
      </c>
      <c r="AV3982">
        <v>398</v>
      </c>
      <c r="AW3982">
        <v>398</v>
      </c>
      <c r="AX3982">
        <v>507</v>
      </c>
      <c r="BA3982">
        <v>1</v>
      </c>
      <c r="BC3982" t="s">
        <v>8071</v>
      </c>
      <c r="BD3982" s="4">
        <v>43283.311111111114</v>
      </c>
      <c r="BE3982" s="4">
        <v>43283.338078703702</v>
      </c>
      <c r="BF3982" s="4">
        <v>43283.338078703702</v>
      </c>
      <c r="BG3982" t="s">
        <v>83</v>
      </c>
      <c r="BH3982" t="s">
        <v>84</v>
      </c>
      <c r="BI3982" t="s">
        <v>85</v>
      </c>
    </row>
    <row r="3983" spans="1:61" x14ac:dyDescent="0.3">
      <c r="A3983" t="str">
        <f>"200049C0100"</f>
        <v>200049C0100</v>
      </c>
      <c r="B3983" t="s">
        <v>8072</v>
      </c>
      <c r="C3983">
        <v>20</v>
      </c>
      <c r="D3983" t="s">
        <v>79</v>
      </c>
      <c r="E3983">
        <v>19</v>
      </c>
      <c r="F3983" t="s">
        <v>8046</v>
      </c>
      <c r="G3983">
        <v>49</v>
      </c>
      <c r="H3983">
        <v>1</v>
      </c>
      <c r="I3983" t="s">
        <v>89</v>
      </c>
      <c r="J3983">
        <v>0</v>
      </c>
      <c r="K3983">
        <v>2</v>
      </c>
      <c r="L3983">
        <v>2</v>
      </c>
      <c r="M3983">
        <v>132</v>
      </c>
      <c r="N3983">
        <v>399</v>
      </c>
      <c r="O3983">
        <v>0</v>
      </c>
      <c r="P3983">
        <v>401</v>
      </c>
      <c r="Q3983" t="s">
        <v>100</v>
      </c>
      <c r="R3983">
        <v>80</v>
      </c>
      <c r="S3983">
        <v>23</v>
      </c>
      <c r="T3983">
        <v>68</v>
      </c>
      <c r="U3983" t="s">
        <v>100</v>
      </c>
      <c r="V3983" t="s">
        <v>100</v>
      </c>
      <c r="W3983" t="s">
        <v>100</v>
      </c>
      <c r="X3983" t="s">
        <v>100</v>
      </c>
      <c r="Y3983">
        <v>213</v>
      </c>
      <c r="Z3983" t="s">
        <v>100</v>
      </c>
      <c r="AA3983">
        <v>1</v>
      </c>
      <c r="AB3983">
        <v>2</v>
      </c>
      <c r="AC3983" t="s">
        <v>100</v>
      </c>
      <c r="AD3983" t="s">
        <v>100</v>
      </c>
      <c r="AE3983" t="s">
        <v>100</v>
      </c>
      <c r="AF3983" t="s">
        <v>100</v>
      </c>
      <c r="AK3983" t="s">
        <v>100</v>
      </c>
      <c r="AL3983" t="s">
        <v>100</v>
      </c>
      <c r="AM3983" t="s">
        <v>100</v>
      </c>
      <c r="AN3983" t="s">
        <v>100</v>
      </c>
      <c r="AP3983" t="s">
        <v>100</v>
      </c>
      <c r="AS3983" t="s">
        <v>100</v>
      </c>
      <c r="AT3983" t="s">
        <v>100</v>
      </c>
      <c r="AU3983">
        <v>14</v>
      </c>
      <c r="AV3983">
        <v>401</v>
      </c>
      <c r="AW3983">
        <v>401</v>
      </c>
      <c r="AX3983">
        <v>506</v>
      </c>
      <c r="AZ3983" t="s">
        <v>101</v>
      </c>
      <c r="BA3983">
        <v>1</v>
      </c>
      <c r="BC3983" t="s">
        <v>8073</v>
      </c>
      <c r="BD3983" s="4">
        <v>43283.311111111114</v>
      </c>
      <c r="BE3983" s="4">
        <v>43283.337175925924</v>
      </c>
      <c r="BF3983" s="4">
        <v>43283.337175925924</v>
      </c>
      <c r="BG3983" t="s">
        <v>83</v>
      </c>
      <c r="BH3983" t="s">
        <v>84</v>
      </c>
      <c r="BI3983" t="s">
        <v>85</v>
      </c>
    </row>
    <row r="3984" spans="1:61" x14ac:dyDescent="0.3">
      <c r="A3984" t="str">
        <f>"200050B0100"</f>
        <v>200050B0100</v>
      </c>
      <c r="B3984" t="s">
        <v>8074</v>
      </c>
      <c r="C3984">
        <v>20</v>
      </c>
      <c r="D3984" t="s">
        <v>79</v>
      </c>
      <c r="E3984">
        <v>19</v>
      </c>
      <c r="F3984" t="s">
        <v>8046</v>
      </c>
      <c r="G3984">
        <v>50</v>
      </c>
      <c r="H3984">
        <v>1</v>
      </c>
      <c r="I3984" t="s">
        <v>81</v>
      </c>
      <c r="J3984">
        <v>0</v>
      </c>
      <c r="K3984">
        <v>2</v>
      </c>
      <c r="L3984">
        <v>2</v>
      </c>
      <c r="M3984">
        <v>197</v>
      </c>
      <c r="N3984">
        <v>543</v>
      </c>
      <c r="O3984">
        <v>0</v>
      </c>
      <c r="P3984">
        <v>543</v>
      </c>
      <c r="Q3984">
        <v>9</v>
      </c>
      <c r="R3984">
        <v>46</v>
      </c>
      <c r="S3984">
        <v>13</v>
      </c>
      <c r="T3984">
        <v>163</v>
      </c>
      <c r="U3984">
        <v>9</v>
      </c>
      <c r="V3984">
        <v>5</v>
      </c>
      <c r="W3984">
        <v>1</v>
      </c>
      <c r="X3984">
        <v>3</v>
      </c>
      <c r="Y3984">
        <v>252</v>
      </c>
      <c r="Z3984">
        <v>10</v>
      </c>
      <c r="AA3984">
        <v>2</v>
      </c>
      <c r="AB3984">
        <v>1</v>
      </c>
      <c r="AC3984">
        <v>0</v>
      </c>
      <c r="AD3984">
        <v>0</v>
      </c>
      <c r="AE3984">
        <v>0</v>
      </c>
      <c r="AF3984">
        <v>0</v>
      </c>
      <c r="AK3984">
        <v>0</v>
      </c>
      <c r="AL3984">
        <v>0</v>
      </c>
      <c r="AM3984">
        <v>0</v>
      </c>
      <c r="AN3984">
        <v>0</v>
      </c>
      <c r="AP3984">
        <v>9</v>
      </c>
      <c r="AS3984">
        <v>0</v>
      </c>
      <c r="AT3984">
        <v>1</v>
      </c>
      <c r="AU3984">
        <v>20</v>
      </c>
      <c r="AV3984">
        <v>544</v>
      </c>
      <c r="AW3984">
        <v>544</v>
      </c>
      <c r="AX3984">
        <v>720</v>
      </c>
      <c r="BA3984">
        <v>1</v>
      </c>
      <c r="BC3984" t="s">
        <v>8075</v>
      </c>
      <c r="BD3984" s="4">
        <v>43283.474999999999</v>
      </c>
      <c r="BE3984" s="4">
        <v>43283.48165509259</v>
      </c>
      <c r="BF3984" s="4">
        <v>43283.48165509259</v>
      </c>
      <c r="BG3984" t="s">
        <v>83</v>
      </c>
      <c r="BH3984" t="s">
        <v>84</v>
      </c>
      <c r="BI3984" t="s">
        <v>85</v>
      </c>
    </row>
    <row r="3985" spans="1:61" x14ac:dyDescent="0.3">
      <c r="A3985" t="str">
        <f>"200051B0100"</f>
        <v>200051B0100</v>
      </c>
      <c r="B3985" t="s">
        <v>8076</v>
      </c>
      <c r="C3985">
        <v>20</v>
      </c>
      <c r="D3985" t="s">
        <v>79</v>
      </c>
      <c r="E3985">
        <v>19</v>
      </c>
      <c r="F3985" t="s">
        <v>8046</v>
      </c>
      <c r="G3985">
        <v>51</v>
      </c>
      <c r="H3985">
        <v>1</v>
      </c>
      <c r="I3985" t="s">
        <v>81</v>
      </c>
      <c r="J3985">
        <v>0</v>
      </c>
      <c r="K3985">
        <v>2</v>
      </c>
      <c r="L3985">
        <v>2</v>
      </c>
      <c r="AX3985">
        <v>481</v>
      </c>
      <c r="AZ3985" t="s">
        <v>156</v>
      </c>
      <c r="BA3985">
        <v>0</v>
      </c>
      <c r="BC3985" t="s">
        <v>8077</v>
      </c>
      <c r="BD3985" s="4">
        <v>43283.816666666666</v>
      </c>
      <c r="BE3985" s="4">
        <v>43283.817708333336</v>
      </c>
      <c r="BF3985" s="4">
        <v>43283.817708333336</v>
      </c>
      <c r="BG3985" t="s">
        <v>83</v>
      </c>
      <c r="BH3985" t="s">
        <v>84</v>
      </c>
      <c r="BI3985" t="s">
        <v>85</v>
      </c>
    </row>
    <row r="3986" spans="1:61" x14ac:dyDescent="0.3">
      <c r="A3986" t="str">
        <f>"200051C0100"</f>
        <v>200051C0100</v>
      </c>
      <c r="B3986" t="s">
        <v>8078</v>
      </c>
      <c r="C3986">
        <v>20</v>
      </c>
      <c r="D3986" t="s">
        <v>79</v>
      </c>
      <c r="E3986">
        <v>19</v>
      </c>
      <c r="F3986" t="s">
        <v>8046</v>
      </c>
      <c r="G3986">
        <v>51</v>
      </c>
      <c r="H3986">
        <v>1</v>
      </c>
      <c r="I3986" t="s">
        <v>89</v>
      </c>
      <c r="J3986">
        <v>0</v>
      </c>
      <c r="K3986">
        <v>2</v>
      </c>
      <c r="L3986">
        <v>2</v>
      </c>
      <c r="AX3986">
        <v>481</v>
      </c>
      <c r="AZ3986" t="s">
        <v>156</v>
      </c>
      <c r="BA3986">
        <v>0</v>
      </c>
      <c r="BC3986" t="s">
        <v>8079</v>
      </c>
      <c r="BD3986" s="4">
        <v>43283.77847222222</v>
      </c>
      <c r="BE3986" s="4">
        <v>43283.785694444443</v>
      </c>
      <c r="BF3986" s="4">
        <v>43283.785694444443</v>
      </c>
      <c r="BG3986" t="s">
        <v>83</v>
      </c>
      <c r="BH3986" t="s">
        <v>84</v>
      </c>
      <c r="BI3986" t="s">
        <v>85</v>
      </c>
    </row>
    <row r="3987" spans="1:61" x14ac:dyDescent="0.3">
      <c r="A3987" t="str">
        <f>"200052B0100"</f>
        <v>200052B0100</v>
      </c>
      <c r="B3987" t="s">
        <v>8080</v>
      </c>
      <c r="C3987">
        <v>20</v>
      </c>
      <c r="D3987" t="s">
        <v>79</v>
      </c>
      <c r="E3987">
        <v>19</v>
      </c>
      <c r="F3987" t="s">
        <v>8046</v>
      </c>
      <c r="G3987">
        <v>52</v>
      </c>
      <c r="H3987">
        <v>1</v>
      </c>
      <c r="I3987" t="s">
        <v>81</v>
      </c>
      <c r="J3987">
        <v>0</v>
      </c>
      <c r="K3987">
        <v>2</v>
      </c>
      <c r="L3987">
        <v>2</v>
      </c>
      <c r="M3987">
        <v>125</v>
      </c>
      <c r="N3987">
        <v>319</v>
      </c>
      <c r="O3987">
        <v>0</v>
      </c>
      <c r="P3987">
        <v>319</v>
      </c>
      <c r="Q3987">
        <v>1</v>
      </c>
      <c r="R3987">
        <v>50</v>
      </c>
      <c r="S3987">
        <v>9</v>
      </c>
      <c r="T3987">
        <v>108</v>
      </c>
      <c r="U3987">
        <v>4</v>
      </c>
      <c r="V3987">
        <v>0</v>
      </c>
      <c r="W3987">
        <v>1</v>
      </c>
      <c r="X3987">
        <v>0</v>
      </c>
      <c r="Y3987">
        <v>118</v>
      </c>
      <c r="Z3987">
        <v>7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K3987">
        <v>2</v>
      </c>
      <c r="AL3987">
        <v>1</v>
      </c>
      <c r="AM3987">
        <v>0</v>
      </c>
      <c r="AN3987">
        <v>0</v>
      </c>
      <c r="AP3987">
        <v>3</v>
      </c>
      <c r="AS3987" t="s">
        <v>100</v>
      </c>
      <c r="AT3987" t="s">
        <v>100</v>
      </c>
      <c r="AU3987">
        <v>12</v>
      </c>
      <c r="AV3987">
        <v>316</v>
      </c>
      <c r="AW3987">
        <v>316</v>
      </c>
      <c r="AX3987">
        <v>421</v>
      </c>
      <c r="AZ3987" t="s">
        <v>101</v>
      </c>
      <c r="BA3987">
        <v>1</v>
      </c>
      <c r="BC3987" t="s">
        <v>8081</v>
      </c>
      <c r="BD3987" s="4">
        <v>43283.482638888891</v>
      </c>
      <c r="BE3987" s="4">
        <v>43283.493680555555</v>
      </c>
      <c r="BF3987" s="4">
        <v>43283.493680555555</v>
      </c>
      <c r="BG3987" t="s">
        <v>83</v>
      </c>
      <c r="BH3987" t="s">
        <v>84</v>
      </c>
      <c r="BI3987" t="s">
        <v>85</v>
      </c>
    </row>
    <row r="3988" spans="1:61" x14ac:dyDescent="0.3">
      <c r="A3988" t="str">
        <f>"200052C0100"</f>
        <v>200052C0100</v>
      </c>
      <c r="B3988" t="s">
        <v>8082</v>
      </c>
      <c r="C3988">
        <v>20</v>
      </c>
      <c r="D3988" t="s">
        <v>79</v>
      </c>
      <c r="E3988">
        <v>19</v>
      </c>
      <c r="F3988" t="s">
        <v>8046</v>
      </c>
      <c r="G3988">
        <v>52</v>
      </c>
      <c r="H3988">
        <v>1</v>
      </c>
      <c r="I3988" t="s">
        <v>89</v>
      </c>
      <c r="J3988">
        <v>0</v>
      </c>
      <c r="K3988">
        <v>2</v>
      </c>
      <c r="L3988">
        <v>2</v>
      </c>
      <c r="M3988">
        <v>122</v>
      </c>
      <c r="N3988" t="s">
        <v>100</v>
      </c>
      <c r="O3988" t="s">
        <v>100</v>
      </c>
      <c r="P3988" t="s">
        <v>100</v>
      </c>
      <c r="Q3988">
        <v>0</v>
      </c>
      <c r="R3988">
        <v>52</v>
      </c>
      <c r="S3988">
        <v>4</v>
      </c>
      <c r="T3988">
        <v>117</v>
      </c>
      <c r="U3988">
        <v>2</v>
      </c>
      <c r="V3988">
        <v>4</v>
      </c>
      <c r="W3988">
        <v>0</v>
      </c>
      <c r="X3988">
        <v>2</v>
      </c>
      <c r="Y3988">
        <v>108</v>
      </c>
      <c r="Z3988">
        <v>5</v>
      </c>
      <c r="AA3988">
        <v>0</v>
      </c>
      <c r="AB3988">
        <v>1</v>
      </c>
      <c r="AC3988">
        <v>0</v>
      </c>
      <c r="AD3988">
        <v>0</v>
      </c>
      <c r="AE3988">
        <v>0</v>
      </c>
      <c r="AF3988">
        <v>0</v>
      </c>
      <c r="AK3988">
        <v>0</v>
      </c>
      <c r="AL3988">
        <v>1</v>
      </c>
      <c r="AM3988">
        <v>0</v>
      </c>
      <c r="AN3988">
        <v>0</v>
      </c>
      <c r="AP3988">
        <v>7</v>
      </c>
      <c r="AS3988">
        <v>0</v>
      </c>
      <c r="AT3988">
        <v>0</v>
      </c>
      <c r="AU3988">
        <v>9</v>
      </c>
      <c r="AV3988">
        <v>322</v>
      </c>
      <c r="AW3988">
        <v>312</v>
      </c>
      <c r="AX3988">
        <v>421</v>
      </c>
      <c r="BA3988">
        <v>1</v>
      </c>
      <c r="BC3988" t="s">
        <v>8083</v>
      </c>
      <c r="BD3988" s="4">
        <v>43283.479861111111</v>
      </c>
      <c r="BE3988" s="4">
        <v>43283.494131944448</v>
      </c>
      <c r="BF3988" s="4">
        <v>43283.494131944448</v>
      </c>
      <c r="BG3988" t="s">
        <v>83</v>
      </c>
      <c r="BH3988" t="s">
        <v>84</v>
      </c>
      <c r="BI3988" t="s">
        <v>85</v>
      </c>
    </row>
    <row r="3989" spans="1:61" x14ac:dyDescent="0.3">
      <c r="A3989" t="str">
        <f>"200053B0100"</f>
        <v>200053B0100</v>
      </c>
      <c r="B3989" t="s">
        <v>8084</v>
      </c>
      <c r="C3989">
        <v>20</v>
      </c>
      <c r="D3989" t="s">
        <v>79</v>
      </c>
      <c r="E3989">
        <v>19</v>
      </c>
      <c r="F3989" t="s">
        <v>8046</v>
      </c>
      <c r="G3989">
        <v>53</v>
      </c>
      <c r="H3989">
        <v>1</v>
      </c>
      <c r="I3989" t="s">
        <v>81</v>
      </c>
      <c r="J3989">
        <v>0</v>
      </c>
      <c r="K3989">
        <v>2</v>
      </c>
      <c r="L3989">
        <v>2</v>
      </c>
      <c r="AX3989">
        <v>553</v>
      </c>
      <c r="AZ3989" t="s">
        <v>156</v>
      </c>
      <c r="BA3989">
        <v>0</v>
      </c>
      <c r="BC3989" t="s">
        <v>8085</v>
      </c>
      <c r="BD3989" s="4">
        <v>43283.777777777781</v>
      </c>
      <c r="BE3989" s="4">
        <v>43283.785393518519</v>
      </c>
      <c r="BF3989" s="4">
        <v>43283.785393518519</v>
      </c>
      <c r="BG3989" t="s">
        <v>83</v>
      </c>
      <c r="BH3989" t="s">
        <v>84</v>
      </c>
      <c r="BI3989" t="s">
        <v>85</v>
      </c>
    </row>
    <row r="3990" spans="1:61" x14ac:dyDescent="0.3">
      <c r="A3990" t="str">
        <f>"200053E0100"</f>
        <v>200053E0100</v>
      </c>
      <c r="B3990" s="2" t="s">
        <v>8086</v>
      </c>
      <c r="C3990">
        <v>20</v>
      </c>
      <c r="D3990" t="s">
        <v>79</v>
      </c>
      <c r="E3990">
        <v>19</v>
      </c>
      <c r="F3990" t="s">
        <v>8046</v>
      </c>
      <c r="G3990">
        <v>53</v>
      </c>
      <c r="H3990">
        <v>1</v>
      </c>
      <c r="I3990" t="s">
        <v>145</v>
      </c>
      <c r="J3990">
        <v>0</v>
      </c>
      <c r="K3990">
        <v>2</v>
      </c>
      <c r="L3990">
        <v>2</v>
      </c>
      <c r="AX3990">
        <v>369</v>
      </c>
      <c r="AZ3990" t="s">
        <v>156</v>
      </c>
      <c r="BA3990">
        <v>0</v>
      </c>
      <c r="BC3990" t="s">
        <v>8087</v>
      </c>
      <c r="BD3990" s="4">
        <v>43283.777777777781</v>
      </c>
      <c r="BE3990" s="4">
        <v>43283.784837962965</v>
      </c>
      <c r="BF3990" s="4">
        <v>43283.784837962965</v>
      </c>
      <c r="BG3990" t="s">
        <v>83</v>
      </c>
      <c r="BH3990" t="s">
        <v>84</v>
      </c>
      <c r="BI3990" t="s">
        <v>85</v>
      </c>
    </row>
    <row r="3991" spans="1:61" x14ac:dyDescent="0.3">
      <c r="A3991" t="str">
        <f>"200054B0100"</f>
        <v>200054B0100</v>
      </c>
      <c r="B3991" t="s">
        <v>8088</v>
      </c>
      <c r="C3991">
        <v>20</v>
      </c>
      <c r="D3991" t="s">
        <v>79</v>
      </c>
      <c r="E3991">
        <v>19</v>
      </c>
      <c r="F3991" t="s">
        <v>8046</v>
      </c>
      <c r="G3991">
        <v>54</v>
      </c>
      <c r="H3991">
        <v>1</v>
      </c>
      <c r="I3991" t="s">
        <v>81</v>
      </c>
      <c r="J3991">
        <v>0</v>
      </c>
      <c r="K3991">
        <v>2</v>
      </c>
      <c r="L3991">
        <v>2</v>
      </c>
      <c r="M3991">
        <v>175</v>
      </c>
      <c r="N3991">
        <v>531</v>
      </c>
      <c r="O3991">
        <v>1</v>
      </c>
      <c r="P3991">
        <v>531</v>
      </c>
      <c r="Q3991">
        <v>3</v>
      </c>
      <c r="R3991">
        <v>68</v>
      </c>
      <c r="S3991">
        <v>10</v>
      </c>
      <c r="T3991">
        <v>154</v>
      </c>
      <c r="U3991">
        <v>4</v>
      </c>
      <c r="V3991">
        <v>9</v>
      </c>
      <c r="W3991">
        <v>0</v>
      </c>
      <c r="X3991">
        <v>5</v>
      </c>
      <c r="Y3991">
        <v>250</v>
      </c>
      <c r="Z3991">
        <v>7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K3991">
        <v>0</v>
      </c>
      <c r="AL3991">
        <v>0</v>
      </c>
      <c r="AM3991">
        <v>0</v>
      </c>
      <c r="AN3991">
        <v>0</v>
      </c>
      <c r="AP3991">
        <v>10</v>
      </c>
      <c r="AS3991">
        <v>0</v>
      </c>
      <c r="AT3991">
        <v>0</v>
      </c>
      <c r="AU3991">
        <v>11</v>
      </c>
      <c r="AV3991">
        <v>531</v>
      </c>
      <c r="AW3991">
        <v>531</v>
      </c>
      <c r="AX3991">
        <v>670</v>
      </c>
      <c r="BA3991">
        <v>1</v>
      </c>
      <c r="BC3991" t="s">
        <v>8089</v>
      </c>
      <c r="BD3991" s="4">
        <v>43283.474999999999</v>
      </c>
      <c r="BE3991" s="4">
        <v>43283.483124999999</v>
      </c>
      <c r="BF3991" s="4">
        <v>43283.483124999999</v>
      </c>
      <c r="BG3991" t="s">
        <v>83</v>
      </c>
      <c r="BH3991" t="s">
        <v>84</v>
      </c>
      <c r="BI3991" t="s">
        <v>85</v>
      </c>
    </row>
    <row r="3992" spans="1:61" x14ac:dyDescent="0.3">
      <c r="A3992" t="str">
        <f>"200054E0100"</f>
        <v>200054E0100</v>
      </c>
      <c r="B3992" s="2" t="s">
        <v>8090</v>
      </c>
      <c r="C3992">
        <v>20</v>
      </c>
      <c r="D3992" t="s">
        <v>79</v>
      </c>
      <c r="E3992">
        <v>19</v>
      </c>
      <c r="F3992" t="s">
        <v>8046</v>
      </c>
      <c r="G3992">
        <v>54</v>
      </c>
      <c r="H3992">
        <v>1</v>
      </c>
      <c r="I3992" t="s">
        <v>145</v>
      </c>
      <c r="J3992">
        <v>0</v>
      </c>
      <c r="K3992">
        <v>2</v>
      </c>
      <c r="L3992">
        <v>2</v>
      </c>
      <c r="M3992">
        <v>68</v>
      </c>
      <c r="N3992">
        <v>202</v>
      </c>
      <c r="O3992">
        <v>0</v>
      </c>
      <c r="P3992">
        <v>202</v>
      </c>
      <c r="Q3992">
        <v>0</v>
      </c>
      <c r="R3992">
        <v>9</v>
      </c>
      <c r="S3992">
        <v>2</v>
      </c>
      <c r="T3992">
        <v>171</v>
      </c>
      <c r="U3992">
        <v>2</v>
      </c>
      <c r="V3992">
        <v>1</v>
      </c>
      <c r="W3992">
        <v>0</v>
      </c>
      <c r="X3992">
        <v>1</v>
      </c>
      <c r="Y3992">
        <v>13</v>
      </c>
      <c r="Z3992">
        <v>1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K3992">
        <v>1</v>
      </c>
      <c r="AL3992">
        <v>0</v>
      </c>
      <c r="AM3992">
        <v>1</v>
      </c>
      <c r="AN3992">
        <v>0</v>
      </c>
      <c r="AP3992">
        <v>1</v>
      </c>
      <c r="AS3992">
        <v>0</v>
      </c>
      <c r="AT3992">
        <v>0</v>
      </c>
      <c r="AU3992">
        <v>1</v>
      </c>
      <c r="AV3992">
        <v>203</v>
      </c>
      <c r="AW3992">
        <v>204</v>
      </c>
      <c r="AX3992">
        <v>248</v>
      </c>
      <c r="BA3992">
        <v>1</v>
      </c>
      <c r="BC3992" t="s">
        <v>8091</v>
      </c>
      <c r="BD3992" s="4">
        <v>43283.540972222225</v>
      </c>
      <c r="BE3992" s="4">
        <v>43283.54614583333</v>
      </c>
      <c r="BF3992" s="4">
        <v>43283.54614583333</v>
      </c>
      <c r="BG3992" t="s">
        <v>83</v>
      </c>
      <c r="BH3992" t="s">
        <v>84</v>
      </c>
      <c r="BI3992" t="s">
        <v>85</v>
      </c>
    </row>
    <row r="3993" spans="1:61" x14ac:dyDescent="0.3">
      <c r="A3993" t="str">
        <f>"200055B0100"</f>
        <v>200055B0100</v>
      </c>
      <c r="B3993" t="s">
        <v>8092</v>
      </c>
      <c r="C3993">
        <v>20</v>
      </c>
      <c r="D3993" t="s">
        <v>79</v>
      </c>
      <c r="E3993">
        <v>19</v>
      </c>
      <c r="F3993" t="s">
        <v>8046</v>
      </c>
      <c r="G3993">
        <v>55</v>
      </c>
      <c r="H3993">
        <v>1</v>
      </c>
      <c r="I3993" t="s">
        <v>81</v>
      </c>
      <c r="J3993">
        <v>0</v>
      </c>
      <c r="K3993">
        <v>2</v>
      </c>
      <c r="L3993">
        <v>2</v>
      </c>
      <c r="M3993">
        <v>54</v>
      </c>
      <c r="N3993">
        <v>184</v>
      </c>
      <c r="O3993">
        <v>0</v>
      </c>
      <c r="P3993">
        <v>3</v>
      </c>
      <c r="Q3993">
        <v>2</v>
      </c>
      <c r="R3993">
        <v>25</v>
      </c>
      <c r="S3993">
        <v>2</v>
      </c>
      <c r="T3993">
        <v>72</v>
      </c>
      <c r="U3993">
        <v>6</v>
      </c>
      <c r="V3993">
        <v>1</v>
      </c>
      <c r="W3993">
        <v>0</v>
      </c>
      <c r="X3993">
        <v>1</v>
      </c>
      <c r="Y3993">
        <v>58</v>
      </c>
      <c r="Z3993">
        <v>3</v>
      </c>
      <c r="AA3993">
        <v>0</v>
      </c>
      <c r="AB3993">
        <v>1</v>
      </c>
      <c r="AC3993">
        <v>0</v>
      </c>
      <c r="AD3993">
        <v>0</v>
      </c>
      <c r="AE3993">
        <v>0</v>
      </c>
      <c r="AF3993">
        <v>0</v>
      </c>
      <c r="AK3993">
        <v>0</v>
      </c>
      <c r="AL3993">
        <v>1</v>
      </c>
      <c r="AM3993">
        <v>1</v>
      </c>
      <c r="AN3993">
        <v>0</v>
      </c>
      <c r="AP3993">
        <v>4</v>
      </c>
      <c r="AS3993">
        <v>1</v>
      </c>
      <c r="AT3993">
        <v>0</v>
      </c>
      <c r="AU3993">
        <v>6</v>
      </c>
      <c r="AV3993">
        <v>184</v>
      </c>
      <c r="AW3993">
        <v>184</v>
      </c>
      <c r="AX3993">
        <v>215</v>
      </c>
      <c r="BA3993">
        <v>1</v>
      </c>
      <c r="BC3993" t="s">
        <v>8093</v>
      </c>
      <c r="BD3993" s="4">
        <v>43283.530555555553</v>
      </c>
      <c r="BE3993" s="4">
        <v>43283.540081018517</v>
      </c>
      <c r="BF3993" s="4">
        <v>43283.540081018517</v>
      </c>
      <c r="BG3993" t="s">
        <v>83</v>
      </c>
      <c r="BH3993" t="s">
        <v>84</v>
      </c>
      <c r="BI3993" t="s">
        <v>85</v>
      </c>
    </row>
    <row r="3994" spans="1:61" x14ac:dyDescent="0.3">
      <c r="A3994" t="str">
        <f>"200056B0100"</f>
        <v>200056B0100</v>
      </c>
      <c r="B3994" t="s">
        <v>8094</v>
      </c>
      <c r="C3994">
        <v>20</v>
      </c>
      <c r="D3994" t="s">
        <v>79</v>
      </c>
      <c r="E3994">
        <v>19</v>
      </c>
      <c r="F3994" t="s">
        <v>8046</v>
      </c>
      <c r="G3994">
        <v>56</v>
      </c>
      <c r="H3994">
        <v>1</v>
      </c>
      <c r="I3994" t="s">
        <v>81</v>
      </c>
      <c r="J3994">
        <v>0</v>
      </c>
      <c r="K3994">
        <v>2</v>
      </c>
      <c r="L3994">
        <v>2</v>
      </c>
      <c r="AX3994">
        <v>435</v>
      </c>
      <c r="AZ3994" t="s">
        <v>156</v>
      </c>
      <c r="BA3994">
        <v>0</v>
      </c>
      <c r="BC3994" t="s">
        <v>8095</v>
      </c>
      <c r="BD3994" s="4">
        <v>43283.777083333334</v>
      </c>
      <c r="BE3994" s="4">
        <v>43283.784016203703</v>
      </c>
      <c r="BF3994" s="4">
        <v>43283.784016203703</v>
      </c>
      <c r="BG3994" t="s">
        <v>83</v>
      </c>
      <c r="BH3994" t="s">
        <v>84</v>
      </c>
      <c r="BI3994" t="s">
        <v>85</v>
      </c>
    </row>
    <row r="3995" spans="1:61" x14ac:dyDescent="0.3">
      <c r="A3995" t="str">
        <f>"200056C0100"</f>
        <v>200056C0100</v>
      </c>
      <c r="B3995" t="s">
        <v>8096</v>
      </c>
      <c r="C3995">
        <v>20</v>
      </c>
      <c r="D3995" t="s">
        <v>79</v>
      </c>
      <c r="E3995">
        <v>19</v>
      </c>
      <c r="F3995" t="s">
        <v>8046</v>
      </c>
      <c r="G3995">
        <v>56</v>
      </c>
      <c r="H3995">
        <v>1</v>
      </c>
      <c r="I3995" t="s">
        <v>89</v>
      </c>
      <c r="J3995">
        <v>0</v>
      </c>
      <c r="K3995">
        <v>2</v>
      </c>
      <c r="L3995">
        <v>2</v>
      </c>
      <c r="M3995" t="s">
        <v>315</v>
      </c>
      <c r="N3995">
        <v>313</v>
      </c>
      <c r="O3995">
        <v>1</v>
      </c>
      <c r="P3995">
        <v>313</v>
      </c>
      <c r="Q3995">
        <v>0</v>
      </c>
      <c r="R3995">
        <v>60</v>
      </c>
      <c r="S3995">
        <v>5</v>
      </c>
      <c r="T3995">
        <v>105</v>
      </c>
      <c r="U3995">
        <v>3</v>
      </c>
      <c r="V3995">
        <v>2</v>
      </c>
      <c r="W3995">
        <v>0</v>
      </c>
      <c r="X3995">
        <v>0</v>
      </c>
      <c r="Y3995">
        <v>112</v>
      </c>
      <c r="Z3995">
        <v>2</v>
      </c>
      <c r="AA3995">
        <v>0</v>
      </c>
      <c r="AB3995">
        <v>1</v>
      </c>
      <c r="AC3995">
        <v>0</v>
      </c>
      <c r="AD3995">
        <v>0</v>
      </c>
      <c r="AE3995">
        <v>0</v>
      </c>
      <c r="AF3995">
        <v>0</v>
      </c>
      <c r="AK3995">
        <v>1</v>
      </c>
      <c r="AL3995">
        <v>0</v>
      </c>
      <c r="AM3995">
        <v>0</v>
      </c>
      <c r="AN3995">
        <v>0</v>
      </c>
      <c r="AP3995">
        <v>7</v>
      </c>
      <c r="AS3995">
        <v>4</v>
      </c>
      <c r="AT3995">
        <v>0</v>
      </c>
      <c r="AU3995">
        <v>10</v>
      </c>
      <c r="AV3995">
        <v>312</v>
      </c>
      <c r="AW3995">
        <v>312</v>
      </c>
      <c r="AX3995">
        <v>435</v>
      </c>
      <c r="BA3995">
        <v>1</v>
      </c>
      <c r="BC3995" t="s">
        <v>8097</v>
      </c>
      <c r="BD3995" s="4">
        <v>43283.530555555553</v>
      </c>
      <c r="BE3995" s="4">
        <v>43283.545023148145</v>
      </c>
      <c r="BF3995" s="4">
        <v>43283.545023148145</v>
      </c>
      <c r="BG3995" t="s">
        <v>83</v>
      </c>
      <c r="BH3995" t="s">
        <v>84</v>
      </c>
      <c r="BI3995" t="s">
        <v>85</v>
      </c>
    </row>
    <row r="3996" spans="1:61" x14ac:dyDescent="0.3">
      <c r="A3996" t="str">
        <f>"200258B0100"</f>
        <v>200258B0100</v>
      </c>
      <c r="B3996" t="s">
        <v>8098</v>
      </c>
      <c r="C3996">
        <v>20</v>
      </c>
      <c r="D3996" t="s">
        <v>79</v>
      </c>
      <c r="E3996">
        <v>19</v>
      </c>
      <c r="F3996" t="s">
        <v>8046</v>
      </c>
      <c r="G3996">
        <v>258</v>
      </c>
      <c r="H3996">
        <v>1</v>
      </c>
      <c r="I3996" t="s">
        <v>81</v>
      </c>
      <c r="J3996">
        <v>0</v>
      </c>
      <c r="K3996">
        <v>1</v>
      </c>
      <c r="L3996">
        <v>2</v>
      </c>
      <c r="M3996">
        <v>189</v>
      </c>
      <c r="N3996">
        <v>448</v>
      </c>
      <c r="O3996">
        <v>0</v>
      </c>
      <c r="P3996">
        <v>448</v>
      </c>
      <c r="Q3996">
        <v>6</v>
      </c>
      <c r="R3996">
        <v>184</v>
      </c>
      <c r="S3996">
        <v>9</v>
      </c>
      <c r="T3996">
        <v>25</v>
      </c>
      <c r="U3996">
        <v>48</v>
      </c>
      <c r="V3996">
        <v>2</v>
      </c>
      <c r="W3996">
        <v>2</v>
      </c>
      <c r="X3996">
        <v>3</v>
      </c>
      <c r="Y3996">
        <v>123</v>
      </c>
      <c r="Z3996">
        <v>4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K3996">
        <v>2</v>
      </c>
      <c r="AL3996">
        <v>1</v>
      </c>
      <c r="AM3996">
        <v>1</v>
      </c>
      <c r="AN3996">
        <v>1</v>
      </c>
      <c r="AP3996">
        <v>7</v>
      </c>
      <c r="AS3996">
        <v>3</v>
      </c>
      <c r="AT3996">
        <v>2</v>
      </c>
      <c r="AU3996">
        <v>25</v>
      </c>
      <c r="AV3996">
        <v>448</v>
      </c>
      <c r="AW3996">
        <v>448</v>
      </c>
      <c r="AX3996">
        <v>613</v>
      </c>
      <c r="BA3996">
        <v>1</v>
      </c>
      <c r="BC3996" t="s">
        <v>8099</v>
      </c>
      <c r="BD3996" s="4">
        <v>43283.34652777778</v>
      </c>
      <c r="BE3996" s="4">
        <v>43283.358807870369</v>
      </c>
      <c r="BF3996" s="4">
        <v>43283.358807870369</v>
      </c>
      <c r="BG3996" t="s">
        <v>83</v>
      </c>
      <c r="BH3996" t="s">
        <v>84</v>
      </c>
      <c r="BI3996" t="s">
        <v>548</v>
      </c>
    </row>
    <row r="3997" spans="1:61" x14ac:dyDescent="0.3">
      <c r="A3997" t="str">
        <f>"200258C0100"</f>
        <v>200258C0100</v>
      </c>
      <c r="B3997" t="s">
        <v>8100</v>
      </c>
      <c r="C3997">
        <v>20</v>
      </c>
      <c r="D3997" t="s">
        <v>79</v>
      </c>
      <c r="E3997">
        <v>19</v>
      </c>
      <c r="F3997" t="s">
        <v>8046</v>
      </c>
      <c r="G3997">
        <v>258</v>
      </c>
      <c r="H3997">
        <v>1</v>
      </c>
      <c r="I3997" t="s">
        <v>89</v>
      </c>
      <c r="J3997">
        <v>0</v>
      </c>
      <c r="K3997">
        <v>1</v>
      </c>
      <c r="L3997">
        <v>2</v>
      </c>
      <c r="M3997">
        <v>172</v>
      </c>
      <c r="N3997">
        <v>465</v>
      </c>
      <c r="O3997">
        <v>4</v>
      </c>
      <c r="P3997">
        <v>465</v>
      </c>
      <c r="Q3997">
        <v>4</v>
      </c>
      <c r="R3997">
        <v>189</v>
      </c>
      <c r="S3997">
        <v>6</v>
      </c>
      <c r="T3997">
        <v>19</v>
      </c>
      <c r="U3997">
        <v>44</v>
      </c>
      <c r="V3997">
        <v>0</v>
      </c>
      <c r="W3997">
        <v>1</v>
      </c>
      <c r="X3997">
        <v>5</v>
      </c>
      <c r="Y3997">
        <v>143</v>
      </c>
      <c r="Z3997">
        <v>7</v>
      </c>
      <c r="AA3997">
        <v>0</v>
      </c>
      <c r="AB3997">
        <v>1</v>
      </c>
      <c r="AC3997">
        <v>1</v>
      </c>
      <c r="AD3997">
        <v>0</v>
      </c>
      <c r="AE3997">
        <v>0</v>
      </c>
      <c r="AF3997">
        <v>0</v>
      </c>
      <c r="AK3997">
        <v>5</v>
      </c>
      <c r="AL3997">
        <v>1</v>
      </c>
      <c r="AM3997">
        <v>1</v>
      </c>
      <c r="AN3997">
        <v>4</v>
      </c>
      <c r="AP3997">
        <v>8</v>
      </c>
      <c r="AS3997">
        <v>3</v>
      </c>
      <c r="AT3997">
        <v>0</v>
      </c>
      <c r="AU3997">
        <v>23</v>
      </c>
      <c r="AV3997">
        <v>465</v>
      </c>
      <c r="AW3997">
        <v>465</v>
      </c>
      <c r="AX3997">
        <v>612</v>
      </c>
      <c r="BA3997">
        <v>1</v>
      </c>
      <c r="BC3997" t="s">
        <v>8101</v>
      </c>
      <c r="BD3997" s="4">
        <v>43283.24722222222</v>
      </c>
      <c r="BE3997" s="4">
        <v>43283.278171296297</v>
      </c>
      <c r="BF3997" s="4">
        <v>43283.278171296297</v>
      </c>
      <c r="BG3997" t="s">
        <v>83</v>
      </c>
      <c r="BH3997" t="s">
        <v>84</v>
      </c>
      <c r="BI3997" t="s">
        <v>85</v>
      </c>
    </row>
    <row r="3998" spans="1:61" x14ac:dyDescent="0.3">
      <c r="A3998" t="str">
        <f>"200258C0200"</f>
        <v>200258C0200</v>
      </c>
      <c r="B3998" t="s">
        <v>8102</v>
      </c>
      <c r="C3998">
        <v>20</v>
      </c>
      <c r="D3998" t="s">
        <v>79</v>
      </c>
      <c r="E3998">
        <v>19</v>
      </c>
      <c r="F3998" t="s">
        <v>8046</v>
      </c>
      <c r="G3998">
        <v>258</v>
      </c>
      <c r="H3998">
        <v>2</v>
      </c>
      <c r="I3998" t="s">
        <v>89</v>
      </c>
      <c r="J3998">
        <v>0</v>
      </c>
      <c r="K3998">
        <v>1</v>
      </c>
      <c r="L3998">
        <v>2</v>
      </c>
      <c r="M3998">
        <v>172</v>
      </c>
      <c r="N3998">
        <v>464</v>
      </c>
      <c r="O3998">
        <v>2</v>
      </c>
      <c r="P3998">
        <v>464</v>
      </c>
      <c r="Q3998">
        <v>6</v>
      </c>
      <c r="R3998">
        <v>192</v>
      </c>
      <c r="S3998">
        <v>3</v>
      </c>
      <c r="T3998">
        <v>13</v>
      </c>
      <c r="U3998">
        <v>62</v>
      </c>
      <c r="V3998">
        <v>3</v>
      </c>
      <c r="W3998">
        <v>0</v>
      </c>
      <c r="X3998">
        <v>1</v>
      </c>
      <c r="Y3998">
        <v>101</v>
      </c>
      <c r="Z3998">
        <v>11</v>
      </c>
      <c r="AA3998">
        <v>2</v>
      </c>
      <c r="AB3998">
        <v>5</v>
      </c>
      <c r="AC3998">
        <v>0</v>
      </c>
      <c r="AD3998">
        <v>0</v>
      </c>
      <c r="AE3998">
        <v>0</v>
      </c>
      <c r="AF3998">
        <v>0</v>
      </c>
      <c r="AK3998">
        <v>4</v>
      </c>
      <c r="AL3998">
        <v>1</v>
      </c>
      <c r="AM3998">
        <v>0</v>
      </c>
      <c r="AN3998">
        <v>1</v>
      </c>
      <c r="AP3998">
        <v>13</v>
      </c>
      <c r="AS3998">
        <v>4</v>
      </c>
      <c r="AT3998">
        <v>0</v>
      </c>
      <c r="AU3998">
        <v>22</v>
      </c>
      <c r="AV3998">
        <v>464</v>
      </c>
      <c r="AW3998">
        <v>444</v>
      </c>
      <c r="AX3998">
        <v>612</v>
      </c>
      <c r="BA3998">
        <v>1</v>
      </c>
      <c r="BC3998" t="s">
        <v>8103</v>
      </c>
      <c r="BD3998" s="4">
        <v>43283.239583333336</v>
      </c>
      <c r="BE3998" s="4">
        <v>43283.273854166669</v>
      </c>
      <c r="BF3998" s="4">
        <v>43283.273854166669</v>
      </c>
      <c r="BG3998" t="s">
        <v>83</v>
      </c>
      <c r="BH3998" t="s">
        <v>84</v>
      </c>
      <c r="BI3998" t="s">
        <v>85</v>
      </c>
    </row>
    <row r="3999" spans="1:61" x14ac:dyDescent="0.3">
      <c r="A3999" t="str">
        <f>"200259B0100"</f>
        <v>200259B0100</v>
      </c>
      <c r="B3999" t="s">
        <v>8104</v>
      </c>
      <c r="C3999">
        <v>20</v>
      </c>
      <c r="D3999" t="s">
        <v>79</v>
      </c>
      <c r="E3999">
        <v>19</v>
      </c>
      <c r="F3999" t="s">
        <v>8046</v>
      </c>
      <c r="G3999">
        <v>259</v>
      </c>
      <c r="H3999">
        <v>1</v>
      </c>
      <c r="I3999" t="s">
        <v>81</v>
      </c>
      <c r="J3999">
        <v>0</v>
      </c>
      <c r="K3999">
        <v>1</v>
      </c>
      <c r="L3999">
        <v>2</v>
      </c>
      <c r="M3999">
        <v>115</v>
      </c>
      <c r="N3999">
        <v>379</v>
      </c>
      <c r="O3999">
        <v>6</v>
      </c>
      <c r="P3999">
        <v>379</v>
      </c>
      <c r="Q3999">
        <v>5</v>
      </c>
      <c r="R3999">
        <v>137</v>
      </c>
      <c r="S3999">
        <v>7</v>
      </c>
      <c r="T3999">
        <v>14</v>
      </c>
      <c r="U3999">
        <v>37</v>
      </c>
      <c r="V3999">
        <v>6</v>
      </c>
      <c r="W3999">
        <v>2</v>
      </c>
      <c r="X3999">
        <v>0</v>
      </c>
      <c r="Y3999">
        <v>141</v>
      </c>
      <c r="Z3999">
        <v>5</v>
      </c>
      <c r="AA3999">
        <v>0</v>
      </c>
      <c r="AB3999">
        <v>2</v>
      </c>
      <c r="AC3999">
        <v>0</v>
      </c>
      <c r="AD3999">
        <v>0</v>
      </c>
      <c r="AE3999">
        <v>0</v>
      </c>
      <c r="AF3999">
        <v>0</v>
      </c>
      <c r="AK3999">
        <v>6</v>
      </c>
      <c r="AL3999">
        <v>0</v>
      </c>
      <c r="AM3999">
        <v>0</v>
      </c>
      <c r="AN3999">
        <v>0</v>
      </c>
      <c r="AP3999">
        <v>6</v>
      </c>
      <c r="AS3999">
        <v>4</v>
      </c>
      <c r="AT3999">
        <v>0</v>
      </c>
      <c r="AU3999">
        <v>10</v>
      </c>
      <c r="AV3999">
        <v>382</v>
      </c>
      <c r="AW3999">
        <v>382</v>
      </c>
      <c r="AX3999">
        <v>470</v>
      </c>
      <c r="BA3999">
        <v>1</v>
      </c>
      <c r="BC3999" t="s">
        <v>8105</v>
      </c>
      <c r="BD3999" s="4">
        <v>43283.23333333333</v>
      </c>
      <c r="BE3999" s="4">
        <v>43283.264537037037</v>
      </c>
      <c r="BF3999" s="4">
        <v>43283.264537037037</v>
      </c>
      <c r="BG3999" t="s">
        <v>83</v>
      </c>
      <c r="BH3999" t="s">
        <v>84</v>
      </c>
      <c r="BI3999" t="s">
        <v>85</v>
      </c>
    </row>
    <row r="4000" spans="1:61" x14ac:dyDescent="0.3">
      <c r="A4000" t="str">
        <f>"200259C0100"</f>
        <v>200259C0100</v>
      </c>
      <c r="B4000" t="s">
        <v>8106</v>
      </c>
      <c r="C4000">
        <v>20</v>
      </c>
      <c r="D4000" t="s">
        <v>79</v>
      </c>
      <c r="E4000">
        <v>19</v>
      </c>
      <c r="F4000" t="s">
        <v>8046</v>
      </c>
      <c r="G4000">
        <v>259</v>
      </c>
      <c r="H4000">
        <v>1</v>
      </c>
      <c r="I4000" t="s">
        <v>89</v>
      </c>
      <c r="J4000">
        <v>0</v>
      </c>
      <c r="K4000">
        <v>1</v>
      </c>
      <c r="L4000">
        <v>2</v>
      </c>
      <c r="M4000">
        <v>327</v>
      </c>
      <c r="N4000">
        <v>334</v>
      </c>
      <c r="O4000">
        <v>1</v>
      </c>
      <c r="P4000">
        <v>6</v>
      </c>
      <c r="Q4000">
        <v>10</v>
      </c>
      <c r="R4000">
        <v>117</v>
      </c>
      <c r="S4000">
        <v>3</v>
      </c>
      <c r="T4000">
        <v>11</v>
      </c>
      <c r="U4000">
        <v>31</v>
      </c>
      <c r="V4000">
        <v>3</v>
      </c>
      <c r="W4000">
        <v>1</v>
      </c>
      <c r="X4000">
        <v>1</v>
      </c>
      <c r="Y4000">
        <v>121</v>
      </c>
      <c r="Z4000">
        <v>3</v>
      </c>
      <c r="AA4000" t="s">
        <v>100</v>
      </c>
      <c r="AB4000">
        <v>2</v>
      </c>
      <c r="AC4000" t="s">
        <v>100</v>
      </c>
      <c r="AD4000" t="s">
        <v>100</v>
      </c>
      <c r="AE4000" t="s">
        <v>100</v>
      </c>
      <c r="AF4000" t="s">
        <v>100</v>
      </c>
      <c r="AK4000">
        <v>9</v>
      </c>
      <c r="AL4000" t="s">
        <v>100</v>
      </c>
      <c r="AM4000" t="s">
        <v>100</v>
      </c>
      <c r="AN4000" t="s">
        <v>100</v>
      </c>
      <c r="AP4000" t="s">
        <v>100</v>
      </c>
      <c r="AS4000" t="s">
        <v>100</v>
      </c>
      <c r="AT4000" t="s">
        <v>100</v>
      </c>
      <c r="AU4000">
        <v>21</v>
      </c>
      <c r="AV4000">
        <v>334</v>
      </c>
      <c r="AW4000">
        <v>333</v>
      </c>
      <c r="AX4000">
        <v>470</v>
      </c>
      <c r="AZ4000" t="s">
        <v>101</v>
      </c>
      <c r="BA4000">
        <v>1</v>
      </c>
      <c r="BC4000" t="s">
        <v>8107</v>
      </c>
      <c r="BD4000" s="4">
        <v>43283.23333333333</v>
      </c>
      <c r="BE4000" s="4">
        <v>43283.273460648146</v>
      </c>
      <c r="BF4000" s="4">
        <v>43283.273460648146</v>
      </c>
      <c r="BG4000" t="s">
        <v>83</v>
      </c>
      <c r="BH4000" t="s">
        <v>84</v>
      </c>
      <c r="BI4000" t="s">
        <v>85</v>
      </c>
    </row>
    <row r="4001" spans="1:61" x14ac:dyDescent="0.3">
      <c r="A4001" t="str">
        <f>"200260B0100"</f>
        <v>200260B0100</v>
      </c>
      <c r="B4001" t="s">
        <v>8108</v>
      </c>
      <c r="C4001">
        <v>20</v>
      </c>
      <c r="D4001" t="s">
        <v>79</v>
      </c>
      <c r="E4001">
        <v>19</v>
      </c>
      <c r="F4001" t="s">
        <v>8046</v>
      </c>
      <c r="G4001">
        <v>260</v>
      </c>
      <c r="H4001">
        <v>1</v>
      </c>
      <c r="I4001" t="s">
        <v>81</v>
      </c>
      <c r="J4001">
        <v>0</v>
      </c>
      <c r="K4001">
        <v>1</v>
      </c>
      <c r="L4001">
        <v>2</v>
      </c>
      <c r="M4001">
        <v>112</v>
      </c>
      <c r="N4001">
        <v>305</v>
      </c>
      <c r="O4001">
        <v>6</v>
      </c>
      <c r="P4001">
        <v>305</v>
      </c>
      <c r="Q4001">
        <v>2</v>
      </c>
      <c r="R4001">
        <v>85</v>
      </c>
      <c r="S4001">
        <v>6</v>
      </c>
      <c r="T4001">
        <v>14</v>
      </c>
      <c r="U4001">
        <v>41</v>
      </c>
      <c r="V4001">
        <v>1</v>
      </c>
      <c r="W4001">
        <v>2</v>
      </c>
      <c r="X4001">
        <v>0</v>
      </c>
      <c r="Y4001">
        <v>126</v>
      </c>
      <c r="Z4001">
        <v>5</v>
      </c>
      <c r="AA4001">
        <v>0</v>
      </c>
      <c r="AB4001">
        <v>2</v>
      </c>
      <c r="AC4001">
        <v>0</v>
      </c>
      <c r="AD4001">
        <v>0</v>
      </c>
      <c r="AE4001">
        <v>0</v>
      </c>
      <c r="AF4001">
        <v>0</v>
      </c>
      <c r="AK4001">
        <v>0</v>
      </c>
      <c r="AL4001">
        <v>1</v>
      </c>
      <c r="AM4001">
        <v>0</v>
      </c>
      <c r="AN4001">
        <v>1</v>
      </c>
      <c r="AP4001">
        <v>2</v>
      </c>
      <c r="AS4001">
        <v>3</v>
      </c>
      <c r="AT4001">
        <v>0</v>
      </c>
      <c r="AU4001">
        <v>14</v>
      </c>
      <c r="AV4001">
        <v>305</v>
      </c>
      <c r="AW4001">
        <v>305</v>
      </c>
      <c r="AX4001">
        <v>393</v>
      </c>
      <c r="BA4001">
        <v>1</v>
      </c>
      <c r="BC4001" t="s">
        <v>8109</v>
      </c>
      <c r="BD4001" s="4">
        <v>43283.285416666666</v>
      </c>
      <c r="BE4001" s="4">
        <v>43283.316296296296</v>
      </c>
      <c r="BF4001" s="4">
        <v>43283.316296296296</v>
      </c>
      <c r="BG4001" t="s">
        <v>83</v>
      </c>
      <c r="BH4001" t="s">
        <v>84</v>
      </c>
      <c r="BI4001" t="s">
        <v>85</v>
      </c>
    </row>
    <row r="4002" spans="1:61" x14ac:dyDescent="0.3">
      <c r="A4002" t="str">
        <f>"200260C0100"</f>
        <v>200260C0100</v>
      </c>
      <c r="B4002" t="s">
        <v>8110</v>
      </c>
      <c r="C4002">
        <v>20</v>
      </c>
      <c r="D4002" t="s">
        <v>79</v>
      </c>
      <c r="E4002">
        <v>19</v>
      </c>
      <c r="F4002" t="s">
        <v>8046</v>
      </c>
      <c r="G4002">
        <v>260</v>
      </c>
      <c r="H4002">
        <v>1</v>
      </c>
      <c r="I4002" t="s">
        <v>89</v>
      </c>
      <c r="J4002">
        <v>0</v>
      </c>
      <c r="K4002">
        <v>1</v>
      </c>
      <c r="L4002">
        <v>2</v>
      </c>
      <c r="M4002">
        <v>132</v>
      </c>
      <c r="N4002">
        <v>285</v>
      </c>
      <c r="O4002">
        <v>2</v>
      </c>
      <c r="P4002">
        <v>285</v>
      </c>
      <c r="Q4002">
        <v>0</v>
      </c>
      <c r="R4002">
        <v>82</v>
      </c>
      <c r="S4002">
        <v>0</v>
      </c>
      <c r="T4002">
        <v>4</v>
      </c>
      <c r="U4002">
        <v>32</v>
      </c>
      <c r="V4002">
        <v>0</v>
      </c>
      <c r="W4002">
        <v>3</v>
      </c>
      <c r="X4002">
        <v>2</v>
      </c>
      <c r="Y4002">
        <v>126</v>
      </c>
      <c r="Z4002">
        <v>3</v>
      </c>
      <c r="AA4002">
        <v>0</v>
      </c>
      <c r="AB4002">
        <v>2</v>
      </c>
      <c r="AC4002">
        <v>0</v>
      </c>
      <c r="AD4002">
        <v>1</v>
      </c>
      <c r="AE4002">
        <v>0</v>
      </c>
      <c r="AF4002">
        <v>0</v>
      </c>
      <c r="AK4002">
        <v>2</v>
      </c>
      <c r="AL4002">
        <v>2</v>
      </c>
      <c r="AM4002">
        <v>0</v>
      </c>
      <c r="AN4002">
        <v>0</v>
      </c>
      <c r="AP4002">
        <v>0</v>
      </c>
      <c r="AS4002">
        <v>18</v>
      </c>
      <c r="AT4002">
        <v>0</v>
      </c>
      <c r="AU4002">
        <v>3</v>
      </c>
      <c r="AV4002">
        <v>280</v>
      </c>
      <c r="AW4002">
        <v>280</v>
      </c>
      <c r="AX4002">
        <v>392</v>
      </c>
      <c r="BA4002">
        <v>1</v>
      </c>
      <c r="BC4002" t="s">
        <v>8111</v>
      </c>
      <c r="BD4002" s="4">
        <v>43283.292361111111</v>
      </c>
      <c r="BE4002" s="4">
        <v>43283.324247685188</v>
      </c>
      <c r="BF4002" s="4">
        <v>43283.324247685188</v>
      </c>
      <c r="BG4002" t="s">
        <v>83</v>
      </c>
      <c r="BH4002" t="s">
        <v>84</v>
      </c>
      <c r="BI4002" t="s">
        <v>85</v>
      </c>
    </row>
    <row r="4003" spans="1:61" x14ac:dyDescent="0.3">
      <c r="A4003" t="str">
        <f>"200261B0100"</f>
        <v>200261B0100</v>
      </c>
      <c r="B4003" t="s">
        <v>8112</v>
      </c>
      <c r="C4003">
        <v>20</v>
      </c>
      <c r="D4003" t="s">
        <v>79</v>
      </c>
      <c r="E4003">
        <v>19</v>
      </c>
      <c r="F4003" t="s">
        <v>8046</v>
      </c>
      <c r="G4003">
        <v>261</v>
      </c>
      <c r="H4003">
        <v>1</v>
      </c>
      <c r="I4003" t="s">
        <v>81</v>
      </c>
      <c r="J4003">
        <v>0</v>
      </c>
      <c r="K4003">
        <v>1</v>
      </c>
      <c r="L4003">
        <v>2</v>
      </c>
      <c r="M4003">
        <v>157</v>
      </c>
      <c r="N4003">
        <v>612</v>
      </c>
      <c r="O4003">
        <v>0</v>
      </c>
      <c r="P4003">
        <v>455</v>
      </c>
      <c r="Q4003">
        <v>10</v>
      </c>
      <c r="R4003">
        <v>149</v>
      </c>
      <c r="S4003">
        <v>9</v>
      </c>
      <c r="T4003">
        <v>10</v>
      </c>
      <c r="U4003">
        <v>41</v>
      </c>
      <c r="V4003">
        <v>1</v>
      </c>
      <c r="W4003">
        <v>3</v>
      </c>
      <c r="X4003">
        <v>4</v>
      </c>
      <c r="Y4003">
        <v>194</v>
      </c>
      <c r="Z4003">
        <v>7</v>
      </c>
      <c r="AA4003">
        <v>0</v>
      </c>
      <c r="AB4003">
        <v>4</v>
      </c>
      <c r="AC4003">
        <v>0</v>
      </c>
      <c r="AD4003">
        <v>0</v>
      </c>
      <c r="AE4003">
        <v>0</v>
      </c>
      <c r="AF4003">
        <v>0</v>
      </c>
      <c r="AK4003">
        <v>0</v>
      </c>
      <c r="AL4003">
        <v>1</v>
      </c>
      <c r="AM4003">
        <v>0</v>
      </c>
      <c r="AN4003">
        <v>1</v>
      </c>
      <c r="AP4003">
        <v>2</v>
      </c>
      <c r="AS4003">
        <v>0</v>
      </c>
      <c r="AT4003">
        <v>5</v>
      </c>
      <c r="AU4003">
        <v>5</v>
      </c>
      <c r="AV4003">
        <v>455</v>
      </c>
      <c r="AW4003">
        <v>446</v>
      </c>
      <c r="AX4003">
        <v>586</v>
      </c>
      <c r="BA4003">
        <v>1</v>
      </c>
      <c r="BC4003" t="s">
        <v>8113</v>
      </c>
      <c r="BD4003" s="4">
        <v>43283.348611111112</v>
      </c>
      <c r="BE4003" s="4">
        <v>43283.3909375</v>
      </c>
      <c r="BF4003" s="4">
        <v>43283.3909375</v>
      </c>
      <c r="BG4003" t="s">
        <v>83</v>
      </c>
      <c r="BH4003" t="s">
        <v>84</v>
      </c>
      <c r="BI4003" t="s">
        <v>85</v>
      </c>
    </row>
    <row r="4004" spans="1:61" x14ac:dyDescent="0.3">
      <c r="A4004" t="str">
        <f>"200261C0100"</f>
        <v>200261C0100</v>
      </c>
      <c r="B4004" t="s">
        <v>8114</v>
      </c>
      <c r="C4004">
        <v>20</v>
      </c>
      <c r="D4004" t="s">
        <v>79</v>
      </c>
      <c r="E4004">
        <v>19</v>
      </c>
      <c r="F4004" t="s">
        <v>8046</v>
      </c>
      <c r="G4004">
        <v>261</v>
      </c>
      <c r="H4004">
        <v>1</v>
      </c>
      <c r="I4004" t="s">
        <v>89</v>
      </c>
      <c r="J4004">
        <v>0</v>
      </c>
      <c r="K4004">
        <v>1</v>
      </c>
      <c r="L4004">
        <v>2</v>
      </c>
      <c r="M4004" t="s">
        <v>315</v>
      </c>
      <c r="N4004" t="s">
        <v>315</v>
      </c>
      <c r="O4004" t="s">
        <v>315</v>
      </c>
      <c r="P4004" t="s">
        <v>100</v>
      </c>
      <c r="Q4004">
        <v>8</v>
      </c>
      <c r="R4004">
        <v>148</v>
      </c>
      <c r="S4004">
        <v>4</v>
      </c>
      <c r="T4004">
        <v>14</v>
      </c>
      <c r="U4004" t="s">
        <v>315</v>
      </c>
      <c r="V4004">
        <v>3</v>
      </c>
      <c r="W4004">
        <v>4</v>
      </c>
      <c r="X4004">
        <v>2</v>
      </c>
      <c r="Y4004">
        <v>130</v>
      </c>
      <c r="Z4004">
        <v>6</v>
      </c>
      <c r="AA4004">
        <v>5</v>
      </c>
      <c r="AB4004">
        <v>3</v>
      </c>
      <c r="AC4004">
        <v>0</v>
      </c>
      <c r="AD4004">
        <v>0</v>
      </c>
      <c r="AE4004">
        <v>0</v>
      </c>
      <c r="AF4004">
        <v>0</v>
      </c>
      <c r="AK4004">
        <v>7</v>
      </c>
      <c r="AL4004">
        <v>3</v>
      </c>
      <c r="AM4004">
        <v>2</v>
      </c>
      <c r="AN4004">
        <v>0</v>
      </c>
      <c r="AP4004">
        <v>0</v>
      </c>
      <c r="AS4004" t="s">
        <v>100</v>
      </c>
      <c r="AT4004">
        <v>0</v>
      </c>
      <c r="AU4004">
        <v>0</v>
      </c>
      <c r="AV4004" t="s">
        <v>315</v>
      </c>
      <c r="AW4004">
        <v>339</v>
      </c>
      <c r="AX4004">
        <v>586</v>
      </c>
      <c r="AZ4004" t="s">
        <v>101</v>
      </c>
      <c r="BA4004">
        <v>1</v>
      </c>
      <c r="BC4004" t="s">
        <v>8115</v>
      </c>
      <c r="BD4004" s="4">
        <v>43283.362500000003</v>
      </c>
      <c r="BE4004" s="4">
        <v>43283.501354166663</v>
      </c>
      <c r="BF4004" s="4">
        <v>43283.501354166663</v>
      </c>
      <c r="BG4004" t="s">
        <v>83</v>
      </c>
      <c r="BH4004" t="s">
        <v>84</v>
      </c>
      <c r="BI4004" t="s">
        <v>85</v>
      </c>
    </row>
    <row r="4005" spans="1:61" x14ac:dyDescent="0.3">
      <c r="A4005" t="str">
        <f>"200262B0100"</f>
        <v>200262B0100</v>
      </c>
      <c r="B4005" t="s">
        <v>8116</v>
      </c>
      <c r="C4005">
        <v>20</v>
      </c>
      <c r="D4005" t="s">
        <v>79</v>
      </c>
      <c r="E4005">
        <v>19</v>
      </c>
      <c r="F4005" t="s">
        <v>8046</v>
      </c>
      <c r="G4005">
        <v>262</v>
      </c>
      <c r="H4005">
        <v>1</v>
      </c>
      <c r="I4005" t="s">
        <v>81</v>
      </c>
      <c r="J4005">
        <v>0</v>
      </c>
      <c r="K4005">
        <v>1</v>
      </c>
      <c r="L4005">
        <v>2</v>
      </c>
      <c r="M4005">
        <v>239</v>
      </c>
      <c r="N4005">
        <v>522</v>
      </c>
      <c r="O4005">
        <v>1</v>
      </c>
      <c r="P4005">
        <v>522</v>
      </c>
      <c r="Q4005">
        <v>9</v>
      </c>
      <c r="R4005">
        <v>165</v>
      </c>
      <c r="S4005">
        <v>11</v>
      </c>
      <c r="T4005">
        <v>21</v>
      </c>
      <c r="U4005">
        <v>98</v>
      </c>
      <c r="V4005">
        <v>2</v>
      </c>
      <c r="W4005">
        <v>4</v>
      </c>
      <c r="X4005">
        <v>4</v>
      </c>
      <c r="Y4005">
        <v>156</v>
      </c>
      <c r="Z4005">
        <v>10</v>
      </c>
      <c r="AA4005">
        <v>2</v>
      </c>
      <c r="AB4005">
        <v>2</v>
      </c>
      <c r="AC4005">
        <v>0</v>
      </c>
      <c r="AD4005">
        <v>1</v>
      </c>
      <c r="AE4005">
        <v>0</v>
      </c>
      <c r="AF4005">
        <v>0</v>
      </c>
      <c r="AK4005">
        <v>9</v>
      </c>
      <c r="AL4005">
        <v>2</v>
      </c>
      <c r="AM4005">
        <v>0</v>
      </c>
      <c r="AN4005">
        <v>1</v>
      </c>
      <c r="AP4005">
        <v>5</v>
      </c>
      <c r="AS4005">
        <v>2</v>
      </c>
      <c r="AT4005">
        <v>0</v>
      </c>
      <c r="AU4005">
        <v>18</v>
      </c>
      <c r="AV4005">
        <v>522</v>
      </c>
      <c r="AW4005">
        <v>522</v>
      </c>
      <c r="AX4005">
        <v>737</v>
      </c>
      <c r="BA4005">
        <v>1</v>
      </c>
      <c r="BC4005" t="s">
        <v>8117</v>
      </c>
      <c r="BD4005" s="4">
        <v>43283.356944444444</v>
      </c>
      <c r="BE4005" s="4">
        <v>43283.37059027778</v>
      </c>
      <c r="BF4005" s="4">
        <v>43283.37059027778</v>
      </c>
      <c r="BG4005" t="s">
        <v>83</v>
      </c>
      <c r="BH4005" t="s">
        <v>84</v>
      </c>
      <c r="BI4005" t="s">
        <v>85</v>
      </c>
    </row>
    <row r="4006" spans="1:61" x14ac:dyDescent="0.3">
      <c r="A4006" t="str">
        <f>"200262C0100"</f>
        <v>200262C0100</v>
      </c>
      <c r="B4006" t="s">
        <v>8118</v>
      </c>
      <c r="C4006">
        <v>20</v>
      </c>
      <c r="D4006" t="s">
        <v>79</v>
      </c>
      <c r="E4006">
        <v>19</v>
      </c>
      <c r="F4006" t="s">
        <v>8046</v>
      </c>
      <c r="G4006">
        <v>262</v>
      </c>
      <c r="H4006">
        <v>1</v>
      </c>
      <c r="I4006" t="s">
        <v>89</v>
      </c>
      <c r="J4006">
        <v>0</v>
      </c>
      <c r="K4006">
        <v>1</v>
      </c>
      <c r="L4006">
        <v>2</v>
      </c>
      <c r="M4006">
        <v>221</v>
      </c>
      <c r="N4006">
        <v>539</v>
      </c>
      <c r="O4006">
        <v>1</v>
      </c>
      <c r="P4006">
        <v>539</v>
      </c>
      <c r="Q4006">
        <v>6</v>
      </c>
      <c r="R4006">
        <v>175</v>
      </c>
      <c r="S4006">
        <v>10</v>
      </c>
      <c r="T4006">
        <v>26</v>
      </c>
      <c r="U4006">
        <v>102</v>
      </c>
      <c r="V4006">
        <v>5</v>
      </c>
      <c r="W4006">
        <v>5</v>
      </c>
      <c r="X4006">
        <v>1</v>
      </c>
      <c r="Y4006">
        <v>156</v>
      </c>
      <c r="Z4006">
        <v>10</v>
      </c>
      <c r="AA4006">
        <v>0</v>
      </c>
      <c r="AB4006">
        <v>4</v>
      </c>
      <c r="AC4006">
        <v>0</v>
      </c>
      <c r="AD4006">
        <v>0</v>
      </c>
      <c r="AE4006">
        <v>0</v>
      </c>
      <c r="AF4006">
        <v>0</v>
      </c>
      <c r="AK4006">
        <v>5</v>
      </c>
      <c r="AL4006">
        <v>2</v>
      </c>
      <c r="AM4006">
        <v>1</v>
      </c>
      <c r="AN4006">
        <v>1</v>
      </c>
      <c r="AP4006">
        <v>7</v>
      </c>
      <c r="AS4006">
        <v>5</v>
      </c>
      <c r="AT4006">
        <v>0</v>
      </c>
      <c r="AU4006">
        <v>18</v>
      </c>
      <c r="AV4006">
        <v>539</v>
      </c>
      <c r="AW4006">
        <v>539</v>
      </c>
      <c r="AX4006">
        <v>736</v>
      </c>
      <c r="BA4006">
        <v>1</v>
      </c>
      <c r="BC4006" t="s">
        <v>8119</v>
      </c>
      <c r="BD4006" s="4">
        <v>43283.348611111112</v>
      </c>
      <c r="BE4006" s="4">
        <v>43283.371782407405</v>
      </c>
      <c r="BF4006" s="4">
        <v>43283.371782407405</v>
      </c>
      <c r="BG4006" t="s">
        <v>83</v>
      </c>
      <c r="BH4006" t="s">
        <v>84</v>
      </c>
      <c r="BI4006" t="s">
        <v>85</v>
      </c>
    </row>
    <row r="4007" spans="1:61" x14ac:dyDescent="0.3">
      <c r="A4007" t="str">
        <f>"200263B0100"</f>
        <v>200263B0100</v>
      </c>
      <c r="B4007" t="s">
        <v>8120</v>
      </c>
      <c r="C4007">
        <v>20</v>
      </c>
      <c r="D4007" t="s">
        <v>79</v>
      </c>
      <c r="E4007">
        <v>19</v>
      </c>
      <c r="F4007" t="s">
        <v>8046</v>
      </c>
      <c r="G4007">
        <v>263</v>
      </c>
      <c r="H4007">
        <v>1</v>
      </c>
      <c r="I4007" t="s">
        <v>81</v>
      </c>
      <c r="J4007">
        <v>0</v>
      </c>
      <c r="K4007">
        <v>1</v>
      </c>
      <c r="L4007">
        <v>2</v>
      </c>
      <c r="M4007">
        <v>139</v>
      </c>
      <c r="N4007">
        <v>294</v>
      </c>
      <c r="O4007">
        <v>2</v>
      </c>
      <c r="P4007">
        <v>294</v>
      </c>
      <c r="Q4007">
        <v>7</v>
      </c>
      <c r="R4007">
        <v>117</v>
      </c>
      <c r="S4007">
        <v>0</v>
      </c>
      <c r="T4007">
        <v>10</v>
      </c>
      <c r="U4007">
        <v>25</v>
      </c>
      <c r="V4007">
        <v>4</v>
      </c>
      <c r="W4007">
        <v>3</v>
      </c>
      <c r="X4007">
        <v>1</v>
      </c>
      <c r="Y4007">
        <v>93</v>
      </c>
      <c r="Z4007">
        <v>5</v>
      </c>
      <c r="AA4007">
        <v>0</v>
      </c>
      <c r="AB4007">
        <v>5</v>
      </c>
      <c r="AC4007">
        <v>0</v>
      </c>
      <c r="AD4007">
        <v>1</v>
      </c>
      <c r="AE4007">
        <v>0</v>
      </c>
      <c r="AF4007">
        <v>0</v>
      </c>
      <c r="AK4007">
        <v>0</v>
      </c>
      <c r="AL4007">
        <v>1</v>
      </c>
      <c r="AM4007">
        <v>0</v>
      </c>
      <c r="AN4007">
        <v>0</v>
      </c>
      <c r="AP4007">
        <v>5</v>
      </c>
      <c r="AS4007">
        <v>0</v>
      </c>
      <c r="AT4007">
        <v>0</v>
      </c>
      <c r="AU4007">
        <v>14</v>
      </c>
      <c r="AV4007">
        <v>294</v>
      </c>
      <c r="AW4007">
        <v>291</v>
      </c>
      <c r="AX4007">
        <v>409</v>
      </c>
      <c r="BA4007">
        <v>1</v>
      </c>
      <c r="BC4007" t="s">
        <v>8121</v>
      </c>
      <c r="BD4007" s="4">
        <v>43283.280555555553</v>
      </c>
      <c r="BE4007" s="4">
        <v>43283.315162037034</v>
      </c>
      <c r="BF4007" s="4">
        <v>43283.315162037034</v>
      </c>
      <c r="BG4007" t="s">
        <v>83</v>
      </c>
      <c r="BH4007" t="s">
        <v>84</v>
      </c>
      <c r="BI4007" t="s">
        <v>85</v>
      </c>
    </row>
    <row r="4008" spans="1:61" x14ac:dyDescent="0.3">
      <c r="A4008" t="str">
        <f>"200263C0100"</f>
        <v>200263C0100</v>
      </c>
      <c r="B4008" t="s">
        <v>8122</v>
      </c>
      <c r="C4008">
        <v>20</v>
      </c>
      <c r="D4008" t="s">
        <v>79</v>
      </c>
      <c r="E4008">
        <v>19</v>
      </c>
      <c r="F4008" t="s">
        <v>8046</v>
      </c>
      <c r="G4008">
        <v>263</v>
      </c>
      <c r="H4008">
        <v>1</v>
      </c>
      <c r="I4008" t="s">
        <v>89</v>
      </c>
      <c r="J4008">
        <v>0</v>
      </c>
      <c r="K4008">
        <v>1</v>
      </c>
      <c r="L4008">
        <v>2</v>
      </c>
      <c r="M4008">
        <v>125</v>
      </c>
      <c r="N4008">
        <v>307</v>
      </c>
      <c r="O4008">
        <v>2</v>
      </c>
      <c r="P4008">
        <v>308</v>
      </c>
      <c r="Q4008">
        <v>1</v>
      </c>
      <c r="R4008">
        <v>105</v>
      </c>
      <c r="S4008">
        <v>3</v>
      </c>
      <c r="T4008">
        <v>13</v>
      </c>
      <c r="U4008">
        <v>24</v>
      </c>
      <c r="V4008">
        <v>2</v>
      </c>
      <c r="W4008">
        <v>3</v>
      </c>
      <c r="X4008">
        <v>1</v>
      </c>
      <c r="Y4008">
        <v>113</v>
      </c>
      <c r="Z4008">
        <v>5</v>
      </c>
      <c r="AA4008">
        <v>1</v>
      </c>
      <c r="AB4008">
        <v>4</v>
      </c>
      <c r="AC4008">
        <v>0</v>
      </c>
      <c r="AD4008">
        <v>0</v>
      </c>
      <c r="AE4008">
        <v>0</v>
      </c>
      <c r="AF4008">
        <v>0</v>
      </c>
      <c r="AK4008">
        <v>2</v>
      </c>
      <c r="AL4008">
        <v>2</v>
      </c>
      <c r="AM4008">
        <v>0</v>
      </c>
      <c r="AN4008">
        <v>1</v>
      </c>
      <c r="AP4008">
        <v>4</v>
      </c>
      <c r="AS4008">
        <v>3</v>
      </c>
      <c r="AT4008">
        <v>2</v>
      </c>
      <c r="AU4008">
        <v>19</v>
      </c>
      <c r="AV4008">
        <v>308</v>
      </c>
      <c r="AW4008">
        <v>308</v>
      </c>
      <c r="AX4008">
        <v>408</v>
      </c>
      <c r="BA4008">
        <v>1</v>
      </c>
      <c r="BC4008" t="s">
        <v>8123</v>
      </c>
      <c r="BD4008" s="4">
        <v>43283.282638888886</v>
      </c>
      <c r="BE4008" s="4">
        <v>43283.314259259256</v>
      </c>
      <c r="BF4008" s="4">
        <v>43283.314259259256</v>
      </c>
      <c r="BG4008" t="s">
        <v>83</v>
      </c>
      <c r="BH4008" t="s">
        <v>84</v>
      </c>
      <c r="BI4008" t="s">
        <v>85</v>
      </c>
    </row>
    <row r="4009" spans="1:61" x14ac:dyDescent="0.3">
      <c r="A4009" t="str">
        <f>"200264B0100"</f>
        <v>200264B0100</v>
      </c>
      <c r="B4009" t="s">
        <v>8124</v>
      </c>
      <c r="C4009">
        <v>20</v>
      </c>
      <c r="D4009" t="s">
        <v>79</v>
      </c>
      <c r="E4009">
        <v>19</v>
      </c>
      <c r="F4009" t="s">
        <v>8046</v>
      </c>
      <c r="G4009">
        <v>264</v>
      </c>
      <c r="H4009">
        <v>1</v>
      </c>
      <c r="I4009" t="s">
        <v>81</v>
      </c>
      <c r="J4009">
        <v>0</v>
      </c>
      <c r="K4009">
        <v>1</v>
      </c>
      <c r="L4009">
        <v>2</v>
      </c>
      <c r="AX4009">
        <v>505</v>
      </c>
      <c r="AZ4009" t="s">
        <v>156</v>
      </c>
      <c r="BA4009">
        <v>0</v>
      </c>
      <c r="BC4009" t="s">
        <v>8125</v>
      </c>
      <c r="BD4009" s="4">
        <v>43283.777083333334</v>
      </c>
      <c r="BE4009" s="4">
        <v>43283.783622685187</v>
      </c>
      <c r="BF4009" s="4">
        <v>43283.783622685187</v>
      </c>
      <c r="BG4009" t="s">
        <v>83</v>
      </c>
      <c r="BH4009" t="s">
        <v>84</v>
      </c>
      <c r="BI4009" t="s">
        <v>85</v>
      </c>
    </row>
    <row r="4010" spans="1:61" x14ac:dyDescent="0.3">
      <c r="A4010" t="str">
        <f>"200264C0100"</f>
        <v>200264C0100</v>
      </c>
      <c r="B4010" t="s">
        <v>8126</v>
      </c>
      <c r="C4010">
        <v>20</v>
      </c>
      <c r="D4010" t="s">
        <v>79</v>
      </c>
      <c r="E4010">
        <v>19</v>
      </c>
      <c r="F4010" t="s">
        <v>8046</v>
      </c>
      <c r="G4010">
        <v>264</v>
      </c>
      <c r="H4010">
        <v>1</v>
      </c>
      <c r="I4010" t="s">
        <v>89</v>
      </c>
      <c r="J4010">
        <v>0</v>
      </c>
      <c r="K4010">
        <v>1</v>
      </c>
      <c r="L4010">
        <v>2</v>
      </c>
      <c r="M4010">
        <v>160</v>
      </c>
      <c r="N4010">
        <v>7</v>
      </c>
      <c r="O4010">
        <v>362</v>
      </c>
      <c r="P4010">
        <v>7</v>
      </c>
      <c r="Q4010">
        <v>3</v>
      </c>
      <c r="R4010">
        <v>130</v>
      </c>
      <c r="S4010">
        <v>5</v>
      </c>
      <c r="T4010">
        <v>6</v>
      </c>
      <c r="U4010">
        <v>49</v>
      </c>
      <c r="V4010">
        <v>5</v>
      </c>
      <c r="W4010">
        <v>1</v>
      </c>
      <c r="X4010">
        <v>1</v>
      </c>
      <c r="Y4010">
        <v>129</v>
      </c>
      <c r="Z4010">
        <v>4</v>
      </c>
      <c r="AA4010" t="s">
        <v>100</v>
      </c>
      <c r="AB4010">
        <v>3</v>
      </c>
      <c r="AC4010" t="s">
        <v>100</v>
      </c>
      <c r="AD4010" t="s">
        <v>100</v>
      </c>
      <c r="AE4010">
        <v>1</v>
      </c>
      <c r="AF4010" t="s">
        <v>100</v>
      </c>
      <c r="AK4010">
        <v>4</v>
      </c>
      <c r="AL4010" t="s">
        <v>100</v>
      </c>
      <c r="AM4010" t="s">
        <v>100</v>
      </c>
      <c r="AN4010" t="s">
        <v>100</v>
      </c>
      <c r="AP4010">
        <v>6</v>
      </c>
      <c r="AS4010">
        <v>1</v>
      </c>
      <c r="AT4010" t="s">
        <v>100</v>
      </c>
      <c r="AU4010">
        <v>13</v>
      </c>
      <c r="AV4010">
        <v>371</v>
      </c>
      <c r="AW4010">
        <v>361</v>
      </c>
      <c r="AX4010">
        <v>505</v>
      </c>
      <c r="AZ4010" t="s">
        <v>101</v>
      </c>
      <c r="BA4010">
        <v>1</v>
      </c>
      <c r="BC4010" t="s">
        <v>8127</v>
      </c>
      <c r="BD4010" s="4">
        <v>43283.277777777781</v>
      </c>
      <c r="BE4010" s="4">
        <v>43283.307662037034</v>
      </c>
      <c r="BF4010" s="4">
        <v>43283.307662037034</v>
      </c>
      <c r="BG4010" t="s">
        <v>83</v>
      </c>
      <c r="BH4010" t="s">
        <v>84</v>
      </c>
      <c r="BI4010" t="s">
        <v>85</v>
      </c>
    </row>
    <row r="4011" spans="1:61" x14ac:dyDescent="0.3">
      <c r="A4011" t="str">
        <f>"200265B0100"</f>
        <v>200265B0100</v>
      </c>
      <c r="B4011" t="s">
        <v>8128</v>
      </c>
      <c r="C4011">
        <v>20</v>
      </c>
      <c r="D4011" t="s">
        <v>79</v>
      </c>
      <c r="E4011">
        <v>19</v>
      </c>
      <c r="F4011" t="s">
        <v>8046</v>
      </c>
      <c r="G4011">
        <v>265</v>
      </c>
      <c r="H4011">
        <v>1</v>
      </c>
      <c r="I4011" t="s">
        <v>81</v>
      </c>
      <c r="J4011">
        <v>0</v>
      </c>
      <c r="K4011">
        <v>2</v>
      </c>
      <c r="L4011">
        <v>2</v>
      </c>
      <c r="M4011">
        <v>268</v>
      </c>
      <c r="N4011">
        <v>472</v>
      </c>
      <c r="O4011">
        <v>0</v>
      </c>
      <c r="P4011">
        <v>472</v>
      </c>
      <c r="Q4011">
        <v>9</v>
      </c>
      <c r="R4011">
        <v>147</v>
      </c>
      <c r="S4011">
        <v>8</v>
      </c>
      <c r="T4011">
        <v>28</v>
      </c>
      <c r="U4011">
        <v>43</v>
      </c>
      <c r="V4011">
        <v>3</v>
      </c>
      <c r="W4011">
        <v>5</v>
      </c>
      <c r="X4011">
        <v>1</v>
      </c>
      <c r="Y4011">
        <v>166</v>
      </c>
      <c r="Z4011">
        <v>6</v>
      </c>
      <c r="AA4011">
        <v>0</v>
      </c>
      <c r="AB4011">
        <v>2</v>
      </c>
      <c r="AC4011">
        <v>0</v>
      </c>
      <c r="AD4011">
        <v>0</v>
      </c>
      <c r="AE4011">
        <v>0</v>
      </c>
      <c r="AF4011">
        <v>0</v>
      </c>
      <c r="AK4011">
        <v>4</v>
      </c>
      <c r="AL4011">
        <v>4</v>
      </c>
      <c r="AM4011">
        <v>0</v>
      </c>
      <c r="AN4011">
        <v>0</v>
      </c>
      <c r="AP4011">
        <v>3</v>
      </c>
      <c r="AS4011">
        <v>8</v>
      </c>
      <c r="AT4011">
        <v>2</v>
      </c>
      <c r="AU4011">
        <v>34</v>
      </c>
      <c r="AV4011">
        <v>473</v>
      </c>
      <c r="AW4011">
        <v>473</v>
      </c>
      <c r="AX4011">
        <v>716</v>
      </c>
      <c r="BA4011">
        <v>1</v>
      </c>
      <c r="BC4011" t="s">
        <v>8129</v>
      </c>
      <c r="BD4011" s="4">
        <v>43283.330555555556</v>
      </c>
      <c r="BE4011" s="4">
        <v>43283.352754629632</v>
      </c>
      <c r="BF4011" s="4">
        <v>43283.352754629632</v>
      </c>
      <c r="BG4011" t="s">
        <v>83</v>
      </c>
      <c r="BH4011" t="s">
        <v>84</v>
      </c>
      <c r="BI4011" t="s">
        <v>85</v>
      </c>
    </row>
    <row r="4012" spans="1:61" x14ac:dyDescent="0.3">
      <c r="A4012" t="str">
        <f>"200265C0100"</f>
        <v>200265C0100</v>
      </c>
      <c r="B4012" t="s">
        <v>8130</v>
      </c>
      <c r="C4012">
        <v>20</v>
      </c>
      <c r="D4012" t="s">
        <v>79</v>
      </c>
      <c r="E4012">
        <v>19</v>
      </c>
      <c r="F4012" t="s">
        <v>8046</v>
      </c>
      <c r="G4012">
        <v>265</v>
      </c>
      <c r="H4012">
        <v>1</v>
      </c>
      <c r="I4012" t="s">
        <v>89</v>
      </c>
      <c r="J4012">
        <v>0</v>
      </c>
      <c r="K4012">
        <v>1</v>
      </c>
      <c r="L4012">
        <v>2</v>
      </c>
      <c r="M4012">
        <v>290</v>
      </c>
      <c r="N4012">
        <v>450</v>
      </c>
      <c r="O4012">
        <v>0</v>
      </c>
      <c r="P4012">
        <v>448</v>
      </c>
      <c r="Q4012">
        <v>10</v>
      </c>
      <c r="R4012">
        <v>125</v>
      </c>
      <c r="S4012">
        <v>6</v>
      </c>
      <c r="T4012">
        <v>23</v>
      </c>
      <c r="U4012">
        <v>55</v>
      </c>
      <c r="V4012">
        <v>4</v>
      </c>
      <c r="W4012">
        <v>3</v>
      </c>
      <c r="X4012">
        <v>1</v>
      </c>
      <c r="Y4012">
        <v>141</v>
      </c>
      <c r="Z4012">
        <v>7</v>
      </c>
      <c r="AA4012">
        <v>3</v>
      </c>
      <c r="AB4012">
        <v>7</v>
      </c>
      <c r="AC4012">
        <v>0</v>
      </c>
      <c r="AD4012">
        <v>0</v>
      </c>
      <c r="AE4012">
        <v>0</v>
      </c>
      <c r="AF4012">
        <v>0</v>
      </c>
      <c r="AK4012">
        <v>10</v>
      </c>
      <c r="AL4012">
        <v>2</v>
      </c>
      <c r="AM4012">
        <v>0</v>
      </c>
      <c r="AN4012">
        <v>1</v>
      </c>
      <c r="AP4012">
        <v>8</v>
      </c>
      <c r="AS4012">
        <v>5</v>
      </c>
      <c r="AT4012">
        <v>0</v>
      </c>
      <c r="AU4012">
        <v>37</v>
      </c>
      <c r="AV4012">
        <v>448</v>
      </c>
      <c r="AW4012">
        <v>448</v>
      </c>
      <c r="AX4012">
        <v>716</v>
      </c>
      <c r="BA4012">
        <v>1</v>
      </c>
      <c r="BC4012" t="s">
        <v>8131</v>
      </c>
      <c r="BD4012" s="4">
        <v>43283.332638888889</v>
      </c>
      <c r="BE4012" s="4">
        <v>43283.369930555556</v>
      </c>
      <c r="BF4012" s="4">
        <v>43283.369930555556</v>
      </c>
      <c r="BG4012" t="s">
        <v>83</v>
      </c>
      <c r="BH4012" t="s">
        <v>84</v>
      </c>
      <c r="BI4012" t="s">
        <v>85</v>
      </c>
    </row>
    <row r="4013" spans="1:61" x14ac:dyDescent="0.3">
      <c r="A4013" t="str">
        <f>"200265C0200"</f>
        <v>200265C0200</v>
      </c>
      <c r="B4013" t="s">
        <v>8132</v>
      </c>
      <c r="C4013">
        <v>20</v>
      </c>
      <c r="D4013" t="s">
        <v>79</v>
      </c>
      <c r="E4013">
        <v>19</v>
      </c>
      <c r="F4013" t="s">
        <v>8046</v>
      </c>
      <c r="G4013">
        <v>265</v>
      </c>
      <c r="H4013">
        <v>2</v>
      </c>
      <c r="I4013" t="s">
        <v>89</v>
      </c>
      <c r="J4013">
        <v>0</v>
      </c>
      <c r="K4013">
        <v>1</v>
      </c>
      <c r="L4013">
        <v>2</v>
      </c>
      <c r="M4013">
        <v>259</v>
      </c>
      <c r="N4013">
        <v>480</v>
      </c>
      <c r="O4013">
        <v>1</v>
      </c>
      <c r="P4013">
        <v>480</v>
      </c>
      <c r="Q4013">
        <v>5</v>
      </c>
      <c r="R4013">
        <v>110</v>
      </c>
      <c r="S4013">
        <v>6</v>
      </c>
      <c r="T4013">
        <v>32</v>
      </c>
      <c r="U4013">
        <v>84</v>
      </c>
      <c r="V4013">
        <v>4</v>
      </c>
      <c r="W4013">
        <v>6</v>
      </c>
      <c r="X4013">
        <v>3</v>
      </c>
      <c r="Y4013">
        <v>166</v>
      </c>
      <c r="Z4013">
        <v>8</v>
      </c>
      <c r="AA4013">
        <v>1</v>
      </c>
      <c r="AB4013">
        <v>9</v>
      </c>
      <c r="AC4013">
        <v>0</v>
      </c>
      <c r="AD4013">
        <v>1</v>
      </c>
      <c r="AE4013">
        <v>0</v>
      </c>
      <c r="AF4013">
        <v>0</v>
      </c>
      <c r="AK4013">
        <v>8</v>
      </c>
      <c r="AL4013">
        <v>2</v>
      </c>
      <c r="AM4013">
        <v>0</v>
      </c>
      <c r="AN4013">
        <v>0</v>
      </c>
      <c r="AP4013">
        <v>7</v>
      </c>
      <c r="AS4013">
        <v>3</v>
      </c>
      <c r="AT4013">
        <v>0</v>
      </c>
      <c r="AU4013">
        <v>25</v>
      </c>
      <c r="AV4013">
        <v>480</v>
      </c>
      <c r="AW4013">
        <v>480</v>
      </c>
      <c r="AX4013">
        <v>716</v>
      </c>
      <c r="BA4013">
        <v>1</v>
      </c>
      <c r="BC4013" t="s">
        <v>8133</v>
      </c>
      <c r="BD4013" s="4">
        <v>43283.332638888889</v>
      </c>
      <c r="BE4013" s="4">
        <v>43283.35255787037</v>
      </c>
      <c r="BF4013" s="4">
        <v>43283.35255787037</v>
      </c>
      <c r="BG4013" t="s">
        <v>83</v>
      </c>
      <c r="BH4013" t="s">
        <v>84</v>
      </c>
      <c r="BI4013" t="s">
        <v>85</v>
      </c>
    </row>
    <row r="4014" spans="1:61" x14ac:dyDescent="0.3">
      <c r="A4014" t="str">
        <f>"200266B0100"</f>
        <v>200266B0100</v>
      </c>
      <c r="B4014" t="s">
        <v>8134</v>
      </c>
      <c r="C4014">
        <v>20</v>
      </c>
      <c r="D4014" t="s">
        <v>79</v>
      </c>
      <c r="E4014">
        <v>19</v>
      </c>
      <c r="F4014" t="s">
        <v>8046</v>
      </c>
      <c r="G4014">
        <v>266</v>
      </c>
      <c r="H4014">
        <v>1</v>
      </c>
      <c r="I4014" t="s">
        <v>81</v>
      </c>
      <c r="J4014">
        <v>0</v>
      </c>
      <c r="K4014">
        <v>1</v>
      </c>
      <c r="L4014">
        <v>2</v>
      </c>
      <c r="M4014">
        <v>205</v>
      </c>
      <c r="N4014">
        <v>442</v>
      </c>
      <c r="O4014">
        <v>4</v>
      </c>
      <c r="P4014">
        <v>442</v>
      </c>
      <c r="Q4014">
        <v>4</v>
      </c>
      <c r="R4014">
        <v>119</v>
      </c>
      <c r="S4014">
        <v>5</v>
      </c>
      <c r="T4014">
        <v>16</v>
      </c>
      <c r="U4014">
        <v>45</v>
      </c>
      <c r="V4014">
        <v>4</v>
      </c>
      <c r="W4014">
        <v>1</v>
      </c>
      <c r="X4014">
        <v>5</v>
      </c>
      <c r="Y4014">
        <v>176</v>
      </c>
      <c r="Z4014">
        <v>13</v>
      </c>
      <c r="AA4014">
        <v>2</v>
      </c>
      <c r="AB4014">
        <v>8</v>
      </c>
      <c r="AC4014">
        <v>0</v>
      </c>
      <c r="AD4014">
        <v>0</v>
      </c>
      <c r="AE4014">
        <v>0</v>
      </c>
      <c r="AF4014">
        <v>0</v>
      </c>
      <c r="AK4014">
        <v>4</v>
      </c>
      <c r="AL4014">
        <v>2</v>
      </c>
      <c r="AM4014">
        <v>1</v>
      </c>
      <c r="AN4014">
        <v>3</v>
      </c>
      <c r="AP4014">
        <v>2</v>
      </c>
      <c r="AS4014">
        <v>5</v>
      </c>
      <c r="AT4014">
        <v>0</v>
      </c>
      <c r="AU4014">
        <v>27</v>
      </c>
      <c r="AV4014">
        <v>442</v>
      </c>
      <c r="AW4014">
        <v>442</v>
      </c>
      <c r="AX4014">
        <v>625</v>
      </c>
      <c r="BA4014">
        <v>1</v>
      </c>
      <c r="BC4014" t="s">
        <v>8135</v>
      </c>
      <c r="BD4014" s="4">
        <v>43283.362500000003</v>
      </c>
      <c r="BE4014" s="4">
        <v>43283.375115740739</v>
      </c>
      <c r="BF4014" s="4">
        <v>43283.375115740739</v>
      </c>
      <c r="BG4014" t="s">
        <v>83</v>
      </c>
      <c r="BH4014" t="s">
        <v>84</v>
      </c>
      <c r="BI4014" t="s">
        <v>85</v>
      </c>
    </row>
    <row r="4015" spans="1:61" x14ac:dyDescent="0.3">
      <c r="A4015" t="str">
        <f>"200267B0100"</f>
        <v>200267B0100</v>
      </c>
      <c r="B4015" t="s">
        <v>8136</v>
      </c>
      <c r="C4015">
        <v>20</v>
      </c>
      <c r="D4015" t="s">
        <v>79</v>
      </c>
      <c r="E4015">
        <v>19</v>
      </c>
      <c r="F4015" t="s">
        <v>8046</v>
      </c>
      <c r="G4015">
        <v>267</v>
      </c>
      <c r="H4015">
        <v>1</v>
      </c>
      <c r="I4015" t="s">
        <v>81</v>
      </c>
      <c r="J4015">
        <v>0</v>
      </c>
      <c r="K4015">
        <v>1</v>
      </c>
      <c r="L4015">
        <v>2</v>
      </c>
      <c r="M4015">
        <v>209</v>
      </c>
      <c r="N4015">
        <v>236</v>
      </c>
      <c r="O4015">
        <v>4</v>
      </c>
      <c r="P4015">
        <v>232</v>
      </c>
      <c r="Q4015">
        <v>9</v>
      </c>
      <c r="R4015">
        <v>68</v>
      </c>
      <c r="S4015">
        <v>4</v>
      </c>
      <c r="T4015">
        <v>12</v>
      </c>
      <c r="U4015">
        <v>26</v>
      </c>
      <c r="V4015">
        <v>6</v>
      </c>
      <c r="W4015" t="s">
        <v>100</v>
      </c>
      <c r="X4015">
        <v>6</v>
      </c>
      <c r="Y4015">
        <v>74</v>
      </c>
      <c r="Z4015">
        <v>5</v>
      </c>
      <c r="AA4015">
        <v>1</v>
      </c>
      <c r="AB4015">
        <v>4</v>
      </c>
      <c r="AC4015" t="s">
        <v>100</v>
      </c>
      <c r="AD4015" t="s">
        <v>100</v>
      </c>
      <c r="AE4015" t="s">
        <v>100</v>
      </c>
      <c r="AF4015" t="s">
        <v>100</v>
      </c>
      <c r="AK4015">
        <v>3</v>
      </c>
      <c r="AL4015">
        <v>1</v>
      </c>
      <c r="AM4015" t="s">
        <v>100</v>
      </c>
      <c r="AN4015">
        <v>1</v>
      </c>
      <c r="AP4015">
        <v>5</v>
      </c>
      <c r="AS4015">
        <v>4</v>
      </c>
      <c r="AT4015" t="s">
        <v>100</v>
      </c>
      <c r="AU4015">
        <v>9</v>
      </c>
      <c r="AV4015">
        <v>232</v>
      </c>
      <c r="AW4015">
        <v>238</v>
      </c>
      <c r="AX4015">
        <v>417</v>
      </c>
      <c r="AZ4015" t="s">
        <v>101</v>
      </c>
      <c r="BA4015">
        <v>1</v>
      </c>
      <c r="BC4015" t="s">
        <v>8137</v>
      </c>
      <c r="BD4015" s="4">
        <v>43283.330555555556</v>
      </c>
      <c r="BE4015" s="4">
        <v>43283.369444444441</v>
      </c>
      <c r="BF4015" s="4">
        <v>43283.369444444441</v>
      </c>
      <c r="BG4015" t="s">
        <v>83</v>
      </c>
      <c r="BH4015" t="s">
        <v>84</v>
      </c>
      <c r="BI4015" t="s">
        <v>85</v>
      </c>
    </row>
    <row r="4016" spans="1:61" x14ac:dyDescent="0.3">
      <c r="A4016" t="str">
        <f>"200267C0100"</f>
        <v>200267C0100</v>
      </c>
      <c r="B4016" t="s">
        <v>8138</v>
      </c>
      <c r="C4016">
        <v>20</v>
      </c>
      <c r="D4016" t="s">
        <v>79</v>
      </c>
      <c r="E4016">
        <v>19</v>
      </c>
      <c r="F4016" t="s">
        <v>8046</v>
      </c>
      <c r="G4016">
        <v>267</v>
      </c>
      <c r="H4016">
        <v>1</v>
      </c>
      <c r="I4016" t="s">
        <v>89</v>
      </c>
      <c r="J4016">
        <v>0</v>
      </c>
      <c r="K4016">
        <v>1</v>
      </c>
      <c r="L4016">
        <v>2</v>
      </c>
      <c r="M4016">
        <v>173</v>
      </c>
      <c r="N4016">
        <v>267</v>
      </c>
      <c r="O4016">
        <v>2</v>
      </c>
      <c r="P4016">
        <v>265</v>
      </c>
      <c r="Q4016">
        <v>14</v>
      </c>
      <c r="R4016">
        <v>95</v>
      </c>
      <c r="S4016">
        <v>2</v>
      </c>
      <c r="T4016">
        <v>8</v>
      </c>
      <c r="U4016">
        <v>23</v>
      </c>
      <c r="V4016">
        <v>1</v>
      </c>
      <c r="W4016">
        <v>0</v>
      </c>
      <c r="X4016">
        <v>1</v>
      </c>
      <c r="Y4016">
        <v>96</v>
      </c>
      <c r="Z4016">
        <v>4</v>
      </c>
      <c r="AA4016">
        <v>1</v>
      </c>
      <c r="AB4016">
        <v>7</v>
      </c>
      <c r="AC4016">
        <v>0</v>
      </c>
      <c r="AD4016">
        <v>0</v>
      </c>
      <c r="AE4016">
        <v>0</v>
      </c>
      <c r="AF4016">
        <v>0</v>
      </c>
      <c r="AK4016">
        <v>1</v>
      </c>
      <c r="AL4016">
        <v>0</v>
      </c>
      <c r="AM4016">
        <v>0</v>
      </c>
      <c r="AN4016">
        <v>0</v>
      </c>
      <c r="AP4016">
        <v>3</v>
      </c>
      <c r="AS4016">
        <v>0</v>
      </c>
      <c r="AT4016">
        <v>0</v>
      </c>
      <c r="AU4016">
        <v>11</v>
      </c>
      <c r="AV4016">
        <v>267</v>
      </c>
      <c r="AW4016">
        <v>267</v>
      </c>
      <c r="AX4016">
        <v>416</v>
      </c>
      <c r="BA4016">
        <v>1</v>
      </c>
      <c r="BC4016" t="s">
        <v>8139</v>
      </c>
      <c r="BD4016" s="4">
        <v>43283.331250000003</v>
      </c>
      <c r="BE4016" s="4">
        <v>43283.370185185187</v>
      </c>
      <c r="BF4016" s="4">
        <v>43283.370185185187</v>
      </c>
      <c r="BG4016" t="s">
        <v>83</v>
      </c>
      <c r="BH4016" t="s">
        <v>84</v>
      </c>
      <c r="BI4016" t="s">
        <v>85</v>
      </c>
    </row>
    <row r="4017" spans="1:61" x14ac:dyDescent="0.3">
      <c r="A4017" t="str">
        <f>"200267S0100"</f>
        <v>200267S0100</v>
      </c>
      <c r="B4017" t="s">
        <v>8140</v>
      </c>
      <c r="C4017">
        <v>20</v>
      </c>
      <c r="D4017" t="s">
        <v>79</v>
      </c>
      <c r="E4017">
        <v>19</v>
      </c>
      <c r="F4017" t="s">
        <v>8046</v>
      </c>
      <c r="G4017">
        <v>267</v>
      </c>
      <c r="H4017">
        <v>1</v>
      </c>
      <c r="I4017" t="s">
        <v>104</v>
      </c>
      <c r="J4017">
        <v>0</v>
      </c>
      <c r="K4017">
        <v>1</v>
      </c>
      <c r="L4017">
        <v>3</v>
      </c>
      <c r="AX4017">
        <v>0</v>
      </c>
      <c r="AZ4017" t="s">
        <v>156</v>
      </c>
      <c r="BA4017">
        <v>0</v>
      </c>
      <c r="BC4017" t="s">
        <v>8141</v>
      </c>
      <c r="BD4017" s="4">
        <v>43283.776388888888</v>
      </c>
      <c r="BE4017" s="4">
        <v>43283.782905092594</v>
      </c>
      <c r="BF4017" s="4">
        <v>43283.782905092594</v>
      </c>
      <c r="BG4017" t="s">
        <v>83</v>
      </c>
      <c r="BH4017" t="s">
        <v>84</v>
      </c>
      <c r="BI4017" t="s">
        <v>85</v>
      </c>
    </row>
    <row r="4018" spans="1:61" x14ac:dyDescent="0.3">
      <c r="A4018" t="str">
        <f>"200268B0100"</f>
        <v>200268B0100</v>
      </c>
      <c r="B4018" t="s">
        <v>8142</v>
      </c>
      <c r="C4018">
        <v>20</v>
      </c>
      <c r="D4018" t="s">
        <v>79</v>
      </c>
      <c r="E4018">
        <v>19</v>
      </c>
      <c r="F4018" t="s">
        <v>8046</v>
      </c>
      <c r="G4018">
        <v>268</v>
      </c>
      <c r="H4018">
        <v>1</v>
      </c>
      <c r="I4018" t="s">
        <v>81</v>
      </c>
      <c r="J4018">
        <v>0</v>
      </c>
      <c r="K4018">
        <v>1</v>
      </c>
      <c r="L4018">
        <v>2</v>
      </c>
      <c r="M4018">
        <v>140</v>
      </c>
      <c r="N4018">
        <v>271</v>
      </c>
      <c r="O4018">
        <v>2</v>
      </c>
      <c r="P4018">
        <v>271</v>
      </c>
      <c r="Q4018">
        <v>4</v>
      </c>
      <c r="R4018">
        <v>69</v>
      </c>
      <c r="S4018">
        <v>5</v>
      </c>
      <c r="T4018">
        <v>14</v>
      </c>
      <c r="U4018">
        <v>21</v>
      </c>
      <c r="V4018">
        <v>1</v>
      </c>
      <c r="W4018">
        <v>0</v>
      </c>
      <c r="X4018">
        <v>1</v>
      </c>
      <c r="Y4018">
        <v>119</v>
      </c>
      <c r="Z4018">
        <v>1</v>
      </c>
      <c r="AA4018">
        <v>0</v>
      </c>
      <c r="AB4018">
        <v>3</v>
      </c>
      <c r="AC4018">
        <v>0</v>
      </c>
      <c r="AD4018">
        <v>0</v>
      </c>
      <c r="AE4018">
        <v>0</v>
      </c>
      <c r="AF4018">
        <v>0</v>
      </c>
      <c r="AK4018">
        <v>3</v>
      </c>
      <c r="AL4018">
        <v>1</v>
      </c>
      <c r="AM4018">
        <v>0</v>
      </c>
      <c r="AN4018">
        <v>0</v>
      </c>
      <c r="AP4018">
        <v>5</v>
      </c>
      <c r="AS4018">
        <v>0</v>
      </c>
      <c r="AT4018">
        <v>1</v>
      </c>
      <c r="AU4018">
        <v>23</v>
      </c>
      <c r="AV4018" t="s">
        <v>100</v>
      </c>
      <c r="AW4018">
        <v>271</v>
      </c>
      <c r="AX4018">
        <v>387</v>
      </c>
      <c r="BA4018">
        <v>1</v>
      </c>
      <c r="BC4018" t="s">
        <v>8143</v>
      </c>
      <c r="BD4018" s="4">
        <v>43283.117361111108</v>
      </c>
      <c r="BE4018" s="4">
        <v>43283.127337962964</v>
      </c>
      <c r="BF4018" s="4">
        <v>43283.127337962964</v>
      </c>
      <c r="BG4018" t="s">
        <v>83</v>
      </c>
      <c r="BH4018" t="s">
        <v>84</v>
      </c>
      <c r="BI4018" t="s">
        <v>85</v>
      </c>
    </row>
    <row r="4019" spans="1:61" x14ac:dyDescent="0.3">
      <c r="A4019" t="str">
        <f>"200268C0100"</f>
        <v>200268C0100</v>
      </c>
      <c r="B4019" t="s">
        <v>8144</v>
      </c>
      <c r="C4019">
        <v>20</v>
      </c>
      <c r="D4019" t="s">
        <v>79</v>
      </c>
      <c r="E4019">
        <v>19</v>
      </c>
      <c r="F4019" t="s">
        <v>8046</v>
      </c>
      <c r="G4019">
        <v>268</v>
      </c>
      <c r="H4019">
        <v>1</v>
      </c>
      <c r="I4019" t="s">
        <v>89</v>
      </c>
      <c r="J4019">
        <v>0</v>
      </c>
      <c r="K4019">
        <v>1</v>
      </c>
      <c r="L4019">
        <v>2</v>
      </c>
      <c r="M4019">
        <v>139</v>
      </c>
      <c r="N4019">
        <v>272</v>
      </c>
      <c r="O4019">
        <v>4</v>
      </c>
      <c r="P4019">
        <v>272</v>
      </c>
      <c r="Q4019">
        <v>4</v>
      </c>
      <c r="R4019">
        <v>101</v>
      </c>
      <c r="S4019">
        <v>1</v>
      </c>
      <c r="T4019">
        <v>16</v>
      </c>
      <c r="U4019">
        <v>14</v>
      </c>
      <c r="V4019">
        <v>1</v>
      </c>
      <c r="W4019">
        <v>2</v>
      </c>
      <c r="X4019">
        <v>1</v>
      </c>
      <c r="Y4019">
        <v>111</v>
      </c>
      <c r="Z4019">
        <v>2</v>
      </c>
      <c r="AA4019">
        <v>0</v>
      </c>
      <c r="AB4019">
        <v>5</v>
      </c>
      <c r="AC4019">
        <v>0</v>
      </c>
      <c r="AD4019">
        <v>0</v>
      </c>
      <c r="AE4019">
        <v>0</v>
      </c>
      <c r="AF4019">
        <v>0</v>
      </c>
      <c r="AK4019">
        <v>1</v>
      </c>
      <c r="AL4019">
        <v>1</v>
      </c>
      <c r="AM4019">
        <v>0</v>
      </c>
      <c r="AN4019">
        <v>0</v>
      </c>
      <c r="AP4019">
        <v>2</v>
      </c>
      <c r="AS4019">
        <v>3</v>
      </c>
      <c r="AT4019">
        <v>0</v>
      </c>
      <c r="AU4019">
        <v>7</v>
      </c>
      <c r="AV4019">
        <v>270</v>
      </c>
      <c r="AW4019">
        <v>272</v>
      </c>
      <c r="AX4019">
        <v>387</v>
      </c>
      <c r="BA4019">
        <v>1</v>
      </c>
      <c r="BC4019" t="s">
        <v>8145</v>
      </c>
      <c r="BD4019" s="4">
        <v>43283.117361111108</v>
      </c>
      <c r="BE4019" s="4">
        <v>43283.12872685185</v>
      </c>
      <c r="BF4019" s="4">
        <v>43283.12872685185</v>
      </c>
      <c r="BG4019" t="s">
        <v>83</v>
      </c>
      <c r="BH4019" t="s">
        <v>84</v>
      </c>
      <c r="BI4019" t="s">
        <v>85</v>
      </c>
    </row>
    <row r="4020" spans="1:61" x14ac:dyDescent="0.3">
      <c r="A4020" t="str">
        <f>"200269B0100"</f>
        <v>200269B0100</v>
      </c>
      <c r="B4020" t="s">
        <v>8146</v>
      </c>
      <c r="C4020">
        <v>20</v>
      </c>
      <c r="D4020" t="s">
        <v>79</v>
      </c>
      <c r="E4020">
        <v>19</v>
      </c>
      <c r="F4020" t="s">
        <v>8046</v>
      </c>
      <c r="G4020">
        <v>269</v>
      </c>
      <c r="H4020">
        <v>1</v>
      </c>
      <c r="I4020" t="s">
        <v>81</v>
      </c>
      <c r="J4020">
        <v>0</v>
      </c>
      <c r="K4020">
        <v>1</v>
      </c>
      <c r="L4020">
        <v>2</v>
      </c>
      <c r="M4020">
        <v>272</v>
      </c>
      <c r="N4020">
        <v>447</v>
      </c>
      <c r="O4020">
        <v>0</v>
      </c>
      <c r="P4020">
        <v>447</v>
      </c>
      <c r="Q4020">
        <v>7</v>
      </c>
      <c r="R4020">
        <v>154</v>
      </c>
      <c r="S4020">
        <v>6</v>
      </c>
      <c r="T4020">
        <v>11</v>
      </c>
      <c r="U4020">
        <v>43</v>
      </c>
      <c r="V4020">
        <v>2</v>
      </c>
      <c r="W4020">
        <v>1</v>
      </c>
      <c r="X4020">
        <v>2</v>
      </c>
      <c r="Y4020">
        <v>165</v>
      </c>
      <c r="Z4020">
        <v>12</v>
      </c>
      <c r="AA4020">
        <v>2</v>
      </c>
      <c r="AB4020">
        <v>6</v>
      </c>
      <c r="AC4020">
        <v>0</v>
      </c>
      <c r="AD4020">
        <v>0</v>
      </c>
      <c r="AE4020">
        <v>0</v>
      </c>
      <c r="AF4020">
        <v>1</v>
      </c>
      <c r="AK4020">
        <v>5</v>
      </c>
      <c r="AL4020">
        <v>1</v>
      </c>
      <c r="AM4020">
        <v>1</v>
      </c>
      <c r="AN4020">
        <v>1</v>
      </c>
      <c r="AP4020">
        <v>4</v>
      </c>
      <c r="AS4020">
        <v>2</v>
      </c>
      <c r="AT4020">
        <v>0</v>
      </c>
      <c r="AU4020">
        <v>21</v>
      </c>
      <c r="AV4020">
        <v>447</v>
      </c>
      <c r="AW4020">
        <v>447</v>
      </c>
      <c r="AX4020">
        <v>695</v>
      </c>
      <c r="BA4020">
        <v>1</v>
      </c>
      <c r="BC4020" t="s">
        <v>8147</v>
      </c>
      <c r="BD4020" s="4">
        <v>43283.117361111108</v>
      </c>
      <c r="BE4020" s="4">
        <v>43283.129837962966</v>
      </c>
      <c r="BF4020" s="4">
        <v>43283.129837962966</v>
      </c>
      <c r="BG4020" t="s">
        <v>83</v>
      </c>
      <c r="BH4020" t="s">
        <v>84</v>
      </c>
      <c r="BI4020" t="s">
        <v>85</v>
      </c>
    </row>
    <row r="4021" spans="1:61" x14ac:dyDescent="0.3">
      <c r="A4021" t="str">
        <f>"200269C0100"</f>
        <v>200269C0100</v>
      </c>
      <c r="B4021" t="s">
        <v>8148</v>
      </c>
      <c r="C4021">
        <v>20</v>
      </c>
      <c r="D4021" t="s">
        <v>79</v>
      </c>
      <c r="E4021">
        <v>19</v>
      </c>
      <c r="F4021" t="s">
        <v>8046</v>
      </c>
      <c r="G4021">
        <v>269</v>
      </c>
      <c r="H4021">
        <v>1</v>
      </c>
      <c r="I4021" t="s">
        <v>89</v>
      </c>
      <c r="J4021">
        <v>0</v>
      </c>
      <c r="K4021">
        <v>1</v>
      </c>
      <c r="L4021">
        <v>2</v>
      </c>
      <c r="M4021">
        <v>261</v>
      </c>
      <c r="N4021">
        <v>460</v>
      </c>
      <c r="O4021">
        <v>2</v>
      </c>
      <c r="P4021">
        <v>460</v>
      </c>
      <c r="Q4021">
        <v>7</v>
      </c>
      <c r="R4021">
        <v>140</v>
      </c>
      <c r="S4021">
        <v>8</v>
      </c>
      <c r="T4021">
        <v>9</v>
      </c>
      <c r="U4021">
        <v>43</v>
      </c>
      <c r="V4021">
        <v>4</v>
      </c>
      <c r="W4021">
        <v>3</v>
      </c>
      <c r="X4021">
        <v>2</v>
      </c>
      <c r="Y4021">
        <v>173</v>
      </c>
      <c r="Z4021">
        <v>5</v>
      </c>
      <c r="AA4021">
        <v>0</v>
      </c>
      <c r="AB4021">
        <v>16</v>
      </c>
      <c r="AC4021">
        <v>1</v>
      </c>
      <c r="AD4021">
        <v>0</v>
      </c>
      <c r="AE4021">
        <v>0</v>
      </c>
      <c r="AF4021">
        <v>0</v>
      </c>
      <c r="AK4021">
        <v>8</v>
      </c>
      <c r="AL4021">
        <v>0</v>
      </c>
      <c r="AM4021">
        <v>0</v>
      </c>
      <c r="AN4021">
        <v>0</v>
      </c>
      <c r="AP4021">
        <v>0</v>
      </c>
      <c r="AS4021">
        <v>5</v>
      </c>
      <c r="AT4021">
        <v>1</v>
      </c>
      <c r="AU4021">
        <v>31</v>
      </c>
      <c r="AV4021">
        <v>460</v>
      </c>
      <c r="AW4021">
        <v>456</v>
      </c>
      <c r="AX4021">
        <v>695</v>
      </c>
      <c r="BA4021">
        <v>1</v>
      </c>
      <c r="BC4021" t="s">
        <v>8149</v>
      </c>
      <c r="BD4021" s="4">
        <v>43283.117361111108</v>
      </c>
      <c r="BE4021" s="4">
        <v>43283.128067129626</v>
      </c>
      <c r="BF4021" s="4">
        <v>43283.128067129626</v>
      </c>
      <c r="BG4021" t="s">
        <v>83</v>
      </c>
      <c r="BH4021" t="s">
        <v>84</v>
      </c>
      <c r="BI4021" t="s">
        <v>85</v>
      </c>
    </row>
    <row r="4022" spans="1:61" x14ac:dyDescent="0.3">
      <c r="A4022" t="str">
        <f>"200270B0100"</f>
        <v>200270B0100</v>
      </c>
      <c r="B4022" t="s">
        <v>8150</v>
      </c>
      <c r="C4022">
        <v>20</v>
      </c>
      <c r="D4022" t="s">
        <v>79</v>
      </c>
      <c r="E4022">
        <v>19</v>
      </c>
      <c r="F4022" t="s">
        <v>8046</v>
      </c>
      <c r="G4022">
        <v>270</v>
      </c>
      <c r="H4022">
        <v>1</v>
      </c>
      <c r="I4022" t="s">
        <v>81</v>
      </c>
      <c r="J4022">
        <v>0</v>
      </c>
      <c r="K4022">
        <v>1</v>
      </c>
      <c r="L4022">
        <v>2</v>
      </c>
      <c r="M4022">
        <v>243</v>
      </c>
      <c r="N4022">
        <v>384</v>
      </c>
      <c r="O4022">
        <v>0</v>
      </c>
      <c r="P4022">
        <v>382</v>
      </c>
      <c r="Q4022">
        <v>7</v>
      </c>
      <c r="R4022">
        <v>94</v>
      </c>
      <c r="S4022">
        <v>11</v>
      </c>
      <c r="T4022">
        <v>18</v>
      </c>
      <c r="U4022">
        <v>45</v>
      </c>
      <c r="V4022">
        <v>5</v>
      </c>
      <c r="W4022">
        <v>0</v>
      </c>
      <c r="X4022">
        <v>1</v>
      </c>
      <c r="Y4022">
        <v>147</v>
      </c>
      <c r="Z4022">
        <v>6</v>
      </c>
      <c r="AA4022">
        <v>1</v>
      </c>
      <c r="AB4022">
        <v>15</v>
      </c>
      <c r="AC4022">
        <v>1</v>
      </c>
      <c r="AD4022">
        <v>0</v>
      </c>
      <c r="AE4022">
        <v>0</v>
      </c>
      <c r="AF4022">
        <v>0</v>
      </c>
      <c r="AK4022">
        <v>5</v>
      </c>
      <c r="AL4022">
        <v>2</v>
      </c>
      <c r="AM4022">
        <v>3</v>
      </c>
      <c r="AN4022">
        <v>2</v>
      </c>
      <c r="AP4022">
        <v>0</v>
      </c>
      <c r="AS4022">
        <v>1</v>
      </c>
      <c r="AT4022">
        <v>0</v>
      </c>
      <c r="AU4022">
        <v>17</v>
      </c>
      <c r="AV4022">
        <v>354</v>
      </c>
      <c r="AW4022">
        <v>381</v>
      </c>
      <c r="AX4022">
        <v>602</v>
      </c>
      <c r="BA4022">
        <v>1</v>
      </c>
      <c r="BC4022" t="s">
        <v>8151</v>
      </c>
      <c r="BD4022" s="4">
        <v>43283.356944444444</v>
      </c>
      <c r="BE4022" s="4">
        <v>43283.37023148148</v>
      </c>
      <c r="BF4022" s="4">
        <v>43283.37023148148</v>
      </c>
      <c r="BG4022" t="s">
        <v>83</v>
      </c>
      <c r="BH4022" t="s">
        <v>84</v>
      </c>
      <c r="BI4022" t="s">
        <v>85</v>
      </c>
    </row>
    <row r="4023" spans="1:61" x14ac:dyDescent="0.3">
      <c r="A4023" t="str">
        <f>"200270C0100"</f>
        <v>200270C0100</v>
      </c>
      <c r="B4023" t="s">
        <v>8152</v>
      </c>
      <c r="C4023">
        <v>20</v>
      </c>
      <c r="D4023" t="s">
        <v>79</v>
      </c>
      <c r="E4023">
        <v>19</v>
      </c>
      <c r="F4023" t="s">
        <v>8046</v>
      </c>
      <c r="G4023">
        <v>270</v>
      </c>
      <c r="H4023">
        <v>1</v>
      </c>
      <c r="I4023" t="s">
        <v>89</v>
      </c>
      <c r="J4023">
        <v>0</v>
      </c>
      <c r="K4023">
        <v>1</v>
      </c>
      <c r="L4023">
        <v>2</v>
      </c>
      <c r="M4023">
        <v>246</v>
      </c>
      <c r="N4023">
        <v>380</v>
      </c>
      <c r="O4023">
        <v>1</v>
      </c>
      <c r="P4023">
        <v>380</v>
      </c>
      <c r="Q4023">
        <v>9</v>
      </c>
      <c r="R4023">
        <v>78</v>
      </c>
      <c r="S4023">
        <v>11</v>
      </c>
      <c r="T4023">
        <v>15</v>
      </c>
      <c r="U4023">
        <v>49</v>
      </c>
      <c r="V4023">
        <v>5</v>
      </c>
      <c r="W4023">
        <v>0</v>
      </c>
      <c r="X4023">
        <v>1</v>
      </c>
      <c r="Y4023">
        <v>146</v>
      </c>
      <c r="Z4023">
        <v>14</v>
      </c>
      <c r="AA4023">
        <v>1</v>
      </c>
      <c r="AB4023">
        <v>7</v>
      </c>
      <c r="AC4023">
        <v>0</v>
      </c>
      <c r="AD4023">
        <v>0</v>
      </c>
      <c r="AE4023">
        <v>0</v>
      </c>
      <c r="AF4023">
        <v>0</v>
      </c>
      <c r="AK4023">
        <v>6</v>
      </c>
      <c r="AL4023">
        <v>4</v>
      </c>
      <c r="AM4023">
        <v>2</v>
      </c>
      <c r="AN4023">
        <v>1</v>
      </c>
      <c r="AP4023">
        <v>2</v>
      </c>
      <c r="AS4023">
        <v>9</v>
      </c>
      <c r="AT4023">
        <v>0</v>
      </c>
      <c r="AU4023">
        <v>20</v>
      </c>
      <c r="AV4023">
        <v>380</v>
      </c>
      <c r="AW4023">
        <v>380</v>
      </c>
      <c r="AX4023">
        <v>602</v>
      </c>
      <c r="BA4023">
        <v>1</v>
      </c>
      <c r="BC4023" t="s">
        <v>8153</v>
      </c>
      <c r="BD4023" s="4">
        <v>43283.359722222223</v>
      </c>
      <c r="BE4023" s="4">
        <v>43283.375636574077</v>
      </c>
      <c r="BF4023" s="4">
        <v>43283.375636574077</v>
      </c>
      <c r="BG4023" t="s">
        <v>83</v>
      </c>
      <c r="BH4023" t="s">
        <v>84</v>
      </c>
      <c r="BI4023" t="s">
        <v>85</v>
      </c>
    </row>
    <row r="4024" spans="1:61" x14ac:dyDescent="0.3">
      <c r="A4024" t="str">
        <f>"200270C0200"</f>
        <v>200270C0200</v>
      </c>
      <c r="B4024" t="s">
        <v>8154</v>
      </c>
      <c r="C4024">
        <v>20</v>
      </c>
      <c r="D4024" t="s">
        <v>79</v>
      </c>
      <c r="E4024">
        <v>19</v>
      </c>
      <c r="F4024" t="s">
        <v>8046</v>
      </c>
      <c r="G4024">
        <v>270</v>
      </c>
      <c r="H4024">
        <v>2</v>
      </c>
      <c r="I4024" t="s">
        <v>89</v>
      </c>
      <c r="J4024">
        <v>0</v>
      </c>
      <c r="K4024">
        <v>1</v>
      </c>
      <c r="L4024">
        <v>2</v>
      </c>
      <c r="M4024">
        <v>264</v>
      </c>
      <c r="N4024">
        <v>363</v>
      </c>
      <c r="O4024">
        <v>2</v>
      </c>
      <c r="P4024">
        <v>214</v>
      </c>
      <c r="Q4024">
        <v>3</v>
      </c>
      <c r="R4024">
        <v>77</v>
      </c>
      <c r="S4024">
        <v>13</v>
      </c>
      <c r="T4024">
        <v>16</v>
      </c>
      <c r="U4024">
        <v>45</v>
      </c>
      <c r="V4024">
        <v>1</v>
      </c>
      <c r="W4024">
        <v>0</v>
      </c>
      <c r="X4024">
        <v>2</v>
      </c>
      <c r="Y4024">
        <v>151</v>
      </c>
      <c r="Z4024">
        <v>6</v>
      </c>
      <c r="AA4024">
        <v>0</v>
      </c>
      <c r="AB4024">
        <v>6</v>
      </c>
      <c r="AC4024">
        <v>0</v>
      </c>
      <c r="AD4024">
        <v>0</v>
      </c>
      <c r="AE4024">
        <v>0</v>
      </c>
      <c r="AF4024">
        <v>0</v>
      </c>
      <c r="AK4024">
        <v>10</v>
      </c>
      <c r="AL4024">
        <v>5</v>
      </c>
      <c r="AM4024">
        <v>1</v>
      </c>
      <c r="AN4024">
        <v>1</v>
      </c>
      <c r="AP4024">
        <v>2</v>
      </c>
      <c r="AS4024">
        <v>4</v>
      </c>
      <c r="AT4024">
        <v>0</v>
      </c>
      <c r="AU4024">
        <v>21</v>
      </c>
      <c r="AV4024">
        <v>214</v>
      </c>
      <c r="AW4024">
        <v>364</v>
      </c>
      <c r="AX4024">
        <v>602</v>
      </c>
      <c r="BA4024">
        <v>1</v>
      </c>
      <c r="BC4024" t="s">
        <v>8155</v>
      </c>
      <c r="BD4024" s="4">
        <v>43283.373611111114</v>
      </c>
      <c r="BE4024" s="4">
        <v>43283.379895833335</v>
      </c>
      <c r="BF4024" s="4">
        <v>43283.379895833335</v>
      </c>
      <c r="BG4024" t="s">
        <v>83</v>
      </c>
      <c r="BH4024" t="s">
        <v>84</v>
      </c>
      <c r="BI4024" t="s">
        <v>85</v>
      </c>
    </row>
    <row r="4025" spans="1:61" x14ac:dyDescent="0.3">
      <c r="A4025" t="str">
        <f>"200270S0100"</f>
        <v>200270S0100</v>
      </c>
      <c r="B4025" t="s">
        <v>8156</v>
      </c>
      <c r="C4025">
        <v>20</v>
      </c>
      <c r="D4025" t="s">
        <v>79</v>
      </c>
      <c r="E4025">
        <v>19</v>
      </c>
      <c r="F4025" t="s">
        <v>8046</v>
      </c>
      <c r="G4025">
        <v>270</v>
      </c>
      <c r="H4025">
        <v>1</v>
      </c>
      <c r="I4025" t="s">
        <v>104</v>
      </c>
      <c r="J4025">
        <v>0</v>
      </c>
      <c r="K4025">
        <v>1</v>
      </c>
      <c r="L4025">
        <v>3</v>
      </c>
      <c r="M4025">
        <v>520</v>
      </c>
      <c r="N4025">
        <v>28</v>
      </c>
      <c r="O4025">
        <v>0</v>
      </c>
      <c r="P4025">
        <v>28</v>
      </c>
      <c r="Q4025">
        <v>1</v>
      </c>
      <c r="R4025">
        <v>7</v>
      </c>
      <c r="S4025">
        <v>3</v>
      </c>
      <c r="T4025">
        <v>0</v>
      </c>
      <c r="U4025">
        <v>6</v>
      </c>
      <c r="V4025">
        <v>0</v>
      </c>
      <c r="W4025">
        <v>0</v>
      </c>
      <c r="X4025">
        <v>0</v>
      </c>
      <c r="Y4025">
        <v>7</v>
      </c>
      <c r="Z4025">
        <v>0</v>
      </c>
      <c r="AA4025" t="s">
        <v>100</v>
      </c>
      <c r="AB4025">
        <v>2</v>
      </c>
      <c r="AC4025" t="s">
        <v>100</v>
      </c>
      <c r="AD4025" t="s">
        <v>100</v>
      </c>
      <c r="AE4025" t="s">
        <v>100</v>
      </c>
      <c r="AF4025" t="s">
        <v>100</v>
      </c>
      <c r="AK4025">
        <v>0</v>
      </c>
      <c r="AL4025">
        <v>2</v>
      </c>
      <c r="AM4025" t="s">
        <v>100</v>
      </c>
      <c r="AN4025" t="s">
        <v>100</v>
      </c>
      <c r="AP4025" t="s">
        <v>100</v>
      </c>
      <c r="AS4025" t="s">
        <v>100</v>
      </c>
      <c r="AT4025" t="s">
        <v>100</v>
      </c>
      <c r="AU4025" t="s">
        <v>100</v>
      </c>
      <c r="AV4025" t="s">
        <v>315</v>
      </c>
      <c r="AW4025">
        <v>28</v>
      </c>
      <c r="AX4025">
        <v>0</v>
      </c>
      <c r="AZ4025" t="s">
        <v>101</v>
      </c>
      <c r="BA4025">
        <v>1</v>
      </c>
      <c r="BC4025" t="s">
        <v>8157</v>
      </c>
      <c r="BD4025" s="4">
        <v>43283.372916666667</v>
      </c>
      <c r="BE4025" s="4">
        <v>43283.38386574074</v>
      </c>
      <c r="BF4025" s="4">
        <v>43283.38386574074</v>
      </c>
      <c r="BG4025" t="s">
        <v>83</v>
      </c>
      <c r="BH4025" t="s">
        <v>84</v>
      </c>
      <c r="BI4025" t="s">
        <v>85</v>
      </c>
    </row>
    <row r="4026" spans="1:61" x14ac:dyDescent="0.3">
      <c r="A4026" t="str">
        <f>"200271B0100"</f>
        <v>200271B0100</v>
      </c>
      <c r="B4026" t="s">
        <v>8158</v>
      </c>
      <c r="C4026">
        <v>20</v>
      </c>
      <c r="D4026" t="s">
        <v>79</v>
      </c>
      <c r="E4026">
        <v>19</v>
      </c>
      <c r="F4026" t="s">
        <v>8046</v>
      </c>
      <c r="G4026">
        <v>271</v>
      </c>
      <c r="H4026">
        <v>1</v>
      </c>
      <c r="I4026" t="s">
        <v>81</v>
      </c>
      <c r="J4026">
        <v>0</v>
      </c>
      <c r="K4026">
        <v>1</v>
      </c>
      <c r="L4026">
        <v>2</v>
      </c>
      <c r="M4026">
        <v>224</v>
      </c>
      <c r="N4026">
        <v>317</v>
      </c>
      <c r="O4026">
        <v>2</v>
      </c>
      <c r="P4026" t="s">
        <v>100</v>
      </c>
      <c r="Q4026">
        <v>9</v>
      </c>
      <c r="R4026">
        <v>82</v>
      </c>
      <c r="S4026">
        <v>7</v>
      </c>
      <c r="T4026">
        <v>16</v>
      </c>
      <c r="U4026">
        <v>32</v>
      </c>
      <c r="V4026">
        <v>4</v>
      </c>
      <c r="W4026">
        <v>0</v>
      </c>
      <c r="X4026">
        <v>4</v>
      </c>
      <c r="Y4026">
        <v>115</v>
      </c>
      <c r="Z4026">
        <v>9</v>
      </c>
      <c r="AA4026">
        <v>1</v>
      </c>
      <c r="AB4026">
        <v>6</v>
      </c>
      <c r="AC4026">
        <v>0</v>
      </c>
      <c r="AD4026">
        <v>0</v>
      </c>
      <c r="AE4026">
        <v>0</v>
      </c>
      <c r="AF4026">
        <v>0</v>
      </c>
      <c r="AK4026">
        <v>5</v>
      </c>
      <c r="AL4026">
        <v>1</v>
      </c>
      <c r="AM4026">
        <v>0</v>
      </c>
      <c r="AN4026">
        <v>2</v>
      </c>
      <c r="AP4026">
        <v>0</v>
      </c>
      <c r="AS4026">
        <v>0</v>
      </c>
      <c r="AT4026">
        <v>0</v>
      </c>
      <c r="AU4026">
        <v>21</v>
      </c>
      <c r="AV4026">
        <v>314</v>
      </c>
      <c r="AW4026">
        <v>314</v>
      </c>
      <c r="AX4026">
        <v>515</v>
      </c>
      <c r="BA4026">
        <v>1</v>
      </c>
      <c r="BC4026" t="s">
        <v>8159</v>
      </c>
      <c r="BD4026" s="4">
        <v>43283.481944444444</v>
      </c>
      <c r="BE4026" s="4">
        <v>43283.485231481478</v>
      </c>
      <c r="BF4026" s="4">
        <v>43283.485231481478</v>
      </c>
      <c r="BG4026" t="s">
        <v>83</v>
      </c>
      <c r="BH4026" t="s">
        <v>84</v>
      </c>
      <c r="BI4026" t="s">
        <v>548</v>
      </c>
    </row>
    <row r="4027" spans="1:61" x14ac:dyDescent="0.3">
      <c r="A4027" t="str">
        <f>"200271C0100"</f>
        <v>200271C0100</v>
      </c>
      <c r="B4027" t="s">
        <v>8160</v>
      </c>
      <c r="C4027">
        <v>20</v>
      </c>
      <c r="D4027" t="s">
        <v>79</v>
      </c>
      <c r="E4027">
        <v>19</v>
      </c>
      <c r="F4027" t="s">
        <v>8046</v>
      </c>
      <c r="G4027">
        <v>271</v>
      </c>
      <c r="H4027">
        <v>1</v>
      </c>
      <c r="I4027" t="s">
        <v>89</v>
      </c>
      <c r="J4027">
        <v>0</v>
      </c>
      <c r="K4027">
        <v>1</v>
      </c>
      <c r="L4027">
        <v>2</v>
      </c>
      <c r="M4027">
        <v>215</v>
      </c>
      <c r="N4027">
        <v>327</v>
      </c>
      <c r="O4027">
        <v>0</v>
      </c>
      <c r="P4027">
        <v>326</v>
      </c>
      <c r="Q4027">
        <v>12</v>
      </c>
      <c r="R4027">
        <v>88</v>
      </c>
      <c r="S4027">
        <v>2</v>
      </c>
      <c r="T4027">
        <v>24</v>
      </c>
      <c r="U4027">
        <v>26</v>
      </c>
      <c r="V4027">
        <v>3</v>
      </c>
      <c r="W4027">
        <v>1</v>
      </c>
      <c r="X4027">
        <v>3</v>
      </c>
      <c r="Y4027">
        <v>113</v>
      </c>
      <c r="Z4027">
        <v>6</v>
      </c>
      <c r="AA4027">
        <v>2</v>
      </c>
      <c r="AB4027">
        <v>2</v>
      </c>
      <c r="AC4027">
        <v>0</v>
      </c>
      <c r="AD4027">
        <v>0</v>
      </c>
      <c r="AE4027">
        <v>0</v>
      </c>
      <c r="AF4027">
        <v>0</v>
      </c>
      <c r="AK4027">
        <v>4</v>
      </c>
      <c r="AL4027">
        <v>4</v>
      </c>
      <c r="AM4027">
        <v>1</v>
      </c>
      <c r="AN4027">
        <v>0</v>
      </c>
      <c r="AP4027">
        <v>4</v>
      </c>
      <c r="AS4027">
        <v>4</v>
      </c>
      <c r="AT4027">
        <v>0</v>
      </c>
      <c r="AU4027">
        <v>26</v>
      </c>
      <c r="AV4027">
        <v>325</v>
      </c>
      <c r="AW4027">
        <v>325</v>
      </c>
      <c r="AX4027">
        <v>515</v>
      </c>
      <c r="BA4027">
        <v>1</v>
      </c>
      <c r="BC4027" t="s">
        <v>8161</v>
      </c>
      <c r="BD4027" s="4">
        <v>43283.378472222219</v>
      </c>
      <c r="BE4027" s="4">
        <v>43283.389363425929</v>
      </c>
      <c r="BF4027" s="4">
        <v>43283.389363425929</v>
      </c>
      <c r="BG4027" t="s">
        <v>83</v>
      </c>
      <c r="BH4027" t="s">
        <v>84</v>
      </c>
      <c r="BI4027" t="s">
        <v>85</v>
      </c>
    </row>
    <row r="4028" spans="1:61" x14ac:dyDescent="0.3">
      <c r="A4028" t="str">
        <f>"200272B0100"</f>
        <v>200272B0100</v>
      </c>
      <c r="B4028" t="s">
        <v>8162</v>
      </c>
      <c r="C4028">
        <v>20</v>
      </c>
      <c r="D4028" t="s">
        <v>79</v>
      </c>
      <c r="E4028">
        <v>19</v>
      </c>
      <c r="F4028" t="s">
        <v>8046</v>
      </c>
      <c r="G4028">
        <v>272</v>
      </c>
      <c r="H4028">
        <v>1</v>
      </c>
      <c r="I4028" t="s">
        <v>81</v>
      </c>
      <c r="J4028">
        <v>0</v>
      </c>
      <c r="K4028">
        <v>1</v>
      </c>
      <c r="L4028">
        <v>2</v>
      </c>
      <c r="M4028">
        <v>207</v>
      </c>
      <c r="N4028">
        <v>398</v>
      </c>
      <c r="O4028">
        <v>4</v>
      </c>
      <c r="P4028">
        <v>398</v>
      </c>
      <c r="Q4028">
        <v>15</v>
      </c>
      <c r="R4028">
        <v>108</v>
      </c>
      <c r="S4028">
        <v>6</v>
      </c>
      <c r="T4028">
        <v>15</v>
      </c>
      <c r="U4028">
        <v>46</v>
      </c>
      <c r="V4028">
        <v>5</v>
      </c>
      <c r="W4028">
        <v>1</v>
      </c>
      <c r="X4028">
        <v>2</v>
      </c>
      <c r="Y4028">
        <v>157</v>
      </c>
      <c r="Z4028">
        <v>8</v>
      </c>
      <c r="AA4028">
        <v>0</v>
      </c>
      <c r="AB4028">
        <v>1</v>
      </c>
      <c r="AC4028">
        <v>0</v>
      </c>
      <c r="AD4028">
        <v>0</v>
      </c>
      <c r="AE4028">
        <v>0</v>
      </c>
      <c r="AF4028">
        <v>0</v>
      </c>
      <c r="AK4028">
        <v>3</v>
      </c>
      <c r="AL4028">
        <v>2</v>
      </c>
      <c r="AM4028">
        <v>0</v>
      </c>
      <c r="AN4028">
        <v>0</v>
      </c>
      <c r="AP4028">
        <v>4</v>
      </c>
      <c r="AS4028">
        <v>5</v>
      </c>
      <c r="AT4028">
        <v>2</v>
      </c>
      <c r="AU4028">
        <v>18</v>
      </c>
      <c r="AV4028">
        <v>398</v>
      </c>
      <c r="AW4028">
        <v>398</v>
      </c>
      <c r="AX4028">
        <v>581</v>
      </c>
      <c r="BA4028">
        <v>1</v>
      </c>
      <c r="BC4028" t="s">
        <v>8163</v>
      </c>
      <c r="BD4028" s="4">
        <v>43283.370138888888</v>
      </c>
      <c r="BE4028" s="4">
        <v>43283.379618055558</v>
      </c>
      <c r="BF4028" s="4">
        <v>43283.379618055558</v>
      </c>
      <c r="BG4028" t="s">
        <v>83</v>
      </c>
      <c r="BH4028" t="s">
        <v>84</v>
      </c>
      <c r="BI4028" t="s">
        <v>85</v>
      </c>
    </row>
    <row r="4029" spans="1:61" x14ac:dyDescent="0.3">
      <c r="A4029" t="str">
        <f>"200272C0100"</f>
        <v>200272C0100</v>
      </c>
      <c r="B4029" t="s">
        <v>8164</v>
      </c>
      <c r="C4029">
        <v>20</v>
      </c>
      <c r="D4029" t="s">
        <v>79</v>
      </c>
      <c r="E4029">
        <v>19</v>
      </c>
      <c r="F4029" t="s">
        <v>8046</v>
      </c>
      <c r="G4029">
        <v>272</v>
      </c>
      <c r="H4029">
        <v>1</v>
      </c>
      <c r="I4029" t="s">
        <v>89</v>
      </c>
      <c r="J4029">
        <v>0</v>
      </c>
      <c r="K4029">
        <v>1</v>
      </c>
      <c r="L4029">
        <v>2</v>
      </c>
      <c r="M4029">
        <v>200</v>
      </c>
      <c r="N4029">
        <v>404</v>
      </c>
      <c r="O4029">
        <v>0</v>
      </c>
      <c r="P4029">
        <v>404</v>
      </c>
      <c r="Q4029">
        <v>10</v>
      </c>
      <c r="R4029">
        <v>101</v>
      </c>
      <c r="S4029">
        <v>7</v>
      </c>
      <c r="T4029">
        <v>13</v>
      </c>
      <c r="U4029">
        <v>47</v>
      </c>
      <c r="V4029">
        <v>4</v>
      </c>
      <c r="W4029">
        <v>2</v>
      </c>
      <c r="X4029">
        <v>0</v>
      </c>
      <c r="Y4029">
        <v>169</v>
      </c>
      <c r="Z4029">
        <v>3</v>
      </c>
      <c r="AA4029">
        <v>3</v>
      </c>
      <c r="AB4029">
        <v>4</v>
      </c>
      <c r="AC4029">
        <v>0</v>
      </c>
      <c r="AD4029">
        <v>0</v>
      </c>
      <c r="AE4029">
        <v>0</v>
      </c>
      <c r="AF4029">
        <v>0</v>
      </c>
      <c r="AK4029">
        <v>4</v>
      </c>
      <c r="AL4029">
        <v>3</v>
      </c>
      <c r="AM4029">
        <v>1</v>
      </c>
      <c r="AN4029">
        <v>2</v>
      </c>
      <c r="AP4029">
        <v>3</v>
      </c>
      <c r="AS4029">
        <v>7</v>
      </c>
      <c r="AT4029">
        <v>21</v>
      </c>
      <c r="AU4029">
        <v>0</v>
      </c>
      <c r="AV4029">
        <v>404</v>
      </c>
      <c r="AW4029">
        <v>404</v>
      </c>
      <c r="AX4029">
        <v>580</v>
      </c>
      <c r="BA4029">
        <v>1</v>
      </c>
      <c r="BC4029" t="s">
        <v>8165</v>
      </c>
      <c r="BD4029" s="4">
        <v>43283.371527777781</v>
      </c>
      <c r="BE4029" s="4">
        <v>43283.380266203705</v>
      </c>
      <c r="BF4029" s="4">
        <v>43283.380266203705</v>
      </c>
      <c r="BG4029" t="s">
        <v>83</v>
      </c>
      <c r="BH4029" t="s">
        <v>84</v>
      </c>
      <c r="BI4029" t="s">
        <v>85</v>
      </c>
    </row>
    <row r="4030" spans="1:61" x14ac:dyDescent="0.3">
      <c r="A4030" t="str">
        <f>"200273B0100"</f>
        <v>200273B0100</v>
      </c>
      <c r="B4030" t="s">
        <v>8166</v>
      </c>
      <c r="C4030">
        <v>20</v>
      </c>
      <c r="D4030" t="s">
        <v>79</v>
      </c>
      <c r="E4030">
        <v>19</v>
      </c>
      <c r="F4030" t="s">
        <v>8046</v>
      </c>
      <c r="G4030">
        <v>273</v>
      </c>
      <c r="H4030">
        <v>1</v>
      </c>
      <c r="I4030" t="s">
        <v>81</v>
      </c>
      <c r="J4030">
        <v>0</v>
      </c>
      <c r="K4030">
        <v>1</v>
      </c>
      <c r="L4030">
        <v>2</v>
      </c>
      <c r="M4030">
        <v>203</v>
      </c>
      <c r="N4030">
        <v>275</v>
      </c>
      <c r="O4030">
        <v>2</v>
      </c>
      <c r="P4030">
        <v>275</v>
      </c>
      <c r="Q4030">
        <v>10</v>
      </c>
      <c r="R4030">
        <v>96</v>
      </c>
      <c r="S4030">
        <v>12</v>
      </c>
      <c r="T4030">
        <v>12</v>
      </c>
      <c r="U4030">
        <v>51</v>
      </c>
      <c r="V4030">
        <v>4</v>
      </c>
      <c r="W4030">
        <v>3</v>
      </c>
      <c r="X4030">
        <v>1</v>
      </c>
      <c r="Y4030">
        <v>128</v>
      </c>
      <c r="Z4030">
        <v>5</v>
      </c>
      <c r="AA4030">
        <v>0</v>
      </c>
      <c r="AB4030">
        <v>12</v>
      </c>
      <c r="AC4030">
        <v>0</v>
      </c>
      <c r="AD4030">
        <v>0</v>
      </c>
      <c r="AE4030">
        <v>0</v>
      </c>
      <c r="AF4030">
        <v>0</v>
      </c>
      <c r="AK4030">
        <v>5</v>
      </c>
      <c r="AL4030">
        <v>3</v>
      </c>
      <c r="AM4030">
        <v>1</v>
      </c>
      <c r="AN4030">
        <v>2</v>
      </c>
      <c r="AP4030">
        <v>5</v>
      </c>
      <c r="AS4030">
        <v>7</v>
      </c>
      <c r="AT4030">
        <v>0</v>
      </c>
      <c r="AU4030">
        <v>16</v>
      </c>
      <c r="AV4030">
        <v>175</v>
      </c>
      <c r="AW4030">
        <v>373</v>
      </c>
      <c r="AX4030">
        <v>560</v>
      </c>
      <c r="BA4030">
        <v>1</v>
      </c>
      <c r="BC4030" t="s">
        <v>8167</v>
      </c>
      <c r="BD4030" s="4">
        <v>43283.371527777781</v>
      </c>
      <c r="BE4030" s="4">
        <v>43283.378923611112</v>
      </c>
      <c r="BF4030" s="4">
        <v>43283.378923611112</v>
      </c>
      <c r="BG4030" t="s">
        <v>83</v>
      </c>
      <c r="BH4030" t="s">
        <v>84</v>
      </c>
      <c r="BI4030" t="s">
        <v>85</v>
      </c>
    </row>
    <row r="4031" spans="1:61" x14ac:dyDescent="0.3">
      <c r="A4031" t="str">
        <f>"200273C0100"</f>
        <v>200273C0100</v>
      </c>
      <c r="B4031" t="s">
        <v>8168</v>
      </c>
      <c r="C4031">
        <v>20</v>
      </c>
      <c r="D4031" t="s">
        <v>79</v>
      </c>
      <c r="E4031">
        <v>19</v>
      </c>
      <c r="F4031" t="s">
        <v>8046</v>
      </c>
      <c r="G4031">
        <v>273</v>
      </c>
      <c r="H4031">
        <v>1</v>
      </c>
      <c r="I4031" t="s">
        <v>89</v>
      </c>
      <c r="J4031">
        <v>0</v>
      </c>
      <c r="K4031">
        <v>1</v>
      </c>
      <c r="L4031">
        <v>2</v>
      </c>
      <c r="AX4031">
        <v>560</v>
      </c>
      <c r="AZ4031" t="s">
        <v>156</v>
      </c>
      <c r="BA4031">
        <v>0</v>
      </c>
      <c r="BC4031" t="s">
        <v>8169</v>
      </c>
      <c r="BD4031" s="4">
        <v>43283.775694444441</v>
      </c>
      <c r="BE4031" s="4">
        <v>43283.782222222224</v>
      </c>
      <c r="BF4031" s="4">
        <v>43283.782222222224</v>
      </c>
      <c r="BG4031" t="s">
        <v>83</v>
      </c>
      <c r="BH4031" t="s">
        <v>84</v>
      </c>
      <c r="BI4031" t="s">
        <v>85</v>
      </c>
    </row>
    <row r="4032" spans="1:61" x14ac:dyDescent="0.3">
      <c r="A4032" t="str">
        <f>"200274B0100"</f>
        <v>200274B0100</v>
      </c>
      <c r="B4032" t="s">
        <v>8170</v>
      </c>
      <c r="C4032">
        <v>20</v>
      </c>
      <c r="D4032" t="s">
        <v>79</v>
      </c>
      <c r="E4032">
        <v>19</v>
      </c>
      <c r="F4032" t="s">
        <v>8046</v>
      </c>
      <c r="G4032">
        <v>274</v>
      </c>
      <c r="H4032">
        <v>1</v>
      </c>
      <c r="I4032" t="s">
        <v>81</v>
      </c>
      <c r="J4032">
        <v>0</v>
      </c>
      <c r="K4032">
        <v>1</v>
      </c>
      <c r="L4032">
        <v>2</v>
      </c>
      <c r="M4032">
        <v>296</v>
      </c>
      <c r="N4032">
        <v>417</v>
      </c>
      <c r="O4032">
        <v>2</v>
      </c>
      <c r="P4032">
        <v>417</v>
      </c>
      <c r="Q4032">
        <v>17</v>
      </c>
      <c r="R4032">
        <v>73</v>
      </c>
      <c r="S4032">
        <v>8</v>
      </c>
      <c r="T4032">
        <v>26</v>
      </c>
      <c r="U4032">
        <v>66</v>
      </c>
      <c r="V4032">
        <v>2</v>
      </c>
      <c r="W4032">
        <v>1</v>
      </c>
      <c r="X4032">
        <v>5</v>
      </c>
      <c r="Y4032">
        <v>155</v>
      </c>
      <c r="Z4032">
        <v>13</v>
      </c>
      <c r="AA4032">
        <v>1</v>
      </c>
      <c r="AB4032">
        <v>10</v>
      </c>
      <c r="AC4032">
        <v>0</v>
      </c>
      <c r="AD4032">
        <v>0</v>
      </c>
      <c r="AE4032">
        <v>0</v>
      </c>
      <c r="AF4032">
        <v>0</v>
      </c>
      <c r="AK4032">
        <v>8</v>
      </c>
      <c r="AL4032">
        <v>8</v>
      </c>
      <c r="AM4032">
        <v>0</v>
      </c>
      <c r="AN4032">
        <v>2</v>
      </c>
      <c r="AP4032">
        <v>2</v>
      </c>
      <c r="AS4032">
        <v>4</v>
      </c>
      <c r="AT4032">
        <v>0</v>
      </c>
      <c r="AU4032">
        <v>16</v>
      </c>
      <c r="AV4032">
        <v>417</v>
      </c>
      <c r="AW4032">
        <v>417</v>
      </c>
      <c r="AX4032">
        <v>689</v>
      </c>
      <c r="BA4032">
        <v>1</v>
      </c>
      <c r="BC4032" t="s">
        <v>8171</v>
      </c>
      <c r="BD4032" s="4">
        <v>43283.370138888888</v>
      </c>
      <c r="BE4032" s="4">
        <v>43283.380277777775</v>
      </c>
      <c r="BF4032" s="4">
        <v>43283.380277777775</v>
      </c>
      <c r="BG4032" t="s">
        <v>83</v>
      </c>
      <c r="BH4032" t="s">
        <v>84</v>
      </c>
      <c r="BI4032" t="s">
        <v>85</v>
      </c>
    </row>
    <row r="4033" spans="1:61" x14ac:dyDescent="0.3">
      <c r="A4033" t="str">
        <f>"200274C0100"</f>
        <v>200274C0100</v>
      </c>
      <c r="B4033" t="s">
        <v>8172</v>
      </c>
      <c r="C4033">
        <v>20</v>
      </c>
      <c r="D4033" t="s">
        <v>79</v>
      </c>
      <c r="E4033">
        <v>19</v>
      </c>
      <c r="F4033" t="s">
        <v>8046</v>
      </c>
      <c r="G4033">
        <v>274</v>
      </c>
      <c r="H4033">
        <v>1</v>
      </c>
      <c r="I4033" t="s">
        <v>89</v>
      </c>
      <c r="J4033">
        <v>0</v>
      </c>
      <c r="K4033">
        <v>1</v>
      </c>
      <c r="L4033">
        <v>2</v>
      </c>
      <c r="AX4033">
        <v>689</v>
      </c>
      <c r="AZ4033" t="s">
        <v>156</v>
      </c>
      <c r="BA4033">
        <v>0</v>
      </c>
      <c r="BC4033" t="s">
        <v>8173</v>
      </c>
      <c r="BD4033" s="4">
        <v>43283.776388888888</v>
      </c>
      <c r="BE4033" s="4">
        <v>43283.78266203704</v>
      </c>
      <c r="BF4033" s="4">
        <v>43283.78266203704</v>
      </c>
      <c r="BG4033" t="s">
        <v>83</v>
      </c>
      <c r="BH4033" t="s">
        <v>84</v>
      </c>
      <c r="BI4033" t="s">
        <v>85</v>
      </c>
    </row>
    <row r="4034" spans="1:61" x14ac:dyDescent="0.3">
      <c r="A4034" t="str">
        <f>"200274C0200"</f>
        <v>200274C0200</v>
      </c>
      <c r="B4034" t="s">
        <v>8174</v>
      </c>
      <c r="C4034">
        <v>20</v>
      </c>
      <c r="D4034" t="s">
        <v>79</v>
      </c>
      <c r="E4034">
        <v>19</v>
      </c>
      <c r="F4034" t="s">
        <v>8046</v>
      </c>
      <c r="G4034">
        <v>274</v>
      </c>
      <c r="H4034">
        <v>2</v>
      </c>
      <c r="I4034" t="s">
        <v>89</v>
      </c>
      <c r="J4034">
        <v>0</v>
      </c>
      <c r="K4034">
        <v>1</v>
      </c>
      <c r="L4034">
        <v>2</v>
      </c>
      <c r="M4034">
        <v>287</v>
      </c>
      <c r="N4034">
        <v>426</v>
      </c>
      <c r="O4034">
        <v>0</v>
      </c>
      <c r="P4034">
        <v>427</v>
      </c>
      <c r="Q4034">
        <v>12</v>
      </c>
      <c r="R4034">
        <v>108</v>
      </c>
      <c r="S4034">
        <v>10</v>
      </c>
      <c r="T4034">
        <v>21</v>
      </c>
      <c r="U4034">
        <v>48</v>
      </c>
      <c r="V4034">
        <v>5</v>
      </c>
      <c r="W4034">
        <v>3</v>
      </c>
      <c r="X4034">
        <v>2</v>
      </c>
      <c r="Y4034">
        <v>147</v>
      </c>
      <c r="Z4034">
        <v>13</v>
      </c>
      <c r="AA4034">
        <v>0</v>
      </c>
      <c r="AB4034">
        <v>9</v>
      </c>
      <c r="AC4034">
        <v>0</v>
      </c>
      <c r="AD4034">
        <v>0</v>
      </c>
      <c r="AE4034">
        <v>0</v>
      </c>
      <c r="AF4034">
        <v>0</v>
      </c>
      <c r="AK4034">
        <v>6</v>
      </c>
      <c r="AL4034">
        <v>5</v>
      </c>
      <c r="AM4034">
        <v>1</v>
      </c>
      <c r="AN4034">
        <v>2</v>
      </c>
      <c r="AP4034">
        <v>6</v>
      </c>
      <c r="AS4034">
        <v>3</v>
      </c>
      <c r="AT4034">
        <v>1</v>
      </c>
      <c r="AU4034">
        <v>25</v>
      </c>
      <c r="AV4034">
        <v>427</v>
      </c>
      <c r="AW4034">
        <v>427</v>
      </c>
      <c r="AX4034">
        <v>689</v>
      </c>
      <c r="BA4034">
        <v>1</v>
      </c>
      <c r="BC4034" t="s">
        <v>8175</v>
      </c>
      <c r="BD4034" s="4">
        <v>43283.371527777781</v>
      </c>
      <c r="BE4034" s="4">
        <v>43283.379537037035</v>
      </c>
      <c r="BF4034" s="4">
        <v>43283.379537037035</v>
      </c>
      <c r="BG4034" t="s">
        <v>83</v>
      </c>
      <c r="BH4034" t="s">
        <v>84</v>
      </c>
      <c r="BI4034" t="s">
        <v>85</v>
      </c>
    </row>
    <row r="4035" spans="1:61" x14ac:dyDescent="0.3">
      <c r="A4035" t="str">
        <f>"200275B0100"</f>
        <v>200275B0100</v>
      </c>
      <c r="B4035" t="s">
        <v>8176</v>
      </c>
      <c r="C4035">
        <v>20</v>
      </c>
      <c r="D4035" t="s">
        <v>79</v>
      </c>
      <c r="E4035">
        <v>19</v>
      </c>
      <c r="F4035" t="s">
        <v>8046</v>
      </c>
      <c r="G4035">
        <v>275</v>
      </c>
      <c r="H4035">
        <v>1</v>
      </c>
      <c r="I4035" t="s">
        <v>81</v>
      </c>
      <c r="J4035">
        <v>0</v>
      </c>
      <c r="K4035">
        <v>2</v>
      </c>
      <c r="L4035">
        <v>2</v>
      </c>
      <c r="M4035">
        <v>56</v>
      </c>
      <c r="N4035">
        <v>44</v>
      </c>
      <c r="O4035">
        <v>3</v>
      </c>
      <c r="P4035">
        <v>44</v>
      </c>
      <c r="Q4035">
        <v>0</v>
      </c>
      <c r="R4035">
        <v>13</v>
      </c>
      <c r="S4035">
        <v>0</v>
      </c>
      <c r="T4035">
        <v>1</v>
      </c>
      <c r="U4035">
        <v>12</v>
      </c>
      <c r="V4035">
        <v>0</v>
      </c>
      <c r="W4035">
        <v>0</v>
      </c>
      <c r="X4035">
        <v>0</v>
      </c>
      <c r="Y4035">
        <v>14</v>
      </c>
      <c r="Z4035">
        <v>0</v>
      </c>
      <c r="AA4035">
        <v>0</v>
      </c>
      <c r="AB4035">
        <v>1</v>
      </c>
      <c r="AC4035">
        <v>0</v>
      </c>
      <c r="AD4035">
        <v>0</v>
      </c>
      <c r="AE4035">
        <v>0</v>
      </c>
      <c r="AF4035">
        <v>0</v>
      </c>
      <c r="AK4035">
        <v>0</v>
      </c>
      <c r="AL4035">
        <v>0</v>
      </c>
      <c r="AM4035">
        <v>0</v>
      </c>
      <c r="AN4035">
        <v>0</v>
      </c>
      <c r="AP4035">
        <v>0</v>
      </c>
      <c r="AS4035">
        <v>1</v>
      </c>
      <c r="AT4035">
        <v>0</v>
      </c>
      <c r="AU4035">
        <v>2</v>
      </c>
      <c r="AV4035">
        <v>44</v>
      </c>
      <c r="AW4035">
        <v>44</v>
      </c>
      <c r="AX4035">
        <v>76</v>
      </c>
      <c r="BA4035">
        <v>1</v>
      </c>
      <c r="BC4035" t="s">
        <v>8177</v>
      </c>
      <c r="BD4035" s="4">
        <v>43283.23333333333</v>
      </c>
      <c r="BE4035" s="4">
        <v>43283.265868055554</v>
      </c>
      <c r="BF4035" s="4">
        <v>43283.265868055554</v>
      </c>
      <c r="BG4035" t="s">
        <v>83</v>
      </c>
      <c r="BH4035" t="s">
        <v>84</v>
      </c>
      <c r="BI4035" t="s">
        <v>85</v>
      </c>
    </row>
    <row r="4036" spans="1:61" x14ac:dyDescent="0.3">
      <c r="A4036" t="str">
        <f>"200669B0100"</f>
        <v>200669B0100</v>
      </c>
      <c r="B4036" t="s">
        <v>8178</v>
      </c>
      <c r="C4036">
        <v>20</v>
      </c>
      <c r="D4036" t="s">
        <v>79</v>
      </c>
      <c r="E4036">
        <v>19</v>
      </c>
      <c r="F4036" t="s">
        <v>8046</v>
      </c>
      <c r="G4036">
        <v>669</v>
      </c>
      <c r="H4036">
        <v>1</v>
      </c>
      <c r="I4036" t="s">
        <v>81</v>
      </c>
      <c r="J4036">
        <v>0</v>
      </c>
      <c r="K4036">
        <v>1</v>
      </c>
      <c r="L4036">
        <v>2</v>
      </c>
      <c r="M4036">
        <v>262</v>
      </c>
      <c r="N4036">
        <v>425</v>
      </c>
      <c r="O4036">
        <v>2</v>
      </c>
      <c r="P4036">
        <v>423</v>
      </c>
      <c r="Q4036">
        <v>10</v>
      </c>
      <c r="R4036">
        <v>65</v>
      </c>
      <c r="S4036">
        <v>3</v>
      </c>
      <c r="T4036">
        <v>4</v>
      </c>
      <c r="U4036">
        <v>7</v>
      </c>
      <c r="V4036">
        <v>10</v>
      </c>
      <c r="W4036">
        <v>1</v>
      </c>
      <c r="X4036">
        <v>12</v>
      </c>
      <c r="Y4036">
        <v>267</v>
      </c>
      <c r="Z4036">
        <v>5</v>
      </c>
      <c r="AA4036">
        <v>1</v>
      </c>
      <c r="AB4036">
        <v>12</v>
      </c>
      <c r="AC4036">
        <v>1</v>
      </c>
      <c r="AD4036" t="s">
        <v>100</v>
      </c>
      <c r="AE4036" t="s">
        <v>100</v>
      </c>
      <c r="AF4036" t="s">
        <v>100</v>
      </c>
      <c r="AK4036">
        <v>11</v>
      </c>
      <c r="AL4036" t="s">
        <v>100</v>
      </c>
      <c r="AM4036" t="s">
        <v>100</v>
      </c>
      <c r="AN4036" t="s">
        <v>100</v>
      </c>
      <c r="AP4036" t="s">
        <v>100</v>
      </c>
      <c r="AS4036" t="s">
        <v>100</v>
      </c>
      <c r="AT4036" t="s">
        <v>100</v>
      </c>
      <c r="AU4036">
        <v>13</v>
      </c>
      <c r="AV4036">
        <v>423</v>
      </c>
      <c r="AW4036">
        <v>422</v>
      </c>
      <c r="AX4036">
        <v>659</v>
      </c>
      <c r="AZ4036" t="s">
        <v>101</v>
      </c>
      <c r="BA4036">
        <v>1</v>
      </c>
      <c r="BC4036" t="s">
        <v>8179</v>
      </c>
      <c r="BD4036" s="4">
        <v>43283.289583333331</v>
      </c>
      <c r="BE4036" s="4">
        <v>43283.325567129628</v>
      </c>
      <c r="BF4036" s="4">
        <v>43283.325567129628</v>
      </c>
      <c r="BG4036" t="s">
        <v>83</v>
      </c>
      <c r="BH4036" t="s">
        <v>84</v>
      </c>
      <c r="BI4036" t="s">
        <v>85</v>
      </c>
    </row>
    <row r="4037" spans="1:61" x14ac:dyDescent="0.3">
      <c r="A4037" t="str">
        <f>"200669C0100"</f>
        <v>200669C0100</v>
      </c>
      <c r="B4037" t="s">
        <v>8180</v>
      </c>
      <c r="C4037">
        <v>20</v>
      </c>
      <c r="D4037" t="s">
        <v>79</v>
      </c>
      <c r="E4037">
        <v>19</v>
      </c>
      <c r="F4037" t="s">
        <v>8046</v>
      </c>
      <c r="G4037">
        <v>669</v>
      </c>
      <c r="H4037">
        <v>1</v>
      </c>
      <c r="I4037" t="s">
        <v>89</v>
      </c>
      <c r="J4037">
        <v>0</v>
      </c>
      <c r="K4037">
        <v>1</v>
      </c>
      <c r="L4037">
        <v>2</v>
      </c>
      <c r="M4037">
        <v>268</v>
      </c>
      <c r="N4037">
        <v>417</v>
      </c>
      <c r="O4037">
        <v>16</v>
      </c>
      <c r="P4037">
        <v>417</v>
      </c>
      <c r="Q4037">
        <v>23</v>
      </c>
      <c r="R4037">
        <v>36</v>
      </c>
      <c r="S4037">
        <v>3</v>
      </c>
      <c r="T4037">
        <v>2</v>
      </c>
      <c r="U4037">
        <v>19</v>
      </c>
      <c r="V4037">
        <v>15</v>
      </c>
      <c r="W4037">
        <v>2</v>
      </c>
      <c r="X4037">
        <v>10</v>
      </c>
      <c r="Y4037">
        <v>268</v>
      </c>
      <c r="Z4037">
        <v>5</v>
      </c>
      <c r="AA4037">
        <v>1</v>
      </c>
      <c r="AB4037">
        <v>9</v>
      </c>
      <c r="AC4037">
        <v>3</v>
      </c>
      <c r="AD4037">
        <v>0</v>
      </c>
      <c r="AE4037">
        <v>0</v>
      </c>
      <c r="AF4037">
        <v>0</v>
      </c>
      <c r="AK4037">
        <v>3</v>
      </c>
      <c r="AL4037">
        <v>1</v>
      </c>
      <c r="AM4037">
        <v>0</v>
      </c>
      <c r="AN4037">
        <v>0</v>
      </c>
      <c r="AP4037">
        <v>2</v>
      </c>
      <c r="AS4037">
        <v>4</v>
      </c>
      <c r="AT4037">
        <v>0</v>
      </c>
      <c r="AU4037">
        <v>10</v>
      </c>
      <c r="AV4037">
        <v>417</v>
      </c>
      <c r="AW4037">
        <v>416</v>
      </c>
      <c r="AX4037">
        <v>659</v>
      </c>
      <c r="BA4037">
        <v>1</v>
      </c>
      <c r="BC4037" t="s">
        <v>8181</v>
      </c>
      <c r="BD4037" s="4">
        <v>43283.292361111111</v>
      </c>
      <c r="BE4037" s="4">
        <v>43283.322395833333</v>
      </c>
      <c r="BF4037" s="4">
        <v>43283.322395833333</v>
      </c>
      <c r="BG4037" t="s">
        <v>83</v>
      </c>
      <c r="BH4037" t="s">
        <v>84</v>
      </c>
      <c r="BI4037" t="s">
        <v>85</v>
      </c>
    </row>
    <row r="4038" spans="1:61" x14ac:dyDescent="0.3">
      <c r="A4038" t="str">
        <f>"200669C0200"</f>
        <v>200669C0200</v>
      </c>
      <c r="B4038" t="s">
        <v>8182</v>
      </c>
      <c r="C4038">
        <v>20</v>
      </c>
      <c r="D4038" t="s">
        <v>79</v>
      </c>
      <c r="E4038">
        <v>19</v>
      </c>
      <c r="F4038" t="s">
        <v>8046</v>
      </c>
      <c r="G4038">
        <v>669</v>
      </c>
      <c r="H4038">
        <v>2</v>
      </c>
      <c r="I4038" t="s">
        <v>89</v>
      </c>
      <c r="J4038">
        <v>0</v>
      </c>
      <c r="K4038">
        <v>1</v>
      </c>
      <c r="L4038">
        <v>2</v>
      </c>
      <c r="M4038">
        <v>254</v>
      </c>
      <c r="N4038">
        <v>430</v>
      </c>
      <c r="O4038">
        <v>7</v>
      </c>
      <c r="P4038">
        <v>430</v>
      </c>
      <c r="Q4038">
        <v>21</v>
      </c>
      <c r="R4038">
        <v>29</v>
      </c>
      <c r="S4038">
        <v>4</v>
      </c>
      <c r="T4038">
        <v>5</v>
      </c>
      <c r="U4038">
        <v>22</v>
      </c>
      <c r="V4038">
        <v>13</v>
      </c>
      <c r="W4038">
        <v>5</v>
      </c>
      <c r="X4038">
        <v>6</v>
      </c>
      <c r="Y4038">
        <v>289</v>
      </c>
      <c r="Z4038">
        <v>5</v>
      </c>
      <c r="AA4038">
        <v>1</v>
      </c>
      <c r="AB4038">
        <v>3</v>
      </c>
      <c r="AC4038" t="s">
        <v>100</v>
      </c>
      <c r="AD4038" t="s">
        <v>100</v>
      </c>
      <c r="AE4038" t="s">
        <v>100</v>
      </c>
      <c r="AF4038" t="s">
        <v>100</v>
      </c>
      <c r="AK4038" t="s">
        <v>100</v>
      </c>
      <c r="AL4038" t="s">
        <v>100</v>
      </c>
      <c r="AM4038" t="s">
        <v>100</v>
      </c>
      <c r="AN4038" t="s">
        <v>100</v>
      </c>
      <c r="AP4038" t="s">
        <v>100</v>
      </c>
      <c r="AS4038">
        <v>3</v>
      </c>
      <c r="AT4038" t="s">
        <v>100</v>
      </c>
      <c r="AU4038">
        <v>24</v>
      </c>
      <c r="AV4038">
        <v>430</v>
      </c>
      <c r="AW4038">
        <v>430</v>
      </c>
      <c r="AX4038">
        <v>658</v>
      </c>
      <c r="AZ4038" t="s">
        <v>101</v>
      </c>
      <c r="BA4038">
        <v>1</v>
      </c>
      <c r="BC4038" t="s">
        <v>8183</v>
      </c>
      <c r="BD4038" s="4">
        <v>43283.292361111111</v>
      </c>
      <c r="BE4038" s="4">
        <v>43283.328784722224</v>
      </c>
      <c r="BF4038" s="4">
        <v>43283.328784722224</v>
      </c>
      <c r="BG4038" t="s">
        <v>83</v>
      </c>
      <c r="BH4038" t="s">
        <v>84</v>
      </c>
      <c r="BI4038" t="s">
        <v>85</v>
      </c>
    </row>
    <row r="4039" spans="1:61" x14ac:dyDescent="0.3">
      <c r="A4039" t="str">
        <f>"200669C0300"</f>
        <v>200669C0300</v>
      </c>
      <c r="B4039" t="s">
        <v>8184</v>
      </c>
      <c r="C4039">
        <v>20</v>
      </c>
      <c r="D4039" t="s">
        <v>79</v>
      </c>
      <c r="E4039">
        <v>19</v>
      </c>
      <c r="F4039" t="s">
        <v>8046</v>
      </c>
      <c r="G4039">
        <v>669</v>
      </c>
      <c r="H4039">
        <v>3</v>
      </c>
      <c r="I4039" t="s">
        <v>89</v>
      </c>
      <c r="J4039">
        <v>0</v>
      </c>
      <c r="K4039">
        <v>1</v>
      </c>
      <c r="L4039">
        <v>2</v>
      </c>
      <c r="M4039">
        <v>273</v>
      </c>
      <c r="N4039">
        <v>411</v>
      </c>
      <c r="O4039">
        <v>11</v>
      </c>
      <c r="P4039">
        <v>411</v>
      </c>
      <c r="Q4039">
        <v>17</v>
      </c>
      <c r="R4039">
        <v>39</v>
      </c>
      <c r="S4039">
        <v>5</v>
      </c>
      <c r="T4039">
        <v>6</v>
      </c>
      <c r="U4039">
        <v>15</v>
      </c>
      <c r="V4039">
        <v>20</v>
      </c>
      <c r="W4039">
        <v>4</v>
      </c>
      <c r="X4039">
        <v>4</v>
      </c>
      <c r="Y4039">
        <v>267</v>
      </c>
      <c r="Z4039">
        <v>1</v>
      </c>
      <c r="AA4039">
        <v>0</v>
      </c>
      <c r="AB4039">
        <v>7</v>
      </c>
      <c r="AC4039" t="s">
        <v>100</v>
      </c>
      <c r="AD4039" t="s">
        <v>100</v>
      </c>
      <c r="AE4039" t="s">
        <v>100</v>
      </c>
      <c r="AF4039" t="s">
        <v>100</v>
      </c>
      <c r="AK4039">
        <v>7</v>
      </c>
      <c r="AL4039" t="s">
        <v>100</v>
      </c>
      <c r="AM4039">
        <v>2</v>
      </c>
      <c r="AN4039">
        <v>7</v>
      </c>
      <c r="AP4039">
        <v>1</v>
      </c>
      <c r="AS4039">
        <v>1</v>
      </c>
      <c r="AT4039" t="s">
        <v>100</v>
      </c>
      <c r="AU4039">
        <v>13</v>
      </c>
      <c r="AV4039">
        <v>411</v>
      </c>
      <c r="AW4039">
        <v>416</v>
      </c>
      <c r="AX4039">
        <v>658</v>
      </c>
      <c r="AZ4039" t="s">
        <v>101</v>
      </c>
      <c r="BA4039">
        <v>1</v>
      </c>
      <c r="BC4039" t="s">
        <v>8185</v>
      </c>
      <c r="BD4039" s="4">
        <v>43283.292361111111</v>
      </c>
      <c r="BE4039" s="4">
        <v>43283.373379629629</v>
      </c>
      <c r="BF4039" s="4">
        <v>43283.373379629629</v>
      </c>
      <c r="BG4039" t="s">
        <v>83</v>
      </c>
      <c r="BH4039" t="s">
        <v>84</v>
      </c>
      <c r="BI4039" t="s">
        <v>85</v>
      </c>
    </row>
    <row r="4040" spans="1:61" x14ac:dyDescent="0.3">
      <c r="A4040" t="str">
        <f>"200669E0100"</f>
        <v>200669E0100</v>
      </c>
      <c r="B4040" s="2" t="s">
        <v>8186</v>
      </c>
      <c r="C4040">
        <v>20</v>
      </c>
      <c r="D4040" t="s">
        <v>79</v>
      </c>
      <c r="E4040">
        <v>19</v>
      </c>
      <c r="F4040" t="s">
        <v>8046</v>
      </c>
      <c r="G4040">
        <v>669</v>
      </c>
      <c r="H4040">
        <v>1</v>
      </c>
      <c r="I4040" t="s">
        <v>145</v>
      </c>
      <c r="J4040">
        <v>0</v>
      </c>
      <c r="K4040">
        <v>1</v>
      </c>
      <c r="L4040">
        <v>2</v>
      </c>
      <c r="M4040">
        <v>228</v>
      </c>
      <c r="N4040">
        <v>317</v>
      </c>
      <c r="O4040">
        <v>6</v>
      </c>
      <c r="P4040">
        <v>315</v>
      </c>
      <c r="Q4040">
        <v>11</v>
      </c>
      <c r="R4040">
        <v>41</v>
      </c>
      <c r="S4040">
        <v>6</v>
      </c>
      <c r="T4040">
        <v>7</v>
      </c>
      <c r="U4040">
        <v>13</v>
      </c>
      <c r="V4040">
        <v>10</v>
      </c>
      <c r="W4040">
        <v>3</v>
      </c>
      <c r="X4040">
        <v>16</v>
      </c>
      <c r="Y4040">
        <v>175</v>
      </c>
      <c r="Z4040">
        <v>5</v>
      </c>
      <c r="AA4040">
        <v>0</v>
      </c>
      <c r="AB4040">
        <v>3</v>
      </c>
      <c r="AC4040">
        <v>0</v>
      </c>
      <c r="AD4040">
        <v>0</v>
      </c>
      <c r="AE4040">
        <v>0</v>
      </c>
      <c r="AF4040">
        <v>0</v>
      </c>
      <c r="AK4040">
        <v>2</v>
      </c>
      <c r="AL4040">
        <v>2</v>
      </c>
      <c r="AM4040">
        <v>0</v>
      </c>
      <c r="AN4040">
        <v>0</v>
      </c>
      <c r="AP4040">
        <v>1</v>
      </c>
      <c r="AS4040">
        <v>2</v>
      </c>
      <c r="AT4040">
        <v>0</v>
      </c>
      <c r="AU4040">
        <v>18</v>
      </c>
      <c r="AV4040">
        <v>315</v>
      </c>
      <c r="AW4040">
        <v>315</v>
      </c>
      <c r="AX4040">
        <v>519</v>
      </c>
      <c r="BA4040">
        <v>1</v>
      </c>
      <c r="BC4040" t="s">
        <v>8187</v>
      </c>
      <c r="BD4040" s="4">
        <v>43283.216666666667</v>
      </c>
      <c r="BE4040" s="4">
        <v>43283.247430555559</v>
      </c>
      <c r="BF4040" s="4">
        <v>43283.247430555559</v>
      </c>
      <c r="BG4040" t="s">
        <v>83</v>
      </c>
      <c r="BH4040" t="s">
        <v>84</v>
      </c>
      <c r="BI4040" t="s">
        <v>85</v>
      </c>
    </row>
    <row r="4041" spans="1:61" x14ac:dyDescent="0.3">
      <c r="A4041" t="str">
        <f>"200669E0101"</f>
        <v>200669E0101</v>
      </c>
      <c r="B4041" s="2" t="s">
        <v>8188</v>
      </c>
      <c r="C4041">
        <v>20</v>
      </c>
      <c r="D4041" t="s">
        <v>79</v>
      </c>
      <c r="E4041">
        <v>19</v>
      </c>
      <c r="F4041" t="s">
        <v>8046</v>
      </c>
      <c r="G4041">
        <v>669</v>
      </c>
      <c r="H4041">
        <v>1</v>
      </c>
      <c r="I4041" t="s">
        <v>145</v>
      </c>
      <c r="J4041">
        <v>1</v>
      </c>
      <c r="K4041">
        <v>1</v>
      </c>
      <c r="L4041">
        <v>2</v>
      </c>
      <c r="M4041">
        <v>239</v>
      </c>
      <c r="N4041" t="s">
        <v>100</v>
      </c>
      <c r="O4041">
        <v>2</v>
      </c>
      <c r="P4041" t="s">
        <v>100</v>
      </c>
      <c r="Q4041">
        <v>13</v>
      </c>
      <c r="R4041">
        <v>34</v>
      </c>
      <c r="S4041">
        <v>8</v>
      </c>
      <c r="T4041">
        <v>2</v>
      </c>
      <c r="U4041">
        <v>19</v>
      </c>
      <c r="V4041">
        <v>9</v>
      </c>
      <c r="W4041">
        <v>2</v>
      </c>
      <c r="X4041">
        <v>2</v>
      </c>
      <c r="Y4041">
        <v>181</v>
      </c>
      <c r="Z4041">
        <v>9</v>
      </c>
      <c r="AA4041">
        <v>9</v>
      </c>
      <c r="AB4041">
        <v>1</v>
      </c>
      <c r="AC4041">
        <v>0</v>
      </c>
      <c r="AD4041">
        <v>0</v>
      </c>
      <c r="AE4041">
        <v>0</v>
      </c>
      <c r="AF4041">
        <v>2</v>
      </c>
      <c r="AK4041">
        <v>2</v>
      </c>
      <c r="AL4041">
        <v>0</v>
      </c>
      <c r="AM4041">
        <v>0</v>
      </c>
      <c r="AN4041">
        <v>0</v>
      </c>
      <c r="AP4041">
        <v>4</v>
      </c>
      <c r="AS4041">
        <v>2</v>
      </c>
      <c r="AT4041">
        <v>0</v>
      </c>
      <c r="AU4041">
        <v>12</v>
      </c>
      <c r="AV4041">
        <v>301</v>
      </c>
      <c r="AW4041">
        <v>311</v>
      </c>
      <c r="AX4041">
        <v>518</v>
      </c>
      <c r="BA4041">
        <v>1</v>
      </c>
      <c r="BC4041" t="s">
        <v>8189</v>
      </c>
      <c r="BD4041" s="4">
        <v>43283.216666666667</v>
      </c>
      <c r="BE4041" s="4">
        <v>43283.248680555553</v>
      </c>
      <c r="BF4041" s="4">
        <v>43283.248680555553</v>
      </c>
      <c r="BG4041" t="s">
        <v>83</v>
      </c>
      <c r="BH4041" t="s">
        <v>84</v>
      </c>
      <c r="BI4041" t="s">
        <v>85</v>
      </c>
    </row>
    <row r="4042" spans="1:61" x14ac:dyDescent="0.3">
      <c r="A4042" t="str">
        <f>"200669E0102"</f>
        <v>200669E0102</v>
      </c>
      <c r="B4042" s="2" t="s">
        <v>8190</v>
      </c>
      <c r="C4042">
        <v>20</v>
      </c>
      <c r="D4042" t="s">
        <v>79</v>
      </c>
      <c r="E4042">
        <v>19</v>
      </c>
      <c r="F4042" t="s">
        <v>8046</v>
      </c>
      <c r="G4042">
        <v>669</v>
      </c>
      <c r="H4042">
        <v>1</v>
      </c>
      <c r="I4042" t="s">
        <v>145</v>
      </c>
      <c r="J4042">
        <v>2</v>
      </c>
      <c r="K4042">
        <v>1</v>
      </c>
      <c r="L4042">
        <v>2</v>
      </c>
      <c r="M4042">
        <v>227</v>
      </c>
      <c r="N4042">
        <v>317</v>
      </c>
      <c r="O4042">
        <v>7</v>
      </c>
      <c r="P4042">
        <v>319</v>
      </c>
      <c r="Q4042">
        <v>16</v>
      </c>
      <c r="R4042">
        <v>51</v>
      </c>
      <c r="S4042">
        <v>2</v>
      </c>
      <c r="T4042">
        <v>7</v>
      </c>
      <c r="U4042">
        <v>10</v>
      </c>
      <c r="V4042">
        <v>6</v>
      </c>
      <c r="W4042">
        <v>3</v>
      </c>
      <c r="X4042">
        <v>7</v>
      </c>
      <c r="Y4042">
        <v>183</v>
      </c>
      <c r="Z4042">
        <v>9</v>
      </c>
      <c r="AA4042">
        <v>0</v>
      </c>
      <c r="AB4042">
        <v>0</v>
      </c>
      <c r="AC4042">
        <v>1</v>
      </c>
      <c r="AD4042">
        <v>0</v>
      </c>
      <c r="AE4042">
        <v>1</v>
      </c>
      <c r="AF4042">
        <v>0</v>
      </c>
      <c r="AK4042">
        <v>3</v>
      </c>
      <c r="AL4042">
        <v>1</v>
      </c>
      <c r="AM4042">
        <v>0</v>
      </c>
      <c r="AN4042">
        <v>1</v>
      </c>
      <c r="AP4042">
        <v>0</v>
      </c>
      <c r="AS4042">
        <v>4</v>
      </c>
      <c r="AT4042">
        <v>0</v>
      </c>
      <c r="AU4042">
        <v>12</v>
      </c>
      <c r="AV4042">
        <v>319</v>
      </c>
      <c r="AW4042">
        <v>317</v>
      </c>
      <c r="AX4042">
        <v>518</v>
      </c>
      <c r="BA4042">
        <v>1</v>
      </c>
      <c r="BC4042" t="s">
        <v>8191</v>
      </c>
      <c r="BD4042" s="4">
        <v>43283.216666666667</v>
      </c>
      <c r="BE4042" s="4">
        <v>43283.25681712963</v>
      </c>
      <c r="BF4042" s="4">
        <v>43283.25681712963</v>
      </c>
      <c r="BG4042" t="s">
        <v>83</v>
      </c>
      <c r="BH4042" t="s">
        <v>84</v>
      </c>
      <c r="BI4042" t="s">
        <v>85</v>
      </c>
    </row>
    <row r="4043" spans="1:61" x14ac:dyDescent="0.3">
      <c r="A4043" t="str">
        <f>"200670B0100"</f>
        <v>200670B0100</v>
      </c>
      <c r="B4043" t="s">
        <v>8192</v>
      </c>
      <c r="C4043">
        <v>20</v>
      </c>
      <c r="D4043" t="s">
        <v>79</v>
      </c>
      <c r="E4043">
        <v>19</v>
      </c>
      <c r="F4043" t="s">
        <v>8046</v>
      </c>
      <c r="G4043">
        <v>670</v>
      </c>
      <c r="H4043">
        <v>1</v>
      </c>
      <c r="I4043" t="s">
        <v>81</v>
      </c>
      <c r="J4043">
        <v>0</v>
      </c>
      <c r="K4043">
        <v>1</v>
      </c>
      <c r="L4043">
        <v>2</v>
      </c>
      <c r="M4043" t="s">
        <v>315</v>
      </c>
      <c r="N4043" t="s">
        <v>315</v>
      </c>
      <c r="O4043" t="s">
        <v>315</v>
      </c>
      <c r="P4043" t="s">
        <v>315</v>
      </c>
      <c r="Q4043" t="s">
        <v>315</v>
      </c>
      <c r="R4043" t="s">
        <v>315</v>
      </c>
      <c r="S4043" t="s">
        <v>315</v>
      </c>
      <c r="T4043" t="s">
        <v>315</v>
      </c>
      <c r="U4043" t="s">
        <v>315</v>
      </c>
      <c r="V4043" t="s">
        <v>315</v>
      </c>
      <c r="W4043" t="s">
        <v>315</v>
      </c>
      <c r="X4043" t="s">
        <v>315</v>
      </c>
      <c r="Y4043" t="s">
        <v>315</v>
      </c>
      <c r="Z4043" t="s">
        <v>315</v>
      </c>
      <c r="AA4043" t="s">
        <v>315</v>
      </c>
      <c r="AB4043" t="s">
        <v>315</v>
      </c>
      <c r="AC4043" t="s">
        <v>315</v>
      </c>
      <c r="AD4043" t="s">
        <v>315</v>
      </c>
      <c r="AE4043" t="s">
        <v>315</v>
      </c>
      <c r="AF4043" t="s">
        <v>315</v>
      </c>
      <c r="AK4043" t="s">
        <v>315</v>
      </c>
      <c r="AL4043" t="s">
        <v>315</v>
      </c>
      <c r="AM4043" t="s">
        <v>315</v>
      </c>
      <c r="AN4043" t="s">
        <v>315</v>
      </c>
      <c r="AP4043" t="s">
        <v>315</v>
      </c>
      <c r="AS4043" t="s">
        <v>315</v>
      </c>
      <c r="AT4043" t="s">
        <v>315</v>
      </c>
      <c r="AU4043" t="s">
        <v>315</v>
      </c>
      <c r="AX4043">
        <v>735</v>
      </c>
      <c r="AZ4043" t="s">
        <v>794</v>
      </c>
      <c r="BA4043">
        <v>0</v>
      </c>
      <c r="BC4043" t="s">
        <v>8193</v>
      </c>
      <c r="BD4043" s="4">
        <v>43283.203472222223</v>
      </c>
      <c r="BE4043" s="4">
        <v>43283.380555555559</v>
      </c>
      <c r="BF4043" s="4">
        <v>43283.380555555559</v>
      </c>
      <c r="BG4043" t="s">
        <v>83</v>
      </c>
      <c r="BH4043" t="s">
        <v>84</v>
      </c>
      <c r="BI4043" t="s">
        <v>85</v>
      </c>
    </row>
    <row r="4044" spans="1:61" x14ac:dyDescent="0.3">
      <c r="A4044" t="str">
        <f>"200670C0100"</f>
        <v>200670C0100</v>
      </c>
      <c r="B4044" t="s">
        <v>8194</v>
      </c>
      <c r="C4044">
        <v>20</v>
      </c>
      <c r="D4044" t="s">
        <v>79</v>
      </c>
      <c r="E4044">
        <v>19</v>
      </c>
      <c r="F4044" t="s">
        <v>8046</v>
      </c>
      <c r="G4044">
        <v>670</v>
      </c>
      <c r="H4044">
        <v>1</v>
      </c>
      <c r="I4044" t="s">
        <v>89</v>
      </c>
      <c r="J4044">
        <v>0</v>
      </c>
      <c r="K4044">
        <v>1</v>
      </c>
      <c r="L4044">
        <v>2</v>
      </c>
      <c r="AX4044">
        <v>735</v>
      </c>
      <c r="AZ4044" t="s">
        <v>156</v>
      </c>
      <c r="BA4044">
        <v>0</v>
      </c>
      <c r="BC4044" t="s">
        <v>8195</v>
      </c>
      <c r="BD4044" s="4">
        <v>43283.775000000001</v>
      </c>
      <c r="BE4044" s="4">
        <v>43283.780949074076</v>
      </c>
      <c r="BF4044" s="4">
        <v>43283.780949074076</v>
      </c>
      <c r="BG4044" t="s">
        <v>83</v>
      </c>
      <c r="BH4044" t="s">
        <v>84</v>
      </c>
      <c r="BI4044" t="s">
        <v>85</v>
      </c>
    </row>
    <row r="4045" spans="1:61" x14ac:dyDescent="0.3">
      <c r="A4045" t="str">
        <f>"200670C0200"</f>
        <v>200670C0200</v>
      </c>
      <c r="B4045" t="s">
        <v>8196</v>
      </c>
      <c r="C4045">
        <v>20</v>
      </c>
      <c r="D4045" t="s">
        <v>79</v>
      </c>
      <c r="E4045">
        <v>19</v>
      </c>
      <c r="F4045" t="s">
        <v>8046</v>
      </c>
      <c r="G4045">
        <v>670</v>
      </c>
      <c r="H4045">
        <v>2</v>
      </c>
      <c r="I4045" t="s">
        <v>89</v>
      </c>
      <c r="J4045">
        <v>0</v>
      </c>
      <c r="K4045">
        <v>1</v>
      </c>
      <c r="L4045">
        <v>2</v>
      </c>
      <c r="M4045">
        <v>302</v>
      </c>
      <c r="N4045">
        <v>458</v>
      </c>
      <c r="O4045">
        <v>6</v>
      </c>
      <c r="P4045">
        <v>460</v>
      </c>
      <c r="Q4045">
        <v>26</v>
      </c>
      <c r="R4045">
        <v>43</v>
      </c>
      <c r="S4045">
        <v>3</v>
      </c>
      <c r="T4045">
        <v>10</v>
      </c>
      <c r="U4045">
        <v>16</v>
      </c>
      <c r="V4045">
        <v>15</v>
      </c>
      <c r="W4045">
        <v>2</v>
      </c>
      <c r="X4045">
        <v>13</v>
      </c>
      <c r="Y4045">
        <v>280</v>
      </c>
      <c r="Z4045">
        <v>3</v>
      </c>
      <c r="AA4045">
        <v>1</v>
      </c>
      <c r="AB4045">
        <v>11</v>
      </c>
      <c r="AC4045">
        <v>2</v>
      </c>
      <c r="AD4045">
        <v>0</v>
      </c>
      <c r="AE4045">
        <v>0</v>
      </c>
      <c r="AF4045">
        <v>0</v>
      </c>
      <c r="AK4045">
        <v>1</v>
      </c>
      <c r="AL4045">
        <v>2</v>
      </c>
      <c r="AM4045">
        <v>0</v>
      </c>
      <c r="AN4045">
        <v>2</v>
      </c>
      <c r="AP4045">
        <v>3</v>
      </c>
      <c r="AS4045">
        <v>5</v>
      </c>
      <c r="AT4045">
        <v>0</v>
      </c>
      <c r="AU4045">
        <v>22</v>
      </c>
      <c r="AV4045">
        <v>460</v>
      </c>
      <c r="AW4045">
        <v>460</v>
      </c>
      <c r="AX4045">
        <v>735</v>
      </c>
      <c r="BA4045">
        <v>1</v>
      </c>
      <c r="BC4045" t="s">
        <v>8197</v>
      </c>
      <c r="BD4045" s="4">
        <v>43283.215277777781</v>
      </c>
      <c r="BE4045" s="4">
        <v>43283.242465277777</v>
      </c>
      <c r="BF4045" s="4">
        <v>43283.242465277777</v>
      </c>
      <c r="BG4045" t="s">
        <v>83</v>
      </c>
      <c r="BH4045" t="s">
        <v>84</v>
      </c>
      <c r="BI4045" t="s">
        <v>85</v>
      </c>
    </row>
    <row r="4046" spans="1:61" x14ac:dyDescent="0.3">
      <c r="A4046" t="str">
        <f>"200670C0300"</f>
        <v>200670C0300</v>
      </c>
      <c r="B4046" t="s">
        <v>8198</v>
      </c>
      <c r="C4046">
        <v>20</v>
      </c>
      <c r="D4046" t="s">
        <v>79</v>
      </c>
      <c r="E4046">
        <v>19</v>
      </c>
      <c r="F4046" t="s">
        <v>8046</v>
      </c>
      <c r="G4046">
        <v>670</v>
      </c>
      <c r="H4046">
        <v>3</v>
      </c>
      <c r="I4046" t="s">
        <v>89</v>
      </c>
      <c r="J4046">
        <v>0</v>
      </c>
      <c r="K4046">
        <v>1</v>
      </c>
      <c r="L4046">
        <v>2</v>
      </c>
      <c r="M4046" t="s">
        <v>315</v>
      </c>
      <c r="N4046" t="s">
        <v>315</v>
      </c>
      <c r="O4046" t="s">
        <v>315</v>
      </c>
      <c r="P4046" t="s">
        <v>315</v>
      </c>
      <c r="Q4046" t="s">
        <v>315</v>
      </c>
      <c r="R4046" t="s">
        <v>315</v>
      </c>
      <c r="S4046" t="s">
        <v>315</v>
      </c>
      <c r="T4046" t="s">
        <v>315</v>
      </c>
      <c r="U4046" t="s">
        <v>315</v>
      </c>
      <c r="V4046" t="s">
        <v>315</v>
      </c>
      <c r="W4046" t="s">
        <v>315</v>
      </c>
      <c r="X4046" t="s">
        <v>315</v>
      </c>
      <c r="Y4046" t="s">
        <v>315</v>
      </c>
      <c r="Z4046" t="s">
        <v>315</v>
      </c>
      <c r="AA4046" t="s">
        <v>315</v>
      </c>
      <c r="AB4046" t="s">
        <v>315</v>
      </c>
      <c r="AC4046" t="s">
        <v>315</v>
      </c>
      <c r="AD4046" t="s">
        <v>315</v>
      </c>
      <c r="AE4046" t="s">
        <v>315</v>
      </c>
      <c r="AF4046" t="s">
        <v>315</v>
      </c>
      <c r="AK4046" t="s">
        <v>315</v>
      </c>
      <c r="AL4046" t="s">
        <v>315</v>
      </c>
      <c r="AM4046" t="s">
        <v>315</v>
      </c>
      <c r="AN4046" t="s">
        <v>315</v>
      </c>
      <c r="AP4046" t="s">
        <v>315</v>
      </c>
      <c r="AS4046" t="s">
        <v>315</v>
      </c>
      <c r="AT4046" t="s">
        <v>315</v>
      </c>
      <c r="AU4046" t="s">
        <v>315</v>
      </c>
      <c r="AX4046">
        <v>734</v>
      </c>
      <c r="AZ4046" t="s">
        <v>794</v>
      </c>
      <c r="BA4046">
        <v>0</v>
      </c>
      <c r="BC4046" t="s">
        <v>8199</v>
      </c>
      <c r="BD4046" s="4">
        <v>43283.211805555555</v>
      </c>
      <c r="BE4046" s="4">
        <v>43283.393657407411</v>
      </c>
      <c r="BF4046" s="4">
        <v>43283.393657407411</v>
      </c>
      <c r="BG4046" t="s">
        <v>83</v>
      </c>
      <c r="BH4046" t="s">
        <v>84</v>
      </c>
      <c r="BI4046" t="s">
        <v>85</v>
      </c>
    </row>
    <row r="4047" spans="1:61" x14ac:dyDescent="0.3">
      <c r="A4047" t="str">
        <f>"200671B0100"</f>
        <v>200671B0100</v>
      </c>
      <c r="B4047" t="s">
        <v>8200</v>
      </c>
      <c r="C4047">
        <v>20</v>
      </c>
      <c r="D4047" t="s">
        <v>79</v>
      </c>
      <c r="E4047">
        <v>19</v>
      </c>
      <c r="F4047" t="s">
        <v>8046</v>
      </c>
      <c r="G4047">
        <v>671</v>
      </c>
      <c r="H4047">
        <v>1</v>
      </c>
      <c r="I4047" t="s">
        <v>81</v>
      </c>
      <c r="J4047">
        <v>0</v>
      </c>
      <c r="K4047">
        <v>1</v>
      </c>
      <c r="L4047">
        <v>2</v>
      </c>
      <c r="M4047" t="s">
        <v>100</v>
      </c>
      <c r="N4047" t="s">
        <v>100</v>
      </c>
      <c r="O4047" t="s">
        <v>100</v>
      </c>
      <c r="P4047" t="s">
        <v>100</v>
      </c>
      <c r="Q4047" t="s">
        <v>100</v>
      </c>
      <c r="R4047" t="s">
        <v>100</v>
      </c>
      <c r="S4047" t="s">
        <v>100</v>
      </c>
      <c r="T4047" t="s">
        <v>100</v>
      </c>
      <c r="U4047" t="s">
        <v>100</v>
      </c>
      <c r="V4047" t="s">
        <v>100</v>
      </c>
      <c r="W4047" t="s">
        <v>100</v>
      </c>
      <c r="X4047" t="s">
        <v>100</v>
      </c>
      <c r="Y4047" t="s">
        <v>100</v>
      </c>
      <c r="Z4047" t="s">
        <v>100</v>
      </c>
      <c r="AA4047" t="s">
        <v>100</v>
      </c>
      <c r="AB4047" t="s">
        <v>100</v>
      </c>
      <c r="AC4047" t="s">
        <v>100</v>
      </c>
      <c r="AD4047" t="s">
        <v>100</v>
      </c>
      <c r="AE4047" t="s">
        <v>100</v>
      </c>
      <c r="AF4047" t="s">
        <v>100</v>
      </c>
      <c r="AK4047" t="s">
        <v>100</v>
      </c>
      <c r="AL4047" t="s">
        <v>100</v>
      </c>
      <c r="AM4047" t="s">
        <v>100</v>
      </c>
      <c r="AN4047" t="s">
        <v>100</v>
      </c>
      <c r="AP4047" t="s">
        <v>100</v>
      </c>
      <c r="AS4047" t="s">
        <v>100</v>
      </c>
      <c r="AT4047" t="s">
        <v>100</v>
      </c>
      <c r="AU4047" t="s">
        <v>100</v>
      </c>
      <c r="AX4047">
        <v>736</v>
      </c>
      <c r="AZ4047" t="s">
        <v>794</v>
      </c>
      <c r="BA4047">
        <v>0</v>
      </c>
      <c r="BC4047" t="s">
        <v>8201</v>
      </c>
      <c r="BD4047" s="4">
        <v>43283.250694444447</v>
      </c>
      <c r="BE4047" s="4">
        <v>43283.378611111111</v>
      </c>
      <c r="BF4047" s="4">
        <v>43283.378611111111</v>
      </c>
      <c r="BG4047" t="s">
        <v>83</v>
      </c>
      <c r="BH4047" t="s">
        <v>84</v>
      </c>
      <c r="BI4047" t="s">
        <v>85</v>
      </c>
    </row>
    <row r="4048" spans="1:61" x14ac:dyDescent="0.3">
      <c r="A4048" t="str">
        <f>"200671C0100"</f>
        <v>200671C0100</v>
      </c>
      <c r="B4048" t="s">
        <v>8202</v>
      </c>
      <c r="C4048">
        <v>20</v>
      </c>
      <c r="D4048" t="s">
        <v>79</v>
      </c>
      <c r="E4048">
        <v>19</v>
      </c>
      <c r="F4048" t="s">
        <v>8046</v>
      </c>
      <c r="G4048">
        <v>671</v>
      </c>
      <c r="H4048">
        <v>1</v>
      </c>
      <c r="I4048" t="s">
        <v>89</v>
      </c>
      <c r="J4048">
        <v>0</v>
      </c>
      <c r="K4048">
        <v>1</v>
      </c>
      <c r="L4048">
        <v>2</v>
      </c>
      <c r="M4048">
        <v>281</v>
      </c>
      <c r="N4048">
        <v>481</v>
      </c>
      <c r="O4048">
        <v>7</v>
      </c>
      <c r="P4048">
        <v>481</v>
      </c>
      <c r="Q4048">
        <v>23</v>
      </c>
      <c r="R4048">
        <v>67</v>
      </c>
      <c r="S4048">
        <v>2</v>
      </c>
      <c r="T4048">
        <v>13</v>
      </c>
      <c r="U4048">
        <v>15</v>
      </c>
      <c r="V4048">
        <v>17</v>
      </c>
      <c r="W4048">
        <v>2</v>
      </c>
      <c r="X4048">
        <v>8</v>
      </c>
      <c r="Y4048">
        <v>294</v>
      </c>
      <c r="Z4048">
        <v>3</v>
      </c>
      <c r="AA4048">
        <v>0</v>
      </c>
      <c r="AB4048">
        <v>9</v>
      </c>
      <c r="AC4048">
        <v>0</v>
      </c>
      <c r="AD4048">
        <v>1</v>
      </c>
      <c r="AE4048">
        <v>0</v>
      </c>
      <c r="AF4048">
        <v>0</v>
      </c>
      <c r="AK4048">
        <v>4</v>
      </c>
      <c r="AL4048">
        <v>1</v>
      </c>
      <c r="AM4048">
        <v>0</v>
      </c>
      <c r="AN4048">
        <v>1</v>
      </c>
      <c r="AP4048">
        <v>3</v>
      </c>
      <c r="AS4048">
        <v>3</v>
      </c>
      <c r="AT4048">
        <v>0</v>
      </c>
      <c r="AU4048">
        <v>15</v>
      </c>
      <c r="AV4048">
        <v>481</v>
      </c>
      <c r="AW4048">
        <v>481</v>
      </c>
      <c r="AX4048">
        <v>736</v>
      </c>
      <c r="BA4048">
        <v>1</v>
      </c>
      <c r="BC4048" t="s">
        <v>8203</v>
      </c>
      <c r="BD4048" s="4">
        <v>43283.261805555558</v>
      </c>
      <c r="BE4048" s="4">
        <v>43283.302905092591</v>
      </c>
      <c r="BF4048" s="4">
        <v>43283.302905092591</v>
      </c>
      <c r="BG4048" t="s">
        <v>83</v>
      </c>
      <c r="BH4048" t="s">
        <v>84</v>
      </c>
      <c r="BI4048" t="s">
        <v>85</v>
      </c>
    </row>
    <row r="4049" spans="1:61" x14ac:dyDescent="0.3">
      <c r="A4049" t="str">
        <f>"200672B0100"</f>
        <v>200672B0100</v>
      </c>
      <c r="B4049" t="s">
        <v>8204</v>
      </c>
      <c r="C4049">
        <v>20</v>
      </c>
      <c r="D4049" t="s">
        <v>79</v>
      </c>
      <c r="E4049">
        <v>19</v>
      </c>
      <c r="F4049" t="s">
        <v>8046</v>
      </c>
      <c r="G4049">
        <v>672</v>
      </c>
      <c r="H4049">
        <v>1</v>
      </c>
      <c r="I4049" t="s">
        <v>81</v>
      </c>
      <c r="J4049">
        <v>0</v>
      </c>
      <c r="K4049">
        <v>1</v>
      </c>
      <c r="L4049">
        <v>2</v>
      </c>
      <c r="M4049">
        <v>240</v>
      </c>
      <c r="N4049">
        <v>371</v>
      </c>
      <c r="O4049">
        <v>11</v>
      </c>
      <c r="P4049">
        <v>372</v>
      </c>
      <c r="Q4049">
        <v>22</v>
      </c>
      <c r="R4049">
        <v>52</v>
      </c>
      <c r="S4049">
        <v>8</v>
      </c>
      <c r="T4049">
        <v>3</v>
      </c>
      <c r="U4049">
        <v>12</v>
      </c>
      <c r="V4049">
        <v>10</v>
      </c>
      <c r="W4049">
        <v>3</v>
      </c>
      <c r="X4049">
        <v>7</v>
      </c>
      <c r="Y4049">
        <v>221</v>
      </c>
      <c r="Z4049">
        <v>7</v>
      </c>
      <c r="AA4049">
        <v>0</v>
      </c>
      <c r="AB4049">
        <v>4</v>
      </c>
      <c r="AC4049">
        <v>1</v>
      </c>
      <c r="AD4049">
        <v>0</v>
      </c>
      <c r="AE4049">
        <v>0</v>
      </c>
      <c r="AF4049">
        <v>0</v>
      </c>
      <c r="AK4049">
        <v>3</v>
      </c>
      <c r="AL4049">
        <v>1</v>
      </c>
      <c r="AM4049">
        <v>0</v>
      </c>
      <c r="AN4049">
        <v>1</v>
      </c>
      <c r="AP4049">
        <v>2</v>
      </c>
      <c r="AS4049">
        <v>2</v>
      </c>
      <c r="AT4049">
        <v>0</v>
      </c>
      <c r="AU4049">
        <v>13</v>
      </c>
      <c r="AV4049">
        <v>372</v>
      </c>
      <c r="AW4049">
        <v>372</v>
      </c>
      <c r="AX4049">
        <v>585</v>
      </c>
      <c r="BA4049">
        <v>1</v>
      </c>
      <c r="BC4049" t="s">
        <v>8205</v>
      </c>
      <c r="BD4049" s="4">
        <v>43283.34375</v>
      </c>
      <c r="BE4049" s="4">
        <v>43283.371967592589</v>
      </c>
      <c r="BF4049" s="4">
        <v>43283.371967592589</v>
      </c>
      <c r="BG4049" t="s">
        <v>83</v>
      </c>
      <c r="BH4049" t="s">
        <v>84</v>
      </c>
      <c r="BI4049" t="s">
        <v>85</v>
      </c>
    </row>
    <row r="4050" spans="1:61" x14ac:dyDescent="0.3">
      <c r="A4050" t="str">
        <f>"200672C0100"</f>
        <v>200672C0100</v>
      </c>
      <c r="B4050" t="s">
        <v>8206</v>
      </c>
      <c r="C4050">
        <v>20</v>
      </c>
      <c r="D4050" t="s">
        <v>79</v>
      </c>
      <c r="E4050">
        <v>19</v>
      </c>
      <c r="F4050" t="s">
        <v>8046</v>
      </c>
      <c r="G4050">
        <v>672</v>
      </c>
      <c r="H4050">
        <v>1</v>
      </c>
      <c r="I4050" t="s">
        <v>89</v>
      </c>
      <c r="J4050">
        <v>0</v>
      </c>
      <c r="K4050">
        <v>1</v>
      </c>
      <c r="L4050">
        <v>2</v>
      </c>
      <c r="M4050">
        <v>218</v>
      </c>
      <c r="N4050">
        <v>0</v>
      </c>
      <c r="O4050">
        <v>0</v>
      </c>
      <c r="P4050">
        <v>392</v>
      </c>
      <c r="Q4050">
        <v>13</v>
      </c>
      <c r="R4050">
        <v>49</v>
      </c>
      <c r="S4050">
        <v>4</v>
      </c>
      <c r="T4050">
        <v>6</v>
      </c>
      <c r="U4050">
        <v>14</v>
      </c>
      <c r="V4050">
        <v>11</v>
      </c>
      <c r="W4050">
        <v>3</v>
      </c>
      <c r="X4050">
        <v>4</v>
      </c>
      <c r="Y4050">
        <v>259</v>
      </c>
      <c r="Z4050">
        <v>4</v>
      </c>
      <c r="AA4050">
        <v>0</v>
      </c>
      <c r="AB4050">
        <v>4</v>
      </c>
      <c r="AC4050">
        <v>0</v>
      </c>
      <c r="AD4050">
        <v>0</v>
      </c>
      <c r="AE4050">
        <v>0</v>
      </c>
      <c r="AF4050">
        <v>0</v>
      </c>
      <c r="AK4050">
        <v>3</v>
      </c>
      <c r="AL4050">
        <v>2</v>
      </c>
      <c r="AM4050">
        <v>0</v>
      </c>
      <c r="AN4050">
        <v>0</v>
      </c>
      <c r="AP4050">
        <v>2</v>
      </c>
      <c r="AS4050">
        <v>5</v>
      </c>
      <c r="AT4050">
        <v>0</v>
      </c>
      <c r="AU4050">
        <v>7</v>
      </c>
      <c r="AV4050">
        <v>392</v>
      </c>
      <c r="AW4050">
        <v>390</v>
      </c>
      <c r="AX4050">
        <v>585</v>
      </c>
      <c r="BA4050">
        <v>1</v>
      </c>
      <c r="BC4050" t="s">
        <v>8207</v>
      </c>
      <c r="BD4050" s="4">
        <v>43283.345138888886</v>
      </c>
      <c r="BE4050" s="4">
        <v>43283.372777777775</v>
      </c>
      <c r="BF4050" s="4">
        <v>43283.372777777775</v>
      </c>
      <c r="BG4050" t="s">
        <v>83</v>
      </c>
      <c r="BH4050" t="s">
        <v>84</v>
      </c>
      <c r="BI4050" t="s">
        <v>85</v>
      </c>
    </row>
    <row r="4051" spans="1:61" x14ac:dyDescent="0.3">
      <c r="A4051" t="str">
        <f>"200672C0200"</f>
        <v>200672C0200</v>
      </c>
      <c r="B4051" t="s">
        <v>8208</v>
      </c>
      <c r="C4051">
        <v>20</v>
      </c>
      <c r="D4051" t="s">
        <v>79</v>
      </c>
      <c r="E4051">
        <v>19</v>
      </c>
      <c r="F4051" t="s">
        <v>8046</v>
      </c>
      <c r="G4051">
        <v>672</v>
      </c>
      <c r="H4051">
        <v>2</v>
      </c>
      <c r="I4051" t="s">
        <v>89</v>
      </c>
      <c r="J4051">
        <v>0</v>
      </c>
      <c r="K4051">
        <v>1</v>
      </c>
      <c r="L4051">
        <v>2</v>
      </c>
      <c r="M4051" t="s">
        <v>100</v>
      </c>
      <c r="N4051" t="s">
        <v>100</v>
      </c>
      <c r="O4051" t="s">
        <v>100</v>
      </c>
      <c r="P4051" t="s">
        <v>100</v>
      </c>
      <c r="Q4051" t="s">
        <v>100</v>
      </c>
      <c r="R4051" t="s">
        <v>100</v>
      </c>
      <c r="S4051" t="s">
        <v>100</v>
      </c>
      <c r="T4051" t="s">
        <v>100</v>
      </c>
      <c r="U4051" t="s">
        <v>100</v>
      </c>
      <c r="V4051" t="s">
        <v>100</v>
      </c>
      <c r="W4051" t="s">
        <v>100</v>
      </c>
      <c r="X4051" t="s">
        <v>100</v>
      </c>
      <c r="Y4051" t="s">
        <v>100</v>
      </c>
      <c r="Z4051" t="s">
        <v>100</v>
      </c>
      <c r="AA4051" t="s">
        <v>100</v>
      </c>
      <c r="AB4051" t="s">
        <v>100</v>
      </c>
      <c r="AC4051" t="s">
        <v>100</v>
      </c>
      <c r="AD4051" t="s">
        <v>100</v>
      </c>
      <c r="AE4051" t="s">
        <v>100</v>
      </c>
      <c r="AF4051" t="s">
        <v>100</v>
      </c>
      <c r="AK4051" t="s">
        <v>100</v>
      </c>
      <c r="AL4051" t="s">
        <v>100</v>
      </c>
      <c r="AM4051" t="s">
        <v>100</v>
      </c>
      <c r="AN4051" t="s">
        <v>100</v>
      </c>
      <c r="AP4051" t="s">
        <v>100</v>
      </c>
      <c r="AS4051" t="s">
        <v>100</v>
      </c>
      <c r="AT4051" t="s">
        <v>100</v>
      </c>
      <c r="AU4051" t="s">
        <v>100</v>
      </c>
      <c r="AX4051">
        <v>585</v>
      </c>
      <c r="AZ4051" t="s">
        <v>794</v>
      </c>
      <c r="BA4051">
        <v>0</v>
      </c>
      <c r="BC4051" t="s">
        <v>8209</v>
      </c>
      <c r="BD4051" s="4">
        <v>43283.35</v>
      </c>
      <c r="BE4051" s="4">
        <v>43283.499166666668</v>
      </c>
      <c r="BF4051" s="4">
        <v>43283.499166666668</v>
      </c>
      <c r="BG4051" t="s">
        <v>83</v>
      </c>
      <c r="BH4051" t="s">
        <v>84</v>
      </c>
      <c r="BI4051" t="s">
        <v>85</v>
      </c>
    </row>
    <row r="4052" spans="1:61" x14ac:dyDescent="0.3">
      <c r="A4052" t="str">
        <f>"200673B0100"</f>
        <v>200673B0100</v>
      </c>
      <c r="B4052" t="s">
        <v>8210</v>
      </c>
      <c r="C4052">
        <v>20</v>
      </c>
      <c r="D4052" t="s">
        <v>79</v>
      </c>
      <c r="E4052">
        <v>19</v>
      </c>
      <c r="F4052" t="s">
        <v>8046</v>
      </c>
      <c r="G4052">
        <v>673</v>
      </c>
      <c r="H4052">
        <v>1</v>
      </c>
      <c r="I4052" t="s">
        <v>81</v>
      </c>
      <c r="J4052">
        <v>0</v>
      </c>
      <c r="K4052">
        <v>1</v>
      </c>
      <c r="L4052">
        <v>2</v>
      </c>
      <c r="M4052">
        <v>335</v>
      </c>
      <c r="N4052">
        <v>408</v>
      </c>
      <c r="O4052">
        <v>12</v>
      </c>
      <c r="P4052">
        <v>405</v>
      </c>
      <c r="Q4052">
        <v>25</v>
      </c>
      <c r="R4052">
        <v>42</v>
      </c>
      <c r="S4052">
        <v>8</v>
      </c>
      <c r="T4052">
        <v>6</v>
      </c>
      <c r="U4052">
        <v>21</v>
      </c>
      <c r="V4052">
        <v>8</v>
      </c>
      <c r="W4052">
        <v>2</v>
      </c>
      <c r="X4052">
        <v>14</v>
      </c>
      <c r="Y4052">
        <v>226</v>
      </c>
      <c r="Z4052">
        <v>6</v>
      </c>
      <c r="AA4052">
        <v>1</v>
      </c>
      <c r="AB4052">
        <v>17</v>
      </c>
      <c r="AC4052">
        <v>1</v>
      </c>
      <c r="AD4052">
        <v>0</v>
      </c>
      <c r="AE4052">
        <v>0</v>
      </c>
      <c r="AF4052">
        <v>0</v>
      </c>
      <c r="AK4052">
        <v>3</v>
      </c>
      <c r="AL4052">
        <v>0</v>
      </c>
      <c r="AM4052">
        <v>1</v>
      </c>
      <c r="AN4052">
        <v>0</v>
      </c>
      <c r="AP4052">
        <v>6</v>
      </c>
      <c r="AS4052">
        <v>4</v>
      </c>
      <c r="AT4052">
        <v>0</v>
      </c>
      <c r="AU4052">
        <v>14</v>
      </c>
      <c r="AV4052">
        <v>405</v>
      </c>
      <c r="AW4052">
        <v>405</v>
      </c>
      <c r="AX4052">
        <v>715</v>
      </c>
      <c r="BA4052">
        <v>1</v>
      </c>
      <c r="BC4052" t="s">
        <v>8211</v>
      </c>
      <c r="BD4052" s="4">
        <v>43283.336805555555</v>
      </c>
      <c r="BE4052" s="4">
        <v>43283.356724537036</v>
      </c>
      <c r="BF4052" s="4">
        <v>43283.356724537036</v>
      </c>
      <c r="BG4052" t="s">
        <v>83</v>
      </c>
      <c r="BH4052" t="s">
        <v>84</v>
      </c>
      <c r="BI4052" t="s">
        <v>85</v>
      </c>
    </row>
    <row r="4053" spans="1:61" x14ac:dyDescent="0.3">
      <c r="A4053" t="str">
        <f>"200673C0100"</f>
        <v>200673C0100</v>
      </c>
      <c r="B4053" t="s">
        <v>8212</v>
      </c>
      <c r="C4053">
        <v>20</v>
      </c>
      <c r="D4053" t="s">
        <v>79</v>
      </c>
      <c r="E4053">
        <v>19</v>
      </c>
      <c r="F4053" t="s">
        <v>8046</v>
      </c>
      <c r="G4053">
        <v>673</v>
      </c>
      <c r="H4053">
        <v>1</v>
      </c>
      <c r="I4053" t="s">
        <v>89</v>
      </c>
      <c r="J4053">
        <v>0</v>
      </c>
      <c r="K4053">
        <v>1</v>
      </c>
      <c r="L4053">
        <v>2</v>
      </c>
      <c r="M4053">
        <v>304</v>
      </c>
      <c r="N4053">
        <v>436</v>
      </c>
      <c r="O4053">
        <v>6</v>
      </c>
      <c r="P4053">
        <v>435</v>
      </c>
      <c r="Q4053">
        <v>20</v>
      </c>
      <c r="R4053">
        <v>50</v>
      </c>
      <c r="S4053">
        <v>9</v>
      </c>
      <c r="T4053">
        <v>11</v>
      </c>
      <c r="U4053">
        <v>22</v>
      </c>
      <c r="V4053">
        <v>7</v>
      </c>
      <c r="W4053">
        <v>9</v>
      </c>
      <c r="X4053">
        <v>9</v>
      </c>
      <c r="Y4053">
        <v>251</v>
      </c>
      <c r="Z4053">
        <v>5</v>
      </c>
      <c r="AA4053">
        <v>0</v>
      </c>
      <c r="AB4053">
        <v>10</v>
      </c>
      <c r="AC4053">
        <v>0</v>
      </c>
      <c r="AD4053">
        <v>0</v>
      </c>
      <c r="AE4053">
        <v>0</v>
      </c>
      <c r="AF4053">
        <v>0</v>
      </c>
      <c r="AK4053">
        <v>3</v>
      </c>
      <c r="AL4053">
        <v>4</v>
      </c>
      <c r="AM4053">
        <v>0</v>
      </c>
      <c r="AN4053">
        <v>0</v>
      </c>
      <c r="AP4053">
        <v>3</v>
      </c>
      <c r="AS4053">
        <v>7</v>
      </c>
      <c r="AT4053">
        <v>0</v>
      </c>
      <c r="AU4053">
        <v>15</v>
      </c>
      <c r="AV4053">
        <v>436</v>
      </c>
      <c r="AW4053">
        <v>435</v>
      </c>
      <c r="AX4053">
        <v>715</v>
      </c>
      <c r="BA4053">
        <v>1</v>
      </c>
      <c r="BC4053" t="s">
        <v>8213</v>
      </c>
      <c r="BD4053" s="4">
        <v>43283.335416666669</v>
      </c>
      <c r="BE4053" s="4">
        <v>43283.356631944444</v>
      </c>
      <c r="BF4053" s="4">
        <v>43283.356631944444</v>
      </c>
      <c r="BG4053" t="s">
        <v>83</v>
      </c>
      <c r="BH4053" t="s">
        <v>84</v>
      </c>
      <c r="BI4053" t="s">
        <v>85</v>
      </c>
    </row>
    <row r="4054" spans="1:61" x14ac:dyDescent="0.3">
      <c r="A4054" t="str">
        <f>"200673C0200"</f>
        <v>200673C0200</v>
      </c>
      <c r="B4054" t="s">
        <v>8214</v>
      </c>
      <c r="C4054">
        <v>20</v>
      </c>
      <c r="D4054" t="s">
        <v>79</v>
      </c>
      <c r="E4054">
        <v>19</v>
      </c>
      <c r="F4054" t="s">
        <v>8046</v>
      </c>
      <c r="G4054">
        <v>673</v>
      </c>
      <c r="H4054">
        <v>2</v>
      </c>
      <c r="I4054" t="s">
        <v>89</v>
      </c>
      <c r="J4054">
        <v>0</v>
      </c>
      <c r="K4054">
        <v>1</v>
      </c>
      <c r="L4054">
        <v>2</v>
      </c>
      <c r="M4054">
        <v>336</v>
      </c>
      <c r="N4054">
        <v>404</v>
      </c>
      <c r="O4054">
        <v>9</v>
      </c>
      <c r="P4054">
        <v>409</v>
      </c>
      <c r="Q4054">
        <v>11</v>
      </c>
      <c r="R4054">
        <v>53</v>
      </c>
      <c r="S4054">
        <v>8</v>
      </c>
      <c r="T4054">
        <v>12</v>
      </c>
      <c r="U4054">
        <v>14</v>
      </c>
      <c r="V4054">
        <v>10</v>
      </c>
      <c r="W4054">
        <v>7</v>
      </c>
      <c r="X4054">
        <v>5</v>
      </c>
      <c r="Y4054">
        <v>234</v>
      </c>
      <c r="Z4054">
        <v>7</v>
      </c>
      <c r="AA4054">
        <v>0</v>
      </c>
      <c r="AB4054">
        <v>13</v>
      </c>
      <c r="AC4054">
        <v>0</v>
      </c>
      <c r="AD4054">
        <v>0</v>
      </c>
      <c r="AE4054">
        <v>1</v>
      </c>
      <c r="AF4054">
        <v>0</v>
      </c>
      <c r="AK4054">
        <v>4</v>
      </c>
      <c r="AL4054">
        <v>7</v>
      </c>
      <c r="AM4054">
        <v>0</v>
      </c>
      <c r="AN4054">
        <v>4</v>
      </c>
      <c r="AP4054">
        <v>1</v>
      </c>
      <c r="AS4054">
        <v>1</v>
      </c>
      <c r="AT4054">
        <v>0</v>
      </c>
      <c r="AU4054">
        <v>17</v>
      </c>
      <c r="AV4054">
        <v>409</v>
      </c>
      <c r="AW4054">
        <v>409</v>
      </c>
      <c r="AX4054">
        <v>714</v>
      </c>
      <c r="BA4054">
        <v>1</v>
      </c>
      <c r="BC4054" t="s">
        <v>8215</v>
      </c>
      <c r="BD4054" s="4">
        <v>43283.296527777777</v>
      </c>
      <c r="BE4054" s="4">
        <v>43283.336157407408</v>
      </c>
      <c r="BF4054" s="4">
        <v>43283.336157407408</v>
      </c>
      <c r="BG4054" t="s">
        <v>83</v>
      </c>
      <c r="BH4054" t="s">
        <v>84</v>
      </c>
      <c r="BI4054" t="s">
        <v>85</v>
      </c>
    </row>
    <row r="4055" spans="1:61" x14ac:dyDescent="0.3">
      <c r="A4055" t="str">
        <f>"200673C0300"</f>
        <v>200673C0300</v>
      </c>
      <c r="B4055" t="s">
        <v>8216</v>
      </c>
      <c r="C4055">
        <v>20</v>
      </c>
      <c r="D4055" t="s">
        <v>79</v>
      </c>
      <c r="E4055">
        <v>19</v>
      </c>
      <c r="F4055" t="s">
        <v>8046</v>
      </c>
      <c r="G4055">
        <v>673</v>
      </c>
      <c r="H4055">
        <v>3</v>
      </c>
      <c r="I4055" t="s">
        <v>89</v>
      </c>
      <c r="J4055">
        <v>0</v>
      </c>
      <c r="K4055">
        <v>1</v>
      </c>
      <c r="L4055">
        <v>2</v>
      </c>
      <c r="M4055">
        <v>304</v>
      </c>
      <c r="N4055">
        <v>436</v>
      </c>
      <c r="O4055">
        <v>6</v>
      </c>
      <c r="P4055">
        <v>435</v>
      </c>
      <c r="Q4055">
        <v>20</v>
      </c>
      <c r="R4055">
        <v>50</v>
      </c>
      <c r="S4055">
        <v>9</v>
      </c>
      <c r="T4055">
        <v>11</v>
      </c>
      <c r="U4055">
        <v>22</v>
      </c>
      <c r="V4055">
        <v>7</v>
      </c>
      <c r="W4055">
        <v>9</v>
      </c>
      <c r="X4055">
        <v>9</v>
      </c>
      <c r="Y4055">
        <v>251</v>
      </c>
      <c r="Z4055">
        <v>5</v>
      </c>
      <c r="AA4055">
        <v>0</v>
      </c>
      <c r="AB4055">
        <v>10</v>
      </c>
      <c r="AC4055">
        <v>0</v>
      </c>
      <c r="AD4055">
        <v>0</v>
      </c>
      <c r="AE4055">
        <v>0</v>
      </c>
      <c r="AF4055">
        <v>0</v>
      </c>
      <c r="AK4055">
        <v>3</v>
      </c>
      <c r="AL4055">
        <v>4</v>
      </c>
      <c r="AM4055">
        <v>0</v>
      </c>
      <c r="AN4055">
        <v>0</v>
      </c>
      <c r="AP4055">
        <v>3</v>
      </c>
      <c r="AS4055">
        <v>7</v>
      </c>
      <c r="AT4055">
        <v>0</v>
      </c>
      <c r="AU4055">
        <v>15</v>
      </c>
      <c r="AV4055">
        <v>436</v>
      </c>
      <c r="AW4055">
        <v>435</v>
      </c>
      <c r="AX4055">
        <v>714</v>
      </c>
      <c r="BA4055">
        <v>1</v>
      </c>
      <c r="BC4055" t="s">
        <v>8217</v>
      </c>
      <c r="BD4055" s="4">
        <v>43283.335416666669</v>
      </c>
      <c r="BE4055" s="4">
        <v>43283.815451388888</v>
      </c>
      <c r="BF4055" s="4">
        <v>43283.815451388888</v>
      </c>
      <c r="BG4055" t="s">
        <v>83</v>
      </c>
      <c r="BH4055" t="s">
        <v>84</v>
      </c>
      <c r="BI4055" t="s">
        <v>85</v>
      </c>
    </row>
    <row r="4056" spans="1:61" x14ac:dyDescent="0.3">
      <c r="A4056" t="str">
        <f>"200673E0100"</f>
        <v>200673E0100</v>
      </c>
      <c r="B4056" s="2" t="s">
        <v>8218</v>
      </c>
      <c r="C4056">
        <v>20</v>
      </c>
      <c r="D4056" t="s">
        <v>79</v>
      </c>
      <c r="E4056">
        <v>19</v>
      </c>
      <c r="F4056" t="s">
        <v>8046</v>
      </c>
      <c r="G4056">
        <v>673</v>
      </c>
      <c r="H4056">
        <v>1</v>
      </c>
      <c r="I4056" t="s">
        <v>145</v>
      </c>
      <c r="J4056">
        <v>0</v>
      </c>
      <c r="K4056">
        <v>1</v>
      </c>
      <c r="L4056">
        <v>2</v>
      </c>
      <c r="M4056">
        <v>257</v>
      </c>
      <c r="N4056" t="s">
        <v>100</v>
      </c>
      <c r="O4056">
        <v>7</v>
      </c>
      <c r="P4056">
        <v>344</v>
      </c>
      <c r="Q4056">
        <v>17</v>
      </c>
      <c r="R4056">
        <v>25</v>
      </c>
      <c r="S4056">
        <v>2</v>
      </c>
      <c r="T4056">
        <v>10</v>
      </c>
      <c r="U4056">
        <v>19</v>
      </c>
      <c r="V4056">
        <v>11</v>
      </c>
      <c r="W4056">
        <v>3</v>
      </c>
      <c r="X4056">
        <v>13</v>
      </c>
      <c r="Y4056">
        <v>218</v>
      </c>
      <c r="Z4056">
        <v>2</v>
      </c>
      <c r="AA4056">
        <v>3</v>
      </c>
      <c r="AB4056">
        <v>1</v>
      </c>
      <c r="AC4056">
        <v>0</v>
      </c>
      <c r="AD4056">
        <v>0</v>
      </c>
      <c r="AE4056">
        <v>0</v>
      </c>
      <c r="AF4056">
        <v>0</v>
      </c>
      <c r="AK4056">
        <v>3</v>
      </c>
      <c r="AL4056">
        <v>2</v>
      </c>
      <c r="AM4056">
        <v>0</v>
      </c>
      <c r="AN4056">
        <v>2</v>
      </c>
      <c r="AP4056">
        <v>0</v>
      </c>
      <c r="AS4056">
        <v>3</v>
      </c>
      <c r="AT4056">
        <v>0</v>
      </c>
      <c r="AU4056">
        <v>10</v>
      </c>
      <c r="AV4056">
        <v>344</v>
      </c>
      <c r="AW4056">
        <v>344</v>
      </c>
      <c r="AX4056">
        <v>575</v>
      </c>
      <c r="BA4056">
        <v>1</v>
      </c>
      <c r="BC4056" t="s">
        <v>8219</v>
      </c>
      <c r="BD4056" s="4">
        <v>43283.336805555555</v>
      </c>
      <c r="BE4056" s="4">
        <v>43283.356423611112</v>
      </c>
      <c r="BF4056" s="4">
        <v>43283.356423611112</v>
      </c>
      <c r="BG4056" t="s">
        <v>83</v>
      </c>
      <c r="BH4056" t="s">
        <v>84</v>
      </c>
      <c r="BI4056" t="s">
        <v>85</v>
      </c>
    </row>
    <row r="4057" spans="1:61" x14ac:dyDescent="0.3">
      <c r="A4057" t="str">
        <f>"200673E0101"</f>
        <v>200673E0101</v>
      </c>
      <c r="B4057" s="2" t="s">
        <v>8220</v>
      </c>
      <c r="C4057">
        <v>20</v>
      </c>
      <c r="D4057" t="s">
        <v>79</v>
      </c>
      <c r="E4057">
        <v>19</v>
      </c>
      <c r="F4057" t="s">
        <v>8046</v>
      </c>
      <c r="G4057">
        <v>673</v>
      </c>
      <c r="H4057">
        <v>1</v>
      </c>
      <c r="I4057" t="s">
        <v>145</v>
      </c>
      <c r="J4057">
        <v>1</v>
      </c>
      <c r="K4057">
        <v>1</v>
      </c>
      <c r="L4057">
        <v>2</v>
      </c>
      <c r="AX4057">
        <v>575</v>
      </c>
      <c r="AZ4057" t="s">
        <v>156</v>
      </c>
      <c r="BA4057">
        <v>0</v>
      </c>
      <c r="BC4057" t="s">
        <v>8221</v>
      </c>
      <c r="BD4057" s="4">
        <v>43283.775694444441</v>
      </c>
      <c r="BE4057" s="4">
        <v>43283.781759259262</v>
      </c>
      <c r="BF4057" s="4">
        <v>43283.781759259262</v>
      </c>
      <c r="BG4057" t="s">
        <v>83</v>
      </c>
      <c r="BH4057" t="s">
        <v>84</v>
      </c>
      <c r="BI4057" t="s">
        <v>85</v>
      </c>
    </row>
    <row r="4058" spans="1:61" x14ac:dyDescent="0.3">
      <c r="A4058" t="str">
        <f>"200673E0102"</f>
        <v>200673E0102</v>
      </c>
      <c r="B4058" s="2" t="s">
        <v>8222</v>
      </c>
      <c r="C4058">
        <v>20</v>
      </c>
      <c r="D4058" t="s">
        <v>79</v>
      </c>
      <c r="E4058">
        <v>19</v>
      </c>
      <c r="F4058" t="s">
        <v>8046</v>
      </c>
      <c r="G4058">
        <v>673</v>
      </c>
      <c r="H4058">
        <v>1</v>
      </c>
      <c r="I4058" t="s">
        <v>145</v>
      </c>
      <c r="J4058">
        <v>2</v>
      </c>
      <c r="K4058">
        <v>1</v>
      </c>
      <c r="L4058">
        <v>2</v>
      </c>
      <c r="AX4058">
        <v>575</v>
      </c>
      <c r="AZ4058" t="s">
        <v>156</v>
      </c>
      <c r="BA4058">
        <v>0</v>
      </c>
      <c r="BC4058" t="s">
        <v>8223</v>
      </c>
      <c r="BD4058" s="4">
        <v>43283.780555555553</v>
      </c>
      <c r="BE4058" s="4">
        <v>43283.789085648146</v>
      </c>
      <c r="BF4058" s="4">
        <v>43283.789085648146</v>
      </c>
      <c r="BG4058" t="s">
        <v>83</v>
      </c>
      <c r="BH4058" t="s">
        <v>84</v>
      </c>
      <c r="BI4058" t="s">
        <v>85</v>
      </c>
    </row>
    <row r="4059" spans="1:61" x14ac:dyDescent="0.3">
      <c r="A4059" t="str">
        <f>"200673E0103"</f>
        <v>200673E0103</v>
      </c>
      <c r="B4059" s="2" t="s">
        <v>8224</v>
      </c>
      <c r="C4059">
        <v>20</v>
      </c>
      <c r="D4059" t="s">
        <v>79</v>
      </c>
      <c r="E4059">
        <v>19</v>
      </c>
      <c r="F4059" t="s">
        <v>8046</v>
      </c>
      <c r="G4059">
        <v>673</v>
      </c>
      <c r="H4059">
        <v>1</v>
      </c>
      <c r="I4059" t="s">
        <v>145</v>
      </c>
      <c r="J4059">
        <v>3</v>
      </c>
      <c r="K4059">
        <v>1</v>
      </c>
      <c r="L4059">
        <v>2</v>
      </c>
      <c r="M4059">
        <v>256</v>
      </c>
      <c r="N4059">
        <v>345</v>
      </c>
      <c r="O4059">
        <v>311</v>
      </c>
      <c r="P4059">
        <v>345</v>
      </c>
      <c r="Q4059">
        <v>17</v>
      </c>
      <c r="R4059">
        <v>36</v>
      </c>
      <c r="S4059">
        <v>5</v>
      </c>
      <c r="T4059">
        <v>6</v>
      </c>
      <c r="U4059">
        <v>17</v>
      </c>
      <c r="V4059">
        <v>18</v>
      </c>
      <c r="W4059">
        <v>8</v>
      </c>
      <c r="X4059">
        <v>7</v>
      </c>
      <c r="Y4059">
        <v>202</v>
      </c>
      <c r="Z4059">
        <v>4</v>
      </c>
      <c r="AA4059">
        <v>1</v>
      </c>
      <c r="AB4059">
        <v>1</v>
      </c>
      <c r="AC4059">
        <v>1</v>
      </c>
      <c r="AD4059">
        <v>1</v>
      </c>
      <c r="AE4059">
        <v>0</v>
      </c>
      <c r="AF4059">
        <v>0</v>
      </c>
      <c r="AK4059">
        <v>3</v>
      </c>
      <c r="AL4059">
        <v>2</v>
      </c>
      <c r="AM4059">
        <v>0</v>
      </c>
      <c r="AN4059">
        <v>0</v>
      </c>
      <c r="AP4059">
        <v>2</v>
      </c>
      <c r="AS4059">
        <v>1</v>
      </c>
      <c r="AT4059" t="s">
        <v>100</v>
      </c>
      <c r="AU4059">
        <v>10</v>
      </c>
      <c r="AV4059">
        <v>345</v>
      </c>
      <c r="AW4059">
        <v>342</v>
      </c>
      <c r="AX4059">
        <v>575</v>
      </c>
      <c r="AZ4059" t="s">
        <v>101</v>
      </c>
      <c r="BA4059">
        <v>1</v>
      </c>
      <c r="BC4059" t="s">
        <v>8225</v>
      </c>
      <c r="BD4059" s="4">
        <v>43283.339583333334</v>
      </c>
      <c r="BE4059" s="4">
        <v>43283.49527777778</v>
      </c>
      <c r="BF4059" s="4">
        <v>43283.49527777778</v>
      </c>
      <c r="BG4059" t="s">
        <v>83</v>
      </c>
      <c r="BH4059" t="s">
        <v>84</v>
      </c>
      <c r="BI4059" t="s">
        <v>85</v>
      </c>
    </row>
    <row r="4060" spans="1:61" x14ac:dyDescent="0.3">
      <c r="A4060" t="str">
        <f>"200674B0100"</f>
        <v>200674B0100</v>
      </c>
      <c r="B4060" t="s">
        <v>8226</v>
      </c>
      <c r="C4060">
        <v>20</v>
      </c>
      <c r="D4060" t="s">
        <v>79</v>
      </c>
      <c r="E4060">
        <v>19</v>
      </c>
      <c r="F4060" t="s">
        <v>8046</v>
      </c>
      <c r="G4060">
        <v>674</v>
      </c>
      <c r="H4060">
        <v>1</v>
      </c>
      <c r="I4060" t="s">
        <v>81</v>
      </c>
      <c r="J4060">
        <v>0</v>
      </c>
      <c r="K4060">
        <v>1</v>
      </c>
      <c r="L4060">
        <v>2</v>
      </c>
      <c r="AX4060">
        <v>750</v>
      </c>
      <c r="AZ4060" t="s">
        <v>156</v>
      </c>
      <c r="BA4060">
        <v>0</v>
      </c>
      <c r="BC4060" t="s">
        <v>8227</v>
      </c>
      <c r="BD4060" s="4">
        <v>43283.780555555553</v>
      </c>
      <c r="BE4060" s="4">
        <v>43283.790023148147</v>
      </c>
      <c r="BF4060" s="4">
        <v>43283.790023148147</v>
      </c>
      <c r="BG4060" t="s">
        <v>83</v>
      </c>
      <c r="BH4060" t="s">
        <v>84</v>
      </c>
      <c r="BI4060" t="s">
        <v>85</v>
      </c>
    </row>
    <row r="4061" spans="1:61" x14ac:dyDescent="0.3">
      <c r="A4061" t="str">
        <f>"200674C0100"</f>
        <v>200674C0100</v>
      </c>
      <c r="B4061" t="s">
        <v>8228</v>
      </c>
      <c r="C4061">
        <v>20</v>
      </c>
      <c r="D4061" t="s">
        <v>79</v>
      </c>
      <c r="E4061">
        <v>19</v>
      </c>
      <c r="F4061" t="s">
        <v>8046</v>
      </c>
      <c r="G4061">
        <v>674</v>
      </c>
      <c r="H4061">
        <v>1</v>
      </c>
      <c r="I4061" t="s">
        <v>89</v>
      </c>
      <c r="J4061">
        <v>0</v>
      </c>
      <c r="K4061">
        <v>1</v>
      </c>
      <c r="L4061">
        <v>2</v>
      </c>
      <c r="M4061">
        <v>248</v>
      </c>
      <c r="N4061">
        <v>527</v>
      </c>
      <c r="O4061">
        <v>6</v>
      </c>
      <c r="P4061">
        <v>523</v>
      </c>
      <c r="Q4061">
        <v>40</v>
      </c>
      <c r="R4061">
        <v>67</v>
      </c>
      <c r="S4061">
        <v>5</v>
      </c>
      <c r="T4061">
        <v>6</v>
      </c>
      <c r="U4061">
        <v>11</v>
      </c>
      <c r="V4061">
        <v>27</v>
      </c>
      <c r="W4061">
        <v>5</v>
      </c>
      <c r="X4061">
        <v>13</v>
      </c>
      <c r="Y4061">
        <v>289</v>
      </c>
      <c r="Z4061">
        <v>6</v>
      </c>
      <c r="AA4061">
        <v>1</v>
      </c>
      <c r="AB4061">
        <v>9</v>
      </c>
      <c r="AC4061">
        <v>1</v>
      </c>
      <c r="AD4061">
        <v>0</v>
      </c>
      <c r="AE4061">
        <v>0</v>
      </c>
      <c r="AF4061">
        <v>0</v>
      </c>
      <c r="AK4061">
        <v>3</v>
      </c>
      <c r="AL4061">
        <v>5</v>
      </c>
      <c r="AM4061">
        <v>0</v>
      </c>
      <c r="AN4061">
        <v>2</v>
      </c>
      <c r="AP4061">
        <v>3</v>
      </c>
      <c r="AS4061">
        <v>5</v>
      </c>
      <c r="AT4061">
        <v>2</v>
      </c>
      <c r="AU4061">
        <v>23</v>
      </c>
      <c r="AV4061">
        <v>523</v>
      </c>
      <c r="AW4061">
        <v>523</v>
      </c>
      <c r="AX4061">
        <v>749</v>
      </c>
      <c r="BA4061">
        <v>1</v>
      </c>
      <c r="BC4061" t="s">
        <v>8229</v>
      </c>
      <c r="BD4061" s="4">
        <v>43283.0625</v>
      </c>
      <c r="BE4061" s="4">
        <v>43283.071319444447</v>
      </c>
      <c r="BF4061" s="4">
        <v>43283.071319444447</v>
      </c>
      <c r="BG4061" t="s">
        <v>83</v>
      </c>
      <c r="BH4061" t="s">
        <v>84</v>
      </c>
      <c r="BI4061" t="s">
        <v>85</v>
      </c>
    </row>
    <row r="4062" spans="1:61" x14ac:dyDescent="0.3">
      <c r="A4062" t="str">
        <f>"200675B0100"</f>
        <v>200675B0100</v>
      </c>
      <c r="B4062" t="s">
        <v>8230</v>
      </c>
      <c r="C4062">
        <v>20</v>
      </c>
      <c r="D4062" t="s">
        <v>79</v>
      </c>
      <c r="E4062">
        <v>19</v>
      </c>
      <c r="F4062" t="s">
        <v>8046</v>
      </c>
      <c r="G4062">
        <v>675</v>
      </c>
      <c r="H4062">
        <v>1</v>
      </c>
      <c r="I4062" t="s">
        <v>81</v>
      </c>
      <c r="J4062">
        <v>0</v>
      </c>
      <c r="K4062">
        <v>1</v>
      </c>
      <c r="L4062">
        <v>2</v>
      </c>
      <c r="M4062">
        <v>292</v>
      </c>
      <c r="N4062">
        <v>473</v>
      </c>
      <c r="O4062">
        <v>3</v>
      </c>
      <c r="P4062">
        <v>473</v>
      </c>
      <c r="Q4062">
        <v>24</v>
      </c>
      <c r="R4062">
        <v>65</v>
      </c>
      <c r="S4062">
        <v>7</v>
      </c>
      <c r="T4062">
        <v>9</v>
      </c>
      <c r="U4062">
        <v>18</v>
      </c>
      <c r="V4062">
        <v>11</v>
      </c>
      <c r="W4062">
        <v>5</v>
      </c>
      <c r="X4062">
        <v>7</v>
      </c>
      <c r="Y4062">
        <v>290</v>
      </c>
      <c r="Z4062">
        <v>8</v>
      </c>
      <c r="AA4062">
        <v>2</v>
      </c>
      <c r="AB4062">
        <v>4</v>
      </c>
      <c r="AC4062">
        <v>3</v>
      </c>
      <c r="AD4062">
        <v>0</v>
      </c>
      <c r="AE4062">
        <v>0</v>
      </c>
      <c r="AF4062">
        <v>0</v>
      </c>
      <c r="AK4062">
        <v>0</v>
      </c>
      <c r="AL4062">
        <v>1</v>
      </c>
      <c r="AM4062">
        <v>0</v>
      </c>
      <c r="AN4062">
        <v>2</v>
      </c>
      <c r="AP4062">
        <v>3</v>
      </c>
      <c r="AS4062">
        <v>4</v>
      </c>
      <c r="AT4062">
        <v>0</v>
      </c>
      <c r="AU4062">
        <v>10</v>
      </c>
      <c r="AV4062">
        <v>473</v>
      </c>
      <c r="AW4062">
        <v>473</v>
      </c>
      <c r="AX4062">
        <v>739</v>
      </c>
      <c r="BA4062">
        <v>1</v>
      </c>
      <c r="BC4062" t="s">
        <v>8231</v>
      </c>
      <c r="BD4062" s="4">
        <v>43283.087500000001</v>
      </c>
      <c r="BE4062" s="4">
        <v>43283.104745370372</v>
      </c>
      <c r="BF4062" s="4">
        <v>43283.104745370372</v>
      </c>
      <c r="BG4062" t="s">
        <v>83</v>
      </c>
      <c r="BH4062" t="s">
        <v>84</v>
      </c>
      <c r="BI4062" t="s">
        <v>85</v>
      </c>
    </row>
    <row r="4063" spans="1:61" x14ac:dyDescent="0.3">
      <c r="A4063" t="str">
        <f>"200675C0100"</f>
        <v>200675C0100</v>
      </c>
      <c r="B4063" t="s">
        <v>8232</v>
      </c>
      <c r="C4063">
        <v>20</v>
      </c>
      <c r="D4063" t="s">
        <v>79</v>
      </c>
      <c r="E4063">
        <v>19</v>
      </c>
      <c r="F4063" t="s">
        <v>8046</v>
      </c>
      <c r="G4063">
        <v>675</v>
      </c>
      <c r="H4063">
        <v>1</v>
      </c>
      <c r="I4063" t="s">
        <v>89</v>
      </c>
      <c r="J4063">
        <v>0</v>
      </c>
      <c r="K4063">
        <v>1</v>
      </c>
      <c r="L4063">
        <v>2</v>
      </c>
      <c r="M4063">
        <v>264</v>
      </c>
      <c r="N4063">
        <v>501</v>
      </c>
      <c r="O4063" t="s">
        <v>100</v>
      </c>
      <c r="P4063">
        <v>501</v>
      </c>
      <c r="Q4063">
        <v>34</v>
      </c>
      <c r="R4063">
        <v>69</v>
      </c>
      <c r="S4063">
        <v>7</v>
      </c>
      <c r="T4063">
        <v>9</v>
      </c>
      <c r="U4063">
        <v>11</v>
      </c>
      <c r="V4063">
        <v>16</v>
      </c>
      <c r="W4063">
        <v>6</v>
      </c>
      <c r="X4063">
        <v>16</v>
      </c>
      <c r="Y4063">
        <v>292</v>
      </c>
      <c r="Z4063">
        <v>4</v>
      </c>
      <c r="AA4063">
        <v>0</v>
      </c>
      <c r="AB4063">
        <v>9</v>
      </c>
      <c r="AC4063">
        <v>1</v>
      </c>
      <c r="AD4063" t="s">
        <v>100</v>
      </c>
      <c r="AE4063" t="s">
        <v>100</v>
      </c>
      <c r="AF4063" t="s">
        <v>100</v>
      </c>
      <c r="AK4063">
        <v>2</v>
      </c>
      <c r="AL4063">
        <v>1</v>
      </c>
      <c r="AM4063" t="s">
        <v>100</v>
      </c>
      <c r="AN4063" t="s">
        <v>100</v>
      </c>
      <c r="AP4063">
        <v>3</v>
      </c>
      <c r="AS4063" t="s">
        <v>100</v>
      </c>
      <c r="AT4063">
        <v>2</v>
      </c>
      <c r="AU4063">
        <v>19</v>
      </c>
      <c r="AV4063">
        <v>501</v>
      </c>
      <c r="AW4063">
        <v>501</v>
      </c>
      <c r="AX4063">
        <v>739</v>
      </c>
      <c r="AZ4063" t="s">
        <v>101</v>
      </c>
      <c r="BA4063">
        <v>1</v>
      </c>
      <c r="BC4063" t="s">
        <v>8233</v>
      </c>
      <c r="BD4063" s="4">
        <v>43283.087500000001</v>
      </c>
      <c r="BE4063" s="4">
        <v>43283.09815972222</v>
      </c>
      <c r="BF4063" s="4">
        <v>43283.09815972222</v>
      </c>
      <c r="BG4063" t="s">
        <v>83</v>
      </c>
      <c r="BH4063" t="s">
        <v>84</v>
      </c>
      <c r="BI4063" t="s">
        <v>85</v>
      </c>
    </row>
    <row r="4064" spans="1:61" x14ac:dyDescent="0.3">
      <c r="A4064" t="str">
        <f>"200676B0100"</f>
        <v>200676B0100</v>
      </c>
      <c r="B4064" t="s">
        <v>8234</v>
      </c>
      <c r="C4064">
        <v>20</v>
      </c>
      <c r="D4064" t="s">
        <v>79</v>
      </c>
      <c r="E4064">
        <v>19</v>
      </c>
      <c r="F4064" t="s">
        <v>8046</v>
      </c>
      <c r="G4064">
        <v>676</v>
      </c>
      <c r="H4064">
        <v>1</v>
      </c>
      <c r="I4064" t="s">
        <v>81</v>
      </c>
      <c r="J4064">
        <v>0</v>
      </c>
      <c r="K4064">
        <v>1</v>
      </c>
      <c r="L4064">
        <v>2</v>
      </c>
      <c r="M4064">
        <v>177</v>
      </c>
      <c r="N4064">
        <v>434</v>
      </c>
      <c r="O4064">
        <v>5</v>
      </c>
      <c r="P4064">
        <v>434</v>
      </c>
      <c r="Q4064">
        <v>35</v>
      </c>
      <c r="R4064">
        <v>113</v>
      </c>
      <c r="S4064">
        <v>7</v>
      </c>
      <c r="T4064">
        <v>11</v>
      </c>
      <c r="U4064">
        <v>5</v>
      </c>
      <c r="V4064">
        <v>10</v>
      </c>
      <c r="W4064">
        <v>4</v>
      </c>
      <c r="X4064">
        <v>1</v>
      </c>
      <c r="Y4064">
        <v>228</v>
      </c>
      <c r="Z4064">
        <v>2</v>
      </c>
      <c r="AA4064">
        <v>1</v>
      </c>
      <c r="AB4064">
        <v>1</v>
      </c>
      <c r="AC4064">
        <v>0</v>
      </c>
      <c r="AD4064">
        <v>0</v>
      </c>
      <c r="AE4064">
        <v>0</v>
      </c>
      <c r="AF4064">
        <v>0</v>
      </c>
      <c r="AK4064">
        <v>2</v>
      </c>
      <c r="AL4064">
        <v>0</v>
      </c>
      <c r="AM4064">
        <v>0</v>
      </c>
      <c r="AN4064">
        <v>0</v>
      </c>
      <c r="AP4064">
        <v>1</v>
      </c>
      <c r="AS4064">
        <v>3</v>
      </c>
      <c r="AT4064">
        <v>0</v>
      </c>
      <c r="AU4064">
        <v>11</v>
      </c>
      <c r="AV4064" t="s">
        <v>315</v>
      </c>
      <c r="AW4064">
        <v>435</v>
      </c>
      <c r="AX4064">
        <v>586</v>
      </c>
      <c r="BA4064">
        <v>1</v>
      </c>
      <c r="BC4064" t="s">
        <v>8235</v>
      </c>
      <c r="BD4064" s="4">
        <v>43283.261805555558</v>
      </c>
      <c r="BE4064" s="4">
        <v>43283.292164351849</v>
      </c>
      <c r="BF4064" s="4">
        <v>43283.292164351849</v>
      </c>
      <c r="BG4064" t="s">
        <v>83</v>
      </c>
      <c r="BH4064" t="s">
        <v>84</v>
      </c>
      <c r="BI4064" t="s">
        <v>85</v>
      </c>
    </row>
    <row r="4065" spans="1:61" x14ac:dyDescent="0.3">
      <c r="A4065" t="str">
        <f>"200676C0100"</f>
        <v>200676C0100</v>
      </c>
      <c r="B4065" t="s">
        <v>8236</v>
      </c>
      <c r="C4065">
        <v>20</v>
      </c>
      <c r="D4065" t="s">
        <v>79</v>
      </c>
      <c r="E4065">
        <v>19</v>
      </c>
      <c r="F4065" t="s">
        <v>8046</v>
      </c>
      <c r="G4065">
        <v>676</v>
      </c>
      <c r="H4065">
        <v>1</v>
      </c>
      <c r="I4065" t="s">
        <v>89</v>
      </c>
      <c r="J4065">
        <v>0</v>
      </c>
      <c r="K4065">
        <v>1</v>
      </c>
      <c r="L4065">
        <v>2</v>
      </c>
      <c r="AX4065">
        <v>585</v>
      </c>
      <c r="AZ4065" t="s">
        <v>156</v>
      </c>
      <c r="BA4065">
        <v>0</v>
      </c>
      <c r="BC4065" t="s">
        <v>8237</v>
      </c>
      <c r="BD4065" s="4">
        <v>43283.780555555553</v>
      </c>
      <c r="BE4065" s="4">
        <v>43283.789629629631</v>
      </c>
      <c r="BF4065" s="4">
        <v>43283.789629629631</v>
      </c>
      <c r="BG4065" t="s">
        <v>83</v>
      </c>
      <c r="BH4065" t="s">
        <v>84</v>
      </c>
      <c r="BI4065" t="s">
        <v>85</v>
      </c>
    </row>
    <row r="4066" spans="1:61" x14ac:dyDescent="0.3">
      <c r="A4066" t="str">
        <f>"200677B0100"</f>
        <v>200677B0100</v>
      </c>
      <c r="B4066" t="s">
        <v>8238</v>
      </c>
      <c r="C4066">
        <v>20</v>
      </c>
      <c r="D4066" t="s">
        <v>79</v>
      </c>
      <c r="E4066">
        <v>19</v>
      </c>
      <c r="F4066" t="s">
        <v>8046</v>
      </c>
      <c r="G4066">
        <v>677</v>
      </c>
      <c r="H4066">
        <v>1</v>
      </c>
      <c r="I4066" t="s">
        <v>81</v>
      </c>
      <c r="J4066">
        <v>0</v>
      </c>
      <c r="K4066">
        <v>1</v>
      </c>
      <c r="L4066">
        <v>2</v>
      </c>
      <c r="M4066">
        <v>231</v>
      </c>
      <c r="N4066">
        <v>513</v>
      </c>
      <c r="O4066">
        <v>5</v>
      </c>
      <c r="P4066">
        <v>514</v>
      </c>
      <c r="Q4066">
        <v>29</v>
      </c>
      <c r="R4066">
        <v>111</v>
      </c>
      <c r="S4066">
        <v>3</v>
      </c>
      <c r="T4066">
        <v>9</v>
      </c>
      <c r="U4066">
        <v>20</v>
      </c>
      <c r="V4066">
        <v>9</v>
      </c>
      <c r="W4066">
        <v>8</v>
      </c>
      <c r="X4066">
        <v>6</v>
      </c>
      <c r="Y4066">
        <v>289</v>
      </c>
      <c r="Z4066">
        <v>2</v>
      </c>
      <c r="AA4066">
        <v>1</v>
      </c>
      <c r="AB4066">
        <v>10</v>
      </c>
      <c r="AC4066">
        <v>0</v>
      </c>
      <c r="AD4066">
        <v>0</v>
      </c>
      <c r="AE4066">
        <v>0</v>
      </c>
      <c r="AF4066">
        <v>0</v>
      </c>
      <c r="AK4066">
        <v>0</v>
      </c>
      <c r="AL4066">
        <v>2</v>
      </c>
      <c r="AM4066">
        <v>0</v>
      </c>
      <c r="AN4066">
        <v>0</v>
      </c>
      <c r="AP4066">
        <v>3</v>
      </c>
      <c r="AS4066">
        <v>2</v>
      </c>
      <c r="AT4066">
        <v>1</v>
      </c>
      <c r="AU4066">
        <v>9</v>
      </c>
      <c r="AV4066">
        <v>514</v>
      </c>
      <c r="AW4066">
        <v>514</v>
      </c>
      <c r="AX4066">
        <v>730</v>
      </c>
      <c r="BA4066">
        <v>1</v>
      </c>
      <c r="BC4066" t="s">
        <v>8239</v>
      </c>
      <c r="BD4066" s="4">
        <v>43283.252083333333</v>
      </c>
      <c r="BE4066" s="4">
        <v>43283.281875000001</v>
      </c>
      <c r="BF4066" s="4">
        <v>43283.281875000001</v>
      </c>
      <c r="BG4066" t="s">
        <v>83</v>
      </c>
      <c r="BH4066" t="s">
        <v>84</v>
      </c>
      <c r="BI4066" t="s">
        <v>85</v>
      </c>
    </row>
    <row r="4067" spans="1:61" x14ac:dyDescent="0.3">
      <c r="A4067" t="str">
        <f>"200677C0100"</f>
        <v>200677C0100</v>
      </c>
      <c r="B4067" t="s">
        <v>8240</v>
      </c>
      <c r="C4067">
        <v>20</v>
      </c>
      <c r="D4067" t="s">
        <v>79</v>
      </c>
      <c r="E4067">
        <v>19</v>
      </c>
      <c r="F4067" t="s">
        <v>8046</v>
      </c>
      <c r="G4067">
        <v>677</v>
      </c>
      <c r="H4067">
        <v>1</v>
      </c>
      <c r="I4067" t="s">
        <v>89</v>
      </c>
      <c r="J4067">
        <v>0</v>
      </c>
      <c r="K4067">
        <v>1</v>
      </c>
      <c r="L4067">
        <v>2</v>
      </c>
      <c r="M4067" t="s">
        <v>315</v>
      </c>
      <c r="N4067">
        <v>519</v>
      </c>
      <c r="O4067">
        <v>9</v>
      </c>
      <c r="P4067">
        <v>523</v>
      </c>
      <c r="Q4067">
        <v>37</v>
      </c>
      <c r="R4067">
        <v>82</v>
      </c>
      <c r="S4067">
        <v>5</v>
      </c>
      <c r="T4067">
        <v>5</v>
      </c>
      <c r="U4067">
        <v>12</v>
      </c>
      <c r="V4067">
        <v>13</v>
      </c>
      <c r="W4067">
        <v>7</v>
      </c>
      <c r="X4067">
        <v>3</v>
      </c>
      <c r="Y4067">
        <v>325</v>
      </c>
      <c r="Z4067">
        <v>7</v>
      </c>
      <c r="AA4067">
        <v>1</v>
      </c>
      <c r="AB4067">
        <v>6</v>
      </c>
      <c r="AC4067">
        <v>0</v>
      </c>
      <c r="AD4067">
        <v>0</v>
      </c>
      <c r="AE4067">
        <v>0</v>
      </c>
      <c r="AF4067">
        <v>0</v>
      </c>
      <c r="AK4067">
        <v>1</v>
      </c>
      <c r="AL4067">
        <v>0</v>
      </c>
      <c r="AM4067">
        <v>0</v>
      </c>
      <c r="AN4067">
        <v>0</v>
      </c>
      <c r="AP4067">
        <v>5</v>
      </c>
      <c r="AS4067">
        <v>3</v>
      </c>
      <c r="AT4067">
        <v>0</v>
      </c>
      <c r="AU4067">
        <v>11</v>
      </c>
      <c r="AV4067">
        <v>523</v>
      </c>
      <c r="AW4067">
        <v>523</v>
      </c>
      <c r="AX4067">
        <v>729</v>
      </c>
      <c r="BA4067">
        <v>1</v>
      </c>
      <c r="BC4067" t="s">
        <v>8241</v>
      </c>
      <c r="BD4067" s="4">
        <v>43283.252083333333</v>
      </c>
      <c r="BE4067" s="4">
        <v>43283.295844907407</v>
      </c>
      <c r="BF4067" s="4">
        <v>43283.295844907407</v>
      </c>
      <c r="BG4067" t="s">
        <v>83</v>
      </c>
      <c r="BH4067" t="s">
        <v>84</v>
      </c>
      <c r="BI4067" t="s">
        <v>85</v>
      </c>
    </row>
    <row r="4068" spans="1:61" x14ac:dyDescent="0.3">
      <c r="A4068" t="str">
        <f>"200678B0100"</f>
        <v>200678B0100</v>
      </c>
      <c r="B4068" t="s">
        <v>8242</v>
      </c>
      <c r="C4068">
        <v>20</v>
      </c>
      <c r="D4068" t="s">
        <v>79</v>
      </c>
      <c r="E4068">
        <v>19</v>
      </c>
      <c r="F4068" t="s">
        <v>8046</v>
      </c>
      <c r="G4068">
        <v>678</v>
      </c>
      <c r="H4068">
        <v>1</v>
      </c>
      <c r="I4068" t="s">
        <v>81</v>
      </c>
      <c r="J4068">
        <v>0</v>
      </c>
      <c r="K4068">
        <v>1</v>
      </c>
      <c r="L4068">
        <v>2</v>
      </c>
      <c r="M4068">
        <v>250</v>
      </c>
      <c r="N4068">
        <v>344</v>
      </c>
      <c r="O4068">
        <v>6</v>
      </c>
      <c r="P4068">
        <v>344</v>
      </c>
      <c r="Q4068">
        <v>24</v>
      </c>
      <c r="R4068">
        <v>54</v>
      </c>
      <c r="S4068">
        <v>2</v>
      </c>
      <c r="T4068">
        <v>6</v>
      </c>
      <c r="U4068">
        <v>12</v>
      </c>
      <c r="V4068">
        <v>8</v>
      </c>
      <c r="W4068">
        <v>4</v>
      </c>
      <c r="X4068">
        <v>3</v>
      </c>
      <c r="Y4068">
        <v>198</v>
      </c>
      <c r="Z4068">
        <v>7</v>
      </c>
      <c r="AA4068">
        <v>2</v>
      </c>
      <c r="AB4068">
        <v>7</v>
      </c>
      <c r="AC4068">
        <v>0</v>
      </c>
      <c r="AD4068">
        <v>0</v>
      </c>
      <c r="AE4068">
        <v>1</v>
      </c>
      <c r="AF4068">
        <v>0</v>
      </c>
      <c r="AK4068">
        <v>2</v>
      </c>
      <c r="AL4068">
        <v>0</v>
      </c>
      <c r="AM4068">
        <v>1</v>
      </c>
      <c r="AN4068">
        <v>1</v>
      </c>
      <c r="AP4068">
        <v>0</v>
      </c>
      <c r="AS4068">
        <v>5</v>
      </c>
      <c r="AT4068">
        <v>0</v>
      </c>
      <c r="AU4068">
        <v>7</v>
      </c>
      <c r="AV4068" t="s">
        <v>100</v>
      </c>
      <c r="AW4068">
        <v>344</v>
      </c>
      <c r="AX4068">
        <v>568</v>
      </c>
      <c r="BA4068">
        <v>1</v>
      </c>
      <c r="BC4068" t="s">
        <v>8243</v>
      </c>
      <c r="BD4068" s="4">
        <v>43283.199305555558</v>
      </c>
      <c r="BE4068" s="4">
        <v>43283.221493055556</v>
      </c>
      <c r="BF4068" s="4">
        <v>43283.221493055556</v>
      </c>
      <c r="BG4068" t="s">
        <v>83</v>
      </c>
      <c r="BH4068" t="s">
        <v>84</v>
      </c>
      <c r="BI4068" t="s">
        <v>85</v>
      </c>
    </row>
    <row r="4069" spans="1:61" x14ac:dyDescent="0.3">
      <c r="A4069" t="str">
        <f>"200678C0100"</f>
        <v>200678C0100</v>
      </c>
      <c r="B4069" t="s">
        <v>8244</v>
      </c>
      <c r="C4069">
        <v>20</v>
      </c>
      <c r="D4069" t="s">
        <v>79</v>
      </c>
      <c r="E4069">
        <v>19</v>
      </c>
      <c r="F4069" t="s">
        <v>8046</v>
      </c>
      <c r="G4069">
        <v>678</v>
      </c>
      <c r="H4069">
        <v>1</v>
      </c>
      <c r="I4069" t="s">
        <v>89</v>
      </c>
      <c r="J4069">
        <v>0</v>
      </c>
      <c r="K4069">
        <v>1</v>
      </c>
      <c r="L4069">
        <v>2</v>
      </c>
      <c r="M4069">
        <v>276</v>
      </c>
      <c r="N4069">
        <v>318</v>
      </c>
      <c r="O4069">
        <v>9</v>
      </c>
      <c r="P4069">
        <v>318</v>
      </c>
      <c r="Q4069">
        <v>23</v>
      </c>
      <c r="R4069">
        <v>41</v>
      </c>
      <c r="S4069">
        <v>5</v>
      </c>
      <c r="T4069">
        <v>6</v>
      </c>
      <c r="U4069">
        <v>12</v>
      </c>
      <c r="V4069">
        <v>9</v>
      </c>
      <c r="W4069">
        <v>3</v>
      </c>
      <c r="X4069">
        <v>7</v>
      </c>
      <c r="Y4069">
        <v>186</v>
      </c>
      <c r="Z4069">
        <v>3</v>
      </c>
      <c r="AA4069">
        <v>1</v>
      </c>
      <c r="AB4069">
        <v>6</v>
      </c>
      <c r="AC4069">
        <v>0</v>
      </c>
      <c r="AD4069">
        <v>0</v>
      </c>
      <c r="AE4069">
        <v>0</v>
      </c>
      <c r="AF4069">
        <v>0</v>
      </c>
      <c r="AK4069">
        <v>4</v>
      </c>
      <c r="AL4069">
        <v>1</v>
      </c>
      <c r="AM4069">
        <v>0</v>
      </c>
      <c r="AN4069">
        <v>0</v>
      </c>
      <c r="AP4069">
        <v>3</v>
      </c>
      <c r="AS4069">
        <v>0</v>
      </c>
      <c r="AT4069">
        <v>0</v>
      </c>
      <c r="AU4069">
        <v>7</v>
      </c>
      <c r="AV4069">
        <v>317</v>
      </c>
      <c r="AW4069">
        <v>317</v>
      </c>
      <c r="AX4069">
        <v>568</v>
      </c>
      <c r="BA4069">
        <v>1</v>
      </c>
      <c r="BC4069" t="s">
        <v>8245</v>
      </c>
      <c r="BD4069" s="4">
        <v>43283.270833333336</v>
      </c>
      <c r="BE4069" s="4">
        <v>43283.297118055554</v>
      </c>
      <c r="BF4069" s="4">
        <v>43283.297118055554</v>
      </c>
      <c r="BG4069" t="s">
        <v>83</v>
      </c>
      <c r="BH4069" t="s">
        <v>84</v>
      </c>
      <c r="BI4069" t="s">
        <v>548</v>
      </c>
    </row>
    <row r="4070" spans="1:61" x14ac:dyDescent="0.3">
      <c r="A4070" t="str">
        <f>"200678C0200"</f>
        <v>200678C0200</v>
      </c>
      <c r="B4070" t="s">
        <v>8246</v>
      </c>
      <c r="C4070">
        <v>20</v>
      </c>
      <c r="D4070" t="s">
        <v>79</v>
      </c>
      <c r="E4070">
        <v>19</v>
      </c>
      <c r="F4070" t="s">
        <v>8046</v>
      </c>
      <c r="G4070">
        <v>678</v>
      </c>
      <c r="H4070">
        <v>2</v>
      </c>
      <c r="I4070" t="s">
        <v>89</v>
      </c>
      <c r="J4070">
        <v>0</v>
      </c>
      <c r="K4070">
        <v>1</v>
      </c>
      <c r="L4070">
        <v>2</v>
      </c>
      <c r="AX4070">
        <v>567</v>
      </c>
      <c r="AZ4070" t="s">
        <v>156</v>
      </c>
      <c r="BA4070">
        <v>0</v>
      </c>
      <c r="BC4070" t="s">
        <v>8247</v>
      </c>
      <c r="BD4070" s="4">
        <v>43283.779861111114</v>
      </c>
      <c r="BE4070" s="4">
        <v>43283.788124999999</v>
      </c>
      <c r="BF4070" s="4">
        <v>43283.788124999999</v>
      </c>
      <c r="BG4070" t="s">
        <v>83</v>
      </c>
      <c r="BH4070" t="s">
        <v>84</v>
      </c>
      <c r="BI4070" t="s">
        <v>85</v>
      </c>
    </row>
    <row r="4071" spans="1:61" x14ac:dyDescent="0.3">
      <c r="A4071" t="str">
        <f>"200679B0100"</f>
        <v>200679B0100</v>
      </c>
      <c r="B4071" t="s">
        <v>8248</v>
      </c>
      <c r="C4071">
        <v>20</v>
      </c>
      <c r="D4071" t="s">
        <v>79</v>
      </c>
      <c r="E4071">
        <v>19</v>
      </c>
      <c r="F4071" t="s">
        <v>8046</v>
      </c>
      <c r="G4071">
        <v>679</v>
      </c>
      <c r="H4071">
        <v>1</v>
      </c>
      <c r="I4071" t="s">
        <v>81</v>
      </c>
      <c r="J4071">
        <v>0</v>
      </c>
      <c r="K4071">
        <v>1</v>
      </c>
      <c r="L4071">
        <v>2</v>
      </c>
      <c r="M4071">
        <v>250</v>
      </c>
      <c r="N4071">
        <v>362</v>
      </c>
      <c r="O4071">
        <v>1</v>
      </c>
      <c r="P4071">
        <v>362</v>
      </c>
      <c r="Q4071">
        <v>19</v>
      </c>
      <c r="R4071">
        <v>44</v>
      </c>
      <c r="S4071">
        <v>4</v>
      </c>
      <c r="T4071">
        <v>10</v>
      </c>
      <c r="U4071">
        <v>10</v>
      </c>
      <c r="V4071">
        <v>17</v>
      </c>
      <c r="W4071">
        <v>4</v>
      </c>
      <c r="X4071">
        <v>9</v>
      </c>
      <c r="Y4071">
        <v>196</v>
      </c>
      <c r="Z4071">
        <v>11</v>
      </c>
      <c r="AA4071">
        <v>0</v>
      </c>
      <c r="AB4071">
        <v>12</v>
      </c>
      <c r="AC4071">
        <v>2</v>
      </c>
      <c r="AD4071">
        <v>0</v>
      </c>
      <c r="AE4071">
        <v>1</v>
      </c>
      <c r="AF4071">
        <v>0</v>
      </c>
      <c r="AK4071">
        <v>6</v>
      </c>
      <c r="AL4071">
        <v>0</v>
      </c>
      <c r="AM4071">
        <v>0</v>
      </c>
      <c r="AN4071">
        <v>2</v>
      </c>
      <c r="AP4071">
        <v>2</v>
      </c>
      <c r="AS4071">
        <v>2</v>
      </c>
      <c r="AT4071" t="s">
        <v>100</v>
      </c>
      <c r="AU4071">
        <v>11</v>
      </c>
      <c r="AV4071" t="s">
        <v>100</v>
      </c>
      <c r="AW4071">
        <v>362</v>
      </c>
      <c r="AX4071">
        <v>586</v>
      </c>
      <c r="AZ4071" t="s">
        <v>101</v>
      </c>
      <c r="BA4071">
        <v>1</v>
      </c>
      <c r="BC4071" t="s">
        <v>8249</v>
      </c>
      <c r="BD4071" s="4">
        <v>43283.402083333334</v>
      </c>
      <c r="BE4071" s="4">
        <v>43283.413252314815</v>
      </c>
      <c r="BF4071" s="4">
        <v>43283.413252314815</v>
      </c>
      <c r="BG4071" t="s">
        <v>83</v>
      </c>
      <c r="BH4071" t="s">
        <v>84</v>
      </c>
      <c r="BI4071" t="s">
        <v>85</v>
      </c>
    </row>
    <row r="4072" spans="1:61" x14ac:dyDescent="0.3">
      <c r="A4072" t="str">
        <f>"200679C0100"</f>
        <v>200679C0100</v>
      </c>
      <c r="B4072" t="s">
        <v>8250</v>
      </c>
      <c r="C4072">
        <v>20</v>
      </c>
      <c r="D4072" t="s">
        <v>79</v>
      </c>
      <c r="E4072">
        <v>19</v>
      </c>
      <c r="F4072" t="s">
        <v>8046</v>
      </c>
      <c r="G4072">
        <v>679</v>
      </c>
      <c r="H4072">
        <v>1</v>
      </c>
      <c r="I4072" t="s">
        <v>89</v>
      </c>
      <c r="J4072">
        <v>0</v>
      </c>
      <c r="K4072">
        <v>1</v>
      </c>
      <c r="L4072">
        <v>2</v>
      </c>
      <c r="M4072">
        <v>232</v>
      </c>
      <c r="N4072">
        <v>378</v>
      </c>
      <c r="O4072">
        <v>3</v>
      </c>
      <c r="P4072">
        <v>375</v>
      </c>
      <c r="Q4072">
        <v>9</v>
      </c>
      <c r="R4072">
        <v>45</v>
      </c>
      <c r="S4072">
        <v>6</v>
      </c>
      <c r="T4072">
        <v>7</v>
      </c>
      <c r="U4072">
        <v>10</v>
      </c>
      <c r="V4072">
        <v>20</v>
      </c>
      <c r="W4072">
        <v>6</v>
      </c>
      <c r="X4072">
        <v>5</v>
      </c>
      <c r="Y4072">
        <v>206</v>
      </c>
      <c r="Z4072">
        <v>6</v>
      </c>
      <c r="AA4072">
        <v>1</v>
      </c>
      <c r="AB4072">
        <v>7</v>
      </c>
      <c r="AC4072">
        <v>1</v>
      </c>
      <c r="AD4072">
        <v>2</v>
      </c>
      <c r="AE4072">
        <v>0</v>
      </c>
      <c r="AF4072">
        <v>0</v>
      </c>
      <c r="AK4072">
        <v>4</v>
      </c>
      <c r="AL4072">
        <v>0</v>
      </c>
      <c r="AM4072">
        <v>1</v>
      </c>
      <c r="AN4072">
        <v>0</v>
      </c>
      <c r="AP4072">
        <v>2</v>
      </c>
      <c r="AS4072">
        <v>4</v>
      </c>
      <c r="AT4072">
        <v>0</v>
      </c>
      <c r="AU4072">
        <v>37</v>
      </c>
      <c r="AV4072">
        <v>379</v>
      </c>
      <c r="AW4072">
        <v>379</v>
      </c>
      <c r="AX4072">
        <v>586</v>
      </c>
      <c r="BA4072">
        <v>1</v>
      </c>
      <c r="BC4072" t="s">
        <v>8251</v>
      </c>
      <c r="BD4072" s="4">
        <v>43283.402083333334</v>
      </c>
      <c r="BE4072" s="4">
        <v>43283.426458333335</v>
      </c>
      <c r="BF4072" s="4">
        <v>43283.426458333335</v>
      </c>
      <c r="BG4072" t="s">
        <v>83</v>
      </c>
      <c r="BH4072" t="s">
        <v>84</v>
      </c>
      <c r="BI4072" t="s">
        <v>85</v>
      </c>
    </row>
    <row r="4073" spans="1:61" x14ac:dyDescent="0.3">
      <c r="A4073" t="str">
        <f>"200679C0200"</f>
        <v>200679C0200</v>
      </c>
      <c r="B4073" t="s">
        <v>8252</v>
      </c>
      <c r="C4073">
        <v>20</v>
      </c>
      <c r="D4073" t="s">
        <v>79</v>
      </c>
      <c r="E4073">
        <v>19</v>
      </c>
      <c r="F4073" t="s">
        <v>8046</v>
      </c>
      <c r="G4073">
        <v>679</v>
      </c>
      <c r="H4073">
        <v>2</v>
      </c>
      <c r="I4073" t="s">
        <v>89</v>
      </c>
      <c r="J4073">
        <v>0</v>
      </c>
      <c r="K4073">
        <v>1</v>
      </c>
      <c r="L4073">
        <v>2</v>
      </c>
      <c r="M4073">
        <v>235</v>
      </c>
      <c r="N4073">
        <v>377</v>
      </c>
      <c r="O4073">
        <v>5</v>
      </c>
      <c r="P4073">
        <v>377</v>
      </c>
      <c r="Q4073">
        <v>18</v>
      </c>
      <c r="R4073">
        <v>47</v>
      </c>
      <c r="S4073">
        <v>12</v>
      </c>
      <c r="T4073">
        <v>11</v>
      </c>
      <c r="U4073">
        <v>21</v>
      </c>
      <c r="V4073">
        <v>13</v>
      </c>
      <c r="W4073">
        <v>1</v>
      </c>
      <c r="X4073">
        <v>9</v>
      </c>
      <c r="Y4073">
        <v>193</v>
      </c>
      <c r="Z4073">
        <v>6</v>
      </c>
      <c r="AA4073">
        <v>4</v>
      </c>
      <c r="AB4073">
        <v>6</v>
      </c>
      <c r="AC4073">
        <v>1</v>
      </c>
      <c r="AD4073">
        <v>0</v>
      </c>
      <c r="AE4073">
        <v>0</v>
      </c>
      <c r="AF4073">
        <v>0</v>
      </c>
      <c r="AK4073">
        <v>8</v>
      </c>
      <c r="AL4073">
        <v>0</v>
      </c>
      <c r="AM4073">
        <v>0</v>
      </c>
      <c r="AN4073">
        <v>0</v>
      </c>
      <c r="AP4073">
        <v>1</v>
      </c>
      <c r="AS4073">
        <v>4</v>
      </c>
      <c r="AT4073">
        <v>0</v>
      </c>
      <c r="AU4073">
        <v>21</v>
      </c>
      <c r="AV4073">
        <v>377</v>
      </c>
      <c r="AW4073">
        <v>376</v>
      </c>
      <c r="AX4073">
        <v>585</v>
      </c>
      <c r="BA4073">
        <v>1</v>
      </c>
      <c r="BC4073" t="s">
        <v>8253</v>
      </c>
      <c r="BD4073" s="4">
        <v>43283.401388888888</v>
      </c>
      <c r="BE4073" s="4">
        <v>43283.415162037039</v>
      </c>
      <c r="BF4073" s="4">
        <v>43283.415162037039</v>
      </c>
      <c r="BG4073" t="s">
        <v>83</v>
      </c>
      <c r="BH4073" t="s">
        <v>84</v>
      </c>
      <c r="BI4073" t="s">
        <v>85</v>
      </c>
    </row>
    <row r="4074" spans="1:61" x14ac:dyDescent="0.3">
      <c r="A4074" t="str">
        <f>"200679C0300"</f>
        <v>200679C0300</v>
      </c>
      <c r="B4074" t="s">
        <v>8254</v>
      </c>
      <c r="C4074">
        <v>20</v>
      </c>
      <c r="D4074" t="s">
        <v>79</v>
      </c>
      <c r="E4074">
        <v>19</v>
      </c>
      <c r="F4074" t="s">
        <v>8046</v>
      </c>
      <c r="G4074">
        <v>679</v>
      </c>
      <c r="H4074">
        <v>3</v>
      </c>
      <c r="I4074" t="s">
        <v>89</v>
      </c>
      <c r="J4074">
        <v>0</v>
      </c>
      <c r="K4074">
        <v>1</v>
      </c>
      <c r="L4074">
        <v>2</v>
      </c>
      <c r="M4074">
        <v>245</v>
      </c>
      <c r="N4074">
        <v>375</v>
      </c>
      <c r="O4074">
        <v>2</v>
      </c>
      <c r="P4074">
        <v>375</v>
      </c>
      <c r="Q4074">
        <v>17</v>
      </c>
      <c r="R4074">
        <v>54</v>
      </c>
      <c r="S4074">
        <v>7</v>
      </c>
      <c r="T4074">
        <v>12</v>
      </c>
      <c r="U4074">
        <v>19</v>
      </c>
      <c r="V4074">
        <v>12</v>
      </c>
      <c r="W4074">
        <v>3</v>
      </c>
      <c r="X4074">
        <v>8</v>
      </c>
      <c r="Y4074">
        <v>194</v>
      </c>
      <c r="Z4074">
        <v>12</v>
      </c>
      <c r="AA4074">
        <v>0</v>
      </c>
      <c r="AB4074">
        <v>7</v>
      </c>
      <c r="AC4074">
        <v>0</v>
      </c>
      <c r="AD4074">
        <v>0</v>
      </c>
      <c r="AE4074">
        <v>0</v>
      </c>
      <c r="AF4074">
        <v>0</v>
      </c>
      <c r="AK4074">
        <v>4</v>
      </c>
      <c r="AL4074">
        <v>0</v>
      </c>
      <c r="AM4074">
        <v>0</v>
      </c>
      <c r="AN4074">
        <v>0</v>
      </c>
      <c r="AP4074">
        <v>4</v>
      </c>
      <c r="AS4074">
        <v>4</v>
      </c>
      <c r="AT4074">
        <v>0</v>
      </c>
      <c r="AU4074">
        <v>0</v>
      </c>
      <c r="AV4074">
        <v>18</v>
      </c>
      <c r="AW4074">
        <v>357</v>
      </c>
      <c r="AX4074">
        <v>585</v>
      </c>
      <c r="BA4074">
        <v>1</v>
      </c>
      <c r="BC4074" t="s">
        <v>8255</v>
      </c>
      <c r="BD4074" s="4">
        <v>43283.401388888888</v>
      </c>
      <c r="BE4074" s="4">
        <v>43283.406631944446</v>
      </c>
      <c r="BF4074" s="4">
        <v>43283.406631944446</v>
      </c>
      <c r="BG4074" t="s">
        <v>83</v>
      </c>
      <c r="BH4074" t="s">
        <v>84</v>
      </c>
      <c r="BI4074" t="s">
        <v>85</v>
      </c>
    </row>
    <row r="4075" spans="1:61" x14ac:dyDescent="0.3">
      <c r="A4075" t="str">
        <f>"200680B0100"</f>
        <v>200680B0100</v>
      </c>
      <c r="B4075" t="s">
        <v>8256</v>
      </c>
      <c r="C4075">
        <v>20</v>
      </c>
      <c r="D4075" t="s">
        <v>79</v>
      </c>
      <c r="E4075">
        <v>19</v>
      </c>
      <c r="F4075" t="s">
        <v>8046</v>
      </c>
      <c r="G4075">
        <v>680</v>
      </c>
      <c r="H4075">
        <v>1</v>
      </c>
      <c r="I4075" t="s">
        <v>81</v>
      </c>
      <c r="J4075">
        <v>0</v>
      </c>
      <c r="K4075">
        <v>1</v>
      </c>
      <c r="L4075">
        <v>2</v>
      </c>
      <c r="M4075">
        <v>291</v>
      </c>
      <c r="N4075">
        <v>448</v>
      </c>
      <c r="O4075">
        <v>4</v>
      </c>
      <c r="P4075">
        <v>448</v>
      </c>
      <c r="Q4075">
        <v>19</v>
      </c>
      <c r="R4075">
        <v>69</v>
      </c>
      <c r="S4075">
        <v>5</v>
      </c>
      <c r="T4075">
        <v>12</v>
      </c>
      <c r="U4075">
        <v>17</v>
      </c>
      <c r="V4075">
        <v>14</v>
      </c>
      <c r="W4075">
        <v>7</v>
      </c>
      <c r="X4075">
        <v>6</v>
      </c>
      <c r="Y4075">
        <v>258</v>
      </c>
      <c r="Z4075">
        <v>7</v>
      </c>
      <c r="AA4075">
        <v>0</v>
      </c>
      <c r="AB4075">
        <v>7</v>
      </c>
      <c r="AC4075">
        <v>1</v>
      </c>
      <c r="AD4075">
        <v>0</v>
      </c>
      <c r="AE4075">
        <v>1</v>
      </c>
      <c r="AF4075">
        <v>0</v>
      </c>
      <c r="AK4075">
        <v>1</v>
      </c>
      <c r="AL4075">
        <v>1</v>
      </c>
      <c r="AM4075">
        <v>0</v>
      </c>
      <c r="AN4075">
        <v>2</v>
      </c>
      <c r="AP4075">
        <v>1</v>
      </c>
      <c r="AS4075">
        <v>3</v>
      </c>
      <c r="AT4075">
        <v>0</v>
      </c>
      <c r="AU4075">
        <v>17</v>
      </c>
      <c r="AV4075">
        <v>448</v>
      </c>
      <c r="AW4075">
        <v>448</v>
      </c>
      <c r="AX4075">
        <v>713</v>
      </c>
      <c r="BA4075">
        <v>1</v>
      </c>
      <c r="BC4075" t="s">
        <v>8257</v>
      </c>
      <c r="BD4075" s="4">
        <v>43283.4</v>
      </c>
      <c r="BE4075" s="4">
        <v>43283.407870370371</v>
      </c>
      <c r="BF4075" s="4">
        <v>43283.407870370371</v>
      </c>
      <c r="BG4075" t="s">
        <v>83</v>
      </c>
      <c r="BH4075" t="s">
        <v>84</v>
      </c>
      <c r="BI4075" t="s">
        <v>85</v>
      </c>
    </row>
    <row r="4076" spans="1:61" x14ac:dyDescent="0.3">
      <c r="A4076" t="str">
        <f>"200680C0100"</f>
        <v>200680C0100</v>
      </c>
      <c r="B4076" t="s">
        <v>8258</v>
      </c>
      <c r="C4076">
        <v>20</v>
      </c>
      <c r="D4076" t="s">
        <v>79</v>
      </c>
      <c r="E4076">
        <v>19</v>
      </c>
      <c r="F4076" t="s">
        <v>8046</v>
      </c>
      <c r="G4076">
        <v>680</v>
      </c>
      <c r="H4076">
        <v>1</v>
      </c>
      <c r="I4076" t="s">
        <v>89</v>
      </c>
      <c r="J4076">
        <v>0</v>
      </c>
      <c r="K4076">
        <v>1</v>
      </c>
      <c r="L4076">
        <v>2</v>
      </c>
      <c r="M4076">
        <v>341</v>
      </c>
      <c r="N4076">
        <v>787</v>
      </c>
      <c r="O4076">
        <v>5</v>
      </c>
      <c r="P4076">
        <v>396</v>
      </c>
      <c r="Q4076">
        <v>14</v>
      </c>
      <c r="R4076">
        <v>50</v>
      </c>
      <c r="S4076">
        <v>5</v>
      </c>
      <c r="T4076">
        <v>8</v>
      </c>
      <c r="U4076">
        <v>8</v>
      </c>
      <c r="V4076">
        <v>15</v>
      </c>
      <c r="W4076">
        <v>6</v>
      </c>
      <c r="X4076">
        <v>3</v>
      </c>
      <c r="Y4076">
        <v>250</v>
      </c>
      <c r="Z4076">
        <v>3</v>
      </c>
      <c r="AA4076">
        <v>0</v>
      </c>
      <c r="AB4076">
        <v>7</v>
      </c>
      <c r="AC4076">
        <v>0</v>
      </c>
      <c r="AD4076">
        <v>0</v>
      </c>
      <c r="AE4076">
        <v>0</v>
      </c>
      <c r="AF4076">
        <v>0</v>
      </c>
      <c r="AK4076">
        <v>3</v>
      </c>
      <c r="AL4076">
        <v>1</v>
      </c>
      <c r="AM4076">
        <v>1</v>
      </c>
      <c r="AN4076">
        <v>0</v>
      </c>
      <c r="AP4076">
        <v>2</v>
      </c>
      <c r="AS4076">
        <v>4</v>
      </c>
      <c r="AT4076">
        <v>0</v>
      </c>
      <c r="AU4076">
        <v>16</v>
      </c>
      <c r="AV4076">
        <v>396</v>
      </c>
      <c r="AW4076">
        <v>396</v>
      </c>
      <c r="AX4076">
        <v>712</v>
      </c>
      <c r="BA4076">
        <v>1</v>
      </c>
      <c r="BC4076" t="s">
        <v>8259</v>
      </c>
      <c r="BD4076" s="4">
        <v>43283.406944444447</v>
      </c>
      <c r="BE4076" s="4">
        <v>43283.412928240738</v>
      </c>
      <c r="BF4076" s="4">
        <v>43283.412928240738</v>
      </c>
      <c r="BG4076" t="s">
        <v>83</v>
      </c>
      <c r="BH4076" t="s">
        <v>84</v>
      </c>
      <c r="BI4076" t="s">
        <v>85</v>
      </c>
    </row>
    <row r="4077" spans="1:61" x14ac:dyDescent="0.3">
      <c r="A4077" t="str">
        <f>"200680S0100"</f>
        <v>200680S0100</v>
      </c>
      <c r="B4077" t="s">
        <v>8260</v>
      </c>
      <c r="C4077">
        <v>20</v>
      </c>
      <c r="D4077" t="s">
        <v>79</v>
      </c>
      <c r="E4077">
        <v>19</v>
      </c>
      <c r="F4077" t="s">
        <v>8046</v>
      </c>
      <c r="G4077">
        <v>680</v>
      </c>
      <c r="H4077">
        <v>1</v>
      </c>
      <c r="I4077" t="s">
        <v>104</v>
      </c>
      <c r="J4077">
        <v>0</v>
      </c>
      <c r="K4077">
        <v>1</v>
      </c>
      <c r="L4077">
        <v>3</v>
      </c>
      <c r="AX4077">
        <v>0</v>
      </c>
      <c r="AZ4077" t="s">
        <v>156</v>
      </c>
      <c r="BA4077">
        <v>0</v>
      </c>
      <c r="BC4077" t="s">
        <v>8261</v>
      </c>
      <c r="BD4077" s="4">
        <v>43283.779861111114</v>
      </c>
      <c r="BE4077" s="4">
        <v>43283.787777777776</v>
      </c>
      <c r="BF4077" s="4">
        <v>43283.787777777776</v>
      </c>
      <c r="BG4077" t="s">
        <v>83</v>
      </c>
      <c r="BH4077" t="s">
        <v>84</v>
      </c>
      <c r="BI4077" t="s">
        <v>85</v>
      </c>
    </row>
    <row r="4078" spans="1:61" x14ac:dyDescent="0.3">
      <c r="A4078" t="str">
        <f>"200681B0100"</f>
        <v>200681B0100</v>
      </c>
      <c r="B4078" t="s">
        <v>8262</v>
      </c>
      <c r="C4078">
        <v>20</v>
      </c>
      <c r="D4078" t="s">
        <v>79</v>
      </c>
      <c r="E4078">
        <v>19</v>
      </c>
      <c r="F4078" t="s">
        <v>8046</v>
      </c>
      <c r="G4078">
        <v>681</v>
      </c>
      <c r="H4078">
        <v>1</v>
      </c>
      <c r="I4078" t="s">
        <v>81</v>
      </c>
      <c r="J4078">
        <v>0</v>
      </c>
      <c r="K4078">
        <v>1</v>
      </c>
      <c r="L4078">
        <v>2</v>
      </c>
      <c r="M4078">
        <v>261</v>
      </c>
      <c r="N4078">
        <v>636</v>
      </c>
      <c r="O4078">
        <v>7</v>
      </c>
      <c r="P4078">
        <v>363</v>
      </c>
      <c r="Q4078">
        <v>11</v>
      </c>
      <c r="R4078">
        <v>44</v>
      </c>
      <c r="S4078">
        <v>3</v>
      </c>
      <c r="T4078">
        <v>6</v>
      </c>
      <c r="U4078">
        <v>12</v>
      </c>
      <c r="V4078">
        <v>18</v>
      </c>
      <c r="W4078">
        <v>5</v>
      </c>
      <c r="X4078">
        <v>6</v>
      </c>
      <c r="Y4078">
        <v>260</v>
      </c>
      <c r="Z4078">
        <v>1</v>
      </c>
      <c r="AA4078">
        <v>2</v>
      </c>
      <c r="AB4078">
        <v>2</v>
      </c>
      <c r="AC4078">
        <v>1</v>
      </c>
      <c r="AD4078">
        <v>0</v>
      </c>
      <c r="AE4078">
        <v>0</v>
      </c>
      <c r="AF4078">
        <v>0</v>
      </c>
      <c r="AK4078">
        <v>2</v>
      </c>
      <c r="AL4078">
        <v>2</v>
      </c>
      <c r="AM4078">
        <v>0</v>
      </c>
      <c r="AN4078">
        <v>0</v>
      </c>
      <c r="AP4078">
        <v>2</v>
      </c>
      <c r="AS4078" t="s">
        <v>100</v>
      </c>
      <c r="AT4078">
        <v>7</v>
      </c>
      <c r="AU4078" t="s">
        <v>100</v>
      </c>
      <c r="AV4078" t="s">
        <v>100</v>
      </c>
      <c r="AW4078">
        <v>384</v>
      </c>
      <c r="AX4078">
        <v>617</v>
      </c>
      <c r="AZ4078" t="s">
        <v>101</v>
      </c>
      <c r="BA4078">
        <v>1</v>
      </c>
      <c r="BC4078" t="s">
        <v>8263</v>
      </c>
      <c r="BD4078" s="4">
        <v>43283.165277777778</v>
      </c>
      <c r="BE4078" s="4">
        <v>43283.18949074074</v>
      </c>
      <c r="BF4078" s="4">
        <v>43283.18949074074</v>
      </c>
      <c r="BG4078" t="s">
        <v>83</v>
      </c>
      <c r="BH4078" t="s">
        <v>84</v>
      </c>
      <c r="BI4078" t="s">
        <v>85</v>
      </c>
    </row>
    <row r="4079" spans="1:61" x14ac:dyDescent="0.3">
      <c r="A4079" t="str">
        <f>"200681C0100"</f>
        <v>200681C0100</v>
      </c>
      <c r="B4079" t="s">
        <v>8264</v>
      </c>
      <c r="C4079">
        <v>20</v>
      </c>
      <c r="D4079" t="s">
        <v>79</v>
      </c>
      <c r="E4079">
        <v>19</v>
      </c>
      <c r="F4079" t="s">
        <v>8046</v>
      </c>
      <c r="G4079">
        <v>681</v>
      </c>
      <c r="H4079">
        <v>1</v>
      </c>
      <c r="I4079" t="s">
        <v>89</v>
      </c>
      <c r="J4079">
        <v>0</v>
      </c>
      <c r="K4079">
        <v>1</v>
      </c>
      <c r="L4079">
        <v>2</v>
      </c>
      <c r="M4079" t="s">
        <v>100</v>
      </c>
      <c r="N4079" t="s">
        <v>100</v>
      </c>
      <c r="O4079" t="s">
        <v>100</v>
      </c>
      <c r="P4079" t="s">
        <v>100</v>
      </c>
      <c r="Q4079">
        <v>15</v>
      </c>
      <c r="R4079">
        <v>44</v>
      </c>
      <c r="S4079">
        <v>6</v>
      </c>
      <c r="T4079">
        <v>2</v>
      </c>
      <c r="U4079">
        <v>11</v>
      </c>
      <c r="V4079">
        <v>9</v>
      </c>
      <c r="W4079">
        <v>2</v>
      </c>
      <c r="X4079">
        <v>9</v>
      </c>
      <c r="Y4079">
        <v>252</v>
      </c>
      <c r="Z4079">
        <v>10</v>
      </c>
      <c r="AA4079">
        <v>0</v>
      </c>
      <c r="AB4079">
        <v>5</v>
      </c>
      <c r="AC4079">
        <v>0</v>
      </c>
      <c r="AD4079">
        <v>0</v>
      </c>
      <c r="AE4079">
        <v>0</v>
      </c>
      <c r="AF4079">
        <v>0</v>
      </c>
      <c r="AK4079">
        <v>3</v>
      </c>
      <c r="AL4079" t="s">
        <v>100</v>
      </c>
      <c r="AM4079" t="s">
        <v>100</v>
      </c>
      <c r="AN4079" t="s">
        <v>100</v>
      </c>
      <c r="AP4079">
        <v>5</v>
      </c>
      <c r="AS4079">
        <v>2</v>
      </c>
      <c r="AT4079" t="s">
        <v>100</v>
      </c>
      <c r="AU4079">
        <v>254</v>
      </c>
      <c r="AV4079">
        <v>643</v>
      </c>
      <c r="AW4079">
        <v>629</v>
      </c>
      <c r="AX4079">
        <v>617</v>
      </c>
      <c r="AZ4079" t="s">
        <v>101</v>
      </c>
      <c r="BA4079">
        <v>1</v>
      </c>
      <c r="BC4079" t="s">
        <v>8265</v>
      </c>
      <c r="BD4079" s="4">
        <v>43283.165277777778</v>
      </c>
      <c r="BE4079" s="4">
        <v>43283.265833333331</v>
      </c>
      <c r="BF4079" s="4">
        <v>43283.265833333331</v>
      </c>
      <c r="BG4079" t="s">
        <v>83</v>
      </c>
      <c r="BH4079" t="s">
        <v>84</v>
      </c>
      <c r="BI4079" t="s">
        <v>85</v>
      </c>
    </row>
    <row r="4080" spans="1:61" x14ac:dyDescent="0.3">
      <c r="A4080" t="str">
        <f>"200682B0100"</f>
        <v>200682B0100</v>
      </c>
      <c r="B4080" t="s">
        <v>8266</v>
      </c>
      <c r="C4080">
        <v>20</v>
      </c>
      <c r="D4080" t="s">
        <v>79</v>
      </c>
      <c r="E4080">
        <v>19</v>
      </c>
      <c r="F4080" t="s">
        <v>8046</v>
      </c>
      <c r="G4080">
        <v>682</v>
      </c>
      <c r="H4080">
        <v>1</v>
      </c>
      <c r="I4080" t="s">
        <v>81</v>
      </c>
      <c r="J4080">
        <v>0</v>
      </c>
      <c r="K4080">
        <v>1</v>
      </c>
      <c r="L4080">
        <v>2</v>
      </c>
      <c r="M4080">
        <v>212</v>
      </c>
      <c r="N4080">
        <v>316</v>
      </c>
      <c r="O4080">
        <v>4</v>
      </c>
      <c r="P4080">
        <v>315</v>
      </c>
      <c r="Q4080">
        <v>6</v>
      </c>
      <c r="R4080">
        <v>23</v>
      </c>
      <c r="S4080">
        <v>7</v>
      </c>
      <c r="T4080">
        <v>6</v>
      </c>
      <c r="U4080">
        <v>9</v>
      </c>
      <c r="V4080">
        <v>15</v>
      </c>
      <c r="W4080">
        <v>5</v>
      </c>
      <c r="X4080">
        <v>1</v>
      </c>
      <c r="Y4080">
        <v>208</v>
      </c>
      <c r="Z4080">
        <v>5</v>
      </c>
      <c r="AA4080">
        <v>0</v>
      </c>
      <c r="AB4080">
        <v>5</v>
      </c>
      <c r="AC4080">
        <v>0</v>
      </c>
      <c r="AD4080">
        <v>0</v>
      </c>
      <c r="AE4080">
        <v>0</v>
      </c>
      <c r="AF4080">
        <v>0</v>
      </c>
      <c r="AK4080">
        <v>3</v>
      </c>
      <c r="AL4080">
        <v>1</v>
      </c>
      <c r="AM4080">
        <v>1</v>
      </c>
      <c r="AN4080">
        <v>0</v>
      </c>
      <c r="AP4080">
        <v>0</v>
      </c>
      <c r="AS4080">
        <v>6</v>
      </c>
      <c r="AT4080">
        <v>0</v>
      </c>
      <c r="AU4080">
        <v>14</v>
      </c>
      <c r="AV4080">
        <v>315</v>
      </c>
      <c r="AW4080">
        <v>315</v>
      </c>
      <c r="AX4080">
        <v>501</v>
      </c>
      <c r="BA4080">
        <v>1</v>
      </c>
      <c r="BC4080" t="s">
        <v>8267</v>
      </c>
      <c r="BD4080" s="4">
        <v>43283.263194444444</v>
      </c>
      <c r="BE4080" s="4">
        <v>43283.290902777779</v>
      </c>
      <c r="BF4080" s="4">
        <v>43283.290902777779</v>
      </c>
      <c r="BG4080" t="s">
        <v>83</v>
      </c>
      <c r="BH4080" t="s">
        <v>84</v>
      </c>
      <c r="BI4080" t="s">
        <v>85</v>
      </c>
    </row>
    <row r="4081" spans="1:61" x14ac:dyDescent="0.3">
      <c r="A4081" t="str">
        <f>"200682C0100"</f>
        <v>200682C0100</v>
      </c>
      <c r="B4081" t="s">
        <v>8268</v>
      </c>
      <c r="C4081">
        <v>20</v>
      </c>
      <c r="D4081" t="s">
        <v>79</v>
      </c>
      <c r="E4081">
        <v>19</v>
      </c>
      <c r="F4081" t="s">
        <v>8046</v>
      </c>
      <c r="G4081">
        <v>682</v>
      </c>
      <c r="H4081">
        <v>1</v>
      </c>
      <c r="I4081" t="s">
        <v>89</v>
      </c>
      <c r="J4081">
        <v>0</v>
      </c>
      <c r="K4081">
        <v>1</v>
      </c>
      <c r="L4081">
        <v>2</v>
      </c>
      <c r="AX4081">
        <v>500</v>
      </c>
      <c r="AZ4081" t="s">
        <v>156</v>
      </c>
      <c r="BA4081">
        <v>0</v>
      </c>
      <c r="BC4081" t="s">
        <v>8269</v>
      </c>
      <c r="BD4081" s="4">
        <v>43283.779166666667</v>
      </c>
      <c r="BE4081" s="4">
        <v>43283.787361111114</v>
      </c>
      <c r="BF4081" s="4">
        <v>43283.787361111114</v>
      </c>
      <c r="BG4081" t="s">
        <v>83</v>
      </c>
      <c r="BH4081" t="s">
        <v>84</v>
      </c>
      <c r="BI4081" t="s">
        <v>85</v>
      </c>
    </row>
    <row r="4082" spans="1:61" x14ac:dyDescent="0.3">
      <c r="A4082" t="str">
        <f>"200682C0200"</f>
        <v>200682C0200</v>
      </c>
      <c r="B4082" t="s">
        <v>8270</v>
      </c>
      <c r="C4082">
        <v>20</v>
      </c>
      <c r="D4082" t="s">
        <v>79</v>
      </c>
      <c r="E4082">
        <v>19</v>
      </c>
      <c r="F4082" t="s">
        <v>8046</v>
      </c>
      <c r="G4082">
        <v>682</v>
      </c>
      <c r="H4082">
        <v>2</v>
      </c>
      <c r="I4082" t="s">
        <v>89</v>
      </c>
      <c r="J4082">
        <v>0</v>
      </c>
      <c r="K4082">
        <v>1</v>
      </c>
      <c r="L4082">
        <v>2</v>
      </c>
      <c r="M4082">
        <v>203</v>
      </c>
      <c r="N4082">
        <v>321</v>
      </c>
      <c r="O4082">
        <v>6</v>
      </c>
      <c r="P4082">
        <v>321</v>
      </c>
      <c r="Q4082">
        <v>12</v>
      </c>
      <c r="R4082">
        <v>45</v>
      </c>
      <c r="S4082">
        <v>6</v>
      </c>
      <c r="T4082">
        <v>4</v>
      </c>
      <c r="U4082">
        <v>16</v>
      </c>
      <c r="V4082">
        <v>9</v>
      </c>
      <c r="W4082">
        <v>8</v>
      </c>
      <c r="X4082">
        <v>11</v>
      </c>
      <c r="Y4082">
        <v>182</v>
      </c>
      <c r="Z4082">
        <v>5</v>
      </c>
      <c r="AA4082">
        <v>0</v>
      </c>
      <c r="AB4082">
        <v>5</v>
      </c>
      <c r="AC4082">
        <v>1</v>
      </c>
      <c r="AD4082">
        <v>0</v>
      </c>
      <c r="AE4082">
        <v>0</v>
      </c>
      <c r="AF4082">
        <v>0</v>
      </c>
      <c r="AK4082">
        <v>4</v>
      </c>
      <c r="AL4082">
        <v>1</v>
      </c>
      <c r="AM4082">
        <v>0</v>
      </c>
      <c r="AN4082">
        <v>1</v>
      </c>
      <c r="AP4082">
        <v>0</v>
      </c>
      <c r="AS4082">
        <v>3</v>
      </c>
      <c r="AT4082">
        <v>1</v>
      </c>
      <c r="AU4082">
        <v>7</v>
      </c>
      <c r="AV4082">
        <v>321</v>
      </c>
      <c r="AW4082">
        <v>321</v>
      </c>
      <c r="AX4082">
        <v>500</v>
      </c>
      <c r="BA4082">
        <v>1</v>
      </c>
      <c r="BC4082" t="s">
        <v>8271</v>
      </c>
      <c r="BD4082" s="4">
        <v>43283.272222222222</v>
      </c>
      <c r="BE4082" s="4">
        <v>43283.301469907405</v>
      </c>
      <c r="BF4082" s="4">
        <v>43283.301469907405</v>
      </c>
      <c r="BG4082" t="s">
        <v>83</v>
      </c>
      <c r="BH4082" t="s">
        <v>84</v>
      </c>
      <c r="BI4082" t="s">
        <v>85</v>
      </c>
    </row>
    <row r="4083" spans="1:61" x14ac:dyDescent="0.3">
      <c r="A4083" t="str">
        <f>"200683B0100"</f>
        <v>200683B0100</v>
      </c>
      <c r="B4083" t="s">
        <v>8272</v>
      </c>
      <c r="C4083">
        <v>20</v>
      </c>
      <c r="D4083" t="s">
        <v>79</v>
      </c>
      <c r="E4083">
        <v>19</v>
      </c>
      <c r="F4083" t="s">
        <v>8046</v>
      </c>
      <c r="G4083">
        <v>683</v>
      </c>
      <c r="H4083">
        <v>1</v>
      </c>
      <c r="I4083" t="s">
        <v>81</v>
      </c>
      <c r="J4083">
        <v>0</v>
      </c>
      <c r="K4083">
        <v>1</v>
      </c>
      <c r="L4083">
        <v>2</v>
      </c>
      <c r="M4083">
        <v>318</v>
      </c>
      <c r="N4083">
        <v>423</v>
      </c>
      <c r="O4083">
        <v>8</v>
      </c>
      <c r="P4083">
        <v>425</v>
      </c>
      <c r="Q4083">
        <v>23</v>
      </c>
      <c r="R4083">
        <v>37</v>
      </c>
      <c r="S4083">
        <v>9</v>
      </c>
      <c r="T4083">
        <v>10</v>
      </c>
      <c r="U4083">
        <v>26</v>
      </c>
      <c r="V4083">
        <v>17</v>
      </c>
      <c r="W4083">
        <v>6</v>
      </c>
      <c r="X4083">
        <v>6</v>
      </c>
      <c r="Y4083">
        <v>231</v>
      </c>
      <c r="Z4083">
        <v>10</v>
      </c>
      <c r="AA4083">
        <v>0</v>
      </c>
      <c r="AB4083">
        <v>14</v>
      </c>
      <c r="AC4083">
        <v>0</v>
      </c>
      <c r="AD4083">
        <v>0</v>
      </c>
      <c r="AE4083">
        <v>0</v>
      </c>
      <c r="AF4083">
        <v>1</v>
      </c>
      <c r="AK4083">
        <v>6</v>
      </c>
      <c r="AL4083">
        <v>0</v>
      </c>
      <c r="AM4083">
        <v>1</v>
      </c>
      <c r="AN4083">
        <v>3</v>
      </c>
      <c r="AP4083">
        <v>4</v>
      </c>
      <c r="AS4083">
        <v>4</v>
      </c>
      <c r="AT4083">
        <v>0</v>
      </c>
      <c r="AU4083">
        <v>17</v>
      </c>
      <c r="AV4083">
        <v>425</v>
      </c>
      <c r="AW4083">
        <v>425</v>
      </c>
      <c r="AX4083">
        <v>718</v>
      </c>
      <c r="BA4083">
        <v>1</v>
      </c>
      <c r="BC4083" t="s">
        <v>8273</v>
      </c>
      <c r="BD4083" s="4">
        <v>43283.175000000003</v>
      </c>
      <c r="BE4083" s="4">
        <v>43283.194340277776</v>
      </c>
      <c r="BF4083" s="4">
        <v>43283.194340277776</v>
      </c>
      <c r="BG4083" t="s">
        <v>83</v>
      </c>
      <c r="BH4083" t="s">
        <v>84</v>
      </c>
      <c r="BI4083" t="s">
        <v>85</v>
      </c>
    </row>
    <row r="4084" spans="1:61" x14ac:dyDescent="0.3">
      <c r="A4084" t="str">
        <f>"200683C0100"</f>
        <v>200683C0100</v>
      </c>
      <c r="B4084" t="s">
        <v>8274</v>
      </c>
      <c r="C4084">
        <v>20</v>
      </c>
      <c r="D4084" t="s">
        <v>79</v>
      </c>
      <c r="E4084">
        <v>19</v>
      </c>
      <c r="F4084" t="s">
        <v>8046</v>
      </c>
      <c r="G4084">
        <v>683</v>
      </c>
      <c r="H4084">
        <v>1</v>
      </c>
      <c r="I4084" t="s">
        <v>89</v>
      </c>
      <c r="J4084">
        <v>0</v>
      </c>
      <c r="K4084">
        <v>1</v>
      </c>
      <c r="L4084">
        <v>2</v>
      </c>
      <c r="M4084">
        <v>313</v>
      </c>
      <c r="N4084">
        <v>430</v>
      </c>
      <c r="O4084">
        <v>6</v>
      </c>
      <c r="P4084">
        <v>425</v>
      </c>
      <c r="Q4084">
        <v>21</v>
      </c>
      <c r="R4084">
        <v>58</v>
      </c>
      <c r="S4084">
        <v>6</v>
      </c>
      <c r="T4084">
        <v>6</v>
      </c>
      <c r="U4084">
        <v>21</v>
      </c>
      <c r="V4084">
        <v>15</v>
      </c>
      <c r="W4084">
        <v>7</v>
      </c>
      <c r="X4084">
        <v>9</v>
      </c>
      <c r="Y4084">
        <v>242</v>
      </c>
      <c r="Z4084">
        <v>7</v>
      </c>
      <c r="AA4084">
        <v>2</v>
      </c>
      <c r="AB4084">
        <v>5</v>
      </c>
      <c r="AC4084">
        <v>2</v>
      </c>
      <c r="AD4084">
        <v>1</v>
      </c>
      <c r="AE4084">
        <v>0</v>
      </c>
      <c r="AF4084">
        <v>0</v>
      </c>
      <c r="AK4084">
        <v>2</v>
      </c>
      <c r="AL4084">
        <v>2</v>
      </c>
      <c r="AM4084">
        <v>0</v>
      </c>
      <c r="AN4084">
        <v>1</v>
      </c>
      <c r="AP4084">
        <v>2</v>
      </c>
      <c r="AS4084">
        <v>5</v>
      </c>
      <c r="AT4084">
        <v>0</v>
      </c>
      <c r="AU4084">
        <v>11</v>
      </c>
      <c r="AV4084">
        <v>425</v>
      </c>
      <c r="AW4084">
        <v>425</v>
      </c>
      <c r="AX4084">
        <v>717</v>
      </c>
      <c r="BA4084">
        <v>1</v>
      </c>
      <c r="BC4084" t="s">
        <v>8275</v>
      </c>
      <c r="BD4084" s="4">
        <v>43283.049305555556</v>
      </c>
      <c r="BE4084" s="4">
        <v>43283.060312499998</v>
      </c>
      <c r="BF4084" s="4">
        <v>43283.060312499998</v>
      </c>
      <c r="BG4084" t="s">
        <v>83</v>
      </c>
      <c r="BH4084" t="s">
        <v>84</v>
      </c>
      <c r="BI4084" t="s">
        <v>85</v>
      </c>
    </row>
    <row r="4085" spans="1:61" x14ac:dyDescent="0.3">
      <c r="A4085" t="str">
        <f>"200683C0200"</f>
        <v>200683C0200</v>
      </c>
      <c r="B4085" t="s">
        <v>8276</v>
      </c>
      <c r="C4085">
        <v>20</v>
      </c>
      <c r="D4085" t="s">
        <v>79</v>
      </c>
      <c r="E4085">
        <v>19</v>
      </c>
      <c r="F4085" t="s">
        <v>8046</v>
      </c>
      <c r="G4085">
        <v>683</v>
      </c>
      <c r="H4085">
        <v>2</v>
      </c>
      <c r="I4085" t="s">
        <v>89</v>
      </c>
      <c r="J4085">
        <v>0</v>
      </c>
      <c r="K4085">
        <v>1</v>
      </c>
      <c r="L4085">
        <v>2</v>
      </c>
      <c r="M4085" t="s">
        <v>100</v>
      </c>
      <c r="N4085" t="s">
        <v>100</v>
      </c>
      <c r="O4085" t="s">
        <v>100</v>
      </c>
      <c r="P4085" t="s">
        <v>100</v>
      </c>
      <c r="Q4085">
        <v>21</v>
      </c>
      <c r="R4085">
        <v>44</v>
      </c>
      <c r="S4085">
        <v>4</v>
      </c>
      <c r="T4085">
        <v>12</v>
      </c>
      <c r="U4085">
        <v>22</v>
      </c>
      <c r="V4085">
        <v>19</v>
      </c>
      <c r="W4085">
        <v>1</v>
      </c>
      <c r="X4085">
        <v>7</v>
      </c>
      <c r="Y4085">
        <v>271</v>
      </c>
      <c r="Z4085">
        <v>6</v>
      </c>
      <c r="AA4085">
        <v>0</v>
      </c>
      <c r="AB4085">
        <v>6</v>
      </c>
      <c r="AC4085">
        <v>4</v>
      </c>
      <c r="AD4085">
        <v>0</v>
      </c>
      <c r="AE4085">
        <v>0</v>
      </c>
      <c r="AF4085">
        <v>0</v>
      </c>
      <c r="AK4085">
        <v>7</v>
      </c>
      <c r="AL4085">
        <v>1</v>
      </c>
      <c r="AM4085">
        <v>0</v>
      </c>
      <c r="AN4085">
        <v>1</v>
      </c>
      <c r="AP4085">
        <v>2</v>
      </c>
      <c r="AS4085">
        <v>4</v>
      </c>
      <c r="AT4085" t="s">
        <v>315</v>
      </c>
      <c r="AU4085">
        <v>21</v>
      </c>
      <c r="AV4085">
        <v>453</v>
      </c>
      <c r="AW4085">
        <v>453</v>
      </c>
      <c r="AX4085">
        <v>717</v>
      </c>
      <c r="AZ4085" t="s">
        <v>101</v>
      </c>
      <c r="BA4085">
        <v>1</v>
      </c>
      <c r="BC4085" t="s">
        <v>8277</v>
      </c>
      <c r="BD4085" s="4">
        <v>43283.175000000003</v>
      </c>
      <c r="BE4085" s="4">
        <v>43283.196967592594</v>
      </c>
      <c r="BF4085" s="4">
        <v>43283.196967592594</v>
      </c>
      <c r="BG4085" t="s">
        <v>83</v>
      </c>
      <c r="BH4085" t="s">
        <v>84</v>
      </c>
      <c r="BI4085" t="s">
        <v>85</v>
      </c>
    </row>
    <row r="4086" spans="1:61" x14ac:dyDescent="0.3">
      <c r="A4086" t="str">
        <f>"200684B0100"</f>
        <v>200684B0100</v>
      </c>
      <c r="B4086" t="s">
        <v>8278</v>
      </c>
      <c r="C4086">
        <v>20</v>
      </c>
      <c r="D4086" t="s">
        <v>79</v>
      </c>
      <c r="E4086">
        <v>19</v>
      </c>
      <c r="F4086" t="s">
        <v>8046</v>
      </c>
      <c r="G4086">
        <v>684</v>
      </c>
      <c r="H4086">
        <v>1</v>
      </c>
      <c r="I4086" t="s">
        <v>81</v>
      </c>
      <c r="J4086">
        <v>0</v>
      </c>
      <c r="K4086">
        <v>1</v>
      </c>
      <c r="L4086">
        <v>2</v>
      </c>
      <c r="M4086">
        <v>243</v>
      </c>
      <c r="N4086">
        <v>382</v>
      </c>
      <c r="O4086">
        <v>8</v>
      </c>
      <c r="P4086">
        <v>382</v>
      </c>
      <c r="Q4086">
        <v>14</v>
      </c>
      <c r="R4086">
        <v>39</v>
      </c>
      <c r="S4086">
        <v>8</v>
      </c>
      <c r="T4086">
        <v>7</v>
      </c>
      <c r="U4086">
        <v>15</v>
      </c>
      <c r="V4086">
        <v>12</v>
      </c>
      <c r="W4086">
        <v>2</v>
      </c>
      <c r="X4086">
        <v>11</v>
      </c>
      <c r="Y4086">
        <v>235</v>
      </c>
      <c r="Z4086">
        <v>4</v>
      </c>
      <c r="AA4086">
        <v>0</v>
      </c>
      <c r="AB4086">
        <v>7</v>
      </c>
      <c r="AC4086">
        <v>0</v>
      </c>
      <c r="AD4086">
        <v>1</v>
      </c>
      <c r="AE4086">
        <v>0</v>
      </c>
      <c r="AF4086">
        <v>1</v>
      </c>
      <c r="AK4086">
        <v>0</v>
      </c>
      <c r="AL4086">
        <v>4</v>
      </c>
      <c r="AM4086">
        <v>0</v>
      </c>
      <c r="AN4086">
        <v>1</v>
      </c>
      <c r="AP4086">
        <v>1</v>
      </c>
      <c r="AS4086">
        <v>3</v>
      </c>
      <c r="AT4086">
        <v>0</v>
      </c>
      <c r="AU4086">
        <v>16</v>
      </c>
      <c r="AV4086">
        <v>382</v>
      </c>
      <c r="AW4086">
        <v>381</v>
      </c>
      <c r="AX4086">
        <v>599</v>
      </c>
      <c r="BA4086">
        <v>1</v>
      </c>
      <c r="BC4086" t="s">
        <v>8279</v>
      </c>
      <c r="BD4086" s="4">
        <v>43283.23333333333</v>
      </c>
      <c r="BE4086" s="4">
        <v>43283.271828703706</v>
      </c>
      <c r="BF4086" s="4">
        <v>43283.271828703706</v>
      </c>
      <c r="BG4086" t="s">
        <v>83</v>
      </c>
      <c r="BH4086" t="s">
        <v>84</v>
      </c>
      <c r="BI4086" t="s">
        <v>85</v>
      </c>
    </row>
    <row r="4087" spans="1:61" x14ac:dyDescent="0.3">
      <c r="A4087" t="str">
        <f>"200684C0100"</f>
        <v>200684C0100</v>
      </c>
      <c r="B4087" t="s">
        <v>8280</v>
      </c>
      <c r="C4087">
        <v>20</v>
      </c>
      <c r="D4087" t="s">
        <v>79</v>
      </c>
      <c r="E4087">
        <v>19</v>
      </c>
      <c r="F4087" t="s">
        <v>8046</v>
      </c>
      <c r="G4087">
        <v>684</v>
      </c>
      <c r="H4087">
        <v>1</v>
      </c>
      <c r="I4087" t="s">
        <v>89</v>
      </c>
      <c r="J4087">
        <v>0</v>
      </c>
      <c r="K4087">
        <v>1</v>
      </c>
      <c r="L4087">
        <v>2</v>
      </c>
      <c r="M4087">
        <v>260</v>
      </c>
      <c r="N4087">
        <v>625</v>
      </c>
      <c r="O4087">
        <v>0</v>
      </c>
      <c r="P4087">
        <v>625</v>
      </c>
      <c r="Q4087">
        <v>14</v>
      </c>
      <c r="R4087">
        <v>45</v>
      </c>
      <c r="S4087">
        <v>3</v>
      </c>
      <c r="T4087">
        <v>7</v>
      </c>
      <c r="U4087">
        <v>19</v>
      </c>
      <c r="V4087">
        <v>7</v>
      </c>
      <c r="W4087">
        <v>5</v>
      </c>
      <c r="X4087">
        <v>8</v>
      </c>
      <c r="Y4087">
        <v>217</v>
      </c>
      <c r="Z4087">
        <v>3</v>
      </c>
      <c r="AA4087">
        <v>0</v>
      </c>
      <c r="AB4087">
        <v>7</v>
      </c>
      <c r="AC4087">
        <v>0</v>
      </c>
      <c r="AD4087">
        <v>0</v>
      </c>
      <c r="AE4087">
        <v>0</v>
      </c>
      <c r="AF4087">
        <v>0</v>
      </c>
      <c r="AK4087">
        <v>3</v>
      </c>
      <c r="AL4087">
        <v>2</v>
      </c>
      <c r="AM4087">
        <v>1</v>
      </c>
      <c r="AN4087">
        <v>1</v>
      </c>
      <c r="AP4087">
        <v>0</v>
      </c>
      <c r="AS4087">
        <v>2</v>
      </c>
      <c r="AT4087">
        <v>0</v>
      </c>
      <c r="AU4087">
        <v>21</v>
      </c>
      <c r="AV4087" t="s">
        <v>100</v>
      </c>
      <c r="AW4087">
        <v>365</v>
      </c>
      <c r="AX4087">
        <v>599</v>
      </c>
      <c r="BA4087">
        <v>1</v>
      </c>
      <c r="BC4087" t="s">
        <v>8281</v>
      </c>
      <c r="BD4087" s="4">
        <v>43283.23333333333</v>
      </c>
      <c r="BE4087" s="4">
        <v>43283.263136574074</v>
      </c>
      <c r="BF4087" s="4">
        <v>43283.263136574074</v>
      </c>
      <c r="BG4087" t="s">
        <v>83</v>
      </c>
      <c r="BH4087" t="s">
        <v>84</v>
      </c>
      <c r="BI4087" t="s">
        <v>85</v>
      </c>
    </row>
    <row r="4088" spans="1:61" x14ac:dyDescent="0.3">
      <c r="A4088" t="str">
        <f>"200684C0200"</f>
        <v>200684C0200</v>
      </c>
      <c r="B4088" t="s">
        <v>8282</v>
      </c>
      <c r="C4088">
        <v>20</v>
      </c>
      <c r="D4088" t="s">
        <v>79</v>
      </c>
      <c r="E4088">
        <v>19</v>
      </c>
      <c r="F4088" t="s">
        <v>8046</v>
      </c>
      <c r="G4088">
        <v>684</v>
      </c>
      <c r="H4088">
        <v>2</v>
      </c>
      <c r="I4088" t="s">
        <v>89</v>
      </c>
      <c r="J4088">
        <v>0</v>
      </c>
      <c r="K4088">
        <v>1</v>
      </c>
      <c r="L4088">
        <v>2</v>
      </c>
      <c r="M4088">
        <v>267</v>
      </c>
      <c r="N4088">
        <v>357</v>
      </c>
      <c r="O4088">
        <v>8</v>
      </c>
      <c r="P4088" t="s">
        <v>100</v>
      </c>
      <c r="Q4088">
        <v>15</v>
      </c>
      <c r="R4088">
        <v>48</v>
      </c>
      <c r="S4088">
        <v>10</v>
      </c>
      <c r="T4088">
        <v>5</v>
      </c>
      <c r="U4088">
        <v>17</v>
      </c>
      <c r="V4088">
        <v>14</v>
      </c>
      <c r="W4088">
        <v>3</v>
      </c>
      <c r="X4088">
        <v>12</v>
      </c>
      <c r="Y4088">
        <v>203</v>
      </c>
      <c r="Z4088">
        <v>2</v>
      </c>
      <c r="AA4088">
        <v>0</v>
      </c>
      <c r="AB4088">
        <v>4</v>
      </c>
      <c r="AC4088">
        <v>0</v>
      </c>
      <c r="AD4088">
        <v>0</v>
      </c>
      <c r="AE4088">
        <v>0</v>
      </c>
      <c r="AF4088">
        <v>0</v>
      </c>
      <c r="AK4088">
        <v>0</v>
      </c>
      <c r="AL4088">
        <v>0</v>
      </c>
      <c r="AM4088">
        <v>3</v>
      </c>
      <c r="AN4088">
        <v>4</v>
      </c>
      <c r="AP4088">
        <v>0</v>
      </c>
      <c r="AS4088">
        <v>0</v>
      </c>
      <c r="AT4088">
        <v>0</v>
      </c>
      <c r="AU4088">
        <v>14</v>
      </c>
      <c r="AV4088">
        <v>355</v>
      </c>
      <c r="AW4088">
        <v>354</v>
      </c>
      <c r="AX4088">
        <v>598</v>
      </c>
      <c r="BA4088">
        <v>1</v>
      </c>
      <c r="BC4088" t="s">
        <v>8283</v>
      </c>
      <c r="BD4088" s="4">
        <v>43283.23333333333</v>
      </c>
      <c r="BE4088" s="4">
        <v>43283.264097222222</v>
      </c>
      <c r="BF4088" s="4">
        <v>43283.264097222222</v>
      </c>
      <c r="BG4088" t="s">
        <v>83</v>
      </c>
      <c r="BH4088" t="s">
        <v>84</v>
      </c>
      <c r="BI4088" t="s">
        <v>85</v>
      </c>
    </row>
    <row r="4089" spans="1:61" x14ac:dyDescent="0.3">
      <c r="A4089" t="str">
        <f>"200685B0100"</f>
        <v>200685B0100</v>
      </c>
      <c r="B4089" t="s">
        <v>8284</v>
      </c>
      <c r="C4089">
        <v>20</v>
      </c>
      <c r="D4089" t="s">
        <v>79</v>
      </c>
      <c r="E4089">
        <v>19</v>
      </c>
      <c r="F4089" t="s">
        <v>8046</v>
      </c>
      <c r="G4089">
        <v>685</v>
      </c>
      <c r="H4089">
        <v>1</v>
      </c>
      <c r="I4089" t="s">
        <v>81</v>
      </c>
      <c r="J4089">
        <v>0</v>
      </c>
      <c r="K4089">
        <v>1</v>
      </c>
      <c r="L4089">
        <v>2</v>
      </c>
      <c r="M4089">
        <v>179</v>
      </c>
      <c r="N4089">
        <v>338</v>
      </c>
      <c r="O4089">
        <v>1</v>
      </c>
      <c r="P4089">
        <v>338</v>
      </c>
      <c r="Q4089">
        <v>17</v>
      </c>
      <c r="R4089">
        <v>80</v>
      </c>
      <c r="S4089">
        <v>2</v>
      </c>
      <c r="T4089">
        <v>1</v>
      </c>
      <c r="U4089">
        <v>12</v>
      </c>
      <c r="V4089">
        <v>13</v>
      </c>
      <c r="W4089">
        <v>4</v>
      </c>
      <c r="X4089">
        <v>8</v>
      </c>
      <c r="Y4089">
        <v>203</v>
      </c>
      <c r="Z4089">
        <v>7</v>
      </c>
      <c r="AA4089">
        <v>2</v>
      </c>
      <c r="AB4089">
        <v>3</v>
      </c>
      <c r="AC4089">
        <v>1</v>
      </c>
      <c r="AD4089">
        <v>0</v>
      </c>
      <c r="AE4089">
        <v>2</v>
      </c>
      <c r="AF4089">
        <v>0</v>
      </c>
      <c r="AK4089" t="s">
        <v>315</v>
      </c>
      <c r="AL4089">
        <v>3</v>
      </c>
      <c r="AM4089">
        <v>1</v>
      </c>
      <c r="AN4089">
        <v>1</v>
      </c>
      <c r="AP4089">
        <v>2</v>
      </c>
      <c r="AS4089">
        <v>2</v>
      </c>
      <c r="AT4089">
        <v>0</v>
      </c>
      <c r="AU4089">
        <v>10</v>
      </c>
      <c r="AV4089">
        <v>337</v>
      </c>
      <c r="AW4089">
        <v>374</v>
      </c>
      <c r="AX4089">
        <v>503</v>
      </c>
      <c r="AZ4089" t="s">
        <v>101</v>
      </c>
      <c r="BA4089">
        <v>1</v>
      </c>
      <c r="BC4089" t="s">
        <v>8285</v>
      </c>
      <c r="BD4089" s="4">
        <v>43283.175000000003</v>
      </c>
      <c r="BE4089" s="4">
        <v>43283.728495370371</v>
      </c>
      <c r="BF4089" s="4">
        <v>43283.728495370371</v>
      </c>
      <c r="BG4089" t="s">
        <v>83</v>
      </c>
      <c r="BH4089" t="s">
        <v>84</v>
      </c>
      <c r="BI4089" t="s">
        <v>85</v>
      </c>
    </row>
    <row r="4090" spans="1:61" x14ac:dyDescent="0.3">
      <c r="A4090" t="str">
        <f>"200685C0100"</f>
        <v>200685C0100</v>
      </c>
      <c r="B4090" t="s">
        <v>8286</v>
      </c>
      <c r="C4090">
        <v>20</v>
      </c>
      <c r="D4090" t="s">
        <v>79</v>
      </c>
      <c r="E4090">
        <v>19</v>
      </c>
      <c r="F4090" t="s">
        <v>8046</v>
      </c>
      <c r="G4090">
        <v>685</v>
      </c>
      <c r="H4090">
        <v>1</v>
      </c>
      <c r="I4090" t="s">
        <v>89</v>
      </c>
      <c r="J4090">
        <v>0</v>
      </c>
      <c r="K4090">
        <v>1</v>
      </c>
      <c r="L4090">
        <v>2</v>
      </c>
      <c r="M4090" t="s">
        <v>315</v>
      </c>
      <c r="N4090" t="s">
        <v>315</v>
      </c>
      <c r="O4090" t="s">
        <v>315</v>
      </c>
      <c r="P4090" t="s">
        <v>315</v>
      </c>
      <c r="Q4090" t="s">
        <v>315</v>
      </c>
      <c r="R4090" t="s">
        <v>315</v>
      </c>
      <c r="S4090" t="s">
        <v>315</v>
      </c>
      <c r="T4090" t="s">
        <v>315</v>
      </c>
      <c r="U4090" t="s">
        <v>315</v>
      </c>
      <c r="V4090" t="s">
        <v>315</v>
      </c>
      <c r="W4090" t="s">
        <v>315</v>
      </c>
      <c r="X4090" t="s">
        <v>315</v>
      </c>
      <c r="Y4090" t="s">
        <v>315</v>
      </c>
      <c r="Z4090" t="s">
        <v>315</v>
      </c>
      <c r="AA4090" t="s">
        <v>315</v>
      </c>
      <c r="AB4090" t="s">
        <v>315</v>
      </c>
      <c r="AC4090" t="s">
        <v>315</v>
      </c>
      <c r="AD4090" t="s">
        <v>315</v>
      </c>
      <c r="AE4090" t="s">
        <v>315</v>
      </c>
      <c r="AF4090" t="s">
        <v>315</v>
      </c>
      <c r="AK4090" t="s">
        <v>315</v>
      </c>
      <c r="AL4090" t="s">
        <v>315</v>
      </c>
      <c r="AM4090" t="s">
        <v>315</v>
      </c>
      <c r="AN4090" t="s">
        <v>315</v>
      </c>
      <c r="AP4090" t="s">
        <v>315</v>
      </c>
      <c r="AS4090" t="s">
        <v>315</v>
      </c>
      <c r="AT4090" t="s">
        <v>315</v>
      </c>
      <c r="AU4090" t="s">
        <v>315</v>
      </c>
      <c r="AX4090">
        <v>503</v>
      </c>
      <c r="AZ4090" t="s">
        <v>794</v>
      </c>
      <c r="BA4090">
        <v>0</v>
      </c>
      <c r="BC4090" t="s">
        <v>8287</v>
      </c>
      <c r="BD4090" s="4">
        <v>43283.179861111108</v>
      </c>
      <c r="BE4090" s="4">
        <v>43283.378148148149</v>
      </c>
      <c r="BF4090" s="4">
        <v>43283.378148148149</v>
      </c>
      <c r="BG4090" t="s">
        <v>83</v>
      </c>
      <c r="BH4090" t="s">
        <v>84</v>
      </c>
      <c r="BI4090" t="s">
        <v>85</v>
      </c>
    </row>
    <row r="4091" spans="1:61" x14ac:dyDescent="0.3">
      <c r="A4091" t="str">
        <f>"200685C0200"</f>
        <v>200685C0200</v>
      </c>
      <c r="B4091" t="s">
        <v>8288</v>
      </c>
      <c r="C4091">
        <v>20</v>
      </c>
      <c r="D4091" t="s">
        <v>79</v>
      </c>
      <c r="E4091">
        <v>19</v>
      </c>
      <c r="F4091" t="s">
        <v>8046</v>
      </c>
      <c r="G4091">
        <v>685</v>
      </c>
      <c r="H4091">
        <v>2</v>
      </c>
      <c r="I4091" t="s">
        <v>89</v>
      </c>
      <c r="J4091">
        <v>0</v>
      </c>
      <c r="K4091">
        <v>1</v>
      </c>
      <c r="L4091">
        <v>2</v>
      </c>
      <c r="M4091">
        <v>188</v>
      </c>
      <c r="N4091" t="s">
        <v>100</v>
      </c>
      <c r="O4091">
        <v>3</v>
      </c>
      <c r="P4091">
        <v>349</v>
      </c>
      <c r="Q4091">
        <v>19</v>
      </c>
      <c r="R4091">
        <v>51</v>
      </c>
      <c r="S4091">
        <v>2</v>
      </c>
      <c r="T4091">
        <v>6</v>
      </c>
      <c r="U4091">
        <v>10</v>
      </c>
      <c r="V4091">
        <v>14</v>
      </c>
      <c r="W4091">
        <v>1</v>
      </c>
      <c r="X4091">
        <v>8</v>
      </c>
      <c r="Y4091">
        <v>206</v>
      </c>
      <c r="Z4091">
        <v>5</v>
      </c>
      <c r="AA4091">
        <v>2</v>
      </c>
      <c r="AB4091">
        <v>2</v>
      </c>
      <c r="AC4091">
        <v>1</v>
      </c>
      <c r="AD4091" t="s">
        <v>100</v>
      </c>
      <c r="AE4091" t="s">
        <v>100</v>
      </c>
      <c r="AF4091" t="s">
        <v>100</v>
      </c>
      <c r="AK4091">
        <v>2</v>
      </c>
      <c r="AL4091">
        <v>1</v>
      </c>
      <c r="AM4091" t="s">
        <v>100</v>
      </c>
      <c r="AN4091">
        <v>1</v>
      </c>
      <c r="AP4091">
        <v>1</v>
      </c>
      <c r="AS4091" t="s">
        <v>100</v>
      </c>
      <c r="AT4091" t="s">
        <v>100</v>
      </c>
      <c r="AU4091">
        <v>6</v>
      </c>
      <c r="AV4091">
        <v>349</v>
      </c>
      <c r="AW4091">
        <v>338</v>
      </c>
      <c r="AX4091">
        <v>502</v>
      </c>
      <c r="AZ4091" t="s">
        <v>101</v>
      </c>
      <c r="BA4091">
        <v>1</v>
      </c>
      <c r="BC4091" t="s">
        <v>8289</v>
      </c>
      <c r="BD4091" s="4">
        <v>43283.175000000003</v>
      </c>
      <c r="BE4091" s="4">
        <v>43283.197638888887</v>
      </c>
      <c r="BF4091" s="4">
        <v>43283.197638888887</v>
      </c>
      <c r="BG4091" t="s">
        <v>83</v>
      </c>
      <c r="BH4091" t="s">
        <v>84</v>
      </c>
      <c r="BI4091" t="s">
        <v>85</v>
      </c>
    </row>
    <row r="4092" spans="1:61" x14ac:dyDescent="0.3">
      <c r="A4092" t="str">
        <f>"200686B0100"</f>
        <v>200686B0100</v>
      </c>
      <c r="B4092" t="s">
        <v>8290</v>
      </c>
      <c r="C4092">
        <v>20</v>
      </c>
      <c r="D4092" t="s">
        <v>79</v>
      </c>
      <c r="E4092">
        <v>19</v>
      </c>
      <c r="F4092" t="s">
        <v>8046</v>
      </c>
      <c r="G4092">
        <v>686</v>
      </c>
      <c r="H4092">
        <v>1</v>
      </c>
      <c r="I4092" t="s">
        <v>81</v>
      </c>
      <c r="J4092">
        <v>0</v>
      </c>
      <c r="K4092">
        <v>1</v>
      </c>
      <c r="L4092">
        <v>2</v>
      </c>
      <c r="M4092">
        <v>336</v>
      </c>
      <c r="N4092">
        <v>382</v>
      </c>
      <c r="O4092">
        <v>9</v>
      </c>
      <c r="P4092">
        <v>384</v>
      </c>
      <c r="Q4092">
        <v>20</v>
      </c>
      <c r="R4092">
        <v>39</v>
      </c>
      <c r="S4092">
        <v>6</v>
      </c>
      <c r="T4092">
        <v>3</v>
      </c>
      <c r="U4092">
        <v>20</v>
      </c>
      <c r="V4092">
        <v>11</v>
      </c>
      <c r="W4092">
        <v>3</v>
      </c>
      <c r="X4092">
        <v>11</v>
      </c>
      <c r="Y4092">
        <v>232</v>
      </c>
      <c r="Z4092">
        <v>3</v>
      </c>
      <c r="AA4092">
        <v>1</v>
      </c>
      <c r="AB4092">
        <v>11</v>
      </c>
      <c r="AC4092">
        <v>0</v>
      </c>
      <c r="AD4092">
        <v>0</v>
      </c>
      <c r="AE4092">
        <v>1</v>
      </c>
      <c r="AF4092">
        <v>0</v>
      </c>
      <c r="AK4092">
        <v>3</v>
      </c>
      <c r="AL4092">
        <v>0</v>
      </c>
      <c r="AM4092">
        <v>0</v>
      </c>
      <c r="AN4092">
        <v>0</v>
      </c>
      <c r="AP4092">
        <v>1</v>
      </c>
      <c r="AS4092">
        <v>4</v>
      </c>
      <c r="AT4092">
        <v>0</v>
      </c>
      <c r="AU4092">
        <v>13</v>
      </c>
      <c r="AV4092">
        <v>383</v>
      </c>
      <c r="AW4092">
        <v>382</v>
      </c>
      <c r="AX4092">
        <v>692</v>
      </c>
      <c r="BA4092">
        <v>1</v>
      </c>
      <c r="BC4092" t="s">
        <v>8291</v>
      </c>
      <c r="BD4092" s="4">
        <v>43283.384722222225</v>
      </c>
      <c r="BE4092" s="4">
        <v>43283.393784722219</v>
      </c>
      <c r="BF4092" s="4">
        <v>43283.393784722219</v>
      </c>
      <c r="BG4092" t="s">
        <v>83</v>
      </c>
      <c r="BH4092" t="s">
        <v>84</v>
      </c>
      <c r="BI4092" t="s">
        <v>85</v>
      </c>
    </row>
    <row r="4093" spans="1:61" x14ac:dyDescent="0.3">
      <c r="A4093" t="str">
        <f>"200686C0100"</f>
        <v>200686C0100</v>
      </c>
      <c r="B4093" t="s">
        <v>8292</v>
      </c>
      <c r="C4093">
        <v>20</v>
      </c>
      <c r="D4093" t="s">
        <v>79</v>
      </c>
      <c r="E4093">
        <v>19</v>
      </c>
      <c r="F4093" t="s">
        <v>8046</v>
      </c>
      <c r="G4093">
        <v>686</v>
      </c>
      <c r="H4093">
        <v>1</v>
      </c>
      <c r="I4093" t="s">
        <v>89</v>
      </c>
      <c r="J4093">
        <v>0</v>
      </c>
      <c r="K4093">
        <v>1</v>
      </c>
      <c r="L4093">
        <v>2</v>
      </c>
      <c r="M4093">
        <v>319</v>
      </c>
      <c r="N4093">
        <v>398</v>
      </c>
      <c r="O4093">
        <v>3</v>
      </c>
      <c r="P4093">
        <v>4</v>
      </c>
      <c r="Q4093">
        <v>22</v>
      </c>
      <c r="R4093">
        <v>44</v>
      </c>
      <c r="S4093">
        <v>6</v>
      </c>
      <c r="T4093">
        <v>8</v>
      </c>
      <c r="U4093">
        <v>18</v>
      </c>
      <c r="V4093">
        <v>18</v>
      </c>
      <c r="W4093">
        <v>5</v>
      </c>
      <c r="X4093">
        <v>12</v>
      </c>
      <c r="Y4093">
        <v>225</v>
      </c>
      <c r="Z4093">
        <v>4</v>
      </c>
      <c r="AA4093">
        <v>0</v>
      </c>
      <c r="AB4093">
        <v>7</v>
      </c>
      <c r="AC4093">
        <v>0</v>
      </c>
      <c r="AD4093">
        <v>1</v>
      </c>
      <c r="AE4093">
        <v>0</v>
      </c>
      <c r="AF4093">
        <v>0</v>
      </c>
      <c r="AK4093">
        <v>2</v>
      </c>
      <c r="AL4093">
        <v>1</v>
      </c>
      <c r="AM4093">
        <v>0</v>
      </c>
      <c r="AN4093">
        <v>1</v>
      </c>
      <c r="AP4093">
        <v>1</v>
      </c>
      <c r="AS4093">
        <v>3</v>
      </c>
      <c r="AT4093">
        <v>0</v>
      </c>
      <c r="AU4093">
        <v>18</v>
      </c>
      <c r="AV4093">
        <v>396</v>
      </c>
      <c r="AW4093">
        <v>396</v>
      </c>
      <c r="AX4093">
        <v>691</v>
      </c>
      <c r="BA4093">
        <v>1</v>
      </c>
      <c r="BC4093" t="s">
        <v>8293</v>
      </c>
      <c r="BD4093" s="4">
        <v>43283.395833333336</v>
      </c>
      <c r="BE4093" s="4">
        <v>43283.406851851854</v>
      </c>
      <c r="BF4093" s="4">
        <v>43283.406851851854</v>
      </c>
      <c r="BG4093" t="s">
        <v>83</v>
      </c>
      <c r="BH4093" t="s">
        <v>84</v>
      </c>
      <c r="BI4093" t="s">
        <v>85</v>
      </c>
    </row>
    <row r="4094" spans="1:61" x14ac:dyDescent="0.3">
      <c r="A4094" t="str">
        <f>"200686C0200"</f>
        <v>200686C0200</v>
      </c>
      <c r="B4094" t="s">
        <v>8294</v>
      </c>
      <c r="C4094">
        <v>20</v>
      </c>
      <c r="D4094" t="s">
        <v>79</v>
      </c>
      <c r="E4094">
        <v>19</v>
      </c>
      <c r="F4094" t="s">
        <v>8046</v>
      </c>
      <c r="G4094">
        <v>686</v>
      </c>
      <c r="H4094">
        <v>2</v>
      </c>
      <c r="I4094" t="s">
        <v>89</v>
      </c>
      <c r="J4094">
        <v>0</v>
      </c>
      <c r="K4094">
        <v>1</v>
      </c>
      <c r="L4094">
        <v>2</v>
      </c>
      <c r="M4094">
        <v>332</v>
      </c>
      <c r="N4094">
        <v>717</v>
      </c>
      <c r="O4094">
        <v>4</v>
      </c>
      <c r="P4094" t="s">
        <v>100</v>
      </c>
      <c r="Q4094">
        <v>7</v>
      </c>
      <c r="R4094">
        <v>39</v>
      </c>
      <c r="S4094">
        <v>7</v>
      </c>
      <c r="T4094">
        <v>5</v>
      </c>
      <c r="U4094">
        <v>13</v>
      </c>
      <c r="V4094">
        <v>8</v>
      </c>
      <c r="W4094">
        <v>7</v>
      </c>
      <c r="X4094">
        <v>4</v>
      </c>
      <c r="Y4094">
        <v>245</v>
      </c>
      <c r="Z4094">
        <v>3</v>
      </c>
      <c r="AA4094">
        <v>1</v>
      </c>
      <c r="AB4094">
        <v>10</v>
      </c>
      <c r="AC4094">
        <v>1</v>
      </c>
      <c r="AD4094">
        <v>0</v>
      </c>
      <c r="AE4094">
        <v>0</v>
      </c>
      <c r="AF4094">
        <v>0</v>
      </c>
      <c r="AK4094">
        <v>3</v>
      </c>
      <c r="AL4094">
        <v>2</v>
      </c>
      <c r="AM4094">
        <v>0</v>
      </c>
      <c r="AN4094">
        <v>3</v>
      </c>
      <c r="AP4094">
        <v>1</v>
      </c>
      <c r="AS4094">
        <v>7</v>
      </c>
      <c r="AT4094">
        <v>6</v>
      </c>
      <c r="AU4094">
        <v>9</v>
      </c>
      <c r="AV4094" t="s">
        <v>100</v>
      </c>
      <c r="AW4094">
        <v>381</v>
      </c>
      <c r="AX4094">
        <v>691</v>
      </c>
      <c r="BA4094">
        <v>1</v>
      </c>
      <c r="BC4094" t="s">
        <v>8295</v>
      </c>
      <c r="BD4094" s="4">
        <v>43283.37777777778</v>
      </c>
      <c r="BE4094" s="4">
        <v>43283.389722222222</v>
      </c>
      <c r="BF4094" s="4">
        <v>43283.389722222222</v>
      </c>
      <c r="BG4094" t="s">
        <v>83</v>
      </c>
      <c r="BH4094" t="s">
        <v>84</v>
      </c>
      <c r="BI4094" t="s">
        <v>85</v>
      </c>
    </row>
    <row r="4095" spans="1:61" x14ac:dyDescent="0.3">
      <c r="A4095" t="str">
        <f>"200686C0300"</f>
        <v>200686C0300</v>
      </c>
      <c r="B4095" t="s">
        <v>8296</v>
      </c>
      <c r="C4095">
        <v>20</v>
      </c>
      <c r="D4095" t="s">
        <v>79</v>
      </c>
      <c r="E4095">
        <v>19</v>
      </c>
      <c r="F4095" t="s">
        <v>8046</v>
      </c>
      <c r="G4095">
        <v>686</v>
      </c>
      <c r="H4095">
        <v>3</v>
      </c>
      <c r="I4095" t="s">
        <v>89</v>
      </c>
      <c r="J4095">
        <v>0</v>
      </c>
      <c r="K4095">
        <v>1</v>
      </c>
      <c r="L4095">
        <v>2</v>
      </c>
      <c r="M4095">
        <v>320</v>
      </c>
      <c r="N4095">
        <v>397</v>
      </c>
      <c r="O4095">
        <v>5</v>
      </c>
      <c r="P4095">
        <v>409</v>
      </c>
      <c r="Q4095">
        <v>19</v>
      </c>
      <c r="R4095">
        <v>37</v>
      </c>
      <c r="S4095">
        <v>5</v>
      </c>
      <c r="T4095">
        <v>8</v>
      </c>
      <c r="U4095">
        <v>15</v>
      </c>
      <c r="V4095">
        <v>14</v>
      </c>
      <c r="W4095">
        <v>6</v>
      </c>
      <c r="X4095">
        <v>9</v>
      </c>
      <c r="Y4095">
        <v>249</v>
      </c>
      <c r="Z4095">
        <v>7</v>
      </c>
      <c r="AA4095">
        <v>0</v>
      </c>
      <c r="AB4095">
        <v>6</v>
      </c>
      <c r="AC4095">
        <v>0</v>
      </c>
      <c r="AD4095">
        <v>0</v>
      </c>
      <c r="AE4095">
        <v>1</v>
      </c>
      <c r="AF4095">
        <v>2</v>
      </c>
      <c r="AK4095">
        <v>4</v>
      </c>
      <c r="AL4095">
        <v>2</v>
      </c>
      <c r="AM4095">
        <v>0</v>
      </c>
      <c r="AN4095">
        <v>1</v>
      </c>
      <c r="AP4095">
        <v>2</v>
      </c>
      <c r="AS4095">
        <v>3</v>
      </c>
      <c r="AT4095">
        <v>0</v>
      </c>
      <c r="AU4095">
        <v>20</v>
      </c>
      <c r="AV4095">
        <v>410</v>
      </c>
      <c r="AW4095">
        <v>410</v>
      </c>
      <c r="AX4095">
        <v>691</v>
      </c>
      <c r="BA4095">
        <v>1</v>
      </c>
      <c r="BC4095" t="s">
        <v>8297</v>
      </c>
      <c r="BD4095" s="4">
        <v>43283.384027777778</v>
      </c>
      <c r="BE4095" s="4">
        <v>43283.390752314815</v>
      </c>
      <c r="BF4095" s="4">
        <v>43283.390752314815</v>
      </c>
      <c r="BG4095" t="s">
        <v>83</v>
      </c>
      <c r="BH4095" t="s">
        <v>84</v>
      </c>
      <c r="BI4095" t="s">
        <v>85</v>
      </c>
    </row>
    <row r="4096" spans="1:61" x14ac:dyDescent="0.3">
      <c r="A4096" t="str">
        <f>"200687B0100"</f>
        <v>200687B0100</v>
      </c>
      <c r="B4096" t="s">
        <v>8298</v>
      </c>
      <c r="C4096">
        <v>20</v>
      </c>
      <c r="D4096" t="s">
        <v>79</v>
      </c>
      <c r="E4096">
        <v>19</v>
      </c>
      <c r="F4096" t="s">
        <v>8046</v>
      </c>
      <c r="G4096">
        <v>687</v>
      </c>
      <c r="H4096">
        <v>1</v>
      </c>
      <c r="I4096" t="s">
        <v>81</v>
      </c>
      <c r="J4096">
        <v>0</v>
      </c>
      <c r="K4096">
        <v>1</v>
      </c>
      <c r="L4096">
        <v>2</v>
      </c>
      <c r="M4096" t="s">
        <v>100</v>
      </c>
      <c r="N4096" t="s">
        <v>100</v>
      </c>
      <c r="O4096" t="s">
        <v>100</v>
      </c>
      <c r="P4096" t="s">
        <v>100</v>
      </c>
      <c r="Q4096" t="s">
        <v>100</v>
      </c>
      <c r="R4096" t="s">
        <v>100</v>
      </c>
      <c r="S4096" t="s">
        <v>100</v>
      </c>
      <c r="T4096" t="s">
        <v>100</v>
      </c>
      <c r="U4096" t="s">
        <v>100</v>
      </c>
      <c r="V4096" t="s">
        <v>100</v>
      </c>
      <c r="W4096" t="s">
        <v>100</v>
      </c>
      <c r="X4096" t="s">
        <v>100</v>
      </c>
      <c r="Y4096" t="s">
        <v>100</v>
      </c>
      <c r="Z4096" t="s">
        <v>100</v>
      </c>
      <c r="AA4096" t="s">
        <v>100</v>
      </c>
      <c r="AB4096" t="s">
        <v>100</v>
      </c>
      <c r="AC4096" t="s">
        <v>100</v>
      </c>
      <c r="AD4096" t="s">
        <v>100</v>
      </c>
      <c r="AE4096" t="s">
        <v>100</v>
      </c>
      <c r="AF4096" t="s">
        <v>100</v>
      </c>
      <c r="AK4096" t="s">
        <v>100</v>
      </c>
      <c r="AL4096" t="s">
        <v>100</v>
      </c>
      <c r="AM4096" t="s">
        <v>100</v>
      </c>
      <c r="AN4096" t="s">
        <v>100</v>
      </c>
      <c r="AP4096" t="s">
        <v>100</v>
      </c>
      <c r="AS4096" t="s">
        <v>100</v>
      </c>
      <c r="AT4096" t="s">
        <v>100</v>
      </c>
      <c r="AU4096" t="s">
        <v>100</v>
      </c>
      <c r="AX4096">
        <v>578</v>
      </c>
      <c r="AZ4096" t="s">
        <v>794</v>
      </c>
      <c r="BA4096">
        <v>0</v>
      </c>
      <c r="BC4096" t="s">
        <v>8299</v>
      </c>
      <c r="BD4096" s="4">
        <v>43283.192361111112</v>
      </c>
      <c r="BE4096" s="4">
        <v>43283.268553240741</v>
      </c>
      <c r="BF4096" s="4">
        <v>43283.268553240741</v>
      </c>
      <c r="BG4096" t="s">
        <v>83</v>
      </c>
      <c r="BH4096" t="s">
        <v>84</v>
      </c>
      <c r="BI4096" t="s">
        <v>85</v>
      </c>
    </row>
    <row r="4097" spans="1:61" x14ac:dyDescent="0.3">
      <c r="A4097" t="str">
        <f>"200687C0100"</f>
        <v>200687C0100</v>
      </c>
      <c r="B4097" t="s">
        <v>8300</v>
      </c>
      <c r="C4097">
        <v>20</v>
      </c>
      <c r="D4097" t="s">
        <v>79</v>
      </c>
      <c r="E4097">
        <v>19</v>
      </c>
      <c r="F4097" t="s">
        <v>8046</v>
      </c>
      <c r="G4097">
        <v>687</v>
      </c>
      <c r="H4097">
        <v>1</v>
      </c>
      <c r="I4097" t="s">
        <v>89</v>
      </c>
      <c r="J4097">
        <v>0</v>
      </c>
      <c r="K4097">
        <v>1</v>
      </c>
      <c r="L4097">
        <v>2</v>
      </c>
      <c r="M4097">
        <v>249</v>
      </c>
      <c r="N4097">
        <v>354</v>
      </c>
      <c r="O4097">
        <v>10</v>
      </c>
      <c r="P4097" t="s">
        <v>315</v>
      </c>
      <c r="Q4097">
        <v>5</v>
      </c>
      <c r="R4097">
        <v>30</v>
      </c>
      <c r="S4097">
        <v>3</v>
      </c>
      <c r="T4097">
        <v>6</v>
      </c>
      <c r="U4097">
        <v>12</v>
      </c>
      <c r="V4097">
        <v>7</v>
      </c>
      <c r="W4097">
        <v>12</v>
      </c>
      <c r="X4097">
        <v>4</v>
      </c>
      <c r="Y4097">
        <v>246</v>
      </c>
      <c r="Z4097">
        <v>10</v>
      </c>
      <c r="AA4097">
        <v>0</v>
      </c>
      <c r="AB4097">
        <v>3</v>
      </c>
      <c r="AC4097">
        <v>1</v>
      </c>
      <c r="AD4097">
        <v>0</v>
      </c>
      <c r="AE4097">
        <v>0</v>
      </c>
      <c r="AF4097">
        <v>0</v>
      </c>
      <c r="AK4097">
        <v>6</v>
      </c>
      <c r="AL4097">
        <v>2</v>
      </c>
      <c r="AM4097">
        <v>0</v>
      </c>
      <c r="AN4097">
        <v>1</v>
      </c>
      <c r="AP4097">
        <v>0</v>
      </c>
      <c r="AS4097">
        <v>3</v>
      </c>
      <c r="AT4097">
        <v>0</v>
      </c>
      <c r="AU4097">
        <v>6</v>
      </c>
      <c r="AV4097">
        <v>359</v>
      </c>
      <c r="AW4097">
        <v>357</v>
      </c>
      <c r="AX4097">
        <v>578</v>
      </c>
      <c r="BA4097">
        <v>1</v>
      </c>
      <c r="BC4097" t="s">
        <v>8301</v>
      </c>
      <c r="BD4097" s="4">
        <v>43283.186111111114</v>
      </c>
      <c r="BE4097" s="4">
        <v>43283.213449074072</v>
      </c>
      <c r="BF4097" s="4">
        <v>43283.213449074072</v>
      </c>
      <c r="BG4097" t="s">
        <v>83</v>
      </c>
      <c r="BH4097" t="s">
        <v>84</v>
      </c>
      <c r="BI4097" t="s">
        <v>85</v>
      </c>
    </row>
    <row r="4098" spans="1:61" x14ac:dyDescent="0.3">
      <c r="A4098" t="str">
        <f>"200687C0200"</f>
        <v>200687C0200</v>
      </c>
      <c r="B4098" t="s">
        <v>8302</v>
      </c>
      <c r="C4098">
        <v>20</v>
      </c>
      <c r="D4098" t="s">
        <v>79</v>
      </c>
      <c r="E4098">
        <v>19</v>
      </c>
      <c r="F4098" t="s">
        <v>8046</v>
      </c>
      <c r="G4098">
        <v>687</v>
      </c>
      <c r="H4098">
        <v>2</v>
      </c>
      <c r="I4098" t="s">
        <v>89</v>
      </c>
      <c r="J4098">
        <v>0</v>
      </c>
      <c r="K4098">
        <v>1</v>
      </c>
      <c r="L4098">
        <v>2</v>
      </c>
      <c r="M4098">
        <v>263</v>
      </c>
      <c r="N4098">
        <v>334</v>
      </c>
      <c r="O4098">
        <v>6</v>
      </c>
      <c r="P4098">
        <v>340</v>
      </c>
      <c r="Q4098">
        <v>11</v>
      </c>
      <c r="R4098">
        <v>29</v>
      </c>
      <c r="S4098">
        <v>2</v>
      </c>
      <c r="T4098">
        <v>4</v>
      </c>
      <c r="U4098">
        <v>17</v>
      </c>
      <c r="V4098">
        <v>4</v>
      </c>
      <c r="W4098">
        <v>12</v>
      </c>
      <c r="X4098">
        <v>3</v>
      </c>
      <c r="Y4098">
        <v>213</v>
      </c>
      <c r="Z4098">
        <v>8</v>
      </c>
      <c r="AA4098">
        <v>1</v>
      </c>
      <c r="AB4098">
        <v>4</v>
      </c>
      <c r="AC4098">
        <v>0</v>
      </c>
      <c r="AD4098">
        <v>0</v>
      </c>
      <c r="AE4098">
        <v>0</v>
      </c>
      <c r="AF4098">
        <v>0</v>
      </c>
      <c r="AK4098">
        <v>3</v>
      </c>
      <c r="AL4098">
        <v>2</v>
      </c>
      <c r="AM4098">
        <v>0</v>
      </c>
      <c r="AN4098">
        <v>1</v>
      </c>
      <c r="AP4098">
        <v>0</v>
      </c>
      <c r="AS4098">
        <v>3</v>
      </c>
      <c r="AT4098">
        <v>0</v>
      </c>
      <c r="AU4098">
        <v>16</v>
      </c>
      <c r="AV4098">
        <v>333</v>
      </c>
      <c r="AW4098">
        <v>333</v>
      </c>
      <c r="AX4098">
        <v>577</v>
      </c>
      <c r="BA4098">
        <v>1</v>
      </c>
      <c r="BC4098" t="s">
        <v>8303</v>
      </c>
      <c r="BD4098" s="4">
        <v>43283.186111111114</v>
      </c>
      <c r="BE4098" s="4">
        <v>43283.206030092595</v>
      </c>
      <c r="BF4098" s="4">
        <v>43283.206030092595</v>
      </c>
      <c r="BG4098" t="s">
        <v>83</v>
      </c>
      <c r="BH4098" t="s">
        <v>84</v>
      </c>
      <c r="BI4098" t="s">
        <v>85</v>
      </c>
    </row>
    <row r="4099" spans="1:61" x14ac:dyDescent="0.3">
      <c r="A4099" t="str">
        <f>"200688B0100"</f>
        <v>200688B0100</v>
      </c>
      <c r="B4099" t="s">
        <v>8304</v>
      </c>
      <c r="C4099">
        <v>20</v>
      </c>
      <c r="D4099" t="s">
        <v>79</v>
      </c>
      <c r="E4099">
        <v>19</v>
      </c>
      <c r="F4099" t="s">
        <v>8046</v>
      </c>
      <c r="G4099">
        <v>688</v>
      </c>
      <c r="H4099">
        <v>1</v>
      </c>
      <c r="I4099" t="s">
        <v>81</v>
      </c>
      <c r="J4099">
        <v>0</v>
      </c>
      <c r="K4099">
        <v>1</v>
      </c>
      <c r="L4099">
        <v>2</v>
      </c>
      <c r="M4099">
        <v>263</v>
      </c>
      <c r="N4099">
        <v>504</v>
      </c>
      <c r="O4099">
        <v>3</v>
      </c>
      <c r="P4099">
        <v>504</v>
      </c>
      <c r="Q4099">
        <v>23</v>
      </c>
      <c r="R4099">
        <v>79</v>
      </c>
      <c r="S4099">
        <v>4</v>
      </c>
      <c r="T4099">
        <v>14</v>
      </c>
      <c r="U4099">
        <v>21</v>
      </c>
      <c r="V4099">
        <v>13</v>
      </c>
      <c r="W4099">
        <v>10</v>
      </c>
      <c r="X4099">
        <v>4</v>
      </c>
      <c r="Y4099">
        <v>296</v>
      </c>
      <c r="Z4099">
        <v>5</v>
      </c>
      <c r="AA4099">
        <v>7</v>
      </c>
      <c r="AB4099">
        <v>8</v>
      </c>
      <c r="AC4099">
        <v>0</v>
      </c>
      <c r="AD4099">
        <v>0</v>
      </c>
      <c r="AE4099">
        <v>1</v>
      </c>
      <c r="AF4099">
        <v>0</v>
      </c>
      <c r="AK4099">
        <v>5</v>
      </c>
      <c r="AL4099">
        <v>1</v>
      </c>
      <c r="AM4099">
        <v>0</v>
      </c>
      <c r="AN4099">
        <v>1</v>
      </c>
      <c r="AP4099">
        <v>1</v>
      </c>
      <c r="AS4099">
        <v>4</v>
      </c>
      <c r="AT4099">
        <v>4</v>
      </c>
      <c r="AU4099">
        <v>7</v>
      </c>
      <c r="AV4099">
        <v>504</v>
      </c>
      <c r="AW4099">
        <v>508</v>
      </c>
      <c r="AX4099">
        <v>745</v>
      </c>
      <c r="BA4099">
        <v>1</v>
      </c>
      <c r="BC4099" t="s">
        <v>8305</v>
      </c>
      <c r="BD4099" s="4">
        <v>43283.199305555558</v>
      </c>
      <c r="BE4099" s="4">
        <v>43283.220092592594</v>
      </c>
      <c r="BF4099" s="4">
        <v>43283.220092592594</v>
      </c>
      <c r="BG4099" t="s">
        <v>83</v>
      </c>
      <c r="BH4099" t="s">
        <v>84</v>
      </c>
      <c r="BI4099" t="s">
        <v>85</v>
      </c>
    </row>
    <row r="4100" spans="1:61" x14ac:dyDescent="0.3">
      <c r="A4100" t="str">
        <f>"200688C0100"</f>
        <v>200688C0100</v>
      </c>
      <c r="B4100" t="s">
        <v>8306</v>
      </c>
      <c r="C4100">
        <v>20</v>
      </c>
      <c r="D4100" t="s">
        <v>79</v>
      </c>
      <c r="E4100">
        <v>19</v>
      </c>
      <c r="F4100" t="s">
        <v>8046</v>
      </c>
      <c r="G4100">
        <v>688</v>
      </c>
      <c r="H4100">
        <v>1</v>
      </c>
      <c r="I4100" t="s">
        <v>89</v>
      </c>
      <c r="J4100">
        <v>0</v>
      </c>
      <c r="K4100">
        <v>1</v>
      </c>
      <c r="L4100">
        <v>2</v>
      </c>
      <c r="M4100">
        <v>294</v>
      </c>
      <c r="N4100">
        <v>477</v>
      </c>
      <c r="O4100">
        <v>0</v>
      </c>
      <c r="P4100">
        <v>0</v>
      </c>
      <c r="Q4100">
        <v>17</v>
      </c>
      <c r="R4100">
        <v>81</v>
      </c>
      <c r="S4100">
        <v>4</v>
      </c>
      <c r="T4100">
        <v>13</v>
      </c>
      <c r="U4100">
        <v>14</v>
      </c>
      <c r="V4100">
        <v>13</v>
      </c>
      <c r="W4100">
        <v>8</v>
      </c>
      <c r="X4100">
        <v>3</v>
      </c>
      <c r="Y4100">
        <v>271</v>
      </c>
      <c r="Z4100">
        <v>6</v>
      </c>
      <c r="AA4100">
        <v>7</v>
      </c>
      <c r="AB4100">
        <v>5</v>
      </c>
      <c r="AC4100">
        <v>1</v>
      </c>
      <c r="AD4100">
        <v>1</v>
      </c>
      <c r="AE4100">
        <v>1</v>
      </c>
      <c r="AF4100">
        <v>1</v>
      </c>
      <c r="AK4100">
        <v>3</v>
      </c>
      <c r="AL4100">
        <v>1</v>
      </c>
      <c r="AM4100">
        <v>0</v>
      </c>
      <c r="AN4100">
        <v>0</v>
      </c>
      <c r="AP4100">
        <v>3</v>
      </c>
      <c r="AS4100">
        <v>6</v>
      </c>
      <c r="AT4100" t="s">
        <v>100</v>
      </c>
      <c r="AU4100">
        <v>17</v>
      </c>
      <c r="AV4100">
        <v>477</v>
      </c>
      <c r="AW4100">
        <v>476</v>
      </c>
      <c r="AX4100">
        <v>745</v>
      </c>
      <c r="AZ4100" t="s">
        <v>101</v>
      </c>
      <c r="BA4100">
        <v>1</v>
      </c>
      <c r="BC4100" t="s">
        <v>8307</v>
      </c>
      <c r="BD4100" s="4">
        <v>43283.199305555558</v>
      </c>
      <c r="BE4100" s="4">
        <v>43283.222650462965</v>
      </c>
      <c r="BF4100" s="4">
        <v>43283.222650462965</v>
      </c>
      <c r="BG4100" t="s">
        <v>83</v>
      </c>
      <c r="BH4100" t="s">
        <v>84</v>
      </c>
      <c r="BI4100" t="s">
        <v>85</v>
      </c>
    </row>
    <row r="4101" spans="1:61" x14ac:dyDescent="0.3">
      <c r="A4101" t="str">
        <f>"200689B0100"</f>
        <v>200689B0100</v>
      </c>
      <c r="B4101" t="s">
        <v>8308</v>
      </c>
      <c r="C4101">
        <v>20</v>
      </c>
      <c r="D4101" t="s">
        <v>79</v>
      </c>
      <c r="E4101">
        <v>19</v>
      </c>
      <c r="F4101" t="s">
        <v>8046</v>
      </c>
      <c r="G4101">
        <v>689</v>
      </c>
      <c r="H4101">
        <v>1</v>
      </c>
      <c r="I4101" t="s">
        <v>81</v>
      </c>
      <c r="J4101">
        <v>0</v>
      </c>
      <c r="K4101">
        <v>1</v>
      </c>
      <c r="L4101">
        <v>2</v>
      </c>
      <c r="M4101">
        <v>243</v>
      </c>
      <c r="N4101">
        <v>460</v>
      </c>
      <c r="O4101">
        <v>6</v>
      </c>
      <c r="P4101" t="s">
        <v>315</v>
      </c>
      <c r="Q4101">
        <v>21</v>
      </c>
      <c r="R4101">
        <v>107</v>
      </c>
      <c r="S4101">
        <v>5</v>
      </c>
      <c r="T4101">
        <v>7</v>
      </c>
      <c r="U4101">
        <v>20</v>
      </c>
      <c r="V4101">
        <v>12</v>
      </c>
      <c r="W4101">
        <v>4</v>
      </c>
      <c r="X4101">
        <v>8</v>
      </c>
      <c r="Y4101">
        <v>248</v>
      </c>
      <c r="Z4101">
        <v>5</v>
      </c>
      <c r="AA4101">
        <v>1</v>
      </c>
      <c r="AB4101">
        <v>2</v>
      </c>
      <c r="AC4101" t="s">
        <v>100</v>
      </c>
      <c r="AD4101" t="s">
        <v>100</v>
      </c>
      <c r="AE4101" t="s">
        <v>100</v>
      </c>
      <c r="AF4101" t="s">
        <v>100</v>
      </c>
      <c r="AK4101" t="s">
        <v>100</v>
      </c>
      <c r="AL4101" t="s">
        <v>100</v>
      </c>
      <c r="AM4101" t="s">
        <v>100</v>
      </c>
      <c r="AN4101" t="s">
        <v>100</v>
      </c>
      <c r="AP4101" t="s">
        <v>100</v>
      </c>
      <c r="AS4101">
        <v>5</v>
      </c>
      <c r="AT4101" t="s">
        <v>100</v>
      </c>
      <c r="AU4101">
        <v>9</v>
      </c>
      <c r="AV4101">
        <v>454</v>
      </c>
      <c r="AW4101">
        <v>454</v>
      </c>
      <c r="AX4101">
        <v>675</v>
      </c>
      <c r="AZ4101" t="s">
        <v>101</v>
      </c>
      <c r="BA4101">
        <v>1</v>
      </c>
      <c r="BC4101" t="s">
        <v>8309</v>
      </c>
      <c r="BD4101" s="4">
        <v>43283.15902777778</v>
      </c>
      <c r="BE4101" s="4">
        <v>43283.170648148145</v>
      </c>
      <c r="BF4101" s="4">
        <v>43283.170648148145</v>
      </c>
      <c r="BG4101" t="s">
        <v>83</v>
      </c>
      <c r="BH4101" t="s">
        <v>84</v>
      </c>
      <c r="BI4101" t="s">
        <v>85</v>
      </c>
    </row>
    <row r="4102" spans="1:61" x14ac:dyDescent="0.3">
      <c r="A4102" t="str">
        <f>"200689C0100"</f>
        <v>200689C0100</v>
      </c>
      <c r="B4102" t="s">
        <v>8310</v>
      </c>
      <c r="C4102">
        <v>20</v>
      </c>
      <c r="D4102" t="s">
        <v>79</v>
      </c>
      <c r="E4102">
        <v>19</v>
      </c>
      <c r="F4102" t="s">
        <v>8046</v>
      </c>
      <c r="G4102">
        <v>689</v>
      </c>
      <c r="H4102">
        <v>1</v>
      </c>
      <c r="I4102" t="s">
        <v>89</v>
      </c>
      <c r="J4102">
        <v>0</v>
      </c>
      <c r="K4102">
        <v>1</v>
      </c>
      <c r="L4102">
        <v>2</v>
      </c>
      <c r="AX4102">
        <v>675</v>
      </c>
      <c r="AZ4102" t="s">
        <v>156</v>
      </c>
      <c r="BA4102">
        <v>0</v>
      </c>
      <c r="BC4102" t="s">
        <v>8311</v>
      </c>
      <c r="BD4102" s="4">
        <v>43283.77847222222</v>
      </c>
      <c r="BE4102" s="4">
        <v>43283.786377314813</v>
      </c>
      <c r="BF4102" s="4">
        <v>43283.786377314813</v>
      </c>
      <c r="BG4102" t="s">
        <v>83</v>
      </c>
      <c r="BH4102" t="s">
        <v>84</v>
      </c>
      <c r="BI4102" t="s">
        <v>85</v>
      </c>
    </row>
    <row r="4103" spans="1:61" x14ac:dyDescent="0.3">
      <c r="A4103" t="str">
        <f>"200690B0100"</f>
        <v>200690B0100</v>
      </c>
      <c r="B4103" t="s">
        <v>8312</v>
      </c>
      <c r="C4103">
        <v>20</v>
      </c>
      <c r="D4103" t="s">
        <v>79</v>
      </c>
      <c r="E4103">
        <v>19</v>
      </c>
      <c r="F4103" t="s">
        <v>8046</v>
      </c>
      <c r="G4103">
        <v>690</v>
      </c>
      <c r="H4103">
        <v>1</v>
      </c>
      <c r="I4103" t="s">
        <v>81</v>
      </c>
      <c r="J4103">
        <v>0</v>
      </c>
      <c r="K4103">
        <v>1</v>
      </c>
      <c r="L4103">
        <v>2</v>
      </c>
      <c r="M4103">
        <v>231</v>
      </c>
      <c r="N4103">
        <v>428</v>
      </c>
      <c r="O4103">
        <v>10</v>
      </c>
      <c r="P4103">
        <v>429</v>
      </c>
      <c r="Q4103">
        <v>38</v>
      </c>
      <c r="R4103">
        <v>88</v>
      </c>
      <c r="S4103">
        <v>3</v>
      </c>
      <c r="T4103">
        <v>9</v>
      </c>
      <c r="U4103">
        <v>11</v>
      </c>
      <c r="V4103">
        <v>9</v>
      </c>
      <c r="W4103">
        <v>9</v>
      </c>
      <c r="X4103">
        <v>5</v>
      </c>
      <c r="Y4103">
        <v>215</v>
      </c>
      <c r="Z4103">
        <v>6</v>
      </c>
      <c r="AA4103">
        <v>2</v>
      </c>
      <c r="AB4103">
        <v>4</v>
      </c>
      <c r="AC4103">
        <v>0</v>
      </c>
      <c r="AD4103">
        <v>0</v>
      </c>
      <c r="AE4103">
        <v>0</v>
      </c>
      <c r="AF4103">
        <v>0</v>
      </c>
      <c r="AK4103">
        <v>0</v>
      </c>
      <c r="AL4103">
        <v>0</v>
      </c>
      <c r="AM4103">
        <v>0</v>
      </c>
      <c r="AN4103">
        <v>0</v>
      </c>
      <c r="AP4103">
        <v>0</v>
      </c>
      <c r="AS4103">
        <v>11</v>
      </c>
      <c r="AT4103">
        <v>0</v>
      </c>
      <c r="AU4103">
        <v>19</v>
      </c>
      <c r="AV4103">
        <v>429</v>
      </c>
      <c r="AW4103">
        <v>429</v>
      </c>
      <c r="AX4103">
        <v>615</v>
      </c>
      <c r="BA4103">
        <v>1</v>
      </c>
      <c r="BC4103" t="s">
        <v>8313</v>
      </c>
      <c r="BD4103" s="4">
        <v>43283.256249999999</v>
      </c>
      <c r="BE4103" s="4">
        <v>43283.283252314817</v>
      </c>
      <c r="BF4103" s="4">
        <v>43283.283252314817</v>
      </c>
      <c r="BG4103" t="s">
        <v>83</v>
      </c>
      <c r="BH4103" t="s">
        <v>84</v>
      </c>
      <c r="BI4103" t="s">
        <v>85</v>
      </c>
    </row>
    <row r="4104" spans="1:61" x14ac:dyDescent="0.3">
      <c r="A4104" t="str">
        <f>"200691B0100"</f>
        <v>200691B0100</v>
      </c>
      <c r="B4104" t="s">
        <v>8314</v>
      </c>
      <c r="C4104">
        <v>20</v>
      </c>
      <c r="D4104" t="s">
        <v>79</v>
      </c>
      <c r="E4104">
        <v>19</v>
      </c>
      <c r="F4104" t="s">
        <v>8046</v>
      </c>
      <c r="G4104">
        <v>691</v>
      </c>
      <c r="H4104">
        <v>1</v>
      </c>
      <c r="I4104" t="s">
        <v>81</v>
      </c>
      <c r="J4104">
        <v>0</v>
      </c>
      <c r="K4104">
        <v>1</v>
      </c>
      <c r="L4104">
        <v>2</v>
      </c>
      <c r="M4104">
        <v>229</v>
      </c>
      <c r="N4104">
        <v>403</v>
      </c>
      <c r="O4104">
        <v>2</v>
      </c>
      <c r="P4104">
        <v>403</v>
      </c>
      <c r="Q4104">
        <v>18</v>
      </c>
      <c r="R4104">
        <v>58</v>
      </c>
      <c r="S4104">
        <v>1</v>
      </c>
      <c r="T4104">
        <v>9</v>
      </c>
      <c r="U4104">
        <v>13</v>
      </c>
      <c r="V4104">
        <v>8</v>
      </c>
      <c r="W4104">
        <v>22</v>
      </c>
      <c r="X4104">
        <v>5</v>
      </c>
      <c r="Y4104">
        <v>234</v>
      </c>
      <c r="Z4104">
        <v>7</v>
      </c>
      <c r="AA4104">
        <v>0</v>
      </c>
      <c r="AB4104">
        <v>7</v>
      </c>
      <c r="AC4104">
        <v>3</v>
      </c>
      <c r="AD4104">
        <v>0</v>
      </c>
      <c r="AE4104">
        <v>0</v>
      </c>
      <c r="AF4104">
        <v>0</v>
      </c>
      <c r="AK4104">
        <v>7</v>
      </c>
      <c r="AL4104">
        <v>0</v>
      </c>
      <c r="AM4104">
        <v>0</v>
      </c>
      <c r="AN4104">
        <v>0</v>
      </c>
      <c r="AP4104">
        <v>1</v>
      </c>
      <c r="AS4104">
        <v>2</v>
      </c>
      <c r="AT4104">
        <v>0</v>
      </c>
      <c r="AU4104">
        <v>5</v>
      </c>
      <c r="AV4104">
        <v>400</v>
      </c>
      <c r="AW4104">
        <v>400</v>
      </c>
      <c r="AX4104">
        <v>606</v>
      </c>
      <c r="BA4104">
        <v>1</v>
      </c>
      <c r="BC4104" t="s">
        <v>8315</v>
      </c>
      <c r="BD4104" s="4">
        <v>43283.19027777778</v>
      </c>
      <c r="BE4104" s="4">
        <v>43283.213067129633</v>
      </c>
      <c r="BF4104" s="4">
        <v>43283.213067129633</v>
      </c>
      <c r="BG4104" t="s">
        <v>83</v>
      </c>
      <c r="BH4104" t="s">
        <v>84</v>
      </c>
      <c r="BI4104" t="s">
        <v>85</v>
      </c>
    </row>
    <row r="4105" spans="1:61" x14ac:dyDescent="0.3">
      <c r="A4105" t="str">
        <f>"200691C0100"</f>
        <v>200691C0100</v>
      </c>
      <c r="B4105" t="s">
        <v>8316</v>
      </c>
      <c r="C4105">
        <v>20</v>
      </c>
      <c r="D4105" t="s">
        <v>79</v>
      </c>
      <c r="E4105">
        <v>19</v>
      </c>
      <c r="F4105" t="s">
        <v>8046</v>
      </c>
      <c r="G4105">
        <v>691</v>
      </c>
      <c r="H4105">
        <v>1</v>
      </c>
      <c r="I4105" t="s">
        <v>89</v>
      </c>
      <c r="J4105">
        <v>0</v>
      </c>
      <c r="K4105">
        <v>1</v>
      </c>
      <c r="L4105">
        <v>2</v>
      </c>
      <c r="M4105">
        <v>209</v>
      </c>
      <c r="N4105">
        <v>423</v>
      </c>
      <c r="O4105">
        <v>6</v>
      </c>
      <c r="P4105" t="s">
        <v>100</v>
      </c>
      <c r="Q4105">
        <v>25</v>
      </c>
      <c r="R4105">
        <v>71</v>
      </c>
      <c r="S4105">
        <v>3</v>
      </c>
      <c r="T4105">
        <v>13</v>
      </c>
      <c r="U4105">
        <v>6</v>
      </c>
      <c r="V4105">
        <v>11</v>
      </c>
      <c r="W4105">
        <v>22</v>
      </c>
      <c r="X4105">
        <v>9</v>
      </c>
      <c r="Y4105">
        <v>232</v>
      </c>
      <c r="Z4105">
        <v>4</v>
      </c>
      <c r="AA4105">
        <v>2</v>
      </c>
      <c r="AB4105">
        <v>5</v>
      </c>
      <c r="AC4105" t="s">
        <v>100</v>
      </c>
      <c r="AD4105" t="s">
        <v>100</v>
      </c>
      <c r="AE4105" t="s">
        <v>100</v>
      </c>
      <c r="AF4105" t="s">
        <v>100</v>
      </c>
      <c r="AK4105">
        <v>5</v>
      </c>
      <c r="AL4105" t="s">
        <v>100</v>
      </c>
      <c r="AM4105" t="s">
        <v>100</v>
      </c>
      <c r="AN4105" t="s">
        <v>100</v>
      </c>
      <c r="AP4105">
        <v>6</v>
      </c>
      <c r="AS4105">
        <v>6</v>
      </c>
      <c r="AT4105" t="s">
        <v>100</v>
      </c>
      <c r="AU4105">
        <v>5</v>
      </c>
      <c r="AV4105">
        <v>419</v>
      </c>
      <c r="AW4105">
        <v>425</v>
      </c>
      <c r="AX4105">
        <v>605</v>
      </c>
      <c r="AZ4105" t="s">
        <v>101</v>
      </c>
      <c r="BA4105">
        <v>1</v>
      </c>
      <c r="BC4105" t="s">
        <v>8317</v>
      </c>
      <c r="BD4105" s="4">
        <v>43283.192361111112</v>
      </c>
      <c r="BE4105" s="4">
        <v>43283.212905092594</v>
      </c>
      <c r="BF4105" s="4">
        <v>43283.212905092594</v>
      </c>
      <c r="BG4105" t="s">
        <v>83</v>
      </c>
      <c r="BH4105" t="s">
        <v>84</v>
      </c>
      <c r="BI4105" t="s">
        <v>85</v>
      </c>
    </row>
    <row r="4106" spans="1:61" x14ac:dyDescent="0.3">
      <c r="A4106" t="str">
        <f>"200692B0100"</f>
        <v>200692B0100</v>
      </c>
      <c r="B4106" t="s">
        <v>8318</v>
      </c>
      <c r="C4106">
        <v>20</v>
      </c>
      <c r="D4106" t="s">
        <v>79</v>
      </c>
      <c r="E4106">
        <v>19</v>
      </c>
      <c r="F4106" t="s">
        <v>8046</v>
      </c>
      <c r="G4106">
        <v>692</v>
      </c>
      <c r="H4106">
        <v>1</v>
      </c>
      <c r="I4106" t="s">
        <v>81</v>
      </c>
      <c r="J4106">
        <v>0</v>
      </c>
      <c r="K4106">
        <v>1</v>
      </c>
      <c r="L4106">
        <v>2</v>
      </c>
      <c r="M4106" t="s">
        <v>100</v>
      </c>
      <c r="N4106" t="s">
        <v>100</v>
      </c>
      <c r="O4106" t="s">
        <v>100</v>
      </c>
      <c r="P4106" t="s">
        <v>100</v>
      </c>
      <c r="Q4106">
        <v>18</v>
      </c>
      <c r="R4106">
        <v>41</v>
      </c>
      <c r="S4106">
        <v>4</v>
      </c>
      <c r="T4106">
        <v>5</v>
      </c>
      <c r="U4106">
        <v>13</v>
      </c>
      <c r="V4106">
        <v>16</v>
      </c>
      <c r="W4106">
        <v>6</v>
      </c>
      <c r="X4106">
        <v>11</v>
      </c>
      <c r="Y4106">
        <v>227</v>
      </c>
      <c r="Z4106">
        <v>9</v>
      </c>
      <c r="AA4106">
        <v>0</v>
      </c>
      <c r="AB4106">
        <v>7</v>
      </c>
      <c r="AC4106">
        <v>3</v>
      </c>
      <c r="AD4106">
        <v>0</v>
      </c>
      <c r="AE4106">
        <v>0</v>
      </c>
      <c r="AF4106">
        <v>0</v>
      </c>
      <c r="AK4106">
        <v>5</v>
      </c>
      <c r="AL4106">
        <v>0</v>
      </c>
      <c r="AM4106">
        <v>0</v>
      </c>
      <c r="AN4106">
        <v>0</v>
      </c>
      <c r="AP4106">
        <v>1</v>
      </c>
      <c r="AS4106">
        <v>1</v>
      </c>
      <c r="AT4106">
        <v>0</v>
      </c>
      <c r="AU4106">
        <v>0</v>
      </c>
      <c r="AV4106" t="s">
        <v>100</v>
      </c>
      <c r="AW4106">
        <v>367</v>
      </c>
      <c r="AX4106">
        <v>584</v>
      </c>
      <c r="BA4106">
        <v>1</v>
      </c>
      <c r="BC4106" t="s">
        <v>8319</v>
      </c>
      <c r="BD4106" s="4">
        <v>43283.183333333334</v>
      </c>
      <c r="BE4106" s="4">
        <v>43283.210069444445</v>
      </c>
      <c r="BF4106" s="4">
        <v>43283.210069444445</v>
      </c>
      <c r="BG4106" t="s">
        <v>83</v>
      </c>
      <c r="BH4106" t="s">
        <v>84</v>
      </c>
      <c r="BI4106" t="s">
        <v>85</v>
      </c>
    </row>
    <row r="4107" spans="1:61" x14ac:dyDescent="0.3">
      <c r="A4107" t="str">
        <f>"200692C0100"</f>
        <v>200692C0100</v>
      </c>
      <c r="B4107" t="s">
        <v>8320</v>
      </c>
      <c r="C4107">
        <v>20</v>
      </c>
      <c r="D4107" t="s">
        <v>79</v>
      </c>
      <c r="E4107">
        <v>19</v>
      </c>
      <c r="F4107" t="s">
        <v>8046</v>
      </c>
      <c r="G4107">
        <v>692</v>
      </c>
      <c r="H4107">
        <v>1</v>
      </c>
      <c r="I4107" t="s">
        <v>89</v>
      </c>
      <c r="J4107">
        <v>0</v>
      </c>
      <c r="K4107">
        <v>1</v>
      </c>
      <c r="L4107">
        <v>2</v>
      </c>
      <c r="M4107">
        <v>204</v>
      </c>
      <c r="N4107">
        <v>404</v>
      </c>
      <c r="O4107">
        <v>1</v>
      </c>
      <c r="P4107">
        <v>407</v>
      </c>
      <c r="Q4107">
        <v>13</v>
      </c>
      <c r="R4107">
        <v>37</v>
      </c>
      <c r="S4107">
        <v>3</v>
      </c>
      <c r="T4107">
        <v>7</v>
      </c>
      <c r="U4107">
        <v>16</v>
      </c>
      <c r="V4107">
        <v>14</v>
      </c>
      <c r="W4107">
        <v>11</v>
      </c>
      <c r="X4107">
        <v>11</v>
      </c>
      <c r="Y4107">
        <v>258</v>
      </c>
      <c r="Z4107">
        <v>11</v>
      </c>
      <c r="AA4107">
        <v>2</v>
      </c>
      <c r="AB4107">
        <v>2</v>
      </c>
      <c r="AC4107">
        <v>0</v>
      </c>
      <c r="AD4107">
        <v>0</v>
      </c>
      <c r="AE4107">
        <v>0</v>
      </c>
      <c r="AF4107">
        <v>0</v>
      </c>
      <c r="AK4107">
        <v>0</v>
      </c>
      <c r="AL4107">
        <v>0</v>
      </c>
      <c r="AM4107">
        <v>0</v>
      </c>
      <c r="AN4107">
        <v>0</v>
      </c>
      <c r="AP4107">
        <v>0</v>
      </c>
      <c r="AS4107">
        <v>3</v>
      </c>
      <c r="AT4107">
        <v>0</v>
      </c>
      <c r="AU4107">
        <v>13</v>
      </c>
      <c r="AV4107">
        <v>407</v>
      </c>
      <c r="AW4107">
        <v>401</v>
      </c>
      <c r="AX4107">
        <v>584</v>
      </c>
      <c r="BA4107">
        <v>1</v>
      </c>
      <c r="BC4107" t="s">
        <v>8321</v>
      </c>
      <c r="BD4107" s="4">
        <v>43283.103472222225</v>
      </c>
      <c r="BE4107" s="4">
        <v>43283.115127314813</v>
      </c>
      <c r="BF4107" s="4">
        <v>43283.115127314813</v>
      </c>
      <c r="BG4107" t="s">
        <v>83</v>
      </c>
      <c r="BH4107" t="s">
        <v>84</v>
      </c>
      <c r="BI4107" t="s">
        <v>85</v>
      </c>
    </row>
    <row r="4108" spans="1:61" x14ac:dyDescent="0.3">
      <c r="A4108" t="str">
        <f>"200693B0100"</f>
        <v>200693B0100</v>
      </c>
      <c r="B4108" t="s">
        <v>8322</v>
      </c>
      <c r="C4108">
        <v>20</v>
      </c>
      <c r="D4108" t="s">
        <v>79</v>
      </c>
      <c r="E4108">
        <v>19</v>
      </c>
      <c r="F4108" t="s">
        <v>8046</v>
      </c>
      <c r="G4108">
        <v>693</v>
      </c>
      <c r="H4108">
        <v>1</v>
      </c>
      <c r="I4108" t="s">
        <v>81</v>
      </c>
      <c r="J4108">
        <v>0</v>
      </c>
      <c r="K4108">
        <v>1</v>
      </c>
      <c r="L4108">
        <v>2</v>
      </c>
      <c r="AX4108">
        <v>535</v>
      </c>
      <c r="AZ4108" t="s">
        <v>156</v>
      </c>
      <c r="BA4108">
        <v>0</v>
      </c>
      <c r="BC4108" t="s">
        <v>8323</v>
      </c>
      <c r="BD4108" s="4">
        <v>43283.77847222222</v>
      </c>
      <c r="BE4108" s="4">
        <v>43283.785810185182</v>
      </c>
      <c r="BF4108" s="4">
        <v>43283.785810185182</v>
      </c>
      <c r="BG4108" t="s">
        <v>83</v>
      </c>
      <c r="BH4108" t="s">
        <v>84</v>
      </c>
      <c r="BI4108" t="s">
        <v>85</v>
      </c>
    </row>
    <row r="4109" spans="1:61" x14ac:dyDescent="0.3">
      <c r="A4109" t="str">
        <f>"200693C0100"</f>
        <v>200693C0100</v>
      </c>
      <c r="B4109" t="s">
        <v>8324</v>
      </c>
      <c r="C4109">
        <v>20</v>
      </c>
      <c r="D4109" t="s">
        <v>79</v>
      </c>
      <c r="E4109">
        <v>19</v>
      </c>
      <c r="F4109" t="s">
        <v>8046</v>
      </c>
      <c r="G4109">
        <v>693</v>
      </c>
      <c r="H4109">
        <v>1</v>
      </c>
      <c r="I4109" t="s">
        <v>89</v>
      </c>
      <c r="J4109">
        <v>0</v>
      </c>
      <c r="K4109">
        <v>1</v>
      </c>
      <c r="L4109">
        <v>2</v>
      </c>
      <c r="M4109">
        <v>18</v>
      </c>
      <c r="N4109">
        <v>332</v>
      </c>
      <c r="O4109">
        <v>2</v>
      </c>
      <c r="P4109">
        <v>343</v>
      </c>
      <c r="Q4109">
        <v>16</v>
      </c>
      <c r="R4109">
        <v>46</v>
      </c>
      <c r="S4109">
        <v>5</v>
      </c>
      <c r="T4109">
        <v>4</v>
      </c>
      <c r="U4109">
        <v>11</v>
      </c>
      <c r="V4109">
        <v>7</v>
      </c>
      <c r="W4109">
        <v>4</v>
      </c>
      <c r="X4109">
        <v>9</v>
      </c>
      <c r="Y4109">
        <v>215</v>
      </c>
      <c r="Z4109">
        <v>2</v>
      </c>
      <c r="AA4109" t="s">
        <v>100</v>
      </c>
      <c r="AB4109">
        <v>1</v>
      </c>
      <c r="AC4109" t="s">
        <v>100</v>
      </c>
      <c r="AD4109" t="s">
        <v>100</v>
      </c>
      <c r="AE4109" t="s">
        <v>100</v>
      </c>
      <c r="AF4109" t="s">
        <v>100</v>
      </c>
      <c r="AK4109">
        <v>1</v>
      </c>
      <c r="AL4109">
        <v>1</v>
      </c>
      <c r="AM4109" t="s">
        <v>100</v>
      </c>
      <c r="AN4109" t="s">
        <v>100</v>
      </c>
      <c r="AP4109" t="s">
        <v>100</v>
      </c>
      <c r="AS4109">
        <v>2</v>
      </c>
      <c r="AT4109" t="s">
        <v>100</v>
      </c>
      <c r="AU4109">
        <v>18</v>
      </c>
      <c r="AV4109">
        <v>343</v>
      </c>
      <c r="AW4109">
        <v>342</v>
      </c>
      <c r="AX4109">
        <v>534</v>
      </c>
      <c r="AZ4109" t="s">
        <v>101</v>
      </c>
      <c r="BA4109">
        <v>1</v>
      </c>
      <c r="BC4109" t="s">
        <v>8325</v>
      </c>
      <c r="BD4109" s="4">
        <v>43283.146527777775</v>
      </c>
      <c r="BE4109" s="4">
        <v>43283.164212962962</v>
      </c>
      <c r="BF4109" s="4">
        <v>43283.164212962962</v>
      </c>
      <c r="BG4109" t="s">
        <v>83</v>
      </c>
      <c r="BH4109" t="s">
        <v>84</v>
      </c>
      <c r="BI4109" t="s">
        <v>85</v>
      </c>
    </row>
    <row r="4110" spans="1:61" x14ac:dyDescent="0.3">
      <c r="A4110" t="str">
        <f>"200693C0200"</f>
        <v>200693C0200</v>
      </c>
      <c r="B4110" t="s">
        <v>8326</v>
      </c>
      <c r="C4110">
        <v>20</v>
      </c>
      <c r="D4110" t="s">
        <v>79</v>
      </c>
      <c r="E4110">
        <v>19</v>
      </c>
      <c r="F4110" t="s">
        <v>8046</v>
      </c>
      <c r="G4110">
        <v>693</v>
      </c>
      <c r="H4110">
        <v>2</v>
      </c>
      <c r="I4110" t="s">
        <v>89</v>
      </c>
      <c r="J4110">
        <v>0</v>
      </c>
      <c r="K4110">
        <v>1</v>
      </c>
      <c r="L4110">
        <v>2</v>
      </c>
      <c r="M4110">
        <v>231</v>
      </c>
      <c r="N4110">
        <v>327</v>
      </c>
      <c r="O4110">
        <v>3</v>
      </c>
      <c r="P4110">
        <v>327</v>
      </c>
      <c r="Q4110">
        <v>16</v>
      </c>
      <c r="R4110">
        <v>32</v>
      </c>
      <c r="S4110">
        <v>7</v>
      </c>
      <c r="T4110">
        <v>7</v>
      </c>
      <c r="U4110">
        <v>17</v>
      </c>
      <c r="V4110">
        <v>10</v>
      </c>
      <c r="W4110">
        <v>3</v>
      </c>
      <c r="X4110">
        <v>8</v>
      </c>
      <c r="Y4110">
        <v>191</v>
      </c>
      <c r="Z4110">
        <v>2</v>
      </c>
      <c r="AA4110">
        <v>0</v>
      </c>
      <c r="AB4110">
        <v>5</v>
      </c>
      <c r="AC4110">
        <v>2</v>
      </c>
      <c r="AD4110">
        <v>0</v>
      </c>
      <c r="AE4110">
        <v>0</v>
      </c>
      <c r="AF4110">
        <v>0</v>
      </c>
      <c r="AK4110">
        <v>5</v>
      </c>
      <c r="AL4110">
        <v>0</v>
      </c>
      <c r="AM4110">
        <v>0</v>
      </c>
      <c r="AN4110">
        <v>0</v>
      </c>
      <c r="AP4110">
        <v>2</v>
      </c>
      <c r="AS4110">
        <v>2</v>
      </c>
      <c r="AT4110">
        <v>0</v>
      </c>
      <c r="AU4110">
        <v>12</v>
      </c>
      <c r="AV4110">
        <v>321</v>
      </c>
      <c r="AW4110">
        <v>321</v>
      </c>
      <c r="AX4110">
        <v>534</v>
      </c>
      <c r="BA4110">
        <v>1</v>
      </c>
      <c r="BC4110" t="s">
        <v>8327</v>
      </c>
      <c r="BD4110" s="4">
        <v>43283.155555555553</v>
      </c>
      <c r="BE4110" s="4">
        <v>43283.183206018519</v>
      </c>
      <c r="BF4110" s="4">
        <v>43283.183206018519</v>
      </c>
      <c r="BG4110" t="s">
        <v>83</v>
      </c>
      <c r="BH4110" t="s">
        <v>84</v>
      </c>
      <c r="BI4110" t="s">
        <v>85</v>
      </c>
    </row>
    <row r="4111" spans="1:61" x14ac:dyDescent="0.3">
      <c r="A4111" t="str">
        <f>"200694B0100"</f>
        <v>200694B0100</v>
      </c>
      <c r="B4111" t="s">
        <v>8328</v>
      </c>
      <c r="C4111">
        <v>20</v>
      </c>
      <c r="D4111" t="s">
        <v>79</v>
      </c>
      <c r="E4111">
        <v>19</v>
      </c>
      <c r="F4111" t="s">
        <v>8046</v>
      </c>
      <c r="G4111">
        <v>694</v>
      </c>
      <c r="H4111">
        <v>1</v>
      </c>
      <c r="I4111" t="s">
        <v>81</v>
      </c>
      <c r="J4111">
        <v>0</v>
      </c>
      <c r="K4111">
        <v>1</v>
      </c>
      <c r="L4111">
        <v>2</v>
      </c>
      <c r="AX4111">
        <v>600</v>
      </c>
      <c r="AZ4111" t="s">
        <v>156</v>
      </c>
      <c r="BA4111">
        <v>0</v>
      </c>
      <c r="BC4111" t="s">
        <v>8329</v>
      </c>
      <c r="BD4111" s="4">
        <v>43283.777777777781</v>
      </c>
      <c r="BE4111" s="4">
        <v>43283.785578703704</v>
      </c>
      <c r="BF4111" s="4">
        <v>43283.785578703704</v>
      </c>
      <c r="BG4111" t="s">
        <v>83</v>
      </c>
      <c r="BH4111" t="s">
        <v>84</v>
      </c>
      <c r="BI4111" t="s">
        <v>85</v>
      </c>
    </row>
    <row r="4112" spans="1:61" x14ac:dyDescent="0.3">
      <c r="A4112" t="str">
        <f>"200694C0100"</f>
        <v>200694C0100</v>
      </c>
      <c r="B4112" t="s">
        <v>8330</v>
      </c>
      <c r="C4112">
        <v>20</v>
      </c>
      <c r="D4112" t="s">
        <v>79</v>
      </c>
      <c r="E4112">
        <v>19</v>
      </c>
      <c r="F4112" t="s">
        <v>8046</v>
      </c>
      <c r="G4112">
        <v>694</v>
      </c>
      <c r="H4112">
        <v>1</v>
      </c>
      <c r="I4112" t="s">
        <v>89</v>
      </c>
      <c r="J4112">
        <v>0</v>
      </c>
      <c r="K4112">
        <v>1</v>
      </c>
      <c r="L4112">
        <v>2</v>
      </c>
      <c r="AX4112">
        <v>600</v>
      </c>
      <c r="AZ4112" t="s">
        <v>156</v>
      </c>
      <c r="BA4112">
        <v>0</v>
      </c>
      <c r="BC4112" t="s">
        <v>8331</v>
      </c>
      <c r="BD4112" s="4">
        <v>43283.777777777781</v>
      </c>
      <c r="BE4112" s="4">
        <v>43283.78496527778</v>
      </c>
      <c r="BF4112" s="4">
        <v>43283.78496527778</v>
      </c>
      <c r="BG4112" t="s">
        <v>83</v>
      </c>
      <c r="BH4112" t="s">
        <v>84</v>
      </c>
      <c r="BI4112" t="s">
        <v>85</v>
      </c>
    </row>
    <row r="4113" spans="1:61" x14ac:dyDescent="0.3">
      <c r="A4113" t="str">
        <f>"200695B0100"</f>
        <v>200695B0100</v>
      </c>
      <c r="B4113" t="s">
        <v>8332</v>
      </c>
      <c r="C4113">
        <v>20</v>
      </c>
      <c r="D4113" t="s">
        <v>79</v>
      </c>
      <c r="E4113">
        <v>19</v>
      </c>
      <c r="F4113" t="s">
        <v>8046</v>
      </c>
      <c r="G4113">
        <v>695</v>
      </c>
      <c r="H4113">
        <v>1</v>
      </c>
      <c r="I4113" t="s">
        <v>81</v>
      </c>
      <c r="J4113">
        <v>0</v>
      </c>
      <c r="K4113">
        <v>1</v>
      </c>
      <c r="L4113">
        <v>2</v>
      </c>
      <c r="M4113">
        <v>261</v>
      </c>
      <c r="N4113">
        <v>335</v>
      </c>
      <c r="O4113" t="s">
        <v>100</v>
      </c>
      <c r="P4113">
        <v>334</v>
      </c>
      <c r="Q4113">
        <v>22</v>
      </c>
      <c r="R4113">
        <v>54</v>
      </c>
      <c r="S4113">
        <v>4</v>
      </c>
      <c r="T4113">
        <v>5</v>
      </c>
      <c r="U4113">
        <v>9</v>
      </c>
      <c r="V4113">
        <v>9</v>
      </c>
      <c r="W4113">
        <v>3</v>
      </c>
      <c r="X4113">
        <v>10</v>
      </c>
      <c r="Y4113">
        <v>188</v>
      </c>
      <c r="Z4113">
        <v>2</v>
      </c>
      <c r="AA4113">
        <v>1</v>
      </c>
      <c r="AB4113">
        <v>7</v>
      </c>
      <c r="AC4113">
        <v>0</v>
      </c>
      <c r="AD4113">
        <v>0</v>
      </c>
      <c r="AE4113">
        <v>0</v>
      </c>
      <c r="AF4113">
        <v>0</v>
      </c>
      <c r="AK4113">
        <v>4</v>
      </c>
      <c r="AL4113">
        <v>0</v>
      </c>
      <c r="AM4113">
        <v>1</v>
      </c>
      <c r="AN4113">
        <v>1</v>
      </c>
      <c r="AP4113">
        <v>1</v>
      </c>
      <c r="AS4113">
        <v>1</v>
      </c>
      <c r="AT4113">
        <v>0</v>
      </c>
      <c r="AU4113">
        <v>11</v>
      </c>
      <c r="AV4113" t="s">
        <v>100</v>
      </c>
      <c r="AW4113">
        <v>333</v>
      </c>
      <c r="AX4113">
        <v>571</v>
      </c>
      <c r="BA4113">
        <v>1</v>
      </c>
      <c r="BC4113" t="s">
        <v>8333</v>
      </c>
      <c r="BD4113" s="4">
        <v>43283.260416666664</v>
      </c>
      <c r="BE4113" s="4">
        <v>43283.298449074071</v>
      </c>
      <c r="BF4113" s="4">
        <v>43283.298449074071</v>
      </c>
      <c r="BG4113" t="s">
        <v>83</v>
      </c>
      <c r="BH4113" t="s">
        <v>84</v>
      </c>
      <c r="BI4113" t="s">
        <v>85</v>
      </c>
    </row>
    <row r="4114" spans="1:61" x14ac:dyDescent="0.3">
      <c r="A4114" t="str">
        <f>"200695C0100"</f>
        <v>200695C0100</v>
      </c>
      <c r="B4114" t="s">
        <v>8334</v>
      </c>
      <c r="C4114">
        <v>20</v>
      </c>
      <c r="D4114" t="s">
        <v>79</v>
      </c>
      <c r="E4114">
        <v>19</v>
      </c>
      <c r="F4114" t="s">
        <v>8046</v>
      </c>
      <c r="G4114">
        <v>695</v>
      </c>
      <c r="H4114">
        <v>1</v>
      </c>
      <c r="I4114" t="s">
        <v>89</v>
      </c>
      <c r="J4114">
        <v>0</v>
      </c>
      <c r="K4114">
        <v>1</v>
      </c>
      <c r="L4114">
        <v>2</v>
      </c>
      <c r="M4114">
        <v>261</v>
      </c>
      <c r="N4114">
        <v>335</v>
      </c>
      <c r="O4114" t="s">
        <v>100</v>
      </c>
      <c r="P4114">
        <v>334</v>
      </c>
      <c r="Q4114">
        <v>22</v>
      </c>
      <c r="R4114">
        <v>54</v>
      </c>
      <c r="S4114">
        <v>4</v>
      </c>
      <c r="T4114">
        <v>5</v>
      </c>
      <c r="U4114">
        <v>9</v>
      </c>
      <c r="V4114">
        <v>9</v>
      </c>
      <c r="W4114">
        <v>3</v>
      </c>
      <c r="X4114">
        <v>10</v>
      </c>
      <c r="Y4114">
        <v>188</v>
      </c>
      <c r="Z4114">
        <v>2</v>
      </c>
      <c r="AA4114">
        <v>1</v>
      </c>
      <c r="AB4114">
        <v>7</v>
      </c>
      <c r="AC4114">
        <v>0</v>
      </c>
      <c r="AD4114">
        <v>0</v>
      </c>
      <c r="AE4114">
        <v>0</v>
      </c>
      <c r="AF4114">
        <v>0</v>
      </c>
      <c r="AK4114">
        <v>4</v>
      </c>
      <c r="AL4114">
        <v>0</v>
      </c>
      <c r="AM4114">
        <v>1</v>
      </c>
      <c r="AN4114">
        <v>1</v>
      </c>
      <c r="AP4114">
        <v>1</v>
      </c>
      <c r="AS4114">
        <v>1</v>
      </c>
      <c r="AT4114">
        <v>0</v>
      </c>
      <c r="AU4114">
        <v>11</v>
      </c>
      <c r="AV4114" t="s">
        <v>100</v>
      </c>
      <c r="AW4114">
        <v>333</v>
      </c>
      <c r="AX4114">
        <v>571</v>
      </c>
      <c r="BA4114">
        <v>1</v>
      </c>
      <c r="BC4114" s="2" t="s">
        <v>8335</v>
      </c>
      <c r="BD4114" s="4">
        <v>43283.260416666664</v>
      </c>
      <c r="BE4114" s="4">
        <v>43283.729166666664</v>
      </c>
      <c r="BF4114" s="4">
        <v>43283.729166666664</v>
      </c>
      <c r="BG4114" t="s">
        <v>83</v>
      </c>
      <c r="BH4114" t="s">
        <v>84</v>
      </c>
      <c r="BI4114" t="s">
        <v>85</v>
      </c>
    </row>
    <row r="4115" spans="1:61" x14ac:dyDescent="0.3">
      <c r="A4115" t="str">
        <f>"200696B0100"</f>
        <v>200696B0100</v>
      </c>
      <c r="B4115" t="s">
        <v>8336</v>
      </c>
      <c r="C4115">
        <v>20</v>
      </c>
      <c r="D4115" t="s">
        <v>79</v>
      </c>
      <c r="E4115">
        <v>19</v>
      </c>
      <c r="F4115" t="s">
        <v>8046</v>
      </c>
      <c r="G4115">
        <v>696</v>
      </c>
      <c r="H4115">
        <v>1</v>
      </c>
      <c r="I4115" t="s">
        <v>81</v>
      </c>
      <c r="J4115">
        <v>0</v>
      </c>
      <c r="K4115">
        <v>1</v>
      </c>
      <c r="L4115">
        <v>2</v>
      </c>
      <c r="M4115">
        <v>161</v>
      </c>
      <c r="N4115">
        <v>347</v>
      </c>
      <c r="O4115">
        <v>9</v>
      </c>
      <c r="P4115">
        <v>331</v>
      </c>
      <c r="Q4115">
        <v>21</v>
      </c>
      <c r="R4115">
        <v>89</v>
      </c>
      <c r="S4115">
        <v>1</v>
      </c>
      <c r="T4115">
        <v>10</v>
      </c>
      <c r="U4115">
        <v>6</v>
      </c>
      <c r="V4115">
        <v>3</v>
      </c>
      <c r="W4115">
        <v>5</v>
      </c>
      <c r="X4115">
        <v>9</v>
      </c>
      <c r="Y4115">
        <v>160</v>
      </c>
      <c r="Z4115">
        <v>8</v>
      </c>
      <c r="AA4115" t="s">
        <v>100</v>
      </c>
      <c r="AB4115">
        <v>3</v>
      </c>
      <c r="AC4115">
        <v>1</v>
      </c>
      <c r="AD4115" t="s">
        <v>100</v>
      </c>
      <c r="AE4115" t="s">
        <v>100</v>
      </c>
      <c r="AF4115" t="s">
        <v>100</v>
      </c>
      <c r="AK4115">
        <v>3</v>
      </c>
      <c r="AL4115" t="s">
        <v>100</v>
      </c>
      <c r="AM4115" t="s">
        <v>100</v>
      </c>
      <c r="AN4115" t="s">
        <v>100</v>
      </c>
      <c r="AP4115">
        <v>1</v>
      </c>
      <c r="AS4115">
        <v>3</v>
      </c>
      <c r="AT4115" t="s">
        <v>100</v>
      </c>
      <c r="AU4115">
        <v>12</v>
      </c>
      <c r="AV4115">
        <v>335</v>
      </c>
      <c r="AW4115">
        <v>335</v>
      </c>
      <c r="AX4115">
        <v>473</v>
      </c>
      <c r="AZ4115" t="s">
        <v>101</v>
      </c>
      <c r="BA4115">
        <v>1</v>
      </c>
      <c r="BC4115" t="s">
        <v>8337</v>
      </c>
      <c r="BD4115" s="4">
        <v>43283.224999999999</v>
      </c>
      <c r="BE4115" s="4">
        <v>43283.256874999999</v>
      </c>
      <c r="BF4115" s="4">
        <v>43283.256874999999</v>
      </c>
      <c r="BG4115" t="s">
        <v>83</v>
      </c>
      <c r="BH4115" t="s">
        <v>84</v>
      </c>
      <c r="BI4115" t="s">
        <v>85</v>
      </c>
    </row>
    <row r="4116" spans="1:61" x14ac:dyDescent="0.3">
      <c r="A4116" t="str">
        <f>"200696C0100"</f>
        <v>200696C0100</v>
      </c>
      <c r="B4116" t="s">
        <v>8338</v>
      </c>
      <c r="C4116">
        <v>20</v>
      </c>
      <c r="D4116" t="s">
        <v>79</v>
      </c>
      <c r="E4116">
        <v>19</v>
      </c>
      <c r="F4116" t="s">
        <v>8046</v>
      </c>
      <c r="G4116">
        <v>696</v>
      </c>
      <c r="H4116">
        <v>1</v>
      </c>
      <c r="I4116" t="s">
        <v>89</v>
      </c>
      <c r="J4116">
        <v>0</v>
      </c>
      <c r="K4116">
        <v>1</v>
      </c>
      <c r="L4116">
        <v>2</v>
      </c>
      <c r="M4116">
        <v>162</v>
      </c>
      <c r="N4116">
        <v>340</v>
      </c>
      <c r="O4116">
        <v>6</v>
      </c>
      <c r="P4116" t="s">
        <v>100</v>
      </c>
      <c r="Q4116">
        <v>17</v>
      </c>
      <c r="R4116">
        <v>83</v>
      </c>
      <c r="S4116">
        <v>2</v>
      </c>
      <c r="T4116">
        <v>9</v>
      </c>
      <c r="U4116">
        <v>8</v>
      </c>
      <c r="V4116">
        <v>8</v>
      </c>
      <c r="W4116">
        <v>4</v>
      </c>
      <c r="X4116">
        <v>1</v>
      </c>
      <c r="Y4116">
        <v>174</v>
      </c>
      <c r="Z4116">
        <v>8</v>
      </c>
      <c r="AA4116">
        <v>1</v>
      </c>
      <c r="AB4116">
        <v>3</v>
      </c>
      <c r="AC4116">
        <v>0</v>
      </c>
      <c r="AD4116">
        <v>2</v>
      </c>
      <c r="AE4116">
        <v>0</v>
      </c>
      <c r="AF4116">
        <v>0</v>
      </c>
      <c r="AK4116">
        <v>0</v>
      </c>
      <c r="AL4116">
        <v>1</v>
      </c>
      <c r="AM4116">
        <v>0</v>
      </c>
      <c r="AN4116">
        <v>0</v>
      </c>
      <c r="AP4116">
        <v>1</v>
      </c>
      <c r="AS4116">
        <v>0</v>
      </c>
      <c r="AT4116">
        <v>1</v>
      </c>
      <c r="AU4116">
        <v>11</v>
      </c>
      <c r="AV4116">
        <v>334</v>
      </c>
      <c r="AW4116">
        <v>334</v>
      </c>
      <c r="AX4116">
        <v>473</v>
      </c>
      <c r="BA4116">
        <v>1</v>
      </c>
      <c r="BC4116" t="s">
        <v>8339</v>
      </c>
      <c r="BD4116" s="4">
        <v>43283.220833333333</v>
      </c>
      <c r="BE4116" s="4">
        <v>43283.254374999997</v>
      </c>
      <c r="BF4116" s="4">
        <v>43283.254374999997</v>
      </c>
      <c r="BG4116" t="s">
        <v>83</v>
      </c>
      <c r="BH4116" t="s">
        <v>84</v>
      </c>
      <c r="BI4116" t="s">
        <v>85</v>
      </c>
    </row>
    <row r="4117" spans="1:61" x14ac:dyDescent="0.3">
      <c r="A4117" t="str">
        <f>"200696S0100"</f>
        <v>200696S0100</v>
      </c>
      <c r="B4117" t="s">
        <v>8340</v>
      </c>
      <c r="C4117">
        <v>20</v>
      </c>
      <c r="D4117" t="s">
        <v>79</v>
      </c>
      <c r="E4117">
        <v>19</v>
      </c>
      <c r="F4117" t="s">
        <v>8046</v>
      </c>
      <c r="G4117">
        <v>696</v>
      </c>
      <c r="H4117">
        <v>1</v>
      </c>
      <c r="I4117" t="s">
        <v>104</v>
      </c>
      <c r="J4117">
        <v>0</v>
      </c>
      <c r="K4117">
        <v>1</v>
      </c>
      <c r="L4117">
        <v>3</v>
      </c>
      <c r="AX4117">
        <v>0</v>
      </c>
      <c r="AZ4117" t="s">
        <v>156</v>
      </c>
      <c r="BA4117">
        <v>0</v>
      </c>
      <c r="BC4117" t="s">
        <v>8341</v>
      </c>
      <c r="BD4117" s="4">
        <v>43283.777083333334</v>
      </c>
      <c r="BE4117" s="4">
        <v>43283.784479166665</v>
      </c>
      <c r="BF4117" s="4">
        <v>43283.784479166665</v>
      </c>
      <c r="BG4117" t="s">
        <v>83</v>
      </c>
      <c r="BH4117" t="s">
        <v>84</v>
      </c>
      <c r="BI4117" t="s">
        <v>85</v>
      </c>
    </row>
    <row r="4118" spans="1:61" x14ac:dyDescent="0.3">
      <c r="A4118" t="str">
        <f>"200697B0100"</f>
        <v>200697B0100</v>
      </c>
      <c r="B4118" t="s">
        <v>8342</v>
      </c>
      <c r="C4118">
        <v>20</v>
      </c>
      <c r="D4118" t="s">
        <v>79</v>
      </c>
      <c r="E4118">
        <v>19</v>
      </c>
      <c r="F4118" t="s">
        <v>8046</v>
      </c>
      <c r="G4118">
        <v>697</v>
      </c>
      <c r="H4118">
        <v>1</v>
      </c>
      <c r="I4118" t="s">
        <v>81</v>
      </c>
      <c r="J4118">
        <v>0</v>
      </c>
      <c r="K4118">
        <v>1</v>
      </c>
      <c r="L4118">
        <v>2</v>
      </c>
      <c r="M4118">
        <v>282</v>
      </c>
      <c r="N4118">
        <v>434</v>
      </c>
      <c r="O4118">
        <v>3</v>
      </c>
      <c r="P4118">
        <v>434</v>
      </c>
      <c r="Q4118">
        <v>24</v>
      </c>
      <c r="R4118">
        <v>65</v>
      </c>
      <c r="S4118">
        <v>8</v>
      </c>
      <c r="T4118">
        <v>5</v>
      </c>
      <c r="U4118">
        <v>8</v>
      </c>
      <c r="V4118">
        <v>17</v>
      </c>
      <c r="W4118">
        <v>12</v>
      </c>
      <c r="X4118">
        <v>9</v>
      </c>
      <c r="Y4118">
        <v>256</v>
      </c>
      <c r="Z4118">
        <v>6</v>
      </c>
      <c r="AA4118">
        <v>0</v>
      </c>
      <c r="AB4118">
        <v>9</v>
      </c>
      <c r="AC4118">
        <v>0</v>
      </c>
      <c r="AD4118">
        <v>0</v>
      </c>
      <c r="AE4118">
        <v>0</v>
      </c>
      <c r="AF4118">
        <v>0</v>
      </c>
      <c r="AK4118">
        <v>1</v>
      </c>
      <c r="AL4118">
        <v>1</v>
      </c>
      <c r="AM4118">
        <v>0</v>
      </c>
      <c r="AN4118">
        <v>1</v>
      </c>
      <c r="AP4118">
        <v>2</v>
      </c>
      <c r="AS4118">
        <v>3</v>
      </c>
      <c r="AT4118">
        <v>0</v>
      </c>
      <c r="AU4118">
        <v>7</v>
      </c>
      <c r="AV4118">
        <v>434</v>
      </c>
      <c r="AW4118">
        <v>434</v>
      </c>
      <c r="AX4118">
        <v>690</v>
      </c>
      <c r="BA4118">
        <v>1</v>
      </c>
      <c r="BC4118" t="s">
        <v>8343</v>
      </c>
      <c r="BD4118" s="4">
        <v>43283.143750000003</v>
      </c>
      <c r="BE4118" s="4">
        <v>43283.155277777776</v>
      </c>
      <c r="BF4118" s="4">
        <v>43283.155277777776</v>
      </c>
      <c r="BG4118" t="s">
        <v>83</v>
      </c>
      <c r="BH4118" t="s">
        <v>84</v>
      </c>
      <c r="BI4118" t="s">
        <v>548</v>
      </c>
    </row>
    <row r="4119" spans="1:61" x14ac:dyDescent="0.3">
      <c r="A4119" t="str">
        <f>"200697C0100"</f>
        <v>200697C0100</v>
      </c>
      <c r="B4119" t="s">
        <v>8344</v>
      </c>
      <c r="C4119">
        <v>20</v>
      </c>
      <c r="D4119" t="s">
        <v>79</v>
      </c>
      <c r="E4119">
        <v>19</v>
      </c>
      <c r="F4119" t="s">
        <v>8046</v>
      </c>
      <c r="G4119">
        <v>697</v>
      </c>
      <c r="H4119">
        <v>1</v>
      </c>
      <c r="I4119" t="s">
        <v>89</v>
      </c>
      <c r="J4119">
        <v>0</v>
      </c>
      <c r="K4119">
        <v>1</v>
      </c>
      <c r="L4119">
        <v>2</v>
      </c>
      <c r="M4119">
        <v>294</v>
      </c>
      <c r="N4119" t="s">
        <v>100</v>
      </c>
      <c r="O4119" t="s">
        <v>100</v>
      </c>
      <c r="P4119" t="s">
        <v>100</v>
      </c>
      <c r="Q4119">
        <v>30</v>
      </c>
      <c r="R4119">
        <v>69</v>
      </c>
      <c r="S4119">
        <v>5</v>
      </c>
      <c r="T4119">
        <v>6</v>
      </c>
      <c r="U4119">
        <v>5</v>
      </c>
      <c r="V4119">
        <v>14</v>
      </c>
      <c r="W4119">
        <v>8</v>
      </c>
      <c r="X4119">
        <v>9</v>
      </c>
      <c r="Y4119">
        <v>246</v>
      </c>
      <c r="Z4119">
        <v>8</v>
      </c>
      <c r="AA4119">
        <v>0</v>
      </c>
      <c r="AB4119">
        <v>9</v>
      </c>
      <c r="AC4119">
        <v>1</v>
      </c>
      <c r="AD4119" t="s">
        <v>100</v>
      </c>
      <c r="AE4119" t="s">
        <v>100</v>
      </c>
      <c r="AF4119" t="s">
        <v>100</v>
      </c>
      <c r="AK4119" t="s">
        <v>100</v>
      </c>
      <c r="AL4119" t="s">
        <v>100</v>
      </c>
      <c r="AM4119" t="s">
        <v>100</v>
      </c>
      <c r="AN4119">
        <v>1</v>
      </c>
      <c r="AP4119">
        <v>1</v>
      </c>
      <c r="AS4119" t="s">
        <v>100</v>
      </c>
      <c r="AT4119" t="s">
        <v>100</v>
      </c>
      <c r="AU4119">
        <v>9</v>
      </c>
      <c r="AV4119">
        <v>412</v>
      </c>
      <c r="AW4119">
        <v>421</v>
      </c>
      <c r="AX4119">
        <v>690</v>
      </c>
      <c r="AZ4119" t="s">
        <v>101</v>
      </c>
      <c r="BA4119">
        <v>1</v>
      </c>
      <c r="BC4119" t="s">
        <v>8345</v>
      </c>
      <c r="BD4119" s="4">
        <v>43283.146527777775</v>
      </c>
      <c r="BE4119" s="4">
        <v>43283.170358796298</v>
      </c>
      <c r="BF4119" s="4">
        <v>43283.170358796298</v>
      </c>
      <c r="BG4119" t="s">
        <v>83</v>
      </c>
      <c r="BH4119" t="s">
        <v>84</v>
      </c>
      <c r="BI4119" t="s">
        <v>85</v>
      </c>
    </row>
    <row r="4120" spans="1:61" x14ac:dyDescent="0.3">
      <c r="A4120" t="str">
        <f>"200698B0100"</f>
        <v>200698B0100</v>
      </c>
      <c r="B4120" t="s">
        <v>8346</v>
      </c>
      <c r="C4120">
        <v>20</v>
      </c>
      <c r="D4120" t="s">
        <v>79</v>
      </c>
      <c r="E4120">
        <v>19</v>
      </c>
      <c r="F4120" t="s">
        <v>8046</v>
      </c>
      <c r="G4120">
        <v>698</v>
      </c>
      <c r="H4120">
        <v>1</v>
      </c>
      <c r="I4120" t="s">
        <v>81</v>
      </c>
      <c r="J4120">
        <v>0</v>
      </c>
      <c r="K4120">
        <v>1</v>
      </c>
      <c r="L4120">
        <v>2</v>
      </c>
      <c r="M4120">
        <v>125</v>
      </c>
      <c r="N4120">
        <v>168</v>
      </c>
      <c r="O4120">
        <v>9</v>
      </c>
      <c r="P4120">
        <v>168</v>
      </c>
      <c r="Q4120">
        <v>4</v>
      </c>
      <c r="R4120">
        <v>29</v>
      </c>
      <c r="S4120">
        <v>3</v>
      </c>
      <c r="T4120">
        <v>4</v>
      </c>
      <c r="U4120">
        <v>3</v>
      </c>
      <c r="V4120">
        <v>1</v>
      </c>
      <c r="W4120">
        <v>5</v>
      </c>
      <c r="X4120">
        <v>1</v>
      </c>
      <c r="Y4120">
        <v>97</v>
      </c>
      <c r="Z4120">
        <v>1</v>
      </c>
      <c r="AA4120">
        <v>1</v>
      </c>
      <c r="AB4120">
        <v>2</v>
      </c>
      <c r="AC4120">
        <v>0</v>
      </c>
      <c r="AD4120">
        <v>0</v>
      </c>
      <c r="AE4120">
        <v>0</v>
      </c>
      <c r="AF4120">
        <v>1</v>
      </c>
      <c r="AK4120">
        <v>3</v>
      </c>
      <c r="AL4120">
        <v>0</v>
      </c>
      <c r="AM4120">
        <v>0</v>
      </c>
      <c r="AN4120">
        <v>1</v>
      </c>
      <c r="AP4120">
        <v>0</v>
      </c>
      <c r="AS4120">
        <v>1</v>
      </c>
      <c r="AT4120">
        <v>0</v>
      </c>
      <c r="AU4120">
        <v>5</v>
      </c>
      <c r="AV4120">
        <v>168</v>
      </c>
      <c r="AW4120">
        <v>162</v>
      </c>
      <c r="AX4120">
        <v>267</v>
      </c>
      <c r="BA4120">
        <v>1</v>
      </c>
      <c r="BC4120" t="s">
        <v>8347</v>
      </c>
      <c r="BD4120" s="4">
        <v>43283.237500000003</v>
      </c>
      <c r="BE4120" s="4">
        <v>43283.267766203702</v>
      </c>
      <c r="BF4120" s="4">
        <v>43283.267766203702</v>
      </c>
      <c r="BG4120" t="s">
        <v>83</v>
      </c>
      <c r="BH4120" t="s">
        <v>84</v>
      </c>
      <c r="BI4120" t="s">
        <v>85</v>
      </c>
    </row>
    <row r="4121" spans="1:61" x14ac:dyDescent="0.3">
      <c r="A4121" t="str">
        <f>"200699B0100"</f>
        <v>200699B0100</v>
      </c>
      <c r="B4121" t="s">
        <v>8348</v>
      </c>
      <c r="C4121">
        <v>20</v>
      </c>
      <c r="D4121" t="s">
        <v>79</v>
      </c>
      <c r="E4121">
        <v>19</v>
      </c>
      <c r="F4121" t="s">
        <v>8046</v>
      </c>
      <c r="G4121">
        <v>699</v>
      </c>
      <c r="H4121">
        <v>1</v>
      </c>
      <c r="I4121" t="s">
        <v>81</v>
      </c>
      <c r="J4121">
        <v>0</v>
      </c>
      <c r="K4121">
        <v>1</v>
      </c>
      <c r="L4121">
        <v>2</v>
      </c>
      <c r="M4121">
        <v>241</v>
      </c>
      <c r="N4121">
        <v>375</v>
      </c>
      <c r="O4121">
        <v>3</v>
      </c>
      <c r="P4121">
        <v>375</v>
      </c>
      <c r="Q4121">
        <v>19</v>
      </c>
      <c r="R4121">
        <v>60</v>
      </c>
      <c r="S4121">
        <v>6</v>
      </c>
      <c r="T4121">
        <v>12</v>
      </c>
      <c r="U4121">
        <v>12</v>
      </c>
      <c r="V4121">
        <v>13</v>
      </c>
      <c r="W4121">
        <v>5</v>
      </c>
      <c r="X4121">
        <v>5</v>
      </c>
      <c r="Y4121">
        <v>213</v>
      </c>
      <c r="Z4121">
        <v>3</v>
      </c>
      <c r="AA4121">
        <v>1</v>
      </c>
      <c r="AB4121">
        <v>2</v>
      </c>
      <c r="AC4121">
        <v>3</v>
      </c>
      <c r="AD4121">
        <v>0</v>
      </c>
      <c r="AE4121">
        <v>0</v>
      </c>
      <c r="AF4121">
        <v>0</v>
      </c>
      <c r="AK4121">
        <v>0</v>
      </c>
      <c r="AL4121">
        <v>0</v>
      </c>
      <c r="AM4121">
        <v>0</v>
      </c>
      <c r="AN4121">
        <v>4</v>
      </c>
      <c r="AP4121">
        <v>1</v>
      </c>
      <c r="AS4121">
        <v>4</v>
      </c>
      <c r="AT4121">
        <v>0</v>
      </c>
      <c r="AU4121">
        <v>12</v>
      </c>
      <c r="AV4121">
        <v>375</v>
      </c>
      <c r="AW4121">
        <v>375</v>
      </c>
      <c r="AX4121">
        <v>590</v>
      </c>
      <c r="BA4121">
        <v>1</v>
      </c>
      <c r="BC4121" t="s">
        <v>8349</v>
      </c>
      <c r="BD4121" s="4">
        <v>43283.244444444441</v>
      </c>
      <c r="BE4121" s="4">
        <v>43283.274062500001</v>
      </c>
      <c r="BF4121" s="4">
        <v>43283.274062500001</v>
      </c>
      <c r="BG4121" t="s">
        <v>83</v>
      </c>
      <c r="BH4121" t="s">
        <v>84</v>
      </c>
      <c r="BI4121" t="s">
        <v>85</v>
      </c>
    </row>
    <row r="4122" spans="1:61" x14ac:dyDescent="0.3">
      <c r="A4122" t="str">
        <f>"200699C0100"</f>
        <v>200699C0100</v>
      </c>
      <c r="B4122" t="s">
        <v>8350</v>
      </c>
      <c r="C4122">
        <v>20</v>
      </c>
      <c r="D4122" t="s">
        <v>79</v>
      </c>
      <c r="E4122">
        <v>19</v>
      </c>
      <c r="F4122" t="s">
        <v>8046</v>
      </c>
      <c r="G4122">
        <v>699</v>
      </c>
      <c r="H4122">
        <v>1</v>
      </c>
      <c r="I4122" t="s">
        <v>89</v>
      </c>
      <c r="J4122">
        <v>0</v>
      </c>
      <c r="K4122">
        <v>1</v>
      </c>
      <c r="L4122">
        <v>2</v>
      </c>
      <c r="M4122">
        <v>250</v>
      </c>
      <c r="N4122">
        <v>362</v>
      </c>
      <c r="O4122">
        <v>5</v>
      </c>
      <c r="P4122">
        <v>367</v>
      </c>
      <c r="Q4122">
        <v>16</v>
      </c>
      <c r="R4122">
        <v>48</v>
      </c>
      <c r="S4122">
        <v>4</v>
      </c>
      <c r="T4122">
        <v>8</v>
      </c>
      <c r="U4122">
        <v>24</v>
      </c>
      <c r="V4122">
        <v>18</v>
      </c>
      <c r="W4122">
        <v>6</v>
      </c>
      <c r="X4122">
        <v>10</v>
      </c>
      <c r="Y4122">
        <v>198</v>
      </c>
      <c r="Z4122">
        <v>8</v>
      </c>
      <c r="AA4122">
        <v>3</v>
      </c>
      <c r="AB4122">
        <v>3</v>
      </c>
      <c r="AC4122">
        <v>1</v>
      </c>
      <c r="AD4122">
        <v>0</v>
      </c>
      <c r="AE4122">
        <v>0</v>
      </c>
      <c r="AF4122">
        <v>0</v>
      </c>
      <c r="AK4122">
        <v>5</v>
      </c>
      <c r="AL4122">
        <v>0</v>
      </c>
      <c r="AM4122">
        <v>0</v>
      </c>
      <c r="AN4122">
        <v>2</v>
      </c>
      <c r="AP4122">
        <v>3</v>
      </c>
      <c r="AS4122">
        <v>0</v>
      </c>
      <c r="AT4122">
        <v>0</v>
      </c>
      <c r="AU4122">
        <v>9</v>
      </c>
      <c r="AV4122">
        <v>367</v>
      </c>
      <c r="AW4122">
        <v>366</v>
      </c>
      <c r="AX4122">
        <v>589</v>
      </c>
      <c r="BA4122">
        <v>1</v>
      </c>
      <c r="BC4122" t="s">
        <v>8351</v>
      </c>
      <c r="BD4122" s="4">
        <v>43283.244444444441</v>
      </c>
      <c r="BE4122" s="4">
        <v>43283.271296296298</v>
      </c>
      <c r="BF4122" s="4">
        <v>43283.271296296298</v>
      </c>
      <c r="BG4122" t="s">
        <v>83</v>
      </c>
      <c r="BH4122" t="s">
        <v>84</v>
      </c>
      <c r="BI4122" t="s">
        <v>85</v>
      </c>
    </row>
    <row r="4123" spans="1:61" x14ac:dyDescent="0.3">
      <c r="A4123" t="str">
        <f>"200700B0100"</f>
        <v>200700B0100</v>
      </c>
      <c r="B4123" t="s">
        <v>8352</v>
      </c>
      <c r="C4123">
        <v>20</v>
      </c>
      <c r="D4123" t="s">
        <v>79</v>
      </c>
      <c r="E4123">
        <v>19</v>
      </c>
      <c r="F4123" t="s">
        <v>8046</v>
      </c>
      <c r="G4123">
        <v>700</v>
      </c>
      <c r="H4123">
        <v>1</v>
      </c>
      <c r="I4123" t="s">
        <v>81</v>
      </c>
      <c r="J4123">
        <v>0</v>
      </c>
      <c r="K4123">
        <v>1</v>
      </c>
      <c r="L4123">
        <v>2</v>
      </c>
      <c r="AX4123">
        <v>570</v>
      </c>
      <c r="AZ4123" t="s">
        <v>156</v>
      </c>
      <c r="BA4123">
        <v>0</v>
      </c>
      <c r="BC4123" t="s">
        <v>8353</v>
      </c>
      <c r="BD4123" s="4">
        <v>43283.777083333334</v>
      </c>
      <c r="BE4123" s="4">
        <v>43283.783703703702</v>
      </c>
      <c r="BF4123" s="4">
        <v>43283.783703703702</v>
      </c>
      <c r="BG4123" t="s">
        <v>83</v>
      </c>
      <c r="BH4123" t="s">
        <v>84</v>
      </c>
      <c r="BI4123" t="s">
        <v>85</v>
      </c>
    </row>
    <row r="4124" spans="1:61" x14ac:dyDescent="0.3">
      <c r="A4124" t="str">
        <f>"200700C0100"</f>
        <v>200700C0100</v>
      </c>
      <c r="B4124" t="s">
        <v>8354</v>
      </c>
      <c r="C4124">
        <v>20</v>
      </c>
      <c r="D4124" t="s">
        <v>79</v>
      </c>
      <c r="E4124">
        <v>19</v>
      </c>
      <c r="F4124" t="s">
        <v>8046</v>
      </c>
      <c r="G4124">
        <v>700</v>
      </c>
      <c r="H4124">
        <v>1</v>
      </c>
      <c r="I4124" t="s">
        <v>89</v>
      </c>
      <c r="J4124">
        <v>0</v>
      </c>
      <c r="K4124">
        <v>1</v>
      </c>
      <c r="L4124">
        <v>2</v>
      </c>
      <c r="M4124">
        <v>233</v>
      </c>
      <c r="N4124">
        <v>365</v>
      </c>
      <c r="O4124">
        <v>365</v>
      </c>
      <c r="P4124">
        <v>342</v>
      </c>
      <c r="Q4124">
        <v>21</v>
      </c>
      <c r="R4124">
        <v>36</v>
      </c>
      <c r="S4124">
        <v>5</v>
      </c>
      <c r="T4124">
        <v>4</v>
      </c>
      <c r="U4124">
        <v>9</v>
      </c>
      <c r="V4124">
        <v>8</v>
      </c>
      <c r="W4124">
        <v>0</v>
      </c>
      <c r="X4124">
        <v>13</v>
      </c>
      <c r="Y4124">
        <v>235</v>
      </c>
      <c r="Z4124">
        <v>5</v>
      </c>
      <c r="AA4124">
        <v>1</v>
      </c>
      <c r="AB4124">
        <v>4</v>
      </c>
      <c r="AC4124">
        <v>2</v>
      </c>
      <c r="AD4124">
        <v>0</v>
      </c>
      <c r="AE4124">
        <v>0</v>
      </c>
      <c r="AF4124">
        <v>0</v>
      </c>
      <c r="AK4124">
        <v>4</v>
      </c>
      <c r="AL4124">
        <v>0</v>
      </c>
      <c r="AM4124">
        <v>0</v>
      </c>
      <c r="AN4124">
        <v>0</v>
      </c>
      <c r="AP4124">
        <v>0</v>
      </c>
      <c r="AS4124">
        <v>1</v>
      </c>
      <c r="AT4124" t="s">
        <v>100</v>
      </c>
      <c r="AU4124">
        <v>6</v>
      </c>
      <c r="AV4124">
        <v>358</v>
      </c>
      <c r="AW4124">
        <v>354</v>
      </c>
      <c r="AX4124">
        <v>570</v>
      </c>
      <c r="AZ4124" t="s">
        <v>101</v>
      </c>
      <c r="BA4124">
        <v>1</v>
      </c>
      <c r="BC4124" t="s">
        <v>8355</v>
      </c>
      <c r="BD4124" s="4">
        <v>43283.252083333333</v>
      </c>
      <c r="BE4124" s="4">
        <v>43283.280821759261</v>
      </c>
      <c r="BF4124" s="4">
        <v>43283.280821759261</v>
      </c>
      <c r="BG4124" t="s">
        <v>83</v>
      </c>
      <c r="BH4124" t="s">
        <v>84</v>
      </c>
      <c r="BI4124" t="s">
        <v>85</v>
      </c>
    </row>
    <row r="4125" spans="1:61" x14ac:dyDescent="0.3">
      <c r="A4125" t="str">
        <f>"200701B0100"</f>
        <v>200701B0100</v>
      </c>
      <c r="B4125" t="s">
        <v>8356</v>
      </c>
      <c r="C4125">
        <v>20</v>
      </c>
      <c r="D4125" t="s">
        <v>79</v>
      </c>
      <c r="E4125">
        <v>19</v>
      </c>
      <c r="F4125" t="s">
        <v>8046</v>
      </c>
      <c r="G4125">
        <v>701</v>
      </c>
      <c r="H4125">
        <v>1</v>
      </c>
      <c r="I4125" t="s">
        <v>81</v>
      </c>
      <c r="J4125">
        <v>0</v>
      </c>
      <c r="K4125">
        <v>1</v>
      </c>
      <c r="L4125">
        <v>2</v>
      </c>
      <c r="M4125">
        <v>216</v>
      </c>
      <c r="N4125">
        <v>378</v>
      </c>
      <c r="O4125">
        <v>5</v>
      </c>
      <c r="P4125">
        <v>378</v>
      </c>
      <c r="Q4125">
        <v>48</v>
      </c>
      <c r="R4125">
        <v>60</v>
      </c>
      <c r="S4125">
        <v>5</v>
      </c>
      <c r="T4125">
        <v>5</v>
      </c>
      <c r="U4125">
        <v>16</v>
      </c>
      <c r="V4125">
        <v>6</v>
      </c>
      <c r="W4125">
        <v>3</v>
      </c>
      <c r="X4125">
        <v>6</v>
      </c>
      <c r="Y4125">
        <v>192</v>
      </c>
      <c r="Z4125">
        <v>4</v>
      </c>
      <c r="AA4125">
        <v>0</v>
      </c>
      <c r="AB4125">
        <v>7</v>
      </c>
      <c r="AC4125">
        <v>1</v>
      </c>
      <c r="AD4125">
        <v>0</v>
      </c>
      <c r="AE4125">
        <v>0</v>
      </c>
      <c r="AF4125">
        <v>0</v>
      </c>
      <c r="AK4125">
        <v>1</v>
      </c>
      <c r="AL4125">
        <v>1</v>
      </c>
      <c r="AM4125">
        <v>0</v>
      </c>
      <c r="AN4125">
        <v>1</v>
      </c>
      <c r="AP4125">
        <v>0</v>
      </c>
      <c r="AS4125">
        <v>1</v>
      </c>
      <c r="AT4125">
        <v>0</v>
      </c>
      <c r="AU4125">
        <v>21</v>
      </c>
      <c r="AV4125">
        <v>378</v>
      </c>
      <c r="AW4125">
        <v>378</v>
      </c>
      <c r="AX4125">
        <v>568</v>
      </c>
      <c r="BA4125">
        <v>1</v>
      </c>
      <c r="BC4125" t="s">
        <v>8357</v>
      </c>
      <c r="BD4125" s="4">
        <v>43283.159722222219</v>
      </c>
      <c r="BE4125" s="4">
        <v>43283.175115740742</v>
      </c>
      <c r="BF4125" s="4">
        <v>43283.175115740742</v>
      </c>
      <c r="BG4125" t="s">
        <v>83</v>
      </c>
      <c r="BH4125" t="s">
        <v>84</v>
      </c>
      <c r="BI4125" t="s">
        <v>85</v>
      </c>
    </row>
    <row r="4126" spans="1:61" x14ac:dyDescent="0.3">
      <c r="A4126" t="str">
        <f>"200701C0100"</f>
        <v>200701C0100</v>
      </c>
      <c r="B4126" t="s">
        <v>8358</v>
      </c>
      <c r="C4126">
        <v>20</v>
      </c>
      <c r="D4126" t="s">
        <v>79</v>
      </c>
      <c r="E4126">
        <v>19</v>
      </c>
      <c r="F4126" t="s">
        <v>8046</v>
      </c>
      <c r="G4126">
        <v>701</v>
      </c>
      <c r="H4126">
        <v>1</v>
      </c>
      <c r="I4126" t="s">
        <v>89</v>
      </c>
      <c r="J4126">
        <v>0</v>
      </c>
      <c r="K4126">
        <v>1</v>
      </c>
      <c r="L4126">
        <v>2</v>
      </c>
      <c r="M4126">
        <v>212</v>
      </c>
      <c r="N4126">
        <v>381</v>
      </c>
      <c r="O4126">
        <v>1</v>
      </c>
      <c r="P4126">
        <v>381</v>
      </c>
      <c r="Q4126">
        <v>52</v>
      </c>
      <c r="R4126">
        <v>73</v>
      </c>
      <c r="S4126">
        <v>9</v>
      </c>
      <c r="T4126">
        <v>4</v>
      </c>
      <c r="U4126">
        <v>8</v>
      </c>
      <c r="V4126">
        <v>7</v>
      </c>
      <c r="W4126">
        <v>4</v>
      </c>
      <c r="X4126">
        <v>13</v>
      </c>
      <c r="Y4126">
        <v>179</v>
      </c>
      <c r="Z4126">
        <v>4</v>
      </c>
      <c r="AA4126">
        <v>0</v>
      </c>
      <c r="AB4126">
        <v>14</v>
      </c>
      <c r="AC4126">
        <v>2</v>
      </c>
      <c r="AD4126">
        <v>0</v>
      </c>
      <c r="AE4126">
        <v>0</v>
      </c>
      <c r="AF4126">
        <v>0</v>
      </c>
      <c r="AK4126">
        <v>3</v>
      </c>
      <c r="AL4126">
        <v>0</v>
      </c>
      <c r="AM4126">
        <v>0</v>
      </c>
      <c r="AN4126">
        <v>1</v>
      </c>
      <c r="AP4126">
        <v>1</v>
      </c>
      <c r="AS4126">
        <v>2</v>
      </c>
      <c r="AT4126">
        <v>0</v>
      </c>
      <c r="AU4126">
        <v>5</v>
      </c>
      <c r="AV4126">
        <v>381</v>
      </c>
      <c r="AW4126">
        <v>381</v>
      </c>
      <c r="AX4126">
        <v>568</v>
      </c>
      <c r="BA4126">
        <v>1</v>
      </c>
      <c r="BC4126" t="s">
        <v>8359</v>
      </c>
      <c r="BD4126" s="4">
        <v>43283.125</v>
      </c>
      <c r="BE4126" s="4">
        <v>43283.133877314816</v>
      </c>
      <c r="BF4126" s="4">
        <v>43283.133877314816</v>
      </c>
      <c r="BG4126" t="s">
        <v>83</v>
      </c>
      <c r="BH4126" t="s">
        <v>84</v>
      </c>
      <c r="BI4126" t="s">
        <v>85</v>
      </c>
    </row>
    <row r="4127" spans="1:61" x14ac:dyDescent="0.3">
      <c r="A4127" t="str">
        <f>"200702B0100"</f>
        <v>200702B0100</v>
      </c>
      <c r="B4127" t="s">
        <v>8360</v>
      </c>
      <c r="C4127">
        <v>20</v>
      </c>
      <c r="D4127" t="s">
        <v>79</v>
      </c>
      <c r="E4127">
        <v>19</v>
      </c>
      <c r="F4127" t="s">
        <v>8046</v>
      </c>
      <c r="G4127">
        <v>702</v>
      </c>
      <c r="H4127">
        <v>1</v>
      </c>
      <c r="I4127" t="s">
        <v>81</v>
      </c>
      <c r="J4127">
        <v>0</v>
      </c>
      <c r="K4127">
        <v>1</v>
      </c>
      <c r="L4127">
        <v>2</v>
      </c>
      <c r="M4127">
        <v>179</v>
      </c>
      <c r="N4127">
        <v>343</v>
      </c>
      <c r="O4127">
        <v>11</v>
      </c>
      <c r="P4127">
        <v>343</v>
      </c>
      <c r="Q4127">
        <v>27</v>
      </c>
      <c r="R4127">
        <v>67</v>
      </c>
      <c r="S4127">
        <v>4</v>
      </c>
      <c r="T4127">
        <v>10</v>
      </c>
      <c r="U4127">
        <v>14</v>
      </c>
      <c r="V4127">
        <v>8</v>
      </c>
      <c r="W4127">
        <v>6</v>
      </c>
      <c r="X4127">
        <v>4</v>
      </c>
      <c r="Y4127">
        <v>170</v>
      </c>
      <c r="Z4127">
        <v>2</v>
      </c>
      <c r="AA4127">
        <v>0</v>
      </c>
      <c r="AB4127">
        <v>10</v>
      </c>
      <c r="AC4127">
        <v>1</v>
      </c>
      <c r="AD4127">
        <v>0</v>
      </c>
      <c r="AE4127">
        <v>0</v>
      </c>
      <c r="AF4127">
        <v>0</v>
      </c>
      <c r="AK4127">
        <v>2</v>
      </c>
      <c r="AL4127">
        <v>1</v>
      </c>
      <c r="AM4127">
        <v>0</v>
      </c>
      <c r="AN4127">
        <v>0</v>
      </c>
      <c r="AP4127">
        <v>0</v>
      </c>
      <c r="AS4127">
        <v>6</v>
      </c>
      <c r="AT4127">
        <v>0</v>
      </c>
      <c r="AU4127">
        <v>11</v>
      </c>
      <c r="AV4127">
        <v>343</v>
      </c>
      <c r="AW4127">
        <v>343</v>
      </c>
      <c r="AX4127">
        <v>497</v>
      </c>
      <c r="BA4127">
        <v>1</v>
      </c>
      <c r="BC4127" t="s">
        <v>8361</v>
      </c>
      <c r="BD4127" s="4">
        <v>43283.230555555558</v>
      </c>
      <c r="BE4127" s="4">
        <v>43283.272199074076</v>
      </c>
      <c r="BF4127" s="4">
        <v>43283.272199074076</v>
      </c>
      <c r="BG4127" t="s">
        <v>83</v>
      </c>
      <c r="BH4127" t="s">
        <v>84</v>
      </c>
      <c r="BI4127" t="s">
        <v>85</v>
      </c>
    </row>
    <row r="4128" spans="1:61" x14ac:dyDescent="0.3">
      <c r="A4128" t="str">
        <f>"200702C0100"</f>
        <v>200702C0100</v>
      </c>
      <c r="B4128" t="s">
        <v>8362</v>
      </c>
      <c r="C4128">
        <v>20</v>
      </c>
      <c r="D4128" t="s">
        <v>79</v>
      </c>
      <c r="E4128">
        <v>19</v>
      </c>
      <c r="F4128" t="s">
        <v>8046</v>
      </c>
      <c r="G4128">
        <v>702</v>
      </c>
      <c r="H4128">
        <v>1</v>
      </c>
      <c r="I4128" t="s">
        <v>89</v>
      </c>
      <c r="J4128">
        <v>0</v>
      </c>
      <c r="K4128">
        <v>1</v>
      </c>
      <c r="L4128">
        <v>2</v>
      </c>
      <c r="M4128" t="s">
        <v>100</v>
      </c>
      <c r="N4128" t="s">
        <v>100</v>
      </c>
      <c r="O4128" t="s">
        <v>100</v>
      </c>
      <c r="P4128" t="s">
        <v>100</v>
      </c>
      <c r="Q4128">
        <v>30</v>
      </c>
      <c r="R4128">
        <v>52</v>
      </c>
      <c r="S4128">
        <v>1</v>
      </c>
      <c r="T4128">
        <v>7</v>
      </c>
      <c r="U4128">
        <v>16</v>
      </c>
      <c r="V4128">
        <v>7</v>
      </c>
      <c r="W4128">
        <v>2</v>
      </c>
      <c r="X4128">
        <v>6</v>
      </c>
      <c r="Y4128">
        <v>187</v>
      </c>
      <c r="Z4128">
        <v>3</v>
      </c>
      <c r="AA4128">
        <v>1</v>
      </c>
      <c r="AB4128">
        <v>9</v>
      </c>
      <c r="AC4128">
        <v>0</v>
      </c>
      <c r="AD4128">
        <v>0</v>
      </c>
      <c r="AE4128">
        <v>0</v>
      </c>
      <c r="AF4128">
        <v>0</v>
      </c>
      <c r="AK4128">
        <v>2</v>
      </c>
      <c r="AL4128">
        <v>1</v>
      </c>
      <c r="AM4128">
        <v>0</v>
      </c>
      <c r="AN4128">
        <v>1</v>
      </c>
      <c r="AP4128">
        <v>6</v>
      </c>
      <c r="AS4128">
        <v>2</v>
      </c>
      <c r="AT4128">
        <v>0</v>
      </c>
      <c r="AU4128">
        <v>7</v>
      </c>
      <c r="AV4128">
        <v>340</v>
      </c>
      <c r="AW4128">
        <v>340</v>
      </c>
      <c r="AX4128">
        <v>497</v>
      </c>
      <c r="BA4128">
        <v>1</v>
      </c>
      <c r="BC4128" t="s">
        <v>8363</v>
      </c>
      <c r="BD4128" s="4">
        <v>43283.23333333333</v>
      </c>
      <c r="BE4128" s="4">
        <v>43283.263668981483</v>
      </c>
      <c r="BF4128" s="4">
        <v>43283.263668981483</v>
      </c>
      <c r="BG4128" t="s">
        <v>83</v>
      </c>
      <c r="BH4128" t="s">
        <v>84</v>
      </c>
      <c r="BI4128" t="s">
        <v>85</v>
      </c>
    </row>
    <row r="4129" spans="1:61" x14ac:dyDescent="0.3">
      <c r="A4129" t="str">
        <f>"200703B0100"</f>
        <v>200703B0100</v>
      </c>
      <c r="B4129" t="s">
        <v>8364</v>
      </c>
      <c r="C4129">
        <v>20</v>
      </c>
      <c r="D4129" t="s">
        <v>79</v>
      </c>
      <c r="E4129">
        <v>19</v>
      </c>
      <c r="F4129" t="s">
        <v>8046</v>
      </c>
      <c r="G4129">
        <v>703</v>
      </c>
      <c r="H4129">
        <v>1</v>
      </c>
      <c r="I4129" t="s">
        <v>81</v>
      </c>
      <c r="J4129">
        <v>0</v>
      </c>
      <c r="K4129">
        <v>1</v>
      </c>
      <c r="L4129">
        <v>2</v>
      </c>
      <c r="M4129">
        <v>246</v>
      </c>
      <c r="N4129">
        <v>356</v>
      </c>
      <c r="O4129">
        <v>1</v>
      </c>
      <c r="P4129">
        <v>356</v>
      </c>
      <c r="Q4129">
        <v>10</v>
      </c>
      <c r="R4129">
        <v>41</v>
      </c>
      <c r="S4129">
        <v>3</v>
      </c>
      <c r="T4129">
        <v>6</v>
      </c>
      <c r="U4129">
        <v>13</v>
      </c>
      <c r="V4129">
        <v>5</v>
      </c>
      <c r="W4129">
        <v>2</v>
      </c>
      <c r="X4129">
        <v>16</v>
      </c>
      <c r="Y4129">
        <v>224</v>
      </c>
      <c r="Z4129">
        <v>9</v>
      </c>
      <c r="AA4129">
        <v>0</v>
      </c>
      <c r="AB4129">
        <v>3</v>
      </c>
      <c r="AC4129">
        <v>0</v>
      </c>
      <c r="AD4129">
        <v>0</v>
      </c>
      <c r="AE4129">
        <v>0</v>
      </c>
      <c r="AF4129">
        <v>0</v>
      </c>
      <c r="AK4129">
        <v>3</v>
      </c>
      <c r="AL4129">
        <v>4</v>
      </c>
      <c r="AM4129">
        <v>0</v>
      </c>
      <c r="AN4129">
        <v>1</v>
      </c>
      <c r="AP4129">
        <v>1</v>
      </c>
      <c r="AS4129">
        <v>4</v>
      </c>
      <c r="AT4129">
        <v>0</v>
      </c>
      <c r="AU4129">
        <v>10</v>
      </c>
      <c r="AV4129">
        <v>356</v>
      </c>
      <c r="AW4129">
        <v>355</v>
      </c>
      <c r="AX4129">
        <v>576</v>
      </c>
      <c r="BA4129">
        <v>1</v>
      </c>
      <c r="BC4129" t="s">
        <v>8365</v>
      </c>
      <c r="BD4129" s="4">
        <v>43283.195138888892</v>
      </c>
      <c r="BE4129" s="4">
        <v>43283.727962962963</v>
      </c>
      <c r="BF4129" s="4">
        <v>43283.727962962963</v>
      </c>
      <c r="BG4129" t="s">
        <v>83</v>
      </c>
      <c r="BH4129" t="s">
        <v>84</v>
      </c>
      <c r="BI4129" t="s">
        <v>85</v>
      </c>
    </row>
    <row r="4130" spans="1:61" x14ac:dyDescent="0.3">
      <c r="A4130" t="str">
        <f>"200703C0100"</f>
        <v>200703C0100</v>
      </c>
      <c r="B4130" t="s">
        <v>8366</v>
      </c>
      <c r="C4130">
        <v>20</v>
      </c>
      <c r="D4130" t="s">
        <v>79</v>
      </c>
      <c r="E4130">
        <v>19</v>
      </c>
      <c r="F4130" t="s">
        <v>8046</v>
      </c>
      <c r="G4130">
        <v>703</v>
      </c>
      <c r="H4130">
        <v>1</v>
      </c>
      <c r="I4130" t="s">
        <v>89</v>
      </c>
      <c r="J4130">
        <v>0</v>
      </c>
      <c r="K4130">
        <v>1</v>
      </c>
      <c r="L4130">
        <v>2</v>
      </c>
      <c r="M4130" t="s">
        <v>100</v>
      </c>
      <c r="N4130">
        <v>376</v>
      </c>
      <c r="O4130">
        <v>2</v>
      </c>
      <c r="P4130" t="s">
        <v>315</v>
      </c>
      <c r="Q4130">
        <v>13</v>
      </c>
      <c r="R4130">
        <v>48</v>
      </c>
      <c r="S4130">
        <v>12</v>
      </c>
      <c r="T4130">
        <v>17</v>
      </c>
      <c r="U4130">
        <v>18</v>
      </c>
      <c r="V4130">
        <v>8</v>
      </c>
      <c r="W4130">
        <v>2</v>
      </c>
      <c r="X4130">
        <v>6</v>
      </c>
      <c r="Y4130">
        <v>202</v>
      </c>
      <c r="Z4130">
        <v>10</v>
      </c>
      <c r="AA4130">
        <v>2</v>
      </c>
      <c r="AB4130">
        <v>5</v>
      </c>
      <c r="AC4130">
        <v>0</v>
      </c>
      <c r="AD4130">
        <v>2</v>
      </c>
      <c r="AE4130">
        <v>0</v>
      </c>
      <c r="AF4130">
        <v>0</v>
      </c>
      <c r="AK4130">
        <v>2</v>
      </c>
      <c r="AL4130">
        <v>0</v>
      </c>
      <c r="AM4130">
        <v>0</v>
      </c>
      <c r="AN4130">
        <v>1</v>
      </c>
      <c r="AP4130">
        <v>2</v>
      </c>
      <c r="AS4130">
        <v>8</v>
      </c>
      <c r="AT4130">
        <v>0</v>
      </c>
      <c r="AU4130">
        <v>20</v>
      </c>
      <c r="AV4130">
        <v>378</v>
      </c>
      <c r="AW4130">
        <v>378</v>
      </c>
      <c r="AX4130">
        <v>576</v>
      </c>
      <c r="BA4130">
        <v>1</v>
      </c>
      <c r="BC4130" t="s">
        <v>8367</v>
      </c>
      <c r="BD4130" s="4">
        <v>43283.195833333331</v>
      </c>
      <c r="BE4130" s="4">
        <v>43283.215937499997</v>
      </c>
      <c r="BF4130" s="4">
        <v>43283.215937499997</v>
      </c>
      <c r="BG4130" t="s">
        <v>83</v>
      </c>
      <c r="BH4130" t="s">
        <v>84</v>
      </c>
      <c r="BI4130" t="s">
        <v>85</v>
      </c>
    </row>
    <row r="4131" spans="1:61" x14ac:dyDescent="0.3">
      <c r="A4131" t="str">
        <f>"200703C0200"</f>
        <v>200703C0200</v>
      </c>
      <c r="B4131" t="s">
        <v>8368</v>
      </c>
      <c r="C4131">
        <v>20</v>
      </c>
      <c r="D4131" t="s">
        <v>79</v>
      </c>
      <c r="E4131">
        <v>19</v>
      </c>
      <c r="F4131" t="s">
        <v>8046</v>
      </c>
      <c r="G4131">
        <v>703</v>
      </c>
      <c r="H4131">
        <v>2</v>
      </c>
      <c r="I4131" t="s">
        <v>89</v>
      </c>
      <c r="J4131">
        <v>0</v>
      </c>
      <c r="K4131">
        <v>1</v>
      </c>
      <c r="L4131">
        <v>2</v>
      </c>
      <c r="AX4131">
        <v>575</v>
      </c>
      <c r="AZ4131" t="s">
        <v>156</v>
      </c>
      <c r="BA4131">
        <v>0</v>
      </c>
      <c r="BC4131" t="s">
        <v>8369</v>
      </c>
      <c r="BD4131" s="4">
        <v>43283.776388888888</v>
      </c>
      <c r="BE4131" s="4">
        <v>43283.783078703702</v>
      </c>
      <c r="BF4131" s="4">
        <v>43283.783078703702</v>
      </c>
      <c r="BG4131" t="s">
        <v>83</v>
      </c>
      <c r="BH4131" t="s">
        <v>84</v>
      </c>
      <c r="BI4131" t="s">
        <v>85</v>
      </c>
    </row>
    <row r="4132" spans="1:61" x14ac:dyDescent="0.3">
      <c r="A4132" t="str">
        <f>"200704B0100"</f>
        <v>200704B0100</v>
      </c>
      <c r="B4132" t="s">
        <v>8370</v>
      </c>
      <c r="C4132">
        <v>20</v>
      </c>
      <c r="D4132" t="s">
        <v>79</v>
      </c>
      <c r="E4132">
        <v>19</v>
      </c>
      <c r="F4132" t="s">
        <v>8046</v>
      </c>
      <c r="G4132">
        <v>704</v>
      </c>
      <c r="H4132">
        <v>1</v>
      </c>
      <c r="I4132" t="s">
        <v>81</v>
      </c>
      <c r="J4132">
        <v>0</v>
      </c>
      <c r="K4132">
        <v>2</v>
      </c>
      <c r="L4132">
        <v>2</v>
      </c>
      <c r="M4132">
        <v>174</v>
      </c>
      <c r="N4132">
        <v>427</v>
      </c>
      <c r="O4132">
        <v>0</v>
      </c>
      <c r="P4132">
        <v>427</v>
      </c>
      <c r="Q4132">
        <v>20</v>
      </c>
      <c r="R4132">
        <v>102</v>
      </c>
      <c r="S4132">
        <v>1</v>
      </c>
      <c r="T4132">
        <v>9</v>
      </c>
      <c r="U4132">
        <v>21</v>
      </c>
      <c r="V4132">
        <v>16</v>
      </c>
      <c r="W4132">
        <v>2</v>
      </c>
      <c r="X4132">
        <v>6</v>
      </c>
      <c r="Y4132">
        <v>201</v>
      </c>
      <c r="Z4132">
        <v>1</v>
      </c>
      <c r="AA4132">
        <v>8</v>
      </c>
      <c r="AB4132">
        <v>0</v>
      </c>
      <c r="AC4132">
        <v>0</v>
      </c>
      <c r="AD4132">
        <v>0</v>
      </c>
      <c r="AE4132">
        <v>0</v>
      </c>
      <c r="AF4132">
        <v>0</v>
      </c>
      <c r="AK4132">
        <v>5</v>
      </c>
      <c r="AL4132">
        <v>1</v>
      </c>
      <c r="AM4132">
        <v>0</v>
      </c>
      <c r="AN4132">
        <v>1</v>
      </c>
      <c r="AP4132">
        <v>0</v>
      </c>
      <c r="AS4132">
        <v>3</v>
      </c>
      <c r="AT4132">
        <v>0</v>
      </c>
      <c r="AU4132">
        <v>24</v>
      </c>
      <c r="AV4132">
        <v>427</v>
      </c>
      <c r="AW4132">
        <v>421</v>
      </c>
      <c r="AX4132">
        <v>575</v>
      </c>
      <c r="BA4132">
        <v>1</v>
      </c>
      <c r="BC4132" t="s">
        <v>8371</v>
      </c>
      <c r="BD4132" s="4">
        <v>43283.216666666667</v>
      </c>
      <c r="BE4132" s="4">
        <v>43283.244270833333</v>
      </c>
      <c r="BF4132" s="4">
        <v>43283.244270833333</v>
      </c>
      <c r="BG4132" t="s">
        <v>83</v>
      </c>
      <c r="BH4132" t="s">
        <v>84</v>
      </c>
      <c r="BI4132" t="s">
        <v>85</v>
      </c>
    </row>
    <row r="4133" spans="1:61" x14ac:dyDescent="0.3">
      <c r="A4133" t="str">
        <f>"200705B0100"</f>
        <v>200705B0100</v>
      </c>
      <c r="B4133" t="s">
        <v>8372</v>
      </c>
      <c r="C4133">
        <v>20</v>
      </c>
      <c r="D4133" t="s">
        <v>79</v>
      </c>
      <c r="E4133">
        <v>19</v>
      </c>
      <c r="F4133" t="s">
        <v>8046</v>
      </c>
      <c r="G4133">
        <v>705</v>
      </c>
      <c r="H4133">
        <v>1</v>
      </c>
      <c r="I4133" t="s">
        <v>81</v>
      </c>
      <c r="J4133">
        <v>0</v>
      </c>
      <c r="K4133">
        <v>2</v>
      </c>
      <c r="L4133">
        <v>2</v>
      </c>
      <c r="M4133">
        <v>81</v>
      </c>
      <c r="N4133" t="s">
        <v>100</v>
      </c>
      <c r="O4133" t="s">
        <v>100</v>
      </c>
      <c r="P4133" t="s">
        <v>100</v>
      </c>
      <c r="Q4133">
        <v>6</v>
      </c>
      <c r="R4133">
        <v>44</v>
      </c>
      <c r="S4133">
        <v>3</v>
      </c>
      <c r="T4133">
        <v>6</v>
      </c>
      <c r="U4133">
        <v>6</v>
      </c>
      <c r="V4133">
        <v>11</v>
      </c>
      <c r="W4133">
        <v>8</v>
      </c>
      <c r="X4133">
        <v>3</v>
      </c>
      <c r="Y4133">
        <v>102</v>
      </c>
      <c r="Z4133">
        <v>4</v>
      </c>
      <c r="AA4133">
        <v>1</v>
      </c>
      <c r="AB4133">
        <v>3</v>
      </c>
      <c r="AC4133">
        <v>0</v>
      </c>
      <c r="AD4133">
        <v>0</v>
      </c>
      <c r="AE4133">
        <v>0</v>
      </c>
      <c r="AF4133">
        <v>0</v>
      </c>
      <c r="AK4133">
        <v>5</v>
      </c>
      <c r="AL4133">
        <v>0</v>
      </c>
      <c r="AM4133">
        <v>0</v>
      </c>
      <c r="AN4133">
        <v>0</v>
      </c>
      <c r="AP4133">
        <v>0</v>
      </c>
      <c r="AS4133">
        <v>2</v>
      </c>
      <c r="AT4133">
        <v>0</v>
      </c>
      <c r="AU4133">
        <v>10</v>
      </c>
      <c r="AV4133" t="s">
        <v>100</v>
      </c>
      <c r="AW4133">
        <v>214</v>
      </c>
      <c r="AX4133">
        <v>269</v>
      </c>
      <c r="BA4133">
        <v>1</v>
      </c>
      <c r="BC4133" t="s">
        <v>8373</v>
      </c>
      <c r="BD4133" s="4">
        <v>43283.216666666667</v>
      </c>
      <c r="BE4133" s="4">
        <v>43283.247754629629</v>
      </c>
      <c r="BF4133" s="4">
        <v>43283.247754629629</v>
      </c>
      <c r="BG4133" t="s">
        <v>83</v>
      </c>
      <c r="BH4133" t="s">
        <v>84</v>
      </c>
      <c r="BI4133" t="s">
        <v>85</v>
      </c>
    </row>
    <row r="4134" spans="1:61" x14ac:dyDescent="0.3">
      <c r="A4134" t="str">
        <f>"200706B0100"</f>
        <v>200706B0100</v>
      </c>
      <c r="B4134" t="s">
        <v>8374</v>
      </c>
      <c r="C4134">
        <v>20</v>
      </c>
      <c r="D4134" t="s">
        <v>79</v>
      </c>
      <c r="E4134">
        <v>19</v>
      </c>
      <c r="F4134" t="s">
        <v>8046</v>
      </c>
      <c r="G4134">
        <v>706</v>
      </c>
      <c r="H4134">
        <v>1</v>
      </c>
      <c r="I4134" t="s">
        <v>81</v>
      </c>
      <c r="J4134">
        <v>0</v>
      </c>
      <c r="K4134">
        <v>2</v>
      </c>
      <c r="L4134">
        <v>2</v>
      </c>
      <c r="M4134">
        <v>247</v>
      </c>
      <c r="N4134">
        <v>445</v>
      </c>
      <c r="O4134">
        <v>1</v>
      </c>
      <c r="P4134">
        <v>445</v>
      </c>
      <c r="Q4134">
        <v>11</v>
      </c>
      <c r="R4134">
        <v>96</v>
      </c>
      <c r="S4134">
        <v>16</v>
      </c>
      <c r="T4134">
        <v>5</v>
      </c>
      <c r="U4134">
        <v>20</v>
      </c>
      <c r="V4134">
        <v>17</v>
      </c>
      <c r="W4134">
        <v>0</v>
      </c>
      <c r="X4134">
        <v>5</v>
      </c>
      <c r="Y4134">
        <v>228</v>
      </c>
      <c r="Z4134">
        <v>7</v>
      </c>
      <c r="AA4134">
        <v>1</v>
      </c>
      <c r="AB4134">
        <v>4</v>
      </c>
      <c r="AC4134">
        <v>2</v>
      </c>
      <c r="AD4134">
        <v>0</v>
      </c>
      <c r="AE4134">
        <v>0</v>
      </c>
      <c r="AF4134">
        <v>0</v>
      </c>
      <c r="AK4134">
        <v>1</v>
      </c>
      <c r="AL4134">
        <v>1</v>
      </c>
      <c r="AM4134">
        <v>0</v>
      </c>
      <c r="AN4134">
        <v>1</v>
      </c>
      <c r="AP4134">
        <v>2</v>
      </c>
      <c r="AS4134">
        <v>16</v>
      </c>
      <c r="AT4134">
        <v>0</v>
      </c>
      <c r="AU4134">
        <v>11</v>
      </c>
      <c r="AV4134">
        <v>445</v>
      </c>
      <c r="AW4134">
        <v>444</v>
      </c>
      <c r="AX4134">
        <v>666</v>
      </c>
      <c r="BA4134">
        <v>1</v>
      </c>
      <c r="BC4134" t="s">
        <v>8375</v>
      </c>
      <c r="BD4134" s="4">
        <v>43283.23333333333</v>
      </c>
      <c r="BE4134" s="4">
        <v>43283.262638888889</v>
      </c>
      <c r="BF4134" s="4">
        <v>43283.262638888889</v>
      </c>
      <c r="BG4134" t="s">
        <v>83</v>
      </c>
      <c r="BH4134" t="s">
        <v>84</v>
      </c>
      <c r="BI4134" t="s">
        <v>85</v>
      </c>
    </row>
    <row r="4135" spans="1:61" x14ac:dyDescent="0.3">
      <c r="A4135" t="str">
        <f>"200707B0100"</f>
        <v>200707B0100</v>
      </c>
      <c r="B4135" t="s">
        <v>8376</v>
      </c>
      <c r="C4135">
        <v>20</v>
      </c>
      <c r="D4135" t="s">
        <v>79</v>
      </c>
      <c r="E4135">
        <v>19</v>
      </c>
      <c r="F4135" t="s">
        <v>8046</v>
      </c>
      <c r="G4135">
        <v>707</v>
      </c>
      <c r="H4135">
        <v>1</v>
      </c>
      <c r="I4135" t="s">
        <v>81</v>
      </c>
      <c r="J4135">
        <v>0</v>
      </c>
      <c r="K4135">
        <v>2</v>
      </c>
      <c r="L4135">
        <v>2</v>
      </c>
      <c r="M4135">
        <v>160</v>
      </c>
      <c r="N4135" t="s">
        <v>100</v>
      </c>
      <c r="O4135">
        <v>1</v>
      </c>
      <c r="P4135" t="s">
        <v>100</v>
      </c>
      <c r="Q4135">
        <v>11</v>
      </c>
      <c r="R4135">
        <v>71</v>
      </c>
      <c r="S4135">
        <v>3</v>
      </c>
      <c r="T4135">
        <v>3</v>
      </c>
      <c r="U4135">
        <v>29</v>
      </c>
      <c r="V4135">
        <v>11</v>
      </c>
      <c r="W4135">
        <v>5</v>
      </c>
      <c r="X4135">
        <v>10</v>
      </c>
      <c r="Y4135">
        <v>124</v>
      </c>
      <c r="Z4135">
        <v>8</v>
      </c>
      <c r="AA4135" t="s">
        <v>100</v>
      </c>
      <c r="AB4135">
        <v>2</v>
      </c>
      <c r="AC4135">
        <v>2</v>
      </c>
      <c r="AD4135" t="s">
        <v>100</v>
      </c>
      <c r="AE4135">
        <v>1</v>
      </c>
      <c r="AF4135" t="s">
        <v>100</v>
      </c>
      <c r="AK4135" t="s">
        <v>100</v>
      </c>
      <c r="AL4135" t="s">
        <v>100</v>
      </c>
      <c r="AM4135" t="s">
        <v>100</v>
      </c>
      <c r="AN4135" t="s">
        <v>100</v>
      </c>
      <c r="AP4135">
        <v>2</v>
      </c>
      <c r="AS4135" t="s">
        <v>100</v>
      </c>
      <c r="AT4135">
        <v>19</v>
      </c>
      <c r="AU4135">
        <v>14</v>
      </c>
      <c r="AV4135" t="s">
        <v>100</v>
      </c>
      <c r="AW4135">
        <v>315</v>
      </c>
      <c r="AX4135">
        <v>451</v>
      </c>
      <c r="AZ4135" t="s">
        <v>101</v>
      </c>
      <c r="BA4135">
        <v>1</v>
      </c>
      <c r="BC4135" t="s">
        <v>8377</v>
      </c>
      <c r="BD4135" s="4">
        <v>43283.161111111112</v>
      </c>
      <c r="BE4135" s="4">
        <v>43283.180856481478</v>
      </c>
      <c r="BF4135" s="4">
        <v>43283.180856481478</v>
      </c>
      <c r="BG4135" t="s">
        <v>83</v>
      </c>
      <c r="BH4135" t="s">
        <v>84</v>
      </c>
      <c r="BI4135" t="s">
        <v>85</v>
      </c>
    </row>
    <row r="4136" spans="1:61" x14ac:dyDescent="0.3">
      <c r="A4136" t="str">
        <f>"200707C0100"</f>
        <v>200707C0100</v>
      </c>
      <c r="B4136" t="s">
        <v>8378</v>
      </c>
      <c r="C4136">
        <v>20</v>
      </c>
      <c r="D4136" t="s">
        <v>79</v>
      </c>
      <c r="E4136">
        <v>19</v>
      </c>
      <c r="F4136" t="s">
        <v>8046</v>
      </c>
      <c r="G4136">
        <v>707</v>
      </c>
      <c r="H4136">
        <v>1</v>
      </c>
      <c r="I4136" t="s">
        <v>89</v>
      </c>
      <c r="J4136">
        <v>0</v>
      </c>
      <c r="K4136">
        <v>2</v>
      </c>
      <c r="L4136">
        <v>2</v>
      </c>
      <c r="M4136">
        <v>155</v>
      </c>
      <c r="N4136">
        <v>322</v>
      </c>
      <c r="O4136">
        <v>1</v>
      </c>
      <c r="P4136">
        <v>322</v>
      </c>
      <c r="Q4136">
        <v>32</v>
      </c>
      <c r="R4136">
        <v>74</v>
      </c>
      <c r="S4136" t="s">
        <v>100</v>
      </c>
      <c r="T4136" t="s">
        <v>100</v>
      </c>
      <c r="U4136" t="s">
        <v>100</v>
      </c>
      <c r="V4136" t="s">
        <v>100</v>
      </c>
      <c r="W4136">
        <v>1</v>
      </c>
      <c r="X4136">
        <v>9</v>
      </c>
      <c r="Y4136">
        <v>163</v>
      </c>
      <c r="Z4136" t="s">
        <v>100</v>
      </c>
      <c r="AA4136" t="s">
        <v>100</v>
      </c>
      <c r="AB4136" t="s">
        <v>100</v>
      </c>
      <c r="AC4136" t="s">
        <v>100</v>
      </c>
      <c r="AD4136" t="s">
        <v>100</v>
      </c>
      <c r="AE4136" t="s">
        <v>100</v>
      </c>
      <c r="AF4136" t="s">
        <v>100</v>
      </c>
      <c r="AK4136" t="s">
        <v>100</v>
      </c>
      <c r="AL4136" t="s">
        <v>100</v>
      </c>
      <c r="AM4136" t="s">
        <v>100</v>
      </c>
      <c r="AN4136" t="s">
        <v>100</v>
      </c>
      <c r="AP4136" t="s">
        <v>100</v>
      </c>
      <c r="AS4136">
        <v>31</v>
      </c>
      <c r="AT4136" t="s">
        <v>100</v>
      </c>
      <c r="AU4136">
        <v>12</v>
      </c>
      <c r="AV4136" t="s">
        <v>100</v>
      </c>
      <c r="AW4136">
        <v>322</v>
      </c>
      <c r="AX4136">
        <v>451</v>
      </c>
      <c r="AZ4136" t="s">
        <v>101</v>
      </c>
      <c r="BA4136">
        <v>1</v>
      </c>
      <c r="BC4136" t="s">
        <v>8379</v>
      </c>
      <c r="BD4136" s="4">
        <v>43283.161111111112</v>
      </c>
      <c r="BE4136" s="4">
        <v>43283.180555555555</v>
      </c>
      <c r="BF4136" s="4">
        <v>43283.180555555555</v>
      </c>
      <c r="BG4136" t="s">
        <v>83</v>
      </c>
      <c r="BH4136" t="s">
        <v>84</v>
      </c>
      <c r="BI4136" t="s">
        <v>85</v>
      </c>
    </row>
    <row r="4137" spans="1:61" x14ac:dyDescent="0.3">
      <c r="A4137" t="str">
        <f>"200708B0100"</f>
        <v>200708B0100</v>
      </c>
      <c r="B4137" t="s">
        <v>8380</v>
      </c>
      <c r="C4137">
        <v>20</v>
      </c>
      <c r="D4137" t="s">
        <v>79</v>
      </c>
      <c r="E4137">
        <v>19</v>
      </c>
      <c r="F4137" t="s">
        <v>8046</v>
      </c>
      <c r="G4137">
        <v>708</v>
      </c>
      <c r="H4137">
        <v>1</v>
      </c>
      <c r="I4137" t="s">
        <v>81</v>
      </c>
      <c r="J4137">
        <v>0</v>
      </c>
      <c r="K4137">
        <v>2</v>
      </c>
      <c r="L4137">
        <v>2</v>
      </c>
      <c r="M4137">
        <v>242</v>
      </c>
      <c r="N4137">
        <v>0</v>
      </c>
      <c r="O4137">
        <v>0</v>
      </c>
      <c r="P4137">
        <v>487</v>
      </c>
      <c r="Q4137">
        <v>21</v>
      </c>
      <c r="R4137">
        <v>72</v>
      </c>
      <c r="S4137">
        <v>7</v>
      </c>
      <c r="T4137">
        <v>13</v>
      </c>
      <c r="U4137">
        <v>10</v>
      </c>
      <c r="V4137">
        <v>14</v>
      </c>
      <c r="W4137">
        <v>3</v>
      </c>
      <c r="X4137">
        <v>11</v>
      </c>
      <c r="Y4137">
        <v>294</v>
      </c>
      <c r="Z4137">
        <v>4</v>
      </c>
      <c r="AA4137">
        <v>1</v>
      </c>
      <c r="AB4137">
        <v>1</v>
      </c>
      <c r="AC4137">
        <v>0</v>
      </c>
      <c r="AD4137">
        <v>0</v>
      </c>
      <c r="AE4137">
        <v>0</v>
      </c>
      <c r="AF4137">
        <v>0</v>
      </c>
      <c r="AK4137">
        <v>1</v>
      </c>
      <c r="AL4137">
        <v>3</v>
      </c>
      <c r="AM4137">
        <v>0</v>
      </c>
      <c r="AN4137">
        <v>3</v>
      </c>
      <c r="AP4137">
        <v>2</v>
      </c>
      <c r="AS4137">
        <v>4</v>
      </c>
      <c r="AT4137" t="s">
        <v>100</v>
      </c>
      <c r="AU4137">
        <v>23</v>
      </c>
      <c r="AV4137">
        <v>487</v>
      </c>
      <c r="AW4137">
        <v>487</v>
      </c>
      <c r="AX4137">
        <v>704</v>
      </c>
      <c r="AZ4137" t="s">
        <v>101</v>
      </c>
      <c r="BA4137">
        <v>1</v>
      </c>
      <c r="BC4137" t="s">
        <v>8381</v>
      </c>
      <c r="BD4137" s="4">
        <v>43283.069444444445</v>
      </c>
      <c r="BE4137" s="4">
        <v>43283.08216435185</v>
      </c>
      <c r="BF4137" s="4">
        <v>43283.08216435185</v>
      </c>
      <c r="BG4137" t="s">
        <v>83</v>
      </c>
      <c r="BH4137" t="s">
        <v>84</v>
      </c>
      <c r="BI4137" t="s">
        <v>85</v>
      </c>
    </row>
    <row r="4138" spans="1:61" x14ac:dyDescent="0.3">
      <c r="A4138" t="str">
        <f>"200708C0100"</f>
        <v>200708C0100</v>
      </c>
      <c r="B4138" t="s">
        <v>8382</v>
      </c>
      <c r="C4138">
        <v>20</v>
      </c>
      <c r="D4138" t="s">
        <v>79</v>
      </c>
      <c r="E4138">
        <v>19</v>
      </c>
      <c r="F4138" t="s">
        <v>8046</v>
      </c>
      <c r="G4138">
        <v>708</v>
      </c>
      <c r="H4138">
        <v>1</v>
      </c>
      <c r="I4138" t="s">
        <v>89</v>
      </c>
      <c r="J4138">
        <v>0</v>
      </c>
      <c r="K4138">
        <v>2</v>
      </c>
      <c r="L4138">
        <v>2</v>
      </c>
      <c r="AX4138">
        <v>703</v>
      </c>
      <c r="AZ4138" t="s">
        <v>156</v>
      </c>
      <c r="BA4138">
        <v>0</v>
      </c>
      <c r="BC4138" t="s">
        <v>8383</v>
      </c>
      <c r="BD4138" s="4">
        <v>43283.775694444441</v>
      </c>
      <c r="BE4138" s="4">
        <v>43283.781828703701</v>
      </c>
      <c r="BF4138" s="4">
        <v>43283.781828703701</v>
      </c>
      <c r="BG4138" t="s">
        <v>83</v>
      </c>
      <c r="BH4138" t="s">
        <v>84</v>
      </c>
      <c r="BI4138" t="s">
        <v>85</v>
      </c>
    </row>
    <row r="4139" spans="1:61" x14ac:dyDescent="0.3">
      <c r="A4139" t="str">
        <f>"200708C0200"</f>
        <v>200708C0200</v>
      </c>
      <c r="B4139" t="s">
        <v>8384</v>
      </c>
      <c r="C4139">
        <v>20</v>
      </c>
      <c r="D4139" t="s">
        <v>79</v>
      </c>
      <c r="E4139">
        <v>19</v>
      </c>
      <c r="F4139" t="s">
        <v>8046</v>
      </c>
      <c r="G4139">
        <v>708</v>
      </c>
      <c r="H4139">
        <v>2</v>
      </c>
      <c r="I4139" t="s">
        <v>89</v>
      </c>
      <c r="J4139">
        <v>0</v>
      </c>
      <c r="K4139">
        <v>2</v>
      </c>
      <c r="L4139">
        <v>2</v>
      </c>
      <c r="M4139">
        <v>229</v>
      </c>
      <c r="N4139">
        <v>500</v>
      </c>
      <c r="O4139">
        <v>0</v>
      </c>
      <c r="P4139">
        <v>500</v>
      </c>
      <c r="Q4139">
        <v>19</v>
      </c>
      <c r="R4139">
        <v>96</v>
      </c>
      <c r="S4139">
        <v>2</v>
      </c>
      <c r="T4139">
        <v>11</v>
      </c>
      <c r="U4139">
        <v>18</v>
      </c>
      <c r="V4139">
        <v>12</v>
      </c>
      <c r="W4139">
        <v>2</v>
      </c>
      <c r="X4139">
        <v>10</v>
      </c>
      <c r="Y4139">
        <v>269</v>
      </c>
      <c r="Z4139">
        <v>19</v>
      </c>
      <c r="AA4139">
        <v>0</v>
      </c>
      <c r="AB4139">
        <v>2</v>
      </c>
      <c r="AC4139">
        <v>0</v>
      </c>
      <c r="AD4139">
        <v>0</v>
      </c>
      <c r="AE4139">
        <v>0</v>
      </c>
      <c r="AF4139">
        <v>0</v>
      </c>
      <c r="AK4139">
        <v>1</v>
      </c>
      <c r="AL4139">
        <v>0</v>
      </c>
      <c r="AM4139">
        <v>0</v>
      </c>
      <c r="AN4139">
        <v>0</v>
      </c>
      <c r="AP4139">
        <v>6</v>
      </c>
      <c r="AS4139">
        <v>5</v>
      </c>
      <c r="AT4139" t="s">
        <v>100</v>
      </c>
      <c r="AU4139">
        <v>27</v>
      </c>
      <c r="AV4139">
        <v>500</v>
      </c>
      <c r="AW4139">
        <v>499</v>
      </c>
      <c r="AX4139">
        <v>703</v>
      </c>
      <c r="AZ4139" t="s">
        <v>101</v>
      </c>
      <c r="BA4139">
        <v>1</v>
      </c>
      <c r="BC4139" t="s">
        <v>8385</v>
      </c>
      <c r="BD4139" s="4">
        <v>43283.069444444445</v>
      </c>
      <c r="BE4139" s="4">
        <v>43283.080370370371</v>
      </c>
      <c r="BF4139" s="4">
        <v>43283.080370370371</v>
      </c>
      <c r="BG4139" t="s">
        <v>83</v>
      </c>
      <c r="BH4139" t="s">
        <v>84</v>
      </c>
      <c r="BI4139" t="s">
        <v>85</v>
      </c>
    </row>
    <row r="4140" spans="1:61" x14ac:dyDescent="0.3">
      <c r="A4140" t="str">
        <f>"200708E0100"</f>
        <v>200708E0100</v>
      </c>
      <c r="B4140" s="2" t="s">
        <v>8386</v>
      </c>
      <c r="C4140">
        <v>20</v>
      </c>
      <c r="D4140" t="s">
        <v>79</v>
      </c>
      <c r="E4140">
        <v>19</v>
      </c>
      <c r="F4140" t="s">
        <v>8046</v>
      </c>
      <c r="G4140">
        <v>708</v>
      </c>
      <c r="H4140">
        <v>1</v>
      </c>
      <c r="I4140" t="s">
        <v>145</v>
      </c>
      <c r="J4140">
        <v>0</v>
      </c>
      <c r="K4140">
        <v>2</v>
      </c>
      <c r="L4140">
        <v>2</v>
      </c>
      <c r="M4140">
        <v>84</v>
      </c>
      <c r="N4140">
        <v>127</v>
      </c>
      <c r="O4140">
        <v>4</v>
      </c>
      <c r="P4140">
        <v>127</v>
      </c>
      <c r="Q4140">
        <v>3</v>
      </c>
      <c r="R4140">
        <v>17</v>
      </c>
      <c r="S4140">
        <v>3</v>
      </c>
      <c r="T4140">
        <v>2</v>
      </c>
      <c r="U4140">
        <v>4</v>
      </c>
      <c r="V4140">
        <v>24</v>
      </c>
      <c r="W4140">
        <v>2</v>
      </c>
      <c r="X4140">
        <v>2</v>
      </c>
      <c r="Y4140">
        <v>65</v>
      </c>
      <c r="Z4140">
        <v>3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0</v>
      </c>
      <c r="AK4140">
        <v>1</v>
      </c>
      <c r="AL4140">
        <v>0</v>
      </c>
      <c r="AM4140">
        <v>0</v>
      </c>
      <c r="AN4140">
        <v>0</v>
      </c>
      <c r="AP4140">
        <v>0</v>
      </c>
      <c r="AS4140">
        <v>0</v>
      </c>
      <c r="AT4140">
        <v>0</v>
      </c>
      <c r="AU4140">
        <v>1</v>
      </c>
      <c r="AV4140">
        <v>127</v>
      </c>
      <c r="AW4140">
        <v>127</v>
      </c>
      <c r="AX4140">
        <v>185</v>
      </c>
      <c r="BA4140">
        <v>1</v>
      </c>
      <c r="BC4140" t="s">
        <v>8387</v>
      </c>
      <c r="BD4140" s="4">
        <v>43283.069444444445</v>
      </c>
      <c r="BE4140" s="4">
        <v>43283.080138888887</v>
      </c>
      <c r="BF4140" s="4">
        <v>43283.080138888887</v>
      </c>
      <c r="BG4140" t="s">
        <v>83</v>
      </c>
      <c r="BH4140" t="s">
        <v>84</v>
      </c>
      <c r="BI4140" t="s">
        <v>85</v>
      </c>
    </row>
    <row r="4141" spans="1:61" x14ac:dyDescent="0.3">
      <c r="A4141" t="str">
        <f>"200709B0100"</f>
        <v>200709B0100</v>
      </c>
      <c r="B4141" t="s">
        <v>8388</v>
      </c>
      <c r="C4141">
        <v>20</v>
      </c>
      <c r="D4141" t="s">
        <v>79</v>
      </c>
      <c r="E4141">
        <v>19</v>
      </c>
      <c r="F4141" t="s">
        <v>8046</v>
      </c>
      <c r="G4141">
        <v>709</v>
      </c>
      <c r="H4141">
        <v>1</v>
      </c>
      <c r="I4141" t="s">
        <v>81</v>
      </c>
      <c r="J4141">
        <v>0</v>
      </c>
      <c r="K4141">
        <v>1</v>
      </c>
      <c r="L4141">
        <v>2</v>
      </c>
      <c r="M4141">
        <v>190</v>
      </c>
      <c r="N4141">
        <v>303</v>
      </c>
      <c r="O4141">
        <v>6</v>
      </c>
      <c r="P4141">
        <v>303</v>
      </c>
      <c r="Q4141">
        <v>15</v>
      </c>
      <c r="R4141">
        <v>18</v>
      </c>
      <c r="S4141">
        <v>4</v>
      </c>
      <c r="T4141">
        <v>6</v>
      </c>
      <c r="U4141">
        <v>15</v>
      </c>
      <c r="V4141">
        <v>3</v>
      </c>
      <c r="W4141">
        <v>6</v>
      </c>
      <c r="X4141">
        <v>7</v>
      </c>
      <c r="Y4141">
        <v>191</v>
      </c>
      <c r="Z4141">
        <v>3</v>
      </c>
      <c r="AA4141">
        <v>2</v>
      </c>
      <c r="AB4141">
        <v>5</v>
      </c>
      <c r="AC4141">
        <v>1</v>
      </c>
      <c r="AD4141">
        <v>0</v>
      </c>
      <c r="AE4141">
        <v>0</v>
      </c>
      <c r="AF4141">
        <v>0</v>
      </c>
      <c r="AK4141">
        <v>2</v>
      </c>
      <c r="AL4141">
        <v>1</v>
      </c>
      <c r="AM4141">
        <v>0</v>
      </c>
      <c r="AN4141">
        <v>1</v>
      </c>
      <c r="AP4141">
        <v>0</v>
      </c>
      <c r="AS4141">
        <v>4</v>
      </c>
      <c r="AT4141">
        <v>0</v>
      </c>
      <c r="AU4141">
        <v>21</v>
      </c>
      <c r="AV4141">
        <v>303</v>
      </c>
      <c r="AW4141">
        <v>305</v>
      </c>
      <c r="AX4141">
        <v>467</v>
      </c>
      <c r="BA4141">
        <v>1</v>
      </c>
      <c r="BC4141" t="s">
        <v>8389</v>
      </c>
      <c r="BD4141" s="4">
        <v>43283.020138888889</v>
      </c>
      <c r="BE4141" s="4">
        <v>43283.031319444446</v>
      </c>
      <c r="BF4141" s="4">
        <v>43283.031319444446</v>
      </c>
      <c r="BG4141" t="s">
        <v>83</v>
      </c>
      <c r="BH4141" t="s">
        <v>84</v>
      </c>
      <c r="BI4141" t="s">
        <v>85</v>
      </c>
    </row>
    <row r="4142" spans="1:61" x14ac:dyDescent="0.3">
      <c r="A4142" t="str">
        <f>"200709C0100"</f>
        <v>200709C0100</v>
      </c>
      <c r="B4142" t="s">
        <v>8390</v>
      </c>
      <c r="C4142">
        <v>20</v>
      </c>
      <c r="D4142" t="s">
        <v>79</v>
      </c>
      <c r="E4142">
        <v>19</v>
      </c>
      <c r="F4142" t="s">
        <v>8046</v>
      </c>
      <c r="G4142">
        <v>709</v>
      </c>
      <c r="H4142">
        <v>1</v>
      </c>
      <c r="I4142" t="s">
        <v>89</v>
      </c>
      <c r="J4142">
        <v>0</v>
      </c>
      <c r="K4142">
        <v>1</v>
      </c>
      <c r="L4142">
        <v>2</v>
      </c>
      <c r="M4142">
        <v>183</v>
      </c>
      <c r="N4142">
        <v>309</v>
      </c>
      <c r="O4142">
        <v>2</v>
      </c>
      <c r="P4142">
        <v>310</v>
      </c>
      <c r="Q4142">
        <v>13</v>
      </c>
      <c r="R4142">
        <v>34</v>
      </c>
      <c r="S4142">
        <v>4</v>
      </c>
      <c r="T4142">
        <v>2</v>
      </c>
      <c r="U4142">
        <v>7</v>
      </c>
      <c r="V4142">
        <v>7</v>
      </c>
      <c r="W4142">
        <v>4</v>
      </c>
      <c r="X4142">
        <v>16</v>
      </c>
      <c r="Y4142">
        <v>200</v>
      </c>
      <c r="Z4142">
        <v>3</v>
      </c>
      <c r="AA4142">
        <v>1</v>
      </c>
      <c r="AB4142">
        <v>4</v>
      </c>
      <c r="AC4142">
        <v>0</v>
      </c>
      <c r="AD4142">
        <v>0</v>
      </c>
      <c r="AE4142">
        <v>0</v>
      </c>
      <c r="AF4142">
        <v>0</v>
      </c>
      <c r="AK4142">
        <v>0</v>
      </c>
      <c r="AL4142">
        <v>5</v>
      </c>
      <c r="AM4142">
        <v>0</v>
      </c>
      <c r="AN4142">
        <v>0</v>
      </c>
      <c r="AP4142">
        <v>0</v>
      </c>
      <c r="AS4142">
        <v>0</v>
      </c>
      <c r="AT4142">
        <v>1</v>
      </c>
      <c r="AU4142">
        <v>9</v>
      </c>
      <c r="AV4142">
        <v>310</v>
      </c>
      <c r="AW4142">
        <v>310</v>
      </c>
      <c r="AX4142">
        <v>467</v>
      </c>
      <c r="BA4142">
        <v>1</v>
      </c>
      <c r="BC4142" t="s">
        <v>8391</v>
      </c>
      <c r="BD4142" s="4">
        <v>43283.146527777775</v>
      </c>
      <c r="BE4142" s="4">
        <v>43283.185173611113</v>
      </c>
      <c r="BF4142" s="4">
        <v>43283.185173611113</v>
      </c>
      <c r="BG4142" t="s">
        <v>83</v>
      </c>
      <c r="BH4142" t="s">
        <v>84</v>
      </c>
      <c r="BI4142" t="s">
        <v>85</v>
      </c>
    </row>
    <row r="4143" spans="1:61" x14ac:dyDescent="0.3">
      <c r="A4143" t="str">
        <f>"200814B0100"</f>
        <v>200814B0100</v>
      </c>
      <c r="B4143" t="s">
        <v>8392</v>
      </c>
      <c r="C4143">
        <v>20</v>
      </c>
      <c r="D4143" t="s">
        <v>79</v>
      </c>
      <c r="E4143">
        <v>19</v>
      </c>
      <c r="F4143" t="s">
        <v>8046</v>
      </c>
      <c r="G4143">
        <v>814</v>
      </c>
      <c r="H4143">
        <v>1</v>
      </c>
      <c r="I4143" t="s">
        <v>81</v>
      </c>
      <c r="J4143">
        <v>0</v>
      </c>
      <c r="K4143">
        <v>1</v>
      </c>
      <c r="L4143">
        <v>2</v>
      </c>
      <c r="M4143">
        <v>125</v>
      </c>
      <c r="N4143">
        <v>442</v>
      </c>
      <c r="O4143">
        <v>0</v>
      </c>
      <c r="P4143">
        <v>442</v>
      </c>
      <c r="Q4143">
        <v>2</v>
      </c>
      <c r="R4143">
        <v>139</v>
      </c>
      <c r="S4143">
        <v>22</v>
      </c>
      <c r="T4143">
        <v>2</v>
      </c>
      <c r="U4143">
        <v>7</v>
      </c>
      <c r="V4143">
        <v>5</v>
      </c>
      <c r="W4143">
        <v>9</v>
      </c>
      <c r="X4143">
        <v>3</v>
      </c>
      <c r="Y4143">
        <v>236</v>
      </c>
      <c r="Z4143">
        <v>1</v>
      </c>
      <c r="AA4143">
        <v>1</v>
      </c>
      <c r="AB4143">
        <v>1</v>
      </c>
      <c r="AC4143">
        <v>0</v>
      </c>
      <c r="AD4143">
        <v>1</v>
      </c>
      <c r="AE4143">
        <v>0</v>
      </c>
      <c r="AF4143">
        <v>0</v>
      </c>
      <c r="AK4143">
        <v>0</v>
      </c>
      <c r="AL4143">
        <v>0</v>
      </c>
      <c r="AM4143">
        <v>2</v>
      </c>
      <c r="AN4143">
        <v>0</v>
      </c>
      <c r="AP4143">
        <v>1</v>
      </c>
      <c r="AS4143">
        <v>0</v>
      </c>
      <c r="AT4143">
        <v>0</v>
      </c>
      <c r="AU4143">
        <v>9</v>
      </c>
      <c r="AV4143">
        <v>442</v>
      </c>
      <c r="AW4143">
        <v>441</v>
      </c>
      <c r="AX4143">
        <v>544</v>
      </c>
      <c r="BA4143">
        <v>1</v>
      </c>
      <c r="BC4143" t="s">
        <v>8393</v>
      </c>
      <c r="BD4143" s="4">
        <v>43283.181250000001</v>
      </c>
      <c r="BE4143" s="4">
        <v>43283.202210648145</v>
      </c>
      <c r="BF4143" s="4">
        <v>43283.202210648145</v>
      </c>
      <c r="BG4143" t="s">
        <v>83</v>
      </c>
      <c r="BH4143" t="s">
        <v>84</v>
      </c>
      <c r="BI4143" t="s">
        <v>85</v>
      </c>
    </row>
    <row r="4144" spans="1:61" x14ac:dyDescent="0.3">
      <c r="A4144" t="str">
        <f>"200814C0100"</f>
        <v>200814C0100</v>
      </c>
      <c r="B4144" t="s">
        <v>8394</v>
      </c>
      <c r="C4144">
        <v>20</v>
      </c>
      <c r="D4144" t="s">
        <v>79</v>
      </c>
      <c r="E4144">
        <v>19</v>
      </c>
      <c r="F4144" t="s">
        <v>8046</v>
      </c>
      <c r="G4144">
        <v>814</v>
      </c>
      <c r="H4144">
        <v>1</v>
      </c>
      <c r="I4144" t="s">
        <v>89</v>
      </c>
      <c r="J4144">
        <v>0</v>
      </c>
      <c r="K4144">
        <v>1</v>
      </c>
      <c r="L4144">
        <v>2</v>
      </c>
      <c r="M4144">
        <v>132</v>
      </c>
      <c r="N4144">
        <v>439</v>
      </c>
      <c r="O4144">
        <v>4</v>
      </c>
      <c r="P4144">
        <v>435</v>
      </c>
      <c r="Q4144">
        <v>4</v>
      </c>
      <c r="R4144">
        <v>109</v>
      </c>
      <c r="S4144">
        <v>19</v>
      </c>
      <c r="T4144">
        <v>4</v>
      </c>
      <c r="U4144">
        <v>9</v>
      </c>
      <c r="V4144">
        <v>4</v>
      </c>
      <c r="W4144">
        <v>16</v>
      </c>
      <c r="X4144">
        <v>1</v>
      </c>
      <c r="Y4144">
        <v>250</v>
      </c>
      <c r="Z4144">
        <v>2</v>
      </c>
      <c r="AA4144">
        <v>1</v>
      </c>
      <c r="AB4144">
        <v>1</v>
      </c>
      <c r="AC4144">
        <v>0</v>
      </c>
      <c r="AD4144">
        <v>0</v>
      </c>
      <c r="AE4144">
        <v>0</v>
      </c>
      <c r="AF4144">
        <v>0</v>
      </c>
      <c r="AK4144">
        <v>5</v>
      </c>
      <c r="AL4144">
        <v>0</v>
      </c>
      <c r="AM4144">
        <v>0</v>
      </c>
      <c r="AN4144">
        <v>0</v>
      </c>
      <c r="AP4144">
        <v>0</v>
      </c>
      <c r="AS4144">
        <v>0</v>
      </c>
      <c r="AT4144">
        <v>0</v>
      </c>
      <c r="AU4144">
        <v>10</v>
      </c>
      <c r="AV4144" t="s">
        <v>100</v>
      </c>
      <c r="AW4144">
        <v>435</v>
      </c>
      <c r="AX4144">
        <v>544</v>
      </c>
      <c r="BA4144">
        <v>1</v>
      </c>
      <c r="BC4144" t="s">
        <v>8395</v>
      </c>
      <c r="BD4144" s="4">
        <v>43283.181250000001</v>
      </c>
      <c r="BE4144" s="4">
        <v>43283.211087962962</v>
      </c>
      <c r="BF4144" s="4">
        <v>43283.211087962962</v>
      </c>
      <c r="BG4144" t="s">
        <v>83</v>
      </c>
      <c r="BH4144" t="s">
        <v>84</v>
      </c>
      <c r="BI4144" t="s">
        <v>85</v>
      </c>
    </row>
    <row r="4145" spans="1:61" x14ac:dyDescent="0.3">
      <c r="A4145" t="str">
        <f>"200814C0200"</f>
        <v>200814C0200</v>
      </c>
      <c r="B4145" t="s">
        <v>8396</v>
      </c>
      <c r="C4145">
        <v>20</v>
      </c>
      <c r="D4145" t="s">
        <v>79</v>
      </c>
      <c r="E4145">
        <v>19</v>
      </c>
      <c r="F4145" t="s">
        <v>8046</v>
      </c>
      <c r="G4145">
        <v>814</v>
      </c>
      <c r="H4145">
        <v>2</v>
      </c>
      <c r="I4145" t="s">
        <v>89</v>
      </c>
      <c r="J4145">
        <v>0</v>
      </c>
      <c r="K4145">
        <v>1</v>
      </c>
      <c r="L4145">
        <v>2</v>
      </c>
      <c r="M4145">
        <v>114</v>
      </c>
      <c r="N4145">
        <v>453</v>
      </c>
      <c r="O4145">
        <v>3</v>
      </c>
      <c r="P4145" t="s">
        <v>100</v>
      </c>
      <c r="Q4145">
        <v>8</v>
      </c>
      <c r="R4145">
        <v>107</v>
      </c>
      <c r="S4145">
        <v>14</v>
      </c>
      <c r="T4145">
        <v>5</v>
      </c>
      <c r="U4145">
        <v>5</v>
      </c>
      <c r="V4145">
        <v>2</v>
      </c>
      <c r="W4145">
        <v>6</v>
      </c>
      <c r="X4145">
        <v>2</v>
      </c>
      <c r="Y4145">
        <v>276</v>
      </c>
      <c r="Z4145">
        <v>1</v>
      </c>
      <c r="AA4145">
        <v>1</v>
      </c>
      <c r="AB4145">
        <v>2</v>
      </c>
      <c r="AC4145">
        <v>0</v>
      </c>
      <c r="AD4145">
        <v>0</v>
      </c>
      <c r="AE4145">
        <v>0</v>
      </c>
      <c r="AF4145">
        <v>0</v>
      </c>
      <c r="AK4145">
        <v>6</v>
      </c>
      <c r="AL4145">
        <v>0</v>
      </c>
      <c r="AM4145">
        <v>0</v>
      </c>
      <c r="AN4145">
        <v>0</v>
      </c>
      <c r="AP4145">
        <v>1</v>
      </c>
      <c r="AS4145">
        <v>3</v>
      </c>
      <c r="AT4145">
        <v>0</v>
      </c>
      <c r="AU4145">
        <v>13</v>
      </c>
      <c r="AV4145" t="s">
        <v>100</v>
      </c>
      <c r="AW4145">
        <v>452</v>
      </c>
      <c r="AX4145">
        <v>544</v>
      </c>
      <c r="BA4145">
        <v>1</v>
      </c>
      <c r="BC4145" t="s">
        <v>8397</v>
      </c>
      <c r="BD4145" s="4">
        <v>43283.181250000001</v>
      </c>
      <c r="BE4145" s="4">
        <v>43283.20416666667</v>
      </c>
      <c r="BF4145" s="4">
        <v>43283.20416666667</v>
      </c>
      <c r="BG4145" t="s">
        <v>83</v>
      </c>
      <c r="BH4145" t="s">
        <v>84</v>
      </c>
      <c r="BI4145" t="s">
        <v>85</v>
      </c>
    </row>
    <row r="4146" spans="1:61" x14ac:dyDescent="0.3">
      <c r="A4146" t="str">
        <f>"200815B0100"</f>
        <v>200815B0100</v>
      </c>
      <c r="B4146" t="s">
        <v>8398</v>
      </c>
      <c r="C4146">
        <v>20</v>
      </c>
      <c r="D4146" t="s">
        <v>79</v>
      </c>
      <c r="E4146">
        <v>19</v>
      </c>
      <c r="F4146" t="s">
        <v>8046</v>
      </c>
      <c r="G4146">
        <v>815</v>
      </c>
      <c r="H4146">
        <v>1</v>
      </c>
      <c r="I4146" t="s">
        <v>81</v>
      </c>
      <c r="J4146">
        <v>0</v>
      </c>
      <c r="K4146">
        <v>1</v>
      </c>
      <c r="L4146">
        <v>2</v>
      </c>
      <c r="M4146">
        <v>183</v>
      </c>
      <c r="N4146">
        <v>476</v>
      </c>
      <c r="O4146">
        <v>7</v>
      </c>
      <c r="P4146">
        <v>476</v>
      </c>
      <c r="Q4146">
        <v>4</v>
      </c>
      <c r="R4146">
        <v>98</v>
      </c>
      <c r="S4146">
        <v>30</v>
      </c>
      <c r="T4146">
        <v>3</v>
      </c>
      <c r="U4146">
        <v>18</v>
      </c>
      <c r="V4146">
        <v>4</v>
      </c>
      <c r="W4146">
        <v>12</v>
      </c>
      <c r="X4146">
        <v>4</v>
      </c>
      <c r="Y4146">
        <v>281</v>
      </c>
      <c r="Z4146">
        <v>5</v>
      </c>
      <c r="AA4146">
        <v>1</v>
      </c>
      <c r="AB4146">
        <v>0</v>
      </c>
      <c r="AC4146">
        <v>0</v>
      </c>
      <c r="AD4146">
        <v>0</v>
      </c>
      <c r="AE4146">
        <v>0</v>
      </c>
      <c r="AF4146">
        <v>0</v>
      </c>
      <c r="AK4146">
        <v>2</v>
      </c>
      <c r="AL4146">
        <v>0</v>
      </c>
      <c r="AM4146">
        <v>0</v>
      </c>
      <c r="AN4146">
        <v>0</v>
      </c>
      <c r="AP4146">
        <v>2</v>
      </c>
      <c r="AS4146">
        <v>1</v>
      </c>
      <c r="AT4146">
        <v>0</v>
      </c>
      <c r="AU4146">
        <v>11</v>
      </c>
      <c r="AV4146">
        <v>476</v>
      </c>
      <c r="AW4146">
        <v>476</v>
      </c>
      <c r="AX4146">
        <v>637</v>
      </c>
      <c r="BA4146">
        <v>1</v>
      </c>
      <c r="BC4146" t="s">
        <v>8399</v>
      </c>
      <c r="BD4146" s="4">
        <v>43283.195138888892</v>
      </c>
      <c r="BE4146" s="4">
        <v>43283.220393518517</v>
      </c>
      <c r="BF4146" s="4">
        <v>43283.220393518517</v>
      </c>
      <c r="BG4146" t="s">
        <v>83</v>
      </c>
      <c r="BH4146" t="s">
        <v>84</v>
      </c>
      <c r="BI4146" t="s">
        <v>85</v>
      </c>
    </row>
    <row r="4147" spans="1:61" x14ac:dyDescent="0.3">
      <c r="A4147" t="str">
        <f>"200815C0100"</f>
        <v>200815C0100</v>
      </c>
      <c r="B4147" t="s">
        <v>8400</v>
      </c>
      <c r="C4147">
        <v>20</v>
      </c>
      <c r="D4147" t="s">
        <v>79</v>
      </c>
      <c r="E4147">
        <v>19</v>
      </c>
      <c r="F4147" t="s">
        <v>8046</v>
      </c>
      <c r="G4147">
        <v>815</v>
      </c>
      <c r="H4147">
        <v>1</v>
      </c>
      <c r="I4147" t="s">
        <v>89</v>
      </c>
      <c r="J4147">
        <v>0</v>
      </c>
      <c r="K4147">
        <v>1</v>
      </c>
      <c r="L4147">
        <v>2</v>
      </c>
      <c r="M4147">
        <v>151</v>
      </c>
      <c r="N4147">
        <v>508</v>
      </c>
      <c r="O4147">
        <v>0</v>
      </c>
      <c r="P4147">
        <v>508</v>
      </c>
      <c r="Q4147">
        <v>5</v>
      </c>
      <c r="R4147">
        <v>125</v>
      </c>
      <c r="S4147">
        <v>35</v>
      </c>
      <c r="T4147">
        <v>2</v>
      </c>
      <c r="U4147">
        <v>17</v>
      </c>
      <c r="V4147">
        <v>2</v>
      </c>
      <c r="W4147">
        <v>11</v>
      </c>
      <c r="X4147">
        <v>7</v>
      </c>
      <c r="Y4147">
        <v>273</v>
      </c>
      <c r="Z4147">
        <v>3</v>
      </c>
      <c r="AA4147">
        <v>0</v>
      </c>
      <c r="AB4147">
        <v>0</v>
      </c>
      <c r="AC4147">
        <v>0</v>
      </c>
      <c r="AD4147">
        <v>0</v>
      </c>
      <c r="AE4147">
        <v>0</v>
      </c>
      <c r="AF4147">
        <v>0</v>
      </c>
      <c r="AK4147">
        <v>0</v>
      </c>
      <c r="AL4147">
        <v>0</v>
      </c>
      <c r="AM4147">
        <v>0</v>
      </c>
      <c r="AN4147">
        <v>0</v>
      </c>
      <c r="AP4147">
        <v>3</v>
      </c>
      <c r="AS4147">
        <v>0</v>
      </c>
      <c r="AT4147">
        <v>0</v>
      </c>
      <c r="AU4147">
        <v>26</v>
      </c>
      <c r="AV4147">
        <v>512</v>
      </c>
      <c r="AW4147">
        <v>509</v>
      </c>
      <c r="AX4147">
        <v>636</v>
      </c>
      <c r="BA4147">
        <v>1</v>
      </c>
      <c r="BC4147" t="s">
        <v>8401</v>
      </c>
      <c r="BD4147" s="4">
        <v>43283.200694444444</v>
      </c>
      <c r="BE4147" s="4">
        <v>43283.225023148145</v>
      </c>
      <c r="BF4147" s="4">
        <v>43283.225023148145</v>
      </c>
      <c r="BG4147" t="s">
        <v>83</v>
      </c>
      <c r="BH4147" t="s">
        <v>84</v>
      </c>
      <c r="BI4147" t="s">
        <v>85</v>
      </c>
    </row>
    <row r="4148" spans="1:61" x14ac:dyDescent="0.3">
      <c r="A4148" t="str">
        <f>"200815C0200"</f>
        <v>200815C0200</v>
      </c>
      <c r="B4148" t="s">
        <v>8402</v>
      </c>
      <c r="C4148">
        <v>20</v>
      </c>
      <c r="D4148" t="s">
        <v>79</v>
      </c>
      <c r="E4148">
        <v>19</v>
      </c>
      <c r="F4148" t="s">
        <v>8046</v>
      </c>
      <c r="G4148">
        <v>815</v>
      </c>
      <c r="H4148">
        <v>2</v>
      </c>
      <c r="I4148" t="s">
        <v>89</v>
      </c>
      <c r="J4148">
        <v>0</v>
      </c>
      <c r="K4148">
        <v>1</v>
      </c>
      <c r="L4148">
        <v>2</v>
      </c>
      <c r="M4148">
        <v>159</v>
      </c>
      <c r="N4148">
        <v>500</v>
      </c>
      <c r="O4148">
        <v>0</v>
      </c>
      <c r="P4148">
        <v>498</v>
      </c>
      <c r="Q4148">
        <v>5</v>
      </c>
      <c r="R4148">
        <v>93</v>
      </c>
      <c r="S4148">
        <v>36</v>
      </c>
      <c r="T4148">
        <v>1</v>
      </c>
      <c r="U4148">
        <v>16</v>
      </c>
      <c r="V4148">
        <v>2</v>
      </c>
      <c r="W4148">
        <v>17</v>
      </c>
      <c r="X4148">
        <v>3</v>
      </c>
      <c r="Y4148">
        <v>317</v>
      </c>
      <c r="Z4148">
        <v>3</v>
      </c>
      <c r="AA4148">
        <v>0</v>
      </c>
      <c r="AB4148">
        <v>0</v>
      </c>
      <c r="AC4148">
        <v>0</v>
      </c>
      <c r="AD4148">
        <v>0</v>
      </c>
      <c r="AE4148">
        <v>0</v>
      </c>
      <c r="AF4148">
        <v>0</v>
      </c>
      <c r="AK4148">
        <v>3</v>
      </c>
      <c r="AL4148">
        <v>0</v>
      </c>
      <c r="AM4148">
        <v>0</v>
      </c>
      <c r="AN4148">
        <v>2</v>
      </c>
      <c r="AP4148">
        <v>0</v>
      </c>
      <c r="AS4148">
        <v>1</v>
      </c>
      <c r="AT4148">
        <v>0</v>
      </c>
      <c r="AU4148">
        <v>17</v>
      </c>
      <c r="AV4148">
        <v>517</v>
      </c>
      <c r="AW4148">
        <v>516</v>
      </c>
      <c r="AX4148">
        <v>636</v>
      </c>
      <c r="BA4148">
        <v>1</v>
      </c>
      <c r="BC4148" t="s">
        <v>8403</v>
      </c>
      <c r="BD4148" s="4">
        <v>43283.200694444444</v>
      </c>
      <c r="BE4148" s="4">
        <v>43283.219571759262</v>
      </c>
      <c r="BF4148" s="4">
        <v>43283.219571759262</v>
      </c>
      <c r="BG4148" t="s">
        <v>83</v>
      </c>
      <c r="BH4148" t="s">
        <v>84</v>
      </c>
      <c r="BI4148" t="s">
        <v>85</v>
      </c>
    </row>
    <row r="4149" spans="1:61" x14ac:dyDescent="0.3">
      <c r="A4149" t="str">
        <f>"200815C0300"</f>
        <v>200815C0300</v>
      </c>
      <c r="B4149" t="s">
        <v>8404</v>
      </c>
      <c r="C4149">
        <v>20</v>
      </c>
      <c r="D4149" t="s">
        <v>79</v>
      </c>
      <c r="E4149">
        <v>19</v>
      </c>
      <c r="F4149" t="s">
        <v>8046</v>
      </c>
      <c r="G4149">
        <v>815</v>
      </c>
      <c r="H4149">
        <v>3</v>
      </c>
      <c r="I4149" t="s">
        <v>89</v>
      </c>
      <c r="J4149">
        <v>0</v>
      </c>
      <c r="K4149">
        <v>1</v>
      </c>
      <c r="L4149">
        <v>2</v>
      </c>
      <c r="M4149">
        <v>158</v>
      </c>
      <c r="N4149">
        <v>501</v>
      </c>
      <c r="O4149">
        <v>1</v>
      </c>
      <c r="P4149">
        <v>497</v>
      </c>
      <c r="Q4149">
        <v>2</v>
      </c>
      <c r="R4149">
        <v>112</v>
      </c>
      <c r="S4149">
        <v>34</v>
      </c>
      <c r="T4149">
        <v>3</v>
      </c>
      <c r="U4149">
        <v>12</v>
      </c>
      <c r="V4149">
        <v>6</v>
      </c>
      <c r="W4149">
        <v>6</v>
      </c>
      <c r="X4149">
        <v>5</v>
      </c>
      <c r="Y4149">
        <v>291</v>
      </c>
      <c r="Z4149">
        <v>2</v>
      </c>
      <c r="AA4149">
        <v>0</v>
      </c>
      <c r="AB4149">
        <v>1</v>
      </c>
      <c r="AC4149">
        <v>1</v>
      </c>
      <c r="AD4149">
        <v>0</v>
      </c>
      <c r="AE4149">
        <v>0</v>
      </c>
      <c r="AF4149">
        <v>1</v>
      </c>
      <c r="AK4149">
        <v>0</v>
      </c>
      <c r="AL4149">
        <v>0</v>
      </c>
      <c r="AM4149">
        <v>0</v>
      </c>
      <c r="AN4149">
        <v>1</v>
      </c>
      <c r="AP4149">
        <v>2</v>
      </c>
      <c r="AS4149" t="s">
        <v>100</v>
      </c>
      <c r="AT4149" t="s">
        <v>100</v>
      </c>
      <c r="AU4149">
        <v>14</v>
      </c>
      <c r="AV4149">
        <v>493</v>
      </c>
      <c r="AW4149">
        <v>493</v>
      </c>
      <c r="AX4149">
        <v>636</v>
      </c>
      <c r="AZ4149" t="s">
        <v>101</v>
      </c>
      <c r="BA4149">
        <v>1</v>
      </c>
      <c r="BC4149" t="s">
        <v>8405</v>
      </c>
      <c r="BD4149" s="4">
        <v>43283.200694444444</v>
      </c>
      <c r="BE4149" s="4">
        <v>43283.223564814813</v>
      </c>
      <c r="BF4149" s="4">
        <v>43283.223564814813</v>
      </c>
      <c r="BG4149" t="s">
        <v>83</v>
      </c>
      <c r="BH4149" t="s">
        <v>84</v>
      </c>
      <c r="BI4149" t="s">
        <v>85</v>
      </c>
    </row>
    <row r="4150" spans="1:61" x14ac:dyDescent="0.3">
      <c r="A4150" t="str">
        <f>"200815C0400"</f>
        <v>200815C0400</v>
      </c>
      <c r="B4150" t="s">
        <v>8406</v>
      </c>
      <c r="C4150">
        <v>20</v>
      </c>
      <c r="D4150" t="s">
        <v>79</v>
      </c>
      <c r="E4150">
        <v>19</v>
      </c>
      <c r="F4150" t="s">
        <v>8046</v>
      </c>
      <c r="G4150">
        <v>815</v>
      </c>
      <c r="H4150">
        <v>4</v>
      </c>
      <c r="I4150" t="s">
        <v>89</v>
      </c>
      <c r="J4150">
        <v>0</v>
      </c>
      <c r="K4150">
        <v>1</v>
      </c>
      <c r="L4150">
        <v>2</v>
      </c>
      <c r="M4150">
        <v>171</v>
      </c>
      <c r="N4150">
        <v>488</v>
      </c>
      <c r="O4150">
        <v>0</v>
      </c>
      <c r="P4150">
        <v>488</v>
      </c>
      <c r="Q4150">
        <v>3</v>
      </c>
      <c r="R4150">
        <v>102</v>
      </c>
      <c r="S4150">
        <v>41</v>
      </c>
      <c r="T4150">
        <v>4</v>
      </c>
      <c r="U4150">
        <v>11</v>
      </c>
      <c r="V4150">
        <v>4</v>
      </c>
      <c r="W4150">
        <v>4</v>
      </c>
      <c r="X4150">
        <v>6</v>
      </c>
      <c r="Y4150">
        <v>297</v>
      </c>
      <c r="Z4150">
        <v>1</v>
      </c>
      <c r="AA4150" t="s">
        <v>100</v>
      </c>
      <c r="AB4150">
        <v>1</v>
      </c>
      <c r="AC4150" t="s">
        <v>100</v>
      </c>
      <c r="AD4150" t="s">
        <v>100</v>
      </c>
      <c r="AE4150" t="s">
        <v>100</v>
      </c>
      <c r="AF4150" t="s">
        <v>100</v>
      </c>
      <c r="AK4150">
        <v>1</v>
      </c>
      <c r="AL4150">
        <v>1</v>
      </c>
      <c r="AM4150" t="s">
        <v>100</v>
      </c>
      <c r="AN4150" t="s">
        <v>100</v>
      </c>
      <c r="AP4150" t="s">
        <v>100</v>
      </c>
      <c r="AS4150" t="s">
        <v>100</v>
      </c>
      <c r="AT4150">
        <v>1</v>
      </c>
      <c r="AU4150">
        <v>11</v>
      </c>
      <c r="AV4150">
        <v>488</v>
      </c>
      <c r="AW4150">
        <v>488</v>
      </c>
      <c r="AX4150">
        <v>636</v>
      </c>
      <c r="AZ4150" t="s">
        <v>101</v>
      </c>
      <c r="BA4150">
        <v>1</v>
      </c>
      <c r="BC4150" t="s">
        <v>8407</v>
      </c>
      <c r="BD4150" s="4">
        <v>43283.181250000001</v>
      </c>
      <c r="BE4150" s="4">
        <v>43283.20244212963</v>
      </c>
      <c r="BF4150" s="4">
        <v>43283.20244212963</v>
      </c>
      <c r="BG4150" t="s">
        <v>83</v>
      </c>
      <c r="BH4150" t="s">
        <v>84</v>
      </c>
      <c r="BI4150" t="s">
        <v>85</v>
      </c>
    </row>
    <row r="4151" spans="1:61" x14ac:dyDescent="0.3">
      <c r="A4151" t="str">
        <f>"200816B0100"</f>
        <v>200816B0100</v>
      </c>
      <c r="B4151" t="s">
        <v>8408</v>
      </c>
      <c r="C4151">
        <v>20</v>
      </c>
      <c r="D4151" t="s">
        <v>79</v>
      </c>
      <c r="E4151">
        <v>19</v>
      </c>
      <c r="F4151" t="s">
        <v>8046</v>
      </c>
      <c r="G4151">
        <v>816</v>
      </c>
      <c r="H4151">
        <v>1</v>
      </c>
      <c r="I4151" t="s">
        <v>81</v>
      </c>
      <c r="J4151">
        <v>0</v>
      </c>
      <c r="K4151">
        <v>1</v>
      </c>
      <c r="L4151">
        <v>2</v>
      </c>
      <c r="M4151">
        <v>138</v>
      </c>
      <c r="N4151">
        <v>534</v>
      </c>
      <c r="O4151">
        <v>4</v>
      </c>
      <c r="P4151">
        <v>535</v>
      </c>
      <c r="Q4151">
        <v>6</v>
      </c>
      <c r="R4151">
        <v>110</v>
      </c>
      <c r="S4151">
        <v>44</v>
      </c>
      <c r="T4151">
        <v>3</v>
      </c>
      <c r="U4151">
        <v>12</v>
      </c>
      <c r="V4151">
        <v>4</v>
      </c>
      <c r="W4151">
        <v>7</v>
      </c>
      <c r="X4151">
        <v>9</v>
      </c>
      <c r="Y4151">
        <v>303</v>
      </c>
      <c r="Z4151">
        <v>6</v>
      </c>
      <c r="AA4151">
        <v>1</v>
      </c>
      <c r="AB4151">
        <v>2</v>
      </c>
      <c r="AC4151">
        <v>0</v>
      </c>
      <c r="AD4151">
        <v>0</v>
      </c>
      <c r="AE4151">
        <v>0</v>
      </c>
      <c r="AF4151">
        <v>0</v>
      </c>
      <c r="AK4151">
        <v>3</v>
      </c>
      <c r="AL4151">
        <v>2</v>
      </c>
      <c r="AM4151">
        <v>0</v>
      </c>
      <c r="AN4151">
        <v>0</v>
      </c>
      <c r="AP4151">
        <v>2</v>
      </c>
      <c r="AS4151">
        <v>0</v>
      </c>
      <c r="AT4151">
        <v>0</v>
      </c>
      <c r="AU4151">
        <v>21</v>
      </c>
      <c r="AV4151">
        <v>535</v>
      </c>
      <c r="AW4151">
        <v>535</v>
      </c>
      <c r="AX4151">
        <v>650</v>
      </c>
      <c r="BA4151">
        <v>1</v>
      </c>
      <c r="BC4151" t="s">
        <v>8409</v>
      </c>
      <c r="BD4151" s="4">
        <v>43283.214583333334</v>
      </c>
      <c r="BE4151" s="4">
        <v>43283.237638888888</v>
      </c>
      <c r="BF4151" s="4">
        <v>43283.237638888888</v>
      </c>
      <c r="BG4151" t="s">
        <v>83</v>
      </c>
      <c r="BH4151" t="s">
        <v>84</v>
      </c>
      <c r="BI4151" t="s">
        <v>85</v>
      </c>
    </row>
    <row r="4152" spans="1:61" x14ac:dyDescent="0.3">
      <c r="A4152" t="str">
        <f>"200816C0100"</f>
        <v>200816C0100</v>
      </c>
      <c r="B4152" t="s">
        <v>8410</v>
      </c>
      <c r="C4152">
        <v>20</v>
      </c>
      <c r="D4152" t="s">
        <v>79</v>
      </c>
      <c r="E4152">
        <v>19</v>
      </c>
      <c r="F4152" t="s">
        <v>8046</v>
      </c>
      <c r="G4152">
        <v>816</v>
      </c>
      <c r="H4152">
        <v>1</v>
      </c>
      <c r="I4152" t="s">
        <v>89</v>
      </c>
      <c r="J4152">
        <v>0</v>
      </c>
      <c r="K4152">
        <v>1</v>
      </c>
      <c r="L4152">
        <v>2</v>
      </c>
      <c r="M4152">
        <v>133</v>
      </c>
      <c r="N4152">
        <v>540</v>
      </c>
      <c r="O4152">
        <v>5</v>
      </c>
      <c r="P4152">
        <v>540</v>
      </c>
      <c r="Q4152">
        <v>4</v>
      </c>
      <c r="R4152">
        <v>123</v>
      </c>
      <c r="S4152">
        <v>51</v>
      </c>
      <c r="T4152">
        <v>7</v>
      </c>
      <c r="U4152">
        <v>14</v>
      </c>
      <c r="V4152">
        <v>3</v>
      </c>
      <c r="W4152">
        <v>7</v>
      </c>
      <c r="X4152">
        <v>4</v>
      </c>
      <c r="Y4152">
        <v>294</v>
      </c>
      <c r="Z4152">
        <v>4</v>
      </c>
      <c r="AA4152">
        <v>0</v>
      </c>
      <c r="AB4152">
        <v>7</v>
      </c>
      <c r="AC4152">
        <v>0</v>
      </c>
      <c r="AD4152">
        <v>0</v>
      </c>
      <c r="AE4152">
        <v>0</v>
      </c>
      <c r="AF4152">
        <v>0</v>
      </c>
      <c r="AK4152">
        <v>0</v>
      </c>
      <c r="AL4152">
        <v>0</v>
      </c>
      <c r="AM4152">
        <v>0</v>
      </c>
      <c r="AN4152">
        <v>1</v>
      </c>
      <c r="AP4152">
        <v>1</v>
      </c>
      <c r="AS4152">
        <v>1</v>
      </c>
      <c r="AT4152">
        <v>0</v>
      </c>
      <c r="AU4152">
        <v>19</v>
      </c>
      <c r="AV4152">
        <v>540</v>
      </c>
      <c r="AW4152">
        <v>540</v>
      </c>
      <c r="AX4152">
        <v>650</v>
      </c>
      <c r="BA4152">
        <v>1</v>
      </c>
      <c r="BC4152" t="s">
        <v>8411</v>
      </c>
      <c r="BD4152" s="4">
        <v>43283.214583333334</v>
      </c>
      <c r="BE4152" s="4">
        <v>43283.237164351849</v>
      </c>
      <c r="BF4152" s="4">
        <v>43283.237164351849</v>
      </c>
      <c r="BG4152" t="s">
        <v>83</v>
      </c>
      <c r="BH4152" t="s">
        <v>84</v>
      </c>
      <c r="BI4152" t="s">
        <v>85</v>
      </c>
    </row>
    <row r="4153" spans="1:61" x14ac:dyDescent="0.3">
      <c r="A4153" t="str">
        <f>"200816C0200"</f>
        <v>200816C0200</v>
      </c>
      <c r="B4153" t="s">
        <v>8412</v>
      </c>
      <c r="C4153">
        <v>20</v>
      </c>
      <c r="D4153" t="s">
        <v>79</v>
      </c>
      <c r="E4153">
        <v>19</v>
      </c>
      <c r="F4153" t="s">
        <v>8046</v>
      </c>
      <c r="G4153">
        <v>816</v>
      </c>
      <c r="H4153">
        <v>2</v>
      </c>
      <c r="I4153" t="s">
        <v>89</v>
      </c>
      <c r="J4153">
        <v>0</v>
      </c>
      <c r="K4153">
        <v>1</v>
      </c>
      <c r="L4153">
        <v>2</v>
      </c>
      <c r="M4153">
        <v>133</v>
      </c>
      <c r="N4153" t="s">
        <v>100</v>
      </c>
      <c r="O4153">
        <v>0</v>
      </c>
      <c r="P4153">
        <v>538</v>
      </c>
      <c r="Q4153">
        <v>4</v>
      </c>
      <c r="R4153">
        <v>138</v>
      </c>
      <c r="S4153">
        <v>60</v>
      </c>
      <c r="T4153">
        <v>3</v>
      </c>
      <c r="U4153">
        <v>14</v>
      </c>
      <c r="V4153">
        <v>3</v>
      </c>
      <c r="W4153">
        <v>5</v>
      </c>
      <c r="X4153">
        <v>5</v>
      </c>
      <c r="Y4153">
        <v>275</v>
      </c>
      <c r="Z4153">
        <v>5</v>
      </c>
      <c r="AA4153">
        <v>1</v>
      </c>
      <c r="AB4153">
        <v>2</v>
      </c>
      <c r="AC4153">
        <v>1</v>
      </c>
      <c r="AD4153">
        <v>1</v>
      </c>
      <c r="AE4153">
        <v>0</v>
      </c>
      <c r="AF4153">
        <v>0</v>
      </c>
      <c r="AK4153">
        <v>2</v>
      </c>
      <c r="AL4153">
        <v>1</v>
      </c>
      <c r="AM4153">
        <v>0</v>
      </c>
      <c r="AN4153">
        <v>1</v>
      </c>
      <c r="AP4153">
        <v>3</v>
      </c>
      <c r="AS4153">
        <v>3</v>
      </c>
      <c r="AT4153">
        <v>0</v>
      </c>
      <c r="AU4153">
        <v>1</v>
      </c>
      <c r="AV4153">
        <v>538</v>
      </c>
      <c r="AW4153">
        <v>528</v>
      </c>
      <c r="AX4153">
        <v>649</v>
      </c>
      <c r="BA4153">
        <v>1</v>
      </c>
      <c r="BC4153" t="s">
        <v>8413</v>
      </c>
      <c r="BD4153" s="4">
        <v>43283.229166666664</v>
      </c>
      <c r="BE4153" s="4">
        <v>43283.254699074074</v>
      </c>
      <c r="BF4153" s="4">
        <v>43283.254699074074</v>
      </c>
      <c r="BG4153" t="s">
        <v>83</v>
      </c>
      <c r="BH4153" t="s">
        <v>84</v>
      </c>
      <c r="BI4153" t="s">
        <v>85</v>
      </c>
    </row>
    <row r="4154" spans="1:61" x14ac:dyDescent="0.3">
      <c r="A4154" t="str">
        <f>"200817B0100"</f>
        <v>200817B0100</v>
      </c>
      <c r="B4154" t="s">
        <v>8414</v>
      </c>
      <c r="C4154">
        <v>20</v>
      </c>
      <c r="D4154" t="s">
        <v>79</v>
      </c>
      <c r="E4154">
        <v>19</v>
      </c>
      <c r="F4154" t="s">
        <v>8046</v>
      </c>
      <c r="G4154">
        <v>817</v>
      </c>
      <c r="H4154">
        <v>1</v>
      </c>
      <c r="I4154" t="s">
        <v>81</v>
      </c>
      <c r="J4154">
        <v>0</v>
      </c>
      <c r="K4154">
        <v>1</v>
      </c>
      <c r="L4154">
        <v>2</v>
      </c>
      <c r="M4154">
        <v>142</v>
      </c>
      <c r="N4154">
        <v>402</v>
      </c>
      <c r="O4154">
        <v>1</v>
      </c>
      <c r="P4154">
        <v>400</v>
      </c>
      <c r="Q4154">
        <v>2</v>
      </c>
      <c r="R4154">
        <v>73</v>
      </c>
      <c r="S4154">
        <v>31</v>
      </c>
      <c r="T4154">
        <v>7</v>
      </c>
      <c r="U4154">
        <v>11</v>
      </c>
      <c r="V4154">
        <v>6</v>
      </c>
      <c r="W4154">
        <v>5</v>
      </c>
      <c r="X4154">
        <v>1</v>
      </c>
      <c r="Y4154">
        <v>235</v>
      </c>
      <c r="Z4154">
        <v>4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0</v>
      </c>
      <c r="AK4154">
        <v>2</v>
      </c>
      <c r="AL4154">
        <v>0</v>
      </c>
      <c r="AM4154">
        <v>0</v>
      </c>
      <c r="AN4154">
        <v>0</v>
      </c>
      <c r="AP4154">
        <v>0</v>
      </c>
      <c r="AS4154">
        <v>7</v>
      </c>
      <c r="AT4154">
        <v>0</v>
      </c>
      <c r="AU4154">
        <v>16</v>
      </c>
      <c r="AV4154">
        <v>400</v>
      </c>
      <c r="AW4154">
        <v>400</v>
      </c>
      <c r="AX4154">
        <v>521</v>
      </c>
      <c r="BA4154">
        <v>1</v>
      </c>
      <c r="BC4154" t="s">
        <v>8415</v>
      </c>
      <c r="BD4154" s="4">
        <v>43283.229166666664</v>
      </c>
      <c r="BE4154" s="4">
        <v>43283.253449074073</v>
      </c>
      <c r="BF4154" s="4">
        <v>43283.253449074073</v>
      </c>
      <c r="BG4154" t="s">
        <v>83</v>
      </c>
      <c r="BH4154" t="s">
        <v>84</v>
      </c>
      <c r="BI4154" t="s">
        <v>85</v>
      </c>
    </row>
    <row r="4155" spans="1:61" x14ac:dyDescent="0.3">
      <c r="A4155" t="str">
        <f>"200817C0100"</f>
        <v>200817C0100</v>
      </c>
      <c r="B4155" t="s">
        <v>8416</v>
      </c>
      <c r="C4155">
        <v>20</v>
      </c>
      <c r="D4155" t="s">
        <v>79</v>
      </c>
      <c r="E4155">
        <v>19</v>
      </c>
      <c r="F4155" t="s">
        <v>8046</v>
      </c>
      <c r="G4155">
        <v>817</v>
      </c>
      <c r="H4155">
        <v>1</v>
      </c>
      <c r="I4155" t="s">
        <v>89</v>
      </c>
      <c r="J4155">
        <v>0</v>
      </c>
      <c r="K4155">
        <v>1</v>
      </c>
      <c r="L4155">
        <v>2</v>
      </c>
      <c r="M4155" t="s">
        <v>315</v>
      </c>
      <c r="N4155">
        <v>398</v>
      </c>
      <c r="O4155">
        <v>6</v>
      </c>
      <c r="P4155">
        <v>398</v>
      </c>
      <c r="Q4155">
        <v>4</v>
      </c>
      <c r="R4155">
        <v>98</v>
      </c>
      <c r="S4155">
        <v>41</v>
      </c>
      <c r="T4155">
        <v>5</v>
      </c>
      <c r="U4155">
        <v>10</v>
      </c>
      <c r="V4155">
        <v>1</v>
      </c>
      <c r="W4155">
        <v>5</v>
      </c>
      <c r="X4155">
        <v>3</v>
      </c>
      <c r="Y4155">
        <v>207</v>
      </c>
      <c r="Z4155">
        <v>1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K4155">
        <v>4</v>
      </c>
      <c r="AL4155">
        <v>0</v>
      </c>
      <c r="AM4155">
        <v>0</v>
      </c>
      <c r="AN4155">
        <v>0</v>
      </c>
      <c r="AP4155">
        <v>1</v>
      </c>
      <c r="AS4155">
        <v>1</v>
      </c>
      <c r="AT4155">
        <v>0</v>
      </c>
      <c r="AU4155">
        <v>17</v>
      </c>
      <c r="AV4155">
        <v>398</v>
      </c>
      <c r="AW4155">
        <v>398</v>
      </c>
      <c r="AX4155">
        <v>521</v>
      </c>
      <c r="BA4155">
        <v>1</v>
      </c>
      <c r="BC4155" t="s">
        <v>8417</v>
      </c>
      <c r="BD4155" s="4">
        <v>43283.222916666666</v>
      </c>
      <c r="BE4155" s="4">
        <v>43283.248090277775</v>
      </c>
      <c r="BF4155" s="4">
        <v>43283.248090277775</v>
      </c>
      <c r="BG4155" t="s">
        <v>83</v>
      </c>
      <c r="BH4155" t="s">
        <v>84</v>
      </c>
      <c r="BI4155" t="s">
        <v>85</v>
      </c>
    </row>
    <row r="4156" spans="1:61" x14ac:dyDescent="0.3">
      <c r="A4156" t="str">
        <f>"200817C0200"</f>
        <v>200817C0200</v>
      </c>
      <c r="B4156" t="s">
        <v>8418</v>
      </c>
      <c r="C4156">
        <v>20</v>
      </c>
      <c r="D4156" t="s">
        <v>79</v>
      </c>
      <c r="E4156">
        <v>19</v>
      </c>
      <c r="F4156" t="s">
        <v>8046</v>
      </c>
      <c r="G4156">
        <v>817</v>
      </c>
      <c r="H4156">
        <v>2</v>
      </c>
      <c r="I4156" t="s">
        <v>89</v>
      </c>
      <c r="J4156">
        <v>0</v>
      </c>
      <c r="K4156">
        <v>1</v>
      </c>
      <c r="L4156">
        <v>2</v>
      </c>
      <c r="AX4156">
        <v>521</v>
      </c>
      <c r="AZ4156" t="s">
        <v>156</v>
      </c>
      <c r="BA4156">
        <v>0</v>
      </c>
      <c r="BC4156" t="s">
        <v>8419</v>
      </c>
      <c r="BD4156" s="4">
        <v>43283.775000000001</v>
      </c>
      <c r="BE4156" s="4">
        <v>43283.781307870369</v>
      </c>
      <c r="BF4156" s="4">
        <v>43283.781307870369</v>
      </c>
      <c r="BG4156" t="s">
        <v>83</v>
      </c>
      <c r="BH4156" t="s">
        <v>84</v>
      </c>
      <c r="BI4156" t="s">
        <v>85</v>
      </c>
    </row>
    <row r="4157" spans="1:61" x14ac:dyDescent="0.3">
      <c r="A4157" t="str">
        <f>"200818B0100"</f>
        <v>200818B0100</v>
      </c>
      <c r="B4157" t="s">
        <v>8420</v>
      </c>
      <c r="C4157">
        <v>20</v>
      </c>
      <c r="D4157" t="s">
        <v>79</v>
      </c>
      <c r="E4157">
        <v>19</v>
      </c>
      <c r="F4157" t="s">
        <v>8046</v>
      </c>
      <c r="G4157">
        <v>818</v>
      </c>
      <c r="H4157">
        <v>1</v>
      </c>
      <c r="I4157" t="s">
        <v>81</v>
      </c>
      <c r="J4157">
        <v>0</v>
      </c>
      <c r="K4157">
        <v>2</v>
      </c>
      <c r="L4157">
        <v>2</v>
      </c>
      <c r="AX4157">
        <v>704</v>
      </c>
      <c r="AZ4157" t="s">
        <v>156</v>
      </c>
      <c r="BA4157">
        <v>0</v>
      </c>
      <c r="BC4157" t="s">
        <v>8421</v>
      </c>
      <c r="BD4157" s="4">
        <v>43283.776388888888</v>
      </c>
      <c r="BE4157" s="4">
        <v>43283.782777777778</v>
      </c>
      <c r="BF4157" s="4">
        <v>43283.782777777778</v>
      </c>
      <c r="BG4157" t="s">
        <v>83</v>
      </c>
      <c r="BH4157" t="s">
        <v>84</v>
      </c>
      <c r="BI4157" t="s">
        <v>85</v>
      </c>
    </row>
    <row r="4158" spans="1:61" x14ac:dyDescent="0.3">
      <c r="A4158" t="str">
        <f>"200818C0100"</f>
        <v>200818C0100</v>
      </c>
      <c r="B4158" t="s">
        <v>8422</v>
      </c>
      <c r="C4158">
        <v>20</v>
      </c>
      <c r="D4158" t="s">
        <v>79</v>
      </c>
      <c r="E4158">
        <v>19</v>
      </c>
      <c r="F4158" t="s">
        <v>8046</v>
      </c>
      <c r="G4158">
        <v>818</v>
      </c>
      <c r="H4158">
        <v>1</v>
      </c>
      <c r="I4158" t="s">
        <v>89</v>
      </c>
      <c r="J4158">
        <v>0</v>
      </c>
      <c r="K4158">
        <v>2</v>
      </c>
      <c r="L4158">
        <v>2</v>
      </c>
      <c r="M4158">
        <v>157</v>
      </c>
      <c r="N4158">
        <v>566</v>
      </c>
      <c r="O4158">
        <v>3</v>
      </c>
      <c r="P4158">
        <v>569</v>
      </c>
      <c r="Q4158">
        <v>7</v>
      </c>
      <c r="R4158">
        <v>149</v>
      </c>
      <c r="S4158">
        <v>58</v>
      </c>
      <c r="T4158">
        <v>4</v>
      </c>
      <c r="U4158">
        <v>8</v>
      </c>
      <c r="V4158">
        <v>6</v>
      </c>
      <c r="W4158">
        <v>10</v>
      </c>
      <c r="X4158">
        <v>5</v>
      </c>
      <c r="Y4158">
        <v>294</v>
      </c>
      <c r="Z4158">
        <v>3</v>
      </c>
      <c r="AA4158">
        <v>0</v>
      </c>
      <c r="AB4158">
        <v>2</v>
      </c>
      <c r="AC4158">
        <v>0</v>
      </c>
      <c r="AD4158">
        <v>0</v>
      </c>
      <c r="AE4158">
        <v>0</v>
      </c>
      <c r="AF4158">
        <v>0</v>
      </c>
      <c r="AK4158">
        <v>3</v>
      </c>
      <c r="AL4158">
        <v>1</v>
      </c>
      <c r="AM4158">
        <v>0</v>
      </c>
      <c r="AN4158">
        <v>0</v>
      </c>
      <c r="AP4158">
        <v>3</v>
      </c>
      <c r="AS4158" t="s">
        <v>100</v>
      </c>
      <c r="AT4158" t="s">
        <v>100</v>
      </c>
      <c r="AU4158">
        <v>16</v>
      </c>
      <c r="AV4158">
        <v>569</v>
      </c>
      <c r="AW4158">
        <v>569</v>
      </c>
      <c r="AX4158">
        <v>703</v>
      </c>
      <c r="AZ4158" t="s">
        <v>101</v>
      </c>
      <c r="BA4158">
        <v>1</v>
      </c>
      <c r="BC4158" t="s">
        <v>8423</v>
      </c>
      <c r="BD4158" s="4">
        <v>43283.183333333334</v>
      </c>
      <c r="BE4158" s="4">
        <v>43283.212777777779</v>
      </c>
      <c r="BF4158" s="4">
        <v>43283.212777777779</v>
      </c>
      <c r="BG4158" t="s">
        <v>83</v>
      </c>
      <c r="BH4158" t="s">
        <v>84</v>
      </c>
      <c r="BI4158" t="s">
        <v>85</v>
      </c>
    </row>
    <row r="4159" spans="1:61" x14ac:dyDescent="0.3">
      <c r="A4159" t="str">
        <f>"200818C0200"</f>
        <v>200818C0200</v>
      </c>
      <c r="B4159" t="s">
        <v>8424</v>
      </c>
      <c r="C4159">
        <v>20</v>
      </c>
      <c r="D4159" t="s">
        <v>79</v>
      </c>
      <c r="E4159">
        <v>19</v>
      </c>
      <c r="F4159" t="s">
        <v>8046</v>
      </c>
      <c r="G4159">
        <v>818</v>
      </c>
      <c r="H4159">
        <v>2</v>
      </c>
      <c r="I4159" t="s">
        <v>89</v>
      </c>
      <c r="J4159">
        <v>0</v>
      </c>
      <c r="K4159">
        <v>2</v>
      </c>
      <c r="L4159">
        <v>2</v>
      </c>
      <c r="AX4159">
        <v>703</v>
      </c>
      <c r="AZ4159" t="s">
        <v>156</v>
      </c>
      <c r="BA4159">
        <v>0</v>
      </c>
      <c r="BC4159" t="s">
        <v>8425</v>
      </c>
      <c r="BD4159" s="4">
        <v>43283.775694444441</v>
      </c>
      <c r="BE4159" s="4">
        <v>43283.78229166667</v>
      </c>
      <c r="BF4159" s="4">
        <v>43283.78229166667</v>
      </c>
      <c r="BG4159" t="s">
        <v>83</v>
      </c>
      <c r="BH4159" t="s">
        <v>84</v>
      </c>
      <c r="BI4159" t="s">
        <v>85</v>
      </c>
    </row>
    <row r="4160" spans="1:61" x14ac:dyDescent="0.3">
      <c r="A4160" t="str">
        <f>"200818E0100"</f>
        <v>200818E0100</v>
      </c>
      <c r="B4160" s="2" t="s">
        <v>8426</v>
      </c>
      <c r="C4160">
        <v>20</v>
      </c>
      <c r="D4160" t="s">
        <v>79</v>
      </c>
      <c r="E4160">
        <v>19</v>
      </c>
      <c r="F4160" t="s">
        <v>8046</v>
      </c>
      <c r="G4160">
        <v>818</v>
      </c>
      <c r="H4160">
        <v>1</v>
      </c>
      <c r="I4160" t="s">
        <v>145</v>
      </c>
      <c r="J4160">
        <v>0</v>
      </c>
      <c r="K4160">
        <v>2</v>
      </c>
      <c r="L4160">
        <v>2</v>
      </c>
      <c r="M4160">
        <v>116</v>
      </c>
      <c r="N4160">
        <v>426</v>
      </c>
      <c r="O4160">
        <v>6</v>
      </c>
      <c r="P4160">
        <v>426</v>
      </c>
      <c r="Q4160">
        <v>5</v>
      </c>
      <c r="R4160">
        <v>191</v>
      </c>
      <c r="S4160">
        <v>57</v>
      </c>
      <c r="T4160">
        <v>4</v>
      </c>
      <c r="U4160">
        <v>5</v>
      </c>
      <c r="V4160">
        <v>4</v>
      </c>
      <c r="W4160">
        <v>6</v>
      </c>
      <c r="X4160">
        <v>2</v>
      </c>
      <c r="Y4160">
        <v>111</v>
      </c>
      <c r="Z4160">
        <v>3</v>
      </c>
      <c r="AA4160">
        <v>2</v>
      </c>
      <c r="AB4160">
        <v>1</v>
      </c>
      <c r="AC4160">
        <v>2</v>
      </c>
      <c r="AD4160">
        <v>2</v>
      </c>
      <c r="AE4160">
        <v>0</v>
      </c>
      <c r="AF4160">
        <v>0</v>
      </c>
      <c r="AK4160">
        <v>2</v>
      </c>
      <c r="AL4160">
        <v>0</v>
      </c>
      <c r="AM4160">
        <v>0</v>
      </c>
      <c r="AN4160">
        <v>0</v>
      </c>
      <c r="AP4160">
        <v>4</v>
      </c>
      <c r="AS4160">
        <v>0</v>
      </c>
      <c r="AT4160">
        <v>0</v>
      </c>
      <c r="AU4160">
        <v>25</v>
      </c>
      <c r="AV4160">
        <v>426</v>
      </c>
      <c r="AW4160">
        <v>426</v>
      </c>
      <c r="AX4160">
        <v>519</v>
      </c>
      <c r="BA4160">
        <v>1</v>
      </c>
      <c r="BC4160" t="s">
        <v>8427</v>
      </c>
      <c r="BD4160" s="4">
        <v>43283.199305555558</v>
      </c>
      <c r="BE4160" s="4">
        <v>43283.2731712963</v>
      </c>
      <c r="BF4160" s="4">
        <v>43283.2731712963</v>
      </c>
      <c r="BG4160" t="s">
        <v>83</v>
      </c>
      <c r="BH4160" t="s">
        <v>84</v>
      </c>
      <c r="BI4160" t="s">
        <v>85</v>
      </c>
    </row>
    <row r="4161" spans="1:61" x14ac:dyDescent="0.3">
      <c r="A4161" t="str">
        <f>"200818E0200"</f>
        <v>200818E0200</v>
      </c>
      <c r="B4161" s="2" t="s">
        <v>8428</v>
      </c>
      <c r="C4161">
        <v>20</v>
      </c>
      <c r="D4161" t="s">
        <v>79</v>
      </c>
      <c r="E4161">
        <v>19</v>
      </c>
      <c r="F4161" t="s">
        <v>8046</v>
      </c>
      <c r="G4161">
        <v>818</v>
      </c>
      <c r="H4161">
        <v>2</v>
      </c>
      <c r="I4161" t="s">
        <v>145</v>
      </c>
      <c r="J4161">
        <v>0</v>
      </c>
      <c r="K4161">
        <v>2</v>
      </c>
      <c r="L4161">
        <v>2</v>
      </c>
      <c r="M4161">
        <v>89</v>
      </c>
      <c r="N4161">
        <v>500</v>
      </c>
      <c r="O4161">
        <v>4</v>
      </c>
      <c r="P4161" t="s">
        <v>100</v>
      </c>
      <c r="Q4161">
        <v>5</v>
      </c>
      <c r="R4161">
        <v>154</v>
      </c>
      <c r="S4161">
        <v>35</v>
      </c>
      <c r="T4161">
        <v>4</v>
      </c>
      <c r="U4161">
        <v>8</v>
      </c>
      <c r="V4161">
        <v>5</v>
      </c>
      <c r="W4161">
        <v>7</v>
      </c>
      <c r="X4161">
        <v>4</v>
      </c>
      <c r="Y4161">
        <v>247</v>
      </c>
      <c r="Z4161">
        <v>1</v>
      </c>
      <c r="AA4161">
        <v>2</v>
      </c>
      <c r="AB4161">
        <v>0</v>
      </c>
      <c r="AC4161">
        <v>0</v>
      </c>
      <c r="AD4161">
        <v>3</v>
      </c>
      <c r="AE4161">
        <v>0</v>
      </c>
      <c r="AF4161">
        <v>0</v>
      </c>
      <c r="AK4161">
        <v>3</v>
      </c>
      <c r="AL4161">
        <v>0</v>
      </c>
      <c r="AM4161">
        <v>1</v>
      </c>
      <c r="AN4161">
        <v>1</v>
      </c>
      <c r="AP4161">
        <v>4</v>
      </c>
      <c r="AS4161">
        <v>0</v>
      </c>
      <c r="AT4161">
        <v>0</v>
      </c>
      <c r="AU4161">
        <v>15</v>
      </c>
      <c r="AV4161" t="s">
        <v>100</v>
      </c>
      <c r="AW4161">
        <v>499</v>
      </c>
      <c r="AX4161">
        <v>566</v>
      </c>
      <c r="BA4161">
        <v>1</v>
      </c>
      <c r="BC4161" t="s">
        <v>8429</v>
      </c>
      <c r="BD4161" s="4">
        <v>43283.203472222223</v>
      </c>
      <c r="BE4161" s="4">
        <v>43283.229664351849</v>
      </c>
      <c r="BF4161" s="4">
        <v>43283.229664351849</v>
      </c>
      <c r="BG4161" t="s">
        <v>83</v>
      </c>
      <c r="BH4161" t="s">
        <v>84</v>
      </c>
      <c r="BI4161" t="s">
        <v>85</v>
      </c>
    </row>
    <row r="4162" spans="1:61" x14ac:dyDescent="0.3">
      <c r="A4162" t="str">
        <f>"200819B0100"</f>
        <v>200819B0100</v>
      </c>
      <c r="B4162" t="s">
        <v>8430</v>
      </c>
      <c r="C4162">
        <v>20</v>
      </c>
      <c r="D4162" t="s">
        <v>79</v>
      </c>
      <c r="E4162">
        <v>19</v>
      </c>
      <c r="F4162" t="s">
        <v>8046</v>
      </c>
      <c r="G4162">
        <v>819</v>
      </c>
      <c r="H4162">
        <v>1</v>
      </c>
      <c r="I4162" t="s">
        <v>81</v>
      </c>
      <c r="J4162">
        <v>0</v>
      </c>
      <c r="K4162">
        <v>2</v>
      </c>
      <c r="L4162">
        <v>2</v>
      </c>
      <c r="M4162">
        <v>142</v>
      </c>
      <c r="N4162">
        <v>540</v>
      </c>
      <c r="O4162">
        <v>2</v>
      </c>
      <c r="P4162">
        <v>533</v>
      </c>
      <c r="Q4162">
        <v>1</v>
      </c>
      <c r="R4162">
        <v>179</v>
      </c>
      <c r="S4162">
        <v>7</v>
      </c>
      <c r="T4162">
        <v>0</v>
      </c>
      <c r="U4162">
        <v>4</v>
      </c>
      <c r="V4162">
        <v>3</v>
      </c>
      <c r="W4162">
        <v>0</v>
      </c>
      <c r="X4162">
        <v>0</v>
      </c>
      <c r="Y4162">
        <v>320</v>
      </c>
      <c r="Z4162">
        <v>3</v>
      </c>
      <c r="AA4162">
        <v>0</v>
      </c>
      <c r="AB4162">
        <v>0</v>
      </c>
      <c r="AC4162">
        <v>0</v>
      </c>
      <c r="AD4162">
        <v>0</v>
      </c>
      <c r="AE4162">
        <v>0</v>
      </c>
      <c r="AF4162">
        <v>0</v>
      </c>
      <c r="AK4162">
        <v>0</v>
      </c>
      <c r="AL4162">
        <v>0</v>
      </c>
      <c r="AM4162">
        <v>0</v>
      </c>
      <c r="AN4162">
        <v>0</v>
      </c>
      <c r="AP4162">
        <v>0</v>
      </c>
      <c r="AS4162">
        <v>0</v>
      </c>
      <c r="AT4162">
        <v>0</v>
      </c>
      <c r="AU4162">
        <v>8</v>
      </c>
      <c r="AV4162">
        <v>533</v>
      </c>
      <c r="AW4162">
        <v>525</v>
      </c>
      <c r="AX4162">
        <v>658</v>
      </c>
      <c r="BA4162">
        <v>1</v>
      </c>
      <c r="BC4162" t="s">
        <v>8431</v>
      </c>
      <c r="BD4162" s="4">
        <v>43283.162499999999</v>
      </c>
      <c r="BE4162" s="4">
        <v>43283.181689814817</v>
      </c>
      <c r="BF4162" s="4">
        <v>43283.181689814817</v>
      </c>
      <c r="BG4162" t="s">
        <v>83</v>
      </c>
      <c r="BH4162" t="s">
        <v>84</v>
      </c>
      <c r="BI4162" t="s">
        <v>85</v>
      </c>
    </row>
    <row r="4163" spans="1:61" x14ac:dyDescent="0.3">
      <c r="A4163" t="str">
        <f>"200819C0100"</f>
        <v>200819C0100</v>
      </c>
      <c r="B4163" t="s">
        <v>8432</v>
      </c>
      <c r="C4163">
        <v>20</v>
      </c>
      <c r="D4163" t="s">
        <v>79</v>
      </c>
      <c r="E4163">
        <v>19</v>
      </c>
      <c r="F4163" t="s">
        <v>8046</v>
      </c>
      <c r="G4163">
        <v>819</v>
      </c>
      <c r="H4163">
        <v>1</v>
      </c>
      <c r="I4163" t="s">
        <v>89</v>
      </c>
      <c r="J4163">
        <v>0</v>
      </c>
      <c r="K4163">
        <v>2</v>
      </c>
      <c r="L4163">
        <v>2</v>
      </c>
      <c r="M4163">
        <v>170</v>
      </c>
      <c r="N4163">
        <v>512</v>
      </c>
      <c r="O4163">
        <v>1</v>
      </c>
      <c r="P4163">
        <v>517</v>
      </c>
      <c r="Q4163">
        <v>1</v>
      </c>
      <c r="R4163">
        <v>195</v>
      </c>
      <c r="S4163" t="s">
        <v>315</v>
      </c>
      <c r="T4163">
        <v>0</v>
      </c>
      <c r="U4163">
        <v>1</v>
      </c>
      <c r="V4163">
        <v>0</v>
      </c>
      <c r="W4163">
        <v>0</v>
      </c>
      <c r="X4163">
        <v>0</v>
      </c>
      <c r="Y4163">
        <v>306</v>
      </c>
      <c r="Z4163">
        <v>1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K4163">
        <v>2</v>
      </c>
      <c r="AL4163">
        <v>0</v>
      </c>
      <c r="AM4163">
        <v>0</v>
      </c>
      <c r="AN4163">
        <v>0</v>
      </c>
      <c r="AP4163">
        <v>0</v>
      </c>
      <c r="AS4163">
        <v>0</v>
      </c>
      <c r="AT4163">
        <v>0</v>
      </c>
      <c r="AU4163">
        <v>4</v>
      </c>
      <c r="AV4163">
        <v>516</v>
      </c>
      <c r="AW4163">
        <v>510</v>
      </c>
      <c r="AX4163">
        <v>658</v>
      </c>
      <c r="AZ4163" t="s">
        <v>101</v>
      </c>
      <c r="BA4163">
        <v>1</v>
      </c>
      <c r="BC4163" t="s">
        <v>8433</v>
      </c>
      <c r="BD4163" s="4">
        <v>43283.162499999999</v>
      </c>
      <c r="BE4163" s="4">
        <v>43283.214375000003</v>
      </c>
      <c r="BF4163" s="4">
        <v>43283.214375000003</v>
      </c>
      <c r="BG4163" t="s">
        <v>83</v>
      </c>
      <c r="BH4163" t="s">
        <v>84</v>
      </c>
      <c r="BI4163" t="s">
        <v>85</v>
      </c>
    </row>
    <row r="4164" spans="1:61" x14ac:dyDescent="0.3">
      <c r="A4164" t="str">
        <f>"200819C0200"</f>
        <v>200819C0200</v>
      </c>
      <c r="B4164" t="s">
        <v>8434</v>
      </c>
      <c r="C4164">
        <v>20</v>
      </c>
      <c r="D4164" t="s">
        <v>79</v>
      </c>
      <c r="E4164">
        <v>19</v>
      </c>
      <c r="F4164" t="s">
        <v>8046</v>
      </c>
      <c r="G4164">
        <v>819</v>
      </c>
      <c r="H4164">
        <v>2</v>
      </c>
      <c r="I4164" t="s">
        <v>89</v>
      </c>
      <c r="J4164">
        <v>0</v>
      </c>
      <c r="K4164">
        <v>2</v>
      </c>
      <c r="L4164">
        <v>2</v>
      </c>
      <c r="M4164">
        <v>148</v>
      </c>
      <c r="N4164">
        <v>531</v>
      </c>
      <c r="O4164">
        <v>2</v>
      </c>
      <c r="P4164">
        <v>530</v>
      </c>
      <c r="Q4164">
        <v>1</v>
      </c>
      <c r="R4164">
        <v>204</v>
      </c>
      <c r="S4164">
        <v>1</v>
      </c>
      <c r="T4164">
        <v>0</v>
      </c>
      <c r="U4164">
        <v>2</v>
      </c>
      <c r="V4164">
        <v>1</v>
      </c>
      <c r="W4164">
        <v>0</v>
      </c>
      <c r="X4164">
        <v>0</v>
      </c>
      <c r="Y4164">
        <v>305</v>
      </c>
      <c r="Z4164">
        <v>0</v>
      </c>
      <c r="AA4164">
        <v>0</v>
      </c>
      <c r="AB4164">
        <v>0</v>
      </c>
      <c r="AC4164">
        <v>1</v>
      </c>
      <c r="AD4164">
        <v>0</v>
      </c>
      <c r="AE4164">
        <v>0</v>
      </c>
      <c r="AF4164">
        <v>0</v>
      </c>
      <c r="AK4164">
        <v>0</v>
      </c>
      <c r="AL4164">
        <v>0</v>
      </c>
      <c r="AM4164">
        <v>0</v>
      </c>
      <c r="AN4164">
        <v>0</v>
      </c>
      <c r="AP4164">
        <v>1</v>
      </c>
      <c r="AS4164">
        <v>1</v>
      </c>
      <c r="AT4164">
        <v>0</v>
      </c>
      <c r="AU4164">
        <v>4</v>
      </c>
      <c r="AV4164">
        <v>530</v>
      </c>
      <c r="AW4164">
        <v>521</v>
      </c>
      <c r="AX4164">
        <v>658</v>
      </c>
      <c r="BA4164">
        <v>1</v>
      </c>
      <c r="BC4164" t="s">
        <v>8435</v>
      </c>
      <c r="BD4164" s="4">
        <v>43283.162499999999</v>
      </c>
      <c r="BE4164" s="4">
        <v>43283.190775462965</v>
      </c>
      <c r="BF4164" s="4">
        <v>43283.190775462965</v>
      </c>
      <c r="BG4164" t="s">
        <v>83</v>
      </c>
      <c r="BH4164" t="s">
        <v>84</v>
      </c>
      <c r="BI4164" t="s">
        <v>85</v>
      </c>
    </row>
    <row r="4165" spans="1:61" x14ac:dyDescent="0.3">
      <c r="A4165" t="str">
        <f>"200819E0100"</f>
        <v>200819E0100</v>
      </c>
      <c r="B4165" s="2" t="s">
        <v>8436</v>
      </c>
      <c r="C4165">
        <v>20</v>
      </c>
      <c r="D4165" t="s">
        <v>79</v>
      </c>
      <c r="E4165">
        <v>19</v>
      </c>
      <c r="F4165" t="s">
        <v>8046</v>
      </c>
      <c r="G4165">
        <v>819</v>
      </c>
      <c r="H4165">
        <v>1</v>
      </c>
      <c r="I4165" t="s">
        <v>145</v>
      </c>
      <c r="J4165">
        <v>0</v>
      </c>
      <c r="K4165">
        <v>2</v>
      </c>
      <c r="L4165">
        <v>2</v>
      </c>
      <c r="M4165">
        <v>610</v>
      </c>
      <c r="N4165">
        <v>618</v>
      </c>
      <c r="O4165">
        <v>0</v>
      </c>
      <c r="P4165">
        <v>618</v>
      </c>
      <c r="Q4165">
        <v>3</v>
      </c>
      <c r="R4165">
        <v>128</v>
      </c>
      <c r="S4165">
        <v>52</v>
      </c>
      <c r="T4165">
        <v>5</v>
      </c>
      <c r="U4165">
        <v>9</v>
      </c>
      <c r="V4165">
        <v>2</v>
      </c>
      <c r="W4165">
        <v>1</v>
      </c>
      <c r="X4165">
        <v>0</v>
      </c>
      <c r="Y4165">
        <v>393</v>
      </c>
      <c r="Z4165">
        <v>1</v>
      </c>
      <c r="AA4165">
        <v>0</v>
      </c>
      <c r="AB4165">
        <v>3</v>
      </c>
      <c r="AC4165">
        <v>3</v>
      </c>
      <c r="AD4165">
        <v>0</v>
      </c>
      <c r="AE4165">
        <v>0</v>
      </c>
      <c r="AF4165">
        <v>0</v>
      </c>
      <c r="AK4165">
        <v>4</v>
      </c>
      <c r="AL4165">
        <v>0</v>
      </c>
      <c r="AM4165">
        <v>0</v>
      </c>
      <c r="AN4165">
        <v>0</v>
      </c>
      <c r="AP4165">
        <v>0</v>
      </c>
      <c r="AS4165">
        <v>0</v>
      </c>
      <c r="AT4165">
        <v>0</v>
      </c>
      <c r="AU4165">
        <v>14</v>
      </c>
      <c r="AV4165">
        <v>618</v>
      </c>
      <c r="AW4165">
        <v>618</v>
      </c>
      <c r="AX4165">
        <v>717</v>
      </c>
      <c r="BA4165">
        <v>1</v>
      </c>
      <c r="BC4165" t="s">
        <v>8437</v>
      </c>
      <c r="BD4165" s="4">
        <v>43283.162499999999</v>
      </c>
      <c r="BE4165" s="4">
        <v>43283.193124999998</v>
      </c>
      <c r="BF4165" s="4">
        <v>43283.193124999998</v>
      </c>
      <c r="BG4165" t="s">
        <v>83</v>
      </c>
      <c r="BH4165" t="s">
        <v>84</v>
      </c>
      <c r="BI4165" t="s">
        <v>85</v>
      </c>
    </row>
    <row r="4166" spans="1:61" x14ac:dyDescent="0.3">
      <c r="A4166" t="str">
        <f>"201461B0100"</f>
        <v>201461B0100</v>
      </c>
      <c r="B4166" t="s">
        <v>8438</v>
      </c>
      <c r="C4166">
        <v>20</v>
      </c>
      <c r="D4166" t="s">
        <v>79</v>
      </c>
      <c r="E4166">
        <v>19</v>
      </c>
      <c r="F4166" t="s">
        <v>8046</v>
      </c>
      <c r="G4166">
        <v>1461</v>
      </c>
      <c r="H4166">
        <v>1</v>
      </c>
      <c r="I4166" t="s">
        <v>81</v>
      </c>
      <c r="J4166">
        <v>0</v>
      </c>
      <c r="K4166">
        <v>2</v>
      </c>
      <c r="L4166">
        <v>2</v>
      </c>
      <c r="M4166">
        <v>195</v>
      </c>
      <c r="N4166" t="s">
        <v>100</v>
      </c>
      <c r="O4166">
        <v>2</v>
      </c>
      <c r="P4166">
        <v>502</v>
      </c>
      <c r="Q4166">
        <v>5</v>
      </c>
      <c r="R4166">
        <v>56</v>
      </c>
      <c r="S4166">
        <v>136</v>
      </c>
      <c r="T4166">
        <v>3</v>
      </c>
      <c r="U4166">
        <v>23</v>
      </c>
      <c r="V4166">
        <v>3</v>
      </c>
      <c r="W4166">
        <v>19</v>
      </c>
      <c r="X4166">
        <v>0</v>
      </c>
      <c r="Y4166">
        <v>212</v>
      </c>
      <c r="Z4166">
        <v>2</v>
      </c>
      <c r="AA4166">
        <v>0</v>
      </c>
      <c r="AB4166">
        <v>4</v>
      </c>
      <c r="AC4166">
        <v>0</v>
      </c>
      <c r="AD4166">
        <v>0</v>
      </c>
      <c r="AE4166">
        <v>0</v>
      </c>
      <c r="AF4166">
        <v>0</v>
      </c>
      <c r="AK4166">
        <v>0</v>
      </c>
      <c r="AL4166">
        <v>0</v>
      </c>
      <c r="AM4166">
        <v>0</v>
      </c>
      <c r="AN4166">
        <v>0</v>
      </c>
      <c r="AP4166">
        <v>2</v>
      </c>
      <c r="AS4166">
        <v>3</v>
      </c>
      <c r="AT4166">
        <v>0</v>
      </c>
      <c r="AU4166">
        <v>34</v>
      </c>
      <c r="AV4166">
        <v>502</v>
      </c>
      <c r="AW4166">
        <v>502</v>
      </c>
      <c r="AX4166">
        <v>674</v>
      </c>
      <c r="BA4166">
        <v>1</v>
      </c>
      <c r="BC4166" s="2" t="s">
        <v>8439</v>
      </c>
      <c r="BD4166" s="4">
        <v>43283.39166666667</v>
      </c>
      <c r="BE4166" s="4">
        <v>43283.397905092592</v>
      </c>
      <c r="BF4166" s="4">
        <v>43283.397905092592</v>
      </c>
      <c r="BG4166" t="s">
        <v>83</v>
      </c>
      <c r="BH4166" t="s">
        <v>84</v>
      </c>
      <c r="BI4166" t="s">
        <v>85</v>
      </c>
    </row>
    <row r="4167" spans="1:61" x14ac:dyDescent="0.3">
      <c r="A4167" t="str">
        <f>"201461C0100"</f>
        <v>201461C0100</v>
      </c>
      <c r="B4167" t="s">
        <v>8440</v>
      </c>
      <c r="C4167">
        <v>20</v>
      </c>
      <c r="D4167" t="s">
        <v>79</v>
      </c>
      <c r="E4167">
        <v>19</v>
      </c>
      <c r="F4167" t="s">
        <v>8046</v>
      </c>
      <c r="G4167">
        <v>1461</v>
      </c>
      <c r="H4167">
        <v>1</v>
      </c>
      <c r="I4167" t="s">
        <v>89</v>
      </c>
      <c r="J4167">
        <v>0</v>
      </c>
      <c r="K4167">
        <v>2</v>
      </c>
      <c r="L4167">
        <v>2</v>
      </c>
      <c r="M4167">
        <v>161</v>
      </c>
      <c r="N4167" t="s">
        <v>100</v>
      </c>
      <c r="O4167" t="s">
        <v>100</v>
      </c>
      <c r="P4167" t="s">
        <v>100</v>
      </c>
      <c r="Q4167">
        <v>9</v>
      </c>
      <c r="R4167">
        <v>82</v>
      </c>
      <c r="S4167">
        <v>143</v>
      </c>
      <c r="T4167">
        <v>0</v>
      </c>
      <c r="U4167">
        <v>18</v>
      </c>
      <c r="V4167">
        <v>4</v>
      </c>
      <c r="W4167">
        <v>30</v>
      </c>
      <c r="X4167">
        <v>2</v>
      </c>
      <c r="Y4167">
        <v>185</v>
      </c>
      <c r="Z4167">
        <v>4</v>
      </c>
      <c r="AA4167">
        <v>1</v>
      </c>
      <c r="AB4167">
        <v>6</v>
      </c>
      <c r="AC4167">
        <v>1</v>
      </c>
      <c r="AD4167">
        <v>0</v>
      </c>
      <c r="AE4167">
        <v>0</v>
      </c>
      <c r="AF4167">
        <v>0</v>
      </c>
      <c r="AK4167">
        <v>4</v>
      </c>
      <c r="AL4167">
        <v>0</v>
      </c>
      <c r="AM4167">
        <v>0</v>
      </c>
      <c r="AN4167">
        <v>0</v>
      </c>
      <c r="AP4167">
        <v>0</v>
      </c>
      <c r="AS4167">
        <v>0</v>
      </c>
      <c r="AT4167" t="s">
        <v>100</v>
      </c>
      <c r="AU4167">
        <v>40</v>
      </c>
      <c r="AV4167">
        <v>530</v>
      </c>
      <c r="AW4167">
        <v>529</v>
      </c>
      <c r="AX4167">
        <v>674</v>
      </c>
      <c r="AZ4167" t="s">
        <v>101</v>
      </c>
      <c r="BA4167">
        <v>1</v>
      </c>
      <c r="BC4167" t="s">
        <v>8441</v>
      </c>
      <c r="BD4167" s="4">
        <v>43283.388888888891</v>
      </c>
      <c r="BE4167" s="4">
        <v>43283.500833333332</v>
      </c>
      <c r="BF4167" s="4">
        <v>43283.500833333332</v>
      </c>
      <c r="BG4167" t="s">
        <v>83</v>
      </c>
      <c r="BH4167" t="s">
        <v>84</v>
      </c>
      <c r="BI4167" t="s">
        <v>85</v>
      </c>
    </row>
    <row r="4168" spans="1:61" x14ac:dyDescent="0.3">
      <c r="A4168" t="str">
        <f>"201461C0200"</f>
        <v>201461C0200</v>
      </c>
      <c r="B4168" t="s">
        <v>8442</v>
      </c>
      <c r="C4168">
        <v>20</v>
      </c>
      <c r="D4168" t="s">
        <v>79</v>
      </c>
      <c r="E4168">
        <v>19</v>
      </c>
      <c r="F4168" t="s">
        <v>8046</v>
      </c>
      <c r="G4168">
        <v>1461</v>
      </c>
      <c r="H4168">
        <v>2</v>
      </c>
      <c r="I4168" t="s">
        <v>89</v>
      </c>
      <c r="J4168">
        <v>0</v>
      </c>
      <c r="K4168">
        <v>2</v>
      </c>
      <c r="L4168">
        <v>2</v>
      </c>
      <c r="AX4168">
        <v>674</v>
      </c>
      <c r="AZ4168" t="s">
        <v>156</v>
      </c>
      <c r="BA4168">
        <v>0</v>
      </c>
      <c r="BC4168" t="s">
        <v>8443</v>
      </c>
      <c r="BD4168" s="4">
        <v>43283.775000000001</v>
      </c>
      <c r="BE4168" s="4">
        <v>43283.780462962961</v>
      </c>
      <c r="BF4168" s="4">
        <v>43283.780462962961</v>
      </c>
      <c r="BG4168" t="s">
        <v>83</v>
      </c>
      <c r="BH4168" t="s">
        <v>84</v>
      </c>
      <c r="BI4168" t="s">
        <v>85</v>
      </c>
    </row>
    <row r="4169" spans="1:61" x14ac:dyDescent="0.3">
      <c r="A4169" t="str">
        <f>"201462B0100"</f>
        <v>201462B0100</v>
      </c>
      <c r="B4169" t="s">
        <v>8444</v>
      </c>
      <c r="C4169">
        <v>20</v>
      </c>
      <c r="D4169" t="s">
        <v>79</v>
      </c>
      <c r="E4169">
        <v>19</v>
      </c>
      <c r="F4169" t="s">
        <v>8046</v>
      </c>
      <c r="G4169">
        <v>1462</v>
      </c>
      <c r="H4169">
        <v>1</v>
      </c>
      <c r="I4169" t="s">
        <v>81</v>
      </c>
      <c r="J4169">
        <v>0</v>
      </c>
      <c r="K4169">
        <v>1</v>
      </c>
      <c r="L4169">
        <v>2</v>
      </c>
      <c r="M4169">
        <v>196</v>
      </c>
      <c r="N4169">
        <v>569</v>
      </c>
      <c r="O4169" t="s">
        <v>100</v>
      </c>
      <c r="P4169" t="s">
        <v>100</v>
      </c>
      <c r="Q4169">
        <v>11</v>
      </c>
      <c r="R4169">
        <v>124</v>
      </c>
      <c r="S4169">
        <v>63</v>
      </c>
      <c r="T4169">
        <v>5</v>
      </c>
      <c r="U4169">
        <v>9</v>
      </c>
      <c r="V4169">
        <v>3</v>
      </c>
      <c r="W4169">
        <v>21</v>
      </c>
      <c r="X4169">
        <v>4</v>
      </c>
      <c r="Y4169">
        <v>286</v>
      </c>
      <c r="Z4169">
        <v>1</v>
      </c>
      <c r="AA4169">
        <v>1</v>
      </c>
      <c r="AB4169">
        <v>4</v>
      </c>
      <c r="AC4169" t="s">
        <v>100</v>
      </c>
      <c r="AD4169" t="s">
        <v>100</v>
      </c>
      <c r="AE4169" t="s">
        <v>100</v>
      </c>
      <c r="AF4169" t="s">
        <v>100</v>
      </c>
      <c r="AK4169">
        <v>1</v>
      </c>
      <c r="AL4169">
        <v>1</v>
      </c>
      <c r="AM4169" t="s">
        <v>100</v>
      </c>
      <c r="AN4169">
        <v>1</v>
      </c>
      <c r="AP4169">
        <v>2</v>
      </c>
      <c r="AS4169">
        <v>3</v>
      </c>
      <c r="AT4169" t="s">
        <v>100</v>
      </c>
      <c r="AU4169">
        <v>30</v>
      </c>
      <c r="AV4169">
        <v>569</v>
      </c>
      <c r="AW4169">
        <v>570</v>
      </c>
      <c r="AX4169">
        <v>742</v>
      </c>
      <c r="AZ4169" t="s">
        <v>101</v>
      </c>
      <c r="BA4169">
        <v>1</v>
      </c>
      <c r="BC4169" t="s">
        <v>8445</v>
      </c>
      <c r="BD4169" s="4">
        <v>43283.388888888891</v>
      </c>
      <c r="BE4169" s="4">
        <v>43283.40011574074</v>
      </c>
      <c r="BF4169" s="4">
        <v>43283.40011574074</v>
      </c>
      <c r="BG4169" t="s">
        <v>83</v>
      </c>
      <c r="BH4169" t="s">
        <v>84</v>
      </c>
      <c r="BI4169" t="s">
        <v>85</v>
      </c>
    </row>
    <row r="4170" spans="1:61" x14ac:dyDescent="0.3">
      <c r="A4170" t="str">
        <f>"201462C0100"</f>
        <v>201462C0100</v>
      </c>
      <c r="B4170" t="s">
        <v>8446</v>
      </c>
      <c r="C4170">
        <v>20</v>
      </c>
      <c r="D4170" t="s">
        <v>79</v>
      </c>
      <c r="E4170">
        <v>19</v>
      </c>
      <c r="F4170" t="s">
        <v>8046</v>
      </c>
      <c r="G4170">
        <v>1462</v>
      </c>
      <c r="H4170">
        <v>1</v>
      </c>
      <c r="I4170" t="s">
        <v>89</v>
      </c>
      <c r="J4170">
        <v>0</v>
      </c>
      <c r="K4170">
        <v>1</v>
      </c>
      <c r="L4170">
        <v>2</v>
      </c>
      <c r="M4170">
        <v>182</v>
      </c>
      <c r="N4170">
        <v>582</v>
      </c>
      <c r="O4170">
        <v>1</v>
      </c>
      <c r="P4170">
        <v>581</v>
      </c>
      <c r="Q4170">
        <v>9</v>
      </c>
      <c r="R4170">
        <v>115</v>
      </c>
      <c r="S4170">
        <v>101</v>
      </c>
      <c r="T4170">
        <v>6</v>
      </c>
      <c r="U4170">
        <v>16</v>
      </c>
      <c r="V4170">
        <v>7</v>
      </c>
      <c r="W4170">
        <v>25</v>
      </c>
      <c r="X4170">
        <v>1</v>
      </c>
      <c r="Y4170">
        <v>266</v>
      </c>
      <c r="Z4170">
        <v>4</v>
      </c>
      <c r="AA4170">
        <v>1</v>
      </c>
      <c r="AB4170">
        <v>3</v>
      </c>
      <c r="AC4170">
        <v>1</v>
      </c>
      <c r="AD4170">
        <v>0</v>
      </c>
      <c r="AE4170">
        <v>0</v>
      </c>
      <c r="AF4170">
        <v>0</v>
      </c>
      <c r="AK4170">
        <v>1</v>
      </c>
      <c r="AL4170">
        <v>0</v>
      </c>
      <c r="AM4170">
        <v>0</v>
      </c>
      <c r="AN4170">
        <v>0</v>
      </c>
      <c r="AP4170">
        <v>1</v>
      </c>
      <c r="AS4170">
        <v>1</v>
      </c>
      <c r="AT4170">
        <v>0</v>
      </c>
      <c r="AU4170">
        <v>23</v>
      </c>
      <c r="AV4170">
        <v>581</v>
      </c>
      <c r="AW4170">
        <v>581</v>
      </c>
      <c r="AX4170">
        <v>741</v>
      </c>
      <c r="BA4170">
        <v>1</v>
      </c>
      <c r="BC4170" t="s">
        <v>8447</v>
      </c>
      <c r="BD4170" s="4">
        <v>43283.37777777778</v>
      </c>
      <c r="BE4170" s="4">
        <v>43283.389780092592</v>
      </c>
      <c r="BF4170" s="4">
        <v>43283.389780092592</v>
      </c>
      <c r="BG4170" t="s">
        <v>83</v>
      </c>
      <c r="BH4170" t="s">
        <v>84</v>
      </c>
      <c r="BI4170" t="s">
        <v>85</v>
      </c>
    </row>
    <row r="4171" spans="1:61" x14ac:dyDescent="0.3">
      <c r="A4171" t="str">
        <f>"201472B0100"</f>
        <v>201472B0100</v>
      </c>
      <c r="B4171" t="s">
        <v>8448</v>
      </c>
      <c r="C4171">
        <v>20</v>
      </c>
      <c r="D4171" t="s">
        <v>79</v>
      </c>
      <c r="E4171">
        <v>19</v>
      </c>
      <c r="F4171" t="s">
        <v>8046</v>
      </c>
      <c r="G4171">
        <v>1472</v>
      </c>
      <c r="H4171">
        <v>1</v>
      </c>
      <c r="I4171" t="s">
        <v>81</v>
      </c>
      <c r="J4171">
        <v>0</v>
      </c>
      <c r="K4171">
        <v>1</v>
      </c>
      <c r="L4171">
        <v>2</v>
      </c>
      <c r="M4171">
        <v>190</v>
      </c>
      <c r="N4171">
        <v>424</v>
      </c>
      <c r="O4171">
        <v>0</v>
      </c>
      <c r="P4171">
        <v>424</v>
      </c>
      <c r="Q4171">
        <v>15</v>
      </c>
      <c r="R4171">
        <v>131</v>
      </c>
      <c r="S4171">
        <v>43</v>
      </c>
      <c r="T4171">
        <v>3</v>
      </c>
      <c r="U4171">
        <v>20</v>
      </c>
      <c r="V4171">
        <v>5</v>
      </c>
      <c r="W4171">
        <v>13</v>
      </c>
      <c r="X4171">
        <v>0</v>
      </c>
      <c r="Y4171">
        <v>136</v>
      </c>
      <c r="Z4171">
        <v>4</v>
      </c>
      <c r="AA4171">
        <v>24</v>
      </c>
      <c r="AB4171">
        <v>1</v>
      </c>
      <c r="AC4171">
        <v>0</v>
      </c>
      <c r="AD4171">
        <v>0</v>
      </c>
      <c r="AE4171">
        <v>0</v>
      </c>
      <c r="AF4171">
        <v>0</v>
      </c>
      <c r="AK4171">
        <v>1</v>
      </c>
      <c r="AL4171">
        <v>0</v>
      </c>
      <c r="AM4171">
        <v>0</v>
      </c>
      <c r="AN4171">
        <v>0</v>
      </c>
      <c r="AP4171">
        <v>6</v>
      </c>
      <c r="AS4171">
        <v>0</v>
      </c>
      <c r="AT4171">
        <v>0</v>
      </c>
      <c r="AU4171">
        <v>20</v>
      </c>
      <c r="AV4171">
        <v>424</v>
      </c>
      <c r="AW4171">
        <v>422</v>
      </c>
      <c r="AX4171">
        <v>590</v>
      </c>
      <c r="BA4171">
        <v>1</v>
      </c>
      <c r="BC4171" t="s">
        <v>8449</v>
      </c>
      <c r="BD4171" s="4">
        <v>43283.26666666667</v>
      </c>
      <c r="BE4171" s="4">
        <v>43283.303449074076</v>
      </c>
      <c r="BF4171" s="4">
        <v>43283.303449074076</v>
      </c>
      <c r="BG4171" t="s">
        <v>83</v>
      </c>
      <c r="BH4171" t="s">
        <v>84</v>
      </c>
      <c r="BI4171" t="s">
        <v>85</v>
      </c>
    </row>
    <row r="4172" spans="1:61" x14ac:dyDescent="0.3">
      <c r="A4172" t="str">
        <f>"201472C0100"</f>
        <v>201472C0100</v>
      </c>
      <c r="B4172" t="s">
        <v>8450</v>
      </c>
      <c r="C4172">
        <v>20</v>
      </c>
      <c r="D4172" t="s">
        <v>79</v>
      </c>
      <c r="E4172">
        <v>19</v>
      </c>
      <c r="F4172" t="s">
        <v>8046</v>
      </c>
      <c r="G4172">
        <v>1472</v>
      </c>
      <c r="H4172">
        <v>1</v>
      </c>
      <c r="I4172" t="s">
        <v>89</v>
      </c>
      <c r="J4172">
        <v>0</v>
      </c>
      <c r="K4172">
        <v>1</v>
      </c>
      <c r="L4172">
        <v>2</v>
      </c>
      <c r="M4172">
        <v>218</v>
      </c>
      <c r="N4172">
        <v>394</v>
      </c>
      <c r="O4172">
        <v>0</v>
      </c>
      <c r="P4172">
        <v>395</v>
      </c>
      <c r="Q4172">
        <v>28</v>
      </c>
      <c r="R4172">
        <v>125</v>
      </c>
      <c r="S4172">
        <v>46</v>
      </c>
      <c r="T4172">
        <v>3</v>
      </c>
      <c r="U4172">
        <v>17</v>
      </c>
      <c r="V4172">
        <v>2</v>
      </c>
      <c r="W4172">
        <v>4</v>
      </c>
      <c r="X4172">
        <v>1</v>
      </c>
      <c r="Y4172">
        <v>126</v>
      </c>
      <c r="Z4172">
        <v>4</v>
      </c>
      <c r="AA4172">
        <v>10</v>
      </c>
      <c r="AB4172">
        <v>6</v>
      </c>
      <c r="AC4172">
        <v>1</v>
      </c>
      <c r="AD4172">
        <v>0</v>
      </c>
      <c r="AE4172">
        <v>0</v>
      </c>
      <c r="AF4172">
        <v>0</v>
      </c>
      <c r="AK4172">
        <v>4</v>
      </c>
      <c r="AL4172">
        <v>0</v>
      </c>
      <c r="AM4172">
        <v>0</v>
      </c>
      <c r="AN4172">
        <v>0</v>
      </c>
      <c r="AP4172">
        <v>2</v>
      </c>
      <c r="AS4172">
        <v>0</v>
      </c>
      <c r="AT4172">
        <v>0</v>
      </c>
      <c r="AU4172">
        <v>16</v>
      </c>
      <c r="AV4172">
        <v>395</v>
      </c>
      <c r="AW4172">
        <v>395</v>
      </c>
      <c r="AX4172">
        <v>589</v>
      </c>
      <c r="BA4172">
        <v>1</v>
      </c>
      <c r="BC4172" t="s">
        <v>8451</v>
      </c>
      <c r="BD4172" s="4">
        <v>43283.277083333334</v>
      </c>
      <c r="BE4172" s="4">
        <v>43283.311620370368</v>
      </c>
      <c r="BF4172" s="4">
        <v>43283.311620370368</v>
      </c>
      <c r="BG4172" t="s">
        <v>83</v>
      </c>
      <c r="BH4172" t="s">
        <v>84</v>
      </c>
      <c r="BI4172" t="s">
        <v>85</v>
      </c>
    </row>
    <row r="4173" spans="1:61" x14ac:dyDescent="0.3">
      <c r="A4173" t="str">
        <f>"201472C0200"</f>
        <v>201472C0200</v>
      </c>
      <c r="B4173" t="s">
        <v>8452</v>
      </c>
      <c r="C4173">
        <v>20</v>
      </c>
      <c r="D4173" t="s">
        <v>79</v>
      </c>
      <c r="E4173">
        <v>19</v>
      </c>
      <c r="F4173" t="s">
        <v>8046</v>
      </c>
      <c r="G4173">
        <v>1472</v>
      </c>
      <c r="H4173">
        <v>2</v>
      </c>
      <c r="I4173" t="s">
        <v>89</v>
      </c>
      <c r="J4173">
        <v>0</v>
      </c>
      <c r="K4173">
        <v>1</v>
      </c>
      <c r="L4173">
        <v>2</v>
      </c>
      <c r="M4173" t="s">
        <v>100</v>
      </c>
      <c r="N4173" t="s">
        <v>100</v>
      </c>
      <c r="O4173" t="s">
        <v>100</v>
      </c>
      <c r="P4173" t="s">
        <v>100</v>
      </c>
      <c r="Q4173">
        <v>28</v>
      </c>
      <c r="R4173">
        <v>158</v>
      </c>
      <c r="S4173">
        <v>23</v>
      </c>
      <c r="T4173">
        <v>6</v>
      </c>
      <c r="U4173">
        <v>25</v>
      </c>
      <c r="V4173">
        <v>9</v>
      </c>
      <c r="W4173">
        <v>11</v>
      </c>
      <c r="X4173">
        <v>0</v>
      </c>
      <c r="Y4173">
        <v>111</v>
      </c>
      <c r="Z4173">
        <v>7</v>
      </c>
      <c r="AA4173">
        <v>23</v>
      </c>
      <c r="AB4173">
        <v>2</v>
      </c>
      <c r="AC4173" t="s">
        <v>100</v>
      </c>
      <c r="AD4173">
        <v>1</v>
      </c>
      <c r="AE4173" t="s">
        <v>100</v>
      </c>
      <c r="AF4173" t="s">
        <v>100</v>
      </c>
      <c r="AK4173" t="s">
        <v>100</v>
      </c>
      <c r="AL4173">
        <v>1</v>
      </c>
      <c r="AM4173" t="s">
        <v>100</v>
      </c>
      <c r="AN4173" t="s">
        <v>315</v>
      </c>
      <c r="AP4173">
        <v>2</v>
      </c>
      <c r="AS4173" t="s">
        <v>315</v>
      </c>
      <c r="AT4173" t="s">
        <v>100</v>
      </c>
      <c r="AU4173">
        <v>20</v>
      </c>
      <c r="AV4173">
        <v>427</v>
      </c>
      <c r="AW4173">
        <v>427</v>
      </c>
      <c r="AX4173">
        <v>589</v>
      </c>
      <c r="AZ4173" t="s">
        <v>101</v>
      </c>
      <c r="BA4173">
        <v>1</v>
      </c>
      <c r="BC4173" t="s">
        <v>8453</v>
      </c>
      <c r="BD4173" s="4">
        <v>43283.272222222222</v>
      </c>
      <c r="BE4173" s="4">
        <v>43283.388611111113</v>
      </c>
      <c r="BF4173" s="4">
        <v>43283.388611111113</v>
      </c>
      <c r="BG4173" t="s">
        <v>83</v>
      </c>
      <c r="BH4173" t="s">
        <v>84</v>
      </c>
      <c r="BI4173" t="s">
        <v>85</v>
      </c>
    </row>
    <row r="4174" spans="1:61" x14ac:dyDescent="0.3">
      <c r="A4174" t="str">
        <f>"201472C0300"</f>
        <v>201472C0300</v>
      </c>
      <c r="B4174" t="s">
        <v>8454</v>
      </c>
      <c r="C4174">
        <v>20</v>
      </c>
      <c r="D4174" t="s">
        <v>79</v>
      </c>
      <c r="E4174">
        <v>19</v>
      </c>
      <c r="F4174" t="s">
        <v>8046</v>
      </c>
      <c r="G4174">
        <v>1472</v>
      </c>
      <c r="H4174">
        <v>3</v>
      </c>
      <c r="I4174" t="s">
        <v>89</v>
      </c>
      <c r="J4174">
        <v>0</v>
      </c>
      <c r="K4174">
        <v>1</v>
      </c>
      <c r="L4174">
        <v>2</v>
      </c>
      <c r="M4174">
        <v>183</v>
      </c>
      <c r="N4174">
        <v>429</v>
      </c>
      <c r="O4174" t="s">
        <v>100</v>
      </c>
      <c r="P4174">
        <v>428</v>
      </c>
      <c r="Q4174">
        <v>19</v>
      </c>
      <c r="R4174">
        <v>153</v>
      </c>
      <c r="S4174">
        <v>39</v>
      </c>
      <c r="T4174">
        <v>3</v>
      </c>
      <c r="U4174">
        <v>24</v>
      </c>
      <c r="V4174">
        <v>3</v>
      </c>
      <c r="W4174">
        <v>3</v>
      </c>
      <c r="X4174">
        <v>3</v>
      </c>
      <c r="Y4174">
        <v>129</v>
      </c>
      <c r="Z4174">
        <v>12</v>
      </c>
      <c r="AA4174">
        <v>16</v>
      </c>
      <c r="AB4174">
        <v>3</v>
      </c>
      <c r="AC4174">
        <v>0</v>
      </c>
      <c r="AD4174">
        <v>1</v>
      </c>
      <c r="AE4174">
        <v>0</v>
      </c>
      <c r="AF4174">
        <v>0</v>
      </c>
      <c r="AK4174">
        <v>1</v>
      </c>
      <c r="AL4174">
        <v>2</v>
      </c>
      <c r="AM4174">
        <v>0</v>
      </c>
      <c r="AN4174">
        <v>0</v>
      </c>
      <c r="AP4174">
        <v>2</v>
      </c>
      <c r="AS4174">
        <v>1</v>
      </c>
      <c r="AT4174">
        <v>0</v>
      </c>
      <c r="AU4174">
        <v>14</v>
      </c>
      <c r="AV4174" t="s">
        <v>100</v>
      </c>
      <c r="AW4174">
        <v>428</v>
      </c>
      <c r="AX4174">
        <v>589</v>
      </c>
      <c r="BA4174">
        <v>1</v>
      </c>
      <c r="BC4174" t="s">
        <v>8455</v>
      </c>
      <c r="BD4174" s="4">
        <v>43283.283333333333</v>
      </c>
      <c r="BE4174" s="4">
        <v>43283.317002314812</v>
      </c>
      <c r="BF4174" s="4">
        <v>43283.317002314812</v>
      </c>
      <c r="BG4174" t="s">
        <v>83</v>
      </c>
      <c r="BH4174" t="s">
        <v>84</v>
      </c>
      <c r="BI4174" t="s">
        <v>85</v>
      </c>
    </row>
    <row r="4175" spans="1:61" x14ac:dyDescent="0.3">
      <c r="A4175" t="str">
        <f>"201929B0100"</f>
        <v>201929B0100</v>
      </c>
      <c r="B4175" t="s">
        <v>8456</v>
      </c>
      <c r="C4175">
        <v>20</v>
      </c>
      <c r="D4175" t="s">
        <v>79</v>
      </c>
      <c r="E4175">
        <v>19</v>
      </c>
      <c r="F4175" t="s">
        <v>8046</v>
      </c>
      <c r="G4175">
        <v>1929</v>
      </c>
      <c r="H4175">
        <v>1</v>
      </c>
      <c r="I4175" t="s">
        <v>81</v>
      </c>
      <c r="J4175">
        <v>0</v>
      </c>
      <c r="K4175">
        <v>2</v>
      </c>
      <c r="L4175">
        <v>2</v>
      </c>
      <c r="M4175">
        <v>153</v>
      </c>
      <c r="N4175">
        <v>588</v>
      </c>
      <c r="O4175">
        <v>0</v>
      </c>
      <c r="P4175">
        <v>588</v>
      </c>
      <c r="Q4175">
        <v>6</v>
      </c>
      <c r="R4175">
        <v>113</v>
      </c>
      <c r="S4175">
        <v>2</v>
      </c>
      <c r="T4175">
        <v>127</v>
      </c>
      <c r="U4175">
        <v>2</v>
      </c>
      <c r="V4175">
        <v>9</v>
      </c>
      <c r="W4175">
        <v>1</v>
      </c>
      <c r="X4175">
        <v>1</v>
      </c>
      <c r="Y4175">
        <v>320</v>
      </c>
      <c r="Z4175" t="s">
        <v>100</v>
      </c>
      <c r="AA4175" t="s">
        <v>100</v>
      </c>
      <c r="AB4175" t="s">
        <v>100</v>
      </c>
      <c r="AC4175" t="s">
        <v>100</v>
      </c>
      <c r="AD4175" t="s">
        <v>100</v>
      </c>
      <c r="AE4175" t="s">
        <v>100</v>
      </c>
      <c r="AF4175" t="s">
        <v>100</v>
      </c>
      <c r="AK4175" t="s">
        <v>100</v>
      </c>
      <c r="AL4175" t="s">
        <v>100</v>
      </c>
      <c r="AM4175" t="s">
        <v>100</v>
      </c>
      <c r="AN4175" t="s">
        <v>100</v>
      </c>
      <c r="AP4175" t="s">
        <v>100</v>
      </c>
      <c r="AS4175" t="s">
        <v>100</v>
      </c>
      <c r="AT4175" t="s">
        <v>100</v>
      </c>
      <c r="AU4175">
        <v>7</v>
      </c>
      <c r="AV4175" t="s">
        <v>100</v>
      </c>
      <c r="AW4175">
        <v>588</v>
      </c>
      <c r="AX4175">
        <v>719</v>
      </c>
      <c r="AZ4175" t="s">
        <v>101</v>
      </c>
      <c r="BA4175">
        <v>1</v>
      </c>
      <c r="BC4175" t="s">
        <v>8457</v>
      </c>
      <c r="BD4175" s="4">
        <v>43283.622916666667</v>
      </c>
      <c r="BE4175" s="4">
        <v>43283.632534722223</v>
      </c>
      <c r="BF4175" s="4">
        <v>43283.632534722223</v>
      </c>
      <c r="BG4175" t="s">
        <v>83</v>
      </c>
      <c r="BH4175" t="s">
        <v>84</v>
      </c>
      <c r="BI4175" t="s">
        <v>85</v>
      </c>
    </row>
    <row r="4176" spans="1:61" x14ac:dyDescent="0.3">
      <c r="A4176" t="str">
        <f>"201929C0100"</f>
        <v>201929C0100</v>
      </c>
      <c r="B4176" t="s">
        <v>8458</v>
      </c>
      <c r="C4176">
        <v>20</v>
      </c>
      <c r="D4176" t="s">
        <v>79</v>
      </c>
      <c r="E4176">
        <v>19</v>
      </c>
      <c r="F4176" t="s">
        <v>8046</v>
      </c>
      <c r="G4176">
        <v>1929</v>
      </c>
      <c r="H4176">
        <v>1</v>
      </c>
      <c r="I4176" t="s">
        <v>89</v>
      </c>
      <c r="J4176">
        <v>0</v>
      </c>
      <c r="K4176">
        <v>2</v>
      </c>
      <c r="L4176">
        <v>2</v>
      </c>
      <c r="M4176" t="s">
        <v>100</v>
      </c>
      <c r="N4176" t="s">
        <v>100</v>
      </c>
      <c r="O4176" t="s">
        <v>100</v>
      </c>
      <c r="P4176" t="s">
        <v>100</v>
      </c>
      <c r="Q4176">
        <v>17</v>
      </c>
      <c r="R4176">
        <v>138</v>
      </c>
      <c r="S4176">
        <v>1</v>
      </c>
      <c r="T4176">
        <v>136</v>
      </c>
      <c r="U4176">
        <v>1</v>
      </c>
      <c r="V4176">
        <v>19</v>
      </c>
      <c r="W4176">
        <v>0</v>
      </c>
      <c r="X4176">
        <v>2</v>
      </c>
      <c r="Y4176">
        <v>253</v>
      </c>
      <c r="Z4176">
        <v>0</v>
      </c>
      <c r="AA4176">
        <v>0</v>
      </c>
      <c r="AB4176">
        <v>1</v>
      </c>
      <c r="AC4176">
        <v>0</v>
      </c>
      <c r="AD4176">
        <v>0</v>
      </c>
      <c r="AE4176">
        <v>0</v>
      </c>
      <c r="AF4176">
        <v>0</v>
      </c>
      <c r="AK4176">
        <v>0</v>
      </c>
      <c r="AL4176">
        <v>0</v>
      </c>
      <c r="AM4176">
        <v>0</v>
      </c>
      <c r="AN4176">
        <v>0</v>
      </c>
      <c r="AP4176">
        <v>0</v>
      </c>
      <c r="AS4176">
        <v>0</v>
      </c>
      <c r="AT4176">
        <v>0</v>
      </c>
      <c r="AU4176">
        <v>5</v>
      </c>
      <c r="AV4176" t="s">
        <v>100</v>
      </c>
      <c r="AW4176">
        <v>573</v>
      </c>
      <c r="AX4176">
        <v>718</v>
      </c>
      <c r="BA4176">
        <v>1</v>
      </c>
      <c r="BC4176" t="s">
        <v>8459</v>
      </c>
      <c r="BD4176" s="4">
        <v>43283.618055555555</v>
      </c>
      <c r="BE4176" s="4">
        <v>43283.640023148146</v>
      </c>
      <c r="BF4176" s="4">
        <v>43283.640023148146</v>
      </c>
      <c r="BG4176" t="s">
        <v>83</v>
      </c>
      <c r="BH4176" t="s">
        <v>84</v>
      </c>
      <c r="BI4176" t="s">
        <v>85</v>
      </c>
    </row>
    <row r="4177" spans="1:61" x14ac:dyDescent="0.3">
      <c r="A4177" t="str">
        <f>"201930B0100"</f>
        <v>201930B0100</v>
      </c>
      <c r="B4177" t="s">
        <v>8460</v>
      </c>
      <c r="C4177">
        <v>20</v>
      </c>
      <c r="D4177" t="s">
        <v>79</v>
      </c>
      <c r="E4177">
        <v>19</v>
      </c>
      <c r="F4177" t="s">
        <v>8046</v>
      </c>
      <c r="G4177">
        <v>1930</v>
      </c>
      <c r="H4177">
        <v>1</v>
      </c>
      <c r="I4177" t="s">
        <v>81</v>
      </c>
      <c r="J4177">
        <v>0</v>
      </c>
      <c r="K4177">
        <v>2</v>
      </c>
      <c r="L4177">
        <v>2</v>
      </c>
      <c r="M4177">
        <v>124</v>
      </c>
      <c r="N4177">
        <v>503</v>
      </c>
      <c r="O4177">
        <v>10</v>
      </c>
      <c r="P4177">
        <v>503</v>
      </c>
      <c r="Q4177">
        <v>20</v>
      </c>
      <c r="R4177">
        <v>128</v>
      </c>
      <c r="S4177">
        <v>1</v>
      </c>
      <c r="T4177">
        <v>117</v>
      </c>
      <c r="U4177">
        <v>3</v>
      </c>
      <c r="V4177">
        <v>13</v>
      </c>
      <c r="W4177" t="s">
        <v>100</v>
      </c>
      <c r="X4177" t="s">
        <v>100</v>
      </c>
      <c r="Y4177">
        <v>212</v>
      </c>
      <c r="Z4177" t="s">
        <v>100</v>
      </c>
      <c r="AA4177" t="s">
        <v>100</v>
      </c>
      <c r="AB4177" t="s">
        <v>100</v>
      </c>
      <c r="AC4177">
        <v>1</v>
      </c>
      <c r="AD4177" t="s">
        <v>100</v>
      </c>
      <c r="AE4177">
        <v>1</v>
      </c>
      <c r="AF4177">
        <v>1</v>
      </c>
      <c r="AK4177" t="s">
        <v>100</v>
      </c>
      <c r="AL4177" t="s">
        <v>100</v>
      </c>
      <c r="AM4177" t="s">
        <v>100</v>
      </c>
      <c r="AN4177" t="s">
        <v>100</v>
      </c>
      <c r="AP4177">
        <v>1</v>
      </c>
      <c r="AS4177">
        <v>1</v>
      </c>
      <c r="AT4177" t="s">
        <v>100</v>
      </c>
      <c r="AU4177">
        <v>4</v>
      </c>
      <c r="AV4177">
        <v>503</v>
      </c>
      <c r="AW4177">
        <v>503</v>
      </c>
      <c r="AX4177">
        <v>604</v>
      </c>
      <c r="AZ4177" t="s">
        <v>101</v>
      </c>
      <c r="BA4177">
        <v>1</v>
      </c>
      <c r="BC4177" t="s">
        <v>8461</v>
      </c>
      <c r="BD4177" s="4">
        <v>43283.618055555555</v>
      </c>
      <c r="BE4177" s="4">
        <v>43283.630011574074</v>
      </c>
      <c r="BF4177" s="4">
        <v>43283.630011574074</v>
      </c>
      <c r="BG4177" t="s">
        <v>83</v>
      </c>
      <c r="BH4177" t="s">
        <v>84</v>
      </c>
      <c r="BI4177" t="s">
        <v>85</v>
      </c>
    </row>
    <row r="4178" spans="1:61" x14ac:dyDescent="0.3">
      <c r="A4178" t="str">
        <f>"201930C0100"</f>
        <v>201930C0100</v>
      </c>
      <c r="B4178" t="s">
        <v>8462</v>
      </c>
      <c r="C4178">
        <v>20</v>
      </c>
      <c r="D4178" t="s">
        <v>79</v>
      </c>
      <c r="E4178">
        <v>19</v>
      </c>
      <c r="F4178" t="s">
        <v>8046</v>
      </c>
      <c r="G4178">
        <v>1930</v>
      </c>
      <c r="H4178">
        <v>1</v>
      </c>
      <c r="I4178" t="s">
        <v>89</v>
      </c>
      <c r="J4178">
        <v>0</v>
      </c>
      <c r="K4178">
        <v>2</v>
      </c>
      <c r="L4178">
        <v>2</v>
      </c>
      <c r="M4178">
        <v>124</v>
      </c>
      <c r="N4178">
        <v>503</v>
      </c>
      <c r="O4178">
        <v>13</v>
      </c>
      <c r="P4178">
        <v>0</v>
      </c>
      <c r="Q4178">
        <v>15</v>
      </c>
      <c r="R4178">
        <v>122</v>
      </c>
      <c r="S4178">
        <v>1</v>
      </c>
      <c r="T4178">
        <v>117</v>
      </c>
      <c r="U4178">
        <v>3</v>
      </c>
      <c r="V4178">
        <v>9</v>
      </c>
      <c r="W4178">
        <v>1</v>
      </c>
      <c r="X4178">
        <v>1</v>
      </c>
      <c r="Y4178">
        <v>222</v>
      </c>
      <c r="Z4178">
        <v>0</v>
      </c>
      <c r="AA4178">
        <v>0</v>
      </c>
      <c r="AB4178">
        <v>0</v>
      </c>
      <c r="AC4178">
        <v>1</v>
      </c>
      <c r="AD4178">
        <v>0</v>
      </c>
      <c r="AE4178">
        <v>0</v>
      </c>
      <c r="AF4178">
        <v>0</v>
      </c>
      <c r="AK4178">
        <v>0</v>
      </c>
      <c r="AL4178">
        <v>0</v>
      </c>
      <c r="AM4178">
        <v>0</v>
      </c>
      <c r="AN4178">
        <v>0</v>
      </c>
      <c r="AP4178">
        <v>1</v>
      </c>
      <c r="AS4178">
        <v>1</v>
      </c>
      <c r="AT4178">
        <v>0</v>
      </c>
      <c r="AU4178">
        <v>5</v>
      </c>
      <c r="AV4178">
        <v>503</v>
      </c>
      <c r="AW4178">
        <v>499</v>
      </c>
      <c r="AX4178">
        <v>604</v>
      </c>
      <c r="BA4178">
        <v>1</v>
      </c>
      <c r="BC4178" t="s">
        <v>8463</v>
      </c>
      <c r="BD4178" s="4">
        <v>43283.618055555555</v>
      </c>
      <c r="BE4178" s="4">
        <v>43283.629733796297</v>
      </c>
      <c r="BF4178" s="4">
        <v>43283.629733796297</v>
      </c>
      <c r="BG4178" t="s">
        <v>83</v>
      </c>
      <c r="BH4178" t="s">
        <v>84</v>
      </c>
      <c r="BI4178" t="s">
        <v>85</v>
      </c>
    </row>
    <row r="4179" spans="1:61" x14ac:dyDescent="0.3">
      <c r="A4179" t="str">
        <f>"201930C0200"</f>
        <v>201930C0200</v>
      </c>
      <c r="B4179" t="s">
        <v>8464</v>
      </c>
      <c r="C4179">
        <v>20</v>
      </c>
      <c r="D4179" t="s">
        <v>79</v>
      </c>
      <c r="E4179">
        <v>19</v>
      </c>
      <c r="F4179" t="s">
        <v>8046</v>
      </c>
      <c r="G4179">
        <v>1930</v>
      </c>
      <c r="H4179">
        <v>2</v>
      </c>
      <c r="I4179" t="s">
        <v>89</v>
      </c>
      <c r="J4179">
        <v>0</v>
      </c>
      <c r="K4179">
        <v>2</v>
      </c>
      <c r="L4179">
        <v>2</v>
      </c>
      <c r="M4179">
        <v>114</v>
      </c>
      <c r="N4179">
        <v>509</v>
      </c>
      <c r="O4179">
        <v>1</v>
      </c>
      <c r="P4179">
        <v>511</v>
      </c>
      <c r="Q4179">
        <v>8</v>
      </c>
      <c r="R4179">
        <v>113</v>
      </c>
      <c r="S4179">
        <v>2</v>
      </c>
      <c r="T4179">
        <v>146</v>
      </c>
      <c r="U4179">
        <v>2</v>
      </c>
      <c r="V4179">
        <v>9</v>
      </c>
      <c r="W4179">
        <v>1</v>
      </c>
      <c r="X4179">
        <v>0</v>
      </c>
      <c r="Y4179">
        <v>221</v>
      </c>
      <c r="Z4179">
        <v>0</v>
      </c>
      <c r="AA4179">
        <v>0</v>
      </c>
      <c r="AB4179">
        <v>0</v>
      </c>
      <c r="AC4179">
        <v>1</v>
      </c>
      <c r="AD4179">
        <v>0</v>
      </c>
      <c r="AE4179">
        <v>0</v>
      </c>
      <c r="AF4179">
        <v>0</v>
      </c>
      <c r="AK4179">
        <v>0</v>
      </c>
      <c r="AL4179">
        <v>0</v>
      </c>
      <c r="AM4179">
        <v>0</v>
      </c>
      <c r="AN4179">
        <v>0</v>
      </c>
      <c r="AP4179">
        <v>0</v>
      </c>
      <c r="AS4179">
        <v>1</v>
      </c>
      <c r="AT4179">
        <v>0</v>
      </c>
      <c r="AU4179">
        <v>7</v>
      </c>
      <c r="AV4179">
        <v>511</v>
      </c>
      <c r="AW4179">
        <v>511</v>
      </c>
      <c r="AX4179">
        <v>604</v>
      </c>
      <c r="BA4179">
        <v>1</v>
      </c>
      <c r="BC4179" t="s">
        <v>8465</v>
      </c>
      <c r="BD4179" s="4">
        <v>43283.618055555555</v>
      </c>
      <c r="BE4179" s="4">
        <v>43283.630023148151</v>
      </c>
      <c r="BF4179" s="4">
        <v>43283.630023148151</v>
      </c>
      <c r="BG4179" t="s">
        <v>83</v>
      </c>
      <c r="BH4179" t="s">
        <v>84</v>
      </c>
      <c r="BI4179" t="s">
        <v>85</v>
      </c>
    </row>
    <row r="4180" spans="1:61" x14ac:dyDescent="0.3">
      <c r="A4180" t="str">
        <f>"201931B0100"</f>
        <v>201931B0100</v>
      </c>
      <c r="B4180" t="s">
        <v>8466</v>
      </c>
      <c r="C4180">
        <v>20</v>
      </c>
      <c r="D4180" t="s">
        <v>79</v>
      </c>
      <c r="E4180">
        <v>19</v>
      </c>
      <c r="F4180" t="s">
        <v>8046</v>
      </c>
      <c r="G4180">
        <v>1931</v>
      </c>
      <c r="H4180">
        <v>1</v>
      </c>
      <c r="I4180" t="s">
        <v>81</v>
      </c>
      <c r="J4180">
        <v>0</v>
      </c>
      <c r="K4180">
        <v>2</v>
      </c>
      <c r="L4180">
        <v>2</v>
      </c>
      <c r="M4180">
        <v>104</v>
      </c>
      <c r="N4180">
        <v>481</v>
      </c>
      <c r="O4180">
        <v>12</v>
      </c>
      <c r="P4180">
        <v>471</v>
      </c>
      <c r="Q4180">
        <v>7</v>
      </c>
      <c r="R4180">
        <v>76</v>
      </c>
      <c r="S4180">
        <v>2</v>
      </c>
      <c r="T4180">
        <v>162</v>
      </c>
      <c r="U4180">
        <v>1</v>
      </c>
      <c r="V4180">
        <v>8</v>
      </c>
      <c r="W4180">
        <v>1</v>
      </c>
      <c r="X4180">
        <v>1</v>
      </c>
      <c r="Y4180">
        <v>214</v>
      </c>
      <c r="Z4180">
        <v>0</v>
      </c>
      <c r="AA4180">
        <v>0</v>
      </c>
      <c r="AB4180">
        <v>0</v>
      </c>
      <c r="AC4180">
        <v>1</v>
      </c>
      <c r="AD4180">
        <v>0</v>
      </c>
      <c r="AE4180">
        <v>1</v>
      </c>
      <c r="AF4180">
        <v>0</v>
      </c>
      <c r="AK4180">
        <v>0</v>
      </c>
      <c r="AL4180">
        <v>0</v>
      </c>
      <c r="AM4180">
        <v>0</v>
      </c>
      <c r="AN4180">
        <v>0</v>
      </c>
      <c r="AP4180">
        <v>0</v>
      </c>
      <c r="AS4180">
        <v>0</v>
      </c>
      <c r="AT4180">
        <v>0</v>
      </c>
      <c r="AU4180">
        <v>7</v>
      </c>
      <c r="AV4180">
        <v>481</v>
      </c>
      <c r="AW4180">
        <v>481</v>
      </c>
      <c r="AX4180">
        <v>562</v>
      </c>
      <c r="BA4180">
        <v>1</v>
      </c>
      <c r="BC4180" s="2" t="s">
        <v>8467</v>
      </c>
      <c r="BD4180" s="4">
        <v>43283.618055555555</v>
      </c>
      <c r="BE4180" s="4">
        <v>43283.631423611114</v>
      </c>
      <c r="BF4180" s="4">
        <v>43283.631423611114</v>
      </c>
      <c r="BG4180" t="s">
        <v>83</v>
      </c>
      <c r="BH4180" t="s">
        <v>84</v>
      </c>
      <c r="BI4180" t="s">
        <v>85</v>
      </c>
    </row>
    <row r="4181" spans="1:61" x14ac:dyDescent="0.3">
      <c r="A4181" t="str">
        <f>"201931C0100"</f>
        <v>201931C0100</v>
      </c>
      <c r="B4181" t="s">
        <v>8468</v>
      </c>
      <c r="C4181">
        <v>20</v>
      </c>
      <c r="D4181" t="s">
        <v>79</v>
      </c>
      <c r="E4181">
        <v>19</v>
      </c>
      <c r="F4181" t="s">
        <v>8046</v>
      </c>
      <c r="G4181">
        <v>1931</v>
      </c>
      <c r="H4181">
        <v>1</v>
      </c>
      <c r="I4181" t="s">
        <v>89</v>
      </c>
      <c r="J4181">
        <v>0</v>
      </c>
      <c r="K4181">
        <v>2</v>
      </c>
      <c r="L4181">
        <v>2</v>
      </c>
      <c r="AX4181">
        <v>562</v>
      </c>
      <c r="AZ4181" t="s">
        <v>156</v>
      </c>
      <c r="BA4181">
        <v>0</v>
      </c>
      <c r="BC4181" t="s">
        <v>8469</v>
      </c>
      <c r="BD4181" s="4">
        <v>43283.774305555555</v>
      </c>
      <c r="BE4181" s="4">
        <v>43283.779537037037</v>
      </c>
      <c r="BF4181" s="4">
        <v>43283.779537037037</v>
      </c>
      <c r="BG4181" t="s">
        <v>83</v>
      </c>
      <c r="BH4181" t="s">
        <v>84</v>
      </c>
      <c r="BI4181" t="s">
        <v>85</v>
      </c>
    </row>
    <row r="4182" spans="1:61" x14ac:dyDescent="0.3">
      <c r="A4182" t="str">
        <f>"201931C0200"</f>
        <v>201931C0200</v>
      </c>
      <c r="B4182" t="s">
        <v>8470</v>
      </c>
      <c r="C4182">
        <v>20</v>
      </c>
      <c r="D4182" t="s">
        <v>79</v>
      </c>
      <c r="E4182">
        <v>19</v>
      </c>
      <c r="F4182" t="s">
        <v>8046</v>
      </c>
      <c r="G4182">
        <v>1931</v>
      </c>
      <c r="H4182">
        <v>2</v>
      </c>
      <c r="I4182" t="s">
        <v>89</v>
      </c>
      <c r="J4182">
        <v>0</v>
      </c>
      <c r="K4182">
        <v>2</v>
      </c>
      <c r="L4182">
        <v>2</v>
      </c>
      <c r="M4182">
        <v>132</v>
      </c>
      <c r="N4182">
        <v>452</v>
      </c>
      <c r="O4182">
        <v>5</v>
      </c>
      <c r="P4182">
        <v>451</v>
      </c>
      <c r="Q4182">
        <v>11</v>
      </c>
      <c r="R4182">
        <v>107</v>
      </c>
      <c r="S4182">
        <v>0</v>
      </c>
      <c r="T4182">
        <v>101</v>
      </c>
      <c r="U4182">
        <v>11</v>
      </c>
      <c r="V4182">
        <v>10</v>
      </c>
      <c r="W4182">
        <v>0</v>
      </c>
      <c r="X4182">
        <v>0</v>
      </c>
      <c r="Y4182">
        <v>211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2</v>
      </c>
      <c r="AF4182">
        <v>0</v>
      </c>
      <c r="AK4182">
        <v>0</v>
      </c>
      <c r="AL4182">
        <v>0</v>
      </c>
      <c r="AM4182">
        <v>0</v>
      </c>
      <c r="AN4182">
        <v>0</v>
      </c>
      <c r="AP4182">
        <v>0</v>
      </c>
      <c r="AS4182">
        <v>0</v>
      </c>
      <c r="AT4182">
        <v>0</v>
      </c>
      <c r="AU4182">
        <v>2</v>
      </c>
      <c r="AV4182">
        <v>451</v>
      </c>
      <c r="AW4182">
        <v>455</v>
      </c>
      <c r="AX4182">
        <v>561</v>
      </c>
      <c r="BA4182">
        <v>1</v>
      </c>
      <c r="BC4182" t="s">
        <v>8471</v>
      </c>
      <c r="BD4182" s="4">
        <v>43283.618055555555</v>
      </c>
      <c r="BE4182" s="4">
        <v>43283.630983796298</v>
      </c>
      <c r="BF4182" s="4">
        <v>43283.630983796298</v>
      </c>
      <c r="BG4182" t="s">
        <v>83</v>
      </c>
      <c r="BH4182" t="s">
        <v>84</v>
      </c>
      <c r="BI4182" t="s">
        <v>85</v>
      </c>
    </row>
    <row r="4183" spans="1:61" x14ac:dyDescent="0.3">
      <c r="A4183" t="str">
        <f>"201932B0100"</f>
        <v>201932B0100</v>
      </c>
      <c r="B4183" t="s">
        <v>8472</v>
      </c>
      <c r="C4183">
        <v>20</v>
      </c>
      <c r="D4183" t="s">
        <v>79</v>
      </c>
      <c r="E4183">
        <v>19</v>
      </c>
      <c r="F4183" t="s">
        <v>8046</v>
      </c>
      <c r="G4183">
        <v>1932</v>
      </c>
      <c r="H4183">
        <v>1</v>
      </c>
      <c r="I4183" t="s">
        <v>81</v>
      </c>
      <c r="J4183">
        <v>0</v>
      </c>
      <c r="K4183">
        <v>2</v>
      </c>
      <c r="L4183">
        <v>2</v>
      </c>
      <c r="M4183">
        <v>127</v>
      </c>
      <c r="N4183">
        <v>500</v>
      </c>
      <c r="O4183">
        <v>2</v>
      </c>
      <c r="P4183">
        <v>503</v>
      </c>
      <c r="Q4183">
        <v>8</v>
      </c>
      <c r="R4183">
        <v>84</v>
      </c>
      <c r="S4183">
        <v>0</v>
      </c>
      <c r="T4183">
        <v>153</v>
      </c>
      <c r="U4183">
        <v>0</v>
      </c>
      <c r="V4183">
        <v>10</v>
      </c>
      <c r="W4183">
        <v>5</v>
      </c>
      <c r="X4183">
        <v>0</v>
      </c>
      <c r="Y4183">
        <v>241</v>
      </c>
      <c r="Z4183">
        <v>1</v>
      </c>
      <c r="AA4183">
        <v>0</v>
      </c>
      <c r="AB4183">
        <v>0</v>
      </c>
      <c r="AC4183">
        <v>0</v>
      </c>
      <c r="AD4183">
        <v>0</v>
      </c>
      <c r="AE4183">
        <v>0</v>
      </c>
      <c r="AF4183">
        <v>0</v>
      </c>
      <c r="AK4183">
        <v>0</v>
      </c>
      <c r="AL4183">
        <v>0</v>
      </c>
      <c r="AM4183">
        <v>0</v>
      </c>
      <c r="AN4183">
        <v>0</v>
      </c>
      <c r="AP4183">
        <v>0</v>
      </c>
      <c r="AS4183">
        <v>0</v>
      </c>
      <c r="AT4183">
        <v>0</v>
      </c>
      <c r="AU4183">
        <v>1</v>
      </c>
      <c r="AV4183">
        <v>503</v>
      </c>
      <c r="AW4183">
        <v>503</v>
      </c>
      <c r="AX4183">
        <v>608</v>
      </c>
      <c r="BA4183">
        <v>1</v>
      </c>
      <c r="BC4183" t="s">
        <v>8473</v>
      </c>
      <c r="BD4183" s="4">
        <v>43283.622916666667</v>
      </c>
      <c r="BE4183" s="4">
        <v>43283.641886574071</v>
      </c>
      <c r="BF4183" s="4">
        <v>43283.641886574071</v>
      </c>
      <c r="BG4183" t="s">
        <v>83</v>
      </c>
      <c r="BH4183" t="s">
        <v>84</v>
      </c>
      <c r="BI4183" t="s">
        <v>85</v>
      </c>
    </row>
    <row r="4184" spans="1:61" x14ac:dyDescent="0.3">
      <c r="A4184" t="str">
        <f>"201932C0100"</f>
        <v>201932C0100</v>
      </c>
      <c r="B4184" t="s">
        <v>8474</v>
      </c>
      <c r="C4184">
        <v>20</v>
      </c>
      <c r="D4184" t="s">
        <v>79</v>
      </c>
      <c r="E4184">
        <v>19</v>
      </c>
      <c r="F4184" t="s">
        <v>8046</v>
      </c>
      <c r="G4184">
        <v>1932</v>
      </c>
      <c r="H4184">
        <v>1</v>
      </c>
      <c r="I4184" t="s">
        <v>89</v>
      </c>
      <c r="J4184">
        <v>0</v>
      </c>
      <c r="K4184">
        <v>2</v>
      </c>
      <c r="L4184">
        <v>2</v>
      </c>
      <c r="M4184">
        <v>143</v>
      </c>
      <c r="N4184">
        <v>487</v>
      </c>
      <c r="O4184">
        <v>1</v>
      </c>
      <c r="P4184">
        <v>487</v>
      </c>
      <c r="Q4184">
        <v>22</v>
      </c>
      <c r="R4184">
        <v>109</v>
      </c>
      <c r="S4184">
        <v>1</v>
      </c>
      <c r="T4184">
        <v>108</v>
      </c>
      <c r="U4184">
        <v>8</v>
      </c>
      <c r="V4184">
        <v>18</v>
      </c>
      <c r="W4184">
        <v>2</v>
      </c>
      <c r="X4184">
        <v>0</v>
      </c>
      <c r="Y4184">
        <v>211</v>
      </c>
      <c r="Z4184">
        <v>1</v>
      </c>
      <c r="AA4184">
        <v>0</v>
      </c>
      <c r="AB4184">
        <v>2</v>
      </c>
      <c r="AC4184">
        <v>0</v>
      </c>
      <c r="AD4184">
        <v>0</v>
      </c>
      <c r="AE4184">
        <v>0</v>
      </c>
      <c r="AF4184">
        <v>0</v>
      </c>
      <c r="AK4184">
        <v>0</v>
      </c>
      <c r="AL4184">
        <v>0</v>
      </c>
      <c r="AM4184">
        <v>0</v>
      </c>
      <c r="AN4184">
        <v>0</v>
      </c>
      <c r="AP4184">
        <v>1</v>
      </c>
      <c r="AS4184">
        <v>0</v>
      </c>
      <c r="AT4184">
        <v>0</v>
      </c>
      <c r="AU4184">
        <v>4</v>
      </c>
      <c r="AV4184">
        <v>487</v>
      </c>
      <c r="AW4184">
        <v>487</v>
      </c>
      <c r="AX4184">
        <v>607</v>
      </c>
      <c r="BA4184">
        <v>1</v>
      </c>
      <c r="BC4184" t="s">
        <v>8475</v>
      </c>
      <c r="BD4184" s="4">
        <v>43283.618055555555</v>
      </c>
      <c r="BE4184" s="4">
        <v>43283.63113425926</v>
      </c>
      <c r="BF4184" s="4">
        <v>43283.63113425926</v>
      </c>
      <c r="BG4184" t="s">
        <v>83</v>
      </c>
      <c r="BH4184" t="s">
        <v>84</v>
      </c>
      <c r="BI4184" t="s">
        <v>85</v>
      </c>
    </row>
    <row r="4185" spans="1:61" x14ac:dyDescent="0.3">
      <c r="A4185" t="str">
        <f>"200180B0100"</f>
        <v>200180B0100</v>
      </c>
      <c r="B4185" t="s">
        <v>8476</v>
      </c>
      <c r="C4185">
        <v>20</v>
      </c>
      <c r="D4185" t="s">
        <v>79</v>
      </c>
      <c r="E4185">
        <v>20</v>
      </c>
      <c r="F4185" t="s">
        <v>8477</v>
      </c>
      <c r="G4185">
        <v>180</v>
      </c>
      <c r="H4185">
        <v>1</v>
      </c>
      <c r="I4185" t="s">
        <v>81</v>
      </c>
      <c r="J4185">
        <v>0</v>
      </c>
      <c r="K4185">
        <v>1</v>
      </c>
      <c r="L4185">
        <v>2</v>
      </c>
      <c r="M4185">
        <v>108</v>
      </c>
      <c r="N4185">
        <v>352</v>
      </c>
      <c r="O4185">
        <v>6</v>
      </c>
      <c r="P4185">
        <v>352</v>
      </c>
      <c r="Q4185">
        <v>3</v>
      </c>
      <c r="R4185">
        <v>61</v>
      </c>
      <c r="S4185">
        <v>36</v>
      </c>
      <c r="T4185">
        <v>4</v>
      </c>
      <c r="U4185">
        <v>23</v>
      </c>
      <c r="V4185">
        <v>12</v>
      </c>
      <c r="W4185">
        <v>18</v>
      </c>
      <c r="X4185">
        <v>4</v>
      </c>
      <c r="Y4185">
        <v>158</v>
      </c>
      <c r="Z4185">
        <v>6</v>
      </c>
      <c r="AA4185">
        <v>6</v>
      </c>
      <c r="AB4185">
        <v>5</v>
      </c>
      <c r="AC4185">
        <v>0</v>
      </c>
      <c r="AD4185">
        <v>0</v>
      </c>
      <c r="AE4185">
        <v>0</v>
      </c>
      <c r="AF4185">
        <v>0</v>
      </c>
      <c r="AK4185">
        <v>1</v>
      </c>
      <c r="AL4185">
        <v>1</v>
      </c>
      <c r="AM4185">
        <v>0</v>
      </c>
      <c r="AN4185">
        <v>0</v>
      </c>
      <c r="AQ4185">
        <v>0</v>
      </c>
      <c r="AT4185">
        <v>0</v>
      </c>
      <c r="AU4185">
        <v>14</v>
      </c>
      <c r="AV4185">
        <v>352</v>
      </c>
      <c r="AW4185">
        <v>352</v>
      </c>
      <c r="AX4185">
        <v>450</v>
      </c>
      <c r="BA4185">
        <v>1</v>
      </c>
      <c r="BC4185" t="s">
        <v>8478</v>
      </c>
      <c r="BD4185" s="4">
        <v>43283.087500000001</v>
      </c>
      <c r="BE4185" s="4">
        <v>43283.095000000001</v>
      </c>
      <c r="BF4185" s="4">
        <v>43283.095000000001</v>
      </c>
      <c r="BG4185" t="s">
        <v>83</v>
      </c>
      <c r="BH4185" t="s">
        <v>84</v>
      </c>
      <c r="BI4185" t="s">
        <v>85</v>
      </c>
    </row>
    <row r="4186" spans="1:61" x14ac:dyDescent="0.3">
      <c r="A4186" t="str">
        <f>"200180C0100"</f>
        <v>200180C0100</v>
      </c>
      <c r="B4186" t="s">
        <v>8479</v>
      </c>
      <c r="C4186">
        <v>20</v>
      </c>
      <c r="D4186" t="s">
        <v>79</v>
      </c>
      <c r="E4186">
        <v>20</v>
      </c>
      <c r="F4186" t="s">
        <v>8477</v>
      </c>
      <c r="G4186">
        <v>180</v>
      </c>
      <c r="H4186">
        <v>1</v>
      </c>
      <c r="I4186" t="s">
        <v>89</v>
      </c>
      <c r="J4186">
        <v>0</v>
      </c>
      <c r="K4186">
        <v>1</v>
      </c>
      <c r="L4186">
        <v>2</v>
      </c>
      <c r="M4186">
        <v>125</v>
      </c>
      <c r="N4186">
        <v>346</v>
      </c>
      <c r="O4186">
        <v>6</v>
      </c>
      <c r="P4186">
        <v>346</v>
      </c>
      <c r="Q4186">
        <v>4</v>
      </c>
      <c r="R4186">
        <v>47</v>
      </c>
      <c r="S4186">
        <v>34</v>
      </c>
      <c r="T4186">
        <v>3</v>
      </c>
      <c r="U4186">
        <v>17</v>
      </c>
      <c r="V4186">
        <v>10</v>
      </c>
      <c r="W4186">
        <v>15</v>
      </c>
      <c r="X4186">
        <v>4</v>
      </c>
      <c r="Y4186">
        <v>181</v>
      </c>
      <c r="Z4186">
        <v>2</v>
      </c>
      <c r="AA4186">
        <v>2</v>
      </c>
      <c r="AB4186">
        <v>6</v>
      </c>
      <c r="AC4186">
        <v>0</v>
      </c>
      <c r="AD4186">
        <v>0</v>
      </c>
      <c r="AE4186">
        <v>0</v>
      </c>
      <c r="AF4186">
        <v>0</v>
      </c>
      <c r="AK4186">
        <v>1</v>
      </c>
      <c r="AL4186">
        <v>0</v>
      </c>
      <c r="AM4186">
        <v>0</v>
      </c>
      <c r="AN4186">
        <v>0</v>
      </c>
      <c r="AQ4186">
        <v>0</v>
      </c>
      <c r="AT4186">
        <v>0</v>
      </c>
      <c r="AU4186">
        <v>20</v>
      </c>
      <c r="AV4186">
        <v>346</v>
      </c>
      <c r="AW4186">
        <v>346</v>
      </c>
      <c r="AX4186">
        <v>449</v>
      </c>
      <c r="BA4186">
        <v>1</v>
      </c>
      <c r="BC4186" t="s">
        <v>8480</v>
      </c>
      <c r="BD4186" s="4">
        <v>43283.086805555555</v>
      </c>
      <c r="BE4186" s="4">
        <v>43283.092800925922</v>
      </c>
      <c r="BF4186" s="4">
        <v>43283.092800925922</v>
      </c>
      <c r="BG4186" t="s">
        <v>83</v>
      </c>
      <c r="BH4186" t="s">
        <v>84</v>
      </c>
      <c r="BI4186" t="s">
        <v>85</v>
      </c>
    </row>
    <row r="4187" spans="1:61" x14ac:dyDescent="0.3">
      <c r="A4187" t="str">
        <f>"200181B0100"</f>
        <v>200181B0100</v>
      </c>
      <c r="B4187" t="s">
        <v>8481</v>
      </c>
      <c r="C4187">
        <v>20</v>
      </c>
      <c r="D4187" t="s">
        <v>79</v>
      </c>
      <c r="E4187">
        <v>20</v>
      </c>
      <c r="F4187" t="s">
        <v>8477</v>
      </c>
      <c r="G4187">
        <v>181</v>
      </c>
      <c r="H4187">
        <v>1</v>
      </c>
      <c r="I4187" t="s">
        <v>81</v>
      </c>
      <c r="J4187">
        <v>0</v>
      </c>
      <c r="K4187">
        <v>1</v>
      </c>
      <c r="L4187">
        <v>2</v>
      </c>
      <c r="M4187">
        <v>103</v>
      </c>
      <c r="N4187">
        <v>350</v>
      </c>
      <c r="O4187">
        <v>2</v>
      </c>
      <c r="P4187">
        <v>345</v>
      </c>
      <c r="Q4187">
        <v>4</v>
      </c>
      <c r="R4187">
        <v>81</v>
      </c>
      <c r="S4187">
        <v>27</v>
      </c>
      <c r="T4187">
        <v>11</v>
      </c>
      <c r="U4187">
        <v>15</v>
      </c>
      <c r="V4187">
        <v>6</v>
      </c>
      <c r="W4187">
        <v>3</v>
      </c>
      <c r="X4187">
        <v>3</v>
      </c>
      <c r="Y4187">
        <v>159</v>
      </c>
      <c r="Z4187">
        <v>3</v>
      </c>
      <c r="AA4187">
        <v>3</v>
      </c>
      <c r="AB4187">
        <v>7</v>
      </c>
      <c r="AC4187">
        <v>0</v>
      </c>
      <c r="AD4187">
        <v>0</v>
      </c>
      <c r="AE4187">
        <v>0</v>
      </c>
      <c r="AF4187">
        <v>1</v>
      </c>
      <c r="AK4187">
        <v>2</v>
      </c>
      <c r="AL4187">
        <v>0</v>
      </c>
      <c r="AM4187">
        <v>0</v>
      </c>
      <c r="AN4187">
        <v>1</v>
      </c>
      <c r="AQ4187">
        <v>0</v>
      </c>
      <c r="AT4187">
        <v>0</v>
      </c>
      <c r="AU4187">
        <v>19</v>
      </c>
      <c r="AV4187">
        <v>345</v>
      </c>
      <c r="AW4187">
        <v>345</v>
      </c>
      <c r="AX4187">
        <v>438</v>
      </c>
      <c r="BA4187">
        <v>1</v>
      </c>
      <c r="BC4187" t="s">
        <v>8482</v>
      </c>
      <c r="BD4187" s="4">
        <v>43283.088194444441</v>
      </c>
      <c r="BE4187" s="4">
        <v>43283.092997685184</v>
      </c>
      <c r="BF4187" s="4">
        <v>43283.092997685184</v>
      </c>
      <c r="BG4187" t="s">
        <v>83</v>
      </c>
      <c r="BH4187" t="s">
        <v>84</v>
      </c>
      <c r="BI4187" t="s">
        <v>85</v>
      </c>
    </row>
    <row r="4188" spans="1:61" x14ac:dyDescent="0.3">
      <c r="A4188" t="str">
        <f>"200181C0100"</f>
        <v>200181C0100</v>
      </c>
      <c r="B4188" t="s">
        <v>8483</v>
      </c>
      <c r="C4188">
        <v>20</v>
      </c>
      <c r="D4188" t="s">
        <v>79</v>
      </c>
      <c r="E4188">
        <v>20</v>
      </c>
      <c r="F4188" t="s">
        <v>8477</v>
      </c>
      <c r="G4188">
        <v>181</v>
      </c>
      <c r="H4188">
        <v>1</v>
      </c>
      <c r="I4188" t="s">
        <v>89</v>
      </c>
      <c r="J4188">
        <v>0</v>
      </c>
      <c r="K4188">
        <v>1</v>
      </c>
      <c r="L4188">
        <v>2</v>
      </c>
      <c r="M4188">
        <v>103</v>
      </c>
      <c r="N4188">
        <v>351</v>
      </c>
      <c r="O4188">
        <v>2</v>
      </c>
      <c r="P4188">
        <v>353</v>
      </c>
      <c r="Q4188">
        <v>6</v>
      </c>
      <c r="R4188">
        <v>118</v>
      </c>
      <c r="S4188">
        <v>26</v>
      </c>
      <c r="T4188">
        <v>4</v>
      </c>
      <c r="U4188">
        <v>7</v>
      </c>
      <c r="V4188">
        <v>6</v>
      </c>
      <c r="W4188">
        <v>13</v>
      </c>
      <c r="X4188">
        <v>2</v>
      </c>
      <c r="Y4188">
        <v>126</v>
      </c>
      <c r="Z4188">
        <v>1</v>
      </c>
      <c r="AA4188">
        <v>3</v>
      </c>
      <c r="AB4188">
        <v>7</v>
      </c>
      <c r="AC4188">
        <v>1</v>
      </c>
      <c r="AD4188">
        <v>0</v>
      </c>
      <c r="AE4188">
        <v>0</v>
      </c>
      <c r="AF4188">
        <v>1</v>
      </c>
      <c r="AK4188">
        <v>1</v>
      </c>
      <c r="AL4188">
        <v>2</v>
      </c>
      <c r="AM4188">
        <v>0</v>
      </c>
      <c r="AN4188">
        <v>1</v>
      </c>
      <c r="AQ4188">
        <v>1</v>
      </c>
      <c r="AT4188">
        <v>0</v>
      </c>
      <c r="AU4188">
        <v>27</v>
      </c>
      <c r="AV4188">
        <v>353</v>
      </c>
      <c r="AW4188">
        <v>353</v>
      </c>
      <c r="AX4188">
        <v>437</v>
      </c>
      <c r="BA4188">
        <v>1</v>
      </c>
      <c r="BC4188" t="s">
        <v>8484</v>
      </c>
      <c r="BD4188" s="4">
        <v>43283.086111111108</v>
      </c>
      <c r="BE4188" s="4">
        <v>43283.090868055559</v>
      </c>
      <c r="BF4188" s="4">
        <v>43283.090868055559</v>
      </c>
      <c r="BG4188" t="s">
        <v>83</v>
      </c>
      <c r="BH4188" t="s">
        <v>84</v>
      </c>
      <c r="BI4188" t="s">
        <v>85</v>
      </c>
    </row>
    <row r="4189" spans="1:61" x14ac:dyDescent="0.3">
      <c r="A4189" t="str">
        <f>"200182B0100"</f>
        <v>200182B0100</v>
      </c>
      <c r="B4189" t="s">
        <v>8485</v>
      </c>
      <c r="C4189">
        <v>20</v>
      </c>
      <c r="D4189" t="s">
        <v>79</v>
      </c>
      <c r="E4189">
        <v>20</v>
      </c>
      <c r="F4189" t="s">
        <v>8477</v>
      </c>
      <c r="G4189">
        <v>182</v>
      </c>
      <c r="H4189">
        <v>1</v>
      </c>
      <c r="I4189" t="s">
        <v>81</v>
      </c>
      <c r="J4189">
        <v>0</v>
      </c>
      <c r="K4189">
        <v>1</v>
      </c>
      <c r="L4189">
        <v>2</v>
      </c>
      <c r="M4189">
        <v>91</v>
      </c>
      <c r="N4189">
        <v>419</v>
      </c>
      <c r="O4189">
        <v>6</v>
      </c>
      <c r="P4189">
        <v>418</v>
      </c>
      <c r="Q4189">
        <v>9</v>
      </c>
      <c r="R4189">
        <v>77</v>
      </c>
      <c r="S4189">
        <v>59</v>
      </c>
      <c r="T4189">
        <v>9</v>
      </c>
      <c r="U4189">
        <v>15</v>
      </c>
      <c r="V4189">
        <v>6</v>
      </c>
      <c r="W4189">
        <v>10</v>
      </c>
      <c r="X4189">
        <v>3</v>
      </c>
      <c r="Y4189">
        <v>188</v>
      </c>
      <c r="Z4189">
        <v>7</v>
      </c>
      <c r="AA4189">
        <v>4</v>
      </c>
      <c r="AB4189">
        <v>5</v>
      </c>
      <c r="AC4189">
        <v>0</v>
      </c>
      <c r="AD4189">
        <v>0</v>
      </c>
      <c r="AE4189">
        <v>0</v>
      </c>
      <c r="AF4189">
        <v>0</v>
      </c>
      <c r="AK4189">
        <v>0</v>
      </c>
      <c r="AL4189">
        <v>1</v>
      </c>
      <c r="AM4189">
        <v>0</v>
      </c>
      <c r="AN4189">
        <v>1</v>
      </c>
      <c r="AQ4189">
        <v>1</v>
      </c>
      <c r="AT4189">
        <v>0</v>
      </c>
      <c r="AU4189">
        <v>23</v>
      </c>
      <c r="AV4189">
        <v>418</v>
      </c>
      <c r="AW4189">
        <v>418</v>
      </c>
      <c r="AX4189">
        <v>487</v>
      </c>
      <c r="BA4189">
        <v>1</v>
      </c>
      <c r="BC4189" t="s">
        <v>8486</v>
      </c>
      <c r="BD4189" s="4">
        <v>43283.177083333336</v>
      </c>
      <c r="BE4189" s="4">
        <v>43283.196111111109</v>
      </c>
      <c r="BF4189" s="4">
        <v>43283.196111111109</v>
      </c>
      <c r="BG4189" t="s">
        <v>83</v>
      </c>
      <c r="BH4189" t="s">
        <v>84</v>
      </c>
      <c r="BI4189" t="s">
        <v>85</v>
      </c>
    </row>
    <row r="4190" spans="1:61" x14ac:dyDescent="0.3">
      <c r="A4190" t="str">
        <f>"200182C0100"</f>
        <v>200182C0100</v>
      </c>
      <c r="B4190" t="s">
        <v>8487</v>
      </c>
      <c r="C4190">
        <v>20</v>
      </c>
      <c r="D4190" t="s">
        <v>79</v>
      </c>
      <c r="E4190">
        <v>20</v>
      </c>
      <c r="F4190" t="s">
        <v>8477</v>
      </c>
      <c r="G4190">
        <v>182</v>
      </c>
      <c r="H4190">
        <v>1</v>
      </c>
      <c r="I4190" t="s">
        <v>89</v>
      </c>
      <c r="J4190">
        <v>0</v>
      </c>
      <c r="K4190">
        <v>1</v>
      </c>
      <c r="L4190">
        <v>2</v>
      </c>
      <c r="M4190">
        <v>216</v>
      </c>
      <c r="N4190">
        <v>390</v>
      </c>
      <c r="O4190" t="s">
        <v>100</v>
      </c>
      <c r="P4190">
        <v>390</v>
      </c>
      <c r="Q4190">
        <v>2</v>
      </c>
      <c r="R4190">
        <v>84</v>
      </c>
      <c r="S4190">
        <v>44</v>
      </c>
      <c r="T4190">
        <v>5</v>
      </c>
      <c r="U4190">
        <v>14</v>
      </c>
      <c r="V4190">
        <v>3</v>
      </c>
      <c r="W4190">
        <v>15</v>
      </c>
      <c r="X4190">
        <v>1</v>
      </c>
      <c r="Y4190">
        <v>194</v>
      </c>
      <c r="Z4190">
        <v>4</v>
      </c>
      <c r="AA4190">
        <v>2</v>
      </c>
      <c r="AB4190">
        <v>9</v>
      </c>
      <c r="AC4190" t="s">
        <v>100</v>
      </c>
      <c r="AD4190" t="s">
        <v>100</v>
      </c>
      <c r="AE4190" t="s">
        <v>100</v>
      </c>
      <c r="AF4190" t="s">
        <v>100</v>
      </c>
      <c r="AK4190" t="s">
        <v>100</v>
      </c>
      <c r="AL4190">
        <v>2</v>
      </c>
      <c r="AM4190" t="s">
        <v>100</v>
      </c>
      <c r="AN4190" t="s">
        <v>100</v>
      </c>
      <c r="AQ4190" t="s">
        <v>100</v>
      </c>
      <c r="AT4190" t="s">
        <v>100</v>
      </c>
      <c r="AU4190">
        <v>11</v>
      </c>
      <c r="AV4190">
        <v>390</v>
      </c>
      <c r="AW4190">
        <v>390</v>
      </c>
      <c r="AX4190">
        <v>487</v>
      </c>
      <c r="AZ4190" t="s">
        <v>101</v>
      </c>
      <c r="BA4190">
        <v>1</v>
      </c>
      <c r="BC4190" t="s">
        <v>8488</v>
      </c>
      <c r="BD4190" s="4">
        <v>43283.138888888891</v>
      </c>
      <c r="BE4190" s="4">
        <v>43283.145069444443</v>
      </c>
      <c r="BF4190" s="4">
        <v>43283.145069444443</v>
      </c>
      <c r="BG4190" t="s">
        <v>83</v>
      </c>
      <c r="BH4190" t="s">
        <v>84</v>
      </c>
      <c r="BI4190" t="s">
        <v>85</v>
      </c>
    </row>
    <row r="4191" spans="1:61" x14ac:dyDescent="0.3">
      <c r="A4191" t="str">
        <f>"200183B0100"</f>
        <v>200183B0100</v>
      </c>
      <c r="B4191" t="s">
        <v>8489</v>
      </c>
      <c r="C4191">
        <v>20</v>
      </c>
      <c r="D4191" t="s">
        <v>79</v>
      </c>
      <c r="E4191">
        <v>20</v>
      </c>
      <c r="F4191" t="s">
        <v>8477</v>
      </c>
      <c r="G4191">
        <v>183</v>
      </c>
      <c r="H4191">
        <v>1</v>
      </c>
      <c r="I4191" t="s">
        <v>81</v>
      </c>
      <c r="J4191">
        <v>0</v>
      </c>
      <c r="K4191">
        <v>1</v>
      </c>
      <c r="L4191">
        <v>2</v>
      </c>
      <c r="M4191">
        <v>76</v>
      </c>
      <c r="N4191">
        <v>456</v>
      </c>
      <c r="O4191">
        <v>4</v>
      </c>
      <c r="P4191">
        <v>454</v>
      </c>
      <c r="Q4191">
        <v>10</v>
      </c>
      <c r="R4191">
        <v>95</v>
      </c>
      <c r="S4191">
        <v>70</v>
      </c>
      <c r="T4191">
        <v>11</v>
      </c>
      <c r="U4191">
        <v>17</v>
      </c>
      <c r="V4191">
        <v>15</v>
      </c>
      <c r="W4191">
        <v>23</v>
      </c>
      <c r="X4191">
        <v>7</v>
      </c>
      <c r="Y4191">
        <v>155</v>
      </c>
      <c r="Z4191">
        <v>6</v>
      </c>
      <c r="AA4191">
        <v>2</v>
      </c>
      <c r="AB4191">
        <v>7</v>
      </c>
      <c r="AC4191">
        <v>1</v>
      </c>
      <c r="AD4191">
        <v>0</v>
      </c>
      <c r="AE4191">
        <v>0</v>
      </c>
      <c r="AF4191">
        <v>0</v>
      </c>
      <c r="AK4191">
        <v>5</v>
      </c>
      <c r="AL4191">
        <v>2</v>
      </c>
      <c r="AM4191">
        <v>0</v>
      </c>
      <c r="AN4191">
        <v>2</v>
      </c>
      <c r="AQ4191">
        <v>0</v>
      </c>
      <c r="AT4191">
        <v>0</v>
      </c>
      <c r="AU4191">
        <v>26</v>
      </c>
      <c r="AV4191">
        <v>454</v>
      </c>
      <c r="AW4191">
        <v>454</v>
      </c>
      <c r="AX4191">
        <v>610</v>
      </c>
      <c r="BA4191">
        <v>1</v>
      </c>
      <c r="BC4191" t="s">
        <v>8490</v>
      </c>
      <c r="BD4191" s="4">
        <v>43283.14166666667</v>
      </c>
      <c r="BE4191" s="4">
        <v>43283.147245370368</v>
      </c>
      <c r="BF4191" s="4">
        <v>43283.147245370368</v>
      </c>
      <c r="BG4191" t="s">
        <v>83</v>
      </c>
      <c r="BH4191" t="s">
        <v>84</v>
      </c>
      <c r="BI4191" t="s">
        <v>85</v>
      </c>
    </row>
    <row r="4192" spans="1:61" x14ac:dyDescent="0.3">
      <c r="A4192" t="str">
        <f>"200183C0100"</f>
        <v>200183C0100</v>
      </c>
      <c r="B4192" t="s">
        <v>8491</v>
      </c>
      <c r="C4192">
        <v>20</v>
      </c>
      <c r="D4192" t="s">
        <v>79</v>
      </c>
      <c r="E4192">
        <v>20</v>
      </c>
      <c r="F4192" t="s">
        <v>8477</v>
      </c>
      <c r="G4192">
        <v>183</v>
      </c>
      <c r="H4192">
        <v>1</v>
      </c>
      <c r="I4192" t="s">
        <v>89</v>
      </c>
      <c r="J4192">
        <v>0</v>
      </c>
      <c r="K4192">
        <v>1</v>
      </c>
      <c r="L4192">
        <v>2</v>
      </c>
      <c r="M4192">
        <v>156</v>
      </c>
      <c r="N4192">
        <v>475</v>
      </c>
      <c r="O4192">
        <v>0</v>
      </c>
      <c r="P4192">
        <v>475</v>
      </c>
      <c r="Q4192">
        <v>9</v>
      </c>
      <c r="R4192">
        <v>87</v>
      </c>
      <c r="S4192">
        <v>63</v>
      </c>
      <c r="T4192">
        <v>8</v>
      </c>
      <c r="U4192">
        <v>15</v>
      </c>
      <c r="V4192">
        <v>10</v>
      </c>
      <c r="W4192">
        <v>44</v>
      </c>
      <c r="X4192">
        <v>7</v>
      </c>
      <c r="Y4192">
        <v>175</v>
      </c>
      <c r="Z4192">
        <v>8</v>
      </c>
      <c r="AA4192">
        <v>1</v>
      </c>
      <c r="AB4192">
        <v>9</v>
      </c>
      <c r="AC4192">
        <v>0</v>
      </c>
      <c r="AD4192">
        <v>0</v>
      </c>
      <c r="AE4192">
        <v>0</v>
      </c>
      <c r="AF4192">
        <v>0</v>
      </c>
      <c r="AK4192">
        <v>6</v>
      </c>
      <c r="AL4192">
        <v>4</v>
      </c>
      <c r="AM4192">
        <v>0</v>
      </c>
      <c r="AN4192">
        <v>1</v>
      </c>
      <c r="AQ4192">
        <v>1</v>
      </c>
      <c r="AT4192">
        <v>0</v>
      </c>
      <c r="AU4192">
        <v>27</v>
      </c>
      <c r="AV4192">
        <v>475</v>
      </c>
      <c r="AW4192">
        <v>475</v>
      </c>
      <c r="AX4192">
        <v>609</v>
      </c>
      <c r="BA4192">
        <v>1</v>
      </c>
      <c r="BC4192" t="s">
        <v>8492</v>
      </c>
      <c r="BD4192" s="4">
        <v>43283.140972222223</v>
      </c>
      <c r="BE4192" s="4">
        <v>43283.147789351853</v>
      </c>
      <c r="BF4192" s="4">
        <v>43283.147789351853</v>
      </c>
      <c r="BG4192" t="s">
        <v>83</v>
      </c>
      <c r="BH4192" t="s">
        <v>84</v>
      </c>
      <c r="BI4192" t="s">
        <v>85</v>
      </c>
    </row>
    <row r="4193" spans="1:61" x14ac:dyDescent="0.3">
      <c r="A4193" t="str">
        <f>"200184B0100"</f>
        <v>200184B0100</v>
      </c>
      <c r="B4193" t="s">
        <v>8493</v>
      </c>
      <c r="C4193">
        <v>20</v>
      </c>
      <c r="D4193" t="s">
        <v>79</v>
      </c>
      <c r="E4193">
        <v>20</v>
      </c>
      <c r="F4193" t="s">
        <v>8477</v>
      </c>
      <c r="G4193">
        <v>184</v>
      </c>
      <c r="H4193">
        <v>1</v>
      </c>
      <c r="I4193" t="s">
        <v>81</v>
      </c>
      <c r="J4193">
        <v>0</v>
      </c>
      <c r="K4193">
        <v>1</v>
      </c>
      <c r="L4193">
        <v>2</v>
      </c>
      <c r="AX4193">
        <v>525</v>
      </c>
      <c r="AZ4193" t="s">
        <v>156</v>
      </c>
      <c r="BA4193">
        <v>0</v>
      </c>
      <c r="BC4193" t="s">
        <v>8494</v>
      </c>
      <c r="BD4193" s="4">
        <v>43283.556944444441</v>
      </c>
      <c r="BE4193" s="4">
        <v>43283.564085648148</v>
      </c>
      <c r="BF4193" s="4">
        <v>43283.564085648148</v>
      </c>
      <c r="BG4193" t="s">
        <v>83</v>
      </c>
      <c r="BH4193" t="s">
        <v>84</v>
      </c>
      <c r="BI4193" t="s">
        <v>85</v>
      </c>
    </row>
    <row r="4194" spans="1:61" x14ac:dyDescent="0.3">
      <c r="A4194" t="str">
        <f>"200184C0100"</f>
        <v>200184C0100</v>
      </c>
      <c r="B4194" t="s">
        <v>8495</v>
      </c>
      <c r="C4194">
        <v>20</v>
      </c>
      <c r="D4194" t="s">
        <v>79</v>
      </c>
      <c r="E4194">
        <v>20</v>
      </c>
      <c r="F4194" t="s">
        <v>8477</v>
      </c>
      <c r="G4194">
        <v>184</v>
      </c>
      <c r="H4194">
        <v>1</v>
      </c>
      <c r="I4194" t="s">
        <v>89</v>
      </c>
      <c r="J4194">
        <v>0</v>
      </c>
      <c r="K4194">
        <v>1</v>
      </c>
      <c r="L4194">
        <v>2</v>
      </c>
      <c r="M4194" t="s">
        <v>100</v>
      </c>
      <c r="N4194" t="s">
        <v>100</v>
      </c>
      <c r="O4194" t="s">
        <v>100</v>
      </c>
      <c r="P4194" t="s">
        <v>100</v>
      </c>
      <c r="Q4194">
        <v>10</v>
      </c>
      <c r="R4194">
        <v>99</v>
      </c>
      <c r="S4194">
        <v>27</v>
      </c>
      <c r="T4194">
        <v>7</v>
      </c>
      <c r="U4194">
        <v>14</v>
      </c>
      <c r="V4194">
        <v>10</v>
      </c>
      <c r="W4194">
        <v>1</v>
      </c>
      <c r="X4194">
        <v>1</v>
      </c>
      <c r="Y4194">
        <v>184</v>
      </c>
      <c r="Z4194">
        <v>6</v>
      </c>
      <c r="AA4194">
        <v>5</v>
      </c>
      <c r="AB4194">
        <v>5</v>
      </c>
      <c r="AC4194" t="s">
        <v>100</v>
      </c>
      <c r="AD4194" t="s">
        <v>100</v>
      </c>
      <c r="AE4194" t="s">
        <v>100</v>
      </c>
      <c r="AF4194" t="s">
        <v>100</v>
      </c>
      <c r="AK4194" t="s">
        <v>100</v>
      </c>
      <c r="AL4194" t="s">
        <v>100</v>
      </c>
      <c r="AM4194" t="s">
        <v>100</v>
      </c>
      <c r="AN4194" t="s">
        <v>100</v>
      </c>
      <c r="AQ4194" t="s">
        <v>100</v>
      </c>
      <c r="AT4194" t="s">
        <v>100</v>
      </c>
      <c r="AU4194">
        <v>15</v>
      </c>
      <c r="AV4194" t="s">
        <v>100</v>
      </c>
      <c r="AW4194">
        <v>384</v>
      </c>
      <c r="AX4194">
        <v>524</v>
      </c>
      <c r="AZ4194" t="s">
        <v>101</v>
      </c>
      <c r="BA4194">
        <v>1</v>
      </c>
      <c r="BC4194" t="s">
        <v>8496</v>
      </c>
      <c r="BD4194" s="4">
        <v>43283.140277777777</v>
      </c>
      <c r="BE4194" s="4">
        <v>43283.145358796297</v>
      </c>
      <c r="BF4194" s="4">
        <v>43283.145358796297</v>
      </c>
      <c r="BG4194" t="s">
        <v>83</v>
      </c>
      <c r="BH4194" t="s">
        <v>84</v>
      </c>
      <c r="BI4194" t="s">
        <v>85</v>
      </c>
    </row>
    <row r="4195" spans="1:61" x14ac:dyDescent="0.3">
      <c r="A4195" t="str">
        <f>"200185B0100"</f>
        <v>200185B0100</v>
      </c>
      <c r="B4195" t="s">
        <v>8497</v>
      </c>
      <c r="C4195">
        <v>20</v>
      </c>
      <c r="D4195" t="s">
        <v>79</v>
      </c>
      <c r="E4195">
        <v>20</v>
      </c>
      <c r="F4195" t="s">
        <v>8477</v>
      </c>
      <c r="G4195">
        <v>185</v>
      </c>
      <c r="H4195">
        <v>1</v>
      </c>
      <c r="I4195" t="s">
        <v>81</v>
      </c>
      <c r="J4195">
        <v>0</v>
      </c>
      <c r="K4195">
        <v>1</v>
      </c>
      <c r="L4195">
        <v>2</v>
      </c>
      <c r="M4195">
        <v>97</v>
      </c>
      <c r="N4195">
        <v>334</v>
      </c>
      <c r="O4195">
        <v>7</v>
      </c>
      <c r="P4195">
        <v>334</v>
      </c>
      <c r="Q4195">
        <v>11</v>
      </c>
      <c r="R4195">
        <v>81</v>
      </c>
      <c r="S4195">
        <v>35</v>
      </c>
      <c r="T4195">
        <v>6</v>
      </c>
      <c r="U4195">
        <v>8</v>
      </c>
      <c r="V4195">
        <v>9</v>
      </c>
      <c r="W4195">
        <v>6</v>
      </c>
      <c r="X4195">
        <v>3</v>
      </c>
      <c r="Y4195">
        <v>146</v>
      </c>
      <c r="Z4195">
        <v>1</v>
      </c>
      <c r="AA4195">
        <v>5</v>
      </c>
      <c r="AB4195">
        <v>0</v>
      </c>
      <c r="AC4195">
        <v>0</v>
      </c>
      <c r="AD4195">
        <v>0</v>
      </c>
      <c r="AE4195">
        <v>0</v>
      </c>
      <c r="AF4195">
        <v>0</v>
      </c>
      <c r="AK4195">
        <v>1</v>
      </c>
      <c r="AL4195">
        <v>0</v>
      </c>
      <c r="AM4195">
        <v>0</v>
      </c>
      <c r="AN4195">
        <v>0</v>
      </c>
      <c r="AQ4195">
        <v>2</v>
      </c>
      <c r="AT4195">
        <v>0</v>
      </c>
      <c r="AU4195">
        <v>20</v>
      </c>
      <c r="AV4195">
        <v>334</v>
      </c>
      <c r="AW4195">
        <v>334</v>
      </c>
      <c r="AX4195">
        <v>409</v>
      </c>
      <c r="BA4195">
        <v>1</v>
      </c>
      <c r="BC4195" t="s">
        <v>8498</v>
      </c>
      <c r="BD4195" s="4">
        <v>43283.086805555555</v>
      </c>
      <c r="BE4195" s="4">
        <v>43283.090081018519</v>
      </c>
      <c r="BF4195" s="4">
        <v>43283.090081018519</v>
      </c>
      <c r="BG4195" t="s">
        <v>83</v>
      </c>
      <c r="BH4195" t="s">
        <v>84</v>
      </c>
      <c r="BI4195" t="s">
        <v>85</v>
      </c>
    </row>
    <row r="4196" spans="1:61" x14ac:dyDescent="0.3">
      <c r="A4196" t="str">
        <f>"200185C0100"</f>
        <v>200185C0100</v>
      </c>
      <c r="B4196" t="s">
        <v>8499</v>
      </c>
      <c r="C4196">
        <v>20</v>
      </c>
      <c r="D4196" t="s">
        <v>79</v>
      </c>
      <c r="E4196">
        <v>20</v>
      </c>
      <c r="F4196" t="s">
        <v>8477</v>
      </c>
      <c r="G4196">
        <v>185</v>
      </c>
      <c r="H4196">
        <v>1</v>
      </c>
      <c r="I4196" t="s">
        <v>89</v>
      </c>
      <c r="J4196">
        <v>0</v>
      </c>
      <c r="K4196">
        <v>1</v>
      </c>
      <c r="L4196">
        <v>2</v>
      </c>
      <c r="M4196">
        <v>109</v>
      </c>
      <c r="N4196">
        <v>321</v>
      </c>
      <c r="O4196">
        <v>6</v>
      </c>
      <c r="P4196">
        <v>321</v>
      </c>
      <c r="Q4196">
        <v>5</v>
      </c>
      <c r="R4196">
        <v>96</v>
      </c>
      <c r="S4196">
        <v>28</v>
      </c>
      <c r="T4196">
        <v>2</v>
      </c>
      <c r="U4196">
        <v>10</v>
      </c>
      <c r="V4196">
        <v>4</v>
      </c>
      <c r="W4196">
        <v>9</v>
      </c>
      <c r="X4196">
        <v>2</v>
      </c>
      <c r="Y4196">
        <v>130</v>
      </c>
      <c r="Z4196">
        <v>3</v>
      </c>
      <c r="AA4196">
        <v>0</v>
      </c>
      <c r="AB4196">
        <v>11</v>
      </c>
      <c r="AC4196">
        <v>0</v>
      </c>
      <c r="AD4196">
        <v>1</v>
      </c>
      <c r="AE4196">
        <v>0</v>
      </c>
      <c r="AF4196">
        <v>0</v>
      </c>
      <c r="AK4196">
        <v>1</v>
      </c>
      <c r="AL4196">
        <v>0</v>
      </c>
      <c r="AM4196">
        <v>0</v>
      </c>
      <c r="AN4196">
        <v>0</v>
      </c>
      <c r="AQ4196">
        <v>0</v>
      </c>
      <c r="AT4196">
        <v>0</v>
      </c>
      <c r="AU4196">
        <v>19</v>
      </c>
      <c r="AV4196">
        <v>321</v>
      </c>
      <c r="AW4196">
        <v>321</v>
      </c>
      <c r="AX4196">
        <v>408</v>
      </c>
      <c r="BA4196">
        <v>1</v>
      </c>
      <c r="BC4196" t="s">
        <v>8500</v>
      </c>
      <c r="BD4196" s="4">
        <v>43283.086805555555</v>
      </c>
      <c r="BE4196" s="4">
        <v>43283.091620370367</v>
      </c>
      <c r="BF4196" s="4">
        <v>43283.091620370367</v>
      </c>
      <c r="BG4196" t="s">
        <v>83</v>
      </c>
      <c r="BH4196" t="s">
        <v>84</v>
      </c>
      <c r="BI4196" t="s">
        <v>85</v>
      </c>
    </row>
    <row r="4197" spans="1:61" x14ac:dyDescent="0.3">
      <c r="A4197" t="str">
        <f>"200186B0100"</f>
        <v>200186B0100</v>
      </c>
      <c r="B4197" t="s">
        <v>8501</v>
      </c>
      <c r="C4197">
        <v>20</v>
      </c>
      <c r="D4197" t="s">
        <v>79</v>
      </c>
      <c r="E4197">
        <v>20</v>
      </c>
      <c r="F4197" t="s">
        <v>8477</v>
      </c>
      <c r="G4197">
        <v>186</v>
      </c>
      <c r="H4197">
        <v>1</v>
      </c>
      <c r="I4197" t="s">
        <v>81</v>
      </c>
      <c r="J4197">
        <v>0</v>
      </c>
      <c r="K4197">
        <v>1</v>
      </c>
      <c r="L4197">
        <v>2</v>
      </c>
      <c r="M4197">
        <v>139</v>
      </c>
      <c r="N4197">
        <v>361</v>
      </c>
      <c r="O4197">
        <v>3</v>
      </c>
      <c r="P4197">
        <v>361</v>
      </c>
      <c r="Q4197">
        <v>6</v>
      </c>
      <c r="R4197">
        <v>74</v>
      </c>
      <c r="S4197">
        <v>48</v>
      </c>
      <c r="T4197">
        <v>7</v>
      </c>
      <c r="U4197">
        <v>11</v>
      </c>
      <c r="V4197">
        <v>3</v>
      </c>
      <c r="W4197">
        <v>25</v>
      </c>
      <c r="X4197">
        <v>7</v>
      </c>
      <c r="Y4197">
        <v>133</v>
      </c>
      <c r="Z4197">
        <v>5</v>
      </c>
      <c r="AA4197">
        <v>2</v>
      </c>
      <c r="AB4197">
        <v>10</v>
      </c>
      <c r="AC4197">
        <v>0</v>
      </c>
      <c r="AD4197">
        <v>0</v>
      </c>
      <c r="AE4197">
        <v>0</v>
      </c>
      <c r="AF4197">
        <v>0</v>
      </c>
      <c r="AK4197">
        <v>7</v>
      </c>
      <c r="AL4197">
        <v>2</v>
      </c>
      <c r="AM4197">
        <v>0</v>
      </c>
      <c r="AN4197">
        <v>2</v>
      </c>
      <c r="AQ4197">
        <v>1</v>
      </c>
      <c r="AT4197">
        <v>0</v>
      </c>
      <c r="AU4197">
        <v>17</v>
      </c>
      <c r="AV4197">
        <v>361</v>
      </c>
      <c r="AW4197">
        <v>360</v>
      </c>
      <c r="AX4197">
        <v>478</v>
      </c>
      <c r="BA4197">
        <v>1</v>
      </c>
      <c r="BC4197" t="s">
        <v>8502</v>
      </c>
      <c r="BD4197" s="4">
        <v>43283.087500000001</v>
      </c>
      <c r="BE4197" s="4">
        <v>43283.096597222226</v>
      </c>
      <c r="BF4197" s="4">
        <v>43283.096597222226</v>
      </c>
      <c r="BG4197" t="s">
        <v>83</v>
      </c>
      <c r="BH4197" t="s">
        <v>84</v>
      </c>
      <c r="BI4197" t="s">
        <v>85</v>
      </c>
    </row>
    <row r="4198" spans="1:61" x14ac:dyDescent="0.3">
      <c r="A4198" t="str">
        <f>"200186C0100"</f>
        <v>200186C0100</v>
      </c>
      <c r="B4198" t="s">
        <v>8503</v>
      </c>
      <c r="C4198">
        <v>20</v>
      </c>
      <c r="D4198" t="s">
        <v>79</v>
      </c>
      <c r="E4198">
        <v>20</v>
      </c>
      <c r="F4198" t="s">
        <v>8477</v>
      </c>
      <c r="G4198">
        <v>186</v>
      </c>
      <c r="H4198">
        <v>1</v>
      </c>
      <c r="I4198" t="s">
        <v>89</v>
      </c>
      <c r="J4198">
        <v>0</v>
      </c>
      <c r="K4198">
        <v>1</v>
      </c>
      <c r="L4198">
        <v>2</v>
      </c>
      <c r="M4198">
        <v>118</v>
      </c>
      <c r="N4198">
        <v>381</v>
      </c>
      <c r="O4198">
        <v>5</v>
      </c>
      <c r="P4198">
        <v>381</v>
      </c>
      <c r="Q4198">
        <v>5</v>
      </c>
      <c r="R4198">
        <v>89</v>
      </c>
      <c r="S4198">
        <v>46</v>
      </c>
      <c r="T4198">
        <v>3</v>
      </c>
      <c r="U4198">
        <v>10</v>
      </c>
      <c r="V4198">
        <v>7</v>
      </c>
      <c r="W4198">
        <v>9</v>
      </c>
      <c r="X4198">
        <v>2</v>
      </c>
      <c r="Y4198">
        <v>169</v>
      </c>
      <c r="Z4198">
        <v>4</v>
      </c>
      <c r="AA4198">
        <v>2</v>
      </c>
      <c r="AB4198">
        <v>10</v>
      </c>
      <c r="AC4198">
        <v>0</v>
      </c>
      <c r="AD4198">
        <v>0</v>
      </c>
      <c r="AE4198">
        <v>0</v>
      </c>
      <c r="AF4198">
        <v>0</v>
      </c>
      <c r="AK4198">
        <v>0</v>
      </c>
      <c r="AL4198">
        <v>2</v>
      </c>
      <c r="AM4198">
        <v>0</v>
      </c>
      <c r="AN4198">
        <v>0</v>
      </c>
      <c r="AQ4198">
        <v>0</v>
      </c>
      <c r="AT4198">
        <v>0</v>
      </c>
      <c r="AU4198">
        <v>23</v>
      </c>
      <c r="AV4198">
        <v>381</v>
      </c>
      <c r="AW4198">
        <v>381</v>
      </c>
      <c r="AX4198">
        <v>478</v>
      </c>
      <c r="BA4198">
        <v>1</v>
      </c>
      <c r="BC4198" t="s">
        <v>8504</v>
      </c>
      <c r="BD4198" s="4">
        <v>43283.086111111108</v>
      </c>
      <c r="BE4198" s="4">
        <v>43283.091319444444</v>
      </c>
      <c r="BF4198" s="4">
        <v>43283.091319444444</v>
      </c>
      <c r="BG4198" t="s">
        <v>83</v>
      </c>
      <c r="BH4198" t="s">
        <v>84</v>
      </c>
      <c r="BI4198" t="s">
        <v>85</v>
      </c>
    </row>
    <row r="4199" spans="1:61" x14ac:dyDescent="0.3">
      <c r="A4199" t="str">
        <f>"200283B0100"</f>
        <v>200283B0100</v>
      </c>
      <c r="B4199" t="s">
        <v>8505</v>
      </c>
      <c r="C4199">
        <v>20</v>
      </c>
      <c r="D4199" t="s">
        <v>79</v>
      </c>
      <c r="E4199">
        <v>20</v>
      </c>
      <c r="F4199" t="s">
        <v>8477</v>
      </c>
      <c r="G4199">
        <v>283</v>
      </c>
      <c r="H4199">
        <v>1</v>
      </c>
      <c r="I4199" t="s">
        <v>81</v>
      </c>
      <c r="J4199">
        <v>0</v>
      </c>
      <c r="K4199">
        <v>1</v>
      </c>
      <c r="L4199">
        <v>2</v>
      </c>
      <c r="M4199">
        <v>181</v>
      </c>
      <c r="N4199">
        <v>388</v>
      </c>
      <c r="O4199">
        <v>12</v>
      </c>
      <c r="P4199">
        <v>337</v>
      </c>
      <c r="Q4199">
        <v>23</v>
      </c>
      <c r="R4199">
        <v>102</v>
      </c>
      <c r="S4199">
        <v>38</v>
      </c>
      <c r="T4199">
        <v>16</v>
      </c>
      <c r="U4199">
        <v>6</v>
      </c>
      <c r="V4199">
        <v>14</v>
      </c>
      <c r="W4199">
        <v>6</v>
      </c>
      <c r="X4199">
        <v>10</v>
      </c>
      <c r="Y4199">
        <v>90</v>
      </c>
      <c r="Z4199">
        <v>2</v>
      </c>
      <c r="AA4199">
        <v>10</v>
      </c>
      <c r="AB4199">
        <v>13</v>
      </c>
      <c r="AC4199">
        <v>2</v>
      </c>
      <c r="AD4199" t="s">
        <v>100</v>
      </c>
      <c r="AE4199" t="s">
        <v>100</v>
      </c>
      <c r="AF4199">
        <v>1</v>
      </c>
      <c r="AK4199" t="s">
        <v>100</v>
      </c>
      <c r="AL4199" t="s">
        <v>100</v>
      </c>
      <c r="AM4199" t="s">
        <v>100</v>
      </c>
      <c r="AN4199">
        <v>4</v>
      </c>
      <c r="AQ4199" t="s">
        <v>100</v>
      </c>
      <c r="AT4199" t="s">
        <v>100</v>
      </c>
      <c r="AU4199" t="s">
        <v>100</v>
      </c>
      <c r="AV4199">
        <v>337</v>
      </c>
      <c r="AW4199">
        <v>337</v>
      </c>
      <c r="AX4199">
        <v>535</v>
      </c>
      <c r="AZ4199" t="s">
        <v>101</v>
      </c>
      <c r="BA4199">
        <v>1</v>
      </c>
      <c r="BC4199" t="s">
        <v>8506</v>
      </c>
      <c r="BD4199" s="4">
        <v>43283.093055555553</v>
      </c>
      <c r="BE4199" s="4">
        <v>43283.098437499997</v>
      </c>
      <c r="BF4199" s="4">
        <v>43283.098437499997</v>
      </c>
      <c r="BG4199" t="s">
        <v>83</v>
      </c>
      <c r="BH4199" t="s">
        <v>84</v>
      </c>
      <c r="BI4199" t="s">
        <v>85</v>
      </c>
    </row>
    <row r="4200" spans="1:61" x14ac:dyDescent="0.3">
      <c r="A4200" t="str">
        <f>"200283C0100"</f>
        <v>200283C0100</v>
      </c>
      <c r="B4200" t="s">
        <v>8507</v>
      </c>
      <c r="C4200">
        <v>20</v>
      </c>
      <c r="D4200" t="s">
        <v>79</v>
      </c>
      <c r="E4200">
        <v>20</v>
      </c>
      <c r="F4200" t="s">
        <v>8477</v>
      </c>
      <c r="G4200">
        <v>283</v>
      </c>
      <c r="H4200">
        <v>1</v>
      </c>
      <c r="I4200" t="s">
        <v>89</v>
      </c>
      <c r="J4200">
        <v>0</v>
      </c>
      <c r="K4200">
        <v>1</v>
      </c>
      <c r="L4200">
        <v>2</v>
      </c>
      <c r="M4200">
        <v>223</v>
      </c>
      <c r="N4200">
        <v>332</v>
      </c>
      <c r="O4200">
        <v>3</v>
      </c>
      <c r="P4200">
        <v>332</v>
      </c>
      <c r="Q4200">
        <v>25</v>
      </c>
      <c r="R4200">
        <v>105</v>
      </c>
      <c r="S4200">
        <v>33</v>
      </c>
      <c r="T4200">
        <v>16</v>
      </c>
      <c r="U4200">
        <v>4</v>
      </c>
      <c r="V4200">
        <v>15</v>
      </c>
      <c r="W4200">
        <v>1</v>
      </c>
      <c r="X4200">
        <v>6</v>
      </c>
      <c r="Y4200">
        <v>72</v>
      </c>
      <c r="Z4200">
        <v>1</v>
      </c>
      <c r="AA4200">
        <v>15</v>
      </c>
      <c r="AB4200">
        <v>11</v>
      </c>
      <c r="AC4200">
        <v>0</v>
      </c>
      <c r="AD4200">
        <v>1</v>
      </c>
      <c r="AE4200">
        <v>0</v>
      </c>
      <c r="AF4200">
        <v>1</v>
      </c>
      <c r="AK4200">
        <v>0</v>
      </c>
      <c r="AL4200">
        <v>0</v>
      </c>
      <c r="AM4200">
        <v>0</v>
      </c>
      <c r="AN4200">
        <v>0</v>
      </c>
      <c r="AQ4200">
        <v>1</v>
      </c>
      <c r="AT4200">
        <v>0</v>
      </c>
      <c r="AU4200">
        <v>25</v>
      </c>
      <c r="AV4200">
        <v>332</v>
      </c>
      <c r="AW4200">
        <v>332</v>
      </c>
      <c r="AX4200">
        <v>534</v>
      </c>
      <c r="BA4200">
        <v>1</v>
      </c>
      <c r="BC4200" t="s">
        <v>8508</v>
      </c>
      <c r="BD4200" s="4">
        <v>43283.094444444447</v>
      </c>
      <c r="BE4200" s="4">
        <v>43283.098946759259</v>
      </c>
      <c r="BF4200" s="4">
        <v>43283.098946759259</v>
      </c>
      <c r="BG4200" t="s">
        <v>83</v>
      </c>
      <c r="BH4200" t="s">
        <v>84</v>
      </c>
      <c r="BI4200" t="s">
        <v>85</v>
      </c>
    </row>
    <row r="4201" spans="1:61" x14ac:dyDescent="0.3">
      <c r="A4201" t="str">
        <f>"200283C0200"</f>
        <v>200283C0200</v>
      </c>
      <c r="B4201" t="s">
        <v>8509</v>
      </c>
      <c r="C4201">
        <v>20</v>
      </c>
      <c r="D4201" t="s">
        <v>79</v>
      </c>
      <c r="E4201">
        <v>20</v>
      </c>
      <c r="F4201" t="s">
        <v>8477</v>
      </c>
      <c r="G4201">
        <v>283</v>
      </c>
      <c r="H4201">
        <v>2</v>
      </c>
      <c r="I4201" t="s">
        <v>89</v>
      </c>
      <c r="J4201">
        <v>0</v>
      </c>
      <c r="K4201">
        <v>1</v>
      </c>
      <c r="L4201">
        <v>2</v>
      </c>
      <c r="M4201" t="s">
        <v>315</v>
      </c>
      <c r="N4201">
        <v>559</v>
      </c>
      <c r="O4201">
        <v>0</v>
      </c>
      <c r="P4201">
        <v>349</v>
      </c>
      <c r="Q4201">
        <v>23</v>
      </c>
      <c r="R4201">
        <v>98</v>
      </c>
      <c r="S4201">
        <v>27</v>
      </c>
      <c r="T4201">
        <v>27</v>
      </c>
      <c r="U4201">
        <v>7</v>
      </c>
      <c r="V4201">
        <v>13</v>
      </c>
      <c r="W4201">
        <v>6</v>
      </c>
      <c r="X4201">
        <v>3</v>
      </c>
      <c r="Y4201">
        <v>72</v>
      </c>
      <c r="Z4201">
        <v>4</v>
      </c>
      <c r="AA4201">
        <v>16</v>
      </c>
      <c r="AB4201">
        <v>12</v>
      </c>
      <c r="AC4201">
        <v>0</v>
      </c>
      <c r="AD4201">
        <v>0</v>
      </c>
      <c r="AE4201">
        <v>1</v>
      </c>
      <c r="AF4201">
        <v>0</v>
      </c>
      <c r="AK4201">
        <v>1</v>
      </c>
      <c r="AL4201">
        <v>1</v>
      </c>
      <c r="AM4201">
        <v>0</v>
      </c>
      <c r="AN4201">
        <v>1</v>
      </c>
      <c r="AQ4201">
        <v>0</v>
      </c>
      <c r="AT4201" t="s">
        <v>315</v>
      </c>
      <c r="AU4201">
        <v>37</v>
      </c>
      <c r="AV4201">
        <v>349</v>
      </c>
      <c r="AW4201">
        <v>349</v>
      </c>
      <c r="AX4201">
        <v>534</v>
      </c>
      <c r="AZ4201" t="s">
        <v>101</v>
      </c>
      <c r="BA4201">
        <v>1</v>
      </c>
      <c r="BC4201" t="s">
        <v>8510</v>
      </c>
      <c r="BD4201" s="4">
        <v>43283.061111111114</v>
      </c>
      <c r="BE4201" s="4">
        <v>43283.108136574076</v>
      </c>
      <c r="BF4201" s="4">
        <v>43283.108136574076</v>
      </c>
      <c r="BG4201" t="s">
        <v>83</v>
      </c>
      <c r="BH4201" t="s">
        <v>84</v>
      </c>
      <c r="BI4201" t="s">
        <v>85</v>
      </c>
    </row>
    <row r="4202" spans="1:61" x14ac:dyDescent="0.3">
      <c r="A4202" t="str">
        <f>"200283E0100"</f>
        <v>200283E0100</v>
      </c>
      <c r="B4202" s="2" t="s">
        <v>8511</v>
      </c>
      <c r="C4202">
        <v>20</v>
      </c>
      <c r="D4202" t="s">
        <v>79</v>
      </c>
      <c r="E4202">
        <v>20</v>
      </c>
      <c r="F4202" t="s">
        <v>8477</v>
      </c>
      <c r="G4202">
        <v>283</v>
      </c>
      <c r="H4202">
        <v>1</v>
      </c>
      <c r="I4202" t="s">
        <v>145</v>
      </c>
      <c r="J4202">
        <v>0</v>
      </c>
      <c r="K4202">
        <v>1</v>
      </c>
      <c r="L4202">
        <v>2</v>
      </c>
      <c r="M4202">
        <v>63</v>
      </c>
      <c r="N4202">
        <v>145</v>
      </c>
      <c r="O4202">
        <v>9</v>
      </c>
      <c r="P4202">
        <v>82</v>
      </c>
      <c r="Q4202">
        <v>3</v>
      </c>
      <c r="R4202">
        <v>16</v>
      </c>
      <c r="S4202">
        <v>9</v>
      </c>
      <c r="T4202">
        <v>8</v>
      </c>
      <c r="U4202">
        <v>3</v>
      </c>
      <c r="V4202">
        <v>4</v>
      </c>
      <c r="W4202">
        <v>1</v>
      </c>
      <c r="X4202">
        <v>2</v>
      </c>
      <c r="Y4202">
        <v>20</v>
      </c>
      <c r="Z4202">
        <v>2</v>
      </c>
      <c r="AA4202">
        <v>3</v>
      </c>
      <c r="AB4202">
        <v>2</v>
      </c>
      <c r="AC4202" t="s">
        <v>100</v>
      </c>
      <c r="AD4202" t="s">
        <v>100</v>
      </c>
      <c r="AE4202" t="s">
        <v>100</v>
      </c>
      <c r="AF4202" t="s">
        <v>100</v>
      </c>
      <c r="AK4202" t="s">
        <v>100</v>
      </c>
      <c r="AL4202" t="s">
        <v>100</v>
      </c>
      <c r="AM4202" t="s">
        <v>100</v>
      </c>
      <c r="AN4202" t="s">
        <v>100</v>
      </c>
      <c r="AQ4202" t="s">
        <v>315</v>
      </c>
      <c r="AT4202" t="s">
        <v>100</v>
      </c>
      <c r="AU4202">
        <v>9</v>
      </c>
      <c r="AV4202">
        <v>82</v>
      </c>
      <c r="AW4202">
        <v>82</v>
      </c>
      <c r="AX4202">
        <v>122</v>
      </c>
      <c r="AZ4202" t="s">
        <v>101</v>
      </c>
      <c r="BA4202">
        <v>1</v>
      </c>
      <c r="BC4202" t="s">
        <v>8512</v>
      </c>
      <c r="BD4202" s="4">
        <v>43283.09375</v>
      </c>
      <c r="BE4202" s="4">
        <v>43283.104664351849</v>
      </c>
      <c r="BF4202" s="4">
        <v>43283.104664351849</v>
      </c>
      <c r="BG4202" t="s">
        <v>83</v>
      </c>
      <c r="BH4202" t="s">
        <v>84</v>
      </c>
      <c r="BI4202" t="s">
        <v>85</v>
      </c>
    </row>
    <row r="4203" spans="1:61" x14ac:dyDescent="0.3">
      <c r="A4203" t="str">
        <f>"200284B0100"</f>
        <v>200284B0100</v>
      </c>
      <c r="B4203" t="s">
        <v>8513</v>
      </c>
      <c r="C4203">
        <v>20</v>
      </c>
      <c r="D4203" t="s">
        <v>79</v>
      </c>
      <c r="E4203">
        <v>20</v>
      </c>
      <c r="F4203" t="s">
        <v>8477</v>
      </c>
      <c r="G4203">
        <v>284</v>
      </c>
      <c r="H4203">
        <v>1</v>
      </c>
      <c r="I4203" t="s">
        <v>81</v>
      </c>
      <c r="J4203">
        <v>0</v>
      </c>
      <c r="K4203">
        <v>1</v>
      </c>
      <c r="L4203">
        <v>2</v>
      </c>
      <c r="M4203">
        <v>253</v>
      </c>
      <c r="N4203">
        <v>487</v>
      </c>
      <c r="O4203">
        <v>8</v>
      </c>
      <c r="P4203">
        <v>487</v>
      </c>
      <c r="Q4203">
        <v>14</v>
      </c>
      <c r="R4203">
        <v>99</v>
      </c>
      <c r="S4203">
        <v>35</v>
      </c>
      <c r="T4203">
        <v>14</v>
      </c>
      <c r="U4203">
        <v>16</v>
      </c>
      <c r="V4203">
        <v>14</v>
      </c>
      <c r="W4203">
        <v>5</v>
      </c>
      <c r="X4203">
        <v>11</v>
      </c>
      <c r="Y4203">
        <v>189</v>
      </c>
      <c r="Z4203">
        <v>1</v>
      </c>
      <c r="AA4203">
        <v>22</v>
      </c>
      <c r="AB4203">
        <v>8</v>
      </c>
      <c r="AC4203">
        <v>2</v>
      </c>
      <c r="AD4203">
        <v>0</v>
      </c>
      <c r="AE4203">
        <v>1</v>
      </c>
      <c r="AF4203">
        <v>0</v>
      </c>
      <c r="AK4203">
        <v>3</v>
      </c>
      <c r="AL4203">
        <v>2</v>
      </c>
      <c r="AM4203">
        <v>0</v>
      </c>
      <c r="AN4203">
        <v>3</v>
      </c>
      <c r="AQ4203">
        <v>1</v>
      </c>
      <c r="AT4203" t="s">
        <v>100</v>
      </c>
      <c r="AU4203">
        <v>47</v>
      </c>
      <c r="AV4203" t="s">
        <v>100</v>
      </c>
      <c r="AW4203">
        <v>487</v>
      </c>
      <c r="AX4203">
        <v>718</v>
      </c>
      <c r="AZ4203" t="s">
        <v>101</v>
      </c>
      <c r="BA4203">
        <v>1</v>
      </c>
      <c r="BC4203" t="s">
        <v>8514</v>
      </c>
      <c r="BD4203" s="4">
        <v>43283.177083333336</v>
      </c>
      <c r="BE4203" s="4">
        <v>43283.193506944444</v>
      </c>
      <c r="BF4203" s="4">
        <v>43283.193506944444</v>
      </c>
      <c r="BG4203" t="s">
        <v>83</v>
      </c>
      <c r="BH4203" t="s">
        <v>84</v>
      </c>
      <c r="BI4203" t="s">
        <v>85</v>
      </c>
    </row>
    <row r="4204" spans="1:61" x14ac:dyDescent="0.3">
      <c r="A4204" t="str">
        <f>"200284C0100"</f>
        <v>200284C0100</v>
      </c>
      <c r="B4204" t="s">
        <v>8515</v>
      </c>
      <c r="C4204">
        <v>20</v>
      </c>
      <c r="D4204" t="s">
        <v>79</v>
      </c>
      <c r="E4204">
        <v>20</v>
      </c>
      <c r="F4204" t="s">
        <v>8477</v>
      </c>
      <c r="G4204">
        <v>284</v>
      </c>
      <c r="H4204">
        <v>1</v>
      </c>
      <c r="I4204" t="s">
        <v>89</v>
      </c>
      <c r="J4204">
        <v>0</v>
      </c>
      <c r="K4204">
        <v>1</v>
      </c>
      <c r="L4204">
        <v>2</v>
      </c>
      <c r="M4204">
        <v>290</v>
      </c>
      <c r="N4204" t="s">
        <v>315</v>
      </c>
      <c r="O4204">
        <v>11</v>
      </c>
      <c r="P4204">
        <v>458</v>
      </c>
      <c r="Q4204">
        <v>6</v>
      </c>
      <c r="R4204">
        <v>94</v>
      </c>
      <c r="S4204">
        <v>61</v>
      </c>
      <c r="T4204">
        <v>14</v>
      </c>
      <c r="U4204">
        <v>8</v>
      </c>
      <c r="V4204">
        <v>8</v>
      </c>
      <c r="W4204">
        <v>2</v>
      </c>
      <c r="X4204">
        <v>8</v>
      </c>
      <c r="Y4204">
        <v>162</v>
      </c>
      <c r="Z4204">
        <v>5</v>
      </c>
      <c r="AA4204">
        <v>30</v>
      </c>
      <c r="AB4204">
        <v>7</v>
      </c>
      <c r="AC4204">
        <v>0</v>
      </c>
      <c r="AD4204">
        <v>0</v>
      </c>
      <c r="AE4204">
        <v>0</v>
      </c>
      <c r="AF4204">
        <v>0</v>
      </c>
      <c r="AK4204">
        <v>5</v>
      </c>
      <c r="AL4204">
        <v>0</v>
      </c>
      <c r="AM4204">
        <v>0</v>
      </c>
      <c r="AN4204">
        <v>0</v>
      </c>
      <c r="AQ4204">
        <v>0</v>
      </c>
      <c r="AT4204">
        <v>0</v>
      </c>
      <c r="AU4204">
        <v>48</v>
      </c>
      <c r="AV4204">
        <v>458</v>
      </c>
      <c r="AW4204">
        <v>458</v>
      </c>
      <c r="AX4204">
        <v>718</v>
      </c>
      <c r="BA4204">
        <v>1</v>
      </c>
      <c r="BC4204" t="s">
        <v>8516</v>
      </c>
      <c r="BD4204" s="4">
        <v>43283.177083333336</v>
      </c>
      <c r="BE4204" s="4">
        <v>43283.194791666669</v>
      </c>
      <c r="BF4204" s="4">
        <v>43283.194791666669</v>
      </c>
      <c r="BG4204" t="s">
        <v>83</v>
      </c>
      <c r="BH4204" t="s">
        <v>84</v>
      </c>
      <c r="BI4204" t="s">
        <v>85</v>
      </c>
    </row>
    <row r="4205" spans="1:61" x14ac:dyDescent="0.3">
      <c r="A4205" t="str">
        <f>"200284C0200"</f>
        <v>200284C0200</v>
      </c>
      <c r="B4205" t="s">
        <v>8517</v>
      </c>
      <c r="C4205">
        <v>20</v>
      </c>
      <c r="D4205" t="s">
        <v>79</v>
      </c>
      <c r="E4205">
        <v>20</v>
      </c>
      <c r="F4205" t="s">
        <v>8477</v>
      </c>
      <c r="G4205">
        <v>284</v>
      </c>
      <c r="H4205">
        <v>2</v>
      </c>
      <c r="I4205" t="s">
        <v>89</v>
      </c>
      <c r="J4205">
        <v>0</v>
      </c>
      <c r="K4205">
        <v>1</v>
      </c>
      <c r="L4205">
        <v>2</v>
      </c>
      <c r="M4205">
        <v>280</v>
      </c>
      <c r="N4205">
        <v>459</v>
      </c>
      <c r="O4205">
        <v>9</v>
      </c>
      <c r="P4205">
        <v>458</v>
      </c>
      <c r="Q4205">
        <v>10</v>
      </c>
      <c r="R4205">
        <v>93</v>
      </c>
      <c r="S4205">
        <v>49</v>
      </c>
      <c r="T4205">
        <v>12</v>
      </c>
      <c r="U4205">
        <v>18</v>
      </c>
      <c r="V4205">
        <v>9</v>
      </c>
      <c r="W4205">
        <v>5</v>
      </c>
      <c r="X4205">
        <v>6</v>
      </c>
      <c r="Y4205">
        <v>174</v>
      </c>
      <c r="Z4205">
        <v>7</v>
      </c>
      <c r="AA4205">
        <v>16</v>
      </c>
      <c r="AB4205">
        <v>6</v>
      </c>
      <c r="AC4205">
        <v>0</v>
      </c>
      <c r="AD4205">
        <v>1</v>
      </c>
      <c r="AE4205">
        <v>0</v>
      </c>
      <c r="AF4205">
        <v>0</v>
      </c>
      <c r="AK4205">
        <v>1</v>
      </c>
      <c r="AL4205">
        <v>2</v>
      </c>
      <c r="AM4205">
        <v>0</v>
      </c>
      <c r="AN4205">
        <v>0</v>
      </c>
      <c r="AQ4205">
        <v>0</v>
      </c>
      <c r="AT4205">
        <v>0</v>
      </c>
      <c r="AU4205">
        <v>50</v>
      </c>
      <c r="AV4205">
        <v>459</v>
      </c>
      <c r="AW4205">
        <v>459</v>
      </c>
      <c r="AX4205">
        <v>718</v>
      </c>
      <c r="BA4205">
        <v>1</v>
      </c>
      <c r="BC4205" t="s">
        <v>8518</v>
      </c>
      <c r="BD4205" s="4">
        <v>43283.175694444442</v>
      </c>
      <c r="BE4205" s="4">
        <v>43283.191192129627</v>
      </c>
      <c r="BF4205" s="4">
        <v>43283.191192129627</v>
      </c>
      <c r="BG4205" t="s">
        <v>83</v>
      </c>
      <c r="BH4205" t="s">
        <v>84</v>
      </c>
      <c r="BI4205" t="s">
        <v>85</v>
      </c>
    </row>
    <row r="4206" spans="1:61" x14ac:dyDescent="0.3">
      <c r="A4206" t="str">
        <f>"200284C0300"</f>
        <v>200284C0300</v>
      </c>
      <c r="B4206" t="s">
        <v>8519</v>
      </c>
      <c r="C4206">
        <v>20</v>
      </c>
      <c r="D4206" t="s">
        <v>79</v>
      </c>
      <c r="E4206">
        <v>20</v>
      </c>
      <c r="F4206" t="s">
        <v>8477</v>
      </c>
      <c r="G4206">
        <v>284</v>
      </c>
      <c r="H4206">
        <v>3</v>
      </c>
      <c r="I4206" t="s">
        <v>89</v>
      </c>
      <c r="J4206">
        <v>0</v>
      </c>
      <c r="K4206">
        <v>1</v>
      </c>
      <c r="L4206">
        <v>2</v>
      </c>
      <c r="M4206">
        <v>289</v>
      </c>
      <c r="N4206">
        <v>451</v>
      </c>
      <c r="O4206">
        <v>8</v>
      </c>
      <c r="P4206">
        <v>451</v>
      </c>
      <c r="Q4206">
        <v>6</v>
      </c>
      <c r="R4206" t="s">
        <v>315</v>
      </c>
      <c r="S4206">
        <v>57</v>
      </c>
      <c r="T4206">
        <v>13</v>
      </c>
      <c r="U4206">
        <v>17</v>
      </c>
      <c r="V4206">
        <v>17</v>
      </c>
      <c r="W4206">
        <v>6</v>
      </c>
      <c r="X4206">
        <v>3</v>
      </c>
      <c r="Y4206">
        <v>171</v>
      </c>
      <c r="Z4206">
        <v>4</v>
      </c>
      <c r="AA4206">
        <v>20</v>
      </c>
      <c r="AB4206">
        <v>5</v>
      </c>
      <c r="AC4206" t="s">
        <v>100</v>
      </c>
      <c r="AD4206">
        <v>1</v>
      </c>
      <c r="AE4206" t="s">
        <v>100</v>
      </c>
      <c r="AF4206" t="s">
        <v>100</v>
      </c>
      <c r="AK4206">
        <v>3</v>
      </c>
      <c r="AL4206" t="s">
        <v>100</v>
      </c>
      <c r="AM4206" t="s">
        <v>100</v>
      </c>
      <c r="AN4206" t="s">
        <v>100</v>
      </c>
      <c r="AQ4206">
        <v>3</v>
      </c>
      <c r="AT4206" t="s">
        <v>100</v>
      </c>
      <c r="AU4206">
        <v>39</v>
      </c>
      <c r="AV4206">
        <v>451</v>
      </c>
      <c r="AW4206">
        <v>365</v>
      </c>
      <c r="AX4206">
        <v>718</v>
      </c>
      <c r="AZ4206" t="s">
        <v>101</v>
      </c>
      <c r="BA4206">
        <v>1</v>
      </c>
      <c r="BC4206" t="s">
        <v>8520</v>
      </c>
      <c r="BD4206" s="4">
        <v>43283.175694444442</v>
      </c>
      <c r="BE4206" s="4">
        <v>43283.207349537035</v>
      </c>
      <c r="BF4206" s="4">
        <v>43283.207349537035</v>
      </c>
      <c r="BG4206" t="s">
        <v>83</v>
      </c>
      <c r="BH4206" t="s">
        <v>84</v>
      </c>
      <c r="BI4206" t="s">
        <v>85</v>
      </c>
    </row>
    <row r="4207" spans="1:61" x14ac:dyDescent="0.3">
      <c r="A4207" t="str">
        <f>"200284C0400"</f>
        <v>200284C0400</v>
      </c>
      <c r="B4207" t="s">
        <v>8521</v>
      </c>
      <c r="C4207">
        <v>20</v>
      </c>
      <c r="D4207" t="s">
        <v>79</v>
      </c>
      <c r="E4207">
        <v>20</v>
      </c>
      <c r="F4207" t="s">
        <v>8477</v>
      </c>
      <c r="G4207">
        <v>284</v>
      </c>
      <c r="H4207">
        <v>4</v>
      </c>
      <c r="I4207" t="s">
        <v>89</v>
      </c>
      <c r="J4207">
        <v>0</v>
      </c>
      <c r="K4207">
        <v>1</v>
      </c>
      <c r="L4207">
        <v>2</v>
      </c>
      <c r="M4207">
        <v>281</v>
      </c>
      <c r="N4207">
        <v>459</v>
      </c>
      <c r="O4207">
        <v>1</v>
      </c>
      <c r="P4207">
        <v>459</v>
      </c>
      <c r="Q4207">
        <v>14</v>
      </c>
      <c r="R4207">
        <v>91</v>
      </c>
      <c r="S4207">
        <v>39</v>
      </c>
      <c r="T4207">
        <v>15</v>
      </c>
      <c r="U4207">
        <v>15</v>
      </c>
      <c r="V4207">
        <v>13</v>
      </c>
      <c r="W4207">
        <v>2</v>
      </c>
      <c r="X4207">
        <v>11</v>
      </c>
      <c r="Y4207">
        <v>188</v>
      </c>
      <c r="Z4207">
        <v>4</v>
      </c>
      <c r="AA4207">
        <v>22</v>
      </c>
      <c r="AB4207">
        <v>5</v>
      </c>
      <c r="AC4207">
        <v>1</v>
      </c>
      <c r="AD4207">
        <v>0</v>
      </c>
      <c r="AE4207">
        <v>1</v>
      </c>
      <c r="AF4207">
        <v>1</v>
      </c>
      <c r="AK4207">
        <v>3</v>
      </c>
      <c r="AL4207">
        <v>0</v>
      </c>
      <c r="AM4207">
        <v>0</v>
      </c>
      <c r="AN4207">
        <v>2</v>
      </c>
      <c r="AQ4207">
        <v>1</v>
      </c>
      <c r="AT4207">
        <v>0</v>
      </c>
      <c r="AU4207">
        <v>31</v>
      </c>
      <c r="AV4207">
        <v>459</v>
      </c>
      <c r="AW4207">
        <v>459</v>
      </c>
      <c r="AX4207">
        <v>718</v>
      </c>
      <c r="BA4207">
        <v>1</v>
      </c>
      <c r="BC4207" t="s">
        <v>8522</v>
      </c>
      <c r="BD4207" s="4">
        <v>43283.333333333336</v>
      </c>
      <c r="BE4207" s="4">
        <v>43283.351631944446</v>
      </c>
      <c r="BF4207" s="4">
        <v>43283.351631944446</v>
      </c>
      <c r="BG4207" t="s">
        <v>83</v>
      </c>
      <c r="BH4207" t="s">
        <v>84</v>
      </c>
      <c r="BI4207" t="s">
        <v>85</v>
      </c>
    </row>
    <row r="4208" spans="1:61" x14ac:dyDescent="0.3">
      <c r="A4208" t="str">
        <f>"200284C0500"</f>
        <v>200284C0500</v>
      </c>
      <c r="B4208" t="s">
        <v>8523</v>
      </c>
      <c r="C4208">
        <v>20</v>
      </c>
      <c r="D4208" t="s">
        <v>79</v>
      </c>
      <c r="E4208">
        <v>20</v>
      </c>
      <c r="F4208" t="s">
        <v>8477</v>
      </c>
      <c r="G4208">
        <v>284</v>
      </c>
      <c r="H4208">
        <v>5</v>
      </c>
      <c r="I4208" t="s">
        <v>89</v>
      </c>
      <c r="J4208">
        <v>0</v>
      </c>
      <c r="K4208">
        <v>1</v>
      </c>
      <c r="L4208">
        <v>2</v>
      </c>
      <c r="AX4208">
        <v>718</v>
      </c>
      <c r="AZ4208" t="s">
        <v>156</v>
      </c>
      <c r="BA4208">
        <v>0</v>
      </c>
      <c r="BC4208" t="s">
        <v>8524</v>
      </c>
      <c r="BD4208" s="4">
        <v>43283.556944444441</v>
      </c>
      <c r="BE4208" s="4">
        <v>43283.56454861111</v>
      </c>
      <c r="BF4208" s="4">
        <v>43283.56454861111</v>
      </c>
      <c r="BG4208" t="s">
        <v>83</v>
      </c>
      <c r="BH4208" t="s">
        <v>84</v>
      </c>
      <c r="BI4208" t="s">
        <v>85</v>
      </c>
    </row>
    <row r="4209" spans="1:61" x14ac:dyDescent="0.3">
      <c r="A4209" t="str">
        <f>"200284C0600"</f>
        <v>200284C0600</v>
      </c>
      <c r="B4209" t="s">
        <v>8525</v>
      </c>
      <c r="C4209">
        <v>20</v>
      </c>
      <c r="D4209" t="s">
        <v>79</v>
      </c>
      <c r="E4209">
        <v>20</v>
      </c>
      <c r="F4209" t="s">
        <v>8477</v>
      </c>
      <c r="G4209">
        <v>284</v>
      </c>
      <c r="H4209">
        <v>6</v>
      </c>
      <c r="I4209" t="s">
        <v>89</v>
      </c>
      <c r="J4209">
        <v>0</v>
      </c>
      <c r="K4209">
        <v>1</v>
      </c>
      <c r="L4209">
        <v>2</v>
      </c>
      <c r="M4209">
        <v>301</v>
      </c>
      <c r="N4209">
        <v>439</v>
      </c>
      <c r="O4209">
        <v>4</v>
      </c>
      <c r="P4209">
        <v>453</v>
      </c>
      <c r="Q4209">
        <v>11</v>
      </c>
      <c r="R4209">
        <v>103</v>
      </c>
      <c r="S4209">
        <v>42</v>
      </c>
      <c r="T4209">
        <v>18</v>
      </c>
      <c r="U4209">
        <v>17</v>
      </c>
      <c r="V4209">
        <v>13</v>
      </c>
      <c r="W4209">
        <v>14</v>
      </c>
      <c r="X4209">
        <v>7</v>
      </c>
      <c r="Y4209">
        <v>154</v>
      </c>
      <c r="Z4209">
        <v>3</v>
      </c>
      <c r="AA4209">
        <v>23</v>
      </c>
      <c r="AB4209">
        <v>0</v>
      </c>
      <c r="AC4209">
        <v>0</v>
      </c>
      <c r="AD4209">
        <v>0</v>
      </c>
      <c r="AE4209">
        <v>0</v>
      </c>
      <c r="AF4209">
        <v>1</v>
      </c>
      <c r="AK4209" t="s">
        <v>100</v>
      </c>
      <c r="AL4209">
        <v>3</v>
      </c>
      <c r="AM4209">
        <v>0</v>
      </c>
      <c r="AN4209">
        <v>0</v>
      </c>
      <c r="AQ4209">
        <v>1</v>
      </c>
      <c r="AT4209">
        <v>0</v>
      </c>
      <c r="AU4209">
        <v>44</v>
      </c>
      <c r="AV4209">
        <v>454</v>
      </c>
      <c r="AW4209">
        <v>454</v>
      </c>
      <c r="AX4209">
        <v>718</v>
      </c>
      <c r="AZ4209" t="s">
        <v>101</v>
      </c>
      <c r="BA4209">
        <v>1</v>
      </c>
      <c r="BC4209" t="s">
        <v>8526</v>
      </c>
      <c r="BD4209" s="4">
        <v>43283.334027777775</v>
      </c>
      <c r="BE4209" s="4">
        <v>43283.352106481485</v>
      </c>
      <c r="BF4209" s="4">
        <v>43283.352106481485</v>
      </c>
      <c r="BG4209" t="s">
        <v>83</v>
      </c>
      <c r="BH4209" t="s">
        <v>84</v>
      </c>
      <c r="BI4209" t="s">
        <v>85</v>
      </c>
    </row>
    <row r="4210" spans="1:61" x14ac:dyDescent="0.3">
      <c r="A4210" t="str">
        <f>"200285B0100"</f>
        <v>200285B0100</v>
      </c>
      <c r="B4210" t="s">
        <v>8527</v>
      </c>
      <c r="C4210">
        <v>20</v>
      </c>
      <c r="D4210" t="s">
        <v>79</v>
      </c>
      <c r="E4210">
        <v>20</v>
      </c>
      <c r="F4210" t="s">
        <v>8477</v>
      </c>
      <c r="G4210">
        <v>285</v>
      </c>
      <c r="H4210">
        <v>1</v>
      </c>
      <c r="I4210" t="s">
        <v>81</v>
      </c>
      <c r="J4210">
        <v>0</v>
      </c>
      <c r="K4210">
        <v>1</v>
      </c>
      <c r="L4210">
        <v>2</v>
      </c>
      <c r="M4210">
        <v>261</v>
      </c>
      <c r="N4210">
        <v>391</v>
      </c>
      <c r="O4210">
        <v>1</v>
      </c>
      <c r="P4210">
        <v>391</v>
      </c>
      <c r="Q4210">
        <v>9</v>
      </c>
      <c r="R4210">
        <v>135</v>
      </c>
      <c r="S4210">
        <v>15</v>
      </c>
      <c r="T4210">
        <v>18</v>
      </c>
      <c r="U4210">
        <v>15</v>
      </c>
      <c r="V4210">
        <v>18</v>
      </c>
      <c r="W4210">
        <v>3</v>
      </c>
      <c r="X4210">
        <v>9</v>
      </c>
      <c r="Y4210">
        <v>115</v>
      </c>
      <c r="Z4210">
        <v>4</v>
      </c>
      <c r="AA4210">
        <v>13</v>
      </c>
      <c r="AB4210">
        <v>7</v>
      </c>
      <c r="AC4210">
        <v>1</v>
      </c>
      <c r="AD4210">
        <v>0</v>
      </c>
      <c r="AE4210">
        <v>0</v>
      </c>
      <c r="AF4210">
        <v>0</v>
      </c>
      <c r="AK4210">
        <v>0</v>
      </c>
      <c r="AL4210">
        <v>0</v>
      </c>
      <c r="AM4210">
        <v>0</v>
      </c>
      <c r="AN4210">
        <v>0</v>
      </c>
      <c r="AQ4210">
        <v>1</v>
      </c>
      <c r="AT4210">
        <v>0</v>
      </c>
      <c r="AU4210">
        <v>28</v>
      </c>
      <c r="AV4210">
        <v>391</v>
      </c>
      <c r="AW4210">
        <v>391</v>
      </c>
      <c r="AX4210">
        <v>628</v>
      </c>
      <c r="BA4210">
        <v>1</v>
      </c>
      <c r="BC4210" t="s">
        <v>8528</v>
      </c>
      <c r="BD4210" s="4">
        <v>43283.145833333336</v>
      </c>
      <c r="BE4210" s="4">
        <v>43283.155428240738</v>
      </c>
      <c r="BF4210" s="4">
        <v>43283.155428240738</v>
      </c>
      <c r="BG4210" t="s">
        <v>83</v>
      </c>
      <c r="BH4210" t="s">
        <v>84</v>
      </c>
      <c r="BI4210" t="s">
        <v>85</v>
      </c>
    </row>
    <row r="4211" spans="1:61" x14ac:dyDescent="0.3">
      <c r="A4211" t="str">
        <f>"200285C0100"</f>
        <v>200285C0100</v>
      </c>
      <c r="B4211" t="s">
        <v>8529</v>
      </c>
      <c r="C4211">
        <v>20</v>
      </c>
      <c r="D4211" t="s">
        <v>79</v>
      </c>
      <c r="E4211">
        <v>20</v>
      </c>
      <c r="F4211" t="s">
        <v>8477</v>
      </c>
      <c r="G4211">
        <v>285</v>
      </c>
      <c r="H4211">
        <v>1</v>
      </c>
      <c r="I4211" t="s">
        <v>89</v>
      </c>
      <c r="J4211">
        <v>0</v>
      </c>
      <c r="K4211">
        <v>1</v>
      </c>
      <c r="L4211">
        <v>2</v>
      </c>
      <c r="M4211">
        <v>257</v>
      </c>
      <c r="N4211">
        <v>392</v>
      </c>
      <c r="O4211">
        <v>7</v>
      </c>
      <c r="P4211">
        <v>390</v>
      </c>
      <c r="Q4211">
        <v>19</v>
      </c>
      <c r="R4211">
        <v>139</v>
      </c>
      <c r="S4211">
        <v>23</v>
      </c>
      <c r="T4211">
        <v>16</v>
      </c>
      <c r="U4211">
        <v>16</v>
      </c>
      <c r="V4211">
        <v>12</v>
      </c>
      <c r="W4211">
        <v>4</v>
      </c>
      <c r="X4211">
        <v>12</v>
      </c>
      <c r="Y4211">
        <v>111</v>
      </c>
      <c r="Z4211">
        <v>3</v>
      </c>
      <c r="AA4211">
        <v>16</v>
      </c>
      <c r="AB4211">
        <v>2</v>
      </c>
      <c r="AC4211" t="s">
        <v>100</v>
      </c>
      <c r="AD4211" t="s">
        <v>100</v>
      </c>
      <c r="AE4211" t="s">
        <v>100</v>
      </c>
      <c r="AF4211" t="s">
        <v>100</v>
      </c>
      <c r="AK4211" t="s">
        <v>100</v>
      </c>
      <c r="AL4211" t="s">
        <v>100</v>
      </c>
      <c r="AM4211" t="s">
        <v>100</v>
      </c>
      <c r="AN4211">
        <v>1</v>
      </c>
      <c r="AQ4211" t="s">
        <v>100</v>
      </c>
      <c r="AT4211" t="s">
        <v>100</v>
      </c>
      <c r="AU4211">
        <v>29</v>
      </c>
      <c r="AV4211">
        <v>390</v>
      </c>
      <c r="AW4211">
        <v>403</v>
      </c>
      <c r="AX4211">
        <v>627</v>
      </c>
      <c r="AZ4211" t="s">
        <v>101</v>
      </c>
      <c r="BA4211">
        <v>1</v>
      </c>
      <c r="BC4211" t="s">
        <v>8530</v>
      </c>
      <c r="BD4211" s="4">
        <v>43283.145833333336</v>
      </c>
      <c r="BE4211" s="4">
        <v>43283.158483796295</v>
      </c>
      <c r="BF4211" s="4">
        <v>43283.158483796295</v>
      </c>
      <c r="BG4211" t="s">
        <v>83</v>
      </c>
      <c r="BH4211" t="s">
        <v>84</v>
      </c>
      <c r="BI4211" t="s">
        <v>85</v>
      </c>
    </row>
    <row r="4212" spans="1:61" x14ac:dyDescent="0.3">
      <c r="A4212" t="str">
        <f>"200285C0200"</f>
        <v>200285C0200</v>
      </c>
      <c r="B4212" t="s">
        <v>8531</v>
      </c>
      <c r="C4212">
        <v>20</v>
      </c>
      <c r="D4212" t="s">
        <v>79</v>
      </c>
      <c r="E4212">
        <v>20</v>
      </c>
      <c r="F4212" t="s">
        <v>8477</v>
      </c>
      <c r="G4212">
        <v>285</v>
      </c>
      <c r="H4212">
        <v>2</v>
      </c>
      <c r="I4212" t="s">
        <v>89</v>
      </c>
      <c r="J4212">
        <v>0</v>
      </c>
      <c r="K4212">
        <v>1</v>
      </c>
      <c r="L4212">
        <v>2</v>
      </c>
      <c r="M4212">
        <v>282</v>
      </c>
      <c r="N4212">
        <v>367</v>
      </c>
      <c r="O4212">
        <v>0</v>
      </c>
      <c r="P4212">
        <v>367</v>
      </c>
      <c r="Q4212">
        <v>10</v>
      </c>
      <c r="R4212">
        <v>141</v>
      </c>
      <c r="S4212">
        <v>22</v>
      </c>
      <c r="T4212">
        <v>10</v>
      </c>
      <c r="U4212">
        <v>6</v>
      </c>
      <c r="V4212">
        <v>12</v>
      </c>
      <c r="W4212">
        <v>1</v>
      </c>
      <c r="X4212">
        <v>10</v>
      </c>
      <c r="Y4212">
        <v>102</v>
      </c>
      <c r="Z4212">
        <v>2</v>
      </c>
      <c r="AA4212">
        <v>11</v>
      </c>
      <c r="AB4212">
        <v>1</v>
      </c>
      <c r="AC4212">
        <v>1</v>
      </c>
      <c r="AD4212">
        <v>1</v>
      </c>
      <c r="AE4212">
        <v>0</v>
      </c>
      <c r="AF4212">
        <v>0</v>
      </c>
      <c r="AK4212">
        <v>1</v>
      </c>
      <c r="AL4212">
        <v>0</v>
      </c>
      <c r="AM4212">
        <v>0</v>
      </c>
      <c r="AN4212">
        <v>2</v>
      </c>
      <c r="AQ4212">
        <v>0</v>
      </c>
      <c r="AT4212">
        <v>0</v>
      </c>
      <c r="AU4212">
        <v>34</v>
      </c>
      <c r="AV4212">
        <v>333</v>
      </c>
      <c r="AW4212">
        <v>367</v>
      </c>
      <c r="AX4212">
        <v>627</v>
      </c>
      <c r="BA4212">
        <v>1</v>
      </c>
      <c r="BC4212" t="s">
        <v>8532</v>
      </c>
      <c r="BD4212" s="4">
        <v>43283.146527777775</v>
      </c>
      <c r="BE4212" s="4">
        <v>43283.157361111109</v>
      </c>
      <c r="BF4212" s="4">
        <v>43283.157361111109</v>
      </c>
      <c r="BG4212" t="s">
        <v>83</v>
      </c>
      <c r="BH4212" t="s">
        <v>84</v>
      </c>
      <c r="BI4212" t="s">
        <v>85</v>
      </c>
    </row>
    <row r="4213" spans="1:61" x14ac:dyDescent="0.3">
      <c r="A4213" t="str">
        <f>"200285C0300"</f>
        <v>200285C0300</v>
      </c>
      <c r="B4213" t="s">
        <v>8533</v>
      </c>
      <c r="C4213">
        <v>20</v>
      </c>
      <c r="D4213" t="s">
        <v>79</v>
      </c>
      <c r="E4213">
        <v>20</v>
      </c>
      <c r="F4213" t="s">
        <v>8477</v>
      </c>
      <c r="G4213">
        <v>285</v>
      </c>
      <c r="H4213">
        <v>3</v>
      </c>
      <c r="I4213" t="s">
        <v>89</v>
      </c>
      <c r="J4213">
        <v>0</v>
      </c>
      <c r="K4213">
        <v>1</v>
      </c>
      <c r="L4213">
        <v>2</v>
      </c>
      <c r="M4213" t="s">
        <v>100</v>
      </c>
      <c r="N4213" t="s">
        <v>100</v>
      </c>
      <c r="O4213" t="s">
        <v>100</v>
      </c>
      <c r="P4213" t="s">
        <v>100</v>
      </c>
      <c r="Q4213">
        <v>6</v>
      </c>
      <c r="R4213">
        <v>161</v>
      </c>
      <c r="S4213">
        <v>22</v>
      </c>
      <c r="T4213">
        <v>15</v>
      </c>
      <c r="U4213">
        <v>7</v>
      </c>
      <c r="V4213">
        <v>8</v>
      </c>
      <c r="W4213">
        <v>3</v>
      </c>
      <c r="X4213">
        <v>7</v>
      </c>
      <c r="Y4213">
        <v>78</v>
      </c>
      <c r="Z4213">
        <v>3</v>
      </c>
      <c r="AA4213">
        <v>7</v>
      </c>
      <c r="AB4213">
        <v>4</v>
      </c>
      <c r="AC4213">
        <v>0</v>
      </c>
      <c r="AD4213">
        <v>0</v>
      </c>
      <c r="AE4213">
        <v>0</v>
      </c>
      <c r="AF4213">
        <v>0</v>
      </c>
      <c r="AK4213">
        <v>0</v>
      </c>
      <c r="AL4213">
        <v>1</v>
      </c>
      <c r="AM4213">
        <v>0</v>
      </c>
      <c r="AN4213">
        <v>0</v>
      </c>
      <c r="AQ4213">
        <v>1</v>
      </c>
      <c r="AT4213">
        <v>1</v>
      </c>
      <c r="AU4213">
        <v>33</v>
      </c>
      <c r="AV4213" t="s">
        <v>100</v>
      </c>
      <c r="AW4213">
        <v>357</v>
      </c>
      <c r="AX4213">
        <v>627</v>
      </c>
      <c r="BA4213">
        <v>1</v>
      </c>
      <c r="BC4213" t="s">
        <v>8534</v>
      </c>
      <c r="BD4213" s="4">
        <v>43283.147222222222</v>
      </c>
      <c r="BE4213" s="4">
        <v>43283.157083333332</v>
      </c>
      <c r="BF4213" s="4">
        <v>43283.157083333332</v>
      </c>
      <c r="BG4213" t="s">
        <v>83</v>
      </c>
      <c r="BH4213" t="s">
        <v>84</v>
      </c>
      <c r="BI4213" t="s">
        <v>85</v>
      </c>
    </row>
    <row r="4214" spans="1:61" x14ac:dyDescent="0.3">
      <c r="A4214" t="str">
        <f>"200286B0100"</f>
        <v>200286B0100</v>
      </c>
      <c r="B4214" t="s">
        <v>8535</v>
      </c>
      <c r="C4214">
        <v>20</v>
      </c>
      <c r="D4214" t="s">
        <v>79</v>
      </c>
      <c r="E4214">
        <v>20</v>
      </c>
      <c r="F4214" t="s">
        <v>8477</v>
      </c>
      <c r="G4214">
        <v>286</v>
      </c>
      <c r="H4214">
        <v>1</v>
      </c>
      <c r="I4214" t="s">
        <v>81</v>
      </c>
      <c r="J4214">
        <v>0</v>
      </c>
      <c r="K4214">
        <v>1</v>
      </c>
      <c r="L4214">
        <v>2</v>
      </c>
      <c r="M4214">
        <v>231</v>
      </c>
      <c r="N4214">
        <v>417</v>
      </c>
      <c r="O4214">
        <v>8</v>
      </c>
      <c r="P4214">
        <v>417</v>
      </c>
      <c r="Q4214">
        <v>13</v>
      </c>
      <c r="R4214">
        <v>15</v>
      </c>
      <c r="S4214">
        <v>40</v>
      </c>
      <c r="T4214">
        <v>17</v>
      </c>
      <c r="U4214">
        <v>20</v>
      </c>
      <c r="V4214">
        <v>18</v>
      </c>
      <c r="W4214">
        <v>9</v>
      </c>
      <c r="X4214">
        <v>8</v>
      </c>
      <c r="Y4214">
        <v>111</v>
      </c>
      <c r="Z4214">
        <v>4</v>
      </c>
      <c r="AA4214">
        <v>19</v>
      </c>
      <c r="AB4214">
        <v>11</v>
      </c>
      <c r="AC4214">
        <v>0</v>
      </c>
      <c r="AD4214">
        <v>1</v>
      </c>
      <c r="AE4214">
        <v>0</v>
      </c>
      <c r="AF4214">
        <v>0</v>
      </c>
      <c r="AK4214">
        <v>0</v>
      </c>
      <c r="AL4214">
        <v>0</v>
      </c>
      <c r="AM4214">
        <v>0</v>
      </c>
      <c r="AN4214">
        <v>0</v>
      </c>
      <c r="AQ4214">
        <v>0</v>
      </c>
      <c r="AT4214">
        <v>0</v>
      </c>
      <c r="AU4214">
        <v>41</v>
      </c>
      <c r="AV4214">
        <v>417</v>
      </c>
      <c r="AW4214">
        <v>327</v>
      </c>
      <c r="AX4214">
        <v>626</v>
      </c>
      <c r="BA4214">
        <v>1</v>
      </c>
      <c r="BC4214" t="s">
        <v>8536</v>
      </c>
      <c r="BD4214" s="4">
        <v>43283.099305555559</v>
      </c>
      <c r="BE4214" s="4">
        <v>43283.103472222225</v>
      </c>
      <c r="BF4214" s="4">
        <v>43283.103472222225</v>
      </c>
      <c r="BG4214" t="s">
        <v>83</v>
      </c>
      <c r="BH4214" t="s">
        <v>84</v>
      </c>
      <c r="BI4214" t="s">
        <v>85</v>
      </c>
    </row>
    <row r="4215" spans="1:61" x14ac:dyDescent="0.3">
      <c r="A4215" t="str">
        <f>"200286C0100"</f>
        <v>200286C0100</v>
      </c>
      <c r="B4215" t="s">
        <v>8537</v>
      </c>
      <c r="C4215">
        <v>20</v>
      </c>
      <c r="D4215" t="s">
        <v>79</v>
      </c>
      <c r="E4215">
        <v>20</v>
      </c>
      <c r="F4215" t="s">
        <v>8477</v>
      </c>
      <c r="G4215">
        <v>286</v>
      </c>
      <c r="H4215">
        <v>1</v>
      </c>
      <c r="I4215" t="s">
        <v>89</v>
      </c>
      <c r="J4215">
        <v>0</v>
      </c>
      <c r="K4215">
        <v>1</v>
      </c>
      <c r="L4215">
        <v>2</v>
      </c>
      <c r="M4215">
        <v>247</v>
      </c>
      <c r="N4215">
        <v>400</v>
      </c>
      <c r="O4215">
        <v>5</v>
      </c>
      <c r="P4215">
        <v>400</v>
      </c>
      <c r="Q4215">
        <v>11</v>
      </c>
      <c r="R4215">
        <v>100</v>
      </c>
      <c r="S4215">
        <v>40</v>
      </c>
      <c r="T4215">
        <v>10</v>
      </c>
      <c r="U4215">
        <v>12</v>
      </c>
      <c r="V4215">
        <v>19</v>
      </c>
      <c r="W4215">
        <v>6</v>
      </c>
      <c r="X4215">
        <v>6</v>
      </c>
      <c r="Y4215">
        <v>112</v>
      </c>
      <c r="Z4215">
        <v>3</v>
      </c>
      <c r="AA4215">
        <v>34</v>
      </c>
      <c r="AB4215">
        <v>9</v>
      </c>
      <c r="AC4215">
        <v>0</v>
      </c>
      <c r="AD4215">
        <v>0</v>
      </c>
      <c r="AE4215">
        <v>0</v>
      </c>
      <c r="AF4215">
        <v>0</v>
      </c>
      <c r="AK4215">
        <v>4</v>
      </c>
      <c r="AL4215">
        <v>1</v>
      </c>
      <c r="AM4215">
        <v>0</v>
      </c>
      <c r="AN4215">
        <v>0</v>
      </c>
      <c r="AQ4215">
        <v>0</v>
      </c>
      <c r="AT4215">
        <v>0</v>
      </c>
      <c r="AU4215">
        <v>32</v>
      </c>
      <c r="AV4215">
        <v>400</v>
      </c>
      <c r="AW4215">
        <v>399</v>
      </c>
      <c r="AX4215">
        <v>625</v>
      </c>
      <c r="BA4215">
        <v>1</v>
      </c>
      <c r="BC4215" t="s">
        <v>8538</v>
      </c>
      <c r="BD4215" s="4">
        <v>43283.097916666666</v>
      </c>
      <c r="BE4215" s="4">
        <v>43283.102719907409</v>
      </c>
      <c r="BF4215" s="4">
        <v>43283.102719907409</v>
      </c>
      <c r="BG4215" t="s">
        <v>83</v>
      </c>
      <c r="BH4215" t="s">
        <v>84</v>
      </c>
      <c r="BI4215" t="s">
        <v>85</v>
      </c>
    </row>
    <row r="4216" spans="1:61" x14ac:dyDescent="0.3">
      <c r="A4216" t="str">
        <f>"200287B0100"</f>
        <v>200287B0100</v>
      </c>
      <c r="B4216" t="s">
        <v>8539</v>
      </c>
      <c r="C4216">
        <v>20</v>
      </c>
      <c r="D4216" t="s">
        <v>79</v>
      </c>
      <c r="E4216">
        <v>20</v>
      </c>
      <c r="F4216" t="s">
        <v>8477</v>
      </c>
      <c r="G4216">
        <v>287</v>
      </c>
      <c r="H4216">
        <v>1</v>
      </c>
      <c r="I4216" t="s">
        <v>81</v>
      </c>
      <c r="J4216">
        <v>0</v>
      </c>
      <c r="K4216">
        <v>1</v>
      </c>
      <c r="L4216">
        <v>2</v>
      </c>
      <c r="M4216">
        <v>271</v>
      </c>
      <c r="N4216">
        <v>430</v>
      </c>
      <c r="O4216">
        <v>1</v>
      </c>
      <c r="P4216">
        <v>438</v>
      </c>
      <c r="Q4216">
        <v>13</v>
      </c>
      <c r="R4216">
        <v>145</v>
      </c>
      <c r="S4216">
        <v>27</v>
      </c>
      <c r="T4216">
        <v>10</v>
      </c>
      <c r="U4216">
        <v>17</v>
      </c>
      <c r="V4216">
        <v>8</v>
      </c>
      <c r="W4216">
        <v>10</v>
      </c>
      <c r="X4216">
        <v>6</v>
      </c>
      <c r="Y4216">
        <v>137</v>
      </c>
      <c r="Z4216">
        <v>7</v>
      </c>
      <c r="AA4216">
        <v>15</v>
      </c>
      <c r="AB4216">
        <v>6</v>
      </c>
      <c r="AC4216">
        <v>0</v>
      </c>
      <c r="AD4216">
        <v>1</v>
      </c>
      <c r="AE4216">
        <v>0</v>
      </c>
      <c r="AF4216">
        <v>0</v>
      </c>
      <c r="AK4216">
        <v>3</v>
      </c>
      <c r="AL4216">
        <v>1</v>
      </c>
      <c r="AM4216">
        <v>0</v>
      </c>
      <c r="AN4216">
        <v>1</v>
      </c>
      <c r="AQ4216">
        <v>0</v>
      </c>
      <c r="AT4216">
        <v>1</v>
      </c>
      <c r="AU4216">
        <v>30</v>
      </c>
      <c r="AV4216">
        <v>438</v>
      </c>
      <c r="AW4216">
        <v>438</v>
      </c>
      <c r="AX4216">
        <v>681</v>
      </c>
      <c r="BA4216">
        <v>1</v>
      </c>
      <c r="BC4216" t="s">
        <v>8540</v>
      </c>
      <c r="BD4216" s="4">
        <v>43283.145138888889</v>
      </c>
      <c r="BE4216" s="4">
        <v>43283.153784722221</v>
      </c>
      <c r="BF4216" s="4">
        <v>43283.153784722221</v>
      </c>
      <c r="BG4216" t="s">
        <v>83</v>
      </c>
      <c r="BH4216" t="s">
        <v>84</v>
      </c>
      <c r="BI4216" t="s">
        <v>85</v>
      </c>
    </row>
    <row r="4217" spans="1:61" x14ac:dyDescent="0.3">
      <c r="A4217" t="str">
        <f>"200287C0100"</f>
        <v>200287C0100</v>
      </c>
      <c r="B4217" t="s">
        <v>8541</v>
      </c>
      <c r="C4217">
        <v>20</v>
      </c>
      <c r="D4217" t="s">
        <v>79</v>
      </c>
      <c r="E4217">
        <v>20</v>
      </c>
      <c r="F4217" t="s">
        <v>8477</v>
      </c>
      <c r="G4217">
        <v>287</v>
      </c>
      <c r="H4217">
        <v>1</v>
      </c>
      <c r="I4217" t="s">
        <v>89</v>
      </c>
      <c r="J4217">
        <v>0</v>
      </c>
      <c r="K4217">
        <v>1</v>
      </c>
      <c r="L4217">
        <v>2</v>
      </c>
      <c r="M4217">
        <v>281</v>
      </c>
      <c r="N4217">
        <v>432</v>
      </c>
      <c r="O4217">
        <v>1</v>
      </c>
      <c r="P4217">
        <v>421</v>
      </c>
      <c r="Q4217">
        <v>21</v>
      </c>
      <c r="R4217">
        <v>108</v>
      </c>
      <c r="S4217">
        <v>27</v>
      </c>
      <c r="T4217">
        <v>8</v>
      </c>
      <c r="U4217">
        <v>6</v>
      </c>
      <c r="V4217">
        <v>17</v>
      </c>
      <c r="W4217">
        <v>9</v>
      </c>
      <c r="X4217">
        <v>10</v>
      </c>
      <c r="Y4217">
        <v>136</v>
      </c>
      <c r="Z4217">
        <v>2</v>
      </c>
      <c r="AA4217">
        <v>29</v>
      </c>
      <c r="AB4217">
        <v>11</v>
      </c>
      <c r="AC4217">
        <v>0</v>
      </c>
      <c r="AD4217">
        <v>0</v>
      </c>
      <c r="AE4217">
        <v>0</v>
      </c>
      <c r="AF4217">
        <v>0</v>
      </c>
      <c r="AK4217">
        <v>2</v>
      </c>
      <c r="AL4217">
        <v>3</v>
      </c>
      <c r="AM4217">
        <v>1</v>
      </c>
      <c r="AN4217">
        <v>3</v>
      </c>
      <c r="AQ4217">
        <v>1</v>
      </c>
      <c r="AT4217" t="s">
        <v>100</v>
      </c>
      <c r="AU4217">
        <v>31</v>
      </c>
      <c r="AV4217">
        <v>421</v>
      </c>
      <c r="AW4217">
        <v>425</v>
      </c>
      <c r="AX4217">
        <v>681</v>
      </c>
      <c r="AZ4217" t="s">
        <v>101</v>
      </c>
      <c r="BA4217">
        <v>1</v>
      </c>
      <c r="BC4217" t="s">
        <v>8542</v>
      </c>
      <c r="BD4217" s="4">
        <v>43283.145138888889</v>
      </c>
      <c r="BE4217" s="4">
        <v>43283.153101851851</v>
      </c>
      <c r="BF4217" s="4">
        <v>43283.153101851851</v>
      </c>
      <c r="BG4217" t="s">
        <v>83</v>
      </c>
      <c r="BH4217" t="s">
        <v>84</v>
      </c>
      <c r="BI4217" t="s">
        <v>85</v>
      </c>
    </row>
    <row r="4218" spans="1:61" x14ac:dyDescent="0.3">
      <c r="A4218" t="str">
        <f>"200288B0100"</f>
        <v>200288B0100</v>
      </c>
      <c r="B4218" t="s">
        <v>8543</v>
      </c>
      <c r="C4218">
        <v>20</v>
      </c>
      <c r="D4218" t="s">
        <v>79</v>
      </c>
      <c r="E4218">
        <v>20</v>
      </c>
      <c r="F4218" t="s">
        <v>8477</v>
      </c>
      <c r="G4218">
        <v>288</v>
      </c>
      <c r="H4218">
        <v>1</v>
      </c>
      <c r="I4218" t="s">
        <v>81</v>
      </c>
      <c r="J4218">
        <v>0</v>
      </c>
      <c r="K4218">
        <v>1</v>
      </c>
      <c r="L4218">
        <v>2</v>
      </c>
      <c r="M4218">
        <v>221</v>
      </c>
      <c r="N4218">
        <v>446</v>
      </c>
      <c r="O4218">
        <v>2</v>
      </c>
      <c r="P4218">
        <v>446</v>
      </c>
      <c r="Q4218">
        <v>11</v>
      </c>
      <c r="R4218">
        <v>132</v>
      </c>
      <c r="S4218">
        <v>45</v>
      </c>
      <c r="T4218">
        <v>12</v>
      </c>
      <c r="U4218">
        <v>14</v>
      </c>
      <c r="V4218">
        <v>16</v>
      </c>
      <c r="W4218">
        <v>6</v>
      </c>
      <c r="X4218">
        <v>13</v>
      </c>
      <c r="Y4218">
        <v>120</v>
      </c>
      <c r="Z4218">
        <v>6</v>
      </c>
      <c r="AA4218">
        <v>18</v>
      </c>
      <c r="AB4218">
        <v>15</v>
      </c>
      <c r="AC4218">
        <v>0</v>
      </c>
      <c r="AD4218">
        <v>1</v>
      </c>
      <c r="AE4218">
        <v>0</v>
      </c>
      <c r="AF4218">
        <v>0</v>
      </c>
      <c r="AK4218">
        <v>2</v>
      </c>
      <c r="AL4218">
        <v>1</v>
      </c>
      <c r="AM4218">
        <v>0</v>
      </c>
      <c r="AN4218">
        <v>0</v>
      </c>
      <c r="AQ4218">
        <v>3</v>
      </c>
      <c r="AT4218">
        <v>2</v>
      </c>
      <c r="AU4218">
        <v>29</v>
      </c>
      <c r="AV4218">
        <v>446</v>
      </c>
      <c r="AW4218">
        <v>446</v>
      </c>
      <c r="AX4218">
        <v>645</v>
      </c>
      <c r="BA4218">
        <v>1</v>
      </c>
      <c r="BC4218" t="s">
        <v>8544</v>
      </c>
      <c r="BD4218" s="4">
        <v>43283.098611111112</v>
      </c>
      <c r="BE4218" s="4">
        <v>43283.104166666664</v>
      </c>
      <c r="BF4218" s="4">
        <v>43283.104166666664</v>
      </c>
      <c r="BG4218" t="s">
        <v>83</v>
      </c>
      <c r="BH4218" t="s">
        <v>84</v>
      </c>
      <c r="BI4218" t="s">
        <v>85</v>
      </c>
    </row>
    <row r="4219" spans="1:61" x14ac:dyDescent="0.3">
      <c r="A4219" t="str">
        <f>"200288C0100"</f>
        <v>200288C0100</v>
      </c>
      <c r="B4219" t="s">
        <v>8545</v>
      </c>
      <c r="C4219">
        <v>20</v>
      </c>
      <c r="D4219" t="s">
        <v>79</v>
      </c>
      <c r="E4219">
        <v>20</v>
      </c>
      <c r="F4219" t="s">
        <v>8477</v>
      </c>
      <c r="G4219">
        <v>288</v>
      </c>
      <c r="H4219">
        <v>1</v>
      </c>
      <c r="I4219" t="s">
        <v>89</v>
      </c>
      <c r="J4219">
        <v>0</v>
      </c>
      <c r="K4219">
        <v>1</v>
      </c>
      <c r="L4219">
        <v>2</v>
      </c>
      <c r="M4219">
        <v>228</v>
      </c>
      <c r="N4219">
        <v>438</v>
      </c>
      <c r="O4219">
        <v>1</v>
      </c>
      <c r="P4219">
        <v>438</v>
      </c>
      <c r="Q4219">
        <v>13</v>
      </c>
      <c r="R4219">
        <v>174</v>
      </c>
      <c r="S4219">
        <v>37</v>
      </c>
      <c r="T4219">
        <v>11</v>
      </c>
      <c r="U4219">
        <v>13</v>
      </c>
      <c r="V4219">
        <v>15</v>
      </c>
      <c r="W4219">
        <v>5</v>
      </c>
      <c r="X4219">
        <v>10</v>
      </c>
      <c r="Y4219">
        <v>108</v>
      </c>
      <c r="Z4219">
        <v>0</v>
      </c>
      <c r="AA4219">
        <v>13</v>
      </c>
      <c r="AB4219">
        <v>6</v>
      </c>
      <c r="AC4219">
        <v>0</v>
      </c>
      <c r="AD4219">
        <v>0</v>
      </c>
      <c r="AE4219">
        <v>0</v>
      </c>
      <c r="AF4219">
        <v>0</v>
      </c>
      <c r="AK4219">
        <v>2</v>
      </c>
      <c r="AL4219">
        <v>1</v>
      </c>
      <c r="AM4219">
        <v>0</v>
      </c>
      <c r="AN4219">
        <v>0</v>
      </c>
      <c r="AQ4219">
        <v>3</v>
      </c>
      <c r="AT4219">
        <v>0</v>
      </c>
      <c r="AU4219">
        <v>27</v>
      </c>
      <c r="AV4219">
        <v>438</v>
      </c>
      <c r="AW4219">
        <v>438</v>
      </c>
      <c r="AX4219">
        <v>644</v>
      </c>
      <c r="BA4219">
        <v>1</v>
      </c>
      <c r="BC4219" t="s">
        <v>8546</v>
      </c>
      <c r="BD4219" s="4">
        <v>43283.098611111112</v>
      </c>
      <c r="BE4219" s="4">
        <v>43283.102268518516</v>
      </c>
      <c r="BF4219" s="4">
        <v>43283.102268518516</v>
      </c>
      <c r="BG4219" t="s">
        <v>83</v>
      </c>
      <c r="BH4219" t="s">
        <v>84</v>
      </c>
      <c r="BI4219" t="s">
        <v>85</v>
      </c>
    </row>
    <row r="4220" spans="1:61" x14ac:dyDescent="0.3">
      <c r="A4220" t="str">
        <f>"200289B0100"</f>
        <v>200289B0100</v>
      </c>
      <c r="B4220" t="s">
        <v>8547</v>
      </c>
      <c r="C4220">
        <v>20</v>
      </c>
      <c r="D4220" t="s">
        <v>79</v>
      </c>
      <c r="E4220">
        <v>20</v>
      </c>
      <c r="F4220" t="s">
        <v>8477</v>
      </c>
      <c r="G4220">
        <v>289</v>
      </c>
      <c r="H4220">
        <v>1</v>
      </c>
      <c r="I4220" t="s">
        <v>81</v>
      </c>
      <c r="J4220">
        <v>0</v>
      </c>
      <c r="K4220">
        <v>1</v>
      </c>
      <c r="L4220">
        <v>2</v>
      </c>
      <c r="M4220">
        <v>251</v>
      </c>
      <c r="N4220">
        <v>703</v>
      </c>
      <c r="O4220">
        <v>11</v>
      </c>
      <c r="P4220">
        <v>427</v>
      </c>
      <c r="Q4220">
        <v>19</v>
      </c>
      <c r="R4220">
        <v>125</v>
      </c>
      <c r="S4220">
        <v>35</v>
      </c>
      <c r="T4220">
        <v>15</v>
      </c>
      <c r="U4220">
        <v>13</v>
      </c>
      <c r="V4220">
        <v>16</v>
      </c>
      <c r="W4220">
        <v>9</v>
      </c>
      <c r="X4220">
        <v>10</v>
      </c>
      <c r="Y4220">
        <v>123</v>
      </c>
      <c r="Z4220">
        <v>1</v>
      </c>
      <c r="AA4220">
        <v>16</v>
      </c>
      <c r="AB4220">
        <v>19</v>
      </c>
      <c r="AC4220">
        <v>2</v>
      </c>
      <c r="AD4220">
        <v>1</v>
      </c>
      <c r="AE4220">
        <v>0</v>
      </c>
      <c r="AF4220">
        <v>0</v>
      </c>
      <c r="AK4220">
        <v>5</v>
      </c>
      <c r="AL4220">
        <v>0</v>
      </c>
      <c r="AM4220">
        <v>0</v>
      </c>
      <c r="AN4220">
        <v>1</v>
      </c>
      <c r="AQ4220">
        <v>1</v>
      </c>
      <c r="AT4220">
        <v>0</v>
      </c>
      <c r="AU4220">
        <v>23</v>
      </c>
      <c r="AV4220">
        <v>436</v>
      </c>
      <c r="AW4220">
        <v>434</v>
      </c>
      <c r="AX4220">
        <v>671</v>
      </c>
      <c r="BA4220">
        <v>1</v>
      </c>
      <c r="BC4220" t="s">
        <v>8548</v>
      </c>
      <c r="BD4220" s="4">
        <v>43283.122916666667</v>
      </c>
      <c r="BE4220" s="4">
        <v>43283.126944444448</v>
      </c>
      <c r="BF4220" s="4">
        <v>43283.126944444448</v>
      </c>
      <c r="BG4220" t="s">
        <v>83</v>
      </c>
      <c r="BH4220" t="s">
        <v>84</v>
      </c>
      <c r="BI4220" t="s">
        <v>85</v>
      </c>
    </row>
    <row r="4221" spans="1:61" x14ac:dyDescent="0.3">
      <c r="A4221" t="str">
        <f>"200289C0100"</f>
        <v>200289C0100</v>
      </c>
      <c r="B4221" t="s">
        <v>8549</v>
      </c>
      <c r="C4221">
        <v>20</v>
      </c>
      <c r="D4221" t="s">
        <v>79</v>
      </c>
      <c r="E4221">
        <v>20</v>
      </c>
      <c r="F4221" t="s">
        <v>8477</v>
      </c>
      <c r="G4221">
        <v>289</v>
      </c>
      <c r="H4221">
        <v>1</v>
      </c>
      <c r="I4221" t="s">
        <v>89</v>
      </c>
      <c r="J4221">
        <v>0</v>
      </c>
      <c r="K4221">
        <v>1</v>
      </c>
      <c r="L4221">
        <v>2</v>
      </c>
      <c r="M4221">
        <v>258</v>
      </c>
      <c r="N4221">
        <v>435</v>
      </c>
      <c r="O4221">
        <v>7</v>
      </c>
      <c r="P4221">
        <v>435</v>
      </c>
      <c r="Q4221">
        <v>17</v>
      </c>
      <c r="R4221">
        <v>135</v>
      </c>
      <c r="S4221">
        <v>34</v>
      </c>
      <c r="T4221">
        <v>11</v>
      </c>
      <c r="U4221">
        <v>5</v>
      </c>
      <c r="V4221">
        <v>16</v>
      </c>
      <c r="W4221">
        <v>6</v>
      </c>
      <c r="X4221">
        <v>9</v>
      </c>
      <c r="Y4221">
        <v>133</v>
      </c>
      <c r="Z4221">
        <v>2</v>
      </c>
      <c r="AA4221">
        <v>19</v>
      </c>
      <c r="AB4221">
        <v>15</v>
      </c>
      <c r="AC4221">
        <v>0</v>
      </c>
      <c r="AD4221">
        <v>1</v>
      </c>
      <c r="AE4221">
        <v>0</v>
      </c>
      <c r="AF4221">
        <v>0</v>
      </c>
      <c r="AK4221">
        <v>0</v>
      </c>
      <c r="AL4221">
        <v>0</v>
      </c>
      <c r="AM4221">
        <v>0</v>
      </c>
      <c r="AN4221">
        <v>0</v>
      </c>
      <c r="AQ4221">
        <v>0</v>
      </c>
      <c r="AT4221">
        <v>0</v>
      </c>
      <c r="AU4221">
        <v>0</v>
      </c>
      <c r="AV4221">
        <v>0</v>
      </c>
      <c r="AW4221">
        <v>403</v>
      </c>
      <c r="AX4221">
        <v>671</v>
      </c>
      <c r="BA4221">
        <v>1</v>
      </c>
      <c r="BC4221" t="s">
        <v>8550</v>
      </c>
      <c r="BD4221" s="4">
        <v>43283.12222222222</v>
      </c>
      <c r="BE4221" s="4">
        <v>43283.127557870372</v>
      </c>
      <c r="BF4221" s="4">
        <v>43283.127557870372</v>
      </c>
      <c r="BG4221" t="s">
        <v>83</v>
      </c>
      <c r="BH4221" t="s">
        <v>84</v>
      </c>
      <c r="BI4221" t="s">
        <v>85</v>
      </c>
    </row>
    <row r="4222" spans="1:61" x14ac:dyDescent="0.3">
      <c r="A4222" t="str">
        <f>"200289S0100"</f>
        <v>200289S0100</v>
      </c>
      <c r="B4222" t="s">
        <v>8551</v>
      </c>
      <c r="C4222">
        <v>20</v>
      </c>
      <c r="D4222" t="s">
        <v>79</v>
      </c>
      <c r="E4222">
        <v>20</v>
      </c>
      <c r="F4222" t="s">
        <v>8477</v>
      </c>
      <c r="G4222">
        <v>289</v>
      </c>
      <c r="H4222">
        <v>1</v>
      </c>
      <c r="I4222" t="s">
        <v>104</v>
      </c>
      <c r="J4222">
        <v>0</v>
      </c>
      <c r="K4222">
        <v>1</v>
      </c>
      <c r="L4222">
        <v>3</v>
      </c>
      <c r="M4222">
        <v>446</v>
      </c>
      <c r="N4222">
        <v>32</v>
      </c>
      <c r="O4222">
        <v>0</v>
      </c>
      <c r="P4222">
        <v>32</v>
      </c>
      <c r="Q4222">
        <v>2</v>
      </c>
      <c r="R4222">
        <v>7</v>
      </c>
      <c r="S4222">
        <v>2</v>
      </c>
      <c r="T4222">
        <v>2</v>
      </c>
      <c r="U4222">
        <v>2</v>
      </c>
      <c r="V4222">
        <v>1</v>
      </c>
      <c r="W4222">
        <v>1</v>
      </c>
      <c r="X4222">
        <v>0</v>
      </c>
      <c r="Y4222">
        <v>14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</v>
      </c>
      <c r="AF4222">
        <v>0</v>
      </c>
      <c r="AK4222">
        <v>0</v>
      </c>
      <c r="AL4222">
        <v>0</v>
      </c>
      <c r="AM4222">
        <v>0</v>
      </c>
      <c r="AN4222">
        <v>0</v>
      </c>
      <c r="AQ4222">
        <v>0</v>
      </c>
      <c r="AT4222">
        <v>0</v>
      </c>
      <c r="AU4222">
        <v>1</v>
      </c>
      <c r="AV4222">
        <v>32</v>
      </c>
      <c r="AW4222">
        <v>32</v>
      </c>
      <c r="AX4222">
        <v>0</v>
      </c>
      <c r="BA4222">
        <v>1</v>
      </c>
      <c r="BC4222" t="s">
        <v>8552</v>
      </c>
      <c r="BD4222" s="4">
        <v>43283.121527777781</v>
      </c>
      <c r="BE4222" s="4">
        <v>43283.127870370372</v>
      </c>
      <c r="BF4222" s="4">
        <v>43283.127870370372</v>
      </c>
      <c r="BG4222" t="s">
        <v>83</v>
      </c>
      <c r="BH4222" t="s">
        <v>84</v>
      </c>
      <c r="BI4222" t="s">
        <v>85</v>
      </c>
    </row>
    <row r="4223" spans="1:61" x14ac:dyDescent="0.3">
      <c r="A4223" t="str">
        <f>"200289S0200"</f>
        <v>200289S0200</v>
      </c>
      <c r="B4223" t="s">
        <v>8553</v>
      </c>
      <c r="C4223">
        <v>20</v>
      </c>
      <c r="D4223" t="s">
        <v>79</v>
      </c>
      <c r="E4223">
        <v>20</v>
      </c>
      <c r="F4223" t="s">
        <v>8477</v>
      </c>
      <c r="G4223">
        <v>289</v>
      </c>
      <c r="H4223">
        <v>2</v>
      </c>
      <c r="I4223" t="s">
        <v>104</v>
      </c>
      <c r="J4223">
        <v>0</v>
      </c>
      <c r="K4223">
        <v>1</v>
      </c>
      <c r="L4223">
        <v>3</v>
      </c>
      <c r="M4223">
        <v>420</v>
      </c>
      <c r="N4223">
        <v>74</v>
      </c>
      <c r="O4223">
        <v>0</v>
      </c>
      <c r="P4223">
        <v>74</v>
      </c>
      <c r="Q4223">
        <v>1</v>
      </c>
      <c r="R4223">
        <v>7</v>
      </c>
      <c r="S4223">
        <v>4</v>
      </c>
      <c r="T4223">
        <v>0</v>
      </c>
      <c r="U4223">
        <v>1</v>
      </c>
      <c r="V4223">
        <v>2</v>
      </c>
      <c r="W4223">
        <v>0</v>
      </c>
      <c r="X4223">
        <v>0</v>
      </c>
      <c r="Y4223">
        <v>56</v>
      </c>
      <c r="Z4223">
        <v>0</v>
      </c>
      <c r="AA4223">
        <v>2</v>
      </c>
      <c r="AB4223">
        <v>0</v>
      </c>
      <c r="AC4223">
        <v>0</v>
      </c>
      <c r="AD4223">
        <v>0</v>
      </c>
      <c r="AE4223">
        <v>0</v>
      </c>
      <c r="AF4223">
        <v>0</v>
      </c>
      <c r="AK4223">
        <v>0</v>
      </c>
      <c r="AL4223">
        <v>0</v>
      </c>
      <c r="AM4223">
        <v>0</v>
      </c>
      <c r="AN4223">
        <v>0</v>
      </c>
      <c r="AQ4223">
        <v>0</v>
      </c>
      <c r="AT4223">
        <v>0</v>
      </c>
      <c r="AU4223">
        <v>17</v>
      </c>
      <c r="AV4223" t="s">
        <v>100</v>
      </c>
      <c r="AW4223">
        <v>90</v>
      </c>
      <c r="AX4223">
        <v>0</v>
      </c>
      <c r="BA4223">
        <v>1</v>
      </c>
      <c r="BC4223" t="s">
        <v>8554</v>
      </c>
      <c r="BD4223" s="4">
        <v>43283.123611111114</v>
      </c>
      <c r="BE4223" s="4">
        <v>43283.12877314815</v>
      </c>
      <c r="BF4223" s="4">
        <v>43283.12877314815</v>
      </c>
      <c r="BG4223" t="s">
        <v>83</v>
      </c>
      <c r="BH4223" t="s">
        <v>84</v>
      </c>
      <c r="BI4223" t="s">
        <v>85</v>
      </c>
    </row>
    <row r="4224" spans="1:61" x14ac:dyDescent="0.3">
      <c r="A4224" t="str">
        <f>"200290B0100"</f>
        <v>200290B0100</v>
      </c>
      <c r="B4224" t="s">
        <v>8555</v>
      </c>
      <c r="C4224">
        <v>20</v>
      </c>
      <c r="D4224" t="s">
        <v>79</v>
      </c>
      <c r="E4224">
        <v>20</v>
      </c>
      <c r="F4224" t="s">
        <v>8477</v>
      </c>
      <c r="G4224">
        <v>290</v>
      </c>
      <c r="H4224">
        <v>1</v>
      </c>
      <c r="I4224" t="s">
        <v>81</v>
      </c>
      <c r="J4224">
        <v>0</v>
      </c>
      <c r="K4224">
        <v>1</v>
      </c>
      <c r="L4224">
        <v>2</v>
      </c>
      <c r="M4224">
        <v>192</v>
      </c>
      <c r="N4224">
        <v>411</v>
      </c>
      <c r="O4224">
        <v>9</v>
      </c>
      <c r="P4224">
        <v>411</v>
      </c>
      <c r="Q4224">
        <v>14</v>
      </c>
      <c r="R4224">
        <v>70</v>
      </c>
      <c r="S4224">
        <v>40</v>
      </c>
      <c r="T4224">
        <v>17</v>
      </c>
      <c r="U4224">
        <v>8</v>
      </c>
      <c r="V4224">
        <v>5</v>
      </c>
      <c r="W4224">
        <v>12</v>
      </c>
      <c r="X4224">
        <v>4</v>
      </c>
      <c r="Y4224">
        <v>186</v>
      </c>
      <c r="Z4224">
        <v>3</v>
      </c>
      <c r="AA4224">
        <v>9</v>
      </c>
      <c r="AB4224">
        <v>6</v>
      </c>
      <c r="AC4224">
        <v>0</v>
      </c>
      <c r="AD4224">
        <v>0</v>
      </c>
      <c r="AE4224">
        <v>0</v>
      </c>
      <c r="AF4224">
        <v>0</v>
      </c>
      <c r="AK4224">
        <v>1</v>
      </c>
      <c r="AL4224">
        <v>3</v>
      </c>
      <c r="AM4224">
        <v>0</v>
      </c>
      <c r="AN4224">
        <v>0</v>
      </c>
      <c r="AQ4224">
        <v>0</v>
      </c>
      <c r="AT4224">
        <v>0</v>
      </c>
      <c r="AU4224">
        <v>33</v>
      </c>
      <c r="AV4224">
        <v>411</v>
      </c>
      <c r="AW4224">
        <v>411</v>
      </c>
      <c r="AX4224">
        <v>581</v>
      </c>
      <c r="BA4224">
        <v>1</v>
      </c>
      <c r="BC4224" t="s">
        <v>8556</v>
      </c>
      <c r="BD4224" s="4">
        <v>43282.996527777781</v>
      </c>
      <c r="BE4224" s="4">
        <v>43283.001458333332</v>
      </c>
      <c r="BF4224" s="4">
        <v>43283.001458333332</v>
      </c>
      <c r="BG4224" t="s">
        <v>83</v>
      </c>
      <c r="BH4224" t="s">
        <v>84</v>
      </c>
      <c r="BI4224" t="s">
        <v>85</v>
      </c>
    </row>
    <row r="4225" spans="1:61" x14ac:dyDescent="0.3">
      <c r="A4225" t="str">
        <f>"200290C0100"</f>
        <v>200290C0100</v>
      </c>
      <c r="B4225" t="s">
        <v>8557</v>
      </c>
      <c r="C4225">
        <v>20</v>
      </c>
      <c r="D4225" t="s">
        <v>79</v>
      </c>
      <c r="E4225">
        <v>20</v>
      </c>
      <c r="F4225" t="s">
        <v>8477</v>
      </c>
      <c r="G4225">
        <v>290</v>
      </c>
      <c r="H4225">
        <v>1</v>
      </c>
      <c r="I4225" t="s">
        <v>89</v>
      </c>
      <c r="J4225">
        <v>0</v>
      </c>
      <c r="K4225">
        <v>1</v>
      </c>
      <c r="L4225">
        <v>2</v>
      </c>
      <c r="AX4225">
        <v>581</v>
      </c>
      <c r="AZ4225" t="s">
        <v>156</v>
      </c>
      <c r="BA4225">
        <v>0</v>
      </c>
      <c r="BC4225" t="s">
        <v>8558</v>
      </c>
      <c r="BD4225" s="4">
        <v>43283.556250000001</v>
      </c>
      <c r="BE4225" s="4">
        <v>43283.56287037037</v>
      </c>
      <c r="BF4225" s="4">
        <v>43283.56287037037</v>
      </c>
      <c r="BG4225" t="s">
        <v>83</v>
      </c>
      <c r="BH4225" t="s">
        <v>84</v>
      </c>
      <c r="BI4225" t="s">
        <v>85</v>
      </c>
    </row>
    <row r="4226" spans="1:61" x14ac:dyDescent="0.3">
      <c r="A4226" t="str">
        <f>"200290E0100"</f>
        <v>200290E0100</v>
      </c>
      <c r="B4226" s="2" t="s">
        <v>8559</v>
      </c>
      <c r="C4226">
        <v>20</v>
      </c>
      <c r="D4226" t="s">
        <v>79</v>
      </c>
      <c r="E4226">
        <v>20</v>
      </c>
      <c r="F4226" t="s">
        <v>8477</v>
      </c>
      <c r="G4226">
        <v>290</v>
      </c>
      <c r="H4226">
        <v>1</v>
      </c>
      <c r="I4226" t="s">
        <v>145</v>
      </c>
      <c r="J4226">
        <v>0</v>
      </c>
      <c r="K4226">
        <v>1</v>
      </c>
      <c r="L4226">
        <v>2</v>
      </c>
      <c r="M4226">
        <v>277</v>
      </c>
      <c r="N4226">
        <v>433</v>
      </c>
      <c r="O4226">
        <v>6</v>
      </c>
      <c r="P4226">
        <v>433</v>
      </c>
      <c r="Q4226">
        <v>13</v>
      </c>
      <c r="R4226">
        <v>93</v>
      </c>
      <c r="S4226">
        <v>31</v>
      </c>
      <c r="T4226">
        <v>16</v>
      </c>
      <c r="U4226">
        <v>4</v>
      </c>
      <c r="V4226">
        <v>9</v>
      </c>
      <c r="W4226">
        <v>13</v>
      </c>
      <c r="X4226">
        <v>9</v>
      </c>
      <c r="Y4226">
        <v>161</v>
      </c>
      <c r="Z4226">
        <v>2</v>
      </c>
      <c r="AA4226">
        <v>18</v>
      </c>
      <c r="AB4226">
        <v>8</v>
      </c>
      <c r="AC4226">
        <v>0</v>
      </c>
      <c r="AD4226">
        <v>0</v>
      </c>
      <c r="AE4226">
        <v>0</v>
      </c>
      <c r="AF4226">
        <v>1</v>
      </c>
      <c r="AK4226">
        <v>3</v>
      </c>
      <c r="AL4226">
        <v>1</v>
      </c>
      <c r="AM4226">
        <v>1</v>
      </c>
      <c r="AN4226">
        <v>0</v>
      </c>
      <c r="AQ4226">
        <v>1</v>
      </c>
      <c r="AT4226">
        <v>0</v>
      </c>
      <c r="AU4226">
        <v>48</v>
      </c>
      <c r="AV4226">
        <v>432</v>
      </c>
      <c r="AW4226">
        <v>432</v>
      </c>
      <c r="AX4226">
        <v>688</v>
      </c>
      <c r="BA4226">
        <v>1</v>
      </c>
      <c r="BC4226" t="s">
        <v>8560</v>
      </c>
      <c r="BD4226" s="4">
        <v>43283.109722222223</v>
      </c>
      <c r="BE4226" s="4">
        <v>43283.115497685183</v>
      </c>
      <c r="BF4226" s="4">
        <v>43283.115497685183</v>
      </c>
      <c r="BG4226" t="s">
        <v>83</v>
      </c>
      <c r="BH4226" t="s">
        <v>84</v>
      </c>
      <c r="BI4226" t="s">
        <v>85</v>
      </c>
    </row>
    <row r="4227" spans="1:61" x14ac:dyDescent="0.3">
      <c r="A4227" t="str">
        <f>"200290E0101"</f>
        <v>200290E0101</v>
      </c>
      <c r="B4227" s="2" t="s">
        <v>8561</v>
      </c>
      <c r="C4227">
        <v>20</v>
      </c>
      <c r="D4227" t="s">
        <v>79</v>
      </c>
      <c r="E4227">
        <v>20</v>
      </c>
      <c r="F4227" t="s">
        <v>8477</v>
      </c>
      <c r="G4227">
        <v>290</v>
      </c>
      <c r="H4227">
        <v>1</v>
      </c>
      <c r="I4227" t="s">
        <v>145</v>
      </c>
      <c r="J4227">
        <v>1</v>
      </c>
      <c r="K4227">
        <v>1</v>
      </c>
      <c r="L4227">
        <v>2</v>
      </c>
      <c r="M4227">
        <v>257</v>
      </c>
      <c r="N4227">
        <v>453</v>
      </c>
      <c r="O4227">
        <v>5</v>
      </c>
      <c r="P4227">
        <v>453</v>
      </c>
      <c r="Q4227">
        <v>17</v>
      </c>
      <c r="R4227">
        <v>92</v>
      </c>
      <c r="S4227">
        <v>38</v>
      </c>
      <c r="T4227">
        <v>18</v>
      </c>
      <c r="U4227">
        <v>13</v>
      </c>
      <c r="V4227">
        <v>12</v>
      </c>
      <c r="W4227">
        <v>8</v>
      </c>
      <c r="X4227">
        <v>3</v>
      </c>
      <c r="Y4227">
        <v>166</v>
      </c>
      <c r="Z4227">
        <v>3</v>
      </c>
      <c r="AA4227">
        <v>29</v>
      </c>
      <c r="AB4227">
        <v>6</v>
      </c>
      <c r="AC4227">
        <v>0</v>
      </c>
      <c r="AD4227">
        <v>2</v>
      </c>
      <c r="AE4227">
        <v>0</v>
      </c>
      <c r="AF4227">
        <v>0</v>
      </c>
      <c r="AK4227">
        <v>2</v>
      </c>
      <c r="AL4227">
        <v>1</v>
      </c>
      <c r="AM4227">
        <v>0</v>
      </c>
      <c r="AN4227">
        <v>0</v>
      </c>
      <c r="AQ4227">
        <v>0</v>
      </c>
      <c r="AT4227">
        <v>0</v>
      </c>
      <c r="AU4227">
        <v>43</v>
      </c>
      <c r="AV4227">
        <v>453</v>
      </c>
      <c r="AW4227">
        <v>453</v>
      </c>
      <c r="AX4227">
        <v>688</v>
      </c>
      <c r="BA4227">
        <v>1</v>
      </c>
      <c r="BC4227" t="s">
        <v>8562</v>
      </c>
      <c r="BD4227" s="4">
        <v>43283.111111111109</v>
      </c>
      <c r="BE4227" s="4">
        <v>43283.115219907406</v>
      </c>
      <c r="BF4227" s="4">
        <v>43283.115219907406</v>
      </c>
      <c r="BG4227" t="s">
        <v>83</v>
      </c>
      <c r="BH4227" t="s">
        <v>84</v>
      </c>
      <c r="BI4227" t="s">
        <v>85</v>
      </c>
    </row>
    <row r="4228" spans="1:61" x14ac:dyDescent="0.3">
      <c r="A4228" t="str">
        <f>"200290E0102"</f>
        <v>200290E0102</v>
      </c>
      <c r="B4228" s="2" t="s">
        <v>8563</v>
      </c>
      <c r="C4228">
        <v>20</v>
      </c>
      <c r="D4228" t="s">
        <v>79</v>
      </c>
      <c r="E4228">
        <v>20</v>
      </c>
      <c r="F4228" t="s">
        <v>8477</v>
      </c>
      <c r="G4228">
        <v>290</v>
      </c>
      <c r="H4228">
        <v>1</v>
      </c>
      <c r="I4228" t="s">
        <v>145</v>
      </c>
      <c r="J4228">
        <v>2</v>
      </c>
      <c r="K4228">
        <v>1</v>
      </c>
      <c r="L4228">
        <v>2</v>
      </c>
      <c r="M4228">
        <v>263</v>
      </c>
      <c r="N4228">
        <v>446</v>
      </c>
      <c r="O4228">
        <v>4</v>
      </c>
      <c r="P4228">
        <v>448</v>
      </c>
      <c r="Q4228">
        <v>15</v>
      </c>
      <c r="R4228">
        <v>102</v>
      </c>
      <c r="S4228">
        <v>41</v>
      </c>
      <c r="T4228">
        <v>15</v>
      </c>
      <c r="U4228">
        <v>15</v>
      </c>
      <c r="V4228">
        <v>13</v>
      </c>
      <c r="W4228">
        <v>9</v>
      </c>
      <c r="X4228">
        <v>5</v>
      </c>
      <c r="Y4228">
        <v>153</v>
      </c>
      <c r="Z4228">
        <v>7</v>
      </c>
      <c r="AA4228">
        <v>18</v>
      </c>
      <c r="AB4228">
        <v>7</v>
      </c>
      <c r="AC4228">
        <v>1</v>
      </c>
      <c r="AD4228">
        <v>0</v>
      </c>
      <c r="AE4228">
        <v>0</v>
      </c>
      <c r="AF4228">
        <v>0</v>
      </c>
      <c r="AK4228">
        <v>3</v>
      </c>
      <c r="AL4228">
        <v>1</v>
      </c>
      <c r="AM4228">
        <v>0</v>
      </c>
      <c r="AN4228">
        <v>0</v>
      </c>
      <c r="AQ4228">
        <v>0</v>
      </c>
      <c r="AT4228">
        <v>0</v>
      </c>
      <c r="AU4228">
        <v>43</v>
      </c>
      <c r="AV4228">
        <v>448</v>
      </c>
      <c r="AW4228">
        <v>448</v>
      </c>
      <c r="AX4228">
        <v>688</v>
      </c>
      <c r="BA4228">
        <v>1</v>
      </c>
      <c r="BC4228" t="s">
        <v>8564</v>
      </c>
      <c r="BD4228" s="4">
        <v>43283.11041666667</v>
      </c>
      <c r="BE4228" s="4">
        <v>43283.128067129626</v>
      </c>
      <c r="BF4228" s="4">
        <v>43283.128067129626</v>
      </c>
      <c r="BG4228" t="s">
        <v>83</v>
      </c>
      <c r="BH4228" t="s">
        <v>84</v>
      </c>
      <c r="BI4228" t="s">
        <v>85</v>
      </c>
    </row>
    <row r="4229" spans="1:61" x14ac:dyDescent="0.3">
      <c r="A4229" t="str">
        <f>"200290S0100"</f>
        <v>200290S0100</v>
      </c>
      <c r="B4229" t="s">
        <v>8565</v>
      </c>
      <c r="C4229">
        <v>20</v>
      </c>
      <c r="D4229" t="s">
        <v>79</v>
      </c>
      <c r="E4229">
        <v>20</v>
      </c>
      <c r="F4229" t="s">
        <v>8477</v>
      </c>
      <c r="G4229">
        <v>290</v>
      </c>
      <c r="H4229">
        <v>1</v>
      </c>
      <c r="I4229" t="s">
        <v>104</v>
      </c>
      <c r="J4229">
        <v>0</v>
      </c>
      <c r="K4229">
        <v>1</v>
      </c>
      <c r="L4229">
        <v>3</v>
      </c>
      <c r="M4229">
        <v>84</v>
      </c>
      <c r="N4229">
        <v>647</v>
      </c>
      <c r="O4229">
        <v>0</v>
      </c>
      <c r="P4229">
        <v>647</v>
      </c>
      <c r="Q4229">
        <v>2</v>
      </c>
      <c r="R4229">
        <v>131</v>
      </c>
      <c r="S4229">
        <v>7</v>
      </c>
      <c r="T4229">
        <v>2</v>
      </c>
      <c r="U4229">
        <v>7</v>
      </c>
      <c r="V4229">
        <v>2</v>
      </c>
      <c r="W4229">
        <v>2</v>
      </c>
      <c r="X4229">
        <v>31</v>
      </c>
      <c r="Y4229">
        <v>401</v>
      </c>
      <c r="Z4229">
        <v>3</v>
      </c>
      <c r="AA4229">
        <v>19</v>
      </c>
      <c r="AB4229">
        <v>0</v>
      </c>
      <c r="AC4229">
        <v>0</v>
      </c>
      <c r="AD4229">
        <v>0</v>
      </c>
      <c r="AE4229">
        <v>0</v>
      </c>
      <c r="AF4229">
        <v>0</v>
      </c>
      <c r="AK4229">
        <v>0</v>
      </c>
      <c r="AL4229">
        <v>0</v>
      </c>
      <c r="AM4229">
        <v>0</v>
      </c>
      <c r="AN4229">
        <v>1</v>
      </c>
      <c r="AQ4229">
        <v>1</v>
      </c>
      <c r="AT4229">
        <v>0</v>
      </c>
      <c r="AU4229">
        <v>38</v>
      </c>
      <c r="AV4229">
        <v>647</v>
      </c>
      <c r="AW4229">
        <v>647</v>
      </c>
      <c r="AX4229">
        <v>0</v>
      </c>
      <c r="BA4229">
        <v>1</v>
      </c>
      <c r="BC4229" t="s">
        <v>8566</v>
      </c>
      <c r="BD4229" s="4">
        <v>43283.111111111109</v>
      </c>
      <c r="BE4229" s="4">
        <v>43283.116226851853</v>
      </c>
      <c r="BF4229" s="4">
        <v>43283.116226851853</v>
      </c>
      <c r="BG4229" t="s">
        <v>83</v>
      </c>
      <c r="BH4229" t="s">
        <v>84</v>
      </c>
      <c r="BI4229" t="s">
        <v>85</v>
      </c>
    </row>
    <row r="4230" spans="1:61" x14ac:dyDescent="0.3">
      <c r="A4230" t="str">
        <f>"200291B0100"</f>
        <v>200291B0100</v>
      </c>
      <c r="B4230" t="s">
        <v>8567</v>
      </c>
      <c r="C4230">
        <v>20</v>
      </c>
      <c r="D4230" t="s">
        <v>79</v>
      </c>
      <c r="E4230">
        <v>20</v>
      </c>
      <c r="F4230" t="s">
        <v>8477</v>
      </c>
      <c r="G4230">
        <v>291</v>
      </c>
      <c r="H4230">
        <v>1</v>
      </c>
      <c r="I4230" t="s">
        <v>81</v>
      </c>
      <c r="J4230">
        <v>0</v>
      </c>
      <c r="K4230">
        <v>1</v>
      </c>
      <c r="L4230">
        <v>2</v>
      </c>
      <c r="M4230">
        <v>265</v>
      </c>
      <c r="N4230">
        <v>500</v>
      </c>
      <c r="O4230">
        <v>2</v>
      </c>
      <c r="P4230">
        <v>501</v>
      </c>
      <c r="Q4230">
        <v>16</v>
      </c>
      <c r="R4230">
        <v>117</v>
      </c>
      <c r="S4230">
        <v>39</v>
      </c>
      <c r="T4230">
        <v>33</v>
      </c>
      <c r="U4230">
        <v>6</v>
      </c>
      <c r="V4230">
        <v>12</v>
      </c>
      <c r="W4230">
        <v>12</v>
      </c>
      <c r="X4230">
        <v>8</v>
      </c>
      <c r="Y4230">
        <v>174</v>
      </c>
      <c r="Z4230">
        <v>3</v>
      </c>
      <c r="AA4230">
        <v>16</v>
      </c>
      <c r="AB4230">
        <v>11</v>
      </c>
      <c r="AC4230">
        <v>1</v>
      </c>
      <c r="AD4230">
        <v>0</v>
      </c>
      <c r="AE4230">
        <v>0</v>
      </c>
      <c r="AF4230">
        <v>1</v>
      </c>
      <c r="AK4230">
        <v>5</v>
      </c>
      <c r="AL4230">
        <v>0</v>
      </c>
      <c r="AM4230">
        <v>0</v>
      </c>
      <c r="AN4230">
        <v>0</v>
      </c>
      <c r="AQ4230">
        <v>0</v>
      </c>
      <c r="AT4230">
        <v>0</v>
      </c>
      <c r="AU4230">
        <v>47</v>
      </c>
      <c r="AV4230">
        <v>501</v>
      </c>
      <c r="AW4230">
        <v>501</v>
      </c>
      <c r="AX4230">
        <v>744</v>
      </c>
      <c r="BA4230">
        <v>1</v>
      </c>
      <c r="BC4230" t="s">
        <v>8568</v>
      </c>
      <c r="BD4230" s="4">
        <v>43283.181250000001</v>
      </c>
      <c r="BE4230" s="4">
        <v>43283.208391203705</v>
      </c>
      <c r="BF4230" s="4">
        <v>43283.208391203705</v>
      </c>
      <c r="BG4230" t="s">
        <v>83</v>
      </c>
      <c r="BH4230" t="s">
        <v>84</v>
      </c>
      <c r="BI4230" t="s">
        <v>85</v>
      </c>
    </row>
    <row r="4231" spans="1:61" x14ac:dyDescent="0.3">
      <c r="A4231" t="str">
        <f>"200291C0100"</f>
        <v>200291C0100</v>
      </c>
      <c r="B4231" t="s">
        <v>8569</v>
      </c>
      <c r="C4231">
        <v>20</v>
      </c>
      <c r="D4231" t="s">
        <v>79</v>
      </c>
      <c r="E4231">
        <v>20</v>
      </c>
      <c r="F4231" t="s">
        <v>8477</v>
      </c>
      <c r="G4231">
        <v>291</v>
      </c>
      <c r="H4231">
        <v>1</v>
      </c>
      <c r="I4231" t="s">
        <v>89</v>
      </c>
      <c r="J4231">
        <v>0</v>
      </c>
      <c r="K4231">
        <v>1</v>
      </c>
      <c r="L4231">
        <v>2</v>
      </c>
      <c r="M4231">
        <v>235</v>
      </c>
      <c r="N4231">
        <v>509</v>
      </c>
      <c r="O4231">
        <v>8</v>
      </c>
      <c r="P4231" t="s">
        <v>100</v>
      </c>
      <c r="Q4231">
        <v>11</v>
      </c>
      <c r="R4231">
        <v>129</v>
      </c>
      <c r="S4231">
        <v>45</v>
      </c>
      <c r="T4231">
        <v>35</v>
      </c>
      <c r="U4231">
        <v>11</v>
      </c>
      <c r="V4231">
        <v>9</v>
      </c>
      <c r="W4231">
        <v>11</v>
      </c>
      <c r="X4231">
        <v>13</v>
      </c>
      <c r="Y4231">
        <v>145</v>
      </c>
      <c r="Z4231">
        <v>3</v>
      </c>
      <c r="AA4231">
        <v>25</v>
      </c>
      <c r="AB4231">
        <v>11</v>
      </c>
      <c r="AC4231">
        <v>0</v>
      </c>
      <c r="AD4231">
        <v>0</v>
      </c>
      <c r="AE4231">
        <v>0</v>
      </c>
      <c r="AF4231">
        <v>0</v>
      </c>
      <c r="AK4231">
        <v>0</v>
      </c>
      <c r="AL4231">
        <v>0</v>
      </c>
      <c r="AM4231">
        <v>0</v>
      </c>
      <c r="AN4231">
        <v>2</v>
      </c>
      <c r="AQ4231">
        <v>1</v>
      </c>
      <c r="AT4231" t="s">
        <v>100</v>
      </c>
      <c r="AU4231">
        <v>57</v>
      </c>
      <c r="AV4231">
        <v>508</v>
      </c>
      <c r="AW4231">
        <v>508</v>
      </c>
      <c r="AX4231">
        <v>744</v>
      </c>
      <c r="AZ4231" t="s">
        <v>101</v>
      </c>
      <c r="BA4231">
        <v>1</v>
      </c>
      <c r="BC4231" t="s">
        <v>8570</v>
      </c>
      <c r="BD4231" s="4">
        <v>43283.181250000001</v>
      </c>
      <c r="BE4231" s="4">
        <v>43283.211331018516</v>
      </c>
      <c r="BF4231" s="4">
        <v>43283.211331018516</v>
      </c>
      <c r="BG4231" t="s">
        <v>83</v>
      </c>
      <c r="BH4231" t="s">
        <v>84</v>
      </c>
      <c r="BI4231" t="s">
        <v>85</v>
      </c>
    </row>
    <row r="4232" spans="1:61" x14ac:dyDescent="0.3">
      <c r="A4232" t="str">
        <f>"200291S0100"</f>
        <v>200291S0100</v>
      </c>
      <c r="B4232" t="s">
        <v>8571</v>
      </c>
      <c r="C4232">
        <v>20</v>
      </c>
      <c r="D4232" t="s">
        <v>79</v>
      </c>
      <c r="E4232">
        <v>20</v>
      </c>
      <c r="F4232" t="s">
        <v>8477</v>
      </c>
      <c r="G4232">
        <v>291</v>
      </c>
      <c r="H4232">
        <v>1</v>
      </c>
      <c r="I4232" t="s">
        <v>104</v>
      </c>
      <c r="J4232">
        <v>0</v>
      </c>
      <c r="K4232">
        <v>1</v>
      </c>
      <c r="L4232">
        <v>3</v>
      </c>
      <c r="M4232">
        <v>387</v>
      </c>
      <c r="N4232">
        <v>9</v>
      </c>
      <c r="O4232">
        <v>0</v>
      </c>
      <c r="P4232">
        <v>371</v>
      </c>
      <c r="Q4232">
        <v>12</v>
      </c>
      <c r="R4232">
        <v>75</v>
      </c>
      <c r="S4232">
        <v>15</v>
      </c>
      <c r="T4232">
        <v>0</v>
      </c>
      <c r="U4232">
        <v>6</v>
      </c>
      <c r="V4232">
        <v>8</v>
      </c>
      <c r="W4232">
        <v>3</v>
      </c>
      <c r="X4232">
        <v>3</v>
      </c>
      <c r="Y4232">
        <v>216</v>
      </c>
      <c r="Z4232">
        <v>3</v>
      </c>
      <c r="AA4232">
        <v>7</v>
      </c>
      <c r="AB4232">
        <v>0</v>
      </c>
      <c r="AC4232">
        <v>0</v>
      </c>
      <c r="AD4232">
        <v>0</v>
      </c>
      <c r="AE4232">
        <v>0</v>
      </c>
      <c r="AF4232">
        <v>0</v>
      </c>
      <c r="AK4232">
        <v>1</v>
      </c>
      <c r="AL4232">
        <v>1</v>
      </c>
      <c r="AM4232">
        <v>0</v>
      </c>
      <c r="AN4232">
        <v>0</v>
      </c>
      <c r="AQ4232">
        <v>0</v>
      </c>
      <c r="AT4232">
        <v>2</v>
      </c>
      <c r="AU4232">
        <v>19</v>
      </c>
      <c r="AV4232" t="s">
        <v>100</v>
      </c>
      <c r="AW4232">
        <v>371</v>
      </c>
      <c r="AX4232">
        <v>0</v>
      </c>
      <c r="BA4232">
        <v>1</v>
      </c>
      <c r="BC4232" t="s">
        <v>8572</v>
      </c>
      <c r="BD4232" s="4">
        <v>43283.07916666667</v>
      </c>
      <c r="BE4232" s="4">
        <v>43283.083518518521</v>
      </c>
      <c r="BF4232" s="4">
        <v>43283.083518518521</v>
      </c>
      <c r="BG4232" t="s">
        <v>83</v>
      </c>
      <c r="BH4232" t="s">
        <v>84</v>
      </c>
      <c r="BI4232" t="s">
        <v>85</v>
      </c>
    </row>
    <row r="4233" spans="1:61" x14ac:dyDescent="0.3">
      <c r="A4233" t="str">
        <f>"200292B0100"</f>
        <v>200292B0100</v>
      </c>
      <c r="B4233" t="s">
        <v>8573</v>
      </c>
      <c r="C4233">
        <v>20</v>
      </c>
      <c r="D4233" t="s">
        <v>79</v>
      </c>
      <c r="E4233">
        <v>20</v>
      </c>
      <c r="F4233" t="s">
        <v>8477</v>
      </c>
      <c r="G4233">
        <v>292</v>
      </c>
      <c r="H4233">
        <v>1</v>
      </c>
      <c r="I4233" t="s">
        <v>81</v>
      </c>
      <c r="J4233">
        <v>0</v>
      </c>
      <c r="K4233">
        <v>1</v>
      </c>
      <c r="L4233">
        <v>2</v>
      </c>
      <c r="M4233">
        <v>192</v>
      </c>
      <c r="N4233">
        <v>409</v>
      </c>
      <c r="O4233">
        <v>3</v>
      </c>
      <c r="P4233">
        <v>406</v>
      </c>
      <c r="Q4233">
        <v>12</v>
      </c>
      <c r="R4233">
        <v>103</v>
      </c>
      <c r="S4233">
        <v>51</v>
      </c>
      <c r="T4233">
        <v>14</v>
      </c>
      <c r="U4233">
        <v>10</v>
      </c>
      <c r="V4233">
        <v>16</v>
      </c>
      <c r="W4233">
        <v>9</v>
      </c>
      <c r="X4233">
        <v>8</v>
      </c>
      <c r="Y4233">
        <v>117</v>
      </c>
      <c r="Z4233">
        <v>5</v>
      </c>
      <c r="AA4233">
        <v>14</v>
      </c>
      <c r="AB4233">
        <v>9</v>
      </c>
      <c r="AC4233">
        <v>1</v>
      </c>
      <c r="AD4233">
        <v>0</v>
      </c>
      <c r="AE4233">
        <v>0</v>
      </c>
      <c r="AF4233">
        <v>0</v>
      </c>
      <c r="AK4233">
        <v>0</v>
      </c>
      <c r="AL4233">
        <v>0</v>
      </c>
      <c r="AM4233">
        <v>0</v>
      </c>
      <c r="AN4233">
        <v>0</v>
      </c>
      <c r="AQ4233">
        <v>1</v>
      </c>
      <c r="AT4233" t="s">
        <v>100</v>
      </c>
      <c r="AU4233">
        <v>36</v>
      </c>
      <c r="AV4233">
        <v>406</v>
      </c>
      <c r="AW4233">
        <v>406</v>
      </c>
      <c r="AX4233">
        <v>576</v>
      </c>
      <c r="AZ4233" t="s">
        <v>101</v>
      </c>
      <c r="BA4233">
        <v>1</v>
      </c>
      <c r="BC4233" t="s">
        <v>8574</v>
      </c>
      <c r="BD4233" s="4">
        <v>43283.180555555555</v>
      </c>
      <c r="BE4233" s="4">
        <v>43283.199293981481</v>
      </c>
      <c r="BF4233" s="4">
        <v>43283.199293981481</v>
      </c>
      <c r="BG4233" t="s">
        <v>83</v>
      </c>
      <c r="BH4233" t="s">
        <v>84</v>
      </c>
      <c r="BI4233" t="s">
        <v>85</v>
      </c>
    </row>
    <row r="4234" spans="1:61" x14ac:dyDescent="0.3">
      <c r="A4234" t="str">
        <f>"200292C0100"</f>
        <v>200292C0100</v>
      </c>
      <c r="B4234" t="s">
        <v>8575</v>
      </c>
      <c r="C4234">
        <v>20</v>
      </c>
      <c r="D4234" t="s">
        <v>79</v>
      </c>
      <c r="E4234">
        <v>20</v>
      </c>
      <c r="F4234" t="s">
        <v>8477</v>
      </c>
      <c r="G4234">
        <v>292</v>
      </c>
      <c r="H4234">
        <v>1</v>
      </c>
      <c r="I4234" t="s">
        <v>89</v>
      </c>
      <c r="J4234">
        <v>0</v>
      </c>
      <c r="K4234">
        <v>1</v>
      </c>
      <c r="L4234">
        <v>2</v>
      </c>
      <c r="M4234">
        <v>287</v>
      </c>
      <c r="N4234">
        <v>390</v>
      </c>
      <c r="O4234">
        <v>3</v>
      </c>
      <c r="P4234">
        <v>390</v>
      </c>
      <c r="Q4234">
        <v>19</v>
      </c>
      <c r="R4234">
        <v>92</v>
      </c>
      <c r="S4234">
        <v>40</v>
      </c>
      <c r="T4234">
        <v>17</v>
      </c>
      <c r="U4234">
        <v>6</v>
      </c>
      <c r="V4234">
        <v>17</v>
      </c>
      <c r="W4234">
        <v>3</v>
      </c>
      <c r="X4234">
        <v>5</v>
      </c>
      <c r="Y4234">
        <v>119</v>
      </c>
      <c r="Z4234">
        <v>2</v>
      </c>
      <c r="AA4234">
        <v>25</v>
      </c>
      <c r="AB4234">
        <v>9</v>
      </c>
      <c r="AC4234">
        <v>0</v>
      </c>
      <c r="AD4234">
        <v>0</v>
      </c>
      <c r="AE4234">
        <v>0</v>
      </c>
      <c r="AF4234">
        <v>0</v>
      </c>
      <c r="AK4234">
        <v>1</v>
      </c>
      <c r="AL4234">
        <v>0</v>
      </c>
      <c r="AM4234">
        <v>0</v>
      </c>
      <c r="AN4234">
        <v>0</v>
      </c>
      <c r="AQ4234">
        <v>1</v>
      </c>
      <c r="AT4234">
        <v>0</v>
      </c>
      <c r="AU4234">
        <v>34</v>
      </c>
      <c r="AV4234">
        <v>390</v>
      </c>
      <c r="AW4234">
        <v>390</v>
      </c>
      <c r="AX4234">
        <v>575</v>
      </c>
      <c r="BA4234">
        <v>1</v>
      </c>
      <c r="BC4234" t="s">
        <v>8576</v>
      </c>
      <c r="BD4234" s="4">
        <v>43283.180555555555</v>
      </c>
      <c r="BE4234" s="4">
        <v>43283.198969907404</v>
      </c>
      <c r="BF4234" s="4">
        <v>43283.198969907404</v>
      </c>
      <c r="BG4234" t="s">
        <v>83</v>
      </c>
      <c r="BH4234" t="s">
        <v>84</v>
      </c>
      <c r="BI4234" t="s">
        <v>85</v>
      </c>
    </row>
    <row r="4235" spans="1:61" x14ac:dyDescent="0.3">
      <c r="A4235" t="str">
        <f>"200293B0100"</f>
        <v>200293B0100</v>
      </c>
      <c r="B4235" t="s">
        <v>8577</v>
      </c>
      <c r="C4235">
        <v>20</v>
      </c>
      <c r="D4235" t="s">
        <v>79</v>
      </c>
      <c r="E4235">
        <v>20</v>
      </c>
      <c r="F4235" t="s">
        <v>8477</v>
      </c>
      <c r="G4235">
        <v>293</v>
      </c>
      <c r="H4235">
        <v>1</v>
      </c>
      <c r="I4235" t="s">
        <v>81</v>
      </c>
      <c r="J4235">
        <v>0</v>
      </c>
      <c r="K4235">
        <v>1</v>
      </c>
      <c r="L4235">
        <v>2</v>
      </c>
      <c r="M4235">
        <v>215</v>
      </c>
      <c r="N4235">
        <v>357</v>
      </c>
      <c r="O4235">
        <v>3</v>
      </c>
      <c r="P4235">
        <v>356</v>
      </c>
      <c r="Q4235">
        <v>11</v>
      </c>
      <c r="R4235">
        <v>92</v>
      </c>
      <c r="S4235">
        <v>40</v>
      </c>
      <c r="T4235">
        <v>14</v>
      </c>
      <c r="U4235">
        <v>13</v>
      </c>
      <c r="V4235">
        <v>13</v>
      </c>
      <c r="W4235">
        <v>8</v>
      </c>
      <c r="X4235">
        <v>9</v>
      </c>
      <c r="Y4235">
        <v>108</v>
      </c>
      <c r="Z4235">
        <v>2</v>
      </c>
      <c r="AA4235">
        <v>11</v>
      </c>
      <c r="AB4235">
        <v>11</v>
      </c>
      <c r="AC4235">
        <v>1</v>
      </c>
      <c r="AD4235">
        <v>1</v>
      </c>
      <c r="AE4235">
        <v>0</v>
      </c>
      <c r="AF4235">
        <v>1</v>
      </c>
      <c r="AK4235">
        <v>0</v>
      </c>
      <c r="AL4235">
        <v>0</v>
      </c>
      <c r="AM4235">
        <v>0</v>
      </c>
      <c r="AN4235">
        <v>0</v>
      </c>
      <c r="AQ4235">
        <v>0</v>
      </c>
      <c r="AT4235">
        <v>0</v>
      </c>
      <c r="AU4235">
        <v>21</v>
      </c>
      <c r="AV4235">
        <v>356</v>
      </c>
      <c r="AW4235">
        <v>356</v>
      </c>
      <c r="AX4235">
        <v>550</v>
      </c>
      <c r="BA4235">
        <v>1</v>
      </c>
      <c r="BC4235" t="s">
        <v>8578</v>
      </c>
      <c r="BD4235" s="4">
        <v>43283.249305555553</v>
      </c>
      <c r="BE4235" s="4">
        <v>43283.274108796293</v>
      </c>
      <c r="BF4235" s="4">
        <v>43283.274108796293</v>
      </c>
      <c r="BG4235" t="s">
        <v>83</v>
      </c>
      <c r="BH4235" t="s">
        <v>84</v>
      </c>
      <c r="BI4235" t="s">
        <v>85</v>
      </c>
    </row>
    <row r="4236" spans="1:61" x14ac:dyDescent="0.3">
      <c r="A4236" t="str">
        <f>"200293C0100"</f>
        <v>200293C0100</v>
      </c>
      <c r="B4236" t="s">
        <v>8579</v>
      </c>
      <c r="C4236">
        <v>20</v>
      </c>
      <c r="D4236" t="s">
        <v>79</v>
      </c>
      <c r="E4236">
        <v>20</v>
      </c>
      <c r="F4236" t="s">
        <v>8477</v>
      </c>
      <c r="G4236">
        <v>293</v>
      </c>
      <c r="H4236">
        <v>1</v>
      </c>
      <c r="I4236" t="s">
        <v>89</v>
      </c>
      <c r="J4236">
        <v>0</v>
      </c>
      <c r="K4236">
        <v>1</v>
      </c>
      <c r="L4236">
        <v>2</v>
      </c>
      <c r="M4236">
        <v>211</v>
      </c>
      <c r="N4236">
        <v>360</v>
      </c>
      <c r="O4236">
        <v>0</v>
      </c>
      <c r="P4236">
        <v>360</v>
      </c>
      <c r="Q4236">
        <v>26</v>
      </c>
      <c r="R4236">
        <v>84</v>
      </c>
      <c r="S4236">
        <v>34</v>
      </c>
      <c r="T4236">
        <v>10</v>
      </c>
      <c r="U4236">
        <v>13</v>
      </c>
      <c r="V4236">
        <v>11</v>
      </c>
      <c r="W4236">
        <v>7</v>
      </c>
      <c r="X4236">
        <v>6</v>
      </c>
      <c r="Y4236">
        <v>104</v>
      </c>
      <c r="Z4236">
        <v>8</v>
      </c>
      <c r="AA4236">
        <v>13</v>
      </c>
      <c r="AB4236">
        <v>10</v>
      </c>
      <c r="AC4236">
        <v>1</v>
      </c>
      <c r="AD4236">
        <v>0</v>
      </c>
      <c r="AE4236">
        <v>0</v>
      </c>
      <c r="AF4236">
        <v>0</v>
      </c>
      <c r="AK4236">
        <v>1</v>
      </c>
      <c r="AL4236">
        <v>2</v>
      </c>
      <c r="AM4236">
        <v>0</v>
      </c>
      <c r="AN4236">
        <v>3</v>
      </c>
      <c r="AQ4236">
        <v>2</v>
      </c>
      <c r="AT4236">
        <v>0</v>
      </c>
      <c r="AU4236">
        <v>25</v>
      </c>
      <c r="AV4236">
        <v>360</v>
      </c>
      <c r="AW4236">
        <v>360</v>
      </c>
      <c r="AX4236">
        <v>549</v>
      </c>
      <c r="BA4236">
        <v>1</v>
      </c>
      <c r="BC4236" t="s">
        <v>8580</v>
      </c>
      <c r="BD4236" s="4">
        <v>43283.25277777778</v>
      </c>
      <c r="BE4236" s="4">
        <v>43283.280185185184</v>
      </c>
      <c r="BF4236" s="4">
        <v>43283.280185185184</v>
      </c>
      <c r="BG4236" t="s">
        <v>83</v>
      </c>
      <c r="BH4236" t="s">
        <v>84</v>
      </c>
      <c r="BI4236" t="s">
        <v>85</v>
      </c>
    </row>
    <row r="4237" spans="1:61" x14ac:dyDescent="0.3">
      <c r="A4237" t="str">
        <f>"200293C0200"</f>
        <v>200293C0200</v>
      </c>
      <c r="B4237" t="s">
        <v>8581</v>
      </c>
      <c r="C4237">
        <v>20</v>
      </c>
      <c r="D4237" t="s">
        <v>79</v>
      </c>
      <c r="E4237">
        <v>20</v>
      </c>
      <c r="F4237" t="s">
        <v>8477</v>
      </c>
      <c r="G4237">
        <v>293</v>
      </c>
      <c r="H4237">
        <v>2</v>
      </c>
      <c r="I4237" t="s">
        <v>89</v>
      </c>
      <c r="J4237">
        <v>0</v>
      </c>
      <c r="K4237">
        <v>1</v>
      </c>
      <c r="L4237">
        <v>2</v>
      </c>
      <c r="M4237">
        <v>221</v>
      </c>
      <c r="N4237">
        <v>350</v>
      </c>
      <c r="O4237">
        <v>3</v>
      </c>
      <c r="P4237">
        <v>350</v>
      </c>
      <c r="Q4237">
        <v>13</v>
      </c>
      <c r="R4237">
        <v>68</v>
      </c>
      <c r="S4237">
        <v>34</v>
      </c>
      <c r="T4237">
        <v>9</v>
      </c>
      <c r="U4237">
        <v>11</v>
      </c>
      <c r="V4237">
        <v>17</v>
      </c>
      <c r="W4237">
        <v>5</v>
      </c>
      <c r="X4237">
        <v>4</v>
      </c>
      <c r="Y4237">
        <v>147</v>
      </c>
      <c r="Z4237">
        <v>1</v>
      </c>
      <c r="AA4237">
        <v>15</v>
      </c>
      <c r="AB4237">
        <v>5</v>
      </c>
      <c r="AC4237">
        <v>1</v>
      </c>
      <c r="AD4237">
        <v>0</v>
      </c>
      <c r="AE4237">
        <v>0</v>
      </c>
      <c r="AF4237">
        <v>1</v>
      </c>
      <c r="AK4237">
        <v>3</v>
      </c>
      <c r="AL4237">
        <v>0</v>
      </c>
      <c r="AM4237">
        <v>0</v>
      </c>
      <c r="AN4237">
        <v>0</v>
      </c>
      <c r="AQ4237">
        <v>3</v>
      </c>
      <c r="AT4237">
        <v>0</v>
      </c>
      <c r="AU4237">
        <v>23</v>
      </c>
      <c r="AV4237">
        <v>350</v>
      </c>
      <c r="AW4237">
        <v>360</v>
      </c>
      <c r="AX4237">
        <v>549</v>
      </c>
      <c r="BA4237">
        <v>1</v>
      </c>
      <c r="BC4237" t="s">
        <v>8582</v>
      </c>
      <c r="BD4237" s="4">
        <v>43283.249305555553</v>
      </c>
      <c r="BE4237" s="4">
        <v>43283.275810185187</v>
      </c>
      <c r="BF4237" s="4">
        <v>43283.275810185187</v>
      </c>
      <c r="BG4237" t="s">
        <v>83</v>
      </c>
      <c r="BH4237" t="s">
        <v>84</v>
      </c>
      <c r="BI4237" t="s">
        <v>85</v>
      </c>
    </row>
    <row r="4238" spans="1:61" x14ac:dyDescent="0.3">
      <c r="A4238" t="str">
        <f>"200294B0100"</f>
        <v>200294B0100</v>
      </c>
      <c r="B4238" t="s">
        <v>8583</v>
      </c>
      <c r="C4238">
        <v>20</v>
      </c>
      <c r="D4238" t="s">
        <v>79</v>
      </c>
      <c r="E4238">
        <v>20</v>
      </c>
      <c r="F4238" t="s">
        <v>8477</v>
      </c>
      <c r="G4238">
        <v>294</v>
      </c>
      <c r="H4238">
        <v>1</v>
      </c>
      <c r="I4238" t="s">
        <v>81</v>
      </c>
      <c r="J4238">
        <v>0</v>
      </c>
      <c r="K4238">
        <v>1</v>
      </c>
      <c r="L4238">
        <v>2</v>
      </c>
      <c r="M4238">
        <v>323</v>
      </c>
      <c r="N4238">
        <v>444</v>
      </c>
      <c r="O4238">
        <v>7</v>
      </c>
      <c r="P4238">
        <v>438</v>
      </c>
      <c r="Q4238">
        <v>16</v>
      </c>
      <c r="R4238">
        <v>121</v>
      </c>
      <c r="S4238">
        <v>37</v>
      </c>
      <c r="T4238">
        <v>14</v>
      </c>
      <c r="U4238">
        <v>13</v>
      </c>
      <c r="V4238">
        <v>10</v>
      </c>
      <c r="W4238">
        <v>5</v>
      </c>
      <c r="X4238">
        <v>5</v>
      </c>
      <c r="Y4238">
        <v>134</v>
      </c>
      <c r="Z4238">
        <v>3</v>
      </c>
      <c r="AA4238">
        <v>30</v>
      </c>
      <c r="AB4238">
        <v>9</v>
      </c>
      <c r="AC4238">
        <v>0</v>
      </c>
      <c r="AD4238">
        <v>0</v>
      </c>
      <c r="AE4238">
        <v>0</v>
      </c>
      <c r="AF4238">
        <v>0</v>
      </c>
      <c r="AK4238">
        <v>1</v>
      </c>
      <c r="AL4238">
        <v>1</v>
      </c>
      <c r="AM4238">
        <v>0</v>
      </c>
      <c r="AN4238">
        <v>0</v>
      </c>
      <c r="AQ4238">
        <v>4</v>
      </c>
      <c r="AT4238" t="s">
        <v>100</v>
      </c>
      <c r="AU4238">
        <v>36</v>
      </c>
      <c r="AV4238">
        <v>437</v>
      </c>
      <c r="AW4238">
        <v>439</v>
      </c>
      <c r="AX4238">
        <v>745</v>
      </c>
      <c r="AZ4238" t="s">
        <v>101</v>
      </c>
      <c r="BA4238">
        <v>1</v>
      </c>
      <c r="BC4238" t="s">
        <v>8584</v>
      </c>
      <c r="BD4238" s="4">
        <v>43283.038194444445</v>
      </c>
      <c r="BE4238" s="4">
        <v>43283.043530092589</v>
      </c>
      <c r="BF4238" s="4">
        <v>43283.043530092589</v>
      </c>
      <c r="BG4238" t="s">
        <v>83</v>
      </c>
      <c r="BH4238" t="s">
        <v>84</v>
      </c>
      <c r="BI4238" t="s">
        <v>85</v>
      </c>
    </row>
    <row r="4239" spans="1:61" x14ac:dyDescent="0.3">
      <c r="A4239" t="str">
        <f>"200294C0100"</f>
        <v>200294C0100</v>
      </c>
      <c r="B4239" t="s">
        <v>8585</v>
      </c>
      <c r="C4239">
        <v>20</v>
      </c>
      <c r="D4239" t="s">
        <v>79</v>
      </c>
      <c r="E4239">
        <v>20</v>
      </c>
      <c r="F4239" t="s">
        <v>8477</v>
      </c>
      <c r="G4239">
        <v>294</v>
      </c>
      <c r="H4239">
        <v>1</v>
      </c>
      <c r="I4239" t="s">
        <v>89</v>
      </c>
      <c r="J4239">
        <v>0</v>
      </c>
      <c r="K4239">
        <v>1</v>
      </c>
      <c r="L4239">
        <v>2</v>
      </c>
      <c r="M4239">
        <v>293</v>
      </c>
      <c r="N4239">
        <v>475</v>
      </c>
      <c r="O4239">
        <v>5</v>
      </c>
      <c r="P4239">
        <v>480</v>
      </c>
      <c r="Q4239">
        <v>71</v>
      </c>
      <c r="R4239">
        <v>146</v>
      </c>
      <c r="S4239" t="s">
        <v>100</v>
      </c>
      <c r="T4239" t="s">
        <v>100</v>
      </c>
      <c r="U4239" t="s">
        <v>100</v>
      </c>
      <c r="V4239" t="s">
        <v>100</v>
      </c>
      <c r="W4239">
        <v>12</v>
      </c>
      <c r="X4239" t="s">
        <v>100</v>
      </c>
      <c r="Y4239">
        <v>164</v>
      </c>
      <c r="Z4239" t="s">
        <v>100</v>
      </c>
      <c r="AA4239">
        <v>37</v>
      </c>
      <c r="AB4239">
        <v>8</v>
      </c>
      <c r="AC4239" t="s">
        <v>100</v>
      </c>
      <c r="AD4239" t="s">
        <v>100</v>
      </c>
      <c r="AE4239" t="s">
        <v>100</v>
      </c>
      <c r="AF4239" t="s">
        <v>100</v>
      </c>
      <c r="AK4239" t="s">
        <v>100</v>
      </c>
      <c r="AL4239" t="s">
        <v>100</v>
      </c>
      <c r="AM4239" t="s">
        <v>100</v>
      </c>
      <c r="AN4239" t="s">
        <v>100</v>
      </c>
      <c r="AQ4239" t="s">
        <v>100</v>
      </c>
      <c r="AT4239" t="s">
        <v>100</v>
      </c>
      <c r="AU4239">
        <v>28</v>
      </c>
      <c r="AV4239">
        <v>466</v>
      </c>
      <c r="AW4239">
        <v>466</v>
      </c>
      <c r="AX4239">
        <v>745</v>
      </c>
      <c r="AZ4239" t="s">
        <v>101</v>
      </c>
      <c r="BA4239">
        <v>1</v>
      </c>
      <c r="BC4239" t="s">
        <v>8586</v>
      </c>
      <c r="BD4239" s="4">
        <v>43283.104861111111</v>
      </c>
      <c r="BE4239" s="4">
        <v>43283.109826388885</v>
      </c>
      <c r="BF4239" s="4">
        <v>43283.109826388885</v>
      </c>
      <c r="BG4239" t="s">
        <v>83</v>
      </c>
      <c r="BH4239" t="s">
        <v>84</v>
      </c>
      <c r="BI4239" t="s">
        <v>85</v>
      </c>
    </row>
    <row r="4240" spans="1:61" x14ac:dyDescent="0.3">
      <c r="A4240" t="str">
        <f>"200294C0200"</f>
        <v>200294C0200</v>
      </c>
      <c r="B4240" t="s">
        <v>8587</v>
      </c>
      <c r="C4240">
        <v>20</v>
      </c>
      <c r="D4240" t="s">
        <v>79</v>
      </c>
      <c r="E4240">
        <v>20</v>
      </c>
      <c r="F4240" t="s">
        <v>8477</v>
      </c>
      <c r="G4240">
        <v>294</v>
      </c>
      <c r="H4240">
        <v>2</v>
      </c>
      <c r="I4240" t="s">
        <v>89</v>
      </c>
      <c r="J4240">
        <v>0</v>
      </c>
      <c r="K4240">
        <v>1</v>
      </c>
      <c r="L4240">
        <v>2</v>
      </c>
      <c r="M4240">
        <v>304</v>
      </c>
      <c r="N4240" t="s">
        <v>100</v>
      </c>
      <c r="O4240" t="s">
        <v>100</v>
      </c>
      <c r="P4240" t="s">
        <v>100</v>
      </c>
      <c r="Q4240">
        <v>14</v>
      </c>
      <c r="R4240">
        <v>152</v>
      </c>
      <c r="S4240">
        <v>53</v>
      </c>
      <c r="T4240">
        <v>19</v>
      </c>
      <c r="U4240">
        <v>15</v>
      </c>
      <c r="V4240">
        <v>10</v>
      </c>
      <c r="W4240">
        <v>6</v>
      </c>
      <c r="X4240">
        <v>2</v>
      </c>
      <c r="Y4240">
        <v>121</v>
      </c>
      <c r="Z4240">
        <v>5</v>
      </c>
      <c r="AA4240">
        <v>19</v>
      </c>
      <c r="AB4240">
        <v>8</v>
      </c>
      <c r="AC4240">
        <v>0</v>
      </c>
      <c r="AD4240">
        <v>1</v>
      </c>
      <c r="AE4240">
        <v>0</v>
      </c>
      <c r="AF4240">
        <v>0</v>
      </c>
      <c r="AK4240">
        <v>2</v>
      </c>
      <c r="AL4240">
        <v>2</v>
      </c>
      <c r="AM4240">
        <v>0</v>
      </c>
      <c r="AN4240">
        <v>0</v>
      </c>
      <c r="AQ4240">
        <v>0</v>
      </c>
      <c r="AT4240">
        <v>1</v>
      </c>
      <c r="AU4240">
        <v>33</v>
      </c>
      <c r="AV4240" t="s">
        <v>100</v>
      </c>
      <c r="AW4240">
        <v>463</v>
      </c>
      <c r="AX4240">
        <v>745</v>
      </c>
      <c r="BA4240">
        <v>1</v>
      </c>
      <c r="BC4240" t="s">
        <v>8588</v>
      </c>
      <c r="BD4240" s="4">
        <v>43283.037499999999</v>
      </c>
      <c r="BE4240" s="4">
        <v>43283.044432870367</v>
      </c>
      <c r="BF4240" s="4">
        <v>43283.044432870367</v>
      </c>
      <c r="BG4240" t="s">
        <v>83</v>
      </c>
      <c r="BH4240" t="s">
        <v>84</v>
      </c>
      <c r="BI4240" t="s">
        <v>85</v>
      </c>
    </row>
    <row r="4241" spans="1:61" x14ac:dyDescent="0.3">
      <c r="A4241" t="str">
        <f>"200294E0100"</f>
        <v>200294E0100</v>
      </c>
      <c r="B4241" s="2" t="s">
        <v>8589</v>
      </c>
      <c r="C4241">
        <v>20</v>
      </c>
      <c r="D4241" t="s">
        <v>79</v>
      </c>
      <c r="E4241">
        <v>20</v>
      </c>
      <c r="F4241" t="s">
        <v>8477</v>
      </c>
      <c r="G4241">
        <v>294</v>
      </c>
      <c r="H4241">
        <v>1</v>
      </c>
      <c r="I4241" t="s">
        <v>145</v>
      </c>
      <c r="J4241">
        <v>0</v>
      </c>
      <c r="K4241">
        <v>1</v>
      </c>
      <c r="L4241">
        <v>2</v>
      </c>
      <c r="M4241">
        <v>270</v>
      </c>
      <c r="N4241">
        <v>406</v>
      </c>
      <c r="O4241">
        <v>9</v>
      </c>
      <c r="P4241">
        <v>406</v>
      </c>
      <c r="Q4241">
        <v>9</v>
      </c>
      <c r="R4241">
        <v>146</v>
      </c>
      <c r="S4241">
        <v>22</v>
      </c>
      <c r="T4241">
        <v>19</v>
      </c>
      <c r="U4241">
        <v>9</v>
      </c>
      <c r="V4241">
        <v>13</v>
      </c>
      <c r="W4241">
        <v>4</v>
      </c>
      <c r="X4241">
        <v>11</v>
      </c>
      <c r="Y4241">
        <v>104</v>
      </c>
      <c r="Z4241">
        <v>3</v>
      </c>
      <c r="AA4241">
        <v>22</v>
      </c>
      <c r="AB4241">
        <v>12</v>
      </c>
      <c r="AC4241">
        <v>1</v>
      </c>
      <c r="AD4241">
        <v>0</v>
      </c>
      <c r="AE4241">
        <v>0</v>
      </c>
      <c r="AF4241">
        <v>0</v>
      </c>
      <c r="AK4241">
        <v>1</v>
      </c>
      <c r="AL4241">
        <v>0</v>
      </c>
      <c r="AM4241">
        <v>0</v>
      </c>
      <c r="AN4241">
        <v>0</v>
      </c>
      <c r="AQ4241">
        <v>0</v>
      </c>
      <c r="AT4241">
        <v>0</v>
      </c>
      <c r="AU4241">
        <v>30</v>
      </c>
      <c r="AV4241">
        <v>406</v>
      </c>
      <c r="AW4241">
        <v>406</v>
      </c>
      <c r="AX4241">
        <v>654</v>
      </c>
      <c r="BA4241">
        <v>1</v>
      </c>
      <c r="BC4241" t="s">
        <v>8590</v>
      </c>
      <c r="BD4241" s="4">
        <v>43283.106249999997</v>
      </c>
      <c r="BE4241" s="4">
        <v>43283.110763888886</v>
      </c>
      <c r="BF4241" s="4">
        <v>43283.110763888886</v>
      </c>
      <c r="BG4241" t="s">
        <v>83</v>
      </c>
      <c r="BH4241" t="s">
        <v>84</v>
      </c>
      <c r="BI4241" t="s">
        <v>85</v>
      </c>
    </row>
    <row r="4242" spans="1:61" x14ac:dyDescent="0.3">
      <c r="A4242" t="str">
        <f>"200294E0101"</f>
        <v>200294E0101</v>
      </c>
      <c r="B4242" s="2" t="s">
        <v>8591</v>
      </c>
      <c r="C4242">
        <v>20</v>
      </c>
      <c r="D4242" t="s">
        <v>79</v>
      </c>
      <c r="E4242">
        <v>20</v>
      </c>
      <c r="F4242" t="s">
        <v>8477</v>
      </c>
      <c r="G4242">
        <v>294</v>
      </c>
      <c r="H4242">
        <v>1</v>
      </c>
      <c r="I4242" t="s">
        <v>145</v>
      </c>
      <c r="J4242">
        <v>1</v>
      </c>
      <c r="K4242">
        <v>1</v>
      </c>
      <c r="L4242">
        <v>2</v>
      </c>
      <c r="M4242">
        <v>248</v>
      </c>
      <c r="N4242" t="s">
        <v>100</v>
      </c>
      <c r="O4242" t="s">
        <v>100</v>
      </c>
      <c r="P4242" t="s">
        <v>100</v>
      </c>
      <c r="Q4242">
        <v>11</v>
      </c>
      <c r="R4242">
        <v>142</v>
      </c>
      <c r="S4242">
        <v>28</v>
      </c>
      <c r="T4242">
        <v>15</v>
      </c>
      <c r="U4242">
        <v>11</v>
      </c>
      <c r="V4242" t="s">
        <v>100</v>
      </c>
      <c r="W4242">
        <v>7</v>
      </c>
      <c r="X4242">
        <v>13</v>
      </c>
      <c r="Y4242">
        <v>123</v>
      </c>
      <c r="Z4242">
        <v>3</v>
      </c>
      <c r="AA4242">
        <v>16</v>
      </c>
      <c r="AB4242">
        <v>5</v>
      </c>
      <c r="AC4242" t="s">
        <v>100</v>
      </c>
      <c r="AD4242" t="s">
        <v>100</v>
      </c>
      <c r="AE4242" t="s">
        <v>100</v>
      </c>
      <c r="AF4242">
        <v>1</v>
      </c>
      <c r="AK4242">
        <v>1</v>
      </c>
      <c r="AL4242" t="s">
        <v>100</v>
      </c>
      <c r="AM4242" t="s">
        <v>100</v>
      </c>
      <c r="AN4242" t="s">
        <v>100</v>
      </c>
      <c r="AQ4242">
        <v>4</v>
      </c>
      <c r="AT4242">
        <v>2</v>
      </c>
      <c r="AU4242">
        <v>37</v>
      </c>
      <c r="AV4242">
        <v>428</v>
      </c>
      <c r="AW4242">
        <v>419</v>
      </c>
      <c r="AX4242">
        <v>653</v>
      </c>
      <c r="AZ4242" t="s">
        <v>101</v>
      </c>
      <c r="BA4242">
        <v>1</v>
      </c>
      <c r="BC4242" t="s">
        <v>8592</v>
      </c>
      <c r="BD4242" s="4">
        <v>43283.106944444444</v>
      </c>
      <c r="BE4242" s="4">
        <v>43283.122060185182</v>
      </c>
      <c r="BF4242" s="4">
        <v>43283.122060185182</v>
      </c>
      <c r="BG4242" t="s">
        <v>83</v>
      </c>
      <c r="BH4242" t="s">
        <v>84</v>
      </c>
      <c r="BI4242" t="s">
        <v>85</v>
      </c>
    </row>
    <row r="4243" spans="1:61" x14ac:dyDescent="0.3">
      <c r="A4243" t="str">
        <f>"200295B0100"</f>
        <v>200295B0100</v>
      </c>
      <c r="B4243" t="s">
        <v>8593</v>
      </c>
      <c r="C4243">
        <v>20</v>
      </c>
      <c r="D4243" t="s">
        <v>79</v>
      </c>
      <c r="E4243">
        <v>20</v>
      </c>
      <c r="F4243" t="s">
        <v>8477</v>
      </c>
      <c r="G4243">
        <v>295</v>
      </c>
      <c r="H4243">
        <v>1</v>
      </c>
      <c r="I4243" t="s">
        <v>81</v>
      </c>
      <c r="J4243">
        <v>0</v>
      </c>
      <c r="K4243">
        <v>1</v>
      </c>
      <c r="L4243">
        <v>2</v>
      </c>
      <c r="M4243">
        <v>148</v>
      </c>
      <c r="N4243">
        <v>289</v>
      </c>
      <c r="O4243">
        <v>11</v>
      </c>
      <c r="P4243" t="s">
        <v>100</v>
      </c>
      <c r="Q4243">
        <v>11</v>
      </c>
      <c r="R4243">
        <v>73</v>
      </c>
      <c r="S4243">
        <v>30</v>
      </c>
      <c r="T4243">
        <v>13</v>
      </c>
      <c r="U4243">
        <v>5</v>
      </c>
      <c r="V4243">
        <v>11</v>
      </c>
      <c r="W4243">
        <v>6</v>
      </c>
      <c r="X4243">
        <v>6</v>
      </c>
      <c r="Y4243">
        <v>85</v>
      </c>
      <c r="Z4243">
        <v>11</v>
      </c>
      <c r="AA4243">
        <v>14</v>
      </c>
      <c r="AB4243">
        <v>4</v>
      </c>
      <c r="AC4243">
        <v>0</v>
      </c>
      <c r="AD4243">
        <v>0</v>
      </c>
      <c r="AE4243">
        <v>0</v>
      </c>
      <c r="AF4243">
        <v>0</v>
      </c>
      <c r="AK4243">
        <v>1</v>
      </c>
      <c r="AL4243">
        <v>0</v>
      </c>
      <c r="AM4243">
        <v>1</v>
      </c>
      <c r="AN4243">
        <v>0</v>
      </c>
      <c r="AQ4243">
        <v>2</v>
      </c>
      <c r="AT4243">
        <v>2</v>
      </c>
      <c r="AU4243">
        <v>23</v>
      </c>
      <c r="AV4243" t="s">
        <v>100</v>
      </c>
      <c r="AW4243">
        <v>298</v>
      </c>
      <c r="AX4243">
        <v>415</v>
      </c>
      <c r="BA4243">
        <v>1</v>
      </c>
      <c r="BC4243" t="s">
        <v>8594</v>
      </c>
      <c r="BD4243" s="4">
        <v>43283.25</v>
      </c>
      <c r="BE4243" s="4">
        <v>43283.277106481481</v>
      </c>
      <c r="BF4243" s="4">
        <v>43283.277106481481</v>
      </c>
      <c r="BG4243" t="s">
        <v>83</v>
      </c>
      <c r="BH4243" t="s">
        <v>84</v>
      </c>
      <c r="BI4243" t="s">
        <v>85</v>
      </c>
    </row>
    <row r="4244" spans="1:61" x14ac:dyDescent="0.3">
      <c r="A4244" t="str">
        <f>"200295C0100"</f>
        <v>200295C0100</v>
      </c>
      <c r="B4244" t="s">
        <v>8595</v>
      </c>
      <c r="C4244">
        <v>20</v>
      </c>
      <c r="D4244" t="s">
        <v>79</v>
      </c>
      <c r="E4244">
        <v>20</v>
      </c>
      <c r="F4244" t="s">
        <v>8477</v>
      </c>
      <c r="G4244">
        <v>295</v>
      </c>
      <c r="H4244">
        <v>1</v>
      </c>
      <c r="I4244" t="s">
        <v>89</v>
      </c>
      <c r="J4244">
        <v>0</v>
      </c>
      <c r="K4244">
        <v>1</v>
      </c>
      <c r="L4244">
        <v>2</v>
      </c>
      <c r="AX4244">
        <v>415</v>
      </c>
      <c r="AZ4244" t="s">
        <v>156</v>
      </c>
      <c r="BA4244">
        <v>0</v>
      </c>
      <c r="BC4244" t="s">
        <v>8596</v>
      </c>
      <c r="BD4244" s="4">
        <v>43283.556250000001</v>
      </c>
      <c r="BE4244" s="4">
        <v>43283.562245370369</v>
      </c>
      <c r="BF4244" s="4">
        <v>43283.562245370369</v>
      </c>
      <c r="BG4244" t="s">
        <v>83</v>
      </c>
      <c r="BH4244" t="s">
        <v>84</v>
      </c>
      <c r="BI4244" t="s">
        <v>85</v>
      </c>
    </row>
    <row r="4245" spans="1:61" x14ac:dyDescent="0.3">
      <c r="A4245" t="str">
        <f>"200296B0100"</f>
        <v>200296B0100</v>
      </c>
      <c r="B4245" t="s">
        <v>8597</v>
      </c>
      <c r="C4245">
        <v>20</v>
      </c>
      <c r="D4245" t="s">
        <v>79</v>
      </c>
      <c r="E4245">
        <v>20</v>
      </c>
      <c r="F4245" t="s">
        <v>8477</v>
      </c>
      <c r="G4245">
        <v>296</v>
      </c>
      <c r="H4245">
        <v>1</v>
      </c>
      <c r="I4245" t="s">
        <v>81</v>
      </c>
      <c r="J4245">
        <v>0</v>
      </c>
      <c r="K4245">
        <v>1</v>
      </c>
      <c r="L4245">
        <v>2</v>
      </c>
      <c r="M4245">
        <v>184</v>
      </c>
      <c r="N4245">
        <v>308</v>
      </c>
      <c r="O4245">
        <v>5</v>
      </c>
      <c r="P4245">
        <v>308</v>
      </c>
      <c r="Q4245">
        <v>12</v>
      </c>
      <c r="R4245">
        <v>82</v>
      </c>
      <c r="S4245">
        <v>31</v>
      </c>
      <c r="T4245">
        <v>18</v>
      </c>
      <c r="U4245">
        <v>7</v>
      </c>
      <c r="V4245">
        <v>5</v>
      </c>
      <c r="W4245">
        <v>4</v>
      </c>
      <c r="X4245">
        <v>4</v>
      </c>
      <c r="Y4245">
        <v>101</v>
      </c>
      <c r="Z4245">
        <v>0</v>
      </c>
      <c r="AA4245">
        <v>13</v>
      </c>
      <c r="AB4245">
        <v>5</v>
      </c>
      <c r="AC4245">
        <v>1</v>
      </c>
      <c r="AD4245">
        <v>0</v>
      </c>
      <c r="AE4245">
        <v>0</v>
      </c>
      <c r="AF4245">
        <v>0</v>
      </c>
      <c r="AK4245">
        <v>1</v>
      </c>
      <c r="AL4245">
        <v>1</v>
      </c>
      <c r="AM4245">
        <v>0</v>
      </c>
      <c r="AN4245">
        <v>0</v>
      </c>
      <c r="AQ4245">
        <v>0</v>
      </c>
      <c r="AT4245">
        <v>0</v>
      </c>
      <c r="AU4245">
        <v>23</v>
      </c>
      <c r="AV4245">
        <v>308</v>
      </c>
      <c r="AW4245">
        <v>308</v>
      </c>
      <c r="AX4245">
        <v>470</v>
      </c>
      <c r="BA4245">
        <v>1</v>
      </c>
      <c r="BC4245" t="s">
        <v>8598</v>
      </c>
      <c r="BD4245" s="4">
        <v>43283.114583333336</v>
      </c>
      <c r="BE4245" s="4">
        <v>43283.121874999997</v>
      </c>
      <c r="BF4245" s="4">
        <v>43283.121874999997</v>
      </c>
      <c r="BG4245" t="s">
        <v>83</v>
      </c>
      <c r="BH4245" t="s">
        <v>84</v>
      </c>
      <c r="BI4245" t="s">
        <v>85</v>
      </c>
    </row>
    <row r="4246" spans="1:61" x14ac:dyDescent="0.3">
      <c r="A4246" t="str">
        <f>"200296C0100"</f>
        <v>200296C0100</v>
      </c>
      <c r="B4246" t="s">
        <v>8599</v>
      </c>
      <c r="C4246">
        <v>20</v>
      </c>
      <c r="D4246" t="s">
        <v>79</v>
      </c>
      <c r="E4246">
        <v>20</v>
      </c>
      <c r="F4246" t="s">
        <v>8477</v>
      </c>
      <c r="G4246">
        <v>296</v>
      </c>
      <c r="H4246">
        <v>1</v>
      </c>
      <c r="I4246" t="s">
        <v>89</v>
      </c>
      <c r="J4246">
        <v>0</v>
      </c>
      <c r="K4246">
        <v>1</v>
      </c>
      <c r="L4246">
        <v>2</v>
      </c>
      <c r="M4246">
        <v>161</v>
      </c>
      <c r="N4246">
        <v>331</v>
      </c>
      <c r="O4246">
        <v>6</v>
      </c>
      <c r="P4246">
        <v>331</v>
      </c>
      <c r="Q4246">
        <v>14</v>
      </c>
      <c r="R4246">
        <v>68</v>
      </c>
      <c r="S4246">
        <v>21</v>
      </c>
      <c r="T4246">
        <v>23</v>
      </c>
      <c r="U4246">
        <v>6</v>
      </c>
      <c r="V4246">
        <v>9</v>
      </c>
      <c r="W4246">
        <v>7</v>
      </c>
      <c r="X4246">
        <v>5</v>
      </c>
      <c r="Y4246">
        <v>137</v>
      </c>
      <c r="Z4246">
        <v>0</v>
      </c>
      <c r="AA4246">
        <v>15</v>
      </c>
      <c r="AB4246">
        <v>5</v>
      </c>
      <c r="AC4246">
        <v>0</v>
      </c>
      <c r="AD4246">
        <v>0</v>
      </c>
      <c r="AE4246">
        <v>0</v>
      </c>
      <c r="AF4246">
        <v>0</v>
      </c>
      <c r="AK4246">
        <v>2</v>
      </c>
      <c r="AL4246">
        <v>0</v>
      </c>
      <c r="AM4246">
        <v>0</v>
      </c>
      <c r="AN4246">
        <v>1</v>
      </c>
      <c r="AQ4246">
        <v>0</v>
      </c>
      <c r="AT4246" t="s">
        <v>100</v>
      </c>
      <c r="AU4246">
        <v>18</v>
      </c>
      <c r="AV4246" t="s">
        <v>100</v>
      </c>
      <c r="AW4246">
        <v>331</v>
      </c>
      <c r="AX4246">
        <v>470</v>
      </c>
      <c r="AZ4246" t="s">
        <v>101</v>
      </c>
      <c r="BA4246">
        <v>1</v>
      </c>
      <c r="BC4246" t="s">
        <v>8600</v>
      </c>
      <c r="BD4246" s="4">
        <v>43283.115277777775</v>
      </c>
      <c r="BE4246" s="4">
        <v>43283.12222222222</v>
      </c>
      <c r="BF4246" s="4">
        <v>43283.12222222222</v>
      </c>
      <c r="BG4246" t="s">
        <v>83</v>
      </c>
      <c r="BH4246" t="s">
        <v>84</v>
      </c>
      <c r="BI4246" t="s">
        <v>85</v>
      </c>
    </row>
    <row r="4247" spans="1:61" x14ac:dyDescent="0.3">
      <c r="A4247" t="str">
        <f>"200297B0100"</f>
        <v>200297B0100</v>
      </c>
      <c r="B4247" t="s">
        <v>8601</v>
      </c>
      <c r="C4247">
        <v>20</v>
      </c>
      <c r="D4247" t="s">
        <v>79</v>
      </c>
      <c r="E4247">
        <v>20</v>
      </c>
      <c r="F4247" t="s">
        <v>8477</v>
      </c>
      <c r="G4247">
        <v>297</v>
      </c>
      <c r="H4247">
        <v>1</v>
      </c>
      <c r="I4247" t="s">
        <v>81</v>
      </c>
      <c r="J4247">
        <v>0</v>
      </c>
      <c r="K4247">
        <v>1</v>
      </c>
      <c r="L4247">
        <v>2</v>
      </c>
      <c r="M4247">
        <v>241</v>
      </c>
      <c r="N4247">
        <v>499</v>
      </c>
      <c r="O4247">
        <v>4</v>
      </c>
      <c r="P4247">
        <v>497</v>
      </c>
      <c r="Q4247">
        <v>29</v>
      </c>
      <c r="R4247">
        <v>146</v>
      </c>
      <c r="S4247">
        <v>58</v>
      </c>
      <c r="T4247">
        <v>16</v>
      </c>
      <c r="U4247">
        <v>7</v>
      </c>
      <c r="V4247">
        <v>18</v>
      </c>
      <c r="W4247">
        <v>9</v>
      </c>
      <c r="X4247">
        <v>4</v>
      </c>
      <c r="Y4247">
        <v>136</v>
      </c>
      <c r="Z4247">
        <v>3</v>
      </c>
      <c r="AA4247">
        <v>15</v>
      </c>
      <c r="AB4247">
        <v>16</v>
      </c>
      <c r="AC4247">
        <v>1</v>
      </c>
      <c r="AD4247">
        <v>0</v>
      </c>
      <c r="AE4247">
        <v>0</v>
      </c>
      <c r="AF4247">
        <v>0</v>
      </c>
      <c r="AK4247">
        <v>1</v>
      </c>
      <c r="AL4247">
        <v>2</v>
      </c>
      <c r="AM4247">
        <v>0</v>
      </c>
      <c r="AN4247">
        <v>0</v>
      </c>
      <c r="AQ4247">
        <v>0</v>
      </c>
      <c r="AT4247">
        <v>1</v>
      </c>
      <c r="AU4247">
        <v>37</v>
      </c>
      <c r="AV4247">
        <v>499</v>
      </c>
      <c r="AW4247">
        <v>499</v>
      </c>
      <c r="AX4247">
        <v>718</v>
      </c>
      <c r="BA4247">
        <v>1</v>
      </c>
      <c r="BC4247" t="s">
        <v>8602</v>
      </c>
      <c r="BD4247" s="4">
        <v>43283.113888888889</v>
      </c>
      <c r="BE4247" s="4">
        <v>43283.120462962965</v>
      </c>
      <c r="BF4247" s="4">
        <v>43283.120462962965</v>
      </c>
      <c r="BG4247" t="s">
        <v>83</v>
      </c>
      <c r="BH4247" t="s">
        <v>84</v>
      </c>
      <c r="BI4247" t="s">
        <v>85</v>
      </c>
    </row>
    <row r="4248" spans="1:61" x14ac:dyDescent="0.3">
      <c r="A4248" t="str">
        <f>"200298B0100"</f>
        <v>200298B0100</v>
      </c>
      <c r="B4248" t="s">
        <v>8603</v>
      </c>
      <c r="C4248">
        <v>20</v>
      </c>
      <c r="D4248" t="s">
        <v>79</v>
      </c>
      <c r="E4248">
        <v>20</v>
      </c>
      <c r="F4248" t="s">
        <v>8477</v>
      </c>
      <c r="G4248">
        <v>298</v>
      </c>
      <c r="H4248">
        <v>1</v>
      </c>
      <c r="I4248" t="s">
        <v>81</v>
      </c>
      <c r="J4248">
        <v>0</v>
      </c>
      <c r="K4248">
        <v>1</v>
      </c>
      <c r="L4248">
        <v>2</v>
      </c>
      <c r="M4248">
        <v>185</v>
      </c>
      <c r="N4248">
        <v>361</v>
      </c>
      <c r="O4248">
        <v>8</v>
      </c>
      <c r="P4248">
        <v>361</v>
      </c>
      <c r="Q4248">
        <v>14</v>
      </c>
      <c r="R4248">
        <v>107</v>
      </c>
      <c r="S4248">
        <v>44</v>
      </c>
      <c r="T4248">
        <v>27</v>
      </c>
      <c r="U4248">
        <v>3</v>
      </c>
      <c r="V4248">
        <v>7</v>
      </c>
      <c r="W4248">
        <v>1</v>
      </c>
      <c r="X4248">
        <v>3</v>
      </c>
      <c r="Y4248">
        <v>81</v>
      </c>
      <c r="Z4248">
        <v>3</v>
      </c>
      <c r="AA4248">
        <v>29</v>
      </c>
      <c r="AB4248">
        <v>8</v>
      </c>
      <c r="AC4248">
        <v>2</v>
      </c>
      <c r="AD4248">
        <v>0</v>
      </c>
      <c r="AE4248">
        <v>0</v>
      </c>
      <c r="AF4248">
        <v>0</v>
      </c>
      <c r="AK4248">
        <v>1</v>
      </c>
      <c r="AL4248">
        <v>0</v>
      </c>
      <c r="AM4248">
        <v>0</v>
      </c>
      <c r="AN4248">
        <v>0</v>
      </c>
      <c r="AQ4248">
        <v>3</v>
      </c>
      <c r="AT4248">
        <v>0</v>
      </c>
      <c r="AU4248">
        <v>28</v>
      </c>
      <c r="AV4248">
        <v>361</v>
      </c>
      <c r="AW4248">
        <v>361</v>
      </c>
      <c r="AX4248">
        <v>524</v>
      </c>
      <c r="BA4248">
        <v>1</v>
      </c>
      <c r="BC4248" t="s">
        <v>8604</v>
      </c>
      <c r="BD4248" s="4">
        <v>43283.116666666669</v>
      </c>
      <c r="BE4248" s="4">
        <v>43283.123240740744</v>
      </c>
      <c r="BF4248" s="4">
        <v>43283.123240740744</v>
      </c>
      <c r="BG4248" t="s">
        <v>83</v>
      </c>
      <c r="BH4248" t="s">
        <v>84</v>
      </c>
      <c r="BI4248" t="s">
        <v>85</v>
      </c>
    </row>
    <row r="4249" spans="1:61" x14ac:dyDescent="0.3">
      <c r="A4249" t="str">
        <f>"200299B0100"</f>
        <v>200299B0100</v>
      </c>
      <c r="B4249" t="s">
        <v>8605</v>
      </c>
      <c r="C4249">
        <v>20</v>
      </c>
      <c r="D4249" t="s">
        <v>79</v>
      </c>
      <c r="E4249">
        <v>20</v>
      </c>
      <c r="F4249" t="s">
        <v>8477</v>
      </c>
      <c r="G4249">
        <v>299</v>
      </c>
      <c r="H4249">
        <v>1</v>
      </c>
      <c r="I4249" t="s">
        <v>81</v>
      </c>
      <c r="J4249">
        <v>0</v>
      </c>
      <c r="K4249">
        <v>1</v>
      </c>
      <c r="L4249">
        <v>2</v>
      </c>
      <c r="M4249">
        <v>206</v>
      </c>
      <c r="N4249">
        <v>352</v>
      </c>
      <c r="O4249">
        <v>4</v>
      </c>
      <c r="P4249">
        <v>350</v>
      </c>
      <c r="Q4249">
        <v>8</v>
      </c>
      <c r="R4249">
        <v>76</v>
      </c>
      <c r="S4249">
        <v>36</v>
      </c>
      <c r="T4249">
        <v>30</v>
      </c>
      <c r="U4249">
        <v>7</v>
      </c>
      <c r="V4249">
        <v>10</v>
      </c>
      <c r="W4249">
        <v>6</v>
      </c>
      <c r="X4249">
        <v>10</v>
      </c>
      <c r="Y4249">
        <v>120</v>
      </c>
      <c r="Z4249">
        <v>5</v>
      </c>
      <c r="AA4249">
        <v>6</v>
      </c>
      <c r="AB4249">
        <v>8</v>
      </c>
      <c r="AC4249" t="s">
        <v>100</v>
      </c>
      <c r="AD4249" t="s">
        <v>100</v>
      </c>
      <c r="AE4249" t="s">
        <v>100</v>
      </c>
      <c r="AF4249" t="s">
        <v>100</v>
      </c>
      <c r="AK4249" t="s">
        <v>100</v>
      </c>
      <c r="AL4249" t="s">
        <v>100</v>
      </c>
      <c r="AM4249" t="s">
        <v>100</v>
      </c>
      <c r="AN4249" t="s">
        <v>100</v>
      </c>
      <c r="AQ4249" t="s">
        <v>100</v>
      </c>
      <c r="AT4249" t="s">
        <v>100</v>
      </c>
      <c r="AU4249">
        <v>28</v>
      </c>
      <c r="AV4249">
        <v>350</v>
      </c>
      <c r="AW4249">
        <v>350</v>
      </c>
      <c r="AX4249">
        <v>536</v>
      </c>
      <c r="AZ4249" t="s">
        <v>101</v>
      </c>
      <c r="BA4249">
        <v>1</v>
      </c>
      <c r="BC4249" t="s">
        <v>8606</v>
      </c>
      <c r="BD4249" s="4">
        <v>43283.05</v>
      </c>
      <c r="BE4249" s="4">
        <v>43283.055347222224</v>
      </c>
      <c r="BF4249" s="4">
        <v>43283.055347222224</v>
      </c>
      <c r="BG4249" t="s">
        <v>83</v>
      </c>
      <c r="BH4249" t="s">
        <v>84</v>
      </c>
      <c r="BI4249" t="s">
        <v>85</v>
      </c>
    </row>
    <row r="4250" spans="1:61" x14ac:dyDescent="0.3">
      <c r="A4250" t="str">
        <f>"200299C0100"</f>
        <v>200299C0100</v>
      </c>
      <c r="B4250" t="s">
        <v>8607</v>
      </c>
      <c r="C4250">
        <v>20</v>
      </c>
      <c r="D4250" t="s">
        <v>79</v>
      </c>
      <c r="E4250">
        <v>20</v>
      </c>
      <c r="F4250" t="s">
        <v>8477</v>
      </c>
      <c r="G4250">
        <v>299</v>
      </c>
      <c r="H4250">
        <v>1</v>
      </c>
      <c r="I4250" t="s">
        <v>89</v>
      </c>
      <c r="J4250">
        <v>0</v>
      </c>
      <c r="K4250">
        <v>1</v>
      </c>
      <c r="L4250">
        <v>2</v>
      </c>
      <c r="M4250">
        <v>174</v>
      </c>
      <c r="N4250">
        <v>382</v>
      </c>
      <c r="O4250">
        <v>7</v>
      </c>
      <c r="P4250">
        <v>384</v>
      </c>
      <c r="Q4250">
        <v>9</v>
      </c>
      <c r="R4250">
        <v>82</v>
      </c>
      <c r="S4250">
        <v>45</v>
      </c>
      <c r="T4250">
        <v>15</v>
      </c>
      <c r="U4250">
        <v>10</v>
      </c>
      <c r="V4250">
        <v>14</v>
      </c>
      <c r="W4250">
        <v>0</v>
      </c>
      <c r="X4250">
        <v>3</v>
      </c>
      <c r="Y4250">
        <v>134</v>
      </c>
      <c r="Z4250">
        <v>1</v>
      </c>
      <c r="AA4250">
        <v>22</v>
      </c>
      <c r="AB4250">
        <v>5</v>
      </c>
      <c r="AC4250">
        <v>0</v>
      </c>
      <c r="AD4250">
        <v>0</v>
      </c>
      <c r="AE4250">
        <v>0</v>
      </c>
      <c r="AF4250">
        <v>0</v>
      </c>
      <c r="AK4250">
        <v>2</v>
      </c>
      <c r="AL4250">
        <v>1</v>
      </c>
      <c r="AM4250">
        <v>0</v>
      </c>
      <c r="AN4250">
        <v>0</v>
      </c>
      <c r="AQ4250">
        <v>0</v>
      </c>
      <c r="AT4250">
        <v>0</v>
      </c>
      <c r="AU4250">
        <v>41</v>
      </c>
      <c r="AV4250">
        <v>384</v>
      </c>
      <c r="AW4250">
        <v>384</v>
      </c>
      <c r="AX4250">
        <v>535</v>
      </c>
      <c r="BA4250">
        <v>1</v>
      </c>
      <c r="BC4250" t="s">
        <v>8608</v>
      </c>
      <c r="BD4250" s="4">
        <v>43283.05</v>
      </c>
      <c r="BE4250" s="4">
        <v>43283.053796296299</v>
      </c>
      <c r="BF4250" s="4">
        <v>43283.053796296299</v>
      </c>
      <c r="BG4250" t="s">
        <v>83</v>
      </c>
      <c r="BH4250" t="s">
        <v>84</v>
      </c>
      <c r="BI4250" t="s">
        <v>85</v>
      </c>
    </row>
    <row r="4251" spans="1:61" x14ac:dyDescent="0.3">
      <c r="A4251" t="str">
        <f>"200300B0100"</f>
        <v>200300B0100</v>
      </c>
      <c r="B4251" t="s">
        <v>8609</v>
      </c>
      <c r="C4251">
        <v>20</v>
      </c>
      <c r="D4251" t="s">
        <v>79</v>
      </c>
      <c r="E4251">
        <v>20</v>
      </c>
      <c r="F4251" t="s">
        <v>8477</v>
      </c>
      <c r="G4251">
        <v>300</v>
      </c>
      <c r="H4251">
        <v>1</v>
      </c>
      <c r="I4251" t="s">
        <v>81</v>
      </c>
      <c r="J4251">
        <v>0</v>
      </c>
      <c r="K4251">
        <v>1</v>
      </c>
      <c r="L4251">
        <v>2</v>
      </c>
      <c r="M4251">
        <v>298</v>
      </c>
      <c r="N4251">
        <v>444</v>
      </c>
      <c r="O4251">
        <v>3</v>
      </c>
      <c r="P4251">
        <v>424</v>
      </c>
      <c r="Q4251">
        <v>5</v>
      </c>
      <c r="R4251">
        <v>81</v>
      </c>
      <c r="S4251">
        <v>36</v>
      </c>
      <c r="T4251">
        <v>30</v>
      </c>
      <c r="U4251">
        <v>8</v>
      </c>
      <c r="V4251">
        <v>11</v>
      </c>
      <c r="W4251">
        <v>42</v>
      </c>
      <c r="X4251">
        <v>2</v>
      </c>
      <c r="Y4251">
        <v>133</v>
      </c>
      <c r="Z4251">
        <v>0</v>
      </c>
      <c r="AA4251">
        <v>26</v>
      </c>
      <c r="AB4251">
        <v>14</v>
      </c>
      <c r="AC4251">
        <v>0</v>
      </c>
      <c r="AD4251">
        <v>0</v>
      </c>
      <c r="AE4251">
        <v>0</v>
      </c>
      <c r="AF4251">
        <v>0</v>
      </c>
      <c r="AK4251">
        <v>5</v>
      </c>
      <c r="AL4251">
        <v>1</v>
      </c>
      <c r="AM4251">
        <v>0</v>
      </c>
      <c r="AN4251">
        <v>1</v>
      </c>
      <c r="AQ4251">
        <v>0</v>
      </c>
      <c r="AT4251">
        <v>0</v>
      </c>
      <c r="AU4251">
        <v>49</v>
      </c>
      <c r="AV4251">
        <v>424</v>
      </c>
      <c r="AW4251">
        <v>444</v>
      </c>
      <c r="AX4251">
        <v>718</v>
      </c>
      <c r="BA4251">
        <v>1</v>
      </c>
      <c r="BC4251" t="s">
        <v>8610</v>
      </c>
      <c r="BD4251" s="4">
        <v>43283.051388888889</v>
      </c>
      <c r="BE4251" s="4">
        <v>43283.056331018517</v>
      </c>
      <c r="BF4251" s="4">
        <v>43283.056331018517</v>
      </c>
      <c r="BG4251" t="s">
        <v>83</v>
      </c>
      <c r="BH4251" t="s">
        <v>84</v>
      </c>
      <c r="BI4251" t="s">
        <v>85</v>
      </c>
    </row>
    <row r="4252" spans="1:61" x14ac:dyDescent="0.3">
      <c r="A4252" t="str">
        <f>"200300C0100"</f>
        <v>200300C0100</v>
      </c>
      <c r="B4252" t="s">
        <v>8611</v>
      </c>
      <c r="C4252">
        <v>20</v>
      </c>
      <c r="D4252" t="s">
        <v>79</v>
      </c>
      <c r="E4252">
        <v>20</v>
      </c>
      <c r="F4252" t="s">
        <v>8477</v>
      </c>
      <c r="G4252">
        <v>300</v>
      </c>
      <c r="H4252">
        <v>1</v>
      </c>
      <c r="I4252" t="s">
        <v>89</v>
      </c>
      <c r="J4252">
        <v>0</v>
      </c>
      <c r="K4252">
        <v>1</v>
      </c>
      <c r="L4252">
        <v>2</v>
      </c>
      <c r="M4252">
        <v>274</v>
      </c>
      <c r="N4252" t="s">
        <v>100</v>
      </c>
      <c r="O4252">
        <v>1</v>
      </c>
      <c r="P4252" t="s">
        <v>100</v>
      </c>
      <c r="Q4252">
        <v>7</v>
      </c>
      <c r="R4252">
        <v>72</v>
      </c>
      <c r="S4252">
        <v>44</v>
      </c>
      <c r="T4252">
        <v>0</v>
      </c>
      <c r="U4252">
        <v>0</v>
      </c>
      <c r="V4252">
        <v>0</v>
      </c>
      <c r="W4252">
        <v>46</v>
      </c>
      <c r="X4252">
        <v>5</v>
      </c>
      <c r="Y4252">
        <v>131</v>
      </c>
      <c r="Z4252">
        <v>3</v>
      </c>
      <c r="AA4252">
        <v>27</v>
      </c>
      <c r="AB4252">
        <v>12</v>
      </c>
      <c r="AC4252">
        <v>0</v>
      </c>
      <c r="AD4252">
        <v>0</v>
      </c>
      <c r="AE4252">
        <v>0</v>
      </c>
      <c r="AF4252">
        <v>0</v>
      </c>
      <c r="AK4252">
        <v>0</v>
      </c>
      <c r="AL4252">
        <v>2</v>
      </c>
      <c r="AM4252">
        <v>0</v>
      </c>
      <c r="AN4252">
        <v>0</v>
      </c>
      <c r="AQ4252">
        <v>1</v>
      </c>
      <c r="AT4252" t="s">
        <v>100</v>
      </c>
      <c r="AU4252">
        <v>61</v>
      </c>
      <c r="AV4252" t="s">
        <v>100</v>
      </c>
      <c r="AW4252">
        <v>411</v>
      </c>
      <c r="AX4252">
        <v>718</v>
      </c>
      <c r="AZ4252" t="s">
        <v>101</v>
      </c>
      <c r="BA4252">
        <v>1</v>
      </c>
      <c r="BC4252" t="s">
        <v>8612</v>
      </c>
      <c r="BD4252" s="4">
        <v>43283.050694444442</v>
      </c>
      <c r="BE4252" s="4">
        <v>43283.055763888886</v>
      </c>
      <c r="BF4252" s="4">
        <v>43283.055763888886</v>
      </c>
      <c r="BG4252" t="s">
        <v>83</v>
      </c>
      <c r="BH4252" t="s">
        <v>84</v>
      </c>
      <c r="BI4252" t="s">
        <v>85</v>
      </c>
    </row>
    <row r="4253" spans="1:61" x14ac:dyDescent="0.3">
      <c r="A4253" t="str">
        <f>"200300C0200"</f>
        <v>200300C0200</v>
      </c>
      <c r="B4253" t="s">
        <v>8613</v>
      </c>
      <c r="C4253">
        <v>20</v>
      </c>
      <c r="D4253" t="s">
        <v>79</v>
      </c>
      <c r="E4253">
        <v>20</v>
      </c>
      <c r="F4253" t="s">
        <v>8477</v>
      </c>
      <c r="G4253">
        <v>300</v>
      </c>
      <c r="H4253">
        <v>2</v>
      </c>
      <c r="I4253" t="s">
        <v>89</v>
      </c>
      <c r="J4253">
        <v>0</v>
      </c>
      <c r="K4253">
        <v>1</v>
      </c>
      <c r="L4253">
        <v>2</v>
      </c>
      <c r="M4253" t="s">
        <v>100</v>
      </c>
      <c r="N4253">
        <v>447</v>
      </c>
      <c r="O4253">
        <v>0</v>
      </c>
      <c r="P4253">
        <v>444</v>
      </c>
      <c r="Q4253">
        <v>17</v>
      </c>
      <c r="R4253">
        <v>94</v>
      </c>
      <c r="S4253">
        <v>29</v>
      </c>
      <c r="T4253">
        <v>15</v>
      </c>
      <c r="U4253">
        <v>6</v>
      </c>
      <c r="V4253">
        <v>9</v>
      </c>
      <c r="W4253">
        <v>45</v>
      </c>
      <c r="X4253">
        <v>2</v>
      </c>
      <c r="Y4253">
        <v>150</v>
      </c>
      <c r="Z4253">
        <v>2</v>
      </c>
      <c r="AA4253">
        <v>34</v>
      </c>
      <c r="AB4253">
        <v>7</v>
      </c>
      <c r="AC4253">
        <v>0</v>
      </c>
      <c r="AD4253">
        <v>0</v>
      </c>
      <c r="AE4253">
        <v>0</v>
      </c>
      <c r="AF4253">
        <v>0</v>
      </c>
      <c r="AK4253">
        <v>0</v>
      </c>
      <c r="AL4253">
        <v>0</v>
      </c>
      <c r="AM4253">
        <v>0</v>
      </c>
      <c r="AN4253">
        <v>4</v>
      </c>
      <c r="AQ4253">
        <v>2</v>
      </c>
      <c r="AT4253">
        <v>0</v>
      </c>
      <c r="AU4253">
        <v>34</v>
      </c>
      <c r="AV4253">
        <v>446</v>
      </c>
      <c r="AW4253">
        <v>450</v>
      </c>
      <c r="AX4253">
        <v>717</v>
      </c>
      <c r="BA4253">
        <v>1</v>
      </c>
      <c r="BC4253" t="s">
        <v>8614</v>
      </c>
      <c r="BD4253" s="4">
        <v>43283.050694444442</v>
      </c>
      <c r="BE4253" s="4">
        <v>43283.055590277778</v>
      </c>
      <c r="BF4253" s="4">
        <v>43283.055590277778</v>
      </c>
      <c r="BG4253" t="s">
        <v>83</v>
      </c>
      <c r="BH4253" t="s">
        <v>84</v>
      </c>
      <c r="BI4253" t="s">
        <v>85</v>
      </c>
    </row>
    <row r="4254" spans="1:61" x14ac:dyDescent="0.3">
      <c r="A4254" t="str">
        <f>"200301B0100"</f>
        <v>200301B0100</v>
      </c>
      <c r="B4254" t="s">
        <v>8615</v>
      </c>
      <c r="C4254">
        <v>20</v>
      </c>
      <c r="D4254" t="s">
        <v>79</v>
      </c>
      <c r="E4254">
        <v>20</v>
      </c>
      <c r="F4254" t="s">
        <v>8477</v>
      </c>
      <c r="G4254">
        <v>301</v>
      </c>
      <c r="H4254">
        <v>1</v>
      </c>
      <c r="I4254" t="s">
        <v>81</v>
      </c>
      <c r="J4254">
        <v>0</v>
      </c>
      <c r="K4254">
        <v>1</v>
      </c>
      <c r="L4254">
        <v>2</v>
      </c>
      <c r="M4254">
        <v>177</v>
      </c>
      <c r="N4254">
        <v>386</v>
      </c>
      <c r="O4254">
        <v>4</v>
      </c>
      <c r="P4254">
        <v>369</v>
      </c>
      <c r="Q4254">
        <v>14</v>
      </c>
      <c r="R4254">
        <v>82</v>
      </c>
      <c r="S4254">
        <v>35</v>
      </c>
      <c r="T4254">
        <v>36</v>
      </c>
      <c r="U4254">
        <v>6</v>
      </c>
      <c r="V4254">
        <v>16</v>
      </c>
      <c r="W4254">
        <v>11</v>
      </c>
      <c r="X4254">
        <v>4</v>
      </c>
      <c r="Y4254">
        <v>91</v>
      </c>
      <c r="Z4254">
        <v>0</v>
      </c>
      <c r="AA4254">
        <v>15</v>
      </c>
      <c r="AB4254">
        <v>7</v>
      </c>
      <c r="AC4254">
        <v>1</v>
      </c>
      <c r="AD4254">
        <v>0</v>
      </c>
      <c r="AE4254">
        <v>0</v>
      </c>
      <c r="AF4254">
        <v>0</v>
      </c>
      <c r="AK4254">
        <v>0</v>
      </c>
      <c r="AL4254">
        <v>0</v>
      </c>
      <c r="AM4254">
        <v>0</v>
      </c>
      <c r="AN4254">
        <v>1</v>
      </c>
      <c r="AQ4254">
        <v>1</v>
      </c>
      <c r="AT4254">
        <v>0</v>
      </c>
      <c r="AU4254">
        <v>49</v>
      </c>
      <c r="AV4254">
        <v>369</v>
      </c>
      <c r="AW4254">
        <v>369</v>
      </c>
      <c r="AX4254">
        <v>527</v>
      </c>
      <c r="BA4254">
        <v>1</v>
      </c>
      <c r="BC4254" t="s">
        <v>8616</v>
      </c>
      <c r="BD4254" s="4">
        <v>43283.211111111108</v>
      </c>
      <c r="BE4254" s="4">
        <v>43283.234502314815</v>
      </c>
      <c r="BF4254" s="4">
        <v>43283.234502314815</v>
      </c>
      <c r="BG4254" t="s">
        <v>83</v>
      </c>
      <c r="BH4254" t="s">
        <v>84</v>
      </c>
      <c r="BI4254" t="s">
        <v>85</v>
      </c>
    </row>
    <row r="4255" spans="1:61" x14ac:dyDescent="0.3">
      <c r="A4255" t="str">
        <f>"200301C0100"</f>
        <v>200301C0100</v>
      </c>
      <c r="B4255" t="s">
        <v>8617</v>
      </c>
      <c r="C4255">
        <v>20</v>
      </c>
      <c r="D4255" t="s">
        <v>79</v>
      </c>
      <c r="E4255">
        <v>20</v>
      </c>
      <c r="F4255" t="s">
        <v>8477</v>
      </c>
      <c r="G4255">
        <v>301</v>
      </c>
      <c r="H4255">
        <v>1</v>
      </c>
      <c r="I4255" t="s">
        <v>89</v>
      </c>
      <c r="J4255">
        <v>0</v>
      </c>
      <c r="K4255">
        <v>1</v>
      </c>
      <c r="L4255">
        <v>2</v>
      </c>
      <c r="M4255">
        <v>188</v>
      </c>
      <c r="N4255">
        <v>366</v>
      </c>
      <c r="O4255">
        <v>9</v>
      </c>
      <c r="P4255">
        <v>360</v>
      </c>
      <c r="Q4255">
        <v>11</v>
      </c>
      <c r="R4255">
        <v>77</v>
      </c>
      <c r="S4255">
        <v>36</v>
      </c>
      <c r="T4255">
        <v>28</v>
      </c>
      <c r="U4255">
        <v>6</v>
      </c>
      <c r="V4255">
        <v>10</v>
      </c>
      <c r="W4255">
        <v>11</v>
      </c>
      <c r="X4255">
        <v>3</v>
      </c>
      <c r="Y4255">
        <v>110</v>
      </c>
      <c r="Z4255">
        <v>3</v>
      </c>
      <c r="AA4255">
        <v>22</v>
      </c>
      <c r="AB4255">
        <v>9</v>
      </c>
      <c r="AC4255">
        <v>0</v>
      </c>
      <c r="AD4255">
        <v>0</v>
      </c>
      <c r="AE4255">
        <v>0</v>
      </c>
      <c r="AF4255">
        <v>0</v>
      </c>
      <c r="AK4255">
        <v>0</v>
      </c>
      <c r="AL4255">
        <v>1</v>
      </c>
      <c r="AM4255">
        <v>0</v>
      </c>
      <c r="AN4255">
        <v>0</v>
      </c>
      <c r="AQ4255">
        <v>2</v>
      </c>
      <c r="AT4255">
        <v>1</v>
      </c>
      <c r="AU4255">
        <v>30</v>
      </c>
      <c r="AV4255">
        <v>360</v>
      </c>
      <c r="AW4255">
        <v>360</v>
      </c>
      <c r="AX4255">
        <v>526</v>
      </c>
      <c r="BA4255">
        <v>1</v>
      </c>
      <c r="BC4255" t="s">
        <v>8618</v>
      </c>
      <c r="BD4255" s="4">
        <v>43283.210416666669</v>
      </c>
      <c r="BE4255" s="4">
        <v>43283.235300925924</v>
      </c>
      <c r="BF4255" s="4">
        <v>43283.235300925924</v>
      </c>
      <c r="BG4255" t="s">
        <v>83</v>
      </c>
      <c r="BH4255" t="s">
        <v>84</v>
      </c>
      <c r="BI4255" t="s">
        <v>85</v>
      </c>
    </row>
    <row r="4256" spans="1:61" x14ac:dyDescent="0.3">
      <c r="A4256" t="str">
        <f>"200302B0100"</f>
        <v>200302B0100</v>
      </c>
      <c r="B4256" t="s">
        <v>8619</v>
      </c>
      <c r="C4256">
        <v>20</v>
      </c>
      <c r="D4256" t="s">
        <v>79</v>
      </c>
      <c r="E4256">
        <v>20</v>
      </c>
      <c r="F4256" t="s">
        <v>8477</v>
      </c>
      <c r="G4256">
        <v>302</v>
      </c>
      <c r="H4256">
        <v>1</v>
      </c>
      <c r="I4256" t="s">
        <v>81</v>
      </c>
      <c r="J4256">
        <v>0</v>
      </c>
      <c r="K4256">
        <v>1</v>
      </c>
      <c r="L4256">
        <v>2</v>
      </c>
      <c r="M4256">
        <v>229</v>
      </c>
      <c r="N4256">
        <v>356</v>
      </c>
      <c r="O4256">
        <v>5</v>
      </c>
      <c r="P4256">
        <v>356</v>
      </c>
      <c r="Q4256">
        <v>13</v>
      </c>
      <c r="R4256">
        <v>97</v>
      </c>
      <c r="S4256">
        <v>37</v>
      </c>
      <c r="T4256">
        <v>24</v>
      </c>
      <c r="U4256">
        <v>7</v>
      </c>
      <c r="V4256">
        <v>15</v>
      </c>
      <c r="W4256">
        <v>8</v>
      </c>
      <c r="X4256">
        <v>6</v>
      </c>
      <c r="Y4256">
        <v>85</v>
      </c>
      <c r="Z4256">
        <v>3</v>
      </c>
      <c r="AA4256">
        <v>18</v>
      </c>
      <c r="AB4256">
        <v>9</v>
      </c>
      <c r="AC4256" t="s">
        <v>100</v>
      </c>
      <c r="AD4256" t="s">
        <v>100</v>
      </c>
      <c r="AE4256" t="s">
        <v>100</v>
      </c>
      <c r="AF4256" t="s">
        <v>100</v>
      </c>
      <c r="AK4256">
        <v>1</v>
      </c>
      <c r="AL4256" t="s">
        <v>100</v>
      </c>
      <c r="AM4256" t="s">
        <v>100</v>
      </c>
      <c r="AN4256" t="s">
        <v>100</v>
      </c>
      <c r="AQ4256" t="s">
        <v>100</v>
      </c>
      <c r="AT4256" t="s">
        <v>100</v>
      </c>
      <c r="AU4256">
        <v>33</v>
      </c>
      <c r="AV4256">
        <v>356</v>
      </c>
      <c r="AW4256">
        <v>356</v>
      </c>
      <c r="AX4256">
        <v>565</v>
      </c>
      <c r="AZ4256" t="s">
        <v>101</v>
      </c>
      <c r="BA4256">
        <v>1</v>
      </c>
      <c r="BC4256" t="s">
        <v>8620</v>
      </c>
      <c r="BD4256" s="4">
        <v>43283.124305555553</v>
      </c>
      <c r="BE4256" s="4">
        <v>43283.128055555557</v>
      </c>
      <c r="BF4256" s="4">
        <v>43283.128055555557</v>
      </c>
      <c r="BG4256" t="s">
        <v>83</v>
      </c>
      <c r="BH4256" t="s">
        <v>84</v>
      </c>
      <c r="BI4256" t="s">
        <v>85</v>
      </c>
    </row>
    <row r="4257" spans="1:61" x14ac:dyDescent="0.3">
      <c r="A4257" t="str">
        <f>"200302C0100"</f>
        <v>200302C0100</v>
      </c>
      <c r="B4257" t="s">
        <v>8621</v>
      </c>
      <c r="C4257">
        <v>20</v>
      </c>
      <c r="D4257" t="s">
        <v>79</v>
      </c>
      <c r="E4257">
        <v>20</v>
      </c>
      <c r="F4257" t="s">
        <v>8477</v>
      </c>
      <c r="G4257">
        <v>302</v>
      </c>
      <c r="H4257">
        <v>1</v>
      </c>
      <c r="I4257" t="s">
        <v>89</v>
      </c>
      <c r="J4257">
        <v>0</v>
      </c>
      <c r="K4257">
        <v>1</v>
      </c>
      <c r="L4257">
        <v>2</v>
      </c>
      <c r="M4257">
        <v>186</v>
      </c>
      <c r="N4257">
        <v>399</v>
      </c>
      <c r="O4257">
        <v>5</v>
      </c>
      <c r="P4257">
        <v>402</v>
      </c>
      <c r="Q4257">
        <v>23</v>
      </c>
      <c r="R4257">
        <v>104</v>
      </c>
      <c r="S4257">
        <v>51</v>
      </c>
      <c r="T4257">
        <v>17</v>
      </c>
      <c r="U4257">
        <v>9</v>
      </c>
      <c r="V4257">
        <v>10</v>
      </c>
      <c r="W4257">
        <v>4</v>
      </c>
      <c r="X4257">
        <v>9</v>
      </c>
      <c r="Y4257">
        <v>103</v>
      </c>
      <c r="Z4257">
        <v>2</v>
      </c>
      <c r="AA4257">
        <v>22</v>
      </c>
      <c r="AB4257">
        <v>13</v>
      </c>
      <c r="AC4257">
        <v>0</v>
      </c>
      <c r="AD4257">
        <v>1</v>
      </c>
      <c r="AE4257">
        <v>0</v>
      </c>
      <c r="AF4257">
        <v>0</v>
      </c>
      <c r="AK4257">
        <v>0</v>
      </c>
      <c r="AL4257">
        <v>0</v>
      </c>
      <c r="AM4257">
        <v>0</v>
      </c>
      <c r="AN4257">
        <v>0</v>
      </c>
      <c r="AQ4257">
        <v>0</v>
      </c>
      <c r="AT4257">
        <v>0</v>
      </c>
      <c r="AU4257">
        <v>34</v>
      </c>
      <c r="AV4257">
        <v>402</v>
      </c>
      <c r="AW4257">
        <v>402</v>
      </c>
      <c r="AX4257">
        <v>564</v>
      </c>
      <c r="BA4257">
        <v>1</v>
      </c>
      <c r="BC4257" t="s">
        <v>8622</v>
      </c>
      <c r="BD4257" s="4">
        <v>43283.125694444447</v>
      </c>
      <c r="BE4257" s="4">
        <v>43283.130509259259</v>
      </c>
      <c r="BF4257" s="4">
        <v>43283.130509259259</v>
      </c>
      <c r="BG4257" t="s">
        <v>83</v>
      </c>
      <c r="BH4257" t="s">
        <v>84</v>
      </c>
      <c r="BI4257" t="s">
        <v>85</v>
      </c>
    </row>
    <row r="4258" spans="1:61" x14ac:dyDescent="0.3">
      <c r="A4258" t="str">
        <f>"200303B0100"</f>
        <v>200303B0100</v>
      </c>
      <c r="B4258" t="s">
        <v>8623</v>
      </c>
      <c r="C4258">
        <v>20</v>
      </c>
      <c r="D4258" t="s">
        <v>79</v>
      </c>
      <c r="E4258">
        <v>20</v>
      </c>
      <c r="F4258" t="s">
        <v>8477</v>
      </c>
      <c r="G4258">
        <v>303</v>
      </c>
      <c r="H4258">
        <v>1</v>
      </c>
      <c r="I4258" t="s">
        <v>81</v>
      </c>
      <c r="J4258">
        <v>0</v>
      </c>
      <c r="K4258">
        <v>1</v>
      </c>
      <c r="L4258">
        <v>2</v>
      </c>
      <c r="M4258">
        <v>204</v>
      </c>
      <c r="N4258">
        <v>365</v>
      </c>
      <c r="O4258">
        <v>4</v>
      </c>
      <c r="P4258">
        <v>365</v>
      </c>
      <c r="Q4258">
        <v>19</v>
      </c>
      <c r="R4258">
        <v>69</v>
      </c>
      <c r="S4258">
        <v>33</v>
      </c>
      <c r="T4258">
        <v>28</v>
      </c>
      <c r="U4258">
        <v>6</v>
      </c>
      <c r="V4258">
        <v>16</v>
      </c>
      <c r="W4258">
        <v>7</v>
      </c>
      <c r="X4258">
        <v>6</v>
      </c>
      <c r="Y4258">
        <v>86</v>
      </c>
      <c r="Z4258">
        <v>3</v>
      </c>
      <c r="AA4258">
        <v>27</v>
      </c>
      <c r="AB4258">
        <v>0</v>
      </c>
      <c r="AC4258">
        <v>0</v>
      </c>
      <c r="AD4258">
        <v>0</v>
      </c>
      <c r="AE4258">
        <v>0</v>
      </c>
      <c r="AF4258">
        <v>0</v>
      </c>
      <c r="AK4258">
        <v>1</v>
      </c>
      <c r="AL4258">
        <v>1</v>
      </c>
      <c r="AM4258">
        <v>1</v>
      </c>
      <c r="AN4258">
        <v>0</v>
      </c>
      <c r="AQ4258">
        <v>2</v>
      </c>
      <c r="AT4258">
        <v>0</v>
      </c>
      <c r="AU4258">
        <v>60</v>
      </c>
      <c r="AV4258">
        <v>365</v>
      </c>
      <c r="AW4258">
        <v>365</v>
      </c>
      <c r="AX4258">
        <v>547</v>
      </c>
      <c r="BA4258">
        <v>1</v>
      </c>
      <c r="BC4258" t="s">
        <v>8624</v>
      </c>
      <c r="BD4258" s="4">
        <v>43283.124305555553</v>
      </c>
      <c r="BE4258" s="4">
        <v>43283.130590277775</v>
      </c>
      <c r="BF4258" s="4">
        <v>43283.130590277775</v>
      </c>
      <c r="BG4258" t="s">
        <v>83</v>
      </c>
      <c r="BH4258" t="s">
        <v>84</v>
      </c>
      <c r="BI4258" t="s">
        <v>85</v>
      </c>
    </row>
    <row r="4259" spans="1:61" x14ac:dyDescent="0.3">
      <c r="A4259" t="str">
        <f>"200303C0100"</f>
        <v>200303C0100</v>
      </c>
      <c r="B4259" t="s">
        <v>8625</v>
      </c>
      <c r="C4259">
        <v>20</v>
      </c>
      <c r="D4259" t="s">
        <v>79</v>
      </c>
      <c r="E4259">
        <v>20</v>
      </c>
      <c r="F4259" t="s">
        <v>8477</v>
      </c>
      <c r="G4259">
        <v>303</v>
      </c>
      <c r="H4259">
        <v>1</v>
      </c>
      <c r="I4259" t="s">
        <v>89</v>
      </c>
      <c r="J4259">
        <v>0</v>
      </c>
      <c r="K4259">
        <v>1</v>
      </c>
      <c r="L4259">
        <v>2</v>
      </c>
      <c r="M4259" t="s">
        <v>100</v>
      </c>
      <c r="N4259" t="s">
        <v>100</v>
      </c>
      <c r="O4259" t="s">
        <v>100</v>
      </c>
      <c r="P4259" t="s">
        <v>100</v>
      </c>
      <c r="Q4259">
        <v>13</v>
      </c>
      <c r="R4259">
        <v>77</v>
      </c>
      <c r="S4259">
        <v>33</v>
      </c>
      <c r="T4259">
        <v>19</v>
      </c>
      <c r="U4259">
        <v>8</v>
      </c>
      <c r="V4259">
        <v>16</v>
      </c>
      <c r="W4259">
        <v>7</v>
      </c>
      <c r="X4259">
        <v>6</v>
      </c>
      <c r="Y4259">
        <v>117</v>
      </c>
      <c r="Z4259">
        <v>3</v>
      </c>
      <c r="AA4259">
        <v>21</v>
      </c>
      <c r="AB4259">
        <v>8</v>
      </c>
      <c r="AC4259">
        <v>1</v>
      </c>
      <c r="AD4259">
        <v>1</v>
      </c>
      <c r="AE4259">
        <v>0</v>
      </c>
      <c r="AF4259">
        <v>0</v>
      </c>
      <c r="AK4259">
        <v>2</v>
      </c>
      <c r="AL4259" t="s">
        <v>100</v>
      </c>
      <c r="AM4259" t="s">
        <v>100</v>
      </c>
      <c r="AN4259" t="s">
        <v>100</v>
      </c>
      <c r="AQ4259" t="s">
        <v>100</v>
      </c>
      <c r="AT4259" t="s">
        <v>100</v>
      </c>
      <c r="AU4259">
        <v>29</v>
      </c>
      <c r="AV4259">
        <v>362</v>
      </c>
      <c r="AW4259">
        <v>361</v>
      </c>
      <c r="AX4259">
        <v>546</v>
      </c>
      <c r="AZ4259" t="s">
        <v>101</v>
      </c>
      <c r="BA4259">
        <v>1</v>
      </c>
      <c r="BC4259" t="s">
        <v>8626</v>
      </c>
      <c r="BD4259" s="4">
        <v>43283.125</v>
      </c>
      <c r="BE4259" s="4">
        <v>43283.147592592592</v>
      </c>
      <c r="BF4259" s="4">
        <v>43283.147592592592</v>
      </c>
      <c r="BG4259" t="s">
        <v>83</v>
      </c>
      <c r="BH4259" t="s">
        <v>84</v>
      </c>
      <c r="BI4259" t="s">
        <v>85</v>
      </c>
    </row>
    <row r="4260" spans="1:61" x14ac:dyDescent="0.3">
      <c r="A4260" t="str">
        <f>"200304B0100"</f>
        <v>200304B0100</v>
      </c>
      <c r="B4260" t="s">
        <v>8627</v>
      </c>
      <c r="C4260">
        <v>20</v>
      </c>
      <c r="D4260" t="s">
        <v>79</v>
      </c>
      <c r="E4260">
        <v>20</v>
      </c>
      <c r="F4260" t="s">
        <v>8477</v>
      </c>
      <c r="G4260">
        <v>304</v>
      </c>
      <c r="H4260">
        <v>1</v>
      </c>
      <c r="I4260" t="s">
        <v>81</v>
      </c>
      <c r="J4260">
        <v>0</v>
      </c>
      <c r="K4260">
        <v>1</v>
      </c>
      <c r="L4260">
        <v>2</v>
      </c>
      <c r="M4260">
        <v>193</v>
      </c>
      <c r="N4260" t="s">
        <v>100</v>
      </c>
      <c r="O4260">
        <v>3</v>
      </c>
      <c r="P4260">
        <v>377</v>
      </c>
      <c r="Q4260">
        <v>12</v>
      </c>
      <c r="R4260">
        <v>69</v>
      </c>
      <c r="S4260">
        <v>40</v>
      </c>
      <c r="T4260">
        <v>16</v>
      </c>
      <c r="U4260">
        <v>8</v>
      </c>
      <c r="V4260">
        <v>11</v>
      </c>
      <c r="W4260">
        <v>8</v>
      </c>
      <c r="X4260">
        <v>12</v>
      </c>
      <c r="Y4260">
        <v>130</v>
      </c>
      <c r="Z4260">
        <v>0</v>
      </c>
      <c r="AA4260">
        <v>24</v>
      </c>
      <c r="AB4260">
        <v>8</v>
      </c>
      <c r="AC4260">
        <v>0</v>
      </c>
      <c r="AD4260">
        <v>0</v>
      </c>
      <c r="AE4260">
        <v>0</v>
      </c>
      <c r="AF4260">
        <v>0</v>
      </c>
      <c r="AK4260">
        <v>3</v>
      </c>
      <c r="AL4260">
        <v>0</v>
      </c>
      <c r="AM4260">
        <v>0</v>
      </c>
      <c r="AN4260">
        <v>0</v>
      </c>
      <c r="AQ4260">
        <v>2</v>
      </c>
      <c r="AT4260">
        <v>0</v>
      </c>
      <c r="AU4260">
        <v>34</v>
      </c>
      <c r="AV4260">
        <v>377</v>
      </c>
      <c r="AW4260">
        <v>377</v>
      </c>
      <c r="AX4260">
        <v>548</v>
      </c>
      <c r="BA4260">
        <v>1</v>
      </c>
      <c r="BC4260" t="s">
        <v>8628</v>
      </c>
      <c r="BD4260" s="4">
        <v>43283.211111111108</v>
      </c>
      <c r="BE4260" s="4">
        <v>43283.233576388891</v>
      </c>
      <c r="BF4260" s="4">
        <v>43283.233576388891</v>
      </c>
      <c r="BG4260" t="s">
        <v>83</v>
      </c>
      <c r="BH4260" t="s">
        <v>84</v>
      </c>
      <c r="BI4260" t="s">
        <v>85</v>
      </c>
    </row>
    <row r="4261" spans="1:61" x14ac:dyDescent="0.3">
      <c r="A4261" t="str">
        <f>"200304C0100"</f>
        <v>200304C0100</v>
      </c>
      <c r="B4261" t="s">
        <v>8629</v>
      </c>
      <c r="C4261">
        <v>20</v>
      </c>
      <c r="D4261" t="s">
        <v>79</v>
      </c>
      <c r="E4261">
        <v>20</v>
      </c>
      <c r="F4261" t="s">
        <v>8477</v>
      </c>
      <c r="G4261">
        <v>304</v>
      </c>
      <c r="H4261">
        <v>1</v>
      </c>
      <c r="I4261" t="s">
        <v>89</v>
      </c>
      <c r="J4261">
        <v>0</v>
      </c>
      <c r="K4261">
        <v>1</v>
      </c>
      <c r="L4261">
        <v>2</v>
      </c>
      <c r="M4261">
        <v>199</v>
      </c>
      <c r="N4261">
        <v>369</v>
      </c>
      <c r="O4261">
        <v>3</v>
      </c>
      <c r="P4261">
        <v>369</v>
      </c>
      <c r="Q4261">
        <v>17</v>
      </c>
      <c r="R4261">
        <v>68</v>
      </c>
      <c r="S4261">
        <v>57</v>
      </c>
      <c r="T4261">
        <v>18</v>
      </c>
      <c r="U4261">
        <v>4</v>
      </c>
      <c r="V4261">
        <v>17</v>
      </c>
      <c r="W4261">
        <v>5</v>
      </c>
      <c r="X4261">
        <v>6</v>
      </c>
      <c r="Y4261">
        <v>114</v>
      </c>
      <c r="Z4261">
        <v>0</v>
      </c>
      <c r="AA4261">
        <v>8</v>
      </c>
      <c r="AB4261">
        <v>1</v>
      </c>
      <c r="AC4261">
        <v>0</v>
      </c>
      <c r="AD4261">
        <v>0</v>
      </c>
      <c r="AE4261">
        <v>0</v>
      </c>
      <c r="AF4261">
        <v>0</v>
      </c>
      <c r="AK4261">
        <v>3</v>
      </c>
      <c r="AL4261">
        <v>0</v>
      </c>
      <c r="AM4261">
        <v>1</v>
      </c>
      <c r="AN4261">
        <v>0</v>
      </c>
      <c r="AQ4261">
        <v>1</v>
      </c>
      <c r="AT4261">
        <v>0</v>
      </c>
      <c r="AU4261">
        <v>33</v>
      </c>
      <c r="AV4261">
        <v>369</v>
      </c>
      <c r="AW4261">
        <v>353</v>
      </c>
      <c r="AX4261">
        <v>547</v>
      </c>
      <c r="BA4261">
        <v>1</v>
      </c>
      <c r="BC4261" t="s">
        <v>8630</v>
      </c>
      <c r="BD4261" s="4">
        <v>43283.209722222222</v>
      </c>
      <c r="BE4261" s="4">
        <v>43283.236215277779</v>
      </c>
      <c r="BF4261" s="4">
        <v>43283.236215277779</v>
      </c>
      <c r="BG4261" t="s">
        <v>83</v>
      </c>
      <c r="BH4261" t="s">
        <v>84</v>
      </c>
      <c r="BI4261" t="s">
        <v>85</v>
      </c>
    </row>
    <row r="4262" spans="1:61" x14ac:dyDescent="0.3">
      <c r="A4262" t="str">
        <f>"200305B0100"</f>
        <v>200305B0100</v>
      </c>
      <c r="B4262" t="s">
        <v>8631</v>
      </c>
      <c r="C4262">
        <v>20</v>
      </c>
      <c r="D4262" t="s">
        <v>79</v>
      </c>
      <c r="E4262">
        <v>20</v>
      </c>
      <c r="F4262" t="s">
        <v>8477</v>
      </c>
      <c r="G4262">
        <v>305</v>
      </c>
      <c r="H4262">
        <v>1</v>
      </c>
      <c r="I4262" t="s">
        <v>81</v>
      </c>
      <c r="J4262">
        <v>0</v>
      </c>
      <c r="K4262">
        <v>1</v>
      </c>
      <c r="L4262">
        <v>2</v>
      </c>
      <c r="M4262">
        <v>246</v>
      </c>
      <c r="N4262">
        <v>423</v>
      </c>
      <c r="O4262">
        <v>8</v>
      </c>
      <c r="P4262">
        <v>423</v>
      </c>
      <c r="Q4262">
        <v>16</v>
      </c>
      <c r="R4262">
        <v>108</v>
      </c>
      <c r="S4262">
        <v>36</v>
      </c>
      <c r="T4262">
        <v>19</v>
      </c>
      <c r="U4262">
        <v>5</v>
      </c>
      <c r="V4262">
        <v>12</v>
      </c>
      <c r="W4262">
        <v>15</v>
      </c>
      <c r="X4262">
        <v>7</v>
      </c>
      <c r="Y4262">
        <v>132</v>
      </c>
      <c r="Z4262">
        <v>2</v>
      </c>
      <c r="AA4262">
        <v>21</v>
      </c>
      <c r="AB4262">
        <v>11</v>
      </c>
      <c r="AC4262">
        <v>1</v>
      </c>
      <c r="AD4262">
        <v>0</v>
      </c>
      <c r="AE4262">
        <v>0</v>
      </c>
      <c r="AF4262">
        <v>0</v>
      </c>
      <c r="AK4262">
        <v>0</v>
      </c>
      <c r="AL4262">
        <v>1</v>
      </c>
      <c r="AM4262">
        <v>0</v>
      </c>
      <c r="AN4262">
        <v>1</v>
      </c>
      <c r="AQ4262">
        <v>0</v>
      </c>
      <c r="AT4262">
        <v>0</v>
      </c>
      <c r="AU4262">
        <v>36</v>
      </c>
      <c r="AV4262">
        <v>423</v>
      </c>
      <c r="AW4262">
        <v>423</v>
      </c>
      <c r="AX4262">
        <v>650</v>
      </c>
      <c r="BA4262">
        <v>1</v>
      </c>
      <c r="BC4262" t="s">
        <v>8632</v>
      </c>
      <c r="BD4262" s="4">
        <v>43283.211805555555</v>
      </c>
      <c r="BE4262" s="4">
        <v>43283.232916666668</v>
      </c>
      <c r="BF4262" s="4">
        <v>43283.232916666668</v>
      </c>
      <c r="BG4262" t="s">
        <v>83</v>
      </c>
      <c r="BH4262" t="s">
        <v>84</v>
      </c>
      <c r="BI4262" t="s">
        <v>85</v>
      </c>
    </row>
    <row r="4263" spans="1:61" x14ac:dyDescent="0.3">
      <c r="A4263" t="str">
        <f>"200306B0100"</f>
        <v>200306B0100</v>
      </c>
      <c r="B4263" t="s">
        <v>8633</v>
      </c>
      <c r="C4263">
        <v>20</v>
      </c>
      <c r="D4263" t="s">
        <v>79</v>
      </c>
      <c r="E4263">
        <v>20</v>
      </c>
      <c r="F4263" t="s">
        <v>8477</v>
      </c>
      <c r="G4263">
        <v>306</v>
      </c>
      <c r="H4263">
        <v>1</v>
      </c>
      <c r="I4263" t="s">
        <v>81</v>
      </c>
      <c r="J4263">
        <v>0</v>
      </c>
      <c r="K4263">
        <v>1</v>
      </c>
      <c r="L4263">
        <v>2</v>
      </c>
      <c r="M4263" t="s">
        <v>100</v>
      </c>
      <c r="N4263" t="s">
        <v>100</v>
      </c>
      <c r="O4263" t="s">
        <v>100</v>
      </c>
      <c r="P4263" t="s">
        <v>100</v>
      </c>
      <c r="Q4263">
        <v>17</v>
      </c>
      <c r="R4263">
        <v>83</v>
      </c>
      <c r="S4263">
        <v>34</v>
      </c>
      <c r="T4263">
        <v>36</v>
      </c>
      <c r="U4263">
        <v>4</v>
      </c>
      <c r="V4263">
        <v>8</v>
      </c>
      <c r="W4263">
        <v>30</v>
      </c>
      <c r="X4263">
        <v>1</v>
      </c>
      <c r="Y4263">
        <v>89</v>
      </c>
      <c r="Z4263">
        <v>3</v>
      </c>
      <c r="AA4263">
        <v>22</v>
      </c>
      <c r="AB4263">
        <v>8</v>
      </c>
      <c r="AC4263" t="s">
        <v>100</v>
      </c>
      <c r="AD4263" t="s">
        <v>100</v>
      </c>
      <c r="AE4263" t="s">
        <v>100</v>
      </c>
      <c r="AF4263" t="s">
        <v>100</v>
      </c>
      <c r="AK4263">
        <v>1</v>
      </c>
      <c r="AL4263" t="s">
        <v>100</v>
      </c>
      <c r="AM4263" t="s">
        <v>100</v>
      </c>
      <c r="AN4263">
        <v>1</v>
      </c>
      <c r="AQ4263" t="s">
        <v>100</v>
      </c>
      <c r="AT4263" t="s">
        <v>100</v>
      </c>
      <c r="AU4263">
        <v>35</v>
      </c>
      <c r="AV4263">
        <v>372</v>
      </c>
      <c r="AW4263">
        <v>372</v>
      </c>
      <c r="AX4263">
        <v>533</v>
      </c>
      <c r="AZ4263" t="s">
        <v>101</v>
      </c>
      <c r="BA4263">
        <v>1</v>
      </c>
      <c r="BC4263" t="s">
        <v>8634</v>
      </c>
      <c r="BD4263" s="4">
        <v>43283.068749999999</v>
      </c>
      <c r="BE4263" s="4">
        <v>43283.074282407404</v>
      </c>
      <c r="BF4263" s="4">
        <v>43283.074282407404</v>
      </c>
      <c r="BG4263" t="s">
        <v>83</v>
      </c>
      <c r="BH4263" t="s">
        <v>84</v>
      </c>
      <c r="BI4263" t="s">
        <v>85</v>
      </c>
    </row>
    <row r="4264" spans="1:61" x14ac:dyDescent="0.3">
      <c r="A4264" t="str">
        <f>"200306C0100"</f>
        <v>200306C0100</v>
      </c>
      <c r="B4264" t="s">
        <v>8635</v>
      </c>
      <c r="C4264">
        <v>20</v>
      </c>
      <c r="D4264" t="s">
        <v>79</v>
      </c>
      <c r="E4264">
        <v>20</v>
      </c>
      <c r="F4264" t="s">
        <v>8477</v>
      </c>
      <c r="G4264">
        <v>306</v>
      </c>
      <c r="H4264">
        <v>1</v>
      </c>
      <c r="I4264" t="s">
        <v>89</v>
      </c>
      <c r="J4264">
        <v>0</v>
      </c>
      <c r="K4264">
        <v>1</v>
      </c>
      <c r="L4264">
        <v>2</v>
      </c>
      <c r="M4264">
        <v>166</v>
      </c>
      <c r="N4264">
        <v>392</v>
      </c>
      <c r="O4264">
        <v>2</v>
      </c>
      <c r="P4264">
        <v>392</v>
      </c>
      <c r="Q4264">
        <v>13</v>
      </c>
      <c r="R4264">
        <v>56</v>
      </c>
      <c r="S4264">
        <v>21</v>
      </c>
      <c r="T4264">
        <v>56</v>
      </c>
      <c r="U4264">
        <v>6</v>
      </c>
      <c r="V4264">
        <v>8</v>
      </c>
      <c r="W4264">
        <v>54</v>
      </c>
      <c r="X4264">
        <v>4</v>
      </c>
      <c r="Y4264">
        <v>92</v>
      </c>
      <c r="Z4264">
        <v>0</v>
      </c>
      <c r="AA4264">
        <v>28</v>
      </c>
      <c r="AB4264">
        <v>4</v>
      </c>
      <c r="AC4264">
        <v>0</v>
      </c>
      <c r="AD4264">
        <v>0</v>
      </c>
      <c r="AE4264">
        <v>0</v>
      </c>
      <c r="AF4264">
        <v>0</v>
      </c>
      <c r="AK4264">
        <v>2</v>
      </c>
      <c r="AL4264">
        <v>0</v>
      </c>
      <c r="AM4264">
        <v>0</v>
      </c>
      <c r="AN4264">
        <v>0</v>
      </c>
      <c r="AQ4264">
        <v>0</v>
      </c>
      <c r="AT4264">
        <v>0</v>
      </c>
      <c r="AU4264">
        <v>43</v>
      </c>
      <c r="AV4264">
        <v>392</v>
      </c>
      <c r="AW4264">
        <v>387</v>
      </c>
      <c r="AX4264">
        <v>533</v>
      </c>
      <c r="BA4264">
        <v>1</v>
      </c>
      <c r="BC4264" t="s">
        <v>8636</v>
      </c>
      <c r="BD4264" s="4">
        <v>43283.068055555559</v>
      </c>
      <c r="BE4264" s="4">
        <v>43283.085428240738</v>
      </c>
      <c r="BF4264" s="4">
        <v>43283.085428240738</v>
      </c>
      <c r="BG4264" t="s">
        <v>83</v>
      </c>
      <c r="BH4264" t="s">
        <v>84</v>
      </c>
      <c r="BI4264" t="s">
        <v>85</v>
      </c>
    </row>
    <row r="4265" spans="1:61" x14ac:dyDescent="0.3">
      <c r="A4265" t="str">
        <f>"200307B0100"</f>
        <v>200307B0100</v>
      </c>
      <c r="B4265" t="s">
        <v>8637</v>
      </c>
      <c r="C4265">
        <v>20</v>
      </c>
      <c r="D4265" t="s">
        <v>79</v>
      </c>
      <c r="E4265">
        <v>20</v>
      </c>
      <c r="F4265" t="s">
        <v>8477</v>
      </c>
      <c r="G4265">
        <v>307</v>
      </c>
      <c r="H4265">
        <v>1</v>
      </c>
      <c r="I4265" t="s">
        <v>81</v>
      </c>
      <c r="J4265">
        <v>0</v>
      </c>
      <c r="K4265">
        <v>1</v>
      </c>
      <c r="L4265">
        <v>2</v>
      </c>
      <c r="M4265">
        <v>164</v>
      </c>
      <c r="N4265">
        <v>293</v>
      </c>
      <c r="O4265">
        <v>3</v>
      </c>
      <c r="P4265" t="s">
        <v>100</v>
      </c>
      <c r="Q4265">
        <v>13</v>
      </c>
      <c r="R4265">
        <v>48</v>
      </c>
      <c r="S4265">
        <v>16</v>
      </c>
      <c r="T4265">
        <v>14</v>
      </c>
      <c r="U4265">
        <v>8</v>
      </c>
      <c r="V4265">
        <v>3</v>
      </c>
      <c r="W4265">
        <v>4</v>
      </c>
      <c r="X4265">
        <v>7</v>
      </c>
      <c r="Y4265">
        <v>95</v>
      </c>
      <c r="Z4265">
        <v>5</v>
      </c>
      <c r="AA4265">
        <v>28</v>
      </c>
      <c r="AB4265">
        <v>0</v>
      </c>
      <c r="AC4265">
        <v>1</v>
      </c>
      <c r="AD4265">
        <v>0</v>
      </c>
      <c r="AE4265">
        <v>0</v>
      </c>
      <c r="AF4265">
        <v>0</v>
      </c>
      <c r="AK4265">
        <v>2</v>
      </c>
      <c r="AL4265">
        <v>0</v>
      </c>
      <c r="AM4265">
        <v>0</v>
      </c>
      <c r="AN4265">
        <v>1</v>
      </c>
      <c r="AQ4265">
        <v>0</v>
      </c>
      <c r="AT4265" t="s">
        <v>100</v>
      </c>
      <c r="AU4265">
        <v>47</v>
      </c>
      <c r="AV4265" t="s">
        <v>100</v>
      </c>
      <c r="AW4265">
        <v>292</v>
      </c>
      <c r="AX4265">
        <v>435</v>
      </c>
      <c r="AZ4265" t="s">
        <v>101</v>
      </c>
      <c r="BA4265">
        <v>1</v>
      </c>
      <c r="BC4265" t="s">
        <v>8638</v>
      </c>
      <c r="BD4265" s="4">
        <v>43283.068749999999</v>
      </c>
      <c r="BE4265" s="4">
        <v>43283.073171296295</v>
      </c>
      <c r="BF4265" s="4">
        <v>43283.073171296295</v>
      </c>
      <c r="BG4265" t="s">
        <v>83</v>
      </c>
      <c r="BH4265" t="s">
        <v>84</v>
      </c>
      <c r="BI4265" t="s">
        <v>85</v>
      </c>
    </row>
    <row r="4266" spans="1:61" x14ac:dyDescent="0.3">
      <c r="A4266" t="str">
        <f>"200307C0100"</f>
        <v>200307C0100</v>
      </c>
      <c r="B4266" t="s">
        <v>8639</v>
      </c>
      <c r="C4266">
        <v>20</v>
      </c>
      <c r="D4266" t="s">
        <v>79</v>
      </c>
      <c r="E4266">
        <v>20</v>
      </c>
      <c r="F4266" t="s">
        <v>8477</v>
      </c>
      <c r="G4266">
        <v>307</v>
      </c>
      <c r="H4266">
        <v>1</v>
      </c>
      <c r="I4266" t="s">
        <v>89</v>
      </c>
      <c r="J4266">
        <v>0</v>
      </c>
      <c r="K4266">
        <v>1</v>
      </c>
      <c r="L4266">
        <v>2</v>
      </c>
      <c r="M4266">
        <v>150</v>
      </c>
      <c r="N4266">
        <v>311</v>
      </c>
      <c r="O4266">
        <v>6</v>
      </c>
      <c r="P4266">
        <v>305</v>
      </c>
      <c r="Q4266">
        <v>10</v>
      </c>
      <c r="R4266">
        <v>52</v>
      </c>
      <c r="S4266">
        <v>23</v>
      </c>
      <c r="T4266">
        <v>13</v>
      </c>
      <c r="U4266">
        <v>7</v>
      </c>
      <c r="V4266">
        <v>4</v>
      </c>
      <c r="W4266">
        <v>10</v>
      </c>
      <c r="X4266">
        <v>4</v>
      </c>
      <c r="Y4266">
        <v>124</v>
      </c>
      <c r="Z4266">
        <v>0</v>
      </c>
      <c r="AA4266">
        <v>26</v>
      </c>
      <c r="AB4266">
        <v>4</v>
      </c>
      <c r="AC4266" t="s">
        <v>100</v>
      </c>
      <c r="AD4266">
        <v>2</v>
      </c>
      <c r="AE4266">
        <v>0</v>
      </c>
      <c r="AF4266">
        <v>0</v>
      </c>
      <c r="AK4266">
        <v>1</v>
      </c>
      <c r="AL4266">
        <v>0</v>
      </c>
      <c r="AM4266">
        <v>0</v>
      </c>
      <c r="AN4266">
        <v>0</v>
      </c>
      <c r="AQ4266">
        <v>1</v>
      </c>
      <c r="AT4266" t="s">
        <v>100</v>
      </c>
      <c r="AU4266">
        <v>24</v>
      </c>
      <c r="AV4266">
        <v>305</v>
      </c>
      <c r="AW4266">
        <v>305</v>
      </c>
      <c r="AX4266">
        <v>434</v>
      </c>
      <c r="AZ4266" t="s">
        <v>101</v>
      </c>
      <c r="BA4266">
        <v>1</v>
      </c>
      <c r="BC4266" t="s">
        <v>8640</v>
      </c>
      <c r="BD4266" s="4">
        <v>43283.069444444445</v>
      </c>
      <c r="BE4266" s="4">
        <v>43283.074259259258</v>
      </c>
      <c r="BF4266" s="4">
        <v>43283.074259259258</v>
      </c>
      <c r="BG4266" t="s">
        <v>83</v>
      </c>
      <c r="BH4266" t="s">
        <v>84</v>
      </c>
      <c r="BI4266" t="s">
        <v>85</v>
      </c>
    </row>
    <row r="4267" spans="1:61" x14ac:dyDescent="0.3">
      <c r="A4267" t="str">
        <f>"200308B0100"</f>
        <v>200308B0100</v>
      </c>
      <c r="B4267" t="s">
        <v>8641</v>
      </c>
      <c r="C4267">
        <v>20</v>
      </c>
      <c r="D4267" t="s">
        <v>79</v>
      </c>
      <c r="E4267">
        <v>20</v>
      </c>
      <c r="F4267" t="s">
        <v>8477</v>
      </c>
      <c r="G4267">
        <v>308</v>
      </c>
      <c r="H4267">
        <v>1</v>
      </c>
      <c r="I4267" t="s">
        <v>81</v>
      </c>
      <c r="J4267">
        <v>0</v>
      </c>
      <c r="K4267">
        <v>1</v>
      </c>
      <c r="L4267">
        <v>2</v>
      </c>
      <c r="M4267">
        <v>143</v>
      </c>
      <c r="N4267">
        <v>268</v>
      </c>
      <c r="O4267">
        <v>6</v>
      </c>
      <c r="P4267">
        <v>268</v>
      </c>
      <c r="Q4267">
        <v>13</v>
      </c>
      <c r="R4267">
        <v>79</v>
      </c>
      <c r="S4267">
        <v>20</v>
      </c>
      <c r="T4267">
        <v>15</v>
      </c>
      <c r="U4267">
        <v>8</v>
      </c>
      <c r="V4267">
        <v>9</v>
      </c>
      <c r="W4267">
        <v>10</v>
      </c>
      <c r="X4267">
        <v>4</v>
      </c>
      <c r="Y4267">
        <v>62</v>
      </c>
      <c r="Z4267">
        <v>1</v>
      </c>
      <c r="AA4267">
        <v>14</v>
      </c>
      <c r="AB4267">
        <v>3</v>
      </c>
      <c r="AC4267">
        <v>0</v>
      </c>
      <c r="AD4267">
        <v>0</v>
      </c>
      <c r="AE4267">
        <v>0</v>
      </c>
      <c r="AF4267">
        <v>0</v>
      </c>
      <c r="AK4267">
        <v>3</v>
      </c>
      <c r="AL4267">
        <v>2</v>
      </c>
      <c r="AM4267">
        <v>0</v>
      </c>
      <c r="AN4267">
        <v>1</v>
      </c>
      <c r="AQ4267">
        <v>0</v>
      </c>
      <c r="AT4267">
        <v>0</v>
      </c>
      <c r="AU4267">
        <v>24</v>
      </c>
      <c r="AV4267">
        <v>268</v>
      </c>
      <c r="AW4267">
        <v>268</v>
      </c>
      <c r="AX4267">
        <v>389</v>
      </c>
      <c r="BA4267">
        <v>1</v>
      </c>
      <c r="BC4267" t="s">
        <v>8642</v>
      </c>
      <c r="BD4267" s="4">
        <v>43283.168749999997</v>
      </c>
      <c r="BE4267" s="4">
        <v>43283.181458333333</v>
      </c>
      <c r="BF4267" s="4">
        <v>43283.181458333333</v>
      </c>
      <c r="BG4267" t="s">
        <v>83</v>
      </c>
      <c r="BH4267" t="s">
        <v>84</v>
      </c>
      <c r="BI4267" t="s">
        <v>85</v>
      </c>
    </row>
    <row r="4268" spans="1:61" x14ac:dyDescent="0.3">
      <c r="A4268" t="str">
        <f>"200308C0100"</f>
        <v>200308C0100</v>
      </c>
      <c r="B4268" t="s">
        <v>8643</v>
      </c>
      <c r="C4268">
        <v>20</v>
      </c>
      <c r="D4268" t="s">
        <v>79</v>
      </c>
      <c r="E4268">
        <v>20</v>
      </c>
      <c r="F4268" t="s">
        <v>8477</v>
      </c>
      <c r="G4268">
        <v>308</v>
      </c>
      <c r="H4268">
        <v>1</v>
      </c>
      <c r="I4268" t="s">
        <v>89</v>
      </c>
      <c r="J4268">
        <v>0</v>
      </c>
      <c r="K4268">
        <v>1</v>
      </c>
      <c r="L4268">
        <v>2</v>
      </c>
      <c r="AX4268">
        <v>389</v>
      </c>
      <c r="AZ4268" t="s">
        <v>932</v>
      </c>
      <c r="BA4268">
        <v>0</v>
      </c>
      <c r="BC4268" t="s">
        <v>8644</v>
      </c>
      <c r="BD4268" s="4">
        <v>43283.556250000001</v>
      </c>
      <c r="BE4268" s="4">
        <v>43283.561840277776</v>
      </c>
      <c r="BF4268" s="4">
        <v>43283.561840277776</v>
      </c>
      <c r="BG4268" t="s">
        <v>83</v>
      </c>
      <c r="BH4268" t="s">
        <v>84</v>
      </c>
      <c r="BI4268" t="s">
        <v>85</v>
      </c>
    </row>
    <row r="4269" spans="1:61" x14ac:dyDescent="0.3">
      <c r="A4269" t="str">
        <f>"200309B0100"</f>
        <v>200309B0100</v>
      </c>
      <c r="B4269" t="s">
        <v>8645</v>
      </c>
      <c r="C4269">
        <v>20</v>
      </c>
      <c r="D4269" t="s">
        <v>79</v>
      </c>
      <c r="E4269">
        <v>20</v>
      </c>
      <c r="F4269" t="s">
        <v>8477</v>
      </c>
      <c r="G4269">
        <v>309</v>
      </c>
      <c r="H4269">
        <v>1</v>
      </c>
      <c r="I4269" t="s">
        <v>81</v>
      </c>
      <c r="J4269">
        <v>0</v>
      </c>
      <c r="K4269">
        <v>1</v>
      </c>
      <c r="L4269">
        <v>2</v>
      </c>
      <c r="AX4269">
        <v>704</v>
      </c>
      <c r="AZ4269" t="s">
        <v>156</v>
      </c>
      <c r="BA4269">
        <v>0</v>
      </c>
      <c r="BC4269" t="s">
        <v>8646</v>
      </c>
      <c r="BD4269" s="4">
        <v>43283.556250000001</v>
      </c>
      <c r="BE4269" s="4">
        <v>43283.561435185184</v>
      </c>
      <c r="BF4269" s="4">
        <v>43283.561435185184</v>
      </c>
      <c r="BG4269" t="s">
        <v>83</v>
      </c>
      <c r="BH4269" t="s">
        <v>84</v>
      </c>
      <c r="BI4269" t="s">
        <v>85</v>
      </c>
    </row>
    <row r="4270" spans="1:61" x14ac:dyDescent="0.3">
      <c r="A4270" t="str">
        <f>"200310B0100"</f>
        <v>200310B0100</v>
      </c>
      <c r="B4270" t="s">
        <v>8647</v>
      </c>
      <c r="C4270">
        <v>20</v>
      </c>
      <c r="D4270" t="s">
        <v>79</v>
      </c>
      <c r="E4270">
        <v>20</v>
      </c>
      <c r="F4270" t="s">
        <v>8477</v>
      </c>
      <c r="G4270">
        <v>310</v>
      </c>
      <c r="H4270">
        <v>1</v>
      </c>
      <c r="I4270" t="s">
        <v>81</v>
      </c>
      <c r="J4270">
        <v>0</v>
      </c>
      <c r="K4270">
        <v>1</v>
      </c>
      <c r="L4270">
        <v>2</v>
      </c>
      <c r="M4270">
        <v>262</v>
      </c>
      <c r="N4270">
        <v>449</v>
      </c>
      <c r="O4270">
        <v>2</v>
      </c>
      <c r="P4270">
        <v>0</v>
      </c>
      <c r="Q4270">
        <v>17</v>
      </c>
      <c r="R4270">
        <v>65</v>
      </c>
      <c r="S4270">
        <v>47</v>
      </c>
      <c r="T4270">
        <v>29</v>
      </c>
      <c r="U4270">
        <v>12</v>
      </c>
      <c r="V4270">
        <v>17</v>
      </c>
      <c r="W4270">
        <v>8</v>
      </c>
      <c r="X4270">
        <v>7</v>
      </c>
      <c r="Y4270">
        <v>164</v>
      </c>
      <c r="Z4270">
        <v>1</v>
      </c>
      <c r="AA4270">
        <v>18</v>
      </c>
      <c r="AB4270">
        <v>8</v>
      </c>
      <c r="AC4270" t="s">
        <v>100</v>
      </c>
      <c r="AD4270" t="s">
        <v>100</v>
      </c>
      <c r="AE4270" t="s">
        <v>100</v>
      </c>
      <c r="AF4270" t="s">
        <v>100</v>
      </c>
      <c r="AK4270" t="s">
        <v>100</v>
      </c>
      <c r="AL4270" t="s">
        <v>100</v>
      </c>
      <c r="AM4270" t="s">
        <v>100</v>
      </c>
      <c r="AN4270" t="s">
        <v>100</v>
      </c>
      <c r="AQ4270">
        <v>3</v>
      </c>
      <c r="AT4270" t="s">
        <v>100</v>
      </c>
      <c r="AU4270">
        <v>47</v>
      </c>
      <c r="AV4270">
        <v>443</v>
      </c>
      <c r="AW4270">
        <v>443</v>
      </c>
      <c r="AX4270">
        <v>686</v>
      </c>
      <c r="AZ4270" t="s">
        <v>101</v>
      </c>
      <c r="BA4270">
        <v>1</v>
      </c>
      <c r="BC4270" t="s">
        <v>8648</v>
      </c>
      <c r="BD4270" s="4">
        <v>43283.166666666664</v>
      </c>
      <c r="BE4270" s="4">
        <v>43283.180104166669</v>
      </c>
      <c r="BF4270" s="4">
        <v>43283.180104166669</v>
      </c>
      <c r="BG4270" t="s">
        <v>83</v>
      </c>
      <c r="BH4270" t="s">
        <v>84</v>
      </c>
      <c r="BI4270" t="s">
        <v>85</v>
      </c>
    </row>
    <row r="4271" spans="1:61" x14ac:dyDescent="0.3">
      <c r="A4271" t="str">
        <f>"200310C0100"</f>
        <v>200310C0100</v>
      </c>
      <c r="B4271" t="s">
        <v>8649</v>
      </c>
      <c r="C4271">
        <v>20</v>
      </c>
      <c r="D4271" t="s">
        <v>79</v>
      </c>
      <c r="E4271">
        <v>20</v>
      </c>
      <c r="F4271" t="s">
        <v>8477</v>
      </c>
      <c r="G4271">
        <v>310</v>
      </c>
      <c r="H4271">
        <v>1</v>
      </c>
      <c r="I4271" t="s">
        <v>89</v>
      </c>
      <c r="J4271">
        <v>0</v>
      </c>
      <c r="K4271">
        <v>1</v>
      </c>
      <c r="L4271">
        <v>2</v>
      </c>
      <c r="M4271" t="s">
        <v>100</v>
      </c>
      <c r="N4271" t="s">
        <v>100</v>
      </c>
      <c r="O4271" t="s">
        <v>100</v>
      </c>
      <c r="P4271" t="s">
        <v>100</v>
      </c>
      <c r="Q4271" t="s">
        <v>315</v>
      </c>
      <c r="R4271" t="s">
        <v>315</v>
      </c>
      <c r="S4271" t="s">
        <v>315</v>
      </c>
      <c r="T4271" t="s">
        <v>315</v>
      </c>
      <c r="U4271" t="s">
        <v>315</v>
      </c>
      <c r="V4271" t="s">
        <v>315</v>
      </c>
      <c r="W4271">
        <v>10</v>
      </c>
      <c r="X4271">
        <v>6</v>
      </c>
      <c r="Y4271">
        <v>149</v>
      </c>
      <c r="Z4271">
        <v>5</v>
      </c>
      <c r="AA4271">
        <v>29</v>
      </c>
      <c r="AB4271">
        <v>8</v>
      </c>
      <c r="AC4271">
        <v>0</v>
      </c>
      <c r="AD4271">
        <v>0</v>
      </c>
      <c r="AE4271">
        <v>0</v>
      </c>
      <c r="AF4271">
        <v>0</v>
      </c>
      <c r="AK4271">
        <v>1</v>
      </c>
      <c r="AL4271">
        <v>0</v>
      </c>
      <c r="AM4271">
        <v>0</v>
      </c>
      <c r="AN4271">
        <v>1</v>
      </c>
      <c r="AQ4271">
        <v>0</v>
      </c>
      <c r="AT4271">
        <v>0</v>
      </c>
      <c r="AU4271">
        <v>46</v>
      </c>
      <c r="AV4271">
        <v>467</v>
      </c>
      <c r="AW4271">
        <v>255</v>
      </c>
      <c r="AX4271">
        <v>686</v>
      </c>
      <c r="AZ4271" t="s">
        <v>101</v>
      </c>
      <c r="BA4271">
        <v>1</v>
      </c>
      <c r="BC4271" s="2" t="s">
        <v>8650</v>
      </c>
      <c r="BD4271" s="4">
        <v>43283.174305555556</v>
      </c>
      <c r="BE4271" s="4">
        <v>43283.194386574076</v>
      </c>
      <c r="BF4271" s="4">
        <v>43283.194386574076</v>
      </c>
      <c r="BG4271" t="s">
        <v>83</v>
      </c>
      <c r="BH4271" t="s">
        <v>84</v>
      </c>
      <c r="BI4271" t="s">
        <v>85</v>
      </c>
    </row>
    <row r="4272" spans="1:61" x14ac:dyDescent="0.3">
      <c r="A4272" t="str">
        <f>"200311B0100"</f>
        <v>200311B0100</v>
      </c>
      <c r="B4272" t="s">
        <v>8651</v>
      </c>
      <c r="C4272">
        <v>20</v>
      </c>
      <c r="D4272" t="s">
        <v>79</v>
      </c>
      <c r="E4272">
        <v>20</v>
      </c>
      <c r="F4272" t="s">
        <v>8477</v>
      </c>
      <c r="G4272">
        <v>311</v>
      </c>
      <c r="H4272">
        <v>1</v>
      </c>
      <c r="I4272" t="s">
        <v>81</v>
      </c>
      <c r="J4272">
        <v>0</v>
      </c>
      <c r="K4272">
        <v>1</v>
      </c>
      <c r="L4272">
        <v>2</v>
      </c>
      <c r="AX4272">
        <v>636</v>
      </c>
      <c r="AZ4272" t="s">
        <v>156</v>
      </c>
      <c r="BA4272">
        <v>0</v>
      </c>
      <c r="BC4272" t="s">
        <v>8652</v>
      </c>
      <c r="BD4272" s="4">
        <v>43283.556250000001</v>
      </c>
      <c r="BE4272" s="4">
        <v>43283.560960648145</v>
      </c>
      <c r="BF4272" s="4">
        <v>43283.560960648145</v>
      </c>
      <c r="BG4272" t="s">
        <v>83</v>
      </c>
      <c r="BH4272" t="s">
        <v>84</v>
      </c>
      <c r="BI4272" t="s">
        <v>85</v>
      </c>
    </row>
    <row r="4273" spans="1:61" x14ac:dyDescent="0.3">
      <c r="A4273" t="str">
        <f>"200311C0100"</f>
        <v>200311C0100</v>
      </c>
      <c r="B4273" t="s">
        <v>8653</v>
      </c>
      <c r="C4273">
        <v>20</v>
      </c>
      <c r="D4273" t="s">
        <v>79</v>
      </c>
      <c r="E4273">
        <v>20</v>
      </c>
      <c r="F4273" t="s">
        <v>8477</v>
      </c>
      <c r="G4273">
        <v>311</v>
      </c>
      <c r="H4273">
        <v>1</v>
      </c>
      <c r="I4273" t="s">
        <v>89</v>
      </c>
      <c r="J4273">
        <v>0</v>
      </c>
      <c r="K4273">
        <v>1</v>
      </c>
      <c r="L4273">
        <v>2</v>
      </c>
      <c r="AX4273">
        <v>635</v>
      </c>
      <c r="AZ4273" t="s">
        <v>156</v>
      </c>
      <c r="BA4273">
        <v>0</v>
      </c>
      <c r="BC4273" t="s">
        <v>8654</v>
      </c>
      <c r="BD4273" s="4">
        <v>43283.554166666669</v>
      </c>
      <c r="BE4273" s="4">
        <v>43283.559513888889</v>
      </c>
      <c r="BF4273" s="4">
        <v>43283.559513888889</v>
      </c>
      <c r="BG4273" t="s">
        <v>83</v>
      </c>
      <c r="BH4273" t="s">
        <v>84</v>
      </c>
      <c r="BI4273" t="s">
        <v>85</v>
      </c>
    </row>
    <row r="4274" spans="1:61" x14ac:dyDescent="0.3">
      <c r="A4274" t="str">
        <f>"200312B0100"</f>
        <v>200312B0100</v>
      </c>
      <c r="B4274" t="s">
        <v>8655</v>
      </c>
      <c r="C4274">
        <v>20</v>
      </c>
      <c r="D4274" t="s">
        <v>79</v>
      </c>
      <c r="E4274">
        <v>20</v>
      </c>
      <c r="F4274" t="s">
        <v>8477</v>
      </c>
      <c r="G4274">
        <v>312</v>
      </c>
      <c r="H4274">
        <v>1</v>
      </c>
      <c r="I4274" t="s">
        <v>81</v>
      </c>
      <c r="J4274">
        <v>0</v>
      </c>
      <c r="K4274">
        <v>1</v>
      </c>
      <c r="L4274">
        <v>2</v>
      </c>
      <c r="M4274">
        <v>226</v>
      </c>
      <c r="N4274">
        <v>425</v>
      </c>
      <c r="O4274">
        <v>1</v>
      </c>
      <c r="P4274">
        <v>425</v>
      </c>
      <c r="Q4274">
        <v>8</v>
      </c>
      <c r="R4274">
        <v>79</v>
      </c>
      <c r="S4274">
        <v>39</v>
      </c>
      <c r="T4274">
        <v>27</v>
      </c>
      <c r="U4274">
        <v>8</v>
      </c>
      <c r="V4274">
        <v>9</v>
      </c>
      <c r="W4274">
        <v>6</v>
      </c>
      <c r="X4274">
        <v>14</v>
      </c>
      <c r="Y4274">
        <v>153</v>
      </c>
      <c r="Z4274">
        <v>0</v>
      </c>
      <c r="AA4274">
        <v>20</v>
      </c>
      <c r="AB4274">
        <v>0</v>
      </c>
      <c r="AC4274" t="s">
        <v>100</v>
      </c>
      <c r="AD4274" t="s">
        <v>100</v>
      </c>
      <c r="AE4274" t="s">
        <v>100</v>
      </c>
      <c r="AF4274" t="s">
        <v>100</v>
      </c>
      <c r="AK4274" t="s">
        <v>100</v>
      </c>
      <c r="AL4274" t="s">
        <v>100</v>
      </c>
      <c r="AM4274" t="s">
        <v>100</v>
      </c>
      <c r="AN4274" t="s">
        <v>100</v>
      </c>
      <c r="AQ4274" t="s">
        <v>100</v>
      </c>
      <c r="AT4274" t="s">
        <v>100</v>
      </c>
      <c r="AU4274">
        <v>69</v>
      </c>
      <c r="AV4274">
        <v>431</v>
      </c>
      <c r="AW4274">
        <v>432</v>
      </c>
      <c r="AX4274">
        <v>629</v>
      </c>
      <c r="AZ4274" t="s">
        <v>101</v>
      </c>
      <c r="BA4274">
        <v>1</v>
      </c>
      <c r="BC4274" t="s">
        <v>8656</v>
      </c>
      <c r="BD4274" s="4">
        <v>43283.034722222219</v>
      </c>
      <c r="BE4274" s="4">
        <v>43283.0387962963</v>
      </c>
      <c r="BF4274" s="4">
        <v>43283.0387962963</v>
      </c>
      <c r="BG4274" t="s">
        <v>83</v>
      </c>
      <c r="BH4274" t="s">
        <v>84</v>
      </c>
      <c r="BI4274" t="s">
        <v>85</v>
      </c>
    </row>
    <row r="4275" spans="1:61" x14ac:dyDescent="0.3">
      <c r="A4275" t="str">
        <f>"200312C0100"</f>
        <v>200312C0100</v>
      </c>
      <c r="B4275" t="s">
        <v>8657</v>
      </c>
      <c r="C4275">
        <v>20</v>
      </c>
      <c r="D4275" t="s">
        <v>79</v>
      </c>
      <c r="E4275">
        <v>20</v>
      </c>
      <c r="F4275" t="s">
        <v>8477</v>
      </c>
      <c r="G4275">
        <v>312</v>
      </c>
      <c r="H4275">
        <v>1</v>
      </c>
      <c r="I4275" t="s">
        <v>89</v>
      </c>
      <c r="J4275">
        <v>0</v>
      </c>
      <c r="K4275">
        <v>1</v>
      </c>
      <c r="L4275">
        <v>2</v>
      </c>
      <c r="M4275">
        <v>239</v>
      </c>
      <c r="N4275" t="s">
        <v>100</v>
      </c>
      <c r="O4275" t="s">
        <v>100</v>
      </c>
      <c r="P4275">
        <v>409</v>
      </c>
      <c r="Q4275">
        <v>9</v>
      </c>
      <c r="R4275">
        <v>75</v>
      </c>
      <c r="S4275">
        <v>35</v>
      </c>
      <c r="T4275">
        <v>25</v>
      </c>
      <c r="U4275">
        <v>4</v>
      </c>
      <c r="V4275">
        <v>12</v>
      </c>
      <c r="W4275">
        <v>4</v>
      </c>
      <c r="X4275">
        <v>4</v>
      </c>
      <c r="Y4275">
        <v>159</v>
      </c>
      <c r="Z4275">
        <v>2</v>
      </c>
      <c r="AA4275">
        <v>11</v>
      </c>
      <c r="AB4275">
        <v>5</v>
      </c>
      <c r="AC4275">
        <v>0</v>
      </c>
      <c r="AD4275">
        <v>0</v>
      </c>
      <c r="AE4275">
        <v>0</v>
      </c>
      <c r="AF4275">
        <v>0</v>
      </c>
      <c r="AK4275">
        <v>2</v>
      </c>
      <c r="AL4275">
        <v>2</v>
      </c>
      <c r="AM4275">
        <v>0</v>
      </c>
      <c r="AN4275">
        <v>1</v>
      </c>
      <c r="AQ4275" t="s">
        <v>100</v>
      </c>
      <c r="AT4275">
        <v>1</v>
      </c>
      <c r="AU4275">
        <v>63</v>
      </c>
      <c r="AV4275">
        <v>409</v>
      </c>
      <c r="AW4275">
        <v>414</v>
      </c>
      <c r="AX4275">
        <v>629</v>
      </c>
      <c r="AZ4275" t="s">
        <v>101</v>
      </c>
      <c r="BA4275">
        <v>1</v>
      </c>
      <c r="BC4275" t="s">
        <v>8658</v>
      </c>
      <c r="BD4275" s="4">
        <v>43283.036111111112</v>
      </c>
      <c r="BE4275" s="4">
        <v>43283.043171296296</v>
      </c>
      <c r="BF4275" s="4">
        <v>43283.043171296296</v>
      </c>
      <c r="BG4275" t="s">
        <v>83</v>
      </c>
      <c r="BH4275" t="s">
        <v>84</v>
      </c>
      <c r="BI4275" t="s">
        <v>85</v>
      </c>
    </row>
    <row r="4276" spans="1:61" x14ac:dyDescent="0.3">
      <c r="A4276" t="str">
        <f>"200313B0100"</f>
        <v>200313B0100</v>
      </c>
      <c r="B4276" t="s">
        <v>8659</v>
      </c>
      <c r="C4276">
        <v>20</v>
      </c>
      <c r="D4276" t="s">
        <v>79</v>
      </c>
      <c r="E4276">
        <v>20</v>
      </c>
      <c r="F4276" t="s">
        <v>8477</v>
      </c>
      <c r="G4276">
        <v>313</v>
      </c>
      <c r="H4276">
        <v>1</v>
      </c>
      <c r="I4276" t="s">
        <v>81</v>
      </c>
      <c r="J4276">
        <v>0</v>
      </c>
      <c r="K4276">
        <v>1</v>
      </c>
      <c r="L4276">
        <v>2</v>
      </c>
      <c r="M4276">
        <v>224</v>
      </c>
      <c r="N4276">
        <v>427</v>
      </c>
      <c r="O4276">
        <v>4</v>
      </c>
      <c r="P4276">
        <v>427</v>
      </c>
      <c r="Q4276">
        <v>12</v>
      </c>
      <c r="R4276">
        <v>83</v>
      </c>
      <c r="S4276">
        <v>39</v>
      </c>
      <c r="T4276">
        <v>19</v>
      </c>
      <c r="U4276">
        <v>12</v>
      </c>
      <c r="V4276">
        <v>17</v>
      </c>
      <c r="W4276">
        <v>13</v>
      </c>
      <c r="X4276">
        <v>5</v>
      </c>
      <c r="Y4276">
        <v>151</v>
      </c>
      <c r="Z4276">
        <v>0</v>
      </c>
      <c r="AA4276">
        <v>19</v>
      </c>
      <c r="AB4276">
        <v>2</v>
      </c>
      <c r="AC4276">
        <v>1</v>
      </c>
      <c r="AD4276">
        <v>0</v>
      </c>
      <c r="AE4276">
        <v>0</v>
      </c>
      <c r="AF4276">
        <v>0</v>
      </c>
      <c r="AK4276">
        <v>1</v>
      </c>
      <c r="AL4276">
        <v>0</v>
      </c>
      <c r="AM4276">
        <v>0</v>
      </c>
      <c r="AN4276">
        <v>0</v>
      </c>
      <c r="AQ4276">
        <v>0</v>
      </c>
      <c r="AT4276">
        <v>0</v>
      </c>
      <c r="AU4276">
        <v>53</v>
      </c>
      <c r="AV4276">
        <v>427</v>
      </c>
      <c r="AW4276">
        <v>427</v>
      </c>
      <c r="AX4276">
        <v>629</v>
      </c>
      <c r="BA4276">
        <v>1</v>
      </c>
      <c r="BC4276" t="s">
        <v>8660</v>
      </c>
      <c r="BD4276" s="4">
        <v>43283.026388888888</v>
      </c>
      <c r="BE4276" s="4">
        <v>43283.033333333333</v>
      </c>
      <c r="BF4276" s="4">
        <v>43283.033333333333</v>
      </c>
      <c r="BG4276" t="s">
        <v>83</v>
      </c>
      <c r="BH4276" t="s">
        <v>84</v>
      </c>
      <c r="BI4276" t="s">
        <v>85</v>
      </c>
    </row>
    <row r="4277" spans="1:61" x14ac:dyDescent="0.3">
      <c r="A4277" t="str">
        <f>"200313C0100"</f>
        <v>200313C0100</v>
      </c>
      <c r="B4277" t="s">
        <v>8661</v>
      </c>
      <c r="C4277">
        <v>20</v>
      </c>
      <c r="D4277" t="s">
        <v>79</v>
      </c>
      <c r="E4277">
        <v>20</v>
      </c>
      <c r="F4277" t="s">
        <v>8477</v>
      </c>
      <c r="G4277">
        <v>313</v>
      </c>
      <c r="H4277">
        <v>1</v>
      </c>
      <c r="I4277" t="s">
        <v>89</v>
      </c>
      <c r="J4277">
        <v>0</v>
      </c>
      <c r="K4277">
        <v>1</v>
      </c>
      <c r="L4277">
        <v>2</v>
      </c>
      <c r="M4277">
        <v>221</v>
      </c>
      <c r="N4277">
        <v>430</v>
      </c>
      <c r="O4277">
        <v>6</v>
      </c>
      <c r="P4277">
        <v>430</v>
      </c>
      <c r="Q4277">
        <v>22</v>
      </c>
      <c r="R4277">
        <v>89</v>
      </c>
      <c r="S4277">
        <v>65</v>
      </c>
      <c r="T4277">
        <v>15</v>
      </c>
      <c r="U4277">
        <v>14</v>
      </c>
      <c r="V4277">
        <v>15</v>
      </c>
      <c r="W4277">
        <v>8</v>
      </c>
      <c r="X4277">
        <v>6</v>
      </c>
      <c r="Y4277">
        <v>133</v>
      </c>
      <c r="Z4277">
        <v>1</v>
      </c>
      <c r="AA4277">
        <v>10</v>
      </c>
      <c r="AB4277">
        <v>6</v>
      </c>
      <c r="AC4277">
        <v>1</v>
      </c>
      <c r="AD4277">
        <v>1</v>
      </c>
      <c r="AE4277">
        <v>0</v>
      </c>
      <c r="AF4277">
        <v>0</v>
      </c>
      <c r="AK4277">
        <v>2</v>
      </c>
      <c r="AL4277">
        <v>0</v>
      </c>
      <c r="AM4277">
        <v>0</v>
      </c>
      <c r="AN4277">
        <v>0</v>
      </c>
      <c r="AQ4277">
        <v>0</v>
      </c>
      <c r="AT4277">
        <v>0</v>
      </c>
      <c r="AU4277">
        <v>42</v>
      </c>
      <c r="AV4277">
        <v>430</v>
      </c>
      <c r="AW4277">
        <v>430</v>
      </c>
      <c r="AX4277">
        <v>629</v>
      </c>
      <c r="BA4277">
        <v>1</v>
      </c>
      <c r="BC4277" t="s">
        <v>8662</v>
      </c>
      <c r="BD4277" s="4">
        <v>43283.027083333334</v>
      </c>
      <c r="BE4277" s="4">
        <v>43283.033796296295</v>
      </c>
      <c r="BF4277" s="4">
        <v>43283.033796296295</v>
      </c>
      <c r="BG4277" t="s">
        <v>83</v>
      </c>
      <c r="BH4277" t="s">
        <v>84</v>
      </c>
      <c r="BI4277" t="s">
        <v>85</v>
      </c>
    </row>
    <row r="4278" spans="1:61" x14ac:dyDescent="0.3">
      <c r="A4278" t="str">
        <f>"200314B0100"</f>
        <v>200314B0100</v>
      </c>
      <c r="B4278" t="s">
        <v>8663</v>
      </c>
      <c r="C4278">
        <v>20</v>
      </c>
      <c r="D4278" t="s">
        <v>79</v>
      </c>
      <c r="E4278">
        <v>20</v>
      </c>
      <c r="F4278" t="s">
        <v>8477</v>
      </c>
      <c r="G4278">
        <v>314</v>
      </c>
      <c r="H4278">
        <v>1</v>
      </c>
      <c r="I4278" t="s">
        <v>81</v>
      </c>
      <c r="J4278">
        <v>0</v>
      </c>
      <c r="K4278">
        <v>1</v>
      </c>
      <c r="L4278">
        <v>2</v>
      </c>
      <c r="M4278">
        <v>153</v>
      </c>
      <c r="N4278">
        <v>359</v>
      </c>
      <c r="O4278">
        <v>0</v>
      </c>
      <c r="P4278">
        <v>359</v>
      </c>
      <c r="Q4278">
        <v>15</v>
      </c>
      <c r="R4278">
        <v>67</v>
      </c>
      <c r="S4278">
        <v>38</v>
      </c>
      <c r="T4278">
        <v>7</v>
      </c>
      <c r="U4278">
        <v>8</v>
      </c>
      <c r="V4278">
        <v>9</v>
      </c>
      <c r="W4278">
        <v>7</v>
      </c>
      <c r="X4278">
        <v>4</v>
      </c>
      <c r="Y4278">
        <v>143</v>
      </c>
      <c r="Z4278">
        <v>3</v>
      </c>
      <c r="AA4278">
        <v>19</v>
      </c>
      <c r="AB4278">
        <v>8</v>
      </c>
      <c r="AC4278">
        <v>0</v>
      </c>
      <c r="AD4278">
        <v>0</v>
      </c>
      <c r="AE4278">
        <v>0</v>
      </c>
      <c r="AF4278">
        <v>0</v>
      </c>
      <c r="AK4278">
        <v>0</v>
      </c>
      <c r="AL4278">
        <v>0</v>
      </c>
      <c r="AM4278">
        <v>0</v>
      </c>
      <c r="AN4278">
        <v>0</v>
      </c>
      <c r="AQ4278">
        <v>0</v>
      </c>
      <c r="AT4278">
        <v>1</v>
      </c>
      <c r="AU4278">
        <v>30</v>
      </c>
      <c r="AV4278">
        <v>359</v>
      </c>
      <c r="AW4278">
        <v>359</v>
      </c>
      <c r="AX4278">
        <v>490</v>
      </c>
      <c r="BA4278">
        <v>1</v>
      </c>
      <c r="BC4278" s="2" t="s">
        <v>8664</v>
      </c>
      <c r="BD4278" s="4">
        <v>43283.027777777781</v>
      </c>
      <c r="BE4278" s="4">
        <v>43283.032534722224</v>
      </c>
      <c r="BF4278" s="4">
        <v>43283.032534722224</v>
      </c>
      <c r="BG4278" t="s">
        <v>83</v>
      </c>
      <c r="BH4278" t="s">
        <v>84</v>
      </c>
      <c r="BI4278" t="s">
        <v>85</v>
      </c>
    </row>
    <row r="4279" spans="1:61" x14ac:dyDescent="0.3">
      <c r="A4279" t="str">
        <f>"200314C0100"</f>
        <v>200314C0100</v>
      </c>
      <c r="B4279" t="s">
        <v>8665</v>
      </c>
      <c r="C4279">
        <v>20</v>
      </c>
      <c r="D4279" t="s">
        <v>79</v>
      </c>
      <c r="E4279">
        <v>20</v>
      </c>
      <c r="F4279" t="s">
        <v>8477</v>
      </c>
      <c r="G4279">
        <v>314</v>
      </c>
      <c r="H4279">
        <v>1</v>
      </c>
      <c r="I4279" t="s">
        <v>89</v>
      </c>
      <c r="J4279">
        <v>0</v>
      </c>
      <c r="K4279">
        <v>1</v>
      </c>
      <c r="L4279">
        <v>2</v>
      </c>
      <c r="M4279">
        <v>177</v>
      </c>
      <c r="N4279">
        <v>335</v>
      </c>
      <c r="O4279">
        <v>4</v>
      </c>
      <c r="P4279">
        <v>335</v>
      </c>
      <c r="Q4279">
        <v>13</v>
      </c>
      <c r="R4279">
        <v>64</v>
      </c>
      <c r="S4279">
        <v>52</v>
      </c>
      <c r="T4279">
        <v>11</v>
      </c>
      <c r="U4279">
        <v>5</v>
      </c>
      <c r="V4279">
        <v>6</v>
      </c>
      <c r="W4279">
        <v>5</v>
      </c>
      <c r="X4279">
        <v>7</v>
      </c>
      <c r="Y4279">
        <v>99</v>
      </c>
      <c r="Z4279">
        <v>2</v>
      </c>
      <c r="AA4279">
        <v>27</v>
      </c>
      <c r="AB4279">
        <v>7</v>
      </c>
      <c r="AC4279">
        <v>0</v>
      </c>
      <c r="AD4279">
        <v>2</v>
      </c>
      <c r="AE4279">
        <v>0</v>
      </c>
      <c r="AF4279">
        <v>0</v>
      </c>
      <c r="AK4279">
        <v>0</v>
      </c>
      <c r="AL4279">
        <v>0</v>
      </c>
      <c r="AM4279">
        <v>0</v>
      </c>
      <c r="AN4279">
        <v>0</v>
      </c>
      <c r="AQ4279">
        <v>1</v>
      </c>
      <c r="AT4279">
        <v>1</v>
      </c>
      <c r="AU4279">
        <v>32</v>
      </c>
      <c r="AV4279">
        <v>335</v>
      </c>
      <c r="AW4279">
        <v>334</v>
      </c>
      <c r="AX4279">
        <v>490</v>
      </c>
      <c r="BA4279">
        <v>1</v>
      </c>
      <c r="BC4279" t="s">
        <v>8666</v>
      </c>
      <c r="BD4279" s="4">
        <v>43283.029166666667</v>
      </c>
      <c r="BE4279" s="4">
        <v>43283.038587962961</v>
      </c>
      <c r="BF4279" s="4">
        <v>43283.038587962961</v>
      </c>
      <c r="BG4279" t="s">
        <v>83</v>
      </c>
      <c r="BH4279" t="s">
        <v>84</v>
      </c>
      <c r="BI4279" t="s">
        <v>85</v>
      </c>
    </row>
    <row r="4280" spans="1:61" x14ac:dyDescent="0.3">
      <c r="A4280" t="str">
        <f>"200315B0100"</f>
        <v>200315B0100</v>
      </c>
      <c r="B4280" t="s">
        <v>8667</v>
      </c>
      <c r="C4280">
        <v>20</v>
      </c>
      <c r="D4280" t="s">
        <v>79</v>
      </c>
      <c r="E4280">
        <v>20</v>
      </c>
      <c r="F4280" t="s">
        <v>8477</v>
      </c>
      <c r="G4280">
        <v>315</v>
      </c>
      <c r="H4280">
        <v>1</v>
      </c>
      <c r="I4280" t="s">
        <v>81</v>
      </c>
      <c r="J4280">
        <v>0</v>
      </c>
      <c r="K4280">
        <v>1</v>
      </c>
      <c r="L4280">
        <v>2</v>
      </c>
      <c r="M4280">
        <v>203</v>
      </c>
      <c r="N4280">
        <v>342</v>
      </c>
      <c r="O4280">
        <v>4</v>
      </c>
      <c r="P4280">
        <v>0</v>
      </c>
      <c r="Q4280">
        <v>13</v>
      </c>
      <c r="R4280">
        <v>77</v>
      </c>
      <c r="S4280">
        <v>43</v>
      </c>
      <c r="T4280">
        <v>11</v>
      </c>
      <c r="U4280">
        <v>4</v>
      </c>
      <c r="V4280">
        <v>12</v>
      </c>
      <c r="W4280">
        <v>5</v>
      </c>
      <c r="X4280">
        <v>6</v>
      </c>
      <c r="Y4280">
        <v>80</v>
      </c>
      <c r="Z4280">
        <v>1</v>
      </c>
      <c r="AA4280">
        <v>34</v>
      </c>
      <c r="AB4280">
        <v>5</v>
      </c>
      <c r="AC4280">
        <v>1</v>
      </c>
      <c r="AD4280" t="s">
        <v>100</v>
      </c>
      <c r="AE4280" t="s">
        <v>100</v>
      </c>
      <c r="AF4280" t="s">
        <v>100</v>
      </c>
      <c r="AK4280" t="s">
        <v>100</v>
      </c>
      <c r="AL4280" t="s">
        <v>100</v>
      </c>
      <c r="AM4280" t="s">
        <v>100</v>
      </c>
      <c r="AN4280" t="s">
        <v>100</v>
      </c>
      <c r="AQ4280" t="s">
        <v>100</v>
      </c>
      <c r="AT4280" t="s">
        <v>100</v>
      </c>
      <c r="AU4280" t="s">
        <v>100</v>
      </c>
      <c r="AV4280" t="s">
        <v>100</v>
      </c>
      <c r="AW4280">
        <v>292</v>
      </c>
      <c r="AX4280">
        <v>519</v>
      </c>
      <c r="AZ4280" t="s">
        <v>101</v>
      </c>
      <c r="BA4280">
        <v>1</v>
      </c>
      <c r="BC4280" t="s">
        <v>8668</v>
      </c>
      <c r="BD4280" s="4">
        <v>43283.075694444444</v>
      </c>
      <c r="BE4280" s="4">
        <v>43283.079791666663</v>
      </c>
      <c r="BF4280" s="4">
        <v>43283.079791666663</v>
      </c>
      <c r="BG4280" t="s">
        <v>83</v>
      </c>
      <c r="BH4280" t="s">
        <v>84</v>
      </c>
      <c r="BI4280" t="s">
        <v>85</v>
      </c>
    </row>
    <row r="4281" spans="1:61" x14ac:dyDescent="0.3">
      <c r="A4281" t="str">
        <f>"200315C0100"</f>
        <v>200315C0100</v>
      </c>
      <c r="B4281" t="s">
        <v>8669</v>
      </c>
      <c r="C4281">
        <v>20</v>
      </c>
      <c r="D4281" t="s">
        <v>79</v>
      </c>
      <c r="E4281">
        <v>20</v>
      </c>
      <c r="F4281" t="s">
        <v>8477</v>
      </c>
      <c r="G4281">
        <v>315</v>
      </c>
      <c r="H4281">
        <v>1</v>
      </c>
      <c r="I4281" t="s">
        <v>89</v>
      </c>
      <c r="J4281">
        <v>0</v>
      </c>
      <c r="K4281">
        <v>1</v>
      </c>
      <c r="L4281">
        <v>2</v>
      </c>
      <c r="M4281">
        <v>178</v>
      </c>
      <c r="N4281">
        <v>367</v>
      </c>
      <c r="O4281">
        <v>4</v>
      </c>
      <c r="P4281">
        <v>363</v>
      </c>
      <c r="Q4281">
        <v>11</v>
      </c>
      <c r="R4281">
        <v>66</v>
      </c>
      <c r="S4281">
        <v>35</v>
      </c>
      <c r="T4281">
        <v>17</v>
      </c>
      <c r="U4281">
        <v>7</v>
      </c>
      <c r="V4281">
        <v>9</v>
      </c>
      <c r="W4281">
        <v>2</v>
      </c>
      <c r="X4281">
        <v>6</v>
      </c>
      <c r="Y4281">
        <v>102</v>
      </c>
      <c r="Z4281">
        <v>6</v>
      </c>
      <c r="AA4281">
        <v>40</v>
      </c>
      <c r="AB4281">
        <v>4</v>
      </c>
      <c r="AC4281" t="s">
        <v>100</v>
      </c>
      <c r="AD4281" t="s">
        <v>100</v>
      </c>
      <c r="AE4281" t="s">
        <v>100</v>
      </c>
      <c r="AF4281" t="s">
        <v>100</v>
      </c>
      <c r="AK4281" t="s">
        <v>100</v>
      </c>
      <c r="AL4281" t="s">
        <v>100</v>
      </c>
      <c r="AM4281" t="s">
        <v>100</v>
      </c>
      <c r="AN4281" t="s">
        <v>100</v>
      </c>
      <c r="AQ4281" t="s">
        <v>100</v>
      </c>
      <c r="AT4281" t="s">
        <v>100</v>
      </c>
      <c r="AU4281">
        <v>57</v>
      </c>
      <c r="AV4281">
        <v>239</v>
      </c>
      <c r="AW4281">
        <v>362</v>
      </c>
      <c r="AX4281">
        <v>519</v>
      </c>
      <c r="AZ4281" t="s">
        <v>101</v>
      </c>
      <c r="BA4281">
        <v>1</v>
      </c>
      <c r="BC4281" t="s">
        <v>8670</v>
      </c>
      <c r="BD4281" s="4">
        <v>43283.074999999997</v>
      </c>
      <c r="BE4281" s="4">
        <v>43283.080243055556</v>
      </c>
      <c r="BF4281" s="4">
        <v>43283.080243055556</v>
      </c>
      <c r="BG4281" t="s">
        <v>83</v>
      </c>
      <c r="BH4281" t="s">
        <v>84</v>
      </c>
      <c r="BI4281" t="s">
        <v>85</v>
      </c>
    </row>
    <row r="4282" spans="1:61" x14ac:dyDescent="0.3">
      <c r="A4282" t="str">
        <f>"200316B0100"</f>
        <v>200316B0100</v>
      </c>
      <c r="B4282" t="s">
        <v>8671</v>
      </c>
      <c r="C4282">
        <v>20</v>
      </c>
      <c r="D4282" t="s">
        <v>79</v>
      </c>
      <c r="E4282">
        <v>20</v>
      </c>
      <c r="F4282" t="s">
        <v>8477</v>
      </c>
      <c r="G4282">
        <v>316</v>
      </c>
      <c r="H4282">
        <v>1</v>
      </c>
      <c r="I4282" t="s">
        <v>81</v>
      </c>
      <c r="J4282">
        <v>0</v>
      </c>
      <c r="K4282">
        <v>1</v>
      </c>
      <c r="L4282">
        <v>2</v>
      </c>
      <c r="M4282">
        <v>246</v>
      </c>
      <c r="N4282">
        <v>446</v>
      </c>
      <c r="O4282">
        <v>3</v>
      </c>
      <c r="P4282">
        <v>446</v>
      </c>
      <c r="Q4282">
        <v>12</v>
      </c>
      <c r="R4282">
        <v>77</v>
      </c>
      <c r="S4282">
        <v>28</v>
      </c>
      <c r="T4282">
        <v>17</v>
      </c>
      <c r="U4282">
        <v>12</v>
      </c>
      <c r="V4282">
        <v>4</v>
      </c>
      <c r="W4282">
        <v>14</v>
      </c>
      <c r="X4282">
        <v>7</v>
      </c>
      <c r="Y4282">
        <v>171</v>
      </c>
      <c r="Z4282">
        <v>3</v>
      </c>
      <c r="AA4282">
        <v>42</v>
      </c>
      <c r="AB4282">
        <v>6</v>
      </c>
      <c r="AC4282" t="s">
        <v>100</v>
      </c>
      <c r="AD4282" t="s">
        <v>100</v>
      </c>
      <c r="AE4282" t="s">
        <v>100</v>
      </c>
      <c r="AF4282" t="s">
        <v>100</v>
      </c>
      <c r="AK4282">
        <v>3</v>
      </c>
      <c r="AL4282" t="s">
        <v>100</v>
      </c>
      <c r="AM4282" t="s">
        <v>100</v>
      </c>
      <c r="AN4282" t="s">
        <v>100</v>
      </c>
      <c r="AQ4282" t="s">
        <v>100</v>
      </c>
      <c r="AT4282" t="s">
        <v>100</v>
      </c>
      <c r="AU4282">
        <v>50</v>
      </c>
      <c r="AV4282">
        <v>446</v>
      </c>
      <c r="AW4282">
        <v>446</v>
      </c>
      <c r="AX4282">
        <v>670</v>
      </c>
      <c r="AZ4282" t="s">
        <v>101</v>
      </c>
      <c r="BA4282">
        <v>1</v>
      </c>
      <c r="BC4282" t="s">
        <v>8672</v>
      </c>
      <c r="BD4282" s="4">
        <v>43283.074999999997</v>
      </c>
      <c r="BE4282" s="4">
        <v>43283.079722222225</v>
      </c>
      <c r="BF4282" s="4">
        <v>43283.079722222225</v>
      </c>
      <c r="BG4282" t="s">
        <v>83</v>
      </c>
      <c r="BH4282" t="s">
        <v>84</v>
      </c>
      <c r="BI4282" t="s">
        <v>85</v>
      </c>
    </row>
    <row r="4283" spans="1:61" x14ac:dyDescent="0.3">
      <c r="A4283" t="str">
        <f>"200316C0100"</f>
        <v>200316C0100</v>
      </c>
      <c r="B4283" t="s">
        <v>8673</v>
      </c>
      <c r="C4283">
        <v>20</v>
      </c>
      <c r="D4283" t="s">
        <v>79</v>
      </c>
      <c r="E4283">
        <v>20</v>
      </c>
      <c r="F4283" t="s">
        <v>8477</v>
      </c>
      <c r="G4283">
        <v>316</v>
      </c>
      <c r="H4283">
        <v>1</v>
      </c>
      <c r="I4283" t="s">
        <v>89</v>
      </c>
      <c r="J4283">
        <v>0</v>
      </c>
      <c r="K4283">
        <v>1</v>
      </c>
      <c r="L4283">
        <v>2</v>
      </c>
      <c r="M4283">
        <v>240</v>
      </c>
      <c r="N4283">
        <v>457</v>
      </c>
      <c r="O4283">
        <v>5</v>
      </c>
      <c r="P4283" t="s">
        <v>100</v>
      </c>
      <c r="Q4283">
        <v>12</v>
      </c>
      <c r="R4283">
        <v>59</v>
      </c>
      <c r="S4283">
        <v>44</v>
      </c>
      <c r="T4283">
        <v>15</v>
      </c>
      <c r="U4283">
        <v>8</v>
      </c>
      <c r="V4283">
        <v>18</v>
      </c>
      <c r="W4283">
        <v>10</v>
      </c>
      <c r="X4283">
        <v>2</v>
      </c>
      <c r="Y4283">
        <v>191</v>
      </c>
      <c r="Z4283">
        <v>3</v>
      </c>
      <c r="AA4283">
        <v>34</v>
      </c>
      <c r="AB4283">
        <v>5</v>
      </c>
      <c r="AC4283" t="s">
        <v>100</v>
      </c>
      <c r="AD4283" t="s">
        <v>100</v>
      </c>
      <c r="AE4283" t="s">
        <v>100</v>
      </c>
      <c r="AF4283" t="s">
        <v>100</v>
      </c>
      <c r="AK4283">
        <v>1</v>
      </c>
      <c r="AL4283" t="s">
        <v>100</v>
      </c>
      <c r="AM4283" t="s">
        <v>100</v>
      </c>
      <c r="AN4283" t="s">
        <v>100</v>
      </c>
      <c r="AQ4283" t="s">
        <v>100</v>
      </c>
      <c r="AT4283" t="s">
        <v>100</v>
      </c>
      <c r="AU4283">
        <v>50</v>
      </c>
      <c r="AV4283">
        <v>452</v>
      </c>
      <c r="AW4283">
        <v>452</v>
      </c>
      <c r="AX4283">
        <v>670</v>
      </c>
      <c r="AZ4283" t="s">
        <v>101</v>
      </c>
      <c r="BA4283">
        <v>1</v>
      </c>
      <c r="BC4283" t="s">
        <v>8674</v>
      </c>
      <c r="BD4283" s="4">
        <v>43283.074305555558</v>
      </c>
      <c r="BE4283" s="4">
        <v>43283.082569444443</v>
      </c>
      <c r="BF4283" s="4">
        <v>43283.082569444443</v>
      </c>
      <c r="BG4283" t="s">
        <v>83</v>
      </c>
      <c r="BH4283" t="s">
        <v>84</v>
      </c>
      <c r="BI4283" t="s">
        <v>85</v>
      </c>
    </row>
    <row r="4284" spans="1:61" x14ac:dyDescent="0.3">
      <c r="A4284" t="str">
        <f>"200317B0100"</f>
        <v>200317B0100</v>
      </c>
      <c r="B4284" t="s">
        <v>8675</v>
      </c>
      <c r="C4284">
        <v>20</v>
      </c>
      <c r="D4284" t="s">
        <v>79</v>
      </c>
      <c r="E4284">
        <v>20</v>
      </c>
      <c r="F4284" t="s">
        <v>8477</v>
      </c>
      <c r="G4284">
        <v>317</v>
      </c>
      <c r="H4284">
        <v>1</v>
      </c>
      <c r="I4284" t="s">
        <v>81</v>
      </c>
      <c r="J4284">
        <v>0</v>
      </c>
      <c r="K4284">
        <v>1</v>
      </c>
      <c r="L4284">
        <v>2</v>
      </c>
      <c r="M4284">
        <v>173</v>
      </c>
      <c r="N4284">
        <v>342</v>
      </c>
      <c r="O4284">
        <v>4</v>
      </c>
      <c r="P4284">
        <v>342</v>
      </c>
      <c r="Q4284">
        <v>13</v>
      </c>
      <c r="R4284">
        <v>94</v>
      </c>
      <c r="S4284">
        <v>29</v>
      </c>
      <c r="T4284">
        <v>10</v>
      </c>
      <c r="U4284">
        <v>12</v>
      </c>
      <c r="V4284">
        <v>10</v>
      </c>
      <c r="W4284">
        <v>9</v>
      </c>
      <c r="X4284">
        <v>11</v>
      </c>
      <c r="Y4284">
        <v>89</v>
      </c>
      <c r="Z4284">
        <v>0</v>
      </c>
      <c r="AA4284">
        <v>21</v>
      </c>
      <c r="AB4284">
        <v>4</v>
      </c>
      <c r="AC4284" t="s">
        <v>100</v>
      </c>
      <c r="AD4284" t="s">
        <v>100</v>
      </c>
      <c r="AE4284" t="s">
        <v>100</v>
      </c>
      <c r="AF4284" t="s">
        <v>100</v>
      </c>
      <c r="AK4284" t="s">
        <v>100</v>
      </c>
      <c r="AL4284">
        <v>1</v>
      </c>
      <c r="AM4284" t="s">
        <v>100</v>
      </c>
      <c r="AN4284" t="s">
        <v>100</v>
      </c>
      <c r="AQ4284">
        <v>1</v>
      </c>
      <c r="AT4284" t="s">
        <v>100</v>
      </c>
      <c r="AU4284" t="s">
        <v>100</v>
      </c>
      <c r="AV4284">
        <v>342</v>
      </c>
      <c r="AW4284">
        <v>304</v>
      </c>
      <c r="AX4284">
        <v>493</v>
      </c>
      <c r="AZ4284" t="s">
        <v>101</v>
      </c>
      <c r="BA4284">
        <v>1</v>
      </c>
      <c r="BC4284" t="s">
        <v>8676</v>
      </c>
      <c r="BD4284" s="4">
        <v>43283.130555555559</v>
      </c>
      <c r="BE4284" s="4">
        <v>43283.138773148145</v>
      </c>
      <c r="BF4284" s="4">
        <v>43283.138773148145</v>
      </c>
      <c r="BG4284" t="s">
        <v>83</v>
      </c>
      <c r="BH4284" t="s">
        <v>84</v>
      </c>
      <c r="BI4284" t="s">
        <v>85</v>
      </c>
    </row>
    <row r="4285" spans="1:61" x14ac:dyDescent="0.3">
      <c r="A4285" t="str">
        <f>"200317C0100"</f>
        <v>200317C0100</v>
      </c>
      <c r="B4285" t="s">
        <v>8677</v>
      </c>
      <c r="C4285">
        <v>20</v>
      </c>
      <c r="D4285" t="s">
        <v>79</v>
      </c>
      <c r="E4285">
        <v>20</v>
      </c>
      <c r="F4285" t="s">
        <v>8477</v>
      </c>
      <c r="G4285">
        <v>317</v>
      </c>
      <c r="H4285">
        <v>1</v>
      </c>
      <c r="I4285" t="s">
        <v>89</v>
      </c>
      <c r="J4285">
        <v>0</v>
      </c>
      <c r="K4285">
        <v>1</v>
      </c>
      <c r="L4285">
        <v>2</v>
      </c>
      <c r="M4285">
        <v>166</v>
      </c>
      <c r="N4285">
        <v>347</v>
      </c>
      <c r="O4285">
        <v>5</v>
      </c>
      <c r="P4285">
        <v>347</v>
      </c>
      <c r="Q4285">
        <v>12</v>
      </c>
      <c r="R4285">
        <v>95</v>
      </c>
      <c r="S4285">
        <v>35</v>
      </c>
      <c r="T4285">
        <v>15</v>
      </c>
      <c r="U4285">
        <v>8</v>
      </c>
      <c r="V4285">
        <v>13</v>
      </c>
      <c r="W4285">
        <v>1</v>
      </c>
      <c r="X4285">
        <v>8</v>
      </c>
      <c r="Y4285">
        <v>100</v>
      </c>
      <c r="Z4285">
        <v>3</v>
      </c>
      <c r="AA4285">
        <v>20</v>
      </c>
      <c r="AB4285">
        <v>3</v>
      </c>
      <c r="AC4285">
        <v>1</v>
      </c>
      <c r="AD4285">
        <v>0</v>
      </c>
      <c r="AE4285">
        <v>0</v>
      </c>
      <c r="AF4285">
        <v>0</v>
      </c>
      <c r="AK4285">
        <v>0</v>
      </c>
      <c r="AL4285">
        <v>0</v>
      </c>
      <c r="AM4285">
        <v>0</v>
      </c>
      <c r="AN4285">
        <v>1</v>
      </c>
      <c r="AQ4285">
        <v>0</v>
      </c>
      <c r="AT4285">
        <v>0</v>
      </c>
      <c r="AU4285">
        <v>33</v>
      </c>
      <c r="AV4285">
        <v>347</v>
      </c>
      <c r="AW4285">
        <v>348</v>
      </c>
      <c r="AX4285">
        <v>492</v>
      </c>
      <c r="BA4285">
        <v>1</v>
      </c>
      <c r="BC4285" t="s">
        <v>8678</v>
      </c>
      <c r="BD4285" s="4">
        <v>43283.131944444445</v>
      </c>
      <c r="BE4285" s="4">
        <v>43283.135925925926</v>
      </c>
      <c r="BF4285" s="4">
        <v>43283.135925925926</v>
      </c>
      <c r="BG4285" t="s">
        <v>83</v>
      </c>
      <c r="BH4285" t="s">
        <v>84</v>
      </c>
      <c r="BI4285" t="s">
        <v>85</v>
      </c>
    </row>
    <row r="4286" spans="1:61" x14ac:dyDescent="0.3">
      <c r="A4286" t="str">
        <f>"200318B0100"</f>
        <v>200318B0100</v>
      </c>
      <c r="B4286" t="s">
        <v>8679</v>
      </c>
      <c r="C4286">
        <v>20</v>
      </c>
      <c r="D4286" t="s">
        <v>79</v>
      </c>
      <c r="E4286">
        <v>20</v>
      </c>
      <c r="F4286" t="s">
        <v>8477</v>
      </c>
      <c r="G4286">
        <v>318</v>
      </c>
      <c r="H4286">
        <v>1</v>
      </c>
      <c r="I4286" t="s">
        <v>81</v>
      </c>
      <c r="J4286">
        <v>0</v>
      </c>
      <c r="K4286">
        <v>1</v>
      </c>
      <c r="L4286">
        <v>2</v>
      </c>
      <c r="M4286">
        <v>254</v>
      </c>
      <c r="N4286">
        <v>380</v>
      </c>
      <c r="O4286">
        <v>5</v>
      </c>
      <c r="P4286">
        <v>378</v>
      </c>
      <c r="Q4286">
        <v>10</v>
      </c>
      <c r="R4286">
        <v>88</v>
      </c>
      <c r="S4286">
        <v>29</v>
      </c>
      <c r="T4286">
        <v>23</v>
      </c>
      <c r="U4286">
        <v>7</v>
      </c>
      <c r="V4286">
        <v>7</v>
      </c>
      <c r="W4286">
        <v>5</v>
      </c>
      <c r="X4286">
        <v>5</v>
      </c>
      <c r="Y4286">
        <v>113</v>
      </c>
      <c r="Z4286">
        <v>2</v>
      </c>
      <c r="AA4286">
        <v>21</v>
      </c>
      <c r="AB4286">
        <v>5</v>
      </c>
      <c r="AC4286">
        <v>0</v>
      </c>
      <c r="AD4286">
        <v>2</v>
      </c>
      <c r="AE4286">
        <v>0</v>
      </c>
      <c r="AF4286">
        <v>0</v>
      </c>
      <c r="AK4286">
        <v>3</v>
      </c>
      <c r="AL4286">
        <v>1</v>
      </c>
      <c r="AM4286">
        <v>1</v>
      </c>
      <c r="AN4286">
        <v>1</v>
      </c>
      <c r="AQ4286">
        <v>0</v>
      </c>
      <c r="AT4286">
        <v>0</v>
      </c>
      <c r="AU4286">
        <v>55</v>
      </c>
      <c r="AV4286" t="s">
        <v>100</v>
      </c>
      <c r="AW4286">
        <v>378</v>
      </c>
      <c r="AX4286">
        <v>613</v>
      </c>
      <c r="BA4286">
        <v>1</v>
      </c>
      <c r="BC4286" t="s">
        <v>8680</v>
      </c>
      <c r="BD4286" s="4">
        <v>43283.131249999999</v>
      </c>
      <c r="BE4286" s="4">
        <v>43283.138159722221</v>
      </c>
      <c r="BF4286" s="4">
        <v>43283.138159722221</v>
      </c>
      <c r="BG4286" t="s">
        <v>83</v>
      </c>
      <c r="BH4286" t="s">
        <v>84</v>
      </c>
      <c r="BI4286" t="s">
        <v>85</v>
      </c>
    </row>
    <row r="4287" spans="1:61" x14ac:dyDescent="0.3">
      <c r="A4287" t="str">
        <f>"200318C0100"</f>
        <v>200318C0100</v>
      </c>
      <c r="B4287" t="s">
        <v>8681</v>
      </c>
      <c r="C4287">
        <v>20</v>
      </c>
      <c r="D4287" t="s">
        <v>79</v>
      </c>
      <c r="E4287">
        <v>20</v>
      </c>
      <c r="F4287" t="s">
        <v>8477</v>
      </c>
      <c r="G4287">
        <v>318</v>
      </c>
      <c r="H4287">
        <v>1</v>
      </c>
      <c r="I4287" t="s">
        <v>89</v>
      </c>
      <c r="J4287">
        <v>0</v>
      </c>
      <c r="K4287">
        <v>1</v>
      </c>
      <c r="L4287">
        <v>2</v>
      </c>
      <c r="M4287" t="s">
        <v>100</v>
      </c>
      <c r="N4287">
        <v>395</v>
      </c>
      <c r="O4287">
        <v>6</v>
      </c>
      <c r="P4287" t="s">
        <v>100</v>
      </c>
      <c r="Q4287">
        <v>5</v>
      </c>
      <c r="R4287">
        <v>97</v>
      </c>
      <c r="S4287">
        <v>30</v>
      </c>
      <c r="T4287">
        <v>19</v>
      </c>
      <c r="U4287">
        <v>9</v>
      </c>
      <c r="V4287">
        <v>12</v>
      </c>
      <c r="W4287">
        <v>4</v>
      </c>
      <c r="X4287">
        <v>7</v>
      </c>
      <c r="Y4287">
        <v>121</v>
      </c>
      <c r="Z4287">
        <v>2</v>
      </c>
      <c r="AA4287">
        <v>18</v>
      </c>
      <c r="AB4287" t="s">
        <v>100</v>
      </c>
      <c r="AC4287">
        <v>0</v>
      </c>
      <c r="AD4287">
        <v>0</v>
      </c>
      <c r="AE4287">
        <v>0</v>
      </c>
      <c r="AF4287">
        <v>0</v>
      </c>
      <c r="AK4287">
        <v>3</v>
      </c>
      <c r="AL4287">
        <v>0</v>
      </c>
      <c r="AM4287">
        <v>0</v>
      </c>
      <c r="AN4287">
        <v>0</v>
      </c>
      <c r="AQ4287">
        <v>0</v>
      </c>
      <c r="AT4287">
        <v>0</v>
      </c>
      <c r="AU4287">
        <v>62</v>
      </c>
      <c r="AV4287">
        <v>395</v>
      </c>
      <c r="AW4287">
        <v>389</v>
      </c>
      <c r="AX4287">
        <v>612</v>
      </c>
      <c r="AZ4287" t="s">
        <v>101</v>
      </c>
      <c r="BA4287">
        <v>1</v>
      </c>
      <c r="BC4287" t="s">
        <v>8682</v>
      </c>
      <c r="BD4287" s="4">
        <v>43283.131944444445</v>
      </c>
      <c r="BE4287" s="4">
        <v>43283.137476851851</v>
      </c>
      <c r="BF4287" s="4">
        <v>43283.137476851851</v>
      </c>
      <c r="BG4287" t="s">
        <v>83</v>
      </c>
      <c r="BH4287" t="s">
        <v>84</v>
      </c>
      <c r="BI4287" t="s">
        <v>85</v>
      </c>
    </row>
    <row r="4288" spans="1:61" x14ac:dyDescent="0.3">
      <c r="A4288" t="str">
        <f>"200319B0100"</f>
        <v>200319B0100</v>
      </c>
      <c r="B4288" t="s">
        <v>8683</v>
      </c>
      <c r="C4288">
        <v>20</v>
      </c>
      <c r="D4288" t="s">
        <v>79</v>
      </c>
      <c r="E4288">
        <v>20</v>
      </c>
      <c r="F4288" t="s">
        <v>8477</v>
      </c>
      <c r="G4288">
        <v>319</v>
      </c>
      <c r="H4288">
        <v>1</v>
      </c>
      <c r="I4288" t="s">
        <v>81</v>
      </c>
      <c r="J4288">
        <v>0</v>
      </c>
      <c r="K4288">
        <v>1</v>
      </c>
      <c r="L4288">
        <v>2</v>
      </c>
      <c r="AX4288">
        <v>720</v>
      </c>
      <c r="AZ4288" t="s">
        <v>156</v>
      </c>
      <c r="BA4288">
        <v>0</v>
      </c>
      <c r="BC4288" t="s">
        <v>8684</v>
      </c>
      <c r="BD4288" s="4">
        <v>43283.554166666669</v>
      </c>
      <c r="BE4288" s="4">
        <v>43283.558541666665</v>
      </c>
      <c r="BF4288" s="4">
        <v>43283.558541666665</v>
      </c>
      <c r="BG4288" t="s">
        <v>83</v>
      </c>
      <c r="BH4288" t="s">
        <v>84</v>
      </c>
      <c r="BI4288" t="s">
        <v>85</v>
      </c>
    </row>
    <row r="4289" spans="1:61" x14ac:dyDescent="0.3">
      <c r="A4289" t="str">
        <f>"200319C0100"</f>
        <v>200319C0100</v>
      </c>
      <c r="B4289" t="s">
        <v>8685</v>
      </c>
      <c r="C4289">
        <v>20</v>
      </c>
      <c r="D4289" t="s">
        <v>79</v>
      </c>
      <c r="E4289">
        <v>20</v>
      </c>
      <c r="F4289" t="s">
        <v>8477</v>
      </c>
      <c r="G4289">
        <v>319</v>
      </c>
      <c r="H4289">
        <v>1</v>
      </c>
      <c r="I4289" t="s">
        <v>89</v>
      </c>
      <c r="J4289">
        <v>0</v>
      </c>
      <c r="K4289">
        <v>1</v>
      </c>
      <c r="L4289">
        <v>2</v>
      </c>
      <c r="M4289" t="s">
        <v>100</v>
      </c>
      <c r="N4289" t="s">
        <v>100</v>
      </c>
      <c r="O4289" t="s">
        <v>100</v>
      </c>
      <c r="P4289" t="s">
        <v>100</v>
      </c>
      <c r="Q4289">
        <v>10</v>
      </c>
      <c r="R4289">
        <v>84</v>
      </c>
      <c r="S4289">
        <v>20</v>
      </c>
      <c r="T4289">
        <v>13</v>
      </c>
      <c r="U4289">
        <v>14</v>
      </c>
      <c r="V4289">
        <v>16</v>
      </c>
      <c r="W4289">
        <v>6</v>
      </c>
      <c r="X4289">
        <v>9</v>
      </c>
      <c r="Y4289">
        <v>207</v>
      </c>
      <c r="Z4289">
        <v>5</v>
      </c>
      <c r="AA4289">
        <v>27</v>
      </c>
      <c r="AB4289">
        <v>8</v>
      </c>
      <c r="AC4289" t="s">
        <v>100</v>
      </c>
      <c r="AD4289" t="s">
        <v>100</v>
      </c>
      <c r="AE4289" t="s">
        <v>100</v>
      </c>
      <c r="AF4289" t="s">
        <v>100</v>
      </c>
      <c r="AK4289">
        <v>1</v>
      </c>
      <c r="AL4289" t="s">
        <v>100</v>
      </c>
      <c r="AM4289" t="s">
        <v>100</v>
      </c>
      <c r="AN4289">
        <v>1</v>
      </c>
      <c r="AQ4289" t="s">
        <v>100</v>
      </c>
      <c r="AT4289" t="s">
        <v>100</v>
      </c>
      <c r="AU4289">
        <v>49</v>
      </c>
      <c r="AV4289">
        <v>470</v>
      </c>
      <c r="AW4289">
        <v>470</v>
      </c>
      <c r="AX4289">
        <v>720</v>
      </c>
      <c r="AZ4289" t="s">
        <v>101</v>
      </c>
      <c r="BA4289">
        <v>1</v>
      </c>
      <c r="BC4289" t="s">
        <v>8686</v>
      </c>
      <c r="BD4289" s="4">
        <v>43283.054861111108</v>
      </c>
      <c r="BE4289" s="4">
        <v>43283.06009259259</v>
      </c>
      <c r="BF4289" s="4">
        <v>43283.06009259259</v>
      </c>
      <c r="BG4289" t="s">
        <v>83</v>
      </c>
      <c r="BH4289" t="s">
        <v>84</v>
      </c>
      <c r="BI4289" t="s">
        <v>85</v>
      </c>
    </row>
    <row r="4290" spans="1:61" x14ac:dyDescent="0.3">
      <c r="A4290" t="str">
        <f>"200319C0200"</f>
        <v>200319C0200</v>
      </c>
      <c r="B4290" t="s">
        <v>8687</v>
      </c>
      <c r="C4290">
        <v>20</v>
      </c>
      <c r="D4290" t="s">
        <v>79</v>
      </c>
      <c r="E4290">
        <v>20</v>
      </c>
      <c r="F4290" t="s">
        <v>8477</v>
      </c>
      <c r="G4290">
        <v>319</v>
      </c>
      <c r="H4290">
        <v>2</v>
      </c>
      <c r="I4290" t="s">
        <v>89</v>
      </c>
      <c r="J4290">
        <v>0</v>
      </c>
      <c r="K4290">
        <v>1</v>
      </c>
      <c r="L4290">
        <v>2</v>
      </c>
      <c r="AX4290">
        <v>720</v>
      </c>
      <c r="AZ4290" t="s">
        <v>156</v>
      </c>
      <c r="BA4290">
        <v>0</v>
      </c>
      <c r="BC4290" t="s">
        <v>8688</v>
      </c>
      <c r="BD4290" s="4">
        <v>43283.554166666669</v>
      </c>
      <c r="BE4290" s="4">
        <v>43283.558078703703</v>
      </c>
      <c r="BF4290" s="4">
        <v>43283.558078703703</v>
      </c>
      <c r="BG4290" t="s">
        <v>83</v>
      </c>
      <c r="BH4290" t="s">
        <v>84</v>
      </c>
      <c r="BI4290" t="s">
        <v>85</v>
      </c>
    </row>
    <row r="4291" spans="1:61" x14ac:dyDescent="0.3">
      <c r="A4291" t="str">
        <f>"200319C0300"</f>
        <v>200319C0300</v>
      </c>
      <c r="B4291" t="s">
        <v>8689</v>
      </c>
      <c r="C4291">
        <v>20</v>
      </c>
      <c r="D4291" t="s">
        <v>79</v>
      </c>
      <c r="E4291">
        <v>20</v>
      </c>
      <c r="F4291" t="s">
        <v>8477</v>
      </c>
      <c r="G4291">
        <v>319</v>
      </c>
      <c r="H4291">
        <v>3</v>
      </c>
      <c r="I4291" t="s">
        <v>89</v>
      </c>
      <c r="J4291">
        <v>0</v>
      </c>
      <c r="K4291">
        <v>1</v>
      </c>
      <c r="L4291">
        <v>2</v>
      </c>
      <c r="M4291">
        <v>279</v>
      </c>
      <c r="N4291">
        <v>399</v>
      </c>
      <c r="O4291">
        <v>14</v>
      </c>
      <c r="P4291">
        <v>467</v>
      </c>
      <c r="Q4291">
        <v>11</v>
      </c>
      <c r="R4291">
        <v>82</v>
      </c>
      <c r="S4291">
        <v>27</v>
      </c>
      <c r="T4291">
        <v>26</v>
      </c>
      <c r="U4291">
        <v>9</v>
      </c>
      <c r="V4291">
        <v>13</v>
      </c>
      <c r="W4291">
        <v>7</v>
      </c>
      <c r="X4291">
        <v>8</v>
      </c>
      <c r="Y4291">
        <v>184</v>
      </c>
      <c r="Z4291">
        <v>1</v>
      </c>
      <c r="AA4291">
        <v>24</v>
      </c>
      <c r="AB4291">
        <v>6</v>
      </c>
      <c r="AC4291" t="s">
        <v>100</v>
      </c>
      <c r="AD4291" t="s">
        <v>100</v>
      </c>
      <c r="AE4291" t="s">
        <v>100</v>
      </c>
      <c r="AF4291" t="s">
        <v>100</v>
      </c>
      <c r="AK4291" t="s">
        <v>100</v>
      </c>
      <c r="AL4291" t="s">
        <v>100</v>
      </c>
      <c r="AM4291" t="s">
        <v>100</v>
      </c>
      <c r="AN4291" t="s">
        <v>100</v>
      </c>
      <c r="AQ4291" t="s">
        <v>100</v>
      </c>
      <c r="AT4291" t="s">
        <v>100</v>
      </c>
      <c r="AU4291" t="s">
        <v>100</v>
      </c>
      <c r="AV4291" t="s">
        <v>100</v>
      </c>
      <c r="AW4291">
        <v>398</v>
      </c>
      <c r="AX4291">
        <v>720</v>
      </c>
      <c r="AZ4291" t="s">
        <v>101</v>
      </c>
      <c r="BA4291">
        <v>1</v>
      </c>
      <c r="BC4291" t="s">
        <v>8690</v>
      </c>
      <c r="BD4291" s="4">
        <v>43283.055555555555</v>
      </c>
      <c r="BE4291" s="4">
        <v>43283.059953703705</v>
      </c>
      <c r="BF4291" s="4">
        <v>43283.059953703705</v>
      </c>
      <c r="BG4291" t="s">
        <v>83</v>
      </c>
      <c r="BH4291" t="s">
        <v>84</v>
      </c>
      <c r="BI4291" t="s">
        <v>85</v>
      </c>
    </row>
    <row r="4292" spans="1:61" x14ac:dyDescent="0.3">
      <c r="A4292" t="str">
        <f>"200319E0100"</f>
        <v>200319E0100</v>
      </c>
      <c r="B4292" s="2" t="s">
        <v>8691</v>
      </c>
      <c r="C4292">
        <v>20</v>
      </c>
      <c r="D4292" t="s">
        <v>79</v>
      </c>
      <c r="E4292">
        <v>20</v>
      </c>
      <c r="F4292" t="s">
        <v>8477</v>
      </c>
      <c r="G4292">
        <v>319</v>
      </c>
      <c r="H4292">
        <v>1</v>
      </c>
      <c r="I4292" t="s">
        <v>145</v>
      </c>
      <c r="J4292">
        <v>0</v>
      </c>
      <c r="K4292">
        <v>2</v>
      </c>
      <c r="L4292">
        <v>2</v>
      </c>
      <c r="M4292">
        <v>91</v>
      </c>
      <c r="N4292">
        <v>227</v>
      </c>
      <c r="O4292">
        <v>1</v>
      </c>
      <c r="P4292">
        <v>227</v>
      </c>
      <c r="Q4292">
        <v>0</v>
      </c>
      <c r="R4292">
        <v>41</v>
      </c>
      <c r="S4292">
        <v>4</v>
      </c>
      <c r="T4292">
        <v>4</v>
      </c>
      <c r="U4292">
        <v>4</v>
      </c>
      <c r="V4292">
        <v>0</v>
      </c>
      <c r="W4292">
        <v>1</v>
      </c>
      <c r="X4292">
        <v>1</v>
      </c>
      <c r="Y4292">
        <v>148</v>
      </c>
      <c r="Z4292">
        <v>1</v>
      </c>
      <c r="AA4292">
        <v>7</v>
      </c>
      <c r="AB4292">
        <v>0</v>
      </c>
      <c r="AC4292">
        <v>0</v>
      </c>
      <c r="AD4292">
        <v>0</v>
      </c>
      <c r="AE4292">
        <v>0</v>
      </c>
      <c r="AF4292">
        <v>0</v>
      </c>
      <c r="AK4292">
        <v>1</v>
      </c>
      <c r="AL4292">
        <v>0</v>
      </c>
      <c r="AM4292">
        <v>0</v>
      </c>
      <c r="AN4292">
        <v>0</v>
      </c>
      <c r="AQ4292">
        <v>0</v>
      </c>
      <c r="AT4292">
        <v>0</v>
      </c>
      <c r="AU4292">
        <v>15</v>
      </c>
      <c r="AV4292">
        <v>227</v>
      </c>
      <c r="AW4292">
        <v>227</v>
      </c>
      <c r="AX4292">
        <v>296</v>
      </c>
      <c r="BA4292">
        <v>1</v>
      </c>
      <c r="BC4292" t="s">
        <v>8692</v>
      </c>
      <c r="BD4292" s="4">
        <v>43283.056250000001</v>
      </c>
      <c r="BE4292" s="4">
        <v>43283.063333333332</v>
      </c>
      <c r="BF4292" s="4">
        <v>43283.063333333332</v>
      </c>
      <c r="BG4292" t="s">
        <v>83</v>
      </c>
      <c r="BH4292" t="s">
        <v>84</v>
      </c>
      <c r="BI4292" t="s">
        <v>85</v>
      </c>
    </row>
    <row r="4293" spans="1:61" x14ac:dyDescent="0.3">
      <c r="A4293" t="str">
        <f>"200320B0100"</f>
        <v>200320B0100</v>
      </c>
      <c r="B4293" t="s">
        <v>8693</v>
      </c>
      <c r="C4293">
        <v>20</v>
      </c>
      <c r="D4293" t="s">
        <v>79</v>
      </c>
      <c r="E4293">
        <v>20</v>
      </c>
      <c r="F4293" t="s">
        <v>8477</v>
      </c>
      <c r="G4293">
        <v>320</v>
      </c>
      <c r="H4293">
        <v>1</v>
      </c>
      <c r="I4293" t="s">
        <v>81</v>
      </c>
      <c r="J4293">
        <v>0</v>
      </c>
      <c r="K4293">
        <v>1</v>
      </c>
      <c r="L4293">
        <v>2</v>
      </c>
      <c r="M4293">
        <v>288</v>
      </c>
      <c r="N4293">
        <v>432</v>
      </c>
      <c r="O4293">
        <v>2</v>
      </c>
      <c r="P4293">
        <v>432</v>
      </c>
      <c r="Q4293">
        <v>9</v>
      </c>
      <c r="R4293">
        <v>101</v>
      </c>
      <c r="S4293">
        <v>34</v>
      </c>
      <c r="T4293">
        <v>17</v>
      </c>
      <c r="U4293">
        <v>18</v>
      </c>
      <c r="V4293">
        <v>13</v>
      </c>
      <c r="W4293">
        <v>9</v>
      </c>
      <c r="X4293">
        <v>2</v>
      </c>
      <c r="Y4293">
        <v>143</v>
      </c>
      <c r="Z4293">
        <v>9</v>
      </c>
      <c r="AA4293">
        <v>36</v>
      </c>
      <c r="AB4293">
        <v>3</v>
      </c>
      <c r="AC4293">
        <v>0</v>
      </c>
      <c r="AD4293">
        <v>0</v>
      </c>
      <c r="AE4293">
        <v>0</v>
      </c>
      <c r="AF4293">
        <v>0</v>
      </c>
      <c r="AK4293">
        <v>0</v>
      </c>
      <c r="AL4293">
        <v>0</v>
      </c>
      <c r="AM4293">
        <v>0</v>
      </c>
      <c r="AN4293">
        <v>0</v>
      </c>
      <c r="AQ4293">
        <v>0</v>
      </c>
      <c r="AT4293">
        <v>0</v>
      </c>
      <c r="AU4293">
        <v>38</v>
      </c>
      <c r="AV4293">
        <v>432</v>
      </c>
      <c r="AW4293">
        <v>432</v>
      </c>
      <c r="AX4293">
        <v>698</v>
      </c>
      <c r="BA4293">
        <v>1</v>
      </c>
      <c r="BC4293" t="s">
        <v>8694</v>
      </c>
      <c r="BD4293" s="4">
        <v>43283.063194444447</v>
      </c>
      <c r="BE4293" s="4">
        <v>43283.068622685183</v>
      </c>
      <c r="BF4293" s="4">
        <v>43283.068622685183</v>
      </c>
      <c r="BG4293" t="s">
        <v>83</v>
      </c>
      <c r="BH4293" t="s">
        <v>84</v>
      </c>
      <c r="BI4293" t="s">
        <v>85</v>
      </c>
    </row>
    <row r="4294" spans="1:61" x14ac:dyDescent="0.3">
      <c r="A4294" t="str">
        <f>"200320C0100"</f>
        <v>200320C0100</v>
      </c>
      <c r="B4294" t="s">
        <v>8695</v>
      </c>
      <c r="C4294">
        <v>20</v>
      </c>
      <c r="D4294" t="s">
        <v>79</v>
      </c>
      <c r="E4294">
        <v>20</v>
      </c>
      <c r="F4294" t="s">
        <v>8477</v>
      </c>
      <c r="G4294">
        <v>320</v>
      </c>
      <c r="H4294">
        <v>1</v>
      </c>
      <c r="I4294" t="s">
        <v>89</v>
      </c>
      <c r="J4294">
        <v>0</v>
      </c>
      <c r="K4294">
        <v>1</v>
      </c>
      <c r="L4294">
        <v>2</v>
      </c>
      <c r="M4294">
        <v>292</v>
      </c>
      <c r="N4294" t="s">
        <v>100</v>
      </c>
      <c r="O4294">
        <v>5</v>
      </c>
      <c r="P4294" t="s">
        <v>100</v>
      </c>
      <c r="Q4294">
        <v>13</v>
      </c>
      <c r="R4294">
        <v>94</v>
      </c>
      <c r="S4294">
        <v>25</v>
      </c>
      <c r="T4294">
        <v>4</v>
      </c>
      <c r="U4294">
        <v>12</v>
      </c>
      <c r="V4294">
        <v>21</v>
      </c>
      <c r="W4294">
        <v>5</v>
      </c>
      <c r="X4294">
        <v>5</v>
      </c>
      <c r="Y4294">
        <v>162</v>
      </c>
      <c r="Z4294">
        <v>5</v>
      </c>
      <c r="AA4294">
        <v>39</v>
      </c>
      <c r="AB4294">
        <v>4</v>
      </c>
      <c r="AC4294" t="s">
        <v>100</v>
      </c>
      <c r="AD4294" t="s">
        <v>100</v>
      </c>
      <c r="AE4294" t="s">
        <v>100</v>
      </c>
      <c r="AF4294" t="s">
        <v>100</v>
      </c>
      <c r="AK4294">
        <v>3</v>
      </c>
      <c r="AL4294" t="s">
        <v>100</v>
      </c>
      <c r="AM4294" t="s">
        <v>100</v>
      </c>
      <c r="AN4294" t="s">
        <v>100</v>
      </c>
      <c r="AQ4294" t="s">
        <v>100</v>
      </c>
      <c r="AT4294" t="s">
        <v>100</v>
      </c>
      <c r="AU4294">
        <v>35</v>
      </c>
      <c r="AV4294">
        <v>429</v>
      </c>
      <c r="AW4294">
        <v>427</v>
      </c>
      <c r="AX4294">
        <v>697</v>
      </c>
      <c r="AZ4294" t="s">
        <v>101</v>
      </c>
      <c r="BA4294">
        <v>1</v>
      </c>
      <c r="BC4294" t="s">
        <v>8696</v>
      </c>
      <c r="BD4294" s="4">
        <v>43283.063888888886</v>
      </c>
      <c r="BE4294" s="4">
        <v>43283.068460648145</v>
      </c>
      <c r="BF4294" s="4">
        <v>43283.068460648145</v>
      </c>
      <c r="BG4294" t="s">
        <v>83</v>
      </c>
      <c r="BH4294" t="s">
        <v>84</v>
      </c>
      <c r="BI4294" t="s">
        <v>85</v>
      </c>
    </row>
    <row r="4295" spans="1:61" x14ac:dyDescent="0.3">
      <c r="A4295" t="str">
        <f>"200321B0100"</f>
        <v>200321B0100</v>
      </c>
      <c r="B4295" t="s">
        <v>8697</v>
      </c>
      <c r="C4295">
        <v>20</v>
      </c>
      <c r="D4295" t="s">
        <v>79</v>
      </c>
      <c r="E4295">
        <v>20</v>
      </c>
      <c r="F4295" t="s">
        <v>8477</v>
      </c>
      <c r="G4295">
        <v>321</v>
      </c>
      <c r="H4295">
        <v>1</v>
      </c>
      <c r="I4295" t="s">
        <v>81</v>
      </c>
      <c r="J4295">
        <v>0</v>
      </c>
      <c r="K4295">
        <v>1</v>
      </c>
      <c r="L4295">
        <v>2</v>
      </c>
      <c r="AX4295">
        <v>603</v>
      </c>
      <c r="AZ4295" t="s">
        <v>156</v>
      </c>
      <c r="BA4295">
        <v>0</v>
      </c>
      <c r="BC4295" t="s">
        <v>8698</v>
      </c>
      <c r="BD4295" s="4">
        <v>43283.554166666669</v>
      </c>
      <c r="BE4295" s="4">
        <v>43283.557395833333</v>
      </c>
      <c r="BF4295" s="4">
        <v>43283.557395833333</v>
      </c>
      <c r="BG4295" t="s">
        <v>83</v>
      </c>
      <c r="BH4295" t="s">
        <v>84</v>
      </c>
      <c r="BI4295" t="s">
        <v>85</v>
      </c>
    </row>
    <row r="4296" spans="1:61" x14ac:dyDescent="0.3">
      <c r="A4296" t="str">
        <f>"200321C0100"</f>
        <v>200321C0100</v>
      </c>
      <c r="B4296" t="s">
        <v>8699</v>
      </c>
      <c r="C4296">
        <v>20</v>
      </c>
      <c r="D4296" t="s">
        <v>79</v>
      </c>
      <c r="E4296">
        <v>20</v>
      </c>
      <c r="F4296" t="s">
        <v>8477</v>
      </c>
      <c r="G4296">
        <v>321</v>
      </c>
      <c r="H4296">
        <v>1</v>
      </c>
      <c r="I4296" t="s">
        <v>89</v>
      </c>
      <c r="J4296">
        <v>0</v>
      </c>
      <c r="K4296">
        <v>1</v>
      </c>
      <c r="L4296">
        <v>2</v>
      </c>
      <c r="M4296" t="s">
        <v>100</v>
      </c>
      <c r="N4296" t="s">
        <v>100</v>
      </c>
      <c r="O4296" t="s">
        <v>100</v>
      </c>
      <c r="P4296" t="s">
        <v>100</v>
      </c>
      <c r="Q4296">
        <v>7</v>
      </c>
      <c r="R4296">
        <v>58</v>
      </c>
      <c r="S4296">
        <v>28</v>
      </c>
      <c r="T4296" t="s">
        <v>315</v>
      </c>
      <c r="U4296">
        <v>16</v>
      </c>
      <c r="V4296">
        <v>3</v>
      </c>
      <c r="W4296">
        <v>8</v>
      </c>
      <c r="X4296">
        <v>5</v>
      </c>
      <c r="Y4296">
        <v>145</v>
      </c>
      <c r="Z4296">
        <v>6</v>
      </c>
      <c r="AA4296">
        <v>21</v>
      </c>
      <c r="AB4296">
        <v>3</v>
      </c>
      <c r="AC4296" t="s">
        <v>100</v>
      </c>
      <c r="AD4296" t="s">
        <v>100</v>
      </c>
      <c r="AE4296" t="s">
        <v>100</v>
      </c>
      <c r="AF4296" t="s">
        <v>100</v>
      </c>
      <c r="AK4296">
        <v>6</v>
      </c>
      <c r="AL4296" t="s">
        <v>100</v>
      </c>
      <c r="AM4296" t="s">
        <v>100</v>
      </c>
      <c r="AN4296" t="s">
        <v>100</v>
      </c>
      <c r="AQ4296" t="s">
        <v>100</v>
      </c>
      <c r="AT4296" t="s">
        <v>100</v>
      </c>
      <c r="AU4296" t="s">
        <v>100</v>
      </c>
      <c r="AV4296">
        <v>350</v>
      </c>
      <c r="AW4296">
        <v>306</v>
      </c>
      <c r="AX4296">
        <v>603</v>
      </c>
      <c r="AZ4296" t="s">
        <v>101</v>
      </c>
      <c r="BA4296">
        <v>1</v>
      </c>
      <c r="BC4296" t="s">
        <v>8700</v>
      </c>
      <c r="BD4296" s="4">
        <v>43283.063888888886</v>
      </c>
      <c r="BE4296" s="4">
        <v>43283.077164351853</v>
      </c>
      <c r="BF4296" s="4">
        <v>43283.077164351853</v>
      </c>
      <c r="BG4296" t="s">
        <v>83</v>
      </c>
      <c r="BH4296" t="s">
        <v>84</v>
      </c>
      <c r="BI4296" t="s">
        <v>85</v>
      </c>
    </row>
    <row r="4297" spans="1:61" x14ac:dyDescent="0.3">
      <c r="A4297" t="str">
        <f>"200321C0200"</f>
        <v>200321C0200</v>
      </c>
      <c r="B4297" t="s">
        <v>8701</v>
      </c>
      <c r="C4297">
        <v>20</v>
      </c>
      <c r="D4297" t="s">
        <v>79</v>
      </c>
      <c r="E4297">
        <v>20</v>
      </c>
      <c r="F4297" t="s">
        <v>8477</v>
      </c>
      <c r="G4297">
        <v>321</v>
      </c>
      <c r="H4297">
        <v>2</v>
      </c>
      <c r="I4297" t="s">
        <v>89</v>
      </c>
      <c r="J4297">
        <v>0</v>
      </c>
      <c r="K4297">
        <v>1</v>
      </c>
      <c r="L4297">
        <v>2</v>
      </c>
      <c r="M4297">
        <v>269</v>
      </c>
      <c r="N4297" t="s">
        <v>100</v>
      </c>
      <c r="O4297" t="s">
        <v>100</v>
      </c>
      <c r="P4297">
        <v>356</v>
      </c>
      <c r="Q4297">
        <v>8</v>
      </c>
      <c r="R4297">
        <v>74</v>
      </c>
      <c r="S4297">
        <v>15</v>
      </c>
      <c r="T4297">
        <v>12</v>
      </c>
      <c r="U4297">
        <v>12</v>
      </c>
      <c r="V4297">
        <v>11</v>
      </c>
      <c r="W4297">
        <v>4</v>
      </c>
      <c r="X4297">
        <v>2</v>
      </c>
      <c r="Y4297">
        <v>149</v>
      </c>
      <c r="Z4297">
        <v>1</v>
      </c>
      <c r="AA4297">
        <v>29</v>
      </c>
      <c r="AB4297">
        <v>2</v>
      </c>
      <c r="AC4297">
        <v>0</v>
      </c>
      <c r="AD4297">
        <v>0</v>
      </c>
      <c r="AE4297">
        <v>0</v>
      </c>
      <c r="AF4297">
        <v>0</v>
      </c>
      <c r="AK4297">
        <v>0</v>
      </c>
      <c r="AL4297">
        <v>0</v>
      </c>
      <c r="AM4297">
        <v>0</v>
      </c>
      <c r="AN4297">
        <v>1</v>
      </c>
      <c r="AQ4297">
        <v>0</v>
      </c>
      <c r="AT4297">
        <v>0</v>
      </c>
      <c r="AU4297">
        <v>36</v>
      </c>
      <c r="AV4297">
        <v>356</v>
      </c>
      <c r="AW4297">
        <v>356</v>
      </c>
      <c r="AX4297">
        <v>603</v>
      </c>
      <c r="BA4297">
        <v>1</v>
      </c>
      <c r="BC4297" t="s">
        <v>8702</v>
      </c>
      <c r="BD4297" s="4">
        <v>43283.0625</v>
      </c>
      <c r="BE4297" s="4">
        <v>43283.068287037036</v>
      </c>
      <c r="BF4297" s="4">
        <v>43283.068287037036</v>
      </c>
      <c r="BG4297" t="s">
        <v>83</v>
      </c>
      <c r="BH4297" t="s">
        <v>84</v>
      </c>
      <c r="BI4297" t="s">
        <v>85</v>
      </c>
    </row>
    <row r="4298" spans="1:61" x14ac:dyDescent="0.3">
      <c r="A4298" t="str">
        <f>"200322B0100"</f>
        <v>200322B0100</v>
      </c>
      <c r="B4298" t="s">
        <v>8703</v>
      </c>
      <c r="C4298">
        <v>20</v>
      </c>
      <c r="D4298" t="s">
        <v>79</v>
      </c>
      <c r="E4298">
        <v>20</v>
      </c>
      <c r="F4298" t="s">
        <v>8477</v>
      </c>
      <c r="G4298">
        <v>322</v>
      </c>
      <c r="H4298">
        <v>1</v>
      </c>
      <c r="I4298" t="s">
        <v>81</v>
      </c>
      <c r="J4298">
        <v>0</v>
      </c>
      <c r="K4298">
        <v>1</v>
      </c>
      <c r="L4298">
        <v>2</v>
      </c>
      <c r="AX4298">
        <v>645</v>
      </c>
      <c r="AZ4298" t="s">
        <v>156</v>
      </c>
      <c r="BA4298">
        <v>0</v>
      </c>
      <c r="BC4298" t="s">
        <v>8704</v>
      </c>
      <c r="BD4298" s="4">
        <v>43283.554166666669</v>
      </c>
      <c r="BE4298" s="4">
        <v>43283.556967592594</v>
      </c>
      <c r="BF4298" s="4">
        <v>43283.556967592594</v>
      </c>
      <c r="BG4298" t="s">
        <v>83</v>
      </c>
      <c r="BH4298" t="s">
        <v>84</v>
      </c>
      <c r="BI4298" t="s">
        <v>85</v>
      </c>
    </row>
    <row r="4299" spans="1:61" x14ac:dyDescent="0.3">
      <c r="A4299" t="str">
        <f>"200322C0100"</f>
        <v>200322C0100</v>
      </c>
      <c r="B4299" t="s">
        <v>8705</v>
      </c>
      <c r="C4299">
        <v>20</v>
      </c>
      <c r="D4299" t="s">
        <v>79</v>
      </c>
      <c r="E4299">
        <v>20</v>
      </c>
      <c r="F4299" t="s">
        <v>8477</v>
      </c>
      <c r="G4299">
        <v>322</v>
      </c>
      <c r="H4299">
        <v>1</v>
      </c>
      <c r="I4299" t="s">
        <v>89</v>
      </c>
      <c r="J4299">
        <v>0</v>
      </c>
      <c r="K4299">
        <v>1</v>
      </c>
      <c r="L4299">
        <v>2</v>
      </c>
      <c r="AX4299">
        <v>644</v>
      </c>
      <c r="AZ4299" t="s">
        <v>156</v>
      </c>
      <c r="BA4299">
        <v>0</v>
      </c>
      <c r="BC4299" t="s">
        <v>8706</v>
      </c>
      <c r="BD4299" s="4">
        <v>43283.554861111108</v>
      </c>
      <c r="BE4299" s="4">
        <v>43283.561157407406</v>
      </c>
      <c r="BF4299" s="4">
        <v>43283.561157407406</v>
      </c>
      <c r="BG4299" t="s">
        <v>83</v>
      </c>
      <c r="BH4299" t="s">
        <v>84</v>
      </c>
      <c r="BI4299" t="s">
        <v>85</v>
      </c>
    </row>
    <row r="4300" spans="1:61" x14ac:dyDescent="0.3">
      <c r="A4300" t="str">
        <f>"200322C0200"</f>
        <v>200322C0200</v>
      </c>
      <c r="B4300" t="s">
        <v>8707</v>
      </c>
      <c r="C4300">
        <v>20</v>
      </c>
      <c r="D4300" t="s">
        <v>79</v>
      </c>
      <c r="E4300">
        <v>20</v>
      </c>
      <c r="F4300" t="s">
        <v>8477</v>
      </c>
      <c r="G4300">
        <v>322</v>
      </c>
      <c r="H4300">
        <v>2</v>
      </c>
      <c r="I4300" t="s">
        <v>89</v>
      </c>
      <c r="J4300">
        <v>0</v>
      </c>
      <c r="K4300">
        <v>1</v>
      </c>
      <c r="L4300">
        <v>2</v>
      </c>
      <c r="AX4300">
        <v>644</v>
      </c>
      <c r="AZ4300" t="s">
        <v>156</v>
      </c>
      <c r="BA4300">
        <v>0</v>
      </c>
      <c r="BC4300" t="s">
        <v>8708</v>
      </c>
      <c r="BD4300" s="4">
        <v>43283.554166666669</v>
      </c>
      <c r="BE4300" s="4">
        <v>43283.56013888889</v>
      </c>
      <c r="BF4300" s="4">
        <v>43283.56013888889</v>
      </c>
      <c r="BG4300" t="s">
        <v>83</v>
      </c>
      <c r="BH4300" t="s">
        <v>84</v>
      </c>
      <c r="BI4300" t="s">
        <v>85</v>
      </c>
    </row>
    <row r="4301" spans="1:61" x14ac:dyDescent="0.3">
      <c r="A4301" t="str">
        <f>"200322C0300"</f>
        <v>200322C0300</v>
      </c>
      <c r="B4301" t="s">
        <v>8709</v>
      </c>
      <c r="C4301">
        <v>20</v>
      </c>
      <c r="D4301" t="s">
        <v>79</v>
      </c>
      <c r="E4301">
        <v>20</v>
      </c>
      <c r="F4301" t="s">
        <v>8477</v>
      </c>
      <c r="G4301">
        <v>322</v>
      </c>
      <c r="H4301">
        <v>3</v>
      </c>
      <c r="I4301" t="s">
        <v>89</v>
      </c>
      <c r="J4301">
        <v>0</v>
      </c>
      <c r="K4301">
        <v>1</v>
      </c>
      <c r="L4301">
        <v>2</v>
      </c>
      <c r="AX4301">
        <v>644</v>
      </c>
      <c r="AZ4301" t="s">
        <v>156</v>
      </c>
      <c r="BA4301">
        <v>0</v>
      </c>
      <c r="BC4301" t="s">
        <v>8710</v>
      </c>
      <c r="BD4301" s="4">
        <v>43283.574305555558</v>
      </c>
      <c r="BE4301" s="4">
        <v>43283.575960648152</v>
      </c>
      <c r="BF4301" s="4">
        <v>43283.575960648152</v>
      </c>
      <c r="BG4301" t="s">
        <v>83</v>
      </c>
      <c r="BH4301" t="s">
        <v>84</v>
      </c>
      <c r="BI4301" t="s">
        <v>85</v>
      </c>
    </row>
    <row r="4302" spans="1:61" x14ac:dyDescent="0.3">
      <c r="A4302" t="str">
        <f>"200323B0100"</f>
        <v>200323B0100</v>
      </c>
      <c r="B4302" t="s">
        <v>8711</v>
      </c>
      <c r="C4302">
        <v>20</v>
      </c>
      <c r="D4302" t="s">
        <v>79</v>
      </c>
      <c r="E4302">
        <v>20</v>
      </c>
      <c r="F4302" t="s">
        <v>8477</v>
      </c>
      <c r="G4302">
        <v>323</v>
      </c>
      <c r="H4302">
        <v>1</v>
      </c>
      <c r="I4302" t="s">
        <v>81</v>
      </c>
      <c r="J4302">
        <v>0</v>
      </c>
      <c r="K4302">
        <v>1</v>
      </c>
      <c r="L4302">
        <v>2</v>
      </c>
      <c r="M4302" t="s">
        <v>315</v>
      </c>
      <c r="N4302" t="s">
        <v>315</v>
      </c>
      <c r="O4302" t="s">
        <v>315</v>
      </c>
      <c r="P4302" t="s">
        <v>315</v>
      </c>
      <c r="Q4302">
        <v>4</v>
      </c>
      <c r="R4302">
        <v>166</v>
      </c>
      <c r="S4302">
        <v>10</v>
      </c>
      <c r="T4302">
        <v>3</v>
      </c>
      <c r="U4302">
        <v>5</v>
      </c>
      <c r="V4302">
        <v>2</v>
      </c>
      <c r="W4302">
        <v>3</v>
      </c>
      <c r="X4302">
        <v>1</v>
      </c>
      <c r="Y4302">
        <v>103</v>
      </c>
      <c r="Z4302">
        <v>0</v>
      </c>
      <c r="AA4302">
        <v>13</v>
      </c>
      <c r="AB4302">
        <v>0</v>
      </c>
      <c r="AC4302">
        <v>0</v>
      </c>
      <c r="AD4302">
        <v>0</v>
      </c>
      <c r="AE4302">
        <v>0</v>
      </c>
      <c r="AF4302">
        <v>0</v>
      </c>
      <c r="AK4302">
        <v>0</v>
      </c>
      <c r="AL4302">
        <v>0</v>
      </c>
      <c r="AM4302">
        <v>0</v>
      </c>
      <c r="AN4302">
        <v>0</v>
      </c>
      <c r="AQ4302">
        <v>0</v>
      </c>
      <c r="AT4302">
        <v>0</v>
      </c>
      <c r="AU4302">
        <v>17</v>
      </c>
      <c r="AV4302">
        <v>327</v>
      </c>
      <c r="AW4302">
        <v>327</v>
      </c>
      <c r="AX4302">
        <v>474</v>
      </c>
      <c r="BA4302">
        <v>1</v>
      </c>
      <c r="BC4302" t="s">
        <v>8712</v>
      </c>
      <c r="BD4302" s="4">
        <v>43283.090277777781</v>
      </c>
      <c r="BE4302" s="4">
        <v>43283.094768518517</v>
      </c>
      <c r="BF4302" s="4">
        <v>43283.094768518517</v>
      </c>
      <c r="BG4302" t="s">
        <v>83</v>
      </c>
      <c r="BH4302" t="s">
        <v>84</v>
      </c>
      <c r="BI4302" t="s">
        <v>85</v>
      </c>
    </row>
    <row r="4303" spans="1:61" x14ac:dyDescent="0.3">
      <c r="A4303" t="str">
        <f>"200323C0100"</f>
        <v>200323C0100</v>
      </c>
      <c r="B4303" t="s">
        <v>8713</v>
      </c>
      <c r="C4303">
        <v>20</v>
      </c>
      <c r="D4303" t="s">
        <v>79</v>
      </c>
      <c r="E4303">
        <v>20</v>
      </c>
      <c r="F4303" t="s">
        <v>8477</v>
      </c>
      <c r="G4303">
        <v>323</v>
      </c>
      <c r="H4303">
        <v>1</v>
      </c>
      <c r="I4303" t="s">
        <v>89</v>
      </c>
      <c r="J4303">
        <v>0</v>
      </c>
      <c r="K4303">
        <v>1</v>
      </c>
      <c r="L4303">
        <v>2</v>
      </c>
      <c r="M4303">
        <v>199</v>
      </c>
      <c r="N4303">
        <v>297</v>
      </c>
      <c r="O4303">
        <v>1</v>
      </c>
      <c r="P4303">
        <v>297</v>
      </c>
      <c r="Q4303">
        <v>4</v>
      </c>
      <c r="R4303">
        <v>120</v>
      </c>
      <c r="S4303">
        <v>7</v>
      </c>
      <c r="T4303">
        <v>4</v>
      </c>
      <c r="U4303">
        <v>4</v>
      </c>
      <c r="V4303">
        <v>3</v>
      </c>
      <c r="W4303">
        <v>2</v>
      </c>
      <c r="X4303">
        <v>3</v>
      </c>
      <c r="Y4303">
        <v>120</v>
      </c>
      <c r="Z4303">
        <v>4</v>
      </c>
      <c r="AA4303">
        <v>7</v>
      </c>
      <c r="AB4303">
        <v>3</v>
      </c>
      <c r="AC4303">
        <v>0</v>
      </c>
      <c r="AD4303">
        <v>0</v>
      </c>
      <c r="AE4303">
        <v>0</v>
      </c>
      <c r="AF4303">
        <v>0</v>
      </c>
      <c r="AK4303">
        <v>0</v>
      </c>
      <c r="AL4303">
        <v>0</v>
      </c>
      <c r="AM4303">
        <v>0</v>
      </c>
      <c r="AN4303">
        <v>0</v>
      </c>
      <c r="AQ4303">
        <v>0</v>
      </c>
      <c r="AT4303">
        <v>0</v>
      </c>
      <c r="AU4303">
        <v>16</v>
      </c>
      <c r="AV4303">
        <v>297</v>
      </c>
      <c r="AW4303">
        <v>297</v>
      </c>
      <c r="AX4303">
        <v>474</v>
      </c>
      <c r="BA4303">
        <v>1</v>
      </c>
      <c r="BC4303" t="s">
        <v>8714</v>
      </c>
      <c r="BD4303" s="4">
        <v>43283.088888888888</v>
      </c>
      <c r="BE4303" s="4">
        <v>43283.093981481485</v>
      </c>
      <c r="BF4303" s="4">
        <v>43283.093981481485</v>
      </c>
      <c r="BG4303" t="s">
        <v>83</v>
      </c>
      <c r="BH4303" t="s">
        <v>84</v>
      </c>
      <c r="BI4303" t="s">
        <v>85</v>
      </c>
    </row>
    <row r="4304" spans="1:61" x14ac:dyDescent="0.3">
      <c r="A4304" t="str">
        <f>"200324B0100"</f>
        <v>200324B0100</v>
      </c>
      <c r="B4304" t="s">
        <v>8715</v>
      </c>
      <c r="C4304">
        <v>20</v>
      </c>
      <c r="D4304" t="s">
        <v>79</v>
      </c>
      <c r="E4304">
        <v>20</v>
      </c>
      <c r="F4304" t="s">
        <v>8477</v>
      </c>
      <c r="G4304">
        <v>324</v>
      </c>
      <c r="H4304">
        <v>1</v>
      </c>
      <c r="I4304" t="s">
        <v>81</v>
      </c>
      <c r="J4304">
        <v>0</v>
      </c>
      <c r="K4304">
        <v>1</v>
      </c>
      <c r="L4304">
        <v>2</v>
      </c>
      <c r="M4304">
        <v>130</v>
      </c>
      <c r="N4304">
        <v>269</v>
      </c>
      <c r="O4304">
        <v>3</v>
      </c>
      <c r="P4304">
        <v>269</v>
      </c>
      <c r="Q4304">
        <v>2</v>
      </c>
      <c r="R4304">
        <v>127</v>
      </c>
      <c r="S4304">
        <v>5</v>
      </c>
      <c r="T4304">
        <v>4</v>
      </c>
      <c r="U4304">
        <v>7</v>
      </c>
      <c r="V4304">
        <v>3</v>
      </c>
      <c r="W4304">
        <v>7</v>
      </c>
      <c r="X4304">
        <v>0</v>
      </c>
      <c r="Y4304">
        <v>97</v>
      </c>
      <c r="Z4304">
        <v>0</v>
      </c>
      <c r="AA4304">
        <v>4</v>
      </c>
      <c r="AB4304">
        <v>1</v>
      </c>
      <c r="AC4304">
        <v>0</v>
      </c>
      <c r="AD4304">
        <v>0</v>
      </c>
      <c r="AE4304">
        <v>0</v>
      </c>
      <c r="AF4304">
        <v>0</v>
      </c>
      <c r="AK4304">
        <v>0</v>
      </c>
      <c r="AL4304">
        <v>0</v>
      </c>
      <c r="AM4304">
        <v>0</v>
      </c>
      <c r="AN4304">
        <v>0</v>
      </c>
      <c r="AQ4304">
        <v>0</v>
      </c>
      <c r="AT4304">
        <v>0</v>
      </c>
      <c r="AU4304">
        <v>12</v>
      </c>
      <c r="AV4304">
        <v>269</v>
      </c>
      <c r="AW4304">
        <v>269</v>
      </c>
      <c r="AX4304">
        <v>377</v>
      </c>
      <c r="BA4304">
        <v>1</v>
      </c>
      <c r="BC4304" t="s">
        <v>8716</v>
      </c>
      <c r="BD4304" s="4">
        <v>43283.089583333334</v>
      </c>
      <c r="BE4304" s="4">
        <v>43283.094490740739</v>
      </c>
      <c r="BF4304" s="4">
        <v>43283.094490740739</v>
      </c>
      <c r="BG4304" t="s">
        <v>83</v>
      </c>
      <c r="BH4304" t="s">
        <v>84</v>
      </c>
      <c r="BI4304" t="s">
        <v>85</v>
      </c>
    </row>
    <row r="4305" spans="1:61" x14ac:dyDescent="0.3">
      <c r="A4305" t="str">
        <f>"200324C0100"</f>
        <v>200324C0100</v>
      </c>
      <c r="B4305" t="s">
        <v>8717</v>
      </c>
      <c r="C4305">
        <v>20</v>
      </c>
      <c r="D4305" t="s">
        <v>79</v>
      </c>
      <c r="E4305">
        <v>20</v>
      </c>
      <c r="F4305" t="s">
        <v>8477</v>
      </c>
      <c r="G4305">
        <v>324</v>
      </c>
      <c r="H4305">
        <v>1</v>
      </c>
      <c r="I4305" t="s">
        <v>89</v>
      </c>
      <c r="J4305">
        <v>0</v>
      </c>
      <c r="K4305">
        <v>1</v>
      </c>
      <c r="L4305">
        <v>2</v>
      </c>
      <c r="M4305">
        <v>157</v>
      </c>
      <c r="N4305">
        <v>243</v>
      </c>
      <c r="O4305">
        <v>1</v>
      </c>
      <c r="P4305" t="s">
        <v>100</v>
      </c>
      <c r="Q4305" t="s">
        <v>100</v>
      </c>
      <c r="R4305">
        <v>124</v>
      </c>
      <c r="S4305">
        <v>10</v>
      </c>
      <c r="T4305">
        <v>4</v>
      </c>
      <c r="U4305">
        <v>0</v>
      </c>
      <c r="V4305">
        <v>0</v>
      </c>
      <c r="W4305">
        <v>2</v>
      </c>
      <c r="X4305">
        <v>0</v>
      </c>
      <c r="Y4305">
        <v>88</v>
      </c>
      <c r="Z4305">
        <v>0</v>
      </c>
      <c r="AA4305">
        <v>0</v>
      </c>
      <c r="AB4305">
        <v>4</v>
      </c>
      <c r="AC4305">
        <v>0</v>
      </c>
      <c r="AD4305">
        <v>0</v>
      </c>
      <c r="AE4305">
        <v>0</v>
      </c>
      <c r="AF4305">
        <v>0</v>
      </c>
      <c r="AK4305">
        <v>0</v>
      </c>
      <c r="AL4305">
        <v>0</v>
      </c>
      <c r="AM4305">
        <v>0</v>
      </c>
      <c r="AN4305">
        <v>0</v>
      </c>
      <c r="AQ4305">
        <v>0</v>
      </c>
      <c r="AT4305">
        <v>0</v>
      </c>
      <c r="AU4305">
        <v>5</v>
      </c>
      <c r="AV4305">
        <v>242</v>
      </c>
      <c r="AW4305">
        <v>237</v>
      </c>
      <c r="AX4305">
        <v>377</v>
      </c>
      <c r="AZ4305" t="s">
        <v>101</v>
      </c>
      <c r="BA4305">
        <v>1</v>
      </c>
      <c r="BC4305" t="s">
        <v>8718</v>
      </c>
      <c r="BD4305" s="4">
        <v>43283.088888888888</v>
      </c>
      <c r="BE4305" s="4">
        <v>43283.093611111108</v>
      </c>
      <c r="BF4305" s="4">
        <v>43283.093611111108</v>
      </c>
      <c r="BG4305" t="s">
        <v>83</v>
      </c>
      <c r="BH4305" t="s">
        <v>84</v>
      </c>
      <c r="BI4305" t="s">
        <v>85</v>
      </c>
    </row>
    <row r="4306" spans="1:61" x14ac:dyDescent="0.3">
      <c r="A4306" t="str">
        <f>"200325B0100"</f>
        <v>200325B0100</v>
      </c>
      <c r="B4306" t="s">
        <v>8719</v>
      </c>
      <c r="C4306">
        <v>20</v>
      </c>
      <c r="D4306" t="s">
        <v>79</v>
      </c>
      <c r="E4306">
        <v>20</v>
      </c>
      <c r="F4306" t="s">
        <v>8477</v>
      </c>
      <c r="G4306">
        <v>325</v>
      </c>
      <c r="H4306">
        <v>1</v>
      </c>
      <c r="I4306" t="s">
        <v>81</v>
      </c>
      <c r="J4306">
        <v>0</v>
      </c>
      <c r="K4306">
        <v>1</v>
      </c>
      <c r="L4306">
        <v>2</v>
      </c>
      <c r="M4306">
        <v>191</v>
      </c>
      <c r="N4306">
        <v>440</v>
      </c>
      <c r="O4306">
        <v>0</v>
      </c>
      <c r="P4306">
        <v>441</v>
      </c>
      <c r="Q4306">
        <v>5</v>
      </c>
      <c r="R4306">
        <v>243</v>
      </c>
      <c r="S4306">
        <v>5</v>
      </c>
      <c r="T4306">
        <v>5</v>
      </c>
      <c r="U4306">
        <v>16</v>
      </c>
      <c r="V4306">
        <v>3</v>
      </c>
      <c r="W4306">
        <v>0</v>
      </c>
      <c r="X4306">
        <v>8</v>
      </c>
      <c r="Y4306">
        <v>96</v>
      </c>
      <c r="Z4306">
        <v>6</v>
      </c>
      <c r="AA4306">
        <v>4</v>
      </c>
      <c r="AB4306">
        <v>5</v>
      </c>
      <c r="AC4306">
        <v>0</v>
      </c>
      <c r="AD4306">
        <v>0</v>
      </c>
      <c r="AE4306">
        <v>0</v>
      </c>
      <c r="AF4306">
        <v>0</v>
      </c>
      <c r="AK4306">
        <v>0</v>
      </c>
      <c r="AL4306">
        <v>0</v>
      </c>
      <c r="AM4306">
        <v>1</v>
      </c>
      <c r="AN4306">
        <v>0</v>
      </c>
      <c r="AQ4306">
        <v>0</v>
      </c>
      <c r="AT4306" t="s">
        <v>100</v>
      </c>
      <c r="AU4306">
        <v>44</v>
      </c>
      <c r="AV4306">
        <v>441</v>
      </c>
      <c r="AW4306">
        <v>441</v>
      </c>
      <c r="AX4306">
        <v>610</v>
      </c>
      <c r="AZ4306" t="s">
        <v>101</v>
      </c>
      <c r="BA4306">
        <v>1</v>
      </c>
      <c r="BC4306" t="s">
        <v>8720</v>
      </c>
      <c r="BD4306" s="4">
        <v>43283.152777777781</v>
      </c>
      <c r="BE4306" s="4">
        <v>43283.1641087963</v>
      </c>
      <c r="BF4306" s="4">
        <v>43283.1641087963</v>
      </c>
      <c r="BG4306" t="s">
        <v>83</v>
      </c>
      <c r="BH4306" t="s">
        <v>84</v>
      </c>
      <c r="BI4306" t="s">
        <v>85</v>
      </c>
    </row>
    <row r="4307" spans="1:61" x14ac:dyDescent="0.3">
      <c r="A4307" t="str">
        <f>"200325C0100"</f>
        <v>200325C0100</v>
      </c>
      <c r="B4307" t="s">
        <v>8721</v>
      </c>
      <c r="C4307">
        <v>20</v>
      </c>
      <c r="D4307" t="s">
        <v>79</v>
      </c>
      <c r="E4307">
        <v>20</v>
      </c>
      <c r="F4307" t="s">
        <v>8477</v>
      </c>
      <c r="G4307">
        <v>325</v>
      </c>
      <c r="H4307">
        <v>1</v>
      </c>
      <c r="I4307" t="s">
        <v>89</v>
      </c>
      <c r="J4307">
        <v>0</v>
      </c>
      <c r="K4307">
        <v>1</v>
      </c>
      <c r="L4307">
        <v>2</v>
      </c>
      <c r="M4307">
        <v>196</v>
      </c>
      <c r="N4307">
        <v>436</v>
      </c>
      <c r="O4307">
        <v>3</v>
      </c>
      <c r="P4307">
        <v>436</v>
      </c>
      <c r="Q4307">
        <v>3</v>
      </c>
      <c r="R4307">
        <v>232</v>
      </c>
      <c r="S4307">
        <v>9</v>
      </c>
      <c r="T4307">
        <v>5</v>
      </c>
      <c r="U4307">
        <v>4</v>
      </c>
      <c r="V4307">
        <v>5</v>
      </c>
      <c r="W4307">
        <v>1</v>
      </c>
      <c r="X4307">
        <v>8</v>
      </c>
      <c r="Y4307">
        <v>98</v>
      </c>
      <c r="Z4307">
        <v>1</v>
      </c>
      <c r="AA4307">
        <v>13</v>
      </c>
      <c r="AB4307">
        <v>6</v>
      </c>
      <c r="AC4307">
        <v>0</v>
      </c>
      <c r="AD4307">
        <v>0</v>
      </c>
      <c r="AE4307">
        <v>0</v>
      </c>
      <c r="AF4307">
        <v>0</v>
      </c>
      <c r="AK4307">
        <v>0</v>
      </c>
      <c r="AL4307">
        <v>1</v>
      </c>
      <c r="AM4307">
        <v>0</v>
      </c>
      <c r="AN4307">
        <v>3</v>
      </c>
      <c r="AQ4307">
        <v>0</v>
      </c>
      <c r="AT4307">
        <v>0</v>
      </c>
      <c r="AU4307">
        <v>47</v>
      </c>
      <c r="AV4307">
        <v>436</v>
      </c>
      <c r="AW4307">
        <v>436</v>
      </c>
      <c r="AX4307">
        <v>610</v>
      </c>
      <c r="BA4307">
        <v>1</v>
      </c>
      <c r="BC4307" t="s">
        <v>8722</v>
      </c>
      <c r="BD4307" s="4">
        <v>43282.958599537036</v>
      </c>
      <c r="BE4307" s="4">
        <v>43282.966319444444</v>
      </c>
      <c r="BF4307" s="4">
        <v>43282.966319444444</v>
      </c>
      <c r="BG4307" t="s">
        <v>373</v>
      </c>
      <c r="BH4307" t="s">
        <v>374</v>
      </c>
      <c r="BI4307" t="s">
        <v>85</v>
      </c>
    </row>
    <row r="4308" spans="1:61" x14ac:dyDescent="0.3">
      <c r="A4308" t="str">
        <f>"200325C0200"</f>
        <v>200325C0200</v>
      </c>
      <c r="B4308" t="s">
        <v>8723</v>
      </c>
      <c r="C4308">
        <v>20</v>
      </c>
      <c r="D4308" t="s">
        <v>79</v>
      </c>
      <c r="E4308">
        <v>20</v>
      </c>
      <c r="F4308" t="s">
        <v>8477</v>
      </c>
      <c r="G4308">
        <v>325</v>
      </c>
      <c r="H4308">
        <v>2</v>
      </c>
      <c r="I4308" t="s">
        <v>89</v>
      </c>
      <c r="J4308">
        <v>0</v>
      </c>
      <c r="K4308">
        <v>1</v>
      </c>
      <c r="L4308">
        <v>2</v>
      </c>
      <c r="M4308">
        <v>198</v>
      </c>
      <c r="N4308">
        <v>433</v>
      </c>
      <c r="O4308">
        <v>1</v>
      </c>
      <c r="P4308">
        <v>433</v>
      </c>
      <c r="Q4308">
        <v>6</v>
      </c>
      <c r="R4308">
        <v>227</v>
      </c>
      <c r="S4308">
        <v>7</v>
      </c>
      <c r="T4308">
        <v>7</v>
      </c>
      <c r="U4308">
        <v>6</v>
      </c>
      <c r="V4308">
        <v>6</v>
      </c>
      <c r="W4308">
        <v>0</v>
      </c>
      <c r="X4308">
        <v>4</v>
      </c>
      <c r="Y4308">
        <v>105</v>
      </c>
      <c r="Z4308">
        <v>5</v>
      </c>
      <c r="AA4308">
        <v>3</v>
      </c>
      <c r="AB4308">
        <v>4</v>
      </c>
      <c r="AC4308">
        <v>0</v>
      </c>
      <c r="AD4308">
        <v>0</v>
      </c>
      <c r="AE4308">
        <v>0</v>
      </c>
      <c r="AF4308">
        <v>0</v>
      </c>
      <c r="AK4308">
        <v>3</v>
      </c>
      <c r="AL4308">
        <v>0</v>
      </c>
      <c r="AM4308">
        <v>0</v>
      </c>
      <c r="AN4308">
        <v>0</v>
      </c>
      <c r="AQ4308">
        <v>0</v>
      </c>
      <c r="AT4308" t="s">
        <v>100</v>
      </c>
      <c r="AU4308">
        <v>50</v>
      </c>
      <c r="AV4308">
        <v>433</v>
      </c>
      <c r="AW4308">
        <v>433</v>
      </c>
      <c r="AX4308">
        <v>609</v>
      </c>
      <c r="AZ4308" t="s">
        <v>101</v>
      </c>
      <c r="BA4308">
        <v>1</v>
      </c>
      <c r="BC4308" t="s">
        <v>8724</v>
      </c>
      <c r="BD4308" s="4">
        <v>43282.955520833333</v>
      </c>
      <c r="BE4308" s="4">
        <v>43282.963217592594</v>
      </c>
      <c r="BF4308" s="4">
        <v>43282.963217592594</v>
      </c>
      <c r="BG4308" t="s">
        <v>373</v>
      </c>
      <c r="BH4308" t="s">
        <v>374</v>
      </c>
      <c r="BI4308" t="s">
        <v>85</v>
      </c>
    </row>
    <row r="4309" spans="1:61" x14ac:dyDescent="0.3">
      <c r="A4309" t="str">
        <f>"200326B0100"</f>
        <v>200326B0100</v>
      </c>
      <c r="B4309" t="s">
        <v>8725</v>
      </c>
      <c r="C4309">
        <v>20</v>
      </c>
      <c r="D4309" t="s">
        <v>79</v>
      </c>
      <c r="E4309">
        <v>20</v>
      </c>
      <c r="F4309" t="s">
        <v>8477</v>
      </c>
      <c r="G4309">
        <v>326</v>
      </c>
      <c r="H4309">
        <v>1</v>
      </c>
      <c r="I4309" t="s">
        <v>81</v>
      </c>
      <c r="J4309">
        <v>0</v>
      </c>
      <c r="K4309">
        <v>1</v>
      </c>
      <c r="L4309">
        <v>2</v>
      </c>
      <c r="M4309">
        <v>266</v>
      </c>
      <c r="N4309">
        <v>728</v>
      </c>
      <c r="O4309">
        <v>4</v>
      </c>
      <c r="P4309">
        <v>472</v>
      </c>
      <c r="Q4309">
        <v>9</v>
      </c>
      <c r="R4309">
        <v>238</v>
      </c>
      <c r="S4309">
        <v>10</v>
      </c>
      <c r="T4309">
        <v>13</v>
      </c>
      <c r="U4309">
        <v>9</v>
      </c>
      <c r="V4309">
        <v>2</v>
      </c>
      <c r="W4309">
        <v>5</v>
      </c>
      <c r="X4309">
        <v>9</v>
      </c>
      <c r="Y4309">
        <v>111</v>
      </c>
      <c r="Z4309">
        <v>8</v>
      </c>
      <c r="AA4309">
        <v>12</v>
      </c>
      <c r="AB4309">
        <v>6</v>
      </c>
      <c r="AC4309">
        <v>0</v>
      </c>
      <c r="AD4309">
        <v>0</v>
      </c>
      <c r="AE4309">
        <v>0</v>
      </c>
      <c r="AF4309">
        <v>0</v>
      </c>
      <c r="AK4309">
        <v>1</v>
      </c>
      <c r="AL4309">
        <v>2</v>
      </c>
      <c r="AM4309">
        <v>0</v>
      </c>
      <c r="AN4309">
        <v>0</v>
      </c>
      <c r="AQ4309">
        <v>2</v>
      </c>
      <c r="AT4309">
        <v>0</v>
      </c>
      <c r="AU4309">
        <v>35</v>
      </c>
      <c r="AV4309">
        <v>472</v>
      </c>
      <c r="AW4309">
        <v>472</v>
      </c>
      <c r="AX4309">
        <v>712</v>
      </c>
      <c r="BA4309">
        <v>1</v>
      </c>
      <c r="BC4309" t="s">
        <v>8726</v>
      </c>
      <c r="BD4309" s="4">
        <v>43283.152083333334</v>
      </c>
      <c r="BE4309" s="4">
        <v>43283.162719907406</v>
      </c>
      <c r="BF4309" s="4">
        <v>43283.162719907406</v>
      </c>
      <c r="BG4309" t="s">
        <v>83</v>
      </c>
      <c r="BH4309" t="s">
        <v>84</v>
      </c>
      <c r="BI4309" t="s">
        <v>85</v>
      </c>
    </row>
    <row r="4310" spans="1:61" x14ac:dyDescent="0.3">
      <c r="A4310" t="str">
        <f>"200326C0100"</f>
        <v>200326C0100</v>
      </c>
      <c r="B4310" t="s">
        <v>8727</v>
      </c>
      <c r="C4310">
        <v>20</v>
      </c>
      <c r="D4310" t="s">
        <v>79</v>
      </c>
      <c r="E4310">
        <v>20</v>
      </c>
      <c r="F4310" t="s">
        <v>8477</v>
      </c>
      <c r="G4310">
        <v>326</v>
      </c>
      <c r="H4310">
        <v>1</v>
      </c>
      <c r="I4310" t="s">
        <v>89</v>
      </c>
      <c r="J4310">
        <v>0</v>
      </c>
      <c r="K4310">
        <v>1</v>
      </c>
      <c r="L4310">
        <v>2</v>
      </c>
      <c r="AX4310">
        <v>711</v>
      </c>
      <c r="AZ4310" t="s">
        <v>156</v>
      </c>
      <c r="BA4310">
        <v>0</v>
      </c>
      <c r="BC4310" t="s">
        <v>8728</v>
      </c>
      <c r="BD4310" s="4">
        <v>43283.604166666664</v>
      </c>
      <c r="BE4310" s="4">
        <v>43283.608229166668</v>
      </c>
      <c r="BF4310" s="4">
        <v>43283.608229166668</v>
      </c>
      <c r="BG4310" t="s">
        <v>83</v>
      </c>
      <c r="BH4310" t="s">
        <v>84</v>
      </c>
      <c r="BI4310" t="s">
        <v>85</v>
      </c>
    </row>
    <row r="4311" spans="1:61" x14ac:dyDescent="0.3">
      <c r="A4311" t="str">
        <f>"200326C0200"</f>
        <v>200326C0200</v>
      </c>
      <c r="B4311" t="s">
        <v>8729</v>
      </c>
      <c r="C4311">
        <v>20</v>
      </c>
      <c r="D4311" t="s">
        <v>79</v>
      </c>
      <c r="E4311">
        <v>20</v>
      </c>
      <c r="F4311" t="s">
        <v>8477</v>
      </c>
      <c r="G4311">
        <v>326</v>
      </c>
      <c r="H4311">
        <v>2</v>
      </c>
      <c r="I4311" t="s">
        <v>89</v>
      </c>
      <c r="J4311">
        <v>0</v>
      </c>
      <c r="K4311">
        <v>1</v>
      </c>
      <c r="L4311">
        <v>2</v>
      </c>
      <c r="M4311">
        <v>234</v>
      </c>
      <c r="N4311">
        <v>498</v>
      </c>
      <c r="O4311">
        <v>1</v>
      </c>
      <c r="P4311">
        <v>488</v>
      </c>
      <c r="Q4311">
        <v>2</v>
      </c>
      <c r="R4311">
        <v>256</v>
      </c>
      <c r="S4311">
        <v>15</v>
      </c>
      <c r="T4311">
        <v>7</v>
      </c>
      <c r="U4311">
        <v>14</v>
      </c>
      <c r="V4311">
        <v>3</v>
      </c>
      <c r="W4311">
        <v>2</v>
      </c>
      <c r="X4311">
        <v>5</v>
      </c>
      <c r="Y4311">
        <v>124</v>
      </c>
      <c r="Z4311">
        <v>4</v>
      </c>
      <c r="AA4311">
        <v>6</v>
      </c>
      <c r="AB4311">
        <v>5</v>
      </c>
      <c r="AC4311">
        <v>0</v>
      </c>
      <c r="AD4311">
        <v>0</v>
      </c>
      <c r="AE4311">
        <v>0</v>
      </c>
      <c r="AF4311">
        <v>0</v>
      </c>
      <c r="AK4311">
        <v>0</v>
      </c>
      <c r="AL4311">
        <v>0</v>
      </c>
      <c r="AM4311">
        <v>0</v>
      </c>
      <c r="AN4311">
        <v>0</v>
      </c>
      <c r="AQ4311">
        <v>1</v>
      </c>
      <c r="AT4311">
        <v>0</v>
      </c>
      <c r="AU4311">
        <v>44</v>
      </c>
      <c r="AV4311">
        <v>484</v>
      </c>
      <c r="AW4311">
        <v>488</v>
      </c>
      <c r="AX4311">
        <v>711</v>
      </c>
      <c r="BA4311">
        <v>1</v>
      </c>
      <c r="BC4311" t="s">
        <v>8730</v>
      </c>
      <c r="BD4311" s="4">
        <v>43283.09615740741</v>
      </c>
      <c r="BE4311" s="4">
        <v>43283.102048611108</v>
      </c>
      <c r="BF4311" s="4">
        <v>43283.102048611108</v>
      </c>
      <c r="BG4311" t="s">
        <v>373</v>
      </c>
      <c r="BH4311" t="s">
        <v>374</v>
      </c>
      <c r="BI4311" t="s">
        <v>85</v>
      </c>
    </row>
    <row r="4312" spans="1:61" x14ac:dyDescent="0.3">
      <c r="A4312" t="str">
        <f>"200327B0100"</f>
        <v>200327B0100</v>
      </c>
      <c r="B4312" t="s">
        <v>8731</v>
      </c>
      <c r="C4312">
        <v>20</v>
      </c>
      <c r="D4312" t="s">
        <v>79</v>
      </c>
      <c r="E4312">
        <v>20</v>
      </c>
      <c r="F4312" t="s">
        <v>8477</v>
      </c>
      <c r="G4312">
        <v>327</v>
      </c>
      <c r="H4312">
        <v>1</v>
      </c>
      <c r="I4312" t="s">
        <v>81</v>
      </c>
      <c r="J4312">
        <v>0</v>
      </c>
      <c r="K4312">
        <v>1</v>
      </c>
      <c r="L4312">
        <v>2</v>
      </c>
      <c r="M4312">
        <v>171</v>
      </c>
      <c r="N4312">
        <v>284</v>
      </c>
      <c r="O4312">
        <v>1</v>
      </c>
      <c r="P4312">
        <v>284</v>
      </c>
      <c r="Q4312">
        <v>2</v>
      </c>
      <c r="R4312">
        <v>71</v>
      </c>
      <c r="S4312">
        <v>15</v>
      </c>
      <c r="T4312">
        <v>12</v>
      </c>
      <c r="U4312">
        <v>6</v>
      </c>
      <c r="V4312">
        <v>6</v>
      </c>
      <c r="W4312">
        <v>6</v>
      </c>
      <c r="X4312">
        <v>2</v>
      </c>
      <c r="Y4312">
        <v>131</v>
      </c>
      <c r="Z4312">
        <v>4</v>
      </c>
      <c r="AA4312">
        <v>9</v>
      </c>
      <c r="AB4312">
        <v>2</v>
      </c>
      <c r="AC4312">
        <v>0</v>
      </c>
      <c r="AD4312">
        <v>0</v>
      </c>
      <c r="AE4312">
        <v>0</v>
      </c>
      <c r="AF4312">
        <v>0</v>
      </c>
      <c r="AK4312">
        <v>0</v>
      </c>
      <c r="AL4312">
        <v>1</v>
      </c>
      <c r="AM4312">
        <v>0</v>
      </c>
      <c r="AN4312">
        <v>0</v>
      </c>
      <c r="AQ4312">
        <v>0</v>
      </c>
      <c r="AT4312">
        <v>2</v>
      </c>
      <c r="AU4312">
        <v>15</v>
      </c>
      <c r="AV4312">
        <v>284</v>
      </c>
      <c r="AW4312">
        <v>284</v>
      </c>
      <c r="AX4312">
        <v>433</v>
      </c>
      <c r="BA4312">
        <v>1</v>
      </c>
      <c r="BC4312" t="s">
        <v>8732</v>
      </c>
      <c r="BD4312" s="4">
        <v>43283.133333333331</v>
      </c>
      <c r="BE4312" s="4">
        <v>43283.138819444444</v>
      </c>
      <c r="BF4312" s="4">
        <v>43283.138819444444</v>
      </c>
      <c r="BG4312" t="s">
        <v>83</v>
      </c>
      <c r="BH4312" t="s">
        <v>84</v>
      </c>
      <c r="BI4312" t="s">
        <v>85</v>
      </c>
    </row>
    <row r="4313" spans="1:61" x14ac:dyDescent="0.3">
      <c r="A4313" t="str">
        <f>"200327C0100"</f>
        <v>200327C0100</v>
      </c>
      <c r="B4313" t="s">
        <v>8733</v>
      </c>
      <c r="C4313">
        <v>20</v>
      </c>
      <c r="D4313" t="s">
        <v>79</v>
      </c>
      <c r="E4313">
        <v>20</v>
      </c>
      <c r="F4313" t="s">
        <v>8477</v>
      </c>
      <c r="G4313">
        <v>327</v>
      </c>
      <c r="H4313">
        <v>1</v>
      </c>
      <c r="I4313" t="s">
        <v>89</v>
      </c>
      <c r="J4313">
        <v>0</v>
      </c>
      <c r="K4313">
        <v>1</v>
      </c>
      <c r="L4313">
        <v>2</v>
      </c>
      <c r="M4313">
        <v>163</v>
      </c>
      <c r="N4313">
        <v>291</v>
      </c>
      <c r="O4313">
        <v>0</v>
      </c>
      <c r="P4313">
        <v>163</v>
      </c>
      <c r="Q4313">
        <v>6</v>
      </c>
      <c r="R4313">
        <v>54</v>
      </c>
      <c r="S4313">
        <v>16</v>
      </c>
      <c r="T4313">
        <v>9</v>
      </c>
      <c r="U4313">
        <v>5</v>
      </c>
      <c r="V4313">
        <v>5</v>
      </c>
      <c r="W4313">
        <v>0</v>
      </c>
      <c r="X4313">
        <v>4</v>
      </c>
      <c r="Y4313">
        <v>151</v>
      </c>
      <c r="Z4313">
        <v>2</v>
      </c>
      <c r="AA4313">
        <v>7</v>
      </c>
      <c r="AB4313" t="s">
        <v>100</v>
      </c>
      <c r="AC4313" t="s">
        <v>100</v>
      </c>
      <c r="AD4313" t="s">
        <v>100</v>
      </c>
      <c r="AE4313" t="s">
        <v>100</v>
      </c>
      <c r="AF4313" t="s">
        <v>100</v>
      </c>
      <c r="AK4313" t="s">
        <v>100</v>
      </c>
      <c r="AL4313">
        <v>1</v>
      </c>
      <c r="AM4313" t="s">
        <v>100</v>
      </c>
      <c r="AN4313" t="s">
        <v>100</v>
      </c>
      <c r="AQ4313" t="s">
        <v>100</v>
      </c>
      <c r="AT4313" t="s">
        <v>100</v>
      </c>
      <c r="AU4313" t="s">
        <v>100</v>
      </c>
      <c r="AV4313">
        <v>291</v>
      </c>
      <c r="AW4313">
        <v>260</v>
      </c>
      <c r="AX4313">
        <v>432</v>
      </c>
      <c r="AZ4313" t="s">
        <v>101</v>
      </c>
      <c r="BA4313">
        <v>1</v>
      </c>
      <c r="BC4313" t="s">
        <v>8734</v>
      </c>
      <c r="BD4313" s="4">
        <v>43283.138888888891</v>
      </c>
      <c r="BE4313" s="4">
        <v>43283.146412037036</v>
      </c>
      <c r="BF4313" s="4">
        <v>43283.146412037036</v>
      </c>
      <c r="BG4313" t="s">
        <v>83</v>
      </c>
      <c r="BH4313" t="s">
        <v>84</v>
      </c>
      <c r="BI4313" t="s">
        <v>85</v>
      </c>
    </row>
    <row r="4314" spans="1:61" x14ac:dyDescent="0.3">
      <c r="A4314" t="str">
        <f>"200328B0100"</f>
        <v>200328B0100</v>
      </c>
      <c r="B4314" t="s">
        <v>8735</v>
      </c>
      <c r="C4314">
        <v>20</v>
      </c>
      <c r="D4314" t="s">
        <v>79</v>
      </c>
      <c r="E4314">
        <v>20</v>
      </c>
      <c r="F4314" t="s">
        <v>8477</v>
      </c>
      <c r="G4314">
        <v>328</v>
      </c>
      <c r="H4314">
        <v>1</v>
      </c>
      <c r="I4314" t="s">
        <v>81</v>
      </c>
      <c r="J4314">
        <v>0</v>
      </c>
      <c r="K4314">
        <v>1</v>
      </c>
      <c r="L4314">
        <v>2</v>
      </c>
      <c r="M4314">
        <v>171</v>
      </c>
      <c r="N4314">
        <v>289</v>
      </c>
      <c r="O4314">
        <v>0</v>
      </c>
      <c r="P4314">
        <v>285</v>
      </c>
      <c r="Q4314">
        <v>4</v>
      </c>
      <c r="R4314">
        <v>102</v>
      </c>
      <c r="S4314">
        <v>14</v>
      </c>
      <c r="T4314">
        <v>17</v>
      </c>
      <c r="U4314">
        <v>9</v>
      </c>
      <c r="V4314">
        <v>2</v>
      </c>
      <c r="W4314">
        <v>1</v>
      </c>
      <c r="X4314">
        <v>8</v>
      </c>
      <c r="Y4314">
        <v>82</v>
      </c>
      <c r="Z4314">
        <v>4</v>
      </c>
      <c r="AA4314">
        <v>14</v>
      </c>
      <c r="AB4314">
        <v>1</v>
      </c>
      <c r="AC4314">
        <v>0</v>
      </c>
      <c r="AD4314">
        <v>0</v>
      </c>
      <c r="AE4314">
        <v>0</v>
      </c>
      <c r="AF4314">
        <v>0</v>
      </c>
      <c r="AK4314">
        <v>0</v>
      </c>
      <c r="AL4314">
        <v>0</v>
      </c>
      <c r="AM4314">
        <v>0</v>
      </c>
      <c r="AN4314">
        <v>2</v>
      </c>
      <c r="AQ4314">
        <v>0</v>
      </c>
      <c r="AT4314">
        <v>0</v>
      </c>
      <c r="AU4314">
        <v>27</v>
      </c>
      <c r="AV4314">
        <v>287</v>
      </c>
      <c r="AW4314">
        <v>287</v>
      </c>
      <c r="AX4314">
        <v>439</v>
      </c>
      <c r="BA4314">
        <v>1</v>
      </c>
      <c r="BC4314" t="s">
        <v>8736</v>
      </c>
      <c r="BD4314" s="4">
        <v>43283.140972222223</v>
      </c>
      <c r="BE4314" s="4">
        <v>43283.164733796293</v>
      </c>
      <c r="BF4314" s="4">
        <v>43283.164733796293</v>
      </c>
      <c r="BG4314" t="s">
        <v>83</v>
      </c>
      <c r="BH4314" t="s">
        <v>84</v>
      </c>
      <c r="BI4314" t="s">
        <v>85</v>
      </c>
    </row>
    <row r="4315" spans="1:61" x14ac:dyDescent="0.3">
      <c r="A4315" t="str">
        <f>"200328C0100"</f>
        <v>200328C0100</v>
      </c>
      <c r="B4315" t="s">
        <v>8737</v>
      </c>
      <c r="C4315">
        <v>20</v>
      </c>
      <c r="D4315" t="s">
        <v>79</v>
      </c>
      <c r="E4315">
        <v>20</v>
      </c>
      <c r="F4315" t="s">
        <v>8477</v>
      </c>
      <c r="G4315">
        <v>328</v>
      </c>
      <c r="H4315">
        <v>1</v>
      </c>
      <c r="I4315" t="s">
        <v>89</v>
      </c>
      <c r="J4315">
        <v>0</v>
      </c>
      <c r="K4315">
        <v>1</v>
      </c>
      <c r="L4315">
        <v>2</v>
      </c>
      <c r="M4315">
        <v>173</v>
      </c>
      <c r="N4315">
        <v>287</v>
      </c>
      <c r="O4315">
        <v>1</v>
      </c>
      <c r="P4315" t="s">
        <v>100</v>
      </c>
      <c r="Q4315">
        <v>5</v>
      </c>
      <c r="R4315">
        <v>112</v>
      </c>
      <c r="S4315">
        <v>13</v>
      </c>
      <c r="T4315">
        <v>18</v>
      </c>
      <c r="U4315">
        <v>14</v>
      </c>
      <c r="V4315">
        <v>2</v>
      </c>
      <c r="W4315">
        <v>0</v>
      </c>
      <c r="X4315">
        <v>3</v>
      </c>
      <c r="Y4315">
        <v>86</v>
      </c>
      <c r="Z4315">
        <v>1</v>
      </c>
      <c r="AA4315">
        <v>5</v>
      </c>
      <c r="AB4315">
        <v>0</v>
      </c>
      <c r="AC4315">
        <v>0</v>
      </c>
      <c r="AD4315">
        <v>0</v>
      </c>
      <c r="AE4315">
        <v>0</v>
      </c>
      <c r="AF4315">
        <v>0</v>
      </c>
      <c r="AK4315">
        <v>0</v>
      </c>
      <c r="AL4315">
        <v>1</v>
      </c>
      <c r="AM4315">
        <v>0</v>
      </c>
      <c r="AN4315">
        <v>1</v>
      </c>
      <c r="AQ4315">
        <v>0</v>
      </c>
      <c r="AT4315">
        <v>0</v>
      </c>
      <c r="AU4315">
        <v>24</v>
      </c>
      <c r="AV4315" t="s">
        <v>100</v>
      </c>
      <c r="AW4315">
        <v>285</v>
      </c>
      <c r="AX4315">
        <v>439</v>
      </c>
      <c r="BA4315">
        <v>1</v>
      </c>
      <c r="BC4315" t="s">
        <v>8738</v>
      </c>
      <c r="BD4315" s="4">
        <v>43283.134027777778</v>
      </c>
      <c r="BE4315" s="4">
        <v>43283.150092592594</v>
      </c>
      <c r="BF4315" s="4">
        <v>43283.150092592594</v>
      </c>
      <c r="BG4315" t="s">
        <v>83</v>
      </c>
      <c r="BH4315" t="s">
        <v>84</v>
      </c>
      <c r="BI4315" t="s">
        <v>85</v>
      </c>
    </row>
    <row r="4316" spans="1:61" x14ac:dyDescent="0.3">
      <c r="A4316" t="str">
        <f>"200329B0100"</f>
        <v>200329B0100</v>
      </c>
      <c r="B4316" t="s">
        <v>8739</v>
      </c>
      <c r="C4316">
        <v>20</v>
      </c>
      <c r="D4316" t="s">
        <v>79</v>
      </c>
      <c r="E4316">
        <v>20</v>
      </c>
      <c r="F4316" t="s">
        <v>8477</v>
      </c>
      <c r="G4316">
        <v>329</v>
      </c>
      <c r="H4316">
        <v>1</v>
      </c>
      <c r="I4316" t="s">
        <v>81</v>
      </c>
      <c r="J4316">
        <v>0</v>
      </c>
      <c r="K4316">
        <v>1</v>
      </c>
      <c r="L4316">
        <v>2</v>
      </c>
      <c r="M4316">
        <v>161</v>
      </c>
      <c r="N4316">
        <v>248</v>
      </c>
      <c r="O4316">
        <v>1</v>
      </c>
      <c r="P4316">
        <v>248</v>
      </c>
      <c r="Q4316">
        <v>4</v>
      </c>
      <c r="R4316">
        <v>66</v>
      </c>
      <c r="S4316">
        <v>6</v>
      </c>
      <c r="T4316">
        <v>32</v>
      </c>
      <c r="U4316">
        <v>8</v>
      </c>
      <c r="V4316">
        <v>1</v>
      </c>
      <c r="W4316">
        <v>2</v>
      </c>
      <c r="X4316">
        <v>8</v>
      </c>
      <c r="Y4316">
        <v>79</v>
      </c>
      <c r="Z4316">
        <v>3</v>
      </c>
      <c r="AA4316">
        <v>11</v>
      </c>
      <c r="AB4316">
        <v>3</v>
      </c>
      <c r="AC4316">
        <v>0</v>
      </c>
      <c r="AD4316">
        <v>0</v>
      </c>
      <c r="AE4316">
        <v>0</v>
      </c>
      <c r="AF4316">
        <v>0</v>
      </c>
      <c r="AK4316">
        <v>3</v>
      </c>
      <c r="AL4316">
        <v>0</v>
      </c>
      <c r="AM4316">
        <v>0</v>
      </c>
      <c r="AN4316">
        <v>0</v>
      </c>
      <c r="AQ4316">
        <v>2</v>
      </c>
      <c r="AT4316">
        <v>0</v>
      </c>
      <c r="AU4316">
        <v>17</v>
      </c>
      <c r="AV4316">
        <v>248</v>
      </c>
      <c r="AW4316">
        <v>245</v>
      </c>
      <c r="AX4316">
        <v>388</v>
      </c>
      <c r="BA4316">
        <v>1</v>
      </c>
      <c r="BC4316" t="s">
        <v>8740</v>
      </c>
      <c r="BD4316" s="4">
        <v>43283.113888888889</v>
      </c>
      <c r="BE4316" s="4">
        <v>43283.138090277775</v>
      </c>
      <c r="BF4316" s="4">
        <v>43283.138090277775</v>
      </c>
      <c r="BG4316" t="s">
        <v>83</v>
      </c>
      <c r="BH4316" t="s">
        <v>84</v>
      </c>
      <c r="BI4316" t="s">
        <v>85</v>
      </c>
    </row>
    <row r="4317" spans="1:61" x14ac:dyDescent="0.3">
      <c r="A4317" t="str">
        <f>"200329C0100"</f>
        <v>200329C0100</v>
      </c>
      <c r="B4317" t="s">
        <v>8741</v>
      </c>
      <c r="C4317">
        <v>20</v>
      </c>
      <c r="D4317" t="s">
        <v>79</v>
      </c>
      <c r="E4317">
        <v>20</v>
      </c>
      <c r="F4317" t="s">
        <v>8477</v>
      </c>
      <c r="G4317">
        <v>329</v>
      </c>
      <c r="H4317">
        <v>1</v>
      </c>
      <c r="I4317" t="s">
        <v>89</v>
      </c>
      <c r="J4317">
        <v>0</v>
      </c>
      <c r="K4317">
        <v>1</v>
      </c>
      <c r="L4317">
        <v>2</v>
      </c>
      <c r="M4317">
        <v>150</v>
      </c>
      <c r="N4317">
        <v>252</v>
      </c>
      <c r="O4317">
        <v>3</v>
      </c>
      <c r="P4317">
        <v>251</v>
      </c>
      <c r="Q4317">
        <v>6</v>
      </c>
      <c r="R4317">
        <v>62</v>
      </c>
      <c r="S4317">
        <v>12</v>
      </c>
      <c r="T4317">
        <v>12</v>
      </c>
      <c r="U4317">
        <v>22</v>
      </c>
      <c r="V4317">
        <v>1</v>
      </c>
      <c r="W4317">
        <v>4</v>
      </c>
      <c r="X4317">
        <v>4</v>
      </c>
      <c r="Y4317">
        <v>92</v>
      </c>
      <c r="Z4317">
        <v>3</v>
      </c>
      <c r="AA4317">
        <v>8</v>
      </c>
      <c r="AB4317">
        <v>2</v>
      </c>
      <c r="AC4317">
        <v>2</v>
      </c>
      <c r="AD4317">
        <v>1</v>
      </c>
      <c r="AE4317">
        <v>0</v>
      </c>
      <c r="AF4317">
        <v>1</v>
      </c>
      <c r="AK4317">
        <v>1</v>
      </c>
      <c r="AL4317">
        <v>0</v>
      </c>
      <c r="AM4317">
        <v>0</v>
      </c>
      <c r="AN4317">
        <v>0</v>
      </c>
      <c r="AQ4317">
        <v>0</v>
      </c>
      <c r="AT4317">
        <v>0</v>
      </c>
      <c r="AU4317">
        <v>18</v>
      </c>
      <c r="AV4317">
        <v>251</v>
      </c>
      <c r="AW4317">
        <v>251</v>
      </c>
      <c r="AX4317">
        <v>387</v>
      </c>
      <c r="BA4317">
        <v>1</v>
      </c>
      <c r="BC4317" t="s">
        <v>8742</v>
      </c>
      <c r="BD4317" s="4">
        <v>43283.111805555556</v>
      </c>
      <c r="BE4317" s="4">
        <v>43283.132615740738</v>
      </c>
      <c r="BF4317" s="4">
        <v>43283.132615740738</v>
      </c>
      <c r="BG4317" t="s">
        <v>83</v>
      </c>
      <c r="BH4317" t="s">
        <v>84</v>
      </c>
      <c r="BI4317" t="s">
        <v>85</v>
      </c>
    </row>
    <row r="4318" spans="1:61" x14ac:dyDescent="0.3">
      <c r="A4318" t="str">
        <f>"200329S0100"</f>
        <v>200329S0100</v>
      </c>
      <c r="B4318" t="s">
        <v>8743</v>
      </c>
      <c r="C4318">
        <v>20</v>
      </c>
      <c r="D4318" t="s">
        <v>79</v>
      </c>
      <c r="E4318">
        <v>20</v>
      </c>
      <c r="F4318" t="s">
        <v>8477</v>
      </c>
      <c r="G4318">
        <v>329</v>
      </c>
      <c r="H4318">
        <v>1</v>
      </c>
      <c r="I4318" t="s">
        <v>104</v>
      </c>
      <c r="J4318">
        <v>0</v>
      </c>
      <c r="K4318">
        <v>1</v>
      </c>
      <c r="L4318">
        <v>3</v>
      </c>
      <c r="AX4318">
        <v>0</v>
      </c>
      <c r="AZ4318" t="s">
        <v>2570</v>
      </c>
      <c r="BA4318">
        <v>0</v>
      </c>
      <c r="BC4318" t="s">
        <v>8744</v>
      </c>
      <c r="BD4318" s="4">
        <v>43283.554166666669</v>
      </c>
      <c r="BE4318" s="4">
        <v>43283.559837962966</v>
      </c>
      <c r="BF4318" s="4">
        <v>43283.559837962966</v>
      </c>
      <c r="BG4318" t="s">
        <v>83</v>
      </c>
      <c r="BH4318" t="s">
        <v>84</v>
      </c>
      <c r="BI4318" t="s">
        <v>85</v>
      </c>
    </row>
    <row r="4319" spans="1:61" x14ac:dyDescent="0.3">
      <c r="A4319" t="str">
        <f>"200329S0200"</f>
        <v>200329S0200</v>
      </c>
      <c r="B4319" t="s">
        <v>8745</v>
      </c>
      <c r="C4319">
        <v>20</v>
      </c>
      <c r="D4319" t="s">
        <v>79</v>
      </c>
      <c r="E4319">
        <v>20</v>
      </c>
      <c r="F4319" t="s">
        <v>8477</v>
      </c>
      <c r="G4319">
        <v>329</v>
      </c>
      <c r="H4319">
        <v>2</v>
      </c>
      <c r="I4319" t="s">
        <v>104</v>
      </c>
      <c r="J4319">
        <v>0</v>
      </c>
      <c r="K4319">
        <v>1</v>
      </c>
      <c r="L4319">
        <v>3</v>
      </c>
      <c r="AX4319">
        <v>0</v>
      </c>
      <c r="AZ4319" t="s">
        <v>2570</v>
      </c>
      <c r="BA4319">
        <v>0</v>
      </c>
      <c r="BC4319" t="s">
        <v>8746</v>
      </c>
      <c r="BD4319" s="4">
        <v>43283.554166666669</v>
      </c>
      <c r="BE4319" s="4">
        <v>43283.559687499997</v>
      </c>
      <c r="BF4319" s="4">
        <v>43283.559687499997</v>
      </c>
      <c r="BG4319" t="s">
        <v>83</v>
      </c>
      <c r="BH4319" t="s">
        <v>84</v>
      </c>
      <c r="BI4319" t="s">
        <v>85</v>
      </c>
    </row>
    <row r="4320" spans="1:61" x14ac:dyDescent="0.3">
      <c r="A4320" t="str">
        <f>"200329S0300"</f>
        <v>200329S0300</v>
      </c>
      <c r="B4320" t="s">
        <v>8747</v>
      </c>
      <c r="C4320">
        <v>20</v>
      </c>
      <c r="D4320" t="s">
        <v>79</v>
      </c>
      <c r="E4320">
        <v>20</v>
      </c>
      <c r="F4320" t="s">
        <v>8477</v>
      </c>
      <c r="G4320">
        <v>329</v>
      </c>
      <c r="H4320">
        <v>3</v>
      </c>
      <c r="I4320" t="s">
        <v>104</v>
      </c>
      <c r="J4320">
        <v>0</v>
      </c>
      <c r="K4320">
        <v>1</v>
      </c>
      <c r="L4320">
        <v>3</v>
      </c>
      <c r="AX4320">
        <v>0</v>
      </c>
      <c r="AZ4320" t="s">
        <v>2570</v>
      </c>
      <c r="BA4320">
        <v>0</v>
      </c>
      <c r="BC4320" t="s">
        <v>8748</v>
      </c>
      <c r="BD4320" s="4">
        <v>43283.553472222222</v>
      </c>
      <c r="BE4320" s="4">
        <v>43283.559247685182</v>
      </c>
      <c r="BF4320" s="4">
        <v>43283.559247685182</v>
      </c>
      <c r="BG4320" t="s">
        <v>83</v>
      </c>
      <c r="BH4320" t="s">
        <v>84</v>
      </c>
      <c r="BI4320" t="s">
        <v>85</v>
      </c>
    </row>
    <row r="4321" spans="1:61" x14ac:dyDescent="0.3">
      <c r="A4321" t="str">
        <f>"200331B0100"</f>
        <v>200331B0100</v>
      </c>
      <c r="B4321" t="s">
        <v>8749</v>
      </c>
      <c r="C4321">
        <v>20</v>
      </c>
      <c r="D4321" t="s">
        <v>79</v>
      </c>
      <c r="E4321">
        <v>20</v>
      </c>
      <c r="F4321" t="s">
        <v>8477</v>
      </c>
      <c r="G4321">
        <v>331</v>
      </c>
      <c r="H4321">
        <v>1</v>
      </c>
      <c r="I4321" t="s">
        <v>81</v>
      </c>
      <c r="J4321">
        <v>0</v>
      </c>
      <c r="K4321">
        <v>1</v>
      </c>
      <c r="L4321">
        <v>2</v>
      </c>
      <c r="M4321" t="s">
        <v>315</v>
      </c>
      <c r="N4321">
        <v>359</v>
      </c>
      <c r="O4321">
        <v>6</v>
      </c>
      <c r="P4321">
        <v>5</v>
      </c>
      <c r="Q4321">
        <v>0</v>
      </c>
      <c r="R4321">
        <v>89</v>
      </c>
      <c r="S4321">
        <v>2</v>
      </c>
      <c r="T4321">
        <v>1</v>
      </c>
      <c r="U4321">
        <v>4</v>
      </c>
      <c r="V4321">
        <v>3</v>
      </c>
      <c r="W4321">
        <v>0</v>
      </c>
      <c r="X4321">
        <v>16</v>
      </c>
      <c r="Y4321">
        <v>212</v>
      </c>
      <c r="Z4321">
        <v>3</v>
      </c>
      <c r="AA4321">
        <v>13</v>
      </c>
      <c r="AB4321">
        <v>1</v>
      </c>
      <c r="AC4321">
        <v>0</v>
      </c>
      <c r="AD4321">
        <v>0</v>
      </c>
      <c r="AE4321">
        <v>0</v>
      </c>
      <c r="AF4321">
        <v>0</v>
      </c>
      <c r="AK4321">
        <v>0</v>
      </c>
      <c r="AL4321">
        <v>1</v>
      </c>
      <c r="AM4321">
        <v>0</v>
      </c>
      <c r="AN4321">
        <v>0</v>
      </c>
      <c r="AQ4321">
        <v>1</v>
      </c>
      <c r="AT4321">
        <v>0</v>
      </c>
      <c r="AU4321">
        <v>17</v>
      </c>
      <c r="AV4321">
        <v>363</v>
      </c>
      <c r="AW4321">
        <v>363</v>
      </c>
      <c r="AX4321">
        <v>595</v>
      </c>
      <c r="BA4321">
        <v>1</v>
      </c>
      <c r="BC4321" t="s">
        <v>8750</v>
      </c>
      <c r="BD4321" s="4">
        <v>43283.17083333333</v>
      </c>
      <c r="BE4321" s="4">
        <v>43283.186805555553</v>
      </c>
      <c r="BF4321" s="4">
        <v>43283.186805555553</v>
      </c>
      <c r="BG4321" t="s">
        <v>83</v>
      </c>
      <c r="BH4321" t="s">
        <v>84</v>
      </c>
      <c r="BI4321" t="s">
        <v>85</v>
      </c>
    </row>
    <row r="4322" spans="1:61" x14ac:dyDescent="0.3">
      <c r="A4322" t="str">
        <f>"200331C0100"</f>
        <v>200331C0100</v>
      </c>
      <c r="B4322" t="s">
        <v>8751</v>
      </c>
      <c r="C4322">
        <v>20</v>
      </c>
      <c r="D4322" t="s">
        <v>79</v>
      </c>
      <c r="E4322">
        <v>20</v>
      </c>
      <c r="F4322" t="s">
        <v>8477</v>
      </c>
      <c r="G4322">
        <v>331</v>
      </c>
      <c r="H4322">
        <v>1</v>
      </c>
      <c r="I4322" t="s">
        <v>89</v>
      </c>
      <c r="J4322">
        <v>0</v>
      </c>
      <c r="K4322">
        <v>1</v>
      </c>
      <c r="L4322">
        <v>2</v>
      </c>
      <c r="M4322">
        <v>268</v>
      </c>
      <c r="N4322">
        <v>356</v>
      </c>
      <c r="O4322">
        <v>0</v>
      </c>
      <c r="P4322">
        <v>356</v>
      </c>
      <c r="Q4322">
        <v>2</v>
      </c>
      <c r="R4322">
        <v>62</v>
      </c>
      <c r="S4322">
        <v>4</v>
      </c>
      <c r="T4322">
        <v>3</v>
      </c>
      <c r="U4322">
        <v>0</v>
      </c>
      <c r="V4322">
        <v>3</v>
      </c>
      <c r="W4322">
        <v>0</v>
      </c>
      <c r="X4322">
        <v>18</v>
      </c>
      <c r="Y4322">
        <v>211</v>
      </c>
      <c r="Z4322">
        <v>0</v>
      </c>
      <c r="AA4322">
        <v>8</v>
      </c>
      <c r="AB4322">
        <v>1</v>
      </c>
      <c r="AC4322">
        <v>0</v>
      </c>
      <c r="AD4322">
        <v>0</v>
      </c>
      <c r="AE4322">
        <v>0</v>
      </c>
      <c r="AF4322">
        <v>0</v>
      </c>
      <c r="AK4322">
        <v>0</v>
      </c>
      <c r="AL4322">
        <v>0</v>
      </c>
      <c r="AM4322">
        <v>0</v>
      </c>
      <c r="AN4322">
        <v>0</v>
      </c>
      <c r="AQ4322">
        <v>2</v>
      </c>
      <c r="AT4322">
        <v>0</v>
      </c>
      <c r="AU4322">
        <v>32</v>
      </c>
      <c r="AV4322">
        <v>346</v>
      </c>
      <c r="AW4322">
        <v>346</v>
      </c>
      <c r="AX4322">
        <v>594</v>
      </c>
      <c r="BA4322">
        <v>1</v>
      </c>
      <c r="BC4322" t="s">
        <v>8752</v>
      </c>
      <c r="BD4322" s="4">
        <v>43283.17083333333</v>
      </c>
      <c r="BE4322" s="4">
        <v>43283.187905092593</v>
      </c>
      <c r="BF4322" s="4">
        <v>43283.187905092593</v>
      </c>
      <c r="BG4322" t="s">
        <v>83</v>
      </c>
      <c r="BH4322" t="s">
        <v>84</v>
      </c>
      <c r="BI4322" t="s">
        <v>85</v>
      </c>
    </row>
    <row r="4323" spans="1:61" x14ac:dyDescent="0.3">
      <c r="A4323" t="str">
        <f>"200331C0200"</f>
        <v>200331C0200</v>
      </c>
      <c r="B4323" t="s">
        <v>8753</v>
      </c>
      <c r="C4323">
        <v>20</v>
      </c>
      <c r="D4323" t="s">
        <v>79</v>
      </c>
      <c r="E4323">
        <v>20</v>
      </c>
      <c r="F4323" t="s">
        <v>8477</v>
      </c>
      <c r="G4323">
        <v>331</v>
      </c>
      <c r="H4323">
        <v>2</v>
      </c>
      <c r="I4323" t="s">
        <v>89</v>
      </c>
      <c r="J4323">
        <v>0</v>
      </c>
      <c r="K4323">
        <v>1</v>
      </c>
      <c r="L4323">
        <v>2</v>
      </c>
      <c r="M4323" t="s">
        <v>315</v>
      </c>
      <c r="N4323" t="s">
        <v>315</v>
      </c>
      <c r="O4323" t="s">
        <v>315</v>
      </c>
      <c r="P4323" t="s">
        <v>315</v>
      </c>
      <c r="Q4323">
        <v>5</v>
      </c>
      <c r="R4323">
        <v>90</v>
      </c>
      <c r="S4323">
        <v>2</v>
      </c>
      <c r="T4323">
        <v>2</v>
      </c>
      <c r="U4323">
        <v>1</v>
      </c>
      <c r="V4323">
        <v>2</v>
      </c>
      <c r="W4323">
        <v>0</v>
      </c>
      <c r="X4323">
        <v>12</v>
      </c>
      <c r="Y4323">
        <v>211</v>
      </c>
      <c r="Z4323">
        <v>0</v>
      </c>
      <c r="AA4323" t="s">
        <v>315</v>
      </c>
      <c r="AB4323">
        <v>1</v>
      </c>
      <c r="AC4323">
        <v>0</v>
      </c>
      <c r="AD4323">
        <v>0</v>
      </c>
      <c r="AE4323">
        <v>0</v>
      </c>
      <c r="AF4323">
        <v>0</v>
      </c>
      <c r="AK4323">
        <v>0</v>
      </c>
      <c r="AL4323">
        <v>0</v>
      </c>
      <c r="AM4323">
        <v>0</v>
      </c>
      <c r="AN4323">
        <v>0</v>
      </c>
      <c r="AQ4323">
        <v>0</v>
      </c>
      <c r="AT4323" t="s">
        <v>100</v>
      </c>
      <c r="AU4323">
        <v>31</v>
      </c>
      <c r="AV4323">
        <v>363</v>
      </c>
      <c r="AW4323">
        <v>357</v>
      </c>
      <c r="AX4323">
        <v>594</v>
      </c>
      <c r="AZ4323" t="s">
        <v>101</v>
      </c>
      <c r="BA4323">
        <v>1</v>
      </c>
      <c r="BC4323" t="s">
        <v>8754</v>
      </c>
      <c r="BD4323" s="4">
        <v>43283.174305555556</v>
      </c>
      <c r="BE4323" s="4">
        <v>43283.193796296298</v>
      </c>
      <c r="BF4323" s="4">
        <v>43283.193796296298</v>
      </c>
      <c r="BG4323" t="s">
        <v>83</v>
      </c>
      <c r="BH4323" t="s">
        <v>84</v>
      </c>
      <c r="BI4323" t="s">
        <v>85</v>
      </c>
    </row>
    <row r="4324" spans="1:61" x14ac:dyDescent="0.3">
      <c r="A4324" t="str">
        <f>"200332B0100"</f>
        <v>200332B0100</v>
      </c>
      <c r="B4324" t="s">
        <v>8755</v>
      </c>
      <c r="C4324">
        <v>20</v>
      </c>
      <c r="D4324" t="s">
        <v>79</v>
      </c>
      <c r="E4324">
        <v>20</v>
      </c>
      <c r="F4324" t="s">
        <v>8477</v>
      </c>
      <c r="G4324">
        <v>332</v>
      </c>
      <c r="H4324">
        <v>1</v>
      </c>
      <c r="I4324" t="s">
        <v>81</v>
      </c>
      <c r="J4324">
        <v>0</v>
      </c>
      <c r="K4324">
        <v>1</v>
      </c>
      <c r="L4324">
        <v>2</v>
      </c>
      <c r="M4324">
        <v>49</v>
      </c>
      <c r="N4324">
        <v>333</v>
      </c>
      <c r="O4324">
        <v>0</v>
      </c>
      <c r="P4324">
        <v>336</v>
      </c>
      <c r="Q4324">
        <v>4</v>
      </c>
      <c r="R4324">
        <v>158</v>
      </c>
      <c r="S4324">
        <v>7</v>
      </c>
      <c r="T4324">
        <v>15</v>
      </c>
      <c r="U4324">
        <v>27</v>
      </c>
      <c r="V4324">
        <v>2</v>
      </c>
      <c r="W4324">
        <v>2</v>
      </c>
      <c r="X4324">
        <v>3</v>
      </c>
      <c r="Y4324">
        <v>68</v>
      </c>
      <c r="Z4324">
        <v>0</v>
      </c>
      <c r="AA4324">
        <v>15</v>
      </c>
      <c r="AB4324">
        <v>4</v>
      </c>
      <c r="AC4324">
        <v>0</v>
      </c>
      <c r="AD4324">
        <v>0</v>
      </c>
      <c r="AE4324">
        <v>0</v>
      </c>
      <c r="AF4324">
        <v>0</v>
      </c>
      <c r="AK4324">
        <v>2</v>
      </c>
      <c r="AL4324">
        <v>0</v>
      </c>
      <c r="AM4324">
        <v>0</v>
      </c>
      <c r="AN4324">
        <v>0</v>
      </c>
      <c r="AQ4324">
        <v>0</v>
      </c>
      <c r="AT4324">
        <v>0</v>
      </c>
      <c r="AU4324">
        <v>29</v>
      </c>
      <c r="AV4324">
        <v>336</v>
      </c>
      <c r="AW4324">
        <v>336</v>
      </c>
      <c r="AX4324">
        <v>563</v>
      </c>
      <c r="BA4324">
        <v>1</v>
      </c>
      <c r="BC4324" t="s">
        <v>8756</v>
      </c>
      <c r="BD4324" s="4">
        <v>43283.333333333336</v>
      </c>
      <c r="BE4324" s="4">
        <v>43283.353125000001</v>
      </c>
      <c r="BF4324" s="4">
        <v>43283.353125000001</v>
      </c>
      <c r="BG4324" t="s">
        <v>83</v>
      </c>
      <c r="BH4324" t="s">
        <v>84</v>
      </c>
      <c r="BI4324" t="s">
        <v>85</v>
      </c>
    </row>
    <row r="4325" spans="1:61" x14ac:dyDescent="0.3">
      <c r="A4325" t="str">
        <f>"200838B0100"</f>
        <v>200838B0100</v>
      </c>
      <c r="B4325" t="s">
        <v>8757</v>
      </c>
      <c r="C4325">
        <v>20</v>
      </c>
      <c r="D4325" t="s">
        <v>79</v>
      </c>
      <c r="E4325">
        <v>20</v>
      </c>
      <c r="F4325" t="s">
        <v>8477</v>
      </c>
      <c r="G4325">
        <v>838</v>
      </c>
      <c r="H4325">
        <v>1</v>
      </c>
      <c r="I4325" t="s">
        <v>81</v>
      </c>
      <c r="J4325">
        <v>0</v>
      </c>
      <c r="K4325">
        <v>1</v>
      </c>
      <c r="L4325">
        <v>2</v>
      </c>
      <c r="M4325">
        <v>266</v>
      </c>
      <c r="N4325">
        <v>276</v>
      </c>
      <c r="O4325">
        <v>6</v>
      </c>
      <c r="P4325">
        <v>276</v>
      </c>
      <c r="Q4325">
        <v>1</v>
      </c>
      <c r="R4325">
        <v>145</v>
      </c>
      <c r="S4325">
        <v>10</v>
      </c>
      <c r="T4325">
        <v>0</v>
      </c>
      <c r="U4325">
        <v>4</v>
      </c>
      <c r="V4325">
        <v>0</v>
      </c>
      <c r="W4325">
        <v>0</v>
      </c>
      <c r="X4325">
        <v>1</v>
      </c>
      <c r="Y4325">
        <v>86</v>
      </c>
      <c r="Z4325">
        <v>2</v>
      </c>
      <c r="AA4325">
        <v>7</v>
      </c>
      <c r="AB4325">
        <v>10</v>
      </c>
      <c r="AC4325" t="s">
        <v>100</v>
      </c>
      <c r="AD4325" t="s">
        <v>100</v>
      </c>
      <c r="AE4325" t="s">
        <v>100</v>
      </c>
      <c r="AF4325" t="s">
        <v>100</v>
      </c>
      <c r="AK4325">
        <v>3</v>
      </c>
      <c r="AL4325" t="s">
        <v>100</v>
      </c>
      <c r="AM4325" t="s">
        <v>100</v>
      </c>
      <c r="AN4325" t="s">
        <v>315</v>
      </c>
      <c r="AQ4325">
        <v>4</v>
      </c>
      <c r="AT4325" t="s">
        <v>100</v>
      </c>
      <c r="AU4325" t="s">
        <v>100</v>
      </c>
      <c r="AV4325">
        <v>266</v>
      </c>
      <c r="AW4325">
        <v>273</v>
      </c>
      <c r="AX4325">
        <v>526</v>
      </c>
      <c r="AZ4325" t="s">
        <v>101</v>
      </c>
      <c r="BA4325">
        <v>1</v>
      </c>
      <c r="BC4325" t="s">
        <v>8758</v>
      </c>
      <c r="BD4325" s="4">
        <v>43283.265277777777</v>
      </c>
      <c r="BE4325" s="4">
        <v>43283.30505787037</v>
      </c>
      <c r="BF4325" s="4">
        <v>43283.30505787037</v>
      </c>
      <c r="BG4325" t="s">
        <v>83</v>
      </c>
      <c r="BH4325" t="s">
        <v>84</v>
      </c>
      <c r="BI4325" t="s">
        <v>85</v>
      </c>
    </row>
    <row r="4326" spans="1:61" x14ac:dyDescent="0.3">
      <c r="A4326" t="str">
        <f>"200838C0100"</f>
        <v>200838C0100</v>
      </c>
      <c r="B4326" t="s">
        <v>8759</v>
      </c>
      <c r="C4326">
        <v>20</v>
      </c>
      <c r="D4326" t="s">
        <v>79</v>
      </c>
      <c r="E4326">
        <v>20</v>
      </c>
      <c r="F4326" t="s">
        <v>8477</v>
      </c>
      <c r="G4326">
        <v>838</v>
      </c>
      <c r="H4326">
        <v>1</v>
      </c>
      <c r="I4326" t="s">
        <v>89</v>
      </c>
      <c r="J4326">
        <v>0</v>
      </c>
      <c r="K4326">
        <v>1</v>
      </c>
      <c r="L4326">
        <v>2</v>
      </c>
      <c r="M4326">
        <v>237</v>
      </c>
      <c r="N4326">
        <v>317</v>
      </c>
      <c r="O4326">
        <v>317</v>
      </c>
      <c r="P4326">
        <v>317</v>
      </c>
      <c r="Q4326">
        <v>2</v>
      </c>
      <c r="R4326">
        <v>139</v>
      </c>
      <c r="S4326">
        <v>18</v>
      </c>
      <c r="T4326">
        <v>0</v>
      </c>
      <c r="U4326">
        <v>2</v>
      </c>
      <c r="V4326">
        <v>0</v>
      </c>
      <c r="W4326">
        <v>11</v>
      </c>
      <c r="X4326">
        <v>1</v>
      </c>
      <c r="Y4326">
        <v>116</v>
      </c>
      <c r="Z4326">
        <v>3</v>
      </c>
      <c r="AA4326">
        <v>7</v>
      </c>
      <c r="AB4326">
        <v>3</v>
      </c>
      <c r="AC4326">
        <v>0</v>
      </c>
      <c r="AD4326">
        <v>0</v>
      </c>
      <c r="AE4326">
        <v>0</v>
      </c>
      <c r="AF4326">
        <v>0</v>
      </c>
      <c r="AK4326">
        <v>2</v>
      </c>
      <c r="AL4326">
        <v>0</v>
      </c>
      <c r="AM4326">
        <v>0</v>
      </c>
      <c r="AN4326">
        <v>2</v>
      </c>
      <c r="AQ4326">
        <v>0</v>
      </c>
      <c r="AT4326">
        <v>0</v>
      </c>
      <c r="AU4326">
        <v>11</v>
      </c>
      <c r="AV4326">
        <v>317</v>
      </c>
      <c r="AW4326">
        <v>317</v>
      </c>
      <c r="AX4326">
        <v>526</v>
      </c>
      <c r="BA4326">
        <v>1</v>
      </c>
      <c r="BC4326" t="s">
        <v>8760</v>
      </c>
      <c r="BD4326" s="4">
        <v>43283.270833333336</v>
      </c>
      <c r="BE4326" s="4">
        <v>43283.298101851855</v>
      </c>
      <c r="BF4326" s="4">
        <v>43283.298101851855</v>
      </c>
      <c r="BG4326" t="s">
        <v>83</v>
      </c>
      <c r="BH4326" t="s">
        <v>84</v>
      </c>
      <c r="BI4326" t="s">
        <v>85</v>
      </c>
    </row>
    <row r="4327" spans="1:61" x14ac:dyDescent="0.3">
      <c r="A4327" t="str">
        <f>"200838C0200"</f>
        <v>200838C0200</v>
      </c>
      <c r="B4327" t="s">
        <v>8761</v>
      </c>
      <c r="C4327">
        <v>20</v>
      </c>
      <c r="D4327" t="s">
        <v>79</v>
      </c>
      <c r="E4327">
        <v>20</v>
      </c>
      <c r="F4327" t="s">
        <v>8477</v>
      </c>
      <c r="G4327">
        <v>838</v>
      </c>
      <c r="H4327">
        <v>2</v>
      </c>
      <c r="I4327" t="s">
        <v>89</v>
      </c>
      <c r="J4327">
        <v>0</v>
      </c>
      <c r="K4327">
        <v>1</v>
      </c>
      <c r="L4327">
        <v>2</v>
      </c>
      <c r="M4327">
        <v>240</v>
      </c>
      <c r="N4327">
        <v>308</v>
      </c>
      <c r="O4327">
        <v>0</v>
      </c>
      <c r="P4327">
        <v>308</v>
      </c>
      <c r="Q4327">
        <v>1</v>
      </c>
      <c r="R4327">
        <v>131</v>
      </c>
      <c r="S4327">
        <v>22</v>
      </c>
      <c r="T4327">
        <v>1</v>
      </c>
      <c r="U4327">
        <v>6</v>
      </c>
      <c r="V4327">
        <v>1</v>
      </c>
      <c r="W4327">
        <v>14</v>
      </c>
      <c r="X4327">
        <v>2</v>
      </c>
      <c r="Y4327">
        <v>100</v>
      </c>
      <c r="Z4327">
        <v>3</v>
      </c>
      <c r="AA4327">
        <v>4</v>
      </c>
      <c r="AB4327">
        <v>9</v>
      </c>
      <c r="AC4327">
        <v>0</v>
      </c>
      <c r="AD4327">
        <v>0</v>
      </c>
      <c r="AE4327">
        <v>0</v>
      </c>
      <c r="AF4327">
        <v>0</v>
      </c>
      <c r="AK4327">
        <v>1</v>
      </c>
      <c r="AL4327">
        <v>2</v>
      </c>
      <c r="AM4327">
        <v>0</v>
      </c>
      <c r="AN4327">
        <v>1</v>
      </c>
      <c r="AQ4327">
        <v>0</v>
      </c>
      <c r="AT4327">
        <v>0</v>
      </c>
      <c r="AU4327">
        <v>10</v>
      </c>
      <c r="AV4327">
        <v>308</v>
      </c>
      <c r="AW4327">
        <v>308</v>
      </c>
      <c r="AX4327">
        <v>526</v>
      </c>
      <c r="BA4327">
        <v>1</v>
      </c>
      <c r="BC4327" t="s">
        <v>8762</v>
      </c>
      <c r="BD4327" s="4">
        <v>43283.268055555556</v>
      </c>
      <c r="BE4327" s="4">
        <v>43283.297268518516</v>
      </c>
      <c r="BF4327" s="4">
        <v>43283.297268518516</v>
      </c>
      <c r="BG4327" t="s">
        <v>83</v>
      </c>
      <c r="BH4327" t="s">
        <v>84</v>
      </c>
      <c r="BI4327" t="s">
        <v>85</v>
      </c>
    </row>
    <row r="4328" spans="1:61" x14ac:dyDescent="0.3">
      <c r="A4328" t="str">
        <f>"200839B0100"</f>
        <v>200839B0100</v>
      </c>
      <c r="B4328" t="s">
        <v>8763</v>
      </c>
      <c r="C4328">
        <v>20</v>
      </c>
      <c r="D4328" t="s">
        <v>79</v>
      </c>
      <c r="E4328">
        <v>20</v>
      </c>
      <c r="F4328" t="s">
        <v>8477</v>
      </c>
      <c r="G4328">
        <v>839</v>
      </c>
      <c r="H4328">
        <v>1</v>
      </c>
      <c r="I4328" t="s">
        <v>81</v>
      </c>
      <c r="J4328">
        <v>0</v>
      </c>
      <c r="K4328">
        <v>1</v>
      </c>
      <c r="L4328">
        <v>2</v>
      </c>
      <c r="M4328">
        <v>218</v>
      </c>
      <c r="N4328">
        <v>320</v>
      </c>
      <c r="O4328">
        <v>0</v>
      </c>
      <c r="P4328">
        <v>320</v>
      </c>
      <c r="Q4328">
        <v>3</v>
      </c>
      <c r="R4328">
        <v>166</v>
      </c>
      <c r="S4328">
        <v>21</v>
      </c>
      <c r="T4328">
        <v>0</v>
      </c>
      <c r="U4328">
        <v>5</v>
      </c>
      <c r="V4328">
        <v>1</v>
      </c>
      <c r="W4328">
        <v>11</v>
      </c>
      <c r="X4328">
        <v>0</v>
      </c>
      <c r="Y4328">
        <v>80</v>
      </c>
      <c r="Z4328">
        <v>1</v>
      </c>
      <c r="AA4328">
        <v>7</v>
      </c>
      <c r="AB4328">
        <v>10</v>
      </c>
      <c r="AC4328">
        <v>0</v>
      </c>
      <c r="AD4328">
        <v>0</v>
      </c>
      <c r="AE4328">
        <v>0</v>
      </c>
      <c r="AF4328">
        <v>0</v>
      </c>
      <c r="AK4328">
        <v>0</v>
      </c>
      <c r="AL4328">
        <v>1</v>
      </c>
      <c r="AM4328">
        <v>0</v>
      </c>
      <c r="AN4328">
        <v>0</v>
      </c>
      <c r="AQ4328">
        <v>0</v>
      </c>
      <c r="AT4328">
        <v>0</v>
      </c>
      <c r="AU4328">
        <v>14</v>
      </c>
      <c r="AV4328">
        <v>320</v>
      </c>
      <c r="AW4328">
        <v>320</v>
      </c>
      <c r="AX4328">
        <v>516</v>
      </c>
      <c r="BA4328">
        <v>1</v>
      </c>
      <c r="BC4328" t="s">
        <v>8764</v>
      </c>
      <c r="BD4328" s="4">
        <v>43283.267361111109</v>
      </c>
      <c r="BE4328" s="4">
        <v>43283.295960648145</v>
      </c>
      <c r="BF4328" s="4">
        <v>43283.295960648145</v>
      </c>
      <c r="BG4328" t="s">
        <v>83</v>
      </c>
      <c r="BH4328" t="s">
        <v>84</v>
      </c>
      <c r="BI4328" t="s">
        <v>85</v>
      </c>
    </row>
    <row r="4329" spans="1:61" x14ac:dyDescent="0.3">
      <c r="A4329" t="str">
        <f>"200839C0100"</f>
        <v>200839C0100</v>
      </c>
      <c r="B4329" t="s">
        <v>8765</v>
      </c>
      <c r="C4329">
        <v>20</v>
      </c>
      <c r="D4329" t="s">
        <v>79</v>
      </c>
      <c r="E4329">
        <v>20</v>
      </c>
      <c r="F4329" t="s">
        <v>8477</v>
      </c>
      <c r="G4329">
        <v>839</v>
      </c>
      <c r="H4329">
        <v>1</v>
      </c>
      <c r="I4329" t="s">
        <v>89</v>
      </c>
      <c r="J4329">
        <v>0</v>
      </c>
      <c r="K4329">
        <v>1</v>
      </c>
      <c r="L4329">
        <v>2</v>
      </c>
      <c r="M4329">
        <v>246</v>
      </c>
      <c r="N4329">
        <v>292</v>
      </c>
      <c r="O4329">
        <v>0</v>
      </c>
      <c r="P4329">
        <v>292</v>
      </c>
      <c r="Q4329">
        <v>2</v>
      </c>
      <c r="R4329">
        <v>129</v>
      </c>
      <c r="S4329">
        <v>10</v>
      </c>
      <c r="T4329">
        <v>2</v>
      </c>
      <c r="U4329">
        <v>68</v>
      </c>
      <c r="V4329">
        <v>1</v>
      </c>
      <c r="W4329">
        <v>18</v>
      </c>
      <c r="X4329">
        <v>0</v>
      </c>
      <c r="Y4329">
        <v>99</v>
      </c>
      <c r="Z4329">
        <v>0</v>
      </c>
      <c r="AA4329">
        <v>5</v>
      </c>
      <c r="AB4329">
        <v>4</v>
      </c>
      <c r="AC4329">
        <v>0</v>
      </c>
      <c r="AD4329">
        <v>0</v>
      </c>
      <c r="AE4329">
        <v>0</v>
      </c>
      <c r="AF4329">
        <v>0</v>
      </c>
      <c r="AK4329">
        <v>1</v>
      </c>
      <c r="AL4329">
        <v>0</v>
      </c>
      <c r="AM4329">
        <v>0</v>
      </c>
      <c r="AN4329">
        <v>1</v>
      </c>
      <c r="AQ4329">
        <v>0</v>
      </c>
      <c r="AT4329">
        <v>0</v>
      </c>
      <c r="AU4329">
        <v>15</v>
      </c>
      <c r="AV4329">
        <v>292</v>
      </c>
      <c r="AW4329">
        <v>355</v>
      </c>
      <c r="AX4329">
        <v>516</v>
      </c>
      <c r="BA4329">
        <v>1</v>
      </c>
      <c r="BC4329" t="s">
        <v>8766</v>
      </c>
      <c r="BD4329" s="4">
        <v>43283.267361111109</v>
      </c>
      <c r="BE4329" s="4">
        <v>43283.308298611111</v>
      </c>
      <c r="BF4329" s="4">
        <v>43283.308298611111</v>
      </c>
      <c r="BG4329" t="s">
        <v>83</v>
      </c>
      <c r="BH4329" t="s">
        <v>84</v>
      </c>
      <c r="BI4329" t="s">
        <v>85</v>
      </c>
    </row>
    <row r="4330" spans="1:61" x14ac:dyDescent="0.3">
      <c r="A4330" t="str">
        <f>"200840B0100"</f>
        <v>200840B0100</v>
      </c>
      <c r="B4330" t="s">
        <v>8767</v>
      </c>
      <c r="C4330">
        <v>20</v>
      </c>
      <c r="D4330" t="s">
        <v>79</v>
      </c>
      <c r="E4330">
        <v>20</v>
      </c>
      <c r="F4330" t="s">
        <v>8477</v>
      </c>
      <c r="G4330">
        <v>840</v>
      </c>
      <c r="H4330">
        <v>1</v>
      </c>
      <c r="I4330" t="s">
        <v>81</v>
      </c>
      <c r="J4330">
        <v>0</v>
      </c>
      <c r="K4330">
        <v>2</v>
      </c>
      <c r="L4330">
        <v>2</v>
      </c>
      <c r="M4330">
        <v>213</v>
      </c>
      <c r="N4330">
        <v>451</v>
      </c>
      <c r="O4330">
        <v>0</v>
      </c>
      <c r="P4330">
        <v>451</v>
      </c>
      <c r="Q4330">
        <v>4</v>
      </c>
      <c r="R4330">
        <v>221</v>
      </c>
      <c r="S4330">
        <v>22</v>
      </c>
      <c r="T4330">
        <v>1</v>
      </c>
      <c r="U4330">
        <v>5</v>
      </c>
      <c r="V4330">
        <v>2</v>
      </c>
      <c r="W4330" t="s">
        <v>100</v>
      </c>
      <c r="X4330">
        <v>2</v>
      </c>
      <c r="Y4330">
        <v>180</v>
      </c>
      <c r="Z4330">
        <v>4</v>
      </c>
      <c r="AA4330">
        <v>0</v>
      </c>
      <c r="AB4330">
        <v>1</v>
      </c>
      <c r="AC4330" t="s">
        <v>100</v>
      </c>
      <c r="AD4330" t="s">
        <v>100</v>
      </c>
      <c r="AE4330" t="s">
        <v>100</v>
      </c>
      <c r="AF4330" t="s">
        <v>100</v>
      </c>
      <c r="AK4330" t="s">
        <v>100</v>
      </c>
      <c r="AL4330" t="s">
        <v>100</v>
      </c>
      <c r="AM4330" t="s">
        <v>100</v>
      </c>
      <c r="AN4330" t="s">
        <v>100</v>
      </c>
      <c r="AQ4330" t="s">
        <v>100</v>
      </c>
      <c r="AT4330" t="s">
        <v>100</v>
      </c>
      <c r="AU4330">
        <v>9</v>
      </c>
      <c r="AV4330">
        <v>451</v>
      </c>
      <c r="AW4330">
        <v>451</v>
      </c>
      <c r="AX4330">
        <v>642</v>
      </c>
      <c r="AZ4330" t="s">
        <v>101</v>
      </c>
      <c r="BA4330">
        <v>1</v>
      </c>
      <c r="BC4330" t="s">
        <v>8768</v>
      </c>
      <c r="BD4330" s="4">
        <v>43283.265277777777</v>
      </c>
      <c r="BE4330" s="4">
        <v>43283.293738425928</v>
      </c>
      <c r="BF4330" s="4">
        <v>43283.293738425928</v>
      </c>
      <c r="BG4330" t="s">
        <v>83</v>
      </c>
      <c r="BH4330" t="s">
        <v>84</v>
      </c>
      <c r="BI4330" t="s">
        <v>85</v>
      </c>
    </row>
    <row r="4331" spans="1:61" x14ac:dyDescent="0.3">
      <c r="A4331" t="str">
        <f>"200840C0100"</f>
        <v>200840C0100</v>
      </c>
      <c r="B4331" t="s">
        <v>8769</v>
      </c>
      <c r="C4331">
        <v>20</v>
      </c>
      <c r="D4331" t="s">
        <v>79</v>
      </c>
      <c r="E4331">
        <v>20</v>
      </c>
      <c r="F4331" t="s">
        <v>8477</v>
      </c>
      <c r="G4331">
        <v>840</v>
      </c>
      <c r="H4331">
        <v>1</v>
      </c>
      <c r="I4331" t="s">
        <v>89</v>
      </c>
      <c r="J4331">
        <v>0</v>
      </c>
      <c r="K4331">
        <v>2</v>
      </c>
      <c r="L4331">
        <v>2</v>
      </c>
      <c r="M4331">
        <v>251</v>
      </c>
      <c r="N4331">
        <v>412</v>
      </c>
      <c r="O4331">
        <v>0</v>
      </c>
      <c r="P4331">
        <v>411</v>
      </c>
      <c r="Q4331">
        <v>4</v>
      </c>
      <c r="R4331">
        <v>197</v>
      </c>
      <c r="S4331">
        <v>14</v>
      </c>
      <c r="T4331">
        <v>4</v>
      </c>
      <c r="U4331">
        <v>4</v>
      </c>
      <c r="V4331">
        <v>3</v>
      </c>
      <c r="W4331">
        <v>2</v>
      </c>
      <c r="X4331">
        <v>5</v>
      </c>
      <c r="Y4331">
        <v>160</v>
      </c>
      <c r="Z4331">
        <v>4</v>
      </c>
      <c r="AA4331">
        <v>0</v>
      </c>
      <c r="AB4331">
        <v>1</v>
      </c>
      <c r="AC4331">
        <v>0</v>
      </c>
      <c r="AD4331">
        <v>0</v>
      </c>
      <c r="AE4331">
        <v>0</v>
      </c>
      <c r="AF4331">
        <v>0</v>
      </c>
      <c r="AK4331">
        <v>0</v>
      </c>
      <c r="AL4331">
        <v>0</v>
      </c>
      <c r="AM4331">
        <v>1</v>
      </c>
      <c r="AN4331">
        <v>1</v>
      </c>
      <c r="AQ4331">
        <v>0</v>
      </c>
      <c r="AT4331">
        <v>0</v>
      </c>
      <c r="AU4331">
        <v>12</v>
      </c>
      <c r="AV4331">
        <v>411</v>
      </c>
      <c r="AW4331">
        <v>412</v>
      </c>
      <c r="AX4331">
        <v>641</v>
      </c>
      <c r="BA4331">
        <v>1</v>
      </c>
      <c r="BC4331" t="s">
        <v>8770</v>
      </c>
      <c r="BD4331" s="4">
        <v>43283.268750000003</v>
      </c>
      <c r="BE4331" s="4">
        <v>43283.297592592593</v>
      </c>
      <c r="BF4331" s="4">
        <v>43283.297592592593</v>
      </c>
      <c r="BG4331" t="s">
        <v>83</v>
      </c>
      <c r="BH4331" t="s">
        <v>84</v>
      </c>
      <c r="BI4331" t="s">
        <v>85</v>
      </c>
    </row>
    <row r="4332" spans="1:61" x14ac:dyDescent="0.3">
      <c r="A4332" t="str">
        <f>"200877B0100"</f>
        <v>200877B0100</v>
      </c>
      <c r="B4332" t="s">
        <v>8771</v>
      </c>
      <c r="C4332">
        <v>20</v>
      </c>
      <c r="D4332" t="s">
        <v>79</v>
      </c>
      <c r="E4332">
        <v>20</v>
      </c>
      <c r="F4332" t="s">
        <v>8477</v>
      </c>
      <c r="G4332">
        <v>877</v>
      </c>
      <c r="H4332">
        <v>1</v>
      </c>
      <c r="I4332" t="s">
        <v>81</v>
      </c>
      <c r="J4332">
        <v>0</v>
      </c>
      <c r="K4332">
        <v>1</v>
      </c>
      <c r="L4332">
        <v>2</v>
      </c>
      <c r="M4332">
        <v>176</v>
      </c>
      <c r="N4332">
        <v>552</v>
      </c>
      <c r="O4332">
        <v>605</v>
      </c>
      <c r="P4332">
        <v>552</v>
      </c>
      <c r="Q4332">
        <v>2</v>
      </c>
      <c r="R4332">
        <v>187</v>
      </c>
      <c r="S4332">
        <v>16</v>
      </c>
      <c r="T4332">
        <v>2</v>
      </c>
      <c r="U4332">
        <v>26</v>
      </c>
      <c r="V4332">
        <v>2</v>
      </c>
      <c r="W4332">
        <v>119</v>
      </c>
      <c r="X4332">
        <v>0</v>
      </c>
      <c r="Y4332">
        <v>172</v>
      </c>
      <c r="Z4332">
        <v>9</v>
      </c>
      <c r="AA4332">
        <v>1</v>
      </c>
      <c r="AB4332">
        <v>0</v>
      </c>
      <c r="AC4332">
        <v>0</v>
      </c>
      <c r="AD4332">
        <v>0</v>
      </c>
      <c r="AE4332">
        <v>0</v>
      </c>
      <c r="AF4332">
        <v>0</v>
      </c>
      <c r="AK4332">
        <v>0</v>
      </c>
      <c r="AL4332">
        <v>0</v>
      </c>
      <c r="AM4332">
        <v>0</v>
      </c>
      <c r="AN4332">
        <v>0</v>
      </c>
      <c r="AQ4332">
        <v>0</v>
      </c>
      <c r="AT4332">
        <v>0</v>
      </c>
      <c r="AU4332">
        <v>15</v>
      </c>
      <c r="AV4332">
        <v>551</v>
      </c>
      <c r="AW4332">
        <v>551</v>
      </c>
      <c r="AX4332">
        <v>706</v>
      </c>
      <c r="BA4332">
        <v>1</v>
      </c>
      <c r="BC4332" t="s">
        <v>8772</v>
      </c>
      <c r="BD4332" s="4">
        <v>43283.318055555559</v>
      </c>
      <c r="BE4332" s="4">
        <v>43283.345069444447</v>
      </c>
      <c r="BF4332" s="4">
        <v>43283.345069444447</v>
      </c>
      <c r="BG4332" t="s">
        <v>83</v>
      </c>
      <c r="BH4332" t="s">
        <v>84</v>
      </c>
      <c r="BI4332" t="s">
        <v>85</v>
      </c>
    </row>
    <row r="4333" spans="1:61" x14ac:dyDescent="0.3">
      <c r="A4333" t="str">
        <f>"200877C0100"</f>
        <v>200877C0100</v>
      </c>
      <c r="B4333" t="s">
        <v>8773</v>
      </c>
      <c r="C4333">
        <v>20</v>
      </c>
      <c r="D4333" t="s">
        <v>79</v>
      </c>
      <c r="E4333">
        <v>20</v>
      </c>
      <c r="F4333" t="s">
        <v>8477</v>
      </c>
      <c r="G4333">
        <v>877</v>
      </c>
      <c r="H4333">
        <v>1</v>
      </c>
      <c r="I4333" t="s">
        <v>89</v>
      </c>
      <c r="J4333">
        <v>0</v>
      </c>
      <c r="K4333">
        <v>1</v>
      </c>
      <c r="L4333">
        <v>2</v>
      </c>
      <c r="M4333">
        <v>143</v>
      </c>
      <c r="N4333">
        <v>580</v>
      </c>
      <c r="O4333">
        <v>9</v>
      </c>
      <c r="P4333">
        <v>584</v>
      </c>
      <c r="Q4333">
        <v>6</v>
      </c>
      <c r="R4333">
        <v>186</v>
      </c>
      <c r="S4333">
        <v>17</v>
      </c>
      <c r="T4333">
        <v>1</v>
      </c>
      <c r="U4333">
        <v>40</v>
      </c>
      <c r="V4333">
        <v>7</v>
      </c>
      <c r="W4333">
        <v>142</v>
      </c>
      <c r="X4333">
        <v>2</v>
      </c>
      <c r="Y4333">
        <v>161</v>
      </c>
      <c r="Z4333">
        <v>13</v>
      </c>
      <c r="AA4333">
        <v>1</v>
      </c>
      <c r="AB4333">
        <v>0</v>
      </c>
      <c r="AC4333">
        <v>0</v>
      </c>
      <c r="AD4333">
        <v>0</v>
      </c>
      <c r="AE4333">
        <v>0</v>
      </c>
      <c r="AF4333">
        <v>0</v>
      </c>
      <c r="AK4333">
        <v>0</v>
      </c>
      <c r="AL4333">
        <v>0</v>
      </c>
      <c r="AM4333">
        <v>0</v>
      </c>
      <c r="AN4333">
        <v>0</v>
      </c>
      <c r="AQ4333">
        <v>0</v>
      </c>
      <c r="AT4333">
        <v>0</v>
      </c>
      <c r="AU4333">
        <v>8</v>
      </c>
      <c r="AV4333">
        <v>584</v>
      </c>
      <c r="AW4333">
        <v>584</v>
      </c>
      <c r="AX4333">
        <v>705</v>
      </c>
      <c r="BA4333">
        <v>1</v>
      </c>
      <c r="BC4333" t="s">
        <v>8774</v>
      </c>
      <c r="BD4333" s="4">
        <v>43283.31527777778</v>
      </c>
      <c r="BE4333" s="4">
        <v>43283.338796296295</v>
      </c>
      <c r="BF4333" s="4">
        <v>43283.338796296295</v>
      </c>
      <c r="BG4333" t="s">
        <v>83</v>
      </c>
      <c r="BH4333" t="s">
        <v>84</v>
      </c>
      <c r="BI4333" t="s">
        <v>85</v>
      </c>
    </row>
    <row r="4334" spans="1:61" x14ac:dyDescent="0.3">
      <c r="A4334" t="str">
        <f>"200877C0200"</f>
        <v>200877C0200</v>
      </c>
      <c r="B4334" t="s">
        <v>8775</v>
      </c>
      <c r="C4334">
        <v>20</v>
      </c>
      <c r="D4334" t="s">
        <v>79</v>
      </c>
      <c r="E4334">
        <v>20</v>
      </c>
      <c r="F4334" t="s">
        <v>8477</v>
      </c>
      <c r="G4334">
        <v>877</v>
      </c>
      <c r="H4334">
        <v>2</v>
      </c>
      <c r="I4334" t="s">
        <v>89</v>
      </c>
      <c r="J4334">
        <v>0</v>
      </c>
      <c r="K4334">
        <v>1</v>
      </c>
      <c r="L4334">
        <v>2</v>
      </c>
      <c r="M4334">
        <v>189</v>
      </c>
      <c r="N4334">
        <v>538</v>
      </c>
      <c r="O4334">
        <v>2</v>
      </c>
      <c r="P4334">
        <v>538</v>
      </c>
      <c r="Q4334">
        <v>1</v>
      </c>
      <c r="R4334">
        <v>152</v>
      </c>
      <c r="S4334">
        <v>10</v>
      </c>
      <c r="T4334">
        <v>2</v>
      </c>
      <c r="U4334">
        <v>15</v>
      </c>
      <c r="V4334">
        <v>4</v>
      </c>
      <c r="W4334">
        <v>165</v>
      </c>
      <c r="X4334">
        <v>2</v>
      </c>
      <c r="Y4334">
        <v>156</v>
      </c>
      <c r="Z4334">
        <v>12</v>
      </c>
      <c r="AA4334">
        <v>0</v>
      </c>
      <c r="AB4334">
        <v>0</v>
      </c>
      <c r="AC4334">
        <v>0</v>
      </c>
      <c r="AD4334">
        <v>0</v>
      </c>
      <c r="AE4334">
        <v>0</v>
      </c>
      <c r="AF4334">
        <v>0</v>
      </c>
      <c r="AK4334">
        <v>1</v>
      </c>
      <c r="AL4334">
        <v>1</v>
      </c>
      <c r="AM4334">
        <v>0</v>
      </c>
      <c r="AN4334">
        <v>0</v>
      </c>
      <c r="AQ4334">
        <v>0</v>
      </c>
      <c r="AT4334">
        <v>0</v>
      </c>
      <c r="AU4334">
        <v>15</v>
      </c>
      <c r="AV4334" t="s">
        <v>100</v>
      </c>
      <c r="AW4334">
        <v>536</v>
      </c>
      <c r="AX4334">
        <v>705</v>
      </c>
      <c r="BA4334">
        <v>1</v>
      </c>
      <c r="BC4334" t="s">
        <v>8776</v>
      </c>
      <c r="BD4334" s="4">
        <v>43283.316666666666</v>
      </c>
      <c r="BE4334" s="4">
        <v>43283.340231481481</v>
      </c>
      <c r="BF4334" s="4">
        <v>43283.340231481481</v>
      </c>
      <c r="BG4334" t="s">
        <v>83</v>
      </c>
      <c r="BH4334" t="s">
        <v>84</v>
      </c>
      <c r="BI4334" t="s">
        <v>85</v>
      </c>
    </row>
    <row r="4335" spans="1:61" x14ac:dyDescent="0.3">
      <c r="A4335" t="str">
        <f>"200878B0100"</f>
        <v>200878B0100</v>
      </c>
      <c r="B4335" t="s">
        <v>8777</v>
      </c>
      <c r="C4335">
        <v>20</v>
      </c>
      <c r="D4335" t="s">
        <v>79</v>
      </c>
      <c r="E4335">
        <v>20</v>
      </c>
      <c r="F4335" t="s">
        <v>8477</v>
      </c>
      <c r="G4335">
        <v>878</v>
      </c>
      <c r="H4335">
        <v>1</v>
      </c>
      <c r="I4335" t="s">
        <v>81</v>
      </c>
      <c r="J4335">
        <v>0</v>
      </c>
      <c r="K4335">
        <v>1</v>
      </c>
      <c r="L4335">
        <v>2</v>
      </c>
      <c r="M4335">
        <v>152</v>
      </c>
      <c r="N4335">
        <v>607</v>
      </c>
      <c r="O4335">
        <v>7</v>
      </c>
      <c r="P4335">
        <v>0</v>
      </c>
      <c r="Q4335">
        <v>0</v>
      </c>
      <c r="R4335">
        <v>166</v>
      </c>
      <c r="S4335">
        <v>6</v>
      </c>
      <c r="T4335">
        <v>0</v>
      </c>
      <c r="U4335">
        <v>7</v>
      </c>
      <c r="V4335">
        <v>1</v>
      </c>
      <c r="W4335">
        <v>126</v>
      </c>
      <c r="X4335">
        <v>0</v>
      </c>
      <c r="Y4335">
        <v>129</v>
      </c>
      <c r="Z4335">
        <v>6</v>
      </c>
      <c r="AA4335">
        <v>0</v>
      </c>
      <c r="AB4335">
        <v>0</v>
      </c>
      <c r="AC4335" t="s">
        <v>100</v>
      </c>
      <c r="AD4335" t="s">
        <v>100</v>
      </c>
      <c r="AE4335" t="s">
        <v>100</v>
      </c>
      <c r="AF4335" t="s">
        <v>100</v>
      </c>
      <c r="AK4335" t="s">
        <v>100</v>
      </c>
      <c r="AL4335" t="s">
        <v>100</v>
      </c>
      <c r="AM4335" t="s">
        <v>100</v>
      </c>
      <c r="AN4335" t="s">
        <v>100</v>
      </c>
      <c r="AQ4335" t="s">
        <v>100</v>
      </c>
      <c r="AT4335" t="s">
        <v>100</v>
      </c>
      <c r="AU4335" t="s">
        <v>100</v>
      </c>
      <c r="AV4335" t="s">
        <v>100</v>
      </c>
      <c r="AW4335">
        <v>441</v>
      </c>
      <c r="AX4335">
        <v>585</v>
      </c>
      <c r="AZ4335" t="s">
        <v>101</v>
      </c>
      <c r="BA4335">
        <v>1</v>
      </c>
      <c r="BC4335" t="s">
        <v>8778</v>
      </c>
      <c r="BD4335" s="4">
        <v>43283.320138888892</v>
      </c>
      <c r="BE4335" s="4">
        <v>43283.342210648145</v>
      </c>
      <c r="BF4335" s="4">
        <v>43283.342210648145</v>
      </c>
      <c r="BG4335" t="s">
        <v>83</v>
      </c>
      <c r="BH4335" t="s">
        <v>84</v>
      </c>
      <c r="BI4335" t="s">
        <v>85</v>
      </c>
    </row>
    <row r="4336" spans="1:61" x14ac:dyDescent="0.3">
      <c r="A4336" t="str">
        <f>"200878C0100"</f>
        <v>200878C0100</v>
      </c>
      <c r="B4336" t="s">
        <v>8779</v>
      </c>
      <c r="C4336">
        <v>20</v>
      </c>
      <c r="D4336" t="s">
        <v>79</v>
      </c>
      <c r="E4336">
        <v>20</v>
      </c>
      <c r="F4336" t="s">
        <v>8477</v>
      </c>
      <c r="G4336">
        <v>878</v>
      </c>
      <c r="H4336">
        <v>1</v>
      </c>
      <c r="I4336" t="s">
        <v>89</v>
      </c>
      <c r="J4336">
        <v>0</v>
      </c>
      <c r="K4336">
        <v>1</v>
      </c>
      <c r="L4336">
        <v>2</v>
      </c>
      <c r="M4336">
        <v>156</v>
      </c>
      <c r="N4336">
        <v>451</v>
      </c>
      <c r="O4336">
        <v>1</v>
      </c>
      <c r="P4336">
        <v>451</v>
      </c>
      <c r="Q4336">
        <v>5</v>
      </c>
      <c r="R4336">
        <v>136</v>
      </c>
      <c r="S4336">
        <v>14</v>
      </c>
      <c r="T4336">
        <v>4</v>
      </c>
      <c r="U4336">
        <v>8</v>
      </c>
      <c r="V4336">
        <v>0</v>
      </c>
      <c r="W4336">
        <v>113</v>
      </c>
      <c r="X4336">
        <v>2</v>
      </c>
      <c r="Y4336">
        <v>113</v>
      </c>
      <c r="Z4336">
        <v>7</v>
      </c>
      <c r="AA4336">
        <v>0</v>
      </c>
      <c r="AB4336">
        <v>1</v>
      </c>
      <c r="AC4336">
        <v>0</v>
      </c>
      <c r="AD4336">
        <v>0</v>
      </c>
      <c r="AE4336">
        <v>0</v>
      </c>
      <c r="AF4336">
        <v>0</v>
      </c>
      <c r="AK4336">
        <v>0</v>
      </c>
      <c r="AL4336">
        <v>0</v>
      </c>
      <c r="AM4336">
        <v>0</v>
      </c>
      <c r="AN4336">
        <v>1</v>
      </c>
      <c r="AQ4336">
        <v>0</v>
      </c>
      <c r="AT4336">
        <v>0</v>
      </c>
      <c r="AU4336">
        <v>16</v>
      </c>
      <c r="AV4336" t="s">
        <v>315</v>
      </c>
      <c r="AW4336">
        <v>420</v>
      </c>
      <c r="AX4336">
        <v>584</v>
      </c>
      <c r="BA4336">
        <v>1</v>
      </c>
      <c r="BC4336" t="s">
        <v>8780</v>
      </c>
      <c r="BD4336" s="4">
        <v>43283.322916666664</v>
      </c>
      <c r="BE4336" s="4">
        <v>43283.348113425927</v>
      </c>
      <c r="BF4336" s="4">
        <v>43283.348113425927</v>
      </c>
      <c r="BG4336" t="s">
        <v>83</v>
      </c>
      <c r="BH4336" t="s">
        <v>84</v>
      </c>
      <c r="BI4336" t="s">
        <v>85</v>
      </c>
    </row>
    <row r="4337" spans="1:61" x14ac:dyDescent="0.3">
      <c r="A4337" t="str">
        <f>"200878C0200"</f>
        <v>200878C0200</v>
      </c>
      <c r="B4337" t="s">
        <v>8781</v>
      </c>
      <c r="C4337">
        <v>20</v>
      </c>
      <c r="D4337" t="s">
        <v>79</v>
      </c>
      <c r="E4337">
        <v>20</v>
      </c>
      <c r="F4337" t="s">
        <v>8477</v>
      </c>
      <c r="G4337">
        <v>878</v>
      </c>
      <c r="H4337">
        <v>2</v>
      </c>
      <c r="I4337" t="s">
        <v>89</v>
      </c>
      <c r="J4337">
        <v>0</v>
      </c>
      <c r="K4337">
        <v>1</v>
      </c>
      <c r="L4337">
        <v>2</v>
      </c>
      <c r="M4337">
        <v>142</v>
      </c>
      <c r="N4337">
        <v>4</v>
      </c>
      <c r="O4337">
        <v>4</v>
      </c>
      <c r="P4337">
        <v>464</v>
      </c>
      <c r="Q4337">
        <v>5</v>
      </c>
      <c r="R4337">
        <v>178</v>
      </c>
      <c r="S4337">
        <v>6</v>
      </c>
      <c r="T4337">
        <v>2</v>
      </c>
      <c r="U4337">
        <v>8</v>
      </c>
      <c r="V4337">
        <v>1</v>
      </c>
      <c r="W4337">
        <v>125</v>
      </c>
      <c r="X4337">
        <v>1</v>
      </c>
      <c r="Y4337">
        <v>114</v>
      </c>
      <c r="Z4337">
        <v>8</v>
      </c>
      <c r="AA4337">
        <v>1</v>
      </c>
      <c r="AB4337">
        <v>1</v>
      </c>
      <c r="AC4337" t="s">
        <v>100</v>
      </c>
      <c r="AD4337" t="s">
        <v>100</v>
      </c>
      <c r="AE4337" t="s">
        <v>100</v>
      </c>
      <c r="AF4337" t="s">
        <v>100</v>
      </c>
      <c r="AK4337" t="s">
        <v>100</v>
      </c>
      <c r="AL4337" t="s">
        <v>100</v>
      </c>
      <c r="AM4337" t="s">
        <v>100</v>
      </c>
      <c r="AN4337" t="s">
        <v>100</v>
      </c>
      <c r="AQ4337" t="s">
        <v>100</v>
      </c>
      <c r="AT4337" t="s">
        <v>100</v>
      </c>
      <c r="AU4337">
        <v>13</v>
      </c>
      <c r="AV4337" t="s">
        <v>100</v>
      </c>
      <c r="AW4337">
        <v>463</v>
      </c>
      <c r="AX4337">
        <v>584</v>
      </c>
      <c r="AZ4337" t="s">
        <v>101</v>
      </c>
      <c r="BA4337">
        <v>1</v>
      </c>
      <c r="BC4337" t="s">
        <v>8782</v>
      </c>
      <c r="BD4337" s="4">
        <v>43283.317361111112</v>
      </c>
      <c r="BE4337" s="4">
        <v>43283.343495370369</v>
      </c>
      <c r="BF4337" s="4">
        <v>43283.343495370369</v>
      </c>
      <c r="BG4337" t="s">
        <v>83</v>
      </c>
      <c r="BH4337" t="s">
        <v>84</v>
      </c>
      <c r="BI4337" t="s">
        <v>85</v>
      </c>
    </row>
    <row r="4338" spans="1:61" x14ac:dyDescent="0.3">
      <c r="A4338" t="str">
        <f>"200879B0100"</f>
        <v>200879B0100</v>
      </c>
      <c r="B4338" t="s">
        <v>8783</v>
      </c>
      <c r="C4338">
        <v>20</v>
      </c>
      <c r="D4338" t="s">
        <v>79</v>
      </c>
      <c r="E4338">
        <v>20</v>
      </c>
      <c r="F4338" t="s">
        <v>8477</v>
      </c>
      <c r="G4338">
        <v>879</v>
      </c>
      <c r="H4338">
        <v>1</v>
      </c>
      <c r="I4338" t="s">
        <v>81</v>
      </c>
      <c r="J4338">
        <v>0</v>
      </c>
      <c r="K4338">
        <v>1</v>
      </c>
      <c r="L4338">
        <v>2</v>
      </c>
      <c r="M4338">
        <v>151</v>
      </c>
      <c r="N4338">
        <v>512</v>
      </c>
      <c r="O4338">
        <v>5</v>
      </c>
      <c r="P4338">
        <v>514</v>
      </c>
      <c r="Q4338">
        <v>0</v>
      </c>
      <c r="R4338">
        <v>492</v>
      </c>
      <c r="S4338">
        <v>2</v>
      </c>
      <c r="T4338">
        <v>3</v>
      </c>
      <c r="U4338">
        <v>0</v>
      </c>
      <c r="V4338">
        <v>0</v>
      </c>
      <c r="W4338">
        <v>9</v>
      </c>
      <c r="X4338" t="s">
        <v>100</v>
      </c>
      <c r="Y4338">
        <v>7</v>
      </c>
      <c r="Z4338">
        <v>0</v>
      </c>
      <c r="AA4338">
        <v>0</v>
      </c>
      <c r="AB4338">
        <v>0</v>
      </c>
      <c r="AC4338">
        <v>0</v>
      </c>
      <c r="AD4338">
        <v>0</v>
      </c>
      <c r="AE4338">
        <v>0</v>
      </c>
      <c r="AF4338">
        <v>0</v>
      </c>
      <c r="AK4338">
        <v>0</v>
      </c>
      <c r="AL4338">
        <v>0</v>
      </c>
      <c r="AM4338">
        <v>0</v>
      </c>
      <c r="AN4338">
        <v>0</v>
      </c>
      <c r="AQ4338">
        <v>0</v>
      </c>
      <c r="AT4338">
        <v>0</v>
      </c>
      <c r="AU4338">
        <v>4</v>
      </c>
      <c r="AV4338">
        <v>514</v>
      </c>
      <c r="AW4338">
        <v>517</v>
      </c>
      <c r="AX4338">
        <v>645</v>
      </c>
      <c r="AZ4338" t="s">
        <v>101</v>
      </c>
      <c r="BA4338">
        <v>1</v>
      </c>
      <c r="BC4338" t="s">
        <v>8784</v>
      </c>
      <c r="BD4338" s="4">
        <v>43283.21125</v>
      </c>
      <c r="BE4338" s="4">
        <v>43283.24454861111</v>
      </c>
      <c r="BF4338" s="4">
        <v>43283.24454861111</v>
      </c>
      <c r="BG4338" t="s">
        <v>83</v>
      </c>
      <c r="BH4338" t="s">
        <v>84</v>
      </c>
      <c r="BI4338" t="s">
        <v>85</v>
      </c>
    </row>
    <row r="4339" spans="1:61" x14ac:dyDescent="0.3">
      <c r="A4339" t="str">
        <f>"200879E0100"</f>
        <v>200879E0100</v>
      </c>
      <c r="B4339" s="2" t="s">
        <v>8785</v>
      </c>
      <c r="C4339">
        <v>20</v>
      </c>
      <c r="D4339" t="s">
        <v>79</v>
      </c>
      <c r="E4339">
        <v>20</v>
      </c>
      <c r="F4339" t="s">
        <v>8477</v>
      </c>
      <c r="G4339">
        <v>879</v>
      </c>
      <c r="H4339">
        <v>1</v>
      </c>
      <c r="I4339" t="s">
        <v>145</v>
      </c>
      <c r="J4339">
        <v>0</v>
      </c>
      <c r="K4339">
        <v>2</v>
      </c>
      <c r="L4339">
        <v>2</v>
      </c>
      <c r="AX4339">
        <v>113</v>
      </c>
      <c r="AZ4339" t="s">
        <v>156</v>
      </c>
      <c r="BA4339">
        <v>0</v>
      </c>
      <c r="BC4339" t="s">
        <v>8786</v>
      </c>
      <c r="BD4339" s="4">
        <v>43283.551388888889</v>
      </c>
      <c r="BE4339" s="4">
        <v>43283.55667824074</v>
      </c>
      <c r="BF4339" s="4">
        <v>43283.55667824074</v>
      </c>
      <c r="BG4339" t="s">
        <v>83</v>
      </c>
      <c r="BH4339" t="s">
        <v>84</v>
      </c>
      <c r="BI4339" t="s">
        <v>85</v>
      </c>
    </row>
    <row r="4340" spans="1:61" x14ac:dyDescent="0.3">
      <c r="A4340" t="str">
        <f>"200880B0100"</f>
        <v>200880B0100</v>
      </c>
      <c r="B4340" t="s">
        <v>8787</v>
      </c>
      <c r="C4340">
        <v>20</v>
      </c>
      <c r="D4340" t="s">
        <v>79</v>
      </c>
      <c r="E4340">
        <v>20</v>
      </c>
      <c r="F4340" t="s">
        <v>8477</v>
      </c>
      <c r="G4340">
        <v>880</v>
      </c>
      <c r="H4340">
        <v>1</v>
      </c>
      <c r="I4340" t="s">
        <v>81</v>
      </c>
      <c r="J4340">
        <v>0</v>
      </c>
      <c r="K4340">
        <v>2</v>
      </c>
      <c r="L4340">
        <v>2</v>
      </c>
      <c r="M4340">
        <v>52</v>
      </c>
      <c r="N4340">
        <v>320</v>
      </c>
      <c r="O4340">
        <v>1</v>
      </c>
      <c r="P4340">
        <v>320</v>
      </c>
      <c r="Q4340">
        <v>0</v>
      </c>
      <c r="R4340">
        <v>166</v>
      </c>
      <c r="S4340">
        <v>0</v>
      </c>
      <c r="T4340">
        <v>0</v>
      </c>
      <c r="U4340">
        <v>2</v>
      </c>
      <c r="V4340">
        <v>1</v>
      </c>
      <c r="W4340">
        <v>16</v>
      </c>
      <c r="X4340">
        <v>0</v>
      </c>
      <c r="Y4340">
        <v>82</v>
      </c>
      <c r="Z4340">
        <v>0</v>
      </c>
      <c r="AA4340">
        <v>0</v>
      </c>
      <c r="AB4340">
        <v>0</v>
      </c>
      <c r="AC4340">
        <v>0</v>
      </c>
      <c r="AD4340">
        <v>0</v>
      </c>
      <c r="AE4340">
        <v>0</v>
      </c>
      <c r="AF4340">
        <v>0</v>
      </c>
      <c r="AK4340">
        <v>0</v>
      </c>
      <c r="AL4340">
        <v>0</v>
      </c>
      <c r="AM4340">
        <v>0</v>
      </c>
      <c r="AN4340">
        <v>0</v>
      </c>
      <c r="AQ4340">
        <v>0</v>
      </c>
      <c r="AT4340">
        <v>0</v>
      </c>
      <c r="AU4340">
        <v>1</v>
      </c>
      <c r="AV4340">
        <v>268</v>
      </c>
      <c r="AW4340">
        <v>268</v>
      </c>
      <c r="AX4340">
        <v>299</v>
      </c>
      <c r="BA4340">
        <v>1</v>
      </c>
      <c r="BC4340" t="s">
        <v>8788</v>
      </c>
      <c r="BD4340" s="4">
        <v>43283.315972222219</v>
      </c>
      <c r="BE4340" s="4">
        <v>43283.339456018519</v>
      </c>
      <c r="BF4340" s="4">
        <v>43283.339456018519</v>
      </c>
      <c r="BG4340" t="s">
        <v>83</v>
      </c>
      <c r="BH4340" t="s">
        <v>84</v>
      </c>
      <c r="BI4340" t="s">
        <v>85</v>
      </c>
    </row>
    <row r="4341" spans="1:61" x14ac:dyDescent="0.3">
      <c r="A4341" t="str">
        <f>"200881B0100"</f>
        <v>200881B0100</v>
      </c>
      <c r="B4341" t="s">
        <v>8789</v>
      </c>
      <c r="C4341">
        <v>20</v>
      </c>
      <c r="D4341" t="s">
        <v>79</v>
      </c>
      <c r="E4341">
        <v>20</v>
      </c>
      <c r="F4341" t="s">
        <v>8477</v>
      </c>
      <c r="G4341">
        <v>881</v>
      </c>
      <c r="H4341">
        <v>1</v>
      </c>
      <c r="I4341" t="s">
        <v>81</v>
      </c>
      <c r="J4341">
        <v>0</v>
      </c>
      <c r="K4341">
        <v>2</v>
      </c>
      <c r="L4341">
        <v>2</v>
      </c>
      <c r="M4341">
        <v>88</v>
      </c>
      <c r="N4341">
        <v>400</v>
      </c>
      <c r="O4341">
        <v>1</v>
      </c>
      <c r="P4341" t="s">
        <v>315</v>
      </c>
      <c r="Q4341">
        <v>0</v>
      </c>
      <c r="R4341">
        <v>113</v>
      </c>
      <c r="S4341">
        <v>1</v>
      </c>
      <c r="T4341">
        <v>1</v>
      </c>
      <c r="U4341">
        <v>3</v>
      </c>
      <c r="V4341" t="s">
        <v>100</v>
      </c>
      <c r="W4341">
        <v>51</v>
      </c>
      <c r="X4341" t="s">
        <v>100</v>
      </c>
      <c r="Y4341">
        <v>225</v>
      </c>
      <c r="Z4341" t="s">
        <v>315</v>
      </c>
      <c r="AA4341" t="s">
        <v>100</v>
      </c>
      <c r="AB4341" t="s">
        <v>100</v>
      </c>
      <c r="AC4341" t="s">
        <v>100</v>
      </c>
      <c r="AD4341" t="s">
        <v>100</v>
      </c>
      <c r="AE4341" t="s">
        <v>100</v>
      </c>
      <c r="AF4341" t="s">
        <v>100</v>
      </c>
      <c r="AK4341" t="s">
        <v>100</v>
      </c>
      <c r="AL4341" t="s">
        <v>100</v>
      </c>
      <c r="AM4341" t="s">
        <v>100</v>
      </c>
      <c r="AN4341" t="s">
        <v>100</v>
      </c>
      <c r="AQ4341" t="s">
        <v>100</v>
      </c>
      <c r="AT4341" t="s">
        <v>100</v>
      </c>
      <c r="AU4341" t="s">
        <v>100</v>
      </c>
      <c r="AV4341" t="s">
        <v>100</v>
      </c>
      <c r="AW4341">
        <v>394</v>
      </c>
      <c r="AX4341">
        <v>466</v>
      </c>
      <c r="AZ4341" t="s">
        <v>101</v>
      </c>
      <c r="BA4341">
        <v>1</v>
      </c>
      <c r="BC4341" t="s">
        <v>8790</v>
      </c>
      <c r="BD4341" s="4">
        <v>43283.317361111112</v>
      </c>
      <c r="BE4341" s="4">
        <v>43283.362951388888</v>
      </c>
      <c r="BF4341" s="4">
        <v>43283.362951388888</v>
      </c>
      <c r="BG4341" t="s">
        <v>83</v>
      </c>
      <c r="BH4341" t="s">
        <v>84</v>
      </c>
      <c r="BI4341" t="s">
        <v>85</v>
      </c>
    </row>
    <row r="4342" spans="1:61" x14ac:dyDescent="0.3">
      <c r="A4342" t="str">
        <f>"200881C0100"</f>
        <v>200881C0100</v>
      </c>
      <c r="B4342" t="s">
        <v>8791</v>
      </c>
      <c r="C4342">
        <v>20</v>
      </c>
      <c r="D4342" t="s">
        <v>79</v>
      </c>
      <c r="E4342">
        <v>20</v>
      </c>
      <c r="F4342" t="s">
        <v>8477</v>
      </c>
      <c r="G4342">
        <v>881</v>
      </c>
      <c r="H4342">
        <v>1</v>
      </c>
      <c r="I4342" t="s">
        <v>89</v>
      </c>
      <c r="J4342">
        <v>0</v>
      </c>
      <c r="K4342">
        <v>2</v>
      </c>
      <c r="L4342">
        <v>2</v>
      </c>
      <c r="AX4342">
        <v>466</v>
      </c>
      <c r="AZ4342" t="s">
        <v>156</v>
      </c>
      <c r="BA4342">
        <v>0</v>
      </c>
      <c r="BC4342" t="s">
        <v>8792</v>
      </c>
      <c r="BD4342" s="4">
        <v>43283.552777777775</v>
      </c>
      <c r="BE4342" s="4">
        <v>43283.557164351849</v>
      </c>
      <c r="BF4342" s="4">
        <v>43283.557164351849</v>
      </c>
      <c r="BG4342" t="s">
        <v>83</v>
      </c>
      <c r="BH4342" t="s">
        <v>84</v>
      </c>
      <c r="BI4342" t="s">
        <v>85</v>
      </c>
    </row>
    <row r="4343" spans="1:61" x14ac:dyDescent="0.3">
      <c r="A4343" t="str">
        <f>"200883B0100"</f>
        <v>200883B0100</v>
      </c>
      <c r="B4343" t="s">
        <v>8793</v>
      </c>
      <c r="C4343">
        <v>20</v>
      </c>
      <c r="D4343" t="s">
        <v>79</v>
      </c>
      <c r="E4343">
        <v>20</v>
      </c>
      <c r="F4343" t="s">
        <v>8477</v>
      </c>
      <c r="G4343">
        <v>883</v>
      </c>
      <c r="H4343">
        <v>1</v>
      </c>
      <c r="I4343" t="s">
        <v>81</v>
      </c>
      <c r="J4343">
        <v>0</v>
      </c>
      <c r="K4343">
        <v>1</v>
      </c>
      <c r="L4343">
        <v>2</v>
      </c>
      <c r="AX4343">
        <v>707</v>
      </c>
      <c r="AZ4343" t="s">
        <v>1868</v>
      </c>
      <c r="BA4343">
        <v>0</v>
      </c>
      <c r="BC4343" t="s">
        <v>8794</v>
      </c>
      <c r="BD4343" s="4">
        <v>43283.375694444447</v>
      </c>
      <c r="BE4343" s="4">
        <v>43283.388807870368</v>
      </c>
      <c r="BF4343" s="4">
        <v>43283.388807870368</v>
      </c>
      <c r="BG4343" t="s">
        <v>83</v>
      </c>
      <c r="BH4343" t="s">
        <v>84</v>
      </c>
      <c r="BI4343" t="s">
        <v>85</v>
      </c>
    </row>
    <row r="4344" spans="1:61" x14ac:dyDescent="0.3">
      <c r="A4344" t="str">
        <f>"200883E0100"</f>
        <v>200883E0100</v>
      </c>
      <c r="B4344" s="2" t="s">
        <v>8795</v>
      </c>
      <c r="C4344">
        <v>20</v>
      </c>
      <c r="D4344" t="s">
        <v>79</v>
      </c>
      <c r="E4344">
        <v>20</v>
      </c>
      <c r="F4344" t="s">
        <v>8477</v>
      </c>
      <c r="G4344">
        <v>883</v>
      </c>
      <c r="H4344">
        <v>1</v>
      </c>
      <c r="I4344" t="s">
        <v>145</v>
      </c>
      <c r="J4344">
        <v>0</v>
      </c>
      <c r="K4344">
        <v>1</v>
      </c>
      <c r="L4344">
        <v>2</v>
      </c>
      <c r="AX4344">
        <v>363</v>
      </c>
      <c r="AZ4344" t="s">
        <v>156</v>
      </c>
      <c r="BA4344">
        <v>0</v>
      </c>
      <c r="BC4344" t="s">
        <v>8796</v>
      </c>
      <c r="BD4344" s="4">
        <v>43283.552777777775</v>
      </c>
      <c r="BE4344" s="4">
        <v>43283.558379629627</v>
      </c>
      <c r="BF4344" s="4">
        <v>43283.558379629627</v>
      </c>
      <c r="BG4344" t="s">
        <v>83</v>
      </c>
      <c r="BH4344" t="s">
        <v>84</v>
      </c>
      <c r="BI4344" t="s">
        <v>85</v>
      </c>
    </row>
    <row r="4345" spans="1:61" x14ac:dyDescent="0.3">
      <c r="A4345" t="str">
        <f>"200884B0100"</f>
        <v>200884B0100</v>
      </c>
      <c r="B4345" t="s">
        <v>8797</v>
      </c>
      <c r="C4345">
        <v>20</v>
      </c>
      <c r="D4345" t="s">
        <v>79</v>
      </c>
      <c r="E4345">
        <v>20</v>
      </c>
      <c r="F4345" t="s">
        <v>8477</v>
      </c>
      <c r="G4345">
        <v>884</v>
      </c>
      <c r="H4345">
        <v>1</v>
      </c>
      <c r="I4345" t="s">
        <v>81</v>
      </c>
      <c r="J4345">
        <v>0</v>
      </c>
      <c r="K4345">
        <v>1</v>
      </c>
      <c r="L4345">
        <v>2</v>
      </c>
      <c r="M4345">
        <v>138</v>
      </c>
      <c r="N4345">
        <v>450</v>
      </c>
      <c r="O4345">
        <v>1</v>
      </c>
      <c r="P4345">
        <v>444</v>
      </c>
      <c r="Q4345">
        <v>30</v>
      </c>
      <c r="R4345">
        <v>118</v>
      </c>
      <c r="S4345">
        <v>27</v>
      </c>
      <c r="T4345" t="s">
        <v>100</v>
      </c>
      <c r="U4345">
        <v>21</v>
      </c>
      <c r="V4345">
        <v>8</v>
      </c>
      <c r="W4345">
        <v>20</v>
      </c>
      <c r="X4345" t="s">
        <v>100</v>
      </c>
      <c r="Y4345">
        <v>195</v>
      </c>
      <c r="Z4345" t="s">
        <v>100</v>
      </c>
      <c r="AA4345" t="s">
        <v>100</v>
      </c>
      <c r="AB4345">
        <v>1</v>
      </c>
      <c r="AC4345" t="s">
        <v>100</v>
      </c>
      <c r="AD4345" t="s">
        <v>100</v>
      </c>
      <c r="AE4345" t="s">
        <v>100</v>
      </c>
      <c r="AF4345" t="s">
        <v>100</v>
      </c>
      <c r="AK4345" t="s">
        <v>100</v>
      </c>
      <c r="AL4345" t="s">
        <v>100</v>
      </c>
      <c r="AM4345" t="s">
        <v>100</v>
      </c>
      <c r="AN4345" t="s">
        <v>100</v>
      </c>
      <c r="AQ4345">
        <v>5</v>
      </c>
      <c r="AT4345" t="s">
        <v>100</v>
      </c>
      <c r="AU4345">
        <v>19</v>
      </c>
      <c r="AV4345">
        <v>444</v>
      </c>
      <c r="AW4345">
        <v>444</v>
      </c>
      <c r="AX4345">
        <v>566</v>
      </c>
      <c r="AZ4345" t="s">
        <v>101</v>
      </c>
      <c r="BA4345">
        <v>1</v>
      </c>
      <c r="BC4345" t="s">
        <v>8798</v>
      </c>
      <c r="BD4345" s="4">
        <v>43283.374305555553</v>
      </c>
      <c r="BE4345" s="4">
        <v>43283.380046296297</v>
      </c>
      <c r="BF4345" s="4">
        <v>43283.380046296297</v>
      </c>
      <c r="BG4345" t="s">
        <v>83</v>
      </c>
      <c r="BH4345" t="s">
        <v>84</v>
      </c>
      <c r="BI4345" t="s">
        <v>85</v>
      </c>
    </row>
    <row r="4346" spans="1:61" x14ac:dyDescent="0.3">
      <c r="A4346" t="str">
        <f>"200884C0100"</f>
        <v>200884C0100</v>
      </c>
      <c r="B4346" t="s">
        <v>8799</v>
      </c>
      <c r="C4346">
        <v>20</v>
      </c>
      <c r="D4346" t="s">
        <v>79</v>
      </c>
      <c r="E4346">
        <v>20</v>
      </c>
      <c r="F4346" t="s">
        <v>8477</v>
      </c>
      <c r="G4346">
        <v>884</v>
      </c>
      <c r="H4346">
        <v>1</v>
      </c>
      <c r="I4346" t="s">
        <v>89</v>
      </c>
      <c r="J4346">
        <v>0</v>
      </c>
      <c r="K4346">
        <v>1</v>
      </c>
      <c r="L4346">
        <v>2</v>
      </c>
      <c r="M4346">
        <v>153</v>
      </c>
      <c r="N4346" t="s">
        <v>100</v>
      </c>
      <c r="O4346">
        <v>1</v>
      </c>
      <c r="P4346" t="s">
        <v>100</v>
      </c>
      <c r="Q4346">
        <v>17</v>
      </c>
      <c r="R4346">
        <v>141</v>
      </c>
      <c r="S4346">
        <v>24</v>
      </c>
      <c r="T4346">
        <v>6</v>
      </c>
      <c r="U4346">
        <v>30</v>
      </c>
      <c r="V4346">
        <v>7</v>
      </c>
      <c r="W4346">
        <v>7</v>
      </c>
      <c r="X4346">
        <v>2</v>
      </c>
      <c r="Y4346">
        <v>181</v>
      </c>
      <c r="Z4346">
        <v>4</v>
      </c>
      <c r="AA4346">
        <v>0</v>
      </c>
      <c r="AB4346">
        <v>1</v>
      </c>
      <c r="AC4346">
        <v>0</v>
      </c>
      <c r="AD4346">
        <v>2</v>
      </c>
      <c r="AE4346">
        <v>0</v>
      </c>
      <c r="AF4346">
        <v>0</v>
      </c>
      <c r="AK4346">
        <v>5</v>
      </c>
      <c r="AL4346">
        <v>0</v>
      </c>
      <c r="AM4346">
        <v>0</v>
      </c>
      <c r="AN4346">
        <v>1</v>
      </c>
      <c r="AQ4346" t="s">
        <v>100</v>
      </c>
      <c r="AT4346" t="s">
        <v>100</v>
      </c>
      <c r="AU4346">
        <v>13</v>
      </c>
      <c r="AV4346">
        <v>441</v>
      </c>
      <c r="AW4346">
        <v>441</v>
      </c>
      <c r="AX4346">
        <v>566</v>
      </c>
      <c r="AZ4346" t="s">
        <v>101</v>
      </c>
      <c r="BA4346">
        <v>1</v>
      </c>
      <c r="BC4346" s="2" t="s">
        <v>8800</v>
      </c>
      <c r="BD4346" s="4">
        <v>43283.378472222219</v>
      </c>
      <c r="BE4346" s="4">
        <v>43283.3828587963</v>
      </c>
      <c r="BF4346" s="4">
        <v>43283.3828587963</v>
      </c>
      <c r="BG4346" t="s">
        <v>83</v>
      </c>
      <c r="BH4346" t="s">
        <v>84</v>
      </c>
      <c r="BI4346" t="s">
        <v>85</v>
      </c>
    </row>
    <row r="4347" spans="1:61" x14ac:dyDescent="0.3">
      <c r="A4347" t="str">
        <f>"200884E0100"</f>
        <v>200884E0100</v>
      </c>
      <c r="B4347" s="2" t="s">
        <v>8801</v>
      </c>
      <c r="C4347">
        <v>20</v>
      </c>
      <c r="D4347" t="s">
        <v>79</v>
      </c>
      <c r="E4347">
        <v>20</v>
      </c>
      <c r="F4347" t="s">
        <v>8477</v>
      </c>
      <c r="G4347">
        <v>884</v>
      </c>
      <c r="H4347">
        <v>1</v>
      </c>
      <c r="I4347" t="s">
        <v>145</v>
      </c>
      <c r="J4347">
        <v>0</v>
      </c>
      <c r="K4347">
        <v>2</v>
      </c>
      <c r="L4347">
        <v>2</v>
      </c>
      <c r="M4347">
        <v>55</v>
      </c>
      <c r="N4347">
        <v>212</v>
      </c>
      <c r="O4347">
        <v>2</v>
      </c>
      <c r="P4347">
        <v>212</v>
      </c>
      <c r="Q4347">
        <v>12</v>
      </c>
      <c r="R4347">
        <v>86</v>
      </c>
      <c r="S4347">
        <v>5</v>
      </c>
      <c r="T4347">
        <v>3</v>
      </c>
      <c r="U4347">
        <v>16</v>
      </c>
      <c r="V4347">
        <v>2</v>
      </c>
      <c r="W4347">
        <v>1</v>
      </c>
      <c r="X4347">
        <v>2</v>
      </c>
      <c r="Y4347">
        <v>69</v>
      </c>
      <c r="Z4347">
        <v>2</v>
      </c>
      <c r="AA4347">
        <v>0</v>
      </c>
      <c r="AB4347">
        <v>0</v>
      </c>
      <c r="AC4347">
        <v>0</v>
      </c>
      <c r="AD4347">
        <v>0</v>
      </c>
      <c r="AE4347">
        <v>0</v>
      </c>
      <c r="AF4347">
        <v>0</v>
      </c>
      <c r="AK4347">
        <v>0</v>
      </c>
      <c r="AL4347">
        <v>1</v>
      </c>
      <c r="AM4347">
        <v>0</v>
      </c>
      <c r="AN4347">
        <v>0</v>
      </c>
      <c r="AQ4347">
        <v>0</v>
      </c>
      <c r="AT4347">
        <v>0</v>
      </c>
      <c r="AU4347">
        <v>13</v>
      </c>
      <c r="AV4347">
        <v>212</v>
      </c>
      <c r="AW4347">
        <v>212</v>
      </c>
      <c r="AX4347">
        <v>245</v>
      </c>
      <c r="BA4347">
        <v>1</v>
      </c>
      <c r="BC4347" t="s">
        <v>8802</v>
      </c>
      <c r="BD4347" s="4">
        <v>43283.375</v>
      </c>
      <c r="BE4347" s="4">
        <v>43283.38003472222</v>
      </c>
      <c r="BF4347" s="4">
        <v>43283.38003472222</v>
      </c>
      <c r="BG4347" t="s">
        <v>83</v>
      </c>
      <c r="BH4347" t="s">
        <v>84</v>
      </c>
      <c r="BI4347" t="s">
        <v>85</v>
      </c>
    </row>
    <row r="4348" spans="1:61" x14ac:dyDescent="0.3">
      <c r="A4348" t="str">
        <f>"200885B0100"</f>
        <v>200885B0100</v>
      </c>
      <c r="B4348" t="s">
        <v>8803</v>
      </c>
      <c r="C4348">
        <v>20</v>
      </c>
      <c r="D4348" t="s">
        <v>79</v>
      </c>
      <c r="E4348">
        <v>20</v>
      </c>
      <c r="F4348" t="s">
        <v>8477</v>
      </c>
      <c r="G4348">
        <v>885</v>
      </c>
      <c r="H4348">
        <v>1</v>
      </c>
      <c r="I4348" t="s">
        <v>81</v>
      </c>
      <c r="J4348">
        <v>0</v>
      </c>
      <c r="K4348">
        <v>1</v>
      </c>
      <c r="L4348">
        <v>2</v>
      </c>
      <c r="M4348">
        <v>221</v>
      </c>
      <c r="N4348">
        <v>463</v>
      </c>
      <c r="O4348">
        <v>2</v>
      </c>
      <c r="P4348">
        <v>463</v>
      </c>
      <c r="Q4348">
        <v>22</v>
      </c>
      <c r="R4348">
        <v>134</v>
      </c>
      <c r="S4348">
        <v>27</v>
      </c>
      <c r="T4348">
        <v>2</v>
      </c>
      <c r="U4348">
        <v>29</v>
      </c>
      <c r="V4348">
        <v>2</v>
      </c>
      <c r="W4348">
        <v>23</v>
      </c>
      <c r="X4348">
        <v>4</v>
      </c>
      <c r="Y4348">
        <v>198</v>
      </c>
      <c r="Z4348">
        <v>2</v>
      </c>
      <c r="AA4348">
        <v>0</v>
      </c>
      <c r="AB4348">
        <v>3</v>
      </c>
      <c r="AC4348">
        <v>0</v>
      </c>
      <c r="AD4348">
        <v>2</v>
      </c>
      <c r="AE4348">
        <v>0</v>
      </c>
      <c r="AF4348">
        <v>0</v>
      </c>
      <c r="AK4348">
        <v>0</v>
      </c>
      <c r="AL4348">
        <v>0</v>
      </c>
      <c r="AM4348">
        <v>0</v>
      </c>
      <c r="AN4348">
        <v>0</v>
      </c>
      <c r="AQ4348">
        <v>0</v>
      </c>
      <c r="AT4348" t="s">
        <v>315</v>
      </c>
      <c r="AU4348" t="s">
        <v>100</v>
      </c>
      <c r="AV4348">
        <v>466</v>
      </c>
      <c r="AW4348">
        <v>448</v>
      </c>
      <c r="AX4348">
        <v>664</v>
      </c>
      <c r="AZ4348" t="s">
        <v>101</v>
      </c>
      <c r="BA4348">
        <v>1</v>
      </c>
      <c r="BC4348" t="s">
        <v>8804</v>
      </c>
      <c r="BD4348" s="4">
        <v>43283.371527777781</v>
      </c>
      <c r="BE4348" s="4">
        <v>43283.394594907404</v>
      </c>
      <c r="BF4348" s="4">
        <v>43283.394594907404</v>
      </c>
      <c r="BG4348" t="s">
        <v>83</v>
      </c>
      <c r="BH4348" t="s">
        <v>84</v>
      </c>
      <c r="BI4348" t="s">
        <v>85</v>
      </c>
    </row>
    <row r="4349" spans="1:61" x14ac:dyDescent="0.3">
      <c r="A4349" t="str">
        <f>"200885C0100"</f>
        <v>200885C0100</v>
      </c>
      <c r="B4349" t="s">
        <v>8805</v>
      </c>
      <c r="C4349">
        <v>20</v>
      </c>
      <c r="D4349" t="s">
        <v>79</v>
      </c>
      <c r="E4349">
        <v>20</v>
      </c>
      <c r="F4349" t="s">
        <v>8477</v>
      </c>
      <c r="G4349">
        <v>885</v>
      </c>
      <c r="H4349">
        <v>1</v>
      </c>
      <c r="I4349" t="s">
        <v>89</v>
      </c>
      <c r="J4349">
        <v>0</v>
      </c>
      <c r="K4349">
        <v>1</v>
      </c>
      <c r="L4349">
        <v>2</v>
      </c>
      <c r="M4349">
        <v>208</v>
      </c>
      <c r="N4349">
        <v>478</v>
      </c>
      <c r="O4349">
        <v>1</v>
      </c>
      <c r="P4349">
        <v>478</v>
      </c>
      <c r="Q4349">
        <v>25</v>
      </c>
      <c r="R4349">
        <v>134</v>
      </c>
      <c r="S4349">
        <v>21</v>
      </c>
      <c r="T4349">
        <v>1</v>
      </c>
      <c r="U4349">
        <v>28</v>
      </c>
      <c r="V4349">
        <v>7</v>
      </c>
      <c r="W4349">
        <v>17</v>
      </c>
      <c r="X4349">
        <v>4</v>
      </c>
      <c r="Y4349">
        <v>203</v>
      </c>
      <c r="Z4349">
        <v>7</v>
      </c>
      <c r="AA4349">
        <v>0</v>
      </c>
      <c r="AB4349">
        <v>0</v>
      </c>
      <c r="AC4349">
        <v>2</v>
      </c>
      <c r="AD4349">
        <v>0</v>
      </c>
      <c r="AE4349">
        <v>0</v>
      </c>
      <c r="AF4349">
        <v>0</v>
      </c>
      <c r="AK4349">
        <v>6</v>
      </c>
      <c r="AL4349">
        <v>0</v>
      </c>
      <c r="AM4349">
        <v>0</v>
      </c>
      <c r="AN4349">
        <v>0</v>
      </c>
      <c r="AQ4349">
        <v>0</v>
      </c>
      <c r="AT4349">
        <v>0</v>
      </c>
      <c r="AU4349">
        <v>24</v>
      </c>
      <c r="AV4349">
        <v>478</v>
      </c>
      <c r="AW4349">
        <v>479</v>
      </c>
      <c r="AX4349">
        <v>664</v>
      </c>
      <c r="BA4349">
        <v>1</v>
      </c>
      <c r="BC4349" t="s">
        <v>8806</v>
      </c>
      <c r="BD4349" s="4">
        <v>43283.370833333334</v>
      </c>
      <c r="BE4349" s="4">
        <v>43283.380196759259</v>
      </c>
      <c r="BF4349" s="4">
        <v>43283.380196759259</v>
      </c>
      <c r="BG4349" t="s">
        <v>83</v>
      </c>
      <c r="BH4349" t="s">
        <v>84</v>
      </c>
      <c r="BI4349" t="s">
        <v>85</v>
      </c>
    </row>
    <row r="4350" spans="1:61" x14ac:dyDescent="0.3">
      <c r="A4350" t="str">
        <f>"200886B0100"</f>
        <v>200886B0100</v>
      </c>
      <c r="B4350" t="s">
        <v>8807</v>
      </c>
      <c r="C4350">
        <v>20</v>
      </c>
      <c r="D4350" t="s">
        <v>79</v>
      </c>
      <c r="E4350">
        <v>20</v>
      </c>
      <c r="F4350" t="s">
        <v>8477</v>
      </c>
      <c r="G4350">
        <v>886</v>
      </c>
      <c r="H4350">
        <v>1</v>
      </c>
      <c r="I4350" t="s">
        <v>81</v>
      </c>
      <c r="J4350">
        <v>0</v>
      </c>
      <c r="K4350">
        <v>1</v>
      </c>
      <c r="L4350">
        <v>2</v>
      </c>
      <c r="M4350">
        <v>115</v>
      </c>
      <c r="N4350">
        <v>293</v>
      </c>
      <c r="O4350">
        <v>3</v>
      </c>
      <c r="P4350">
        <v>293</v>
      </c>
      <c r="Q4350">
        <v>17</v>
      </c>
      <c r="R4350">
        <v>85</v>
      </c>
      <c r="S4350">
        <v>17</v>
      </c>
      <c r="T4350">
        <v>1</v>
      </c>
      <c r="U4350">
        <v>5</v>
      </c>
      <c r="V4350">
        <v>3</v>
      </c>
      <c r="W4350">
        <v>17</v>
      </c>
      <c r="X4350">
        <v>2</v>
      </c>
      <c r="Y4350">
        <v>128</v>
      </c>
      <c r="Z4350">
        <v>1</v>
      </c>
      <c r="AA4350">
        <v>0</v>
      </c>
      <c r="AB4350">
        <v>1</v>
      </c>
      <c r="AC4350">
        <v>1</v>
      </c>
      <c r="AD4350">
        <v>0</v>
      </c>
      <c r="AE4350">
        <v>0</v>
      </c>
      <c r="AF4350">
        <v>0</v>
      </c>
      <c r="AK4350">
        <v>2</v>
      </c>
      <c r="AL4350">
        <v>2</v>
      </c>
      <c r="AM4350">
        <v>0</v>
      </c>
      <c r="AN4350">
        <v>0</v>
      </c>
      <c r="AQ4350">
        <v>2</v>
      </c>
      <c r="AT4350">
        <v>0</v>
      </c>
      <c r="AU4350">
        <v>11</v>
      </c>
      <c r="AV4350">
        <v>293</v>
      </c>
      <c r="AW4350">
        <v>295</v>
      </c>
      <c r="AX4350">
        <v>386</v>
      </c>
      <c r="BA4350">
        <v>1</v>
      </c>
      <c r="BC4350" s="2" t="s">
        <v>8808</v>
      </c>
      <c r="BD4350" s="4">
        <v>43283.367361111108</v>
      </c>
      <c r="BE4350" s="4">
        <v>43283.37773148148</v>
      </c>
      <c r="BF4350" s="4">
        <v>43283.37773148148</v>
      </c>
      <c r="BG4350" t="s">
        <v>83</v>
      </c>
      <c r="BH4350" t="s">
        <v>84</v>
      </c>
      <c r="BI4350" t="s">
        <v>85</v>
      </c>
    </row>
    <row r="4351" spans="1:61" x14ac:dyDescent="0.3">
      <c r="A4351" t="str">
        <f>"200886C0100"</f>
        <v>200886C0100</v>
      </c>
      <c r="B4351" t="s">
        <v>8809</v>
      </c>
      <c r="C4351">
        <v>20</v>
      </c>
      <c r="D4351" t="s">
        <v>79</v>
      </c>
      <c r="E4351">
        <v>20</v>
      </c>
      <c r="F4351" t="s">
        <v>8477</v>
      </c>
      <c r="G4351">
        <v>886</v>
      </c>
      <c r="H4351">
        <v>1</v>
      </c>
      <c r="I4351" t="s">
        <v>89</v>
      </c>
      <c r="J4351">
        <v>0</v>
      </c>
      <c r="K4351">
        <v>1</v>
      </c>
      <c r="L4351">
        <v>2</v>
      </c>
      <c r="AX4351">
        <v>386</v>
      </c>
      <c r="AZ4351" t="s">
        <v>156</v>
      </c>
      <c r="BA4351">
        <v>0</v>
      </c>
      <c r="BC4351" t="s">
        <v>8810</v>
      </c>
      <c r="BD4351" s="4">
        <v>43283.553472222222</v>
      </c>
      <c r="BE4351" s="4">
        <v>43283.558749999997</v>
      </c>
      <c r="BF4351" s="4">
        <v>43283.558749999997</v>
      </c>
      <c r="BG4351" t="s">
        <v>83</v>
      </c>
      <c r="BH4351" t="s">
        <v>84</v>
      </c>
      <c r="BI4351" t="s">
        <v>85</v>
      </c>
    </row>
    <row r="4352" spans="1:61" x14ac:dyDescent="0.3">
      <c r="A4352" t="str">
        <f>"200887B0100"</f>
        <v>200887B0100</v>
      </c>
      <c r="B4352" t="s">
        <v>8811</v>
      </c>
      <c r="C4352">
        <v>20</v>
      </c>
      <c r="D4352" t="s">
        <v>79</v>
      </c>
      <c r="E4352">
        <v>20</v>
      </c>
      <c r="F4352" t="s">
        <v>8477</v>
      </c>
      <c r="G4352">
        <v>887</v>
      </c>
      <c r="H4352">
        <v>1</v>
      </c>
      <c r="I4352" t="s">
        <v>81</v>
      </c>
      <c r="J4352">
        <v>0</v>
      </c>
      <c r="K4352">
        <v>1</v>
      </c>
      <c r="L4352">
        <v>2</v>
      </c>
      <c r="M4352">
        <v>183</v>
      </c>
      <c r="N4352">
        <v>464</v>
      </c>
      <c r="O4352">
        <v>2</v>
      </c>
      <c r="P4352">
        <v>457</v>
      </c>
      <c r="Q4352">
        <v>22</v>
      </c>
      <c r="R4352">
        <v>116</v>
      </c>
      <c r="S4352">
        <v>27</v>
      </c>
      <c r="T4352">
        <v>3</v>
      </c>
      <c r="U4352">
        <v>24</v>
      </c>
      <c r="V4352">
        <v>4</v>
      </c>
      <c r="W4352">
        <v>17</v>
      </c>
      <c r="X4352">
        <v>2</v>
      </c>
      <c r="Y4352">
        <v>209</v>
      </c>
      <c r="Z4352">
        <v>4</v>
      </c>
      <c r="AA4352">
        <v>1</v>
      </c>
      <c r="AB4352" t="s">
        <v>100</v>
      </c>
      <c r="AC4352">
        <v>2</v>
      </c>
      <c r="AD4352" t="s">
        <v>100</v>
      </c>
      <c r="AE4352">
        <v>2</v>
      </c>
      <c r="AF4352" t="s">
        <v>100</v>
      </c>
      <c r="AK4352">
        <v>3</v>
      </c>
      <c r="AL4352">
        <v>2</v>
      </c>
      <c r="AM4352" t="s">
        <v>100</v>
      </c>
      <c r="AN4352" t="s">
        <v>100</v>
      </c>
      <c r="AQ4352" t="s">
        <v>100</v>
      </c>
      <c r="AT4352" t="s">
        <v>100</v>
      </c>
      <c r="AU4352">
        <v>19</v>
      </c>
      <c r="AV4352">
        <v>457</v>
      </c>
      <c r="AW4352">
        <v>457</v>
      </c>
      <c r="AX4352">
        <v>627</v>
      </c>
      <c r="AZ4352" t="s">
        <v>101</v>
      </c>
      <c r="BA4352">
        <v>1</v>
      </c>
      <c r="BC4352" t="s">
        <v>8812</v>
      </c>
      <c r="BD4352" s="4">
        <v>43283.379166666666</v>
      </c>
      <c r="BE4352" s="4">
        <v>43283.384687500002</v>
      </c>
      <c r="BF4352" s="4">
        <v>43283.384687500002</v>
      </c>
      <c r="BG4352" t="s">
        <v>83</v>
      </c>
      <c r="BH4352" t="s">
        <v>84</v>
      </c>
      <c r="BI4352" t="s">
        <v>85</v>
      </c>
    </row>
    <row r="4353" spans="1:61" x14ac:dyDescent="0.3">
      <c r="A4353" t="str">
        <f>"200887E0100"</f>
        <v>200887E0100</v>
      </c>
      <c r="B4353" s="2" t="s">
        <v>8813</v>
      </c>
      <c r="C4353">
        <v>20</v>
      </c>
      <c r="D4353" t="s">
        <v>79</v>
      </c>
      <c r="E4353">
        <v>20</v>
      </c>
      <c r="F4353" t="s">
        <v>8477</v>
      </c>
      <c r="G4353">
        <v>887</v>
      </c>
      <c r="H4353">
        <v>1</v>
      </c>
      <c r="I4353" t="s">
        <v>145</v>
      </c>
      <c r="J4353">
        <v>0</v>
      </c>
      <c r="K4353">
        <v>2</v>
      </c>
      <c r="L4353">
        <v>2</v>
      </c>
      <c r="M4353">
        <v>166</v>
      </c>
      <c r="N4353">
        <v>546</v>
      </c>
      <c r="O4353">
        <v>3</v>
      </c>
      <c r="P4353">
        <v>546</v>
      </c>
      <c r="Q4353">
        <v>50</v>
      </c>
      <c r="R4353">
        <v>246</v>
      </c>
      <c r="S4353">
        <v>34</v>
      </c>
      <c r="T4353">
        <v>1</v>
      </c>
      <c r="U4353">
        <v>15</v>
      </c>
      <c r="V4353">
        <v>4</v>
      </c>
      <c r="W4353">
        <v>17</v>
      </c>
      <c r="X4353">
        <v>6</v>
      </c>
      <c r="Y4353">
        <v>148</v>
      </c>
      <c r="Z4353">
        <v>2</v>
      </c>
      <c r="AA4353">
        <v>1</v>
      </c>
      <c r="AB4353">
        <v>0</v>
      </c>
      <c r="AC4353" t="s">
        <v>100</v>
      </c>
      <c r="AD4353" t="s">
        <v>100</v>
      </c>
      <c r="AE4353" t="s">
        <v>100</v>
      </c>
      <c r="AF4353" t="s">
        <v>100</v>
      </c>
      <c r="AK4353" t="s">
        <v>100</v>
      </c>
      <c r="AL4353" t="s">
        <v>100</v>
      </c>
      <c r="AM4353" t="s">
        <v>100</v>
      </c>
      <c r="AN4353">
        <v>1</v>
      </c>
      <c r="AQ4353" t="s">
        <v>100</v>
      </c>
      <c r="AT4353" t="s">
        <v>100</v>
      </c>
      <c r="AU4353">
        <v>21</v>
      </c>
      <c r="AV4353">
        <v>546</v>
      </c>
      <c r="AW4353">
        <v>546</v>
      </c>
      <c r="AX4353">
        <v>690</v>
      </c>
      <c r="AZ4353" t="s">
        <v>101</v>
      </c>
      <c r="BA4353">
        <v>1</v>
      </c>
      <c r="BC4353" t="s">
        <v>8814</v>
      </c>
      <c r="BD4353" s="4">
        <v>43283.364583333336</v>
      </c>
      <c r="BE4353" s="4">
        <v>43283.375902777778</v>
      </c>
      <c r="BF4353" s="4">
        <v>43283.375902777778</v>
      </c>
      <c r="BG4353" t="s">
        <v>83</v>
      </c>
      <c r="BH4353" t="s">
        <v>84</v>
      </c>
      <c r="BI4353" t="s">
        <v>85</v>
      </c>
    </row>
    <row r="4354" spans="1:61" x14ac:dyDescent="0.3">
      <c r="A4354" t="str">
        <f>"200888B0100"</f>
        <v>200888B0100</v>
      </c>
      <c r="B4354" t="s">
        <v>8815</v>
      </c>
      <c r="C4354">
        <v>20</v>
      </c>
      <c r="D4354" t="s">
        <v>79</v>
      </c>
      <c r="E4354">
        <v>20</v>
      </c>
      <c r="F4354" t="s">
        <v>8477</v>
      </c>
      <c r="G4354">
        <v>888</v>
      </c>
      <c r="H4354">
        <v>1</v>
      </c>
      <c r="I4354" t="s">
        <v>81</v>
      </c>
      <c r="J4354">
        <v>0</v>
      </c>
      <c r="K4354">
        <v>2</v>
      </c>
      <c r="L4354">
        <v>2</v>
      </c>
      <c r="M4354">
        <v>39</v>
      </c>
      <c r="N4354">
        <v>179</v>
      </c>
      <c r="O4354">
        <v>3</v>
      </c>
      <c r="P4354">
        <v>179</v>
      </c>
      <c r="Q4354">
        <v>14</v>
      </c>
      <c r="R4354">
        <v>143</v>
      </c>
      <c r="S4354">
        <v>5</v>
      </c>
      <c r="T4354">
        <v>3</v>
      </c>
      <c r="U4354">
        <v>3</v>
      </c>
      <c r="V4354" t="s">
        <v>100</v>
      </c>
      <c r="W4354">
        <v>2</v>
      </c>
      <c r="X4354">
        <v>16</v>
      </c>
      <c r="Y4354">
        <v>16</v>
      </c>
      <c r="Z4354">
        <v>1</v>
      </c>
      <c r="AA4354" t="s">
        <v>100</v>
      </c>
      <c r="AB4354" t="s">
        <v>100</v>
      </c>
      <c r="AC4354" t="s">
        <v>100</v>
      </c>
      <c r="AD4354" t="s">
        <v>100</v>
      </c>
      <c r="AE4354" t="s">
        <v>100</v>
      </c>
      <c r="AF4354" t="s">
        <v>100</v>
      </c>
      <c r="AK4354" t="s">
        <v>100</v>
      </c>
      <c r="AL4354" t="s">
        <v>100</v>
      </c>
      <c r="AM4354" t="s">
        <v>100</v>
      </c>
      <c r="AN4354" t="s">
        <v>100</v>
      </c>
      <c r="AQ4354" t="s">
        <v>100</v>
      </c>
      <c r="AT4354" t="s">
        <v>100</v>
      </c>
      <c r="AU4354">
        <v>1</v>
      </c>
      <c r="AV4354">
        <v>179</v>
      </c>
      <c r="AW4354">
        <v>204</v>
      </c>
      <c r="AX4354">
        <v>196</v>
      </c>
      <c r="AZ4354" t="s">
        <v>101</v>
      </c>
      <c r="BA4354">
        <v>1</v>
      </c>
      <c r="BC4354" t="s">
        <v>8816</v>
      </c>
      <c r="BD4354" s="4">
        <v>43283.362500000003</v>
      </c>
      <c r="BE4354" s="4">
        <v>43283.375937500001</v>
      </c>
      <c r="BF4354" s="4">
        <v>43283.375937500001</v>
      </c>
      <c r="BG4354" t="s">
        <v>83</v>
      </c>
      <c r="BH4354" t="s">
        <v>84</v>
      </c>
      <c r="BI4354" t="s">
        <v>85</v>
      </c>
    </row>
    <row r="4355" spans="1:61" x14ac:dyDescent="0.3">
      <c r="A4355" t="str">
        <f>"200889B0100"</f>
        <v>200889B0100</v>
      </c>
      <c r="B4355" t="s">
        <v>8817</v>
      </c>
      <c r="C4355">
        <v>20</v>
      </c>
      <c r="D4355" t="s">
        <v>79</v>
      </c>
      <c r="E4355">
        <v>20</v>
      </c>
      <c r="F4355" t="s">
        <v>8477</v>
      </c>
      <c r="G4355">
        <v>889</v>
      </c>
      <c r="H4355">
        <v>1</v>
      </c>
      <c r="I4355" t="s">
        <v>81</v>
      </c>
      <c r="J4355">
        <v>0</v>
      </c>
      <c r="K4355">
        <v>2</v>
      </c>
      <c r="L4355">
        <v>2</v>
      </c>
      <c r="M4355">
        <v>73</v>
      </c>
      <c r="N4355">
        <v>371</v>
      </c>
      <c r="O4355">
        <v>2</v>
      </c>
      <c r="P4355">
        <v>361</v>
      </c>
      <c r="Q4355">
        <v>16</v>
      </c>
      <c r="R4355">
        <v>198</v>
      </c>
      <c r="S4355">
        <v>18</v>
      </c>
      <c r="T4355">
        <v>1</v>
      </c>
      <c r="U4355">
        <v>7</v>
      </c>
      <c r="V4355">
        <v>1</v>
      </c>
      <c r="W4355">
        <v>2</v>
      </c>
      <c r="X4355">
        <v>0</v>
      </c>
      <c r="Y4355">
        <v>116</v>
      </c>
      <c r="Z4355">
        <v>2</v>
      </c>
      <c r="AA4355">
        <v>0</v>
      </c>
      <c r="AB4355">
        <v>0</v>
      </c>
      <c r="AC4355">
        <v>0</v>
      </c>
      <c r="AD4355">
        <v>0</v>
      </c>
      <c r="AE4355">
        <v>0</v>
      </c>
      <c r="AF4355">
        <v>0</v>
      </c>
      <c r="AK4355">
        <v>0</v>
      </c>
      <c r="AL4355">
        <v>0</v>
      </c>
      <c r="AM4355">
        <v>0</v>
      </c>
      <c r="AN4355">
        <v>0</v>
      </c>
      <c r="AQ4355">
        <v>0</v>
      </c>
      <c r="AT4355">
        <v>0</v>
      </c>
      <c r="AU4355">
        <v>6</v>
      </c>
      <c r="AV4355">
        <v>361</v>
      </c>
      <c r="AW4355">
        <v>367</v>
      </c>
      <c r="AX4355">
        <v>422</v>
      </c>
      <c r="BA4355">
        <v>1</v>
      </c>
      <c r="BC4355" t="s">
        <v>8818</v>
      </c>
      <c r="BD4355" s="4">
        <v>43283.363888888889</v>
      </c>
      <c r="BE4355" s="4">
        <v>43283.373888888891</v>
      </c>
      <c r="BF4355" s="4">
        <v>43283.373888888891</v>
      </c>
      <c r="BG4355" t="s">
        <v>83</v>
      </c>
      <c r="BH4355" t="s">
        <v>84</v>
      </c>
      <c r="BI4355" t="s">
        <v>85</v>
      </c>
    </row>
    <row r="4356" spans="1:61" x14ac:dyDescent="0.3">
      <c r="A4356" t="str">
        <f>"200889C0100"</f>
        <v>200889C0100</v>
      </c>
      <c r="B4356" t="s">
        <v>8819</v>
      </c>
      <c r="C4356">
        <v>20</v>
      </c>
      <c r="D4356" t="s">
        <v>79</v>
      </c>
      <c r="E4356">
        <v>20</v>
      </c>
      <c r="F4356" t="s">
        <v>8477</v>
      </c>
      <c r="G4356">
        <v>889</v>
      </c>
      <c r="H4356">
        <v>1</v>
      </c>
      <c r="I4356" t="s">
        <v>89</v>
      </c>
      <c r="J4356">
        <v>0</v>
      </c>
      <c r="K4356">
        <v>2</v>
      </c>
      <c r="L4356">
        <v>2</v>
      </c>
      <c r="AX4356">
        <v>422</v>
      </c>
      <c r="AZ4356" t="s">
        <v>1868</v>
      </c>
      <c r="BA4356">
        <v>0</v>
      </c>
      <c r="BC4356" t="s">
        <v>8820</v>
      </c>
      <c r="BD4356" s="4">
        <v>43283.363194444442</v>
      </c>
      <c r="BE4356" s="4">
        <v>43283.384780092594</v>
      </c>
      <c r="BF4356" s="4">
        <v>43283.384780092594</v>
      </c>
      <c r="BG4356" t="s">
        <v>83</v>
      </c>
      <c r="BH4356" t="s">
        <v>84</v>
      </c>
      <c r="BI4356" t="s">
        <v>85</v>
      </c>
    </row>
    <row r="4357" spans="1:61" x14ac:dyDescent="0.3">
      <c r="A4357" t="str">
        <f>"200890B0100"</f>
        <v>200890B0100</v>
      </c>
      <c r="B4357" t="s">
        <v>8821</v>
      </c>
      <c r="C4357">
        <v>20</v>
      </c>
      <c r="D4357" t="s">
        <v>79</v>
      </c>
      <c r="E4357">
        <v>20</v>
      </c>
      <c r="F4357" t="s">
        <v>8477</v>
      </c>
      <c r="G4357">
        <v>890</v>
      </c>
      <c r="H4357">
        <v>1</v>
      </c>
      <c r="I4357" t="s">
        <v>81</v>
      </c>
      <c r="J4357">
        <v>0</v>
      </c>
      <c r="K4357">
        <v>2</v>
      </c>
      <c r="L4357">
        <v>2</v>
      </c>
      <c r="M4357">
        <v>60</v>
      </c>
      <c r="N4357">
        <v>52</v>
      </c>
      <c r="O4357">
        <v>3</v>
      </c>
      <c r="P4357">
        <v>52</v>
      </c>
      <c r="Q4357">
        <v>3</v>
      </c>
      <c r="R4357">
        <v>11</v>
      </c>
      <c r="S4357">
        <v>4</v>
      </c>
      <c r="T4357">
        <v>0</v>
      </c>
      <c r="U4357">
        <v>5</v>
      </c>
      <c r="V4357">
        <v>0</v>
      </c>
      <c r="W4357">
        <v>16</v>
      </c>
      <c r="X4357">
        <v>1</v>
      </c>
      <c r="Y4357">
        <v>10</v>
      </c>
      <c r="Z4357">
        <v>2</v>
      </c>
      <c r="AA4357">
        <v>0</v>
      </c>
      <c r="AB4357">
        <v>0</v>
      </c>
      <c r="AC4357">
        <v>0</v>
      </c>
      <c r="AD4357">
        <v>0</v>
      </c>
      <c r="AE4357">
        <v>0</v>
      </c>
      <c r="AF4357">
        <v>0</v>
      </c>
      <c r="AK4357">
        <v>0</v>
      </c>
      <c r="AL4357">
        <v>0</v>
      </c>
      <c r="AM4357">
        <v>0</v>
      </c>
      <c r="AN4357">
        <v>0</v>
      </c>
      <c r="AQ4357">
        <v>0</v>
      </c>
      <c r="AT4357">
        <v>0</v>
      </c>
      <c r="AU4357">
        <v>0</v>
      </c>
      <c r="AV4357">
        <v>52</v>
      </c>
      <c r="AW4357">
        <v>52</v>
      </c>
      <c r="AX4357">
        <v>90</v>
      </c>
      <c r="BA4357">
        <v>1</v>
      </c>
      <c r="BC4357" t="s">
        <v>8822</v>
      </c>
      <c r="BD4357" s="4">
        <v>43283.006249999999</v>
      </c>
      <c r="BE4357" s="4">
        <v>43283.011261574073</v>
      </c>
      <c r="BF4357" s="4">
        <v>43283.011261574073</v>
      </c>
      <c r="BG4357" t="s">
        <v>83</v>
      </c>
      <c r="BH4357" t="s">
        <v>84</v>
      </c>
      <c r="BI4357" t="s">
        <v>85</v>
      </c>
    </row>
    <row r="4358" spans="1:61" x14ac:dyDescent="0.3">
      <c r="A4358" t="str">
        <f>"201297B0100"</f>
        <v>201297B0100</v>
      </c>
      <c r="B4358" t="s">
        <v>8823</v>
      </c>
      <c r="C4358">
        <v>20</v>
      </c>
      <c r="D4358" t="s">
        <v>79</v>
      </c>
      <c r="E4358">
        <v>20</v>
      </c>
      <c r="F4358" t="s">
        <v>8477</v>
      </c>
      <c r="G4358">
        <v>1297</v>
      </c>
      <c r="H4358">
        <v>1</v>
      </c>
      <c r="I4358" t="s">
        <v>81</v>
      </c>
      <c r="J4358">
        <v>0</v>
      </c>
      <c r="K4358">
        <v>2</v>
      </c>
      <c r="L4358">
        <v>2</v>
      </c>
      <c r="M4358">
        <v>264</v>
      </c>
      <c r="N4358">
        <v>472</v>
      </c>
      <c r="O4358">
        <v>4</v>
      </c>
      <c r="P4358">
        <v>472</v>
      </c>
      <c r="Q4358">
        <v>12</v>
      </c>
      <c r="R4358">
        <v>70</v>
      </c>
      <c r="S4358">
        <v>28</v>
      </c>
      <c r="T4358">
        <v>6</v>
      </c>
      <c r="U4358">
        <v>29</v>
      </c>
      <c r="V4358">
        <v>7</v>
      </c>
      <c r="W4358">
        <v>92</v>
      </c>
      <c r="X4358">
        <v>5</v>
      </c>
      <c r="Y4358">
        <v>123</v>
      </c>
      <c r="Z4358">
        <v>21</v>
      </c>
      <c r="AA4358">
        <v>2</v>
      </c>
      <c r="AB4358">
        <v>5</v>
      </c>
      <c r="AC4358">
        <v>1</v>
      </c>
      <c r="AD4358">
        <v>2</v>
      </c>
      <c r="AE4358">
        <v>0</v>
      </c>
      <c r="AF4358">
        <v>0</v>
      </c>
      <c r="AK4358">
        <v>3</v>
      </c>
      <c r="AL4358">
        <v>5</v>
      </c>
      <c r="AM4358">
        <v>0</v>
      </c>
      <c r="AN4358">
        <v>4</v>
      </c>
      <c r="AQ4358">
        <v>0</v>
      </c>
      <c r="AT4358">
        <v>0</v>
      </c>
      <c r="AU4358">
        <v>57</v>
      </c>
      <c r="AV4358">
        <v>472</v>
      </c>
      <c r="AW4358">
        <v>472</v>
      </c>
      <c r="AX4358">
        <v>714</v>
      </c>
      <c r="BA4358">
        <v>1</v>
      </c>
      <c r="BC4358" t="s">
        <v>8824</v>
      </c>
      <c r="BD4358" s="4">
        <v>43283.25277777778</v>
      </c>
      <c r="BE4358" s="4">
        <v>43283.279120370367</v>
      </c>
      <c r="BF4358" s="4">
        <v>43283.279120370367</v>
      </c>
      <c r="BG4358" t="s">
        <v>83</v>
      </c>
      <c r="BH4358" t="s">
        <v>84</v>
      </c>
      <c r="BI4358" t="s">
        <v>85</v>
      </c>
    </row>
    <row r="4359" spans="1:61" x14ac:dyDescent="0.3">
      <c r="A4359" t="str">
        <f>"201297C0100"</f>
        <v>201297C0100</v>
      </c>
      <c r="B4359" t="s">
        <v>8825</v>
      </c>
      <c r="C4359">
        <v>20</v>
      </c>
      <c r="D4359" t="s">
        <v>79</v>
      </c>
      <c r="E4359">
        <v>20</v>
      </c>
      <c r="F4359" t="s">
        <v>8477</v>
      </c>
      <c r="G4359">
        <v>1297</v>
      </c>
      <c r="H4359">
        <v>1</v>
      </c>
      <c r="I4359" t="s">
        <v>89</v>
      </c>
      <c r="J4359">
        <v>0</v>
      </c>
      <c r="K4359">
        <v>2</v>
      </c>
      <c r="L4359">
        <v>2</v>
      </c>
      <c r="M4359">
        <v>261</v>
      </c>
      <c r="N4359">
        <v>474</v>
      </c>
      <c r="O4359">
        <v>2</v>
      </c>
      <c r="P4359">
        <v>474</v>
      </c>
      <c r="Q4359">
        <v>16</v>
      </c>
      <c r="R4359">
        <v>83</v>
      </c>
      <c r="S4359">
        <v>27</v>
      </c>
      <c r="T4359">
        <v>11</v>
      </c>
      <c r="U4359">
        <v>16</v>
      </c>
      <c r="V4359">
        <v>5</v>
      </c>
      <c r="W4359">
        <v>94</v>
      </c>
      <c r="X4359">
        <v>8</v>
      </c>
      <c r="Y4359">
        <v>123</v>
      </c>
      <c r="Z4359">
        <v>13</v>
      </c>
      <c r="AA4359">
        <v>6</v>
      </c>
      <c r="AB4359">
        <v>4</v>
      </c>
      <c r="AC4359">
        <v>0</v>
      </c>
      <c r="AD4359">
        <v>0</v>
      </c>
      <c r="AE4359">
        <v>0</v>
      </c>
      <c r="AF4359">
        <v>0</v>
      </c>
      <c r="AK4359">
        <v>8</v>
      </c>
      <c r="AL4359">
        <v>0</v>
      </c>
      <c r="AM4359">
        <v>0</v>
      </c>
      <c r="AN4359">
        <v>2</v>
      </c>
      <c r="AQ4359">
        <v>2</v>
      </c>
      <c r="AT4359">
        <v>0</v>
      </c>
      <c r="AU4359">
        <v>56</v>
      </c>
      <c r="AV4359">
        <v>474</v>
      </c>
      <c r="AW4359">
        <v>474</v>
      </c>
      <c r="AX4359">
        <v>713</v>
      </c>
      <c r="BA4359">
        <v>1</v>
      </c>
      <c r="BC4359" t="s">
        <v>8826</v>
      </c>
      <c r="BD4359" s="4">
        <v>43283.252083333333</v>
      </c>
      <c r="BE4359" s="4">
        <v>43283.279918981483</v>
      </c>
      <c r="BF4359" s="4">
        <v>43283.279918981483</v>
      </c>
      <c r="BG4359" t="s">
        <v>83</v>
      </c>
      <c r="BH4359" t="s">
        <v>84</v>
      </c>
      <c r="BI4359" t="s">
        <v>85</v>
      </c>
    </row>
    <row r="4360" spans="1:61" x14ac:dyDescent="0.3">
      <c r="A4360" t="str">
        <f>"201297C0200"</f>
        <v>201297C0200</v>
      </c>
      <c r="B4360" t="s">
        <v>8827</v>
      </c>
      <c r="C4360">
        <v>20</v>
      </c>
      <c r="D4360" t="s">
        <v>79</v>
      </c>
      <c r="E4360">
        <v>20</v>
      </c>
      <c r="F4360" t="s">
        <v>8477</v>
      </c>
      <c r="G4360">
        <v>1297</v>
      </c>
      <c r="H4360">
        <v>2</v>
      </c>
      <c r="I4360" t="s">
        <v>89</v>
      </c>
      <c r="J4360">
        <v>0</v>
      </c>
      <c r="K4360">
        <v>2</v>
      </c>
      <c r="L4360">
        <v>2</v>
      </c>
      <c r="M4360">
        <v>284</v>
      </c>
      <c r="N4360" t="s">
        <v>100</v>
      </c>
      <c r="O4360">
        <v>0</v>
      </c>
      <c r="P4360">
        <v>451</v>
      </c>
      <c r="Q4360">
        <v>18</v>
      </c>
      <c r="R4360">
        <v>81</v>
      </c>
      <c r="S4360">
        <v>34</v>
      </c>
      <c r="T4360">
        <v>6</v>
      </c>
      <c r="U4360">
        <v>20</v>
      </c>
      <c r="V4360">
        <v>5</v>
      </c>
      <c r="W4360">
        <v>94</v>
      </c>
      <c r="X4360">
        <v>12</v>
      </c>
      <c r="Y4360">
        <v>103</v>
      </c>
      <c r="Z4360">
        <v>9</v>
      </c>
      <c r="AA4360">
        <v>1</v>
      </c>
      <c r="AB4360">
        <v>6</v>
      </c>
      <c r="AC4360">
        <v>1</v>
      </c>
      <c r="AD4360">
        <v>2</v>
      </c>
      <c r="AE4360">
        <v>0</v>
      </c>
      <c r="AF4360">
        <v>0</v>
      </c>
      <c r="AK4360">
        <v>2</v>
      </c>
      <c r="AL4360">
        <v>0</v>
      </c>
      <c r="AM4360">
        <v>0</v>
      </c>
      <c r="AN4360">
        <v>2</v>
      </c>
      <c r="AQ4360">
        <v>0</v>
      </c>
      <c r="AT4360">
        <v>0</v>
      </c>
      <c r="AU4360">
        <v>56</v>
      </c>
      <c r="AV4360">
        <v>432</v>
      </c>
      <c r="AW4360">
        <v>452</v>
      </c>
      <c r="AX4360">
        <v>713</v>
      </c>
      <c r="BA4360">
        <v>1</v>
      </c>
      <c r="BC4360" t="s">
        <v>8828</v>
      </c>
      <c r="BD4360" s="4">
        <v>43283.250694444447</v>
      </c>
      <c r="BE4360" s="4">
        <v>43283.278194444443</v>
      </c>
      <c r="BF4360" s="4">
        <v>43283.278194444443</v>
      </c>
      <c r="BG4360" t="s">
        <v>83</v>
      </c>
      <c r="BH4360" t="s">
        <v>84</v>
      </c>
      <c r="BI4360" t="s">
        <v>85</v>
      </c>
    </row>
    <row r="4361" spans="1:61" x14ac:dyDescent="0.3">
      <c r="A4361" t="str">
        <f>"201298B0100"</f>
        <v>201298B0100</v>
      </c>
      <c r="B4361" t="s">
        <v>8829</v>
      </c>
      <c r="C4361">
        <v>20</v>
      </c>
      <c r="D4361" t="s">
        <v>79</v>
      </c>
      <c r="E4361">
        <v>20</v>
      </c>
      <c r="F4361" t="s">
        <v>8477</v>
      </c>
      <c r="G4361">
        <v>1298</v>
      </c>
      <c r="H4361">
        <v>1</v>
      </c>
      <c r="I4361" t="s">
        <v>81</v>
      </c>
      <c r="J4361">
        <v>0</v>
      </c>
      <c r="K4361">
        <v>2</v>
      </c>
      <c r="L4361">
        <v>2</v>
      </c>
      <c r="M4361">
        <v>234</v>
      </c>
      <c r="N4361">
        <v>365</v>
      </c>
      <c r="O4361">
        <v>1</v>
      </c>
      <c r="P4361">
        <v>364</v>
      </c>
      <c r="Q4361">
        <v>21</v>
      </c>
      <c r="R4361">
        <v>91</v>
      </c>
      <c r="S4361">
        <v>30</v>
      </c>
      <c r="T4361">
        <v>3</v>
      </c>
      <c r="U4361">
        <v>10</v>
      </c>
      <c r="V4361">
        <v>2</v>
      </c>
      <c r="W4361">
        <v>37</v>
      </c>
      <c r="X4361">
        <v>3</v>
      </c>
      <c r="Y4361">
        <v>83</v>
      </c>
      <c r="Z4361">
        <v>7</v>
      </c>
      <c r="AA4361">
        <v>2</v>
      </c>
      <c r="AB4361">
        <v>1</v>
      </c>
      <c r="AC4361">
        <v>0</v>
      </c>
      <c r="AD4361">
        <v>0</v>
      </c>
      <c r="AE4361">
        <v>0</v>
      </c>
      <c r="AF4361">
        <v>0</v>
      </c>
      <c r="AK4361">
        <v>7</v>
      </c>
      <c r="AL4361">
        <v>0</v>
      </c>
      <c r="AM4361">
        <v>0</v>
      </c>
      <c r="AN4361">
        <v>2</v>
      </c>
      <c r="AQ4361">
        <v>4</v>
      </c>
      <c r="AT4361">
        <v>0</v>
      </c>
      <c r="AU4361">
        <v>61</v>
      </c>
      <c r="AV4361">
        <v>364</v>
      </c>
      <c r="AW4361">
        <v>364</v>
      </c>
      <c r="AX4361">
        <v>576</v>
      </c>
      <c r="BA4361">
        <v>1</v>
      </c>
      <c r="BC4361" t="s">
        <v>8830</v>
      </c>
      <c r="BD4361" s="4">
        <v>43283.254861111112</v>
      </c>
      <c r="BE4361" s="4">
        <v>43283.285115740742</v>
      </c>
      <c r="BF4361" s="4">
        <v>43283.285115740742</v>
      </c>
      <c r="BG4361" t="s">
        <v>83</v>
      </c>
      <c r="BH4361" t="s">
        <v>84</v>
      </c>
      <c r="BI4361" t="s">
        <v>85</v>
      </c>
    </row>
    <row r="4362" spans="1:61" x14ac:dyDescent="0.3">
      <c r="A4362" t="str">
        <f>"201298C0100"</f>
        <v>201298C0100</v>
      </c>
      <c r="B4362" t="s">
        <v>8831</v>
      </c>
      <c r="C4362">
        <v>20</v>
      </c>
      <c r="D4362" t="s">
        <v>79</v>
      </c>
      <c r="E4362">
        <v>20</v>
      </c>
      <c r="F4362" t="s">
        <v>8477</v>
      </c>
      <c r="G4362">
        <v>1298</v>
      </c>
      <c r="H4362">
        <v>1</v>
      </c>
      <c r="I4362" t="s">
        <v>89</v>
      </c>
      <c r="J4362">
        <v>0</v>
      </c>
      <c r="K4362">
        <v>2</v>
      </c>
      <c r="L4362">
        <v>2</v>
      </c>
      <c r="M4362">
        <v>239</v>
      </c>
      <c r="N4362">
        <v>358</v>
      </c>
      <c r="O4362">
        <v>0</v>
      </c>
      <c r="P4362">
        <v>355</v>
      </c>
      <c r="Q4362">
        <v>16</v>
      </c>
      <c r="R4362">
        <v>70</v>
      </c>
      <c r="S4362">
        <v>37</v>
      </c>
      <c r="T4362">
        <v>5</v>
      </c>
      <c r="U4362">
        <v>8</v>
      </c>
      <c r="V4362">
        <v>2</v>
      </c>
      <c r="W4362">
        <v>54</v>
      </c>
      <c r="X4362">
        <v>7</v>
      </c>
      <c r="Y4362">
        <v>80</v>
      </c>
      <c r="Z4362">
        <v>16</v>
      </c>
      <c r="AA4362">
        <v>1</v>
      </c>
      <c r="AB4362">
        <v>4</v>
      </c>
      <c r="AC4362">
        <v>1</v>
      </c>
      <c r="AD4362">
        <v>0</v>
      </c>
      <c r="AE4362">
        <v>0</v>
      </c>
      <c r="AF4362">
        <v>0</v>
      </c>
      <c r="AK4362">
        <v>3</v>
      </c>
      <c r="AL4362">
        <v>1</v>
      </c>
      <c r="AM4362">
        <v>0</v>
      </c>
      <c r="AN4362">
        <v>0</v>
      </c>
      <c r="AQ4362">
        <v>0</v>
      </c>
      <c r="AT4362">
        <v>0</v>
      </c>
      <c r="AU4362">
        <v>50</v>
      </c>
      <c r="AV4362">
        <v>355</v>
      </c>
      <c r="AW4362">
        <v>355</v>
      </c>
      <c r="AX4362">
        <v>575</v>
      </c>
      <c r="BA4362">
        <v>1</v>
      </c>
      <c r="BC4362" t="s">
        <v>8832</v>
      </c>
      <c r="BD4362" s="4">
        <v>43283.249305555553</v>
      </c>
      <c r="BE4362" s="4">
        <v>43283.274872685186</v>
      </c>
      <c r="BF4362" s="4">
        <v>43283.274872685186</v>
      </c>
      <c r="BG4362" t="s">
        <v>83</v>
      </c>
      <c r="BH4362" t="s">
        <v>84</v>
      </c>
      <c r="BI4362" t="s">
        <v>85</v>
      </c>
    </row>
    <row r="4363" spans="1:61" x14ac:dyDescent="0.3">
      <c r="A4363" t="str">
        <f>"201298C0200"</f>
        <v>201298C0200</v>
      </c>
      <c r="B4363" t="s">
        <v>8833</v>
      </c>
      <c r="C4363">
        <v>20</v>
      </c>
      <c r="D4363" t="s">
        <v>79</v>
      </c>
      <c r="E4363">
        <v>20</v>
      </c>
      <c r="F4363" t="s">
        <v>8477</v>
      </c>
      <c r="G4363">
        <v>1298</v>
      </c>
      <c r="H4363">
        <v>2</v>
      </c>
      <c r="I4363" t="s">
        <v>89</v>
      </c>
      <c r="J4363">
        <v>0</v>
      </c>
      <c r="K4363">
        <v>1</v>
      </c>
      <c r="L4363">
        <v>2</v>
      </c>
      <c r="M4363">
        <v>218</v>
      </c>
      <c r="N4363">
        <v>380</v>
      </c>
      <c r="O4363">
        <v>0</v>
      </c>
      <c r="P4363">
        <v>380</v>
      </c>
      <c r="Q4363">
        <v>8</v>
      </c>
      <c r="R4363">
        <v>80</v>
      </c>
      <c r="S4363">
        <v>31</v>
      </c>
      <c r="T4363">
        <v>5</v>
      </c>
      <c r="U4363">
        <v>19</v>
      </c>
      <c r="V4363">
        <v>2</v>
      </c>
      <c r="W4363">
        <v>63</v>
      </c>
      <c r="X4363">
        <v>7</v>
      </c>
      <c r="Y4363">
        <v>96</v>
      </c>
      <c r="Z4363">
        <v>12</v>
      </c>
      <c r="AA4363">
        <v>2</v>
      </c>
      <c r="AB4363">
        <v>0</v>
      </c>
      <c r="AC4363">
        <v>0</v>
      </c>
      <c r="AD4363">
        <v>2</v>
      </c>
      <c r="AE4363">
        <v>0</v>
      </c>
      <c r="AF4363">
        <v>1</v>
      </c>
      <c r="AK4363">
        <v>2</v>
      </c>
      <c r="AL4363">
        <v>1</v>
      </c>
      <c r="AM4363">
        <v>0</v>
      </c>
      <c r="AN4363">
        <v>1</v>
      </c>
      <c r="AQ4363">
        <v>0</v>
      </c>
      <c r="AT4363">
        <v>18</v>
      </c>
      <c r="AU4363">
        <v>30</v>
      </c>
      <c r="AV4363">
        <v>380</v>
      </c>
      <c r="AW4363">
        <v>380</v>
      </c>
      <c r="AX4363">
        <v>575</v>
      </c>
      <c r="BA4363">
        <v>1</v>
      </c>
      <c r="BC4363" t="s">
        <v>8834</v>
      </c>
      <c r="BD4363" s="4">
        <v>43283.252083333333</v>
      </c>
      <c r="BE4363" s="4">
        <v>43283.29179398148</v>
      </c>
      <c r="BF4363" s="4">
        <v>43283.29179398148</v>
      </c>
      <c r="BG4363" t="s">
        <v>83</v>
      </c>
      <c r="BH4363" t="s">
        <v>84</v>
      </c>
      <c r="BI4363" t="s">
        <v>85</v>
      </c>
    </row>
    <row r="4364" spans="1:61" x14ac:dyDescent="0.3">
      <c r="A4364" t="str">
        <f>"201299B0100"</f>
        <v>201299B0100</v>
      </c>
      <c r="B4364" t="s">
        <v>8835</v>
      </c>
      <c r="C4364">
        <v>20</v>
      </c>
      <c r="D4364" t="s">
        <v>79</v>
      </c>
      <c r="E4364">
        <v>20</v>
      </c>
      <c r="F4364" t="s">
        <v>8477</v>
      </c>
      <c r="G4364">
        <v>1299</v>
      </c>
      <c r="H4364">
        <v>1</v>
      </c>
      <c r="I4364" t="s">
        <v>81</v>
      </c>
      <c r="J4364">
        <v>0</v>
      </c>
      <c r="K4364">
        <v>2</v>
      </c>
      <c r="L4364">
        <v>2</v>
      </c>
      <c r="M4364">
        <v>191</v>
      </c>
      <c r="N4364">
        <v>360</v>
      </c>
      <c r="O4364">
        <v>0</v>
      </c>
      <c r="P4364">
        <v>360</v>
      </c>
      <c r="Q4364">
        <v>14</v>
      </c>
      <c r="R4364">
        <v>88</v>
      </c>
      <c r="S4364">
        <v>21</v>
      </c>
      <c r="T4364">
        <v>6</v>
      </c>
      <c r="U4364">
        <v>16</v>
      </c>
      <c r="V4364">
        <v>0</v>
      </c>
      <c r="W4364">
        <v>39</v>
      </c>
      <c r="X4364">
        <v>11</v>
      </c>
      <c r="Y4364">
        <v>92</v>
      </c>
      <c r="Z4364">
        <v>19</v>
      </c>
      <c r="AA4364">
        <v>1</v>
      </c>
      <c r="AB4364">
        <v>2</v>
      </c>
      <c r="AC4364">
        <v>1</v>
      </c>
      <c r="AD4364">
        <v>0</v>
      </c>
      <c r="AE4364">
        <v>0</v>
      </c>
      <c r="AF4364">
        <v>0</v>
      </c>
      <c r="AK4364">
        <v>2</v>
      </c>
      <c r="AL4364">
        <v>0</v>
      </c>
      <c r="AM4364">
        <v>1</v>
      </c>
      <c r="AN4364">
        <v>0</v>
      </c>
      <c r="AQ4364">
        <v>1</v>
      </c>
      <c r="AT4364">
        <v>0</v>
      </c>
      <c r="AU4364">
        <v>42</v>
      </c>
      <c r="AV4364">
        <v>360</v>
      </c>
      <c r="AW4364">
        <v>356</v>
      </c>
      <c r="AX4364">
        <v>529</v>
      </c>
      <c r="BA4364">
        <v>1</v>
      </c>
      <c r="BC4364" t="s">
        <v>8836</v>
      </c>
      <c r="BD4364" s="4">
        <v>43283.254166666666</v>
      </c>
      <c r="BE4364" s="4">
        <v>43283.294861111113</v>
      </c>
      <c r="BF4364" s="4">
        <v>43283.294861111113</v>
      </c>
      <c r="BG4364" t="s">
        <v>83</v>
      </c>
      <c r="BH4364" t="s">
        <v>84</v>
      </c>
      <c r="BI4364" t="s">
        <v>85</v>
      </c>
    </row>
    <row r="4365" spans="1:61" x14ac:dyDescent="0.3">
      <c r="A4365" t="str">
        <f>"201299C0100"</f>
        <v>201299C0100</v>
      </c>
      <c r="B4365" t="s">
        <v>8837</v>
      </c>
      <c r="C4365">
        <v>20</v>
      </c>
      <c r="D4365" t="s">
        <v>79</v>
      </c>
      <c r="E4365">
        <v>20</v>
      </c>
      <c r="F4365" t="s">
        <v>8477</v>
      </c>
      <c r="G4365">
        <v>1299</v>
      </c>
      <c r="H4365">
        <v>1</v>
      </c>
      <c r="I4365" t="s">
        <v>89</v>
      </c>
      <c r="J4365">
        <v>0</v>
      </c>
      <c r="K4365">
        <v>2</v>
      </c>
      <c r="L4365">
        <v>2</v>
      </c>
      <c r="M4365">
        <v>200</v>
      </c>
      <c r="N4365">
        <v>351</v>
      </c>
      <c r="O4365">
        <v>0</v>
      </c>
      <c r="P4365">
        <v>351</v>
      </c>
      <c r="Q4365">
        <v>7</v>
      </c>
      <c r="R4365">
        <v>89</v>
      </c>
      <c r="S4365">
        <v>17</v>
      </c>
      <c r="T4365">
        <v>7</v>
      </c>
      <c r="U4365">
        <v>14</v>
      </c>
      <c r="V4365">
        <v>3</v>
      </c>
      <c r="W4365">
        <v>29</v>
      </c>
      <c r="X4365">
        <v>4</v>
      </c>
      <c r="Y4365">
        <v>108</v>
      </c>
      <c r="Z4365">
        <v>15</v>
      </c>
      <c r="AA4365">
        <v>1</v>
      </c>
      <c r="AB4365">
        <v>1</v>
      </c>
      <c r="AC4365">
        <v>2</v>
      </c>
      <c r="AD4365">
        <v>0</v>
      </c>
      <c r="AE4365">
        <v>0</v>
      </c>
      <c r="AF4365">
        <v>0</v>
      </c>
      <c r="AK4365">
        <v>6</v>
      </c>
      <c r="AL4365">
        <v>0</v>
      </c>
      <c r="AM4365">
        <v>0</v>
      </c>
      <c r="AN4365">
        <v>0</v>
      </c>
      <c r="AQ4365">
        <v>0</v>
      </c>
      <c r="AT4365">
        <v>0</v>
      </c>
      <c r="AU4365">
        <v>48</v>
      </c>
      <c r="AV4365">
        <v>351</v>
      </c>
      <c r="AW4365">
        <v>351</v>
      </c>
      <c r="AX4365">
        <v>529</v>
      </c>
      <c r="BA4365">
        <v>1</v>
      </c>
      <c r="BC4365" t="s">
        <v>8838</v>
      </c>
      <c r="BD4365" s="4">
        <v>43283.255555555559</v>
      </c>
      <c r="BE4365" s="4">
        <v>43283.282835648148</v>
      </c>
      <c r="BF4365" s="4">
        <v>43283.282835648148</v>
      </c>
      <c r="BG4365" t="s">
        <v>83</v>
      </c>
      <c r="BH4365" t="s">
        <v>84</v>
      </c>
      <c r="BI4365" t="s">
        <v>85</v>
      </c>
    </row>
    <row r="4366" spans="1:61" x14ac:dyDescent="0.3">
      <c r="A4366" t="str">
        <f>"201299C0200"</f>
        <v>201299C0200</v>
      </c>
      <c r="B4366" t="s">
        <v>8839</v>
      </c>
      <c r="C4366">
        <v>20</v>
      </c>
      <c r="D4366" t="s">
        <v>79</v>
      </c>
      <c r="E4366">
        <v>20</v>
      </c>
      <c r="F4366" t="s">
        <v>8477</v>
      </c>
      <c r="G4366">
        <v>1299</v>
      </c>
      <c r="H4366">
        <v>2</v>
      </c>
      <c r="I4366" t="s">
        <v>89</v>
      </c>
      <c r="J4366">
        <v>0</v>
      </c>
      <c r="K4366">
        <v>2</v>
      </c>
      <c r="L4366">
        <v>2</v>
      </c>
      <c r="M4366">
        <v>199</v>
      </c>
      <c r="N4366">
        <v>352</v>
      </c>
      <c r="O4366">
        <v>0</v>
      </c>
      <c r="P4366">
        <v>352</v>
      </c>
      <c r="Q4366">
        <v>18</v>
      </c>
      <c r="R4366">
        <v>102</v>
      </c>
      <c r="S4366">
        <v>17</v>
      </c>
      <c r="T4366">
        <v>6</v>
      </c>
      <c r="U4366">
        <v>8</v>
      </c>
      <c r="V4366">
        <v>1</v>
      </c>
      <c r="W4366">
        <v>38</v>
      </c>
      <c r="X4366">
        <v>1</v>
      </c>
      <c r="Y4366">
        <v>86</v>
      </c>
      <c r="Z4366">
        <v>13</v>
      </c>
      <c r="AA4366">
        <v>0</v>
      </c>
      <c r="AB4366">
        <v>3</v>
      </c>
      <c r="AC4366">
        <v>2</v>
      </c>
      <c r="AD4366">
        <v>0</v>
      </c>
      <c r="AE4366">
        <v>0</v>
      </c>
      <c r="AF4366">
        <v>0</v>
      </c>
      <c r="AK4366">
        <v>2</v>
      </c>
      <c r="AL4366">
        <v>0</v>
      </c>
      <c r="AM4366">
        <v>0</v>
      </c>
      <c r="AN4366">
        <v>0</v>
      </c>
      <c r="AQ4366">
        <v>1</v>
      </c>
      <c r="AT4366">
        <v>0</v>
      </c>
      <c r="AU4366">
        <v>52</v>
      </c>
      <c r="AV4366">
        <v>350</v>
      </c>
      <c r="AW4366">
        <v>350</v>
      </c>
      <c r="AX4366">
        <v>529</v>
      </c>
      <c r="BA4366">
        <v>1</v>
      </c>
      <c r="BC4366" t="s">
        <v>8840</v>
      </c>
      <c r="BD4366" s="4">
        <v>43283.255555555559</v>
      </c>
      <c r="BE4366" s="4">
        <v>43283.287442129629</v>
      </c>
      <c r="BF4366" s="4">
        <v>43283.287442129629</v>
      </c>
      <c r="BG4366" t="s">
        <v>83</v>
      </c>
      <c r="BH4366" t="s">
        <v>84</v>
      </c>
      <c r="BI4366" t="s">
        <v>85</v>
      </c>
    </row>
    <row r="4367" spans="1:61" x14ac:dyDescent="0.3">
      <c r="A4367" t="str">
        <f>"201300B0100"</f>
        <v>201300B0100</v>
      </c>
      <c r="B4367" t="s">
        <v>8841</v>
      </c>
      <c r="C4367">
        <v>20</v>
      </c>
      <c r="D4367" t="s">
        <v>79</v>
      </c>
      <c r="E4367">
        <v>20</v>
      </c>
      <c r="F4367" t="s">
        <v>8477</v>
      </c>
      <c r="G4367">
        <v>1300</v>
      </c>
      <c r="H4367">
        <v>1</v>
      </c>
      <c r="I4367" t="s">
        <v>81</v>
      </c>
      <c r="J4367">
        <v>0</v>
      </c>
      <c r="K4367">
        <v>2</v>
      </c>
      <c r="L4367">
        <v>2</v>
      </c>
      <c r="M4367">
        <v>166</v>
      </c>
      <c r="N4367">
        <v>374</v>
      </c>
      <c r="O4367">
        <v>1</v>
      </c>
      <c r="P4367">
        <v>374</v>
      </c>
      <c r="Q4367">
        <v>17</v>
      </c>
      <c r="R4367">
        <v>62</v>
      </c>
      <c r="S4367">
        <v>13</v>
      </c>
      <c r="T4367">
        <v>7</v>
      </c>
      <c r="U4367">
        <v>30</v>
      </c>
      <c r="V4367">
        <v>3</v>
      </c>
      <c r="W4367">
        <v>67</v>
      </c>
      <c r="X4367">
        <v>8</v>
      </c>
      <c r="Y4367">
        <v>106</v>
      </c>
      <c r="Z4367">
        <v>11</v>
      </c>
      <c r="AA4367">
        <v>2</v>
      </c>
      <c r="AB4367">
        <v>5</v>
      </c>
      <c r="AC4367">
        <v>1</v>
      </c>
      <c r="AD4367">
        <v>1</v>
      </c>
      <c r="AE4367">
        <v>0</v>
      </c>
      <c r="AF4367">
        <v>0</v>
      </c>
      <c r="AK4367">
        <v>2</v>
      </c>
      <c r="AL4367">
        <v>1</v>
      </c>
      <c r="AM4367">
        <v>0</v>
      </c>
      <c r="AN4367">
        <v>1</v>
      </c>
      <c r="AQ4367">
        <v>1</v>
      </c>
      <c r="AT4367">
        <v>0</v>
      </c>
      <c r="AU4367">
        <v>36</v>
      </c>
      <c r="AV4367">
        <v>374</v>
      </c>
      <c r="AW4367">
        <v>374</v>
      </c>
      <c r="AX4367">
        <v>518</v>
      </c>
      <c r="BA4367">
        <v>1</v>
      </c>
      <c r="BC4367" t="s">
        <v>8842</v>
      </c>
      <c r="BD4367" s="4">
        <v>43283.250694444447</v>
      </c>
      <c r="BE4367" s="4">
        <v>43283.276898148149</v>
      </c>
      <c r="BF4367" s="4">
        <v>43283.276898148149</v>
      </c>
      <c r="BG4367" t="s">
        <v>83</v>
      </c>
      <c r="BH4367" t="s">
        <v>84</v>
      </c>
      <c r="BI4367" t="s">
        <v>85</v>
      </c>
    </row>
    <row r="4368" spans="1:61" x14ac:dyDescent="0.3">
      <c r="A4368" t="str">
        <f>"201300C0100"</f>
        <v>201300C0100</v>
      </c>
      <c r="B4368" t="s">
        <v>8843</v>
      </c>
      <c r="C4368">
        <v>20</v>
      </c>
      <c r="D4368" t="s">
        <v>79</v>
      </c>
      <c r="E4368">
        <v>20</v>
      </c>
      <c r="F4368" t="s">
        <v>8477</v>
      </c>
      <c r="G4368">
        <v>1300</v>
      </c>
      <c r="H4368">
        <v>1</v>
      </c>
      <c r="I4368" t="s">
        <v>89</v>
      </c>
      <c r="J4368">
        <v>0</v>
      </c>
      <c r="K4368">
        <v>2</v>
      </c>
      <c r="L4368">
        <v>2</v>
      </c>
      <c r="M4368">
        <v>168</v>
      </c>
      <c r="N4368">
        <v>370</v>
      </c>
      <c r="O4368">
        <v>2</v>
      </c>
      <c r="P4368">
        <v>0</v>
      </c>
      <c r="Q4368">
        <v>13</v>
      </c>
      <c r="R4368">
        <v>69</v>
      </c>
      <c r="S4368">
        <v>18</v>
      </c>
      <c r="T4368">
        <v>6</v>
      </c>
      <c r="U4368">
        <v>20</v>
      </c>
      <c r="V4368">
        <v>5</v>
      </c>
      <c r="W4368">
        <v>60</v>
      </c>
      <c r="X4368">
        <v>2</v>
      </c>
      <c r="Y4368">
        <v>129</v>
      </c>
      <c r="Z4368">
        <v>13</v>
      </c>
      <c r="AA4368">
        <v>2</v>
      </c>
      <c r="AB4368">
        <v>2</v>
      </c>
      <c r="AC4368">
        <v>0</v>
      </c>
      <c r="AD4368">
        <v>1</v>
      </c>
      <c r="AE4368">
        <v>0</v>
      </c>
      <c r="AF4368">
        <v>0</v>
      </c>
      <c r="AK4368">
        <v>7</v>
      </c>
      <c r="AL4368">
        <v>2</v>
      </c>
      <c r="AM4368">
        <v>1</v>
      </c>
      <c r="AN4368">
        <v>4</v>
      </c>
      <c r="AQ4368">
        <v>0</v>
      </c>
      <c r="AT4368">
        <v>0</v>
      </c>
      <c r="AU4368">
        <v>14</v>
      </c>
      <c r="AV4368">
        <v>368</v>
      </c>
      <c r="AW4368">
        <v>368</v>
      </c>
      <c r="AX4368">
        <v>517</v>
      </c>
      <c r="BA4368">
        <v>1</v>
      </c>
      <c r="BC4368" t="s">
        <v>8844</v>
      </c>
      <c r="BD4368" s="4">
        <v>43283.253472222219</v>
      </c>
      <c r="BE4368" s="4">
        <v>43283.280115740738</v>
      </c>
      <c r="BF4368" s="4">
        <v>43283.280115740738</v>
      </c>
      <c r="BG4368" t="s">
        <v>83</v>
      </c>
      <c r="BH4368" t="s">
        <v>84</v>
      </c>
      <c r="BI4368" t="s">
        <v>85</v>
      </c>
    </row>
    <row r="4369" spans="1:61" x14ac:dyDescent="0.3">
      <c r="A4369" t="str">
        <f>"201300C0200"</f>
        <v>201300C0200</v>
      </c>
      <c r="B4369" t="s">
        <v>8845</v>
      </c>
      <c r="C4369">
        <v>20</v>
      </c>
      <c r="D4369" t="s">
        <v>79</v>
      </c>
      <c r="E4369">
        <v>20</v>
      </c>
      <c r="F4369" t="s">
        <v>8477</v>
      </c>
      <c r="G4369">
        <v>1300</v>
      </c>
      <c r="H4369">
        <v>2</v>
      </c>
      <c r="I4369" t="s">
        <v>89</v>
      </c>
      <c r="J4369">
        <v>0</v>
      </c>
      <c r="K4369">
        <v>2</v>
      </c>
      <c r="L4369">
        <v>2</v>
      </c>
      <c r="M4369">
        <v>164</v>
      </c>
      <c r="N4369">
        <v>375</v>
      </c>
      <c r="O4369">
        <v>1</v>
      </c>
      <c r="P4369">
        <v>375</v>
      </c>
      <c r="Q4369">
        <v>12</v>
      </c>
      <c r="R4369">
        <v>56</v>
      </c>
      <c r="S4369">
        <v>12</v>
      </c>
      <c r="T4369">
        <v>3</v>
      </c>
      <c r="U4369">
        <v>25</v>
      </c>
      <c r="V4369">
        <v>4</v>
      </c>
      <c r="W4369">
        <v>65</v>
      </c>
      <c r="X4369">
        <v>9</v>
      </c>
      <c r="Y4369">
        <v>131</v>
      </c>
      <c r="Z4369">
        <v>16</v>
      </c>
      <c r="AA4369">
        <v>4</v>
      </c>
      <c r="AB4369">
        <v>4</v>
      </c>
      <c r="AC4369">
        <v>0</v>
      </c>
      <c r="AD4369">
        <v>0</v>
      </c>
      <c r="AE4369">
        <v>1</v>
      </c>
      <c r="AF4369">
        <v>1</v>
      </c>
      <c r="AK4369">
        <v>1</v>
      </c>
      <c r="AL4369">
        <v>2</v>
      </c>
      <c r="AM4369">
        <v>0</v>
      </c>
      <c r="AN4369">
        <v>7</v>
      </c>
      <c r="AQ4369">
        <v>0</v>
      </c>
      <c r="AT4369">
        <v>0</v>
      </c>
      <c r="AU4369">
        <v>22</v>
      </c>
      <c r="AV4369">
        <v>375</v>
      </c>
      <c r="AW4369">
        <v>375</v>
      </c>
      <c r="AX4369">
        <v>517</v>
      </c>
      <c r="BA4369">
        <v>1</v>
      </c>
      <c r="BC4369" t="s">
        <v>8846</v>
      </c>
      <c r="BD4369" s="4">
        <v>43283.253472222219</v>
      </c>
      <c r="BE4369" s="4">
        <v>43283.281712962962</v>
      </c>
      <c r="BF4369" s="4">
        <v>43283.281712962962</v>
      </c>
      <c r="BG4369" t="s">
        <v>83</v>
      </c>
      <c r="BH4369" t="s">
        <v>84</v>
      </c>
      <c r="BI4369" t="s">
        <v>85</v>
      </c>
    </row>
    <row r="4370" spans="1:61" x14ac:dyDescent="0.3">
      <c r="A4370" t="str">
        <f>"201300E0100"</f>
        <v>201300E0100</v>
      </c>
      <c r="B4370" s="2" t="s">
        <v>8847</v>
      </c>
      <c r="C4370">
        <v>20</v>
      </c>
      <c r="D4370" t="s">
        <v>79</v>
      </c>
      <c r="E4370">
        <v>20</v>
      </c>
      <c r="F4370" t="s">
        <v>8477</v>
      </c>
      <c r="G4370">
        <v>1300</v>
      </c>
      <c r="H4370">
        <v>1</v>
      </c>
      <c r="I4370" t="s">
        <v>145</v>
      </c>
      <c r="J4370">
        <v>0</v>
      </c>
      <c r="K4370">
        <v>2</v>
      </c>
      <c r="L4370">
        <v>2</v>
      </c>
      <c r="M4370">
        <v>113</v>
      </c>
      <c r="N4370">
        <v>408</v>
      </c>
      <c r="O4370">
        <v>0</v>
      </c>
      <c r="P4370">
        <v>408</v>
      </c>
      <c r="Q4370">
        <v>18</v>
      </c>
      <c r="R4370">
        <v>94</v>
      </c>
      <c r="S4370">
        <v>31</v>
      </c>
      <c r="T4370">
        <v>6</v>
      </c>
      <c r="U4370">
        <v>15</v>
      </c>
      <c r="V4370">
        <v>1</v>
      </c>
      <c r="W4370">
        <v>78</v>
      </c>
      <c r="X4370">
        <v>2</v>
      </c>
      <c r="Y4370">
        <v>99</v>
      </c>
      <c r="Z4370">
        <v>12</v>
      </c>
      <c r="AA4370">
        <v>1</v>
      </c>
      <c r="AB4370">
        <v>4</v>
      </c>
      <c r="AC4370" t="s">
        <v>100</v>
      </c>
      <c r="AD4370" t="s">
        <v>100</v>
      </c>
      <c r="AE4370" t="s">
        <v>100</v>
      </c>
      <c r="AF4370" t="s">
        <v>100</v>
      </c>
      <c r="AK4370" t="s">
        <v>100</v>
      </c>
      <c r="AL4370" t="s">
        <v>100</v>
      </c>
      <c r="AM4370" t="s">
        <v>100</v>
      </c>
      <c r="AN4370" t="s">
        <v>100</v>
      </c>
      <c r="AQ4370" t="s">
        <v>100</v>
      </c>
      <c r="AT4370" t="s">
        <v>100</v>
      </c>
      <c r="AU4370" t="s">
        <v>100</v>
      </c>
      <c r="AV4370" t="s">
        <v>100</v>
      </c>
      <c r="AW4370">
        <v>361</v>
      </c>
      <c r="AX4370">
        <v>499</v>
      </c>
      <c r="AZ4370" t="s">
        <v>101</v>
      </c>
      <c r="BA4370">
        <v>1</v>
      </c>
      <c r="BC4370" t="s">
        <v>8848</v>
      </c>
      <c r="BD4370" s="4">
        <v>43283.25</v>
      </c>
      <c r="BE4370" s="4">
        <v>43283.276145833333</v>
      </c>
      <c r="BF4370" s="4">
        <v>43283.276145833333</v>
      </c>
      <c r="BG4370" t="s">
        <v>83</v>
      </c>
      <c r="BH4370" t="s">
        <v>84</v>
      </c>
      <c r="BI4370" t="s">
        <v>85</v>
      </c>
    </row>
    <row r="4371" spans="1:61" x14ac:dyDescent="0.3">
      <c r="A4371" t="str">
        <f>"201301B0100"</f>
        <v>201301B0100</v>
      </c>
      <c r="B4371" t="s">
        <v>8849</v>
      </c>
      <c r="C4371">
        <v>20</v>
      </c>
      <c r="D4371" t="s">
        <v>79</v>
      </c>
      <c r="E4371">
        <v>20</v>
      </c>
      <c r="F4371" t="s">
        <v>8477</v>
      </c>
      <c r="G4371">
        <v>1301</v>
      </c>
      <c r="H4371">
        <v>1</v>
      </c>
      <c r="I4371" t="s">
        <v>81</v>
      </c>
      <c r="J4371">
        <v>0</v>
      </c>
      <c r="K4371">
        <v>2</v>
      </c>
      <c r="L4371">
        <v>2</v>
      </c>
      <c r="M4371">
        <v>174</v>
      </c>
      <c r="N4371">
        <v>458</v>
      </c>
      <c r="O4371">
        <v>1</v>
      </c>
      <c r="P4371">
        <v>458</v>
      </c>
      <c r="Q4371">
        <v>22</v>
      </c>
      <c r="R4371">
        <v>147</v>
      </c>
      <c r="S4371">
        <v>20</v>
      </c>
      <c r="T4371">
        <v>5</v>
      </c>
      <c r="U4371">
        <v>21</v>
      </c>
      <c r="V4371">
        <v>3</v>
      </c>
      <c r="W4371">
        <v>38</v>
      </c>
      <c r="X4371">
        <v>5</v>
      </c>
      <c r="Y4371">
        <v>136</v>
      </c>
      <c r="Z4371">
        <v>11</v>
      </c>
      <c r="AA4371">
        <v>1</v>
      </c>
      <c r="AB4371">
        <v>3</v>
      </c>
      <c r="AC4371">
        <v>0</v>
      </c>
      <c r="AD4371">
        <v>0</v>
      </c>
      <c r="AE4371">
        <v>0</v>
      </c>
      <c r="AF4371">
        <v>0</v>
      </c>
      <c r="AK4371">
        <v>5</v>
      </c>
      <c r="AL4371">
        <v>0</v>
      </c>
      <c r="AM4371">
        <v>0</v>
      </c>
      <c r="AN4371">
        <v>0</v>
      </c>
      <c r="AQ4371">
        <v>0</v>
      </c>
      <c r="AT4371">
        <v>0</v>
      </c>
      <c r="AU4371">
        <v>41</v>
      </c>
      <c r="AV4371">
        <v>458</v>
      </c>
      <c r="AW4371">
        <v>458</v>
      </c>
      <c r="AX4371">
        <v>610</v>
      </c>
      <c r="BA4371">
        <v>1</v>
      </c>
      <c r="BC4371" t="s">
        <v>8850</v>
      </c>
      <c r="BD4371" s="4">
        <v>43283.251388888886</v>
      </c>
      <c r="BE4371" s="4">
        <v>43283.277106481481</v>
      </c>
      <c r="BF4371" s="4">
        <v>43283.277106481481</v>
      </c>
      <c r="BG4371" t="s">
        <v>83</v>
      </c>
      <c r="BH4371" t="s">
        <v>84</v>
      </c>
      <c r="BI4371" t="s">
        <v>85</v>
      </c>
    </row>
    <row r="4372" spans="1:61" x14ac:dyDescent="0.3">
      <c r="A4372" t="str">
        <f>"201301C0100"</f>
        <v>201301C0100</v>
      </c>
      <c r="B4372" t="s">
        <v>8851</v>
      </c>
      <c r="C4372">
        <v>20</v>
      </c>
      <c r="D4372" t="s">
        <v>79</v>
      </c>
      <c r="E4372">
        <v>20</v>
      </c>
      <c r="F4372" t="s">
        <v>8477</v>
      </c>
      <c r="G4372">
        <v>1301</v>
      </c>
      <c r="H4372">
        <v>1</v>
      </c>
      <c r="I4372" t="s">
        <v>89</v>
      </c>
      <c r="J4372">
        <v>0</v>
      </c>
      <c r="K4372">
        <v>2</v>
      </c>
      <c r="L4372">
        <v>2</v>
      </c>
      <c r="M4372">
        <v>202</v>
      </c>
      <c r="N4372">
        <v>429</v>
      </c>
      <c r="O4372">
        <v>0</v>
      </c>
      <c r="P4372">
        <v>429</v>
      </c>
      <c r="Q4372">
        <v>12</v>
      </c>
      <c r="R4372">
        <v>131</v>
      </c>
      <c r="S4372">
        <v>25</v>
      </c>
      <c r="T4372">
        <v>7</v>
      </c>
      <c r="U4372">
        <v>16</v>
      </c>
      <c r="V4372">
        <v>1</v>
      </c>
      <c r="W4372">
        <v>56</v>
      </c>
      <c r="X4372">
        <v>6</v>
      </c>
      <c r="Y4372">
        <v>111</v>
      </c>
      <c r="Z4372">
        <v>4</v>
      </c>
      <c r="AA4372">
        <v>1</v>
      </c>
      <c r="AB4372">
        <v>1</v>
      </c>
      <c r="AC4372" t="s">
        <v>100</v>
      </c>
      <c r="AD4372" t="s">
        <v>100</v>
      </c>
      <c r="AE4372" t="s">
        <v>100</v>
      </c>
      <c r="AF4372" t="s">
        <v>100</v>
      </c>
      <c r="AK4372">
        <v>5</v>
      </c>
      <c r="AL4372">
        <v>1</v>
      </c>
      <c r="AM4372" t="s">
        <v>100</v>
      </c>
      <c r="AN4372">
        <v>2</v>
      </c>
      <c r="AQ4372" t="s">
        <v>100</v>
      </c>
      <c r="AT4372" t="s">
        <v>100</v>
      </c>
      <c r="AU4372">
        <v>51</v>
      </c>
      <c r="AV4372">
        <v>429</v>
      </c>
      <c r="AW4372">
        <v>430</v>
      </c>
      <c r="AX4372">
        <v>609</v>
      </c>
      <c r="AZ4372" t="s">
        <v>101</v>
      </c>
      <c r="BA4372">
        <v>1</v>
      </c>
      <c r="BC4372" t="s">
        <v>8852</v>
      </c>
      <c r="BD4372" s="4">
        <v>43283.254861111112</v>
      </c>
      <c r="BE4372" s="4">
        <v>43283.283333333333</v>
      </c>
      <c r="BF4372" s="4">
        <v>43283.283333333333</v>
      </c>
      <c r="BG4372" t="s">
        <v>83</v>
      </c>
      <c r="BH4372" t="s">
        <v>84</v>
      </c>
      <c r="BI4372" t="s">
        <v>85</v>
      </c>
    </row>
    <row r="4373" spans="1:61" x14ac:dyDescent="0.3">
      <c r="A4373" t="str">
        <f>"201301C0200"</f>
        <v>201301C0200</v>
      </c>
      <c r="B4373" t="s">
        <v>8853</v>
      </c>
      <c r="C4373">
        <v>20</v>
      </c>
      <c r="D4373" t="s">
        <v>79</v>
      </c>
      <c r="E4373">
        <v>20</v>
      </c>
      <c r="F4373" t="s">
        <v>8477</v>
      </c>
      <c r="G4373">
        <v>1301</v>
      </c>
      <c r="H4373">
        <v>2</v>
      </c>
      <c r="I4373" t="s">
        <v>89</v>
      </c>
      <c r="J4373">
        <v>0</v>
      </c>
      <c r="K4373">
        <v>2</v>
      </c>
      <c r="L4373">
        <v>2</v>
      </c>
      <c r="M4373">
        <v>197</v>
      </c>
      <c r="N4373">
        <v>434</v>
      </c>
      <c r="O4373">
        <v>0</v>
      </c>
      <c r="P4373" t="s">
        <v>100</v>
      </c>
      <c r="Q4373">
        <v>7</v>
      </c>
      <c r="R4373">
        <v>115</v>
      </c>
      <c r="S4373">
        <v>21</v>
      </c>
      <c r="T4373">
        <v>4</v>
      </c>
      <c r="U4373">
        <v>20</v>
      </c>
      <c r="V4373">
        <v>4</v>
      </c>
      <c r="W4373">
        <v>42</v>
      </c>
      <c r="X4373">
        <v>1</v>
      </c>
      <c r="Y4373">
        <v>159</v>
      </c>
      <c r="Z4373">
        <v>10</v>
      </c>
      <c r="AA4373">
        <v>1</v>
      </c>
      <c r="AB4373">
        <v>1</v>
      </c>
      <c r="AC4373">
        <v>0</v>
      </c>
      <c r="AD4373">
        <v>0</v>
      </c>
      <c r="AE4373">
        <v>0</v>
      </c>
      <c r="AF4373">
        <v>0</v>
      </c>
      <c r="AK4373">
        <v>3</v>
      </c>
      <c r="AL4373">
        <v>0</v>
      </c>
      <c r="AM4373">
        <v>0</v>
      </c>
      <c r="AN4373">
        <v>2</v>
      </c>
      <c r="AQ4373">
        <v>0</v>
      </c>
      <c r="AT4373">
        <v>0</v>
      </c>
      <c r="AU4373">
        <v>43</v>
      </c>
      <c r="AV4373" t="s">
        <v>100</v>
      </c>
      <c r="AW4373">
        <v>433</v>
      </c>
      <c r="AX4373">
        <v>609</v>
      </c>
      <c r="BA4373">
        <v>1</v>
      </c>
      <c r="BC4373" t="s">
        <v>8854</v>
      </c>
      <c r="BD4373" s="4">
        <v>43283.248611111114</v>
      </c>
      <c r="BE4373" s="4">
        <v>43283.27416666667</v>
      </c>
      <c r="BF4373" s="4">
        <v>43283.27416666667</v>
      </c>
      <c r="BG4373" t="s">
        <v>83</v>
      </c>
      <c r="BH4373" t="s">
        <v>84</v>
      </c>
      <c r="BI4373" t="s">
        <v>85</v>
      </c>
    </row>
    <row r="4374" spans="1:61" x14ac:dyDescent="0.3">
      <c r="A4374" t="str">
        <f>"202394B0100"</f>
        <v>202394B0100</v>
      </c>
      <c r="B4374" t="s">
        <v>8855</v>
      </c>
      <c r="C4374">
        <v>20</v>
      </c>
      <c r="D4374" t="s">
        <v>79</v>
      </c>
      <c r="E4374">
        <v>20</v>
      </c>
      <c r="F4374" t="s">
        <v>8477</v>
      </c>
      <c r="G4374">
        <v>2394</v>
      </c>
      <c r="H4374">
        <v>1</v>
      </c>
      <c r="I4374" t="s">
        <v>81</v>
      </c>
      <c r="J4374">
        <v>0</v>
      </c>
      <c r="K4374">
        <v>1</v>
      </c>
      <c r="L4374">
        <v>2</v>
      </c>
      <c r="AX4374">
        <v>641</v>
      </c>
      <c r="AZ4374" t="s">
        <v>156</v>
      </c>
      <c r="BA4374">
        <v>0</v>
      </c>
      <c r="BC4374" t="s">
        <v>8856</v>
      </c>
      <c r="BD4374" s="4">
        <v>43283.555555555555</v>
      </c>
      <c r="BE4374" s="4">
        <v>43283.562777777777</v>
      </c>
      <c r="BF4374" s="4">
        <v>43283.562777777777</v>
      </c>
      <c r="BG4374" t="s">
        <v>83</v>
      </c>
      <c r="BH4374" t="s">
        <v>84</v>
      </c>
      <c r="BI4374" t="s">
        <v>85</v>
      </c>
    </row>
    <row r="4375" spans="1:61" x14ac:dyDescent="0.3">
      <c r="A4375" t="str">
        <f>"202394C0100"</f>
        <v>202394C0100</v>
      </c>
      <c r="B4375" t="s">
        <v>8857</v>
      </c>
      <c r="C4375">
        <v>20</v>
      </c>
      <c r="D4375" t="s">
        <v>79</v>
      </c>
      <c r="E4375">
        <v>20</v>
      </c>
      <c r="F4375" t="s">
        <v>8477</v>
      </c>
      <c r="G4375">
        <v>2394</v>
      </c>
      <c r="H4375">
        <v>1</v>
      </c>
      <c r="I4375" t="s">
        <v>89</v>
      </c>
      <c r="J4375">
        <v>0</v>
      </c>
      <c r="K4375">
        <v>1</v>
      </c>
      <c r="L4375">
        <v>2</v>
      </c>
      <c r="M4375">
        <v>170</v>
      </c>
      <c r="N4375">
        <v>489</v>
      </c>
      <c r="O4375">
        <v>0</v>
      </c>
      <c r="P4375">
        <v>489</v>
      </c>
      <c r="Q4375">
        <v>8</v>
      </c>
      <c r="R4375">
        <v>178</v>
      </c>
      <c r="S4375">
        <v>7</v>
      </c>
      <c r="T4375">
        <v>1</v>
      </c>
      <c r="U4375">
        <v>29</v>
      </c>
      <c r="V4375">
        <v>2</v>
      </c>
      <c r="W4375">
        <v>9</v>
      </c>
      <c r="X4375">
        <v>0</v>
      </c>
      <c r="Y4375">
        <v>164</v>
      </c>
      <c r="Z4375">
        <v>10</v>
      </c>
      <c r="AA4375">
        <v>47</v>
      </c>
      <c r="AB4375">
        <v>1</v>
      </c>
      <c r="AC4375">
        <v>0</v>
      </c>
      <c r="AD4375">
        <v>0</v>
      </c>
      <c r="AE4375">
        <v>0</v>
      </c>
      <c r="AF4375">
        <v>0</v>
      </c>
      <c r="AK4375">
        <v>0</v>
      </c>
      <c r="AL4375">
        <v>0</v>
      </c>
      <c r="AM4375">
        <v>0</v>
      </c>
      <c r="AN4375">
        <v>0</v>
      </c>
      <c r="AQ4375">
        <v>0</v>
      </c>
      <c r="AT4375">
        <v>0</v>
      </c>
      <c r="AU4375">
        <v>30</v>
      </c>
      <c r="AV4375">
        <v>486</v>
      </c>
      <c r="AW4375">
        <v>486</v>
      </c>
      <c r="AX4375">
        <v>641</v>
      </c>
      <c r="BA4375">
        <v>1</v>
      </c>
      <c r="BC4375" t="s">
        <v>8858</v>
      </c>
      <c r="BD4375" s="4">
        <v>43283.275694444441</v>
      </c>
      <c r="BE4375" s="4">
        <v>43283.307939814818</v>
      </c>
      <c r="BF4375" s="4">
        <v>43283.307939814818</v>
      </c>
      <c r="BG4375" t="s">
        <v>83</v>
      </c>
      <c r="BH4375" t="s">
        <v>84</v>
      </c>
      <c r="BI4375" t="s">
        <v>85</v>
      </c>
    </row>
    <row r="4376" spans="1:61" x14ac:dyDescent="0.3">
      <c r="A4376" t="str">
        <f>"202395B0100"</f>
        <v>202395B0100</v>
      </c>
      <c r="B4376" t="s">
        <v>8859</v>
      </c>
      <c r="C4376">
        <v>20</v>
      </c>
      <c r="D4376" t="s">
        <v>79</v>
      </c>
      <c r="E4376">
        <v>20</v>
      </c>
      <c r="F4376" t="s">
        <v>8477</v>
      </c>
      <c r="G4376">
        <v>2395</v>
      </c>
      <c r="H4376">
        <v>1</v>
      </c>
      <c r="I4376" t="s">
        <v>81</v>
      </c>
      <c r="J4376">
        <v>0</v>
      </c>
      <c r="K4376">
        <v>1</v>
      </c>
      <c r="L4376">
        <v>2</v>
      </c>
      <c r="M4376">
        <v>109</v>
      </c>
      <c r="N4376">
        <v>453</v>
      </c>
      <c r="O4376" t="s">
        <v>100</v>
      </c>
      <c r="P4376">
        <v>341</v>
      </c>
      <c r="Q4376">
        <v>2</v>
      </c>
      <c r="R4376">
        <v>100</v>
      </c>
      <c r="S4376">
        <v>6</v>
      </c>
      <c r="T4376">
        <v>5</v>
      </c>
      <c r="U4376">
        <v>14</v>
      </c>
      <c r="V4376">
        <v>4</v>
      </c>
      <c r="W4376">
        <v>13</v>
      </c>
      <c r="X4376">
        <v>9</v>
      </c>
      <c r="Y4376">
        <v>114</v>
      </c>
      <c r="Z4376">
        <v>3</v>
      </c>
      <c r="AA4376">
        <v>46</v>
      </c>
      <c r="AB4376">
        <v>6</v>
      </c>
      <c r="AC4376">
        <v>1</v>
      </c>
      <c r="AD4376">
        <v>0</v>
      </c>
      <c r="AE4376">
        <v>0</v>
      </c>
      <c r="AF4376">
        <v>0</v>
      </c>
      <c r="AK4376">
        <v>1</v>
      </c>
      <c r="AL4376">
        <v>9</v>
      </c>
      <c r="AM4376">
        <v>1</v>
      </c>
      <c r="AN4376">
        <v>1</v>
      </c>
      <c r="AQ4376">
        <v>0</v>
      </c>
      <c r="AT4376">
        <v>0</v>
      </c>
      <c r="AU4376">
        <v>10</v>
      </c>
      <c r="AV4376">
        <v>345</v>
      </c>
      <c r="AW4376">
        <v>345</v>
      </c>
      <c r="AX4376">
        <v>431</v>
      </c>
      <c r="BA4376">
        <v>1</v>
      </c>
      <c r="BC4376" t="s">
        <v>8860</v>
      </c>
      <c r="BD4376" s="4">
        <v>43283.274305555555</v>
      </c>
      <c r="BE4376" s="4">
        <v>43283.300833333335</v>
      </c>
      <c r="BF4376" s="4">
        <v>43283.300833333335</v>
      </c>
      <c r="BG4376" t="s">
        <v>83</v>
      </c>
      <c r="BH4376" t="s">
        <v>84</v>
      </c>
      <c r="BI4376" t="s">
        <v>85</v>
      </c>
    </row>
    <row r="4377" spans="1:61" x14ac:dyDescent="0.3">
      <c r="A4377" t="str">
        <f>"202395C0100"</f>
        <v>202395C0100</v>
      </c>
      <c r="B4377" t="s">
        <v>8861</v>
      </c>
      <c r="C4377">
        <v>20</v>
      </c>
      <c r="D4377" t="s">
        <v>79</v>
      </c>
      <c r="E4377">
        <v>20</v>
      </c>
      <c r="F4377" t="s">
        <v>8477</v>
      </c>
      <c r="G4377">
        <v>2395</v>
      </c>
      <c r="H4377">
        <v>1</v>
      </c>
      <c r="I4377" t="s">
        <v>89</v>
      </c>
      <c r="J4377">
        <v>0</v>
      </c>
      <c r="K4377">
        <v>1</v>
      </c>
      <c r="L4377">
        <v>2</v>
      </c>
      <c r="M4377">
        <v>113</v>
      </c>
      <c r="N4377">
        <v>339</v>
      </c>
      <c r="O4377">
        <v>2</v>
      </c>
      <c r="P4377">
        <v>338</v>
      </c>
      <c r="Q4377">
        <v>2</v>
      </c>
      <c r="R4377">
        <v>83</v>
      </c>
      <c r="S4377">
        <v>6</v>
      </c>
      <c r="T4377">
        <v>2</v>
      </c>
      <c r="U4377">
        <v>19</v>
      </c>
      <c r="V4377">
        <v>3</v>
      </c>
      <c r="W4377">
        <v>8</v>
      </c>
      <c r="X4377">
        <v>15</v>
      </c>
      <c r="Y4377">
        <v>116</v>
      </c>
      <c r="Z4377">
        <v>5</v>
      </c>
      <c r="AA4377">
        <v>49</v>
      </c>
      <c r="AB4377">
        <v>2</v>
      </c>
      <c r="AC4377">
        <v>1</v>
      </c>
      <c r="AD4377">
        <v>0</v>
      </c>
      <c r="AE4377">
        <v>0</v>
      </c>
      <c r="AF4377">
        <v>0</v>
      </c>
      <c r="AK4377">
        <v>4</v>
      </c>
      <c r="AL4377">
        <v>0</v>
      </c>
      <c r="AM4377">
        <v>0</v>
      </c>
      <c r="AN4377">
        <v>0</v>
      </c>
      <c r="AQ4377">
        <v>2</v>
      </c>
      <c r="AT4377">
        <v>0</v>
      </c>
      <c r="AU4377">
        <v>21</v>
      </c>
      <c r="AV4377">
        <v>338</v>
      </c>
      <c r="AW4377">
        <v>338</v>
      </c>
      <c r="AX4377">
        <v>430</v>
      </c>
      <c r="BA4377">
        <v>1</v>
      </c>
      <c r="BC4377" t="s">
        <v>8862</v>
      </c>
      <c r="BD4377" s="4">
        <v>43283.26666666667</v>
      </c>
      <c r="BE4377" s="4">
        <v>43283.295416666668</v>
      </c>
      <c r="BF4377" s="4">
        <v>43283.295416666668</v>
      </c>
      <c r="BG4377" t="s">
        <v>83</v>
      </c>
      <c r="BH4377" t="s">
        <v>84</v>
      </c>
      <c r="BI4377" t="s">
        <v>85</v>
      </c>
    </row>
    <row r="4378" spans="1:61" x14ac:dyDescent="0.3">
      <c r="A4378" t="str">
        <f>"202396B0100"</f>
        <v>202396B0100</v>
      </c>
      <c r="B4378" t="s">
        <v>8863</v>
      </c>
      <c r="C4378">
        <v>20</v>
      </c>
      <c r="D4378" t="s">
        <v>79</v>
      </c>
      <c r="E4378">
        <v>20</v>
      </c>
      <c r="F4378" t="s">
        <v>8477</v>
      </c>
      <c r="G4378">
        <v>2396</v>
      </c>
      <c r="H4378">
        <v>1</v>
      </c>
      <c r="I4378" t="s">
        <v>81</v>
      </c>
      <c r="J4378">
        <v>0</v>
      </c>
      <c r="K4378">
        <v>1</v>
      </c>
      <c r="L4378">
        <v>2</v>
      </c>
      <c r="M4378">
        <v>85</v>
      </c>
      <c r="N4378">
        <v>315</v>
      </c>
      <c r="O4378">
        <v>1</v>
      </c>
      <c r="P4378">
        <v>315</v>
      </c>
      <c r="Q4378">
        <v>6</v>
      </c>
      <c r="R4378">
        <v>70</v>
      </c>
      <c r="S4378">
        <v>21</v>
      </c>
      <c r="T4378">
        <v>6</v>
      </c>
      <c r="U4378">
        <v>11</v>
      </c>
      <c r="V4378">
        <v>3</v>
      </c>
      <c r="W4378">
        <v>7</v>
      </c>
      <c r="X4378">
        <v>23</v>
      </c>
      <c r="Y4378">
        <v>94</v>
      </c>
      <c r="Z4378">
        <v>5</v>
      </c>
      <c r="AA4378">
        <v>41</v>
      </c>
      <c r="AB4378">
        <v>0</v>
      </c>
      <c r="AC4378">
        <v>0</v>
      </c>
      <c r="AD4378">
        <v>0</v>
      </c>
      <c r="AE4378">
        <v>0</v>
      </c>
      <c r="AF4378">
        <v>0</v>
      </c>
      <c r="AK4378">
        <v>1</v>
      </c>
      <c r="AL4378">
        <v>1</v>
      </c>
      <c r="AM4378">
        <v>1</v>
      </c>
      <c r="AN4378">
        <v>0</v>
      </c>
      <c r="AQ4378">
        <v>4</v>
      </c>
      <c r="AT4378">
        <v>0</v>
      </c>
      <c r="AU4378">
        <v>22</v>
      </c>
      <c r="AV4378">
        <v>315</v>
      </c>
      <c r="AW4378">
        <v>316</v>
      </c>
      <c r="AX4378">
        <v>378</v>
      </c>
      <c r="BA4378">
        <v>1</v>
      </c>
      <c r="BC4378" t="s">
        <v>8864</v>
      </c>
      <c r="BD4378" s="4">
        <v>43283.276388888888</v>
      </c>
      <c r="BE4378" s="4">
        <v>43283.306342592594</v>
      </c>
      <c r="BF4378" s="4">
        <v>43283.306342592594</v>
      </c>
      <c r="BG4378" t="s">
        <v>83</v>
      </c>
      <c r="BH4378" t="s">
        <v>84</v>
      </c>
      <c r="BI4378" t="s">
        <v>85</v>
      </c>
    </row>
    <row r="4379" spans="1:61" x14ac:dyDescent="0.3">
      <c r="A4379" t="str">
        <f>"202396C0100"</f>
        <v>202396C0100</v>
      </c>
      <c r="B4379" t="s">
        <v>8865</v>
      </c>
      <c r="C4379">
        <v>20</v>
      </c>
      <c r="D4379" t="s">
        <v>79</v>
      </c>
      <c r="E4379">
        <v>20</v>
      </c>
      <c r="F4379" t="s">
        <v>8477</v>
      </c>
      <c r="G4379">
        <v>2396</v>
      </c>
      <c r="H4379">
        <v>1</v>
      </c>
      <c r="I4379" t="s">
        <v>89</v>
      </c>
      <c r="J4379">
        <v>0</v>
      </c>
      <c r="K4379">
        <v>1</v>
      </c>
      <c r="L4379">
        <v>2</v>
      </c>
      <c r="M4379">
        <v>92</v>
      </c>
      <c r="N4379">
        <v>308</v>
      </c>
      <c r="O4379">
        <v>2</v>
      </c>
      <c r="P4379">
        <v>308</v>
      </c>
      <c r="Q4379">
        <v>1</v>
      </c>
      <c r="R4379">
        <v>81</v>
      </c>
      <c r="S4379">
        <v>15</v>
      </c>
      <c r="T4379">
        <v>2</v>
      </c>
      <c r="U4379">
        <v>14</v>
      </c>
      <c r="V4379">
        <v>4</v>
      </c>
      <c r="W4379">
        <v>2</v>
      </c>
      <c r="X4379">
        <v>10</v>
      </c>
      <c r="Y4379">
        <v>108</v>
      </c>
      <c r="Z4379">
        <v>3</v>
      </c>
      <c r="AA4379">
        <v>43</v>
      </c>
      <c r="AB4379">
        <v>4</v>
      </c>
      <c r="AC4379">
        <v>0</v>
      </c>
      <c r="AD4379">
        <v>0</v>
      </c>
      <c r="AE4379">
        <v>0</v>
      </c>
      <c r="AF4379">
        <v>0</v>
      </c>
      <c r="AK4379">
        <v>0</v>
      </c>
      <c r="AL4379">
        <v>1</v>
      </c>
      <c r="AM4379">
        <v>0</v>
      </c>
      <c r="AN4379">
        <v>0</v>
      </c>
      <c r="AQ4379">
        <v>0</v>
      </c>
      <c r="AT4379">
        <v>0</v>
      </c>
      <c r="AU4379">
        <v>20</v>
      </c>
      <c r="AV4379">
        <v>400</v>
      </c>
      <c r="AW4379">
        <v>308</v>
      </c>
      <c r="AX4379">
        <v>378</v>
      </c>
      <c r="BA4379">
        <v>1</v>
      </c>
      <c r="BC4379" t="s">
        <v>8866</v>
      </c>
      <c r="BD4379" s="4">
        <v>43283.270833333336</v>
      </c>
      <c r="BE4379" s="4">
        <v>43283.312650462962</v>
      </c>
      <c r="BF4379" s="4">
        <v>43283.312650462962</v>
      </c>
      <c r="BG4379" t="s">
        <v>83</v>
      </c>
      <c r="BH4379" t="s">
        <v>84</v>
      </c>
      <c r="BI4379" t="s">
        <v>85</v>
      </c>
    </row>
    <row r="4380" spans="1:61" x14ac:dyDescent="0.3">
      <c r="A4380" t="str">
        <f>"202397B0100"</f>
        <v>202397B0100</v>
      </c>
      <c r="B4380" t="s">
        <v>8867</v>
      </c>
      <c r="C4380">
        <v>20</v>
      </c>
      <c r="D4380" t="s">
        <v>79</v>
      </c>
      <c r="E4380">
        <v>20</v>
      </c>
      <c r="F4380" t="s">
        <v>8477</v>
      </c>
      <c r="G4380">
        <v>2397</v>
      </c>
      <c r="H4380">
        <v>1</v>
      </c>
      <c r="I4380" t="s">
        <v>81</v>
      </c>
      <c r="J4380">
        <v>0</v>
      </c>
      <c r="K4380">
        <v>1</v>
      </c>
      <c r="L4380">
        <v>2</v>
      </c>
      <c r="M4380">
        <v>90</v>
      </c>
      <c r="N4380">
        <v>380</v>
      </c>
      <c r="O4380">
        <v>3</v>
      </c>
      <c r="P4380">
        <v>380</v>
      </c>
      <c r="Q4380">
        <v>1</v>
      </c>
      <c r="R4380">
        <v>101</v>
      </c>
      <c r="S4380">
        <v>11</v>
      </c>
      <c r="T4380">
        <v>5</v>
      </c>
      <c r="U4380">
        <v>16</v>
      </c>
      <c r="V4380">
        <v>1</v>
      </c>
      <c r="W4380">
        <v>4</v>
      </c>
      <c r="X4380">
        <v>12</v>
      </c>
      <c r="Y4380">
        <v>149</v>
      </c>
      <c r="Z4380">
        <v>0</v>
      </c>
      <c r="AA4380">
        <v>53</v>
      </c>
      <c r="AB4380">
        <v>4</v>
      </c>
      <c r="AC4380">
        <v>0</v>
      </c>
      <c r="AD4380">
        <v>0</v>
      </c>
      <c r="AE4380">
        <v>0</v>
      </c>
      <c r="AF4380">
        <v>0</v>
      </c>
      <c r="AK4380">
        <v>1</v>
      </c>
      <c r="AL4380">
        <v>0</v>
      </c>
      <c r="AM4380">
        <v>0</v>
      </c>
      <c r="AN4380">
        <v>1</v>
      </c>
      <c r="AQ4380">
        <v>1</v>
      </c>
      <c r="AT4380">
        <v>0</v>
      </c>
      <c r="AU4380">
        <v>18</v>
      </c>
      <c r="AV4380">
        <v>378</v>
      </c>
      <c r="AW4380">
        <v>378</v>
      </c>
      <c r="AX4380">
        <v>448</v>
      </c>
      <c r="BA4380">
        <v>1</v>
      </c>
      <c r="BC4380" t="s">
        <v>8868</v>
      </c>
      <c r="BD4380" s="4">
        <v>43283.275000000001</v>
      </c>
      <c r="BE4380" s="4">
        <v>43283.324456018519</v>
      </c>
      <c r="BF4380" s="4">
        <v>43283.324456018519</v>
      </c>
      <c r="BG4380" t="s">
        <v>83</v>
      </c>
      <c r="BH4380" t="s">
        <v>84</v>
      </c>
      <c r="BI4380" t="s">
        <v>85</v>
      </c>
    </row>
    <row r="4381" spans="1:61" x14ac:dyDescent="0.3">
      <c r="A4381" t="str">
        <f>"202397C0100"</f>
        <v>202397C0100</v>
      </c>
      <c r="B4381" t="s">
        <v>8869</v>
      </c>
      <c r="C4381">
        <v>20</v>
      </c>
      <c r="D4381" t="s">
        <v>79</v>
      </c>
      <c r="E4381">
        <v>20</v>
      </c>
      <c r="F4381" t="s">
        <v>8477</v>
      </c>
      <c r="G4381">
        <v>2397</v>
      </c>
      <c r="H4381">
        <v>1</v>
      </c>
      <c r="I4381" t="s">
        <v>89</v>
      </c>
      <c r="J4381">
        <v>0</v>
      </c>
      <c r="K4381">
        <v>1</v>
      </c>
      <c r="L4381">
        <v>2</v>
      </c>
      <c r="M4381">
        <v>82</v>
      </c>
      <c r="N4381">
        <v>387</v>
      </c>
      <c r="O4381">
        <v>3</v>
      </c>
      <c r="P4381">
        <v>387</v>
      </c>
      <c r="Q4381">
        <v>4</v>
      </c>
      <c r="R4381">
        <v>111</v>
      </c>
      <c r="S4381">
        <v>8</v>
      </c>
      <c r="T4381">
        <v>7</v>
      </c>
      <c r="U4381">
        <v>22</v>
      </c>
      <c r="V4381">
        <v>2</v>
      </c>
      <c r="W4381">
        <v>4</v>
      </c>
      <c r="X4381">
        <v>12</v>
      </c>
      <c r="Y4381">
        <v>125</v>
      </c>
      <c r="Z4381">
        <v>5</v>
      </c>
      <c r="AA4381">
        <v>64</v>
      </c>
      <c r="AB4381">
        <v>3</v>
      </c>
      <c r="AC4381">
        <v>0</v>
      </c>
      <c r="AD4381">
        <v>0</v>
      </c>
      <c r="AE4381">
        <v>0</v>
      </c>
      <c r="AF4381">
        <v>0</v>
      </c>
      <c r="AK4381">
        <v>0</v>
      </c>
      <c r="AL4381">
        <v>1</v>
      </c>
      <c r="AM4381">
        <v>0</v>
      </c>
      <c r="AN4381">
        <v>0</v>
      </c>
      <c r="AQ4381">
        <v>1</v>
      </c>
      <c r="AT4381">
        <v>0</v>
      </c>
      <c r="AU4381">
        <v>18</v>
      </c>
      <c r="AV4381">
        <v>387</v>
      </c>
      <c r="AW4381">
        <v>387</v>
      </c>
      <c r="AX4381">
        <v>447</v>
      </c>
      <c r="BA4381">
        <v>1</v>
      </c>
      <c r="BC4381" t="s">
        <v>8870</v>
      </c>
      <c r="BD4381" s="4">
        <v>43283.272916666669</v>
      </c>
      <c r="BE4381" s="4">
        <v>43283.303182870368</v>
      </c>
      <c r="BF4381" s="4">
        <v>43283.303182870368</v>
      </c>
      <c r="BG4381" t="s">
        <v>83</v>
      </c>
      <c r="BH4381" t="s">
        <v>84</v>
      </c>
      <c r="BI4381" t="s">
        <v>85</v>
      </c>
    </row>
    <row r="4382" spans="1:61" x14ac:dyDescent="0.3">
      <c r="A4382" t="str">
        <f>"202398B0100"</f>
        <v>202398B0100</v>
      </c>
      <c r="B4382" t="s">
        <v>8871</v>
      </c>
      <c r="C4382">
        <v>20</v>
      </c>
      <c r="D4382" t="s">
        <v>79</v>
      </c>
      <c r="E4382">
        <v>20</v>
      </c>
      <c r="F4382" t="s">
        <v>8477</v>
      </c>
      <c r="G4382">
        <v>2398</v>
      </c>
      <c r="H4382">
        <v>1</v>
      </c>
      <c r="I4382" t="s">
        <v>81</v>
      </c>
      <c r="J4382">
        <v>0</v>
      </c>
      <c r="K4382">
        <v>1</v>
      </c>
      <c r="L4382">
        <v>2</v>
      </c>
      <c r="M4382">
        <v>100</v>
      </c>
      <c r="N4382">
        <v>334</v>
      </c>
      <c r="O4382">
        <v>1</v>
      </c>
      <c r="P4382">
        <v>334</v>
      </c>
      <c r="Q4382">
        <v>5</v>
      </c>
      <c r="R4382">
        <v>80</v>
      </c>
      <c r="S4382">
        <v>11</v>
      </c>
      <c r="T4382">
        <v>6</v>
      </c>
      <c r="U4382">
        <v>17</v>
      </c>
      <c r="V4382">
        <v>2</v>
      </c>
      <c r="W4382">
        <v>6</v>
      </c>
      <c r="X4382">
        <v>7</v>
      </c>
      <c r="Y4382">
        <v>116</v>
      </c>
      <c r="Z4382">
        <v>6</v>
      </c>
      <c r="AA4382">
        <v>52</v>
      </c>
      <c r="AB4382">
        <v>3</v>
      </c>
      <c r="AC4382">
        <v>0</v>
      </c>
      <c r="AD4382">
        <v>0</v>
      </c>
      <c r="AE4382">
        <v>0</v>
      </c>
      <c r="AF4382">
        <v>0</v>
      </c>
      <c r="AK4382">
        <v>0</v>
      </c>
      <c r="AL4382">
        <v>1</v>
      </c>
      <c r="AM4382">
        <v>0</v>
      </c>
      <c r="AN4382">
        <v>0</v>
      </c>
      <c r="AQ4382">
        <v>2</v>
      </c>
      <c r="AT4382">
        <v>0</v>
      </c>
      <c r="AU4382">
        <v>20</v>
      </c>
      <c r="AV4382">
        <v>334</v>
      </c>
      <c r="AW4382">
        <v>334</v>
      </c>
      <c r="AX4382">
        <v>412</v>
      </c>
      <c r="BA4382">
        <v>1</v>
      </c>
      <c r="BC4382" t="s">
        <v>8872</v>
      </c>
      <c r="BD4382" s="4">
        <v>43283.272222222222</v>
      </c>
      <c r="BE4382" s="4">
        <v>43283.300543981481</v>
      </c>
      <c r="BF4382" s="4">
        <v>43283.300543981481</v>
      </c>
      <c r="BG4382" t="s">
        <v>83</v>
      </c>
      <c r="BH4382" t="s">
        <v>84</v>
      </c>
      <c r="BI4382" t="s">
        <v>85</v>
      </c>
    </row>
    <row r="4383" spans="1:61" x14ac:dyDescent="0.3">
      <c r="A4383" t="str">
        <f>"202398C0100"</f>
        <v>202398C0100</v>
      </c>
      <c r="B4383" t="s">
        <v>8873</v>
      </c>
      <c r="C4383">
        <v>20</v>
      </c>
      <c r="D4383" t="s">
        <v>79</v>
      </c>
      <c r="E4383">
        <v>20</v>
      </c>
      <c r="F4383" t="s">
        <v>8477</v>
      </c>
      <c r="G4383">
        <v>2398</v>
      </c>
      <c r="H4383">
        <v>1</v>
      </c>
      <c r="I4383" t="s">
        <v>89</v>
      </c>
      <c r="J4383">
        <v>0</v>
      </c>
      <c r="K4383">
        <v>1</v>
      </c>
      <c r="L4383">
        <v>2</v>
      </c>
      <c r="M4383">
        <v>100</v>
      </c>
      <c r="N4383">
        <v>333</v>
      </c>
      <c r="O4383">
        <v>3</v>
      </c>
      <c r="P4383">
        <v>333</v>
      </c>
      <c r="Q4383">
        <v>3</v>
      </c>
      <c r="R4383">
        <v>62</v>
      </c>
      <c r="S4383">
        <v>15</v>
      </c>
      <c r="T4383">
        <v>3</v>
      </c>
      <c r="U4383">
        <v>17</v>
      </c>
      <c r="V4383">
        <v>2</v>
      </c>
      <c r="W4383">
        <v>1</v>
      </c>
      <c r="X4383">
        <v>10</v>
      </c>
      <c r="Y4383">
        <v>139</v>
      </c>
      <c r="Z4383">
        <v>9</v>
      </c>
      <c r="AA4383">
        <v>46</v>
      </c>
      <c r="AB4383">
        <v>2</v>
      </c>
      <c r="AC4383">
        <v>0</v>
      </c>
      <c r="AD4383">
        <v>0</v>
      </c>
      <c r="AE4383">
        <v>0</v>
      </c>
      <c r="AF4383">
        <v>0</v>
      </c>
      <c r="AK4383">
        <v>0</v>
      </c>
      <c r="AL4383">
        <v>0</v>
      </c>
      <c r="AM4383">
        <v>0</v>
      </c>
      <c r="AN4383">
        <v>1</v>
      </c>
      <c r="AQ4383">
        <v>2</v>
      </c>
      <c r="AT4383">
        <v>0</v>
      </c>
      <c r="AU4383">
        <v>21</v>
      </c>
      <c r="AV4383">
        <v>333</v>
      </c>
      <c r="AW4383">
        <v>333</v>
      </c>
      <c r="AX4383">
        <v>411</v>
      </c>
      <c r="BA4383">
        <v>1</v>
      </c>
      <c r="BC4383" t="s">
        <v>8874</v>
      </c>
      <c r="BD4383" s="4">
        <v>43283.274305555555</v>
      </c>
      <c r="BE4383" s="4">
        <v>43283.301770833335</v>
      </c>
      <c r="BF4383" s="4">
        <v>43283.301770833335</v>
      </c>
      <c r="BG4383" t="s">
        <v>83</v>
      </c>
      <c r="BH4383" t="s">
        <v>84</v>
      </c>
      <c r="BI4383" t="s">
        <v>85</v>
      </c>
    </row>
    <row r="4384" spans="1:61" x14ac:dyDescent="0.3">
      <c r="A4384" t="str">
        <f>"202399B0100"</f>
        <v>202399B0100</v>
      </c>
      <c r="B4384" t="s">
        <v>8875</v>
      </c>
      <c r="C4384">
        <v>20</v>
      </c>
      <c r="D4384" t="s">
        <v>79</v>
      </c>
      <c r="E4384">
        <v>20</v>
      </c>
      <c r="F4384" t="s">
        <v>8477</v>
      </c>
      <c r="G4384">
        <v>2399</v>
      </c>
      <c r="H4384">
        <v>1</v>
      </c>
      <c r="I4384" t="s">
        <v>81</v>
      </c>
      <c r="J4384">
        <v>0</v>
      </c>
      <c r="K4384">
        <v>1</v>
      </c>
      <c r="L4384">
        <v>2</v>
      </c>
      <c r="M4384" t="s">
        <v>100</v>
      </c>
      <c r="N4384" t="s">
        <v>100</v>
      </c>
      <c r="O4384" t="s">
        <v>100</v>
      </c>
      <c r="P4384" t="s">
        <v>100</v>
      </c>
      <c r="Q4384">
        <v>14</v>
      </c>
      <c r="R4384">
        <v>96</v>
      </c>
      <c r="S4384">
        <v>22</v>
      </c>
      <c r="T4384">
        <v>5</v>
      </c>
      <c r="U4384">
        <v>17</v>
      </c>
      <c r="V4384">
        <v>7</v>
      </c>
      <c r="W4384">
        <v>7</v>
      </c>
      <c r="X4384">
        <v>12</v>
      </c>
      <c r="Y4384">
        <v>242</v>
      </c>
      <c r="Z4384">
        <v>7</v>
      </c>
      <c r="AA4384">
        <v>71</v>
      </c>
      <c r="AB4384">
        <v>5</v>
      </c>
      <c r="AC4384">
        <v>0</v>
      </c>
      <c r="AD4384">
        <v>0</v>
      </c>
      <c r="AE4384">
        <v>0</v>
      </c>
      <c r="AF4384">
        <v>0</v>
      </c>
      <c r="AK4384">
        <v>1</v>
      </c>
      <c r="AL4384">
        <v>0</v>
      </c>
      <c r="AM4384">
        <v>0</v>
      </c>
      <c r="AN4384">
        <v>0</v>
      </c>
      <c r="AQ4384">
        <v>0</v>
      </c>
      <c r="AT4384">
        <v>0</v>
      </c>
      <c r="AU4384">
        <v>25</v>
      </c>
      <c r="AV4384">
        <v>531</v>
      </c>
      <c r="AW4384">
        <v>531</v>
      </c>
      <c r="AX4384">
        <v>671</v>
      </c>
      <c r="BA4384">
        <v>1</v>
      </c>
      <c r="BC4384" t="s">
        <v>8876</v>
      </c>
      <c r="BD4384" s="4">
        <v>43283.271527777775</v>
      </c>
      <c r="BE4384" s="4">
        <v>43283.298194444447</v>
      </c>
      <c r="BF4384" s="4">
        <v>43283.298194444447</v>
      </c>
      <c r="BG4384" t="s">
        <v>83</v>
      </c>
      <c r="BH4384" t="s">
        <v>84</v>
      </c>
      <c r="BI4384" t="s">
        <v>85</v>
      </c>
    </row>
    <row r="4385" spans="1:61" x14ac:dyDescent="0.3">
      <c r="A4385" t="str">
        <f>"202400B0100"</f>
        <v>202400B0100</v>
      </c>
      <c r="B4385" t="s">
        <v>8877</v>
      </c>
      <c r="C4385">
        <v>20</v>
      </c>
      <c r="D4385" t="s">
        <v>79</v>
      </c>
      <c r="E4385">
        <v>20</v>
      </c>
      <c r="F4385" t="s">
        <v>8477</v>
      </c>
      <c r="G4385">
        <v>2400</v>
      </c>
      <c r="H4385">
        <v>1</v>
      </c>
      <c r="I4385" t="s">
        <v>81</v>
      </c>
      <c r="J4385">
        <v>0</v>
      </c>
      <c r="K4385">
        <v>1</v>
      </c>
      <c r="L4385">
        <v>2</v>
      </c>
      <c r="M4385">
        <v>172</v>
      </c>
      <c r="N4385">
        <v>595</v>
      </c>
      <c r="O4385">
        <v>0</v>
      </c>
      <c r="P4385">
        <v>595</v>
      </c>
      <c r="Q4385">
        <v>11</v>
      </c>
      <c r="R4385">
        <v>141</v>
      </c>
      <c r="S4385">
        <v>17</v>
      </c>
      <c r="T4385">
        <v>5</v>
      </c>
      <c r="U4385">
        <v>29</v>
      </c>
      <c r="V4385">
        <v>3</v>
      </c>
      <c r="W4385">
        <v>5</v>
      </c>
      <c r="X4385">
        <v>18</v>
      </c>
      <c r="Y4385">
        <v>243</v>
      </c>
      <c r="Z4385">
        <v>6</v>
      </c>
      <c r="AA4385">
        <v>84</v>
      </c>
      <c r="AB4385">
        <v>7</v>
      </c>
      <c r="AC4385">
        <v>0</v>
      </c>
      <c r="AD4385">
        <v>0</v>
      </c>
      <c r="AE4385">
        <v>0</v>
      </c>
      <c r="AF4385">
        <v>0</v>
      </c>
      <c r="AK4385">
        <v>0</v>
      </c>
      <c r="AL4385">
        <v>0</v>
      </c>
      <c r="AM4385">
        <v>0</v>
      </c>
      <c r="AN4385">
        <v>0</v>
      </c>
      <c r="AQ4385">
        <v>0</v>
      </c>
      <c r="AT4385">
        <v>0</v>
      </c>
      <c r="AU4385">
        <v>26</v>
      </c>
      <c r="AV4385">
        <v>595</v>
      </c>
      <c r="AW4385">
        <v>595</v>
      </c>
      <c r="AX4385">
        <v>746</v>
      </c>
      <c r="BA4385">
        <v>1</v>
      </c>
      <c r="BC4385" t="s">
        <v>8878</v>
      </c>
      <c r="BD4385" s="4">
        <v>43283.274305555555</v>
      </c>
      <c r="BE4385" s="4">
        <v>43283.302083333336</v>
      </c>
      <c r="BF4385" s="4">
        <v>43283.302083333336</v>
      </c>
      <c r="BG4385" t="s">
        <v>83</v>
      </c>
      <c r="BH4385" t="s">
        <v>84</v>
      </c>
      <c r="BI4385" t="s">
        <v>85</v>
      </c>
    </row>
    <row r="4386" spans="1:61" x14ac:dyDescent="0.3">
      <c r="A4386" t="str">
        <f>"202401B0100"</f>
        <v>202401B0100</v>
      </c>
      <c r="B4386" t="s">
        <v>8879</v>
      </c>
      <c r="C4386">
        <v>20</v>
      </c>
      <c r="D4386" t="s">
        <v>79</v>
      </c>
      <c r="E4386">
        <v>20</v>
      </c>
      <c r="F4386" t="s">
        <v>8477</v>
      </c>
      <c r="G4386">
        <v>2401</v>
      </c>
      <c r="H4386">
        <v>1</v>
      </c>
      <c r="I4386" t="s">
        <v>81</v>
      </c>
      <c r="J4386">
        <v>0</v>
      </c>
      <c r="K4386">
        <v>1</v>
      </c>
      <c r="L4386">
        <v>2</v>
      </c>
      <c r="M4386">
        <v>166</v>
      </c>
      <c r="N4386">
        <v>538</v>
      </c>
      <c r="O4386">
        <v>1</v>
      </c>
      <c r="P4386">
        <v>537</v>
      </c>
      <c r="Q4386">
        <v>1</v>
      </c>
      <c r="R4386">
        <v>120</v>
      </c>
      <c r="S4386">
        <v>10</v>
      </c>
      <c r="T4386">
        <v>5</v>
      </c>
      <c r="U4386">
        <v>40</v>
      </c>
      <c r="V4386">
        <v>3</v>
      </c>
      <c r="W4386">
        <v>14</v>
      </c>
      <c r="X4386">
        <v>14</v>
      </c>
      <c r="Y4386">
        <v>184</v>
      </c>
      <c r="Z4386">
        <v>2</v>
      </c>
      <c r="AA4386">
        <v>102</v>
      </c>
      <c r="AB4386">
        <v>6</v>
      </c>
      <c r="AC4386">
        <v>0</v>
      </c>
      <c r="AD4386">
        <v>0</v>
      </c>
      <c r="AE4386">
        <v>0</v>
      </c>
      <c r="AF4386">
        <v>0</v>
      </c>
      <c r="AK4386">
        <v>1</v>
      </c>
      <c r="AL4386">
        <v>1</v>
      </c>
      <c r="AM4386">
        <v>0</v>
      </c>
      <c r="AN4386">
        <v>0</v>
      </c>
      <c r="AQ4386">
        <v>0</v>
      </c>
      <c r="AT4386">
        <v>0</v>
      </c>
      <c r="AU4386">
        <v>34</v>
      </c>
      <c r="AV4386">
        <v>537</v>
      </c>
      <c r="AW4386">
        <v>537</v>
      </c>
      <c r="AX4386">
        <v>682</v>
      </c>
      <c r="BA4386">
        <v>1</v>
      </c>
      <c r="BC4386" t="s">
        <v>8880</v>
      </c>
      <c r="BD4386" s="4">
        <v>43283.275000000001</v>
      </c>
      <c r="BE4386" s="4">
        <v>43283.302881944444</v>
      </c>
      <c r="BF4386" s="4">
        <v>43283.302881944444</v>
      </c>
      <c r="BG4386" t="s">
        <v>83</v>
      </c>
      <c r="BH4386" t="s">
        <v>84</v>
      </c>
      <c r="BI4386" t="s">
        <v>85</v>
      </c>
    </row>
    <row r="4387" spans="1:61" x14ac:dyDescent="0.3">
      <c r="A4387" t="str">
        <f>"202401C0100"</f>
        <v>202401C0100</v>
      </c>
      <c r="B4387" t="s">
        <v>8881</v>
      </c>
      <c r="C4387">
        <v>20</v>
      </c>
      <c r="D4387" t="s">
        <v>79</v>
      </c>
      <c r="E4387">
        <v>20</v>
      </c>
      <c r="F4387" t="s">
        <v>8477</v>
      </c>
      <c r="G4387">
        <v>2401</v>
      </c>
      <c r="H4387">
        <v>1</v>
      </c>
      <c r="I4387" t="s">
        <v>89</v>
      </c>
      <c r="J4387">
        <v>0</v>
      </c>
      <c r="K4387">
        <v>1</v>
      </c>
      <c r="L4387">
        <v>2</v>
      </c>
      <c r="M4387">
        <v>157</v>
      </c>
      <c r="N4387">
        <v>546</v>
      </c>
      <c r="O4387">
        <v>0</v>
      </c>
      <c r="P4387">
        <v>546</v>
      </c>
      <c r="Q4387">
        <v>6</v>
      </c>
      <c r="R4387">
        <v>128</v>
      </c>
      <c r="S4387">
        <v>17</v>
      </c>
      <c r="T4387">
        <v>6</v>
      </c>
      <c r="U4387">
        <v>37</v>
      </c>
      <c r="V4387">
        <v>1</v>
      </c>
      <c r="W4387">
        <v>10</v>
      </c>
      <c r="X4387">
        <v>6</v>
      </c>
      <c r="Y4387">
        <v>206</v>
      </c>
      <c r="Z4387">
        <v>5</v>
      </c>
      <c r="AA4387">
        <v>91</v>
      </c>
      <c r="AB4387">
        <v>5</v>
      </c>
      <c r="AC4387">
        <v>0</v>
      </c>
      <c r="AD4387">
        <v>0</v>
      </c>
      <c r="AE4387">
        <v>0</v>
      </c>
      <c r="AF4387">
        <v>0</v>
      </c>
      <c r="AK4387">
        <v>2</v>
      </c>
      <c r="AL4387">
        <v>1</v>
      </c>
      <c r="AM4387">
        <v>0</v>
      </c>
      <c r="AN4387">
        <v>0</v>
      </c>
      <c r="AQ4387">
        <v>0</v>
      </c>
      <c r="AT4387">
        <v>0</v>
      </c>
      <c r="AU4387">
        <v>25</v>
      </c>
      <c r="AV4387">
        <v>546</v>
      </c>
      <c r="AW4387">
        <v>546</v>
      </c>
      <c r="AX4387">
        <v>682</v>
      </c>
      <c r="BA4387">
        <v>1</v>
      </c>
      <c r="BC4387" t="s">
        <v>8882</v>
      </c>
      <c r="BD4387" s="4">
        <v>43283.275000000001</v>
      </c>
      <c r="BE4387" s="4">
        <v>43283.303078703706</v>
      </c>
      <c r="BF4387" s="4">
        <v>43283.303078703706</v>
      </c>
      <c r="BG4387" t="s">
        <v>83</v>
      </c>
      <c r="BH4387" t="s">
        <v>84</v>
      </c>
      <c r="BI4387" t="s">
        <v>85</v>
      </c>
    </row>
    <row r="4388" spans="1:61" x14ac:dyDescent="0.3">
      <c r="A4388" t="str">
        <f>"202402B0100"</f>
        <v>202402B0100</v>
      </c>
      <c r="B4388" t="s">
        <v>8883</v>
      </c>
      <c r="C4388">
        <v>20</v>
      </c>
      <c r="D4388" t="s">
        <v>79</v>
      </c>
      <c r="E4388">
        <v>20</v>
      </c>
      <c r="F4388" t="s">
        <v>8477</v>
      </c>
      <c r="G4388">
        <v>2402</v>
      </c>
      <c r="H4388">
        <v>1</v>
      </c>
      <c r="I4388" t="s">
        <v>81</v>
      </c>
      <c r="J4388">
        <v>0</v>
      </c>
      <c r="K4388">
        <v>1</v>
      </c>
      <c r="L4388">
        <v>2</v>
      </c>
      <c r="M4388">
        <v>118</v>
      </c>
      <c r="N4388">
        <v>412</v>
      </c>
      <c r="O4388">
        <v>1</v>
      </c>
      <c r="P4388">
        <v>413</v>
      </c>
      <c r="Q4388">
        <v>4</v>
      </c>
      <c r="R4388">
        <v>141</v>
      </c>
      <c r="S4388">
        <v>11</v>
      </c>
      <c r="T4388">
        <v>2</v>
      </c>
      <c r="U4388">
        <v>32</v>
      </c>
      <c r="V4388">
        <v>1</v>
      </c>
      <c r="W4388">
        <v>5</v>
      </c>
      <c r="X4388">
        <v>8</v>
      </c>
      <c r="Y4388">
        <v>114</v>
      </c>
      <c r="Z4388">
        <v>5</v>
      </c>
      <c r="AA4388">
        <v>57</v>
      </c>
      <c r="AB4388">
        <v>3</v>
      </c>
      <c r="AC4388">
        <v>0</v>
      </c>
      <c r="AD4388">
        <v>0</v>
      </c>
      <c r="AE4388">
        <v>0</v>
      </c>
      <c r="AF4388">
        <v>0</v>
      </c>
      <c r="AK4388">
        <v>2</v>
      </c>
      <c r="AL4388">
        <v>0</v>
      </c>
      <c r="AM4388">
        <v>0</v>
      </c>
      <c r="AN4388">
        <v>0</v>
      </c>
      <c r="AQ4388">
        <v>1</v>
      </c>
      <c r="AT4388">
        <v>0</v>
      </c>
      <c r="AU4388">
        <v>26</v>
      </c>
      <c r="AV4388">
        <v>413</v>
      </c>
      <c r="AW4388">
        <v>412</v>
      </c>
      <c r="AX4388">
        <v>507</v>
      </c>
      <c r="BA4388">
        <v>1</v>
      </c>
      <c r="BC4388" t="s">
        <v>8884</v>
      </c>
      <c r="BD4388" s="4">
        <v>43283.206944444442</v>
      </c>
      <c r="BE4388" s="4">
        <v>43283.232407407406</v>
      </c>
      <c r="BF4388" s="4">
        <v>43283.232407407406</v>
      </c>
      <c r="BG4388" t="s">
        <v>83</v>
      </c>
      <c r="BH4388" t="s">
        <v>84</v>
      </c>
      <c r="BI4388" t="s">
        <v>85</v>
      </c>
    </row>
    <row r="4389" spans="1:61" x14ac:dyDescent="0.3">
      <c r="A4389" t="str">
        <f>"202402C0100"</f>
        <v>202402C0100</v>
      </c>
      <c r="B4389" t="s">
        <v>8885</v>
      </c>
      <c r="C4389">
        <v>20</v>
      </c>
      <c r="D4389" t="s">
        <v>79</v>
      </c>
      <c r="E4389">
        <v>20</v>
      </c>
      <c r="F4389" t="s">
        <v>8477</v>
      </c>
      <c r="G4389">
        <v>2402</v>
      </c>
      <c r="H4389">
        <v>1</v>
      </c>
      <c r="I4389" t="s">
        <v>89</v>
      </c>
      <c r="J4389">
        <v>0</v>
      </c>
      <c r="K4389">
        <v>1</v>
      </c>
      <c r="L4389">
        <v>2</v>
      </c>
      <c r="M4389">
        <v>127</v>
      </c>
      <c r="N4389">
        <v>402</v>
      </c>
      <c r="O4389">
        <v>0</v>
      </c>
      <c r="P4389">
        <v>402</v>
      </c>
      <c r="Q4389">
        <v>2</v>
      </c>
      <c r="R4389">
        <v>146</v>
      </c>
      <c r="S4389">
        <v>11</v>
      </c>
      <c r="T4389">
        <v>4</v>
      </c>
      <c r="U4389">
        <v>33</v>
      </c>
      <c r="V4389">
        <v>0</v>
      </c>
      <c r="W4389">
        <v>5</v>
      </c>
      <c r="X4389">
        <v>4</v>
      </c>
      <c r="Y4389">
        <v>116</v>
      </c>
      <c r="Z4389">
        <v>3</v>
      </c>
      <c r="AA4389">
        <v>35</v>
      </c>
      <c r="AB4389">
        <v>3</v>
      </c>
      <c r="AC4389">
        <v>0</v>
      </c>
      <c r="AD4389">
        <v>0</v>
      </c>
      <c r="AE4389">
        <v>0</v>
      </c>
      <c r="AF4389">
        <v>0</v>
      </c>
      <c r="AK4389">
        <v>0</v>
      </c>
      <c r="AL4389">
        <v>2</v>
      </c>
      <c r="AM4389">
        <v>0</v>
      </c>
      <c r="AN4389">
        <v>0</v>
      </c>
      <c r="AQ4389">
        <v>1</v>
      </c>
      <c r="AT4389">
        <v>0</v>
      </c>
      <c r="AU4389">
        <v>14</v>
      </c>
      <c r="AV4389">
        <v>402</v>
      </c>
      <c r="AW4389">
        <v>379</v>
      </c>
      <c r="AX4389">
        <v>507</v>
      </c>
      <c r="BA4389">
        <v>1</v>
      </c>
      <c r="BC4389" t="s">
        <v>8886</v>
      </c>
      <c r="BD4389" s="4">
        <v>43283.143217592595</v>
      </c>
      <c r="BE4389" s="4">
        <v>43283.160474537035</v>
      </c>
      <c r="BF4389" s="4">
        <v>43283.160474537035</v>
      </c>
      <c r="BG4389" t="s">
        <v>83</v>
      </c>
      <c r="BH4389" t="s">
        <v>84</v>
      </c>
      <c r="BI4389" t="s">
        <v>85</v>
      </c>
    </row>
    <row r="4390" spans="1:61" x14ac:dyDescent="0.3">
      <c r="A4390" t="str">
        <f>"202402C0200"</f>
        <v>202402C0200</v>
      </c>
      <c r="B4390" t="s">
        <v>8887</v>
      </c>
      <c r="C4390">
        <v>20</v>
      </c>
      <c r="D4390" t="s">
        <v>79</v>
      </c>
      <c r="E4390">
        <v>20</v>
      </c>
      <c r="F4390" t="s">
        <v>8477</v>
      </c>
      <c r="G4390">
        <v>2402</v>
      </c>
      <c r="H4390">
        <v>2</v>
      </c>
      <c r="I4390" t="s">
        <v>89</v>
      </c>
      <c r="J4390">
        <v>0</v>
      </c>
      <c r="K4390">
        <v>1</v>
      </c>
      <c r="L4390">
        <v>2</v>
      </c>
      <c r="AX4390">
        <v>507</v>
      </c>
      <c r="AZ4390" t="s">
        <v>156</v>
      </c>
      <c r="BA4390">
        <v>0</v>
      </c>
      <c r="BC4390" t="s">
        <v>8888</v>
      </c>
      <c r="BD4390" s="4">
        <v>43283.550694444442</v>
      </c>
      <c r="BE4390" s="4">
        <v>43283.555960648147</v>
      </c>
      <c r="BF4390" s="4">
        <v>43283.555960648147</v>
      </c>
      <c r="BG4390" t="s">
        <v>83</v>
      </c>
      <c r="BH4390" t="s">
        <v>84</v>
      </c>
      <c r="BI4390" t="s">
        <v>85</v>
      </c>
    </row>
    <row r="4391" spans="1:61" x14ac:dyDescent="0.3">
      <c r="A4391" t="str">
        <f>"202403B0100"</f>
        <v>202403B0100</v>
      </c>
      <c r="B4391" t="s">
        <v>8889</v>
      </c>
      <c r="C4391">
        <v>20</v>
      </c>
      <c r="D4391" t="s">
        <v>79</v>
      </c>
      <c r="E4391">
        <v>20</v>
      </c>
      <c r="F4391" t="s">
        <v>8477</v>
      </c>
      <c r="G4391">
        <v>2403</v>
      </c>
      <c r="H4391">
        <v>1</v>
      </c>
      <c r="I4391" t="s">
        <v>81</v>
      </c>
      <c r="J4391">
        <v>0</v>
      </c>
      <c r="K4391">
        <v>1</v>
      </c>
      <c r="L4391">
        <v>2</v>
      </c>
      <c r="M4391">
        <v>131</v>
      </c>
      <c r="N4391">
        <v>451</v>
      </c>
      <c r="O4391">
        <v>0</v>
      </c>
      <c r="P4391">
        <v>451</v>
      </c>
      <c r="Q4391">
        <v>4</v>
      </c>
      <c r="R4391">
        <v>120</v>
      </c>
      <c r="S4391">
        <v>10</v>
      </c>
      <c r="T4391">
        <v>7</v>
      </c>
      <c r="U4391">
        <v>24</v>
      </c>
      <c r="V4391">
        <v>3</v>
      </c>
      <c r="W4391">
        <v>2</v>
      </c>
      <c r="X4391">
        <v>22</v>
      </c>
      <c r="Y4391">
        <v>175</v>
      </c>
      <c r="Z4391">
        <v>8</v>
      </c>
      <c r="AA4391">
        <v>53</v>
      </c>
      <c r="AB4391">
        <v>2</v>
      </c>
      <c r="AC4391">
        <v>0</v>
      </c>
      <c r="AD4391">
        <v>0</v>
      </c>
      <c r="AE4391">
        <v>0</v>
      </c>
      <c r="AF4391">
        <v>0</v>
      </c>
      <c r="AK4391">
        <v>3</v>
      </c>
      <c r="AL4391">
        <v>0</v>
      </c>
      <c r="AM4391">
        <v>0</v>
      </c>
      <c r="AN4391">
        <v>0</v>
      </c>
      <c r="AQ4391">
        <v>1</v>
      </c>
      <c r="AT4391">
        <v>0</v>
      </c>
      <c r="AU4391">
        <v>17</v>
      </c>
      <c r="AV4391">
        <v>451</v>
      </c>
      <c r="AW4391">
        <v>451</v>
      </c>
      <c r="AX4391">
        <v>560</v>
      </c>
      <c r="BA4391">
        <v>1</v>
      </c>
      <c r="BC4391" t="s">
        <v>8890</v>
      </c>
      <c r="BD4391" s="4">
        <v>43283.208333333336</v>
      </c>
      <c r="BE4391" s="4">
        <v>43283.23332175926</v>
      </c>
      <c r="BF4391" s="4">
        <v>43283.23332175926</v>
      </c>
      <c r="BG4391" t="s">
        <v>83</v>
      </c>
      <c r="BH4391" t="s">
        <v>84</v>
      </c>
      <c r="BI4391" t="s">
        <v>85</v>
      </c>
    </row>
    <row r="4392" spans="1:61" x14ac:dyDescent="0.3">
      <c r="A4392" t="str">
        <f>"202403C0100"</f>
        <v>202403C0100</v>
      </c>
      <c r="B4392" t="s">
        <v>8891</v>
      </c>
      <c r="C4392">
        <v>20</v>
      </c>
      <c r="D4392" t="s">
        <v>79</v>
      </c>
      <c r="E4392">
        <v>20</v>
      </c>
      <c r="F4392" t="s">
        <v>8477</v>
      </c>
      <c r="G4392">
        <v>2403</v>
      </c>
      <c r="H4392">
        <v>1</v>
      </c>
      <c r="I4392" t="s">
        <v>89</v>
      </c>
      <c r="J4392">
        <v>0</v>
      </c>
      <c r="K4392">
        <v>1</v>
      </c>
      <c r="L4392">
        <v>2</v>
      </c>
      <c r="M4392">
        <v>119</v>
      </c>
      <c r="N4392">
        <v>461</v>
      </c>
      <c r="O4392">
        <v>1</v>
      </c>
      <c r="P4392">
        <v>461</v>
      </c>
      <c r="Q4392">
        <v>2</v>
      </c>
      <c r="R4392">
        <v>129</v>
      </c>
      <c r="S4392">
        <v>6</v>
      </c>
      <c r="T4392">
        <v>4</v>
      </c>
      <c r="U4392">
        <v>26</v>
      </c>
      <c r="V4392">
        <v>3</v>
      </c>
      <c r="W4392">
        <v>6</v>
      </c>
      <c r="X4392">
        <v>13</v>
      </c>
      <c r="Y4392">
        <v>179</v>
      </c>
      <c r="Z4392">
        <v>4</v>
      </c>
      <c r="AA4392">
        <v>53</v>
      </c>
      <c r="AB4392">
        <v>7</v>
      </c>
      <c r="AC4392">
        <v>1</v>
      </c>
      <c r="AD4392">
        <v>0</v>
      </c>
      <c r="AE4392">
        <v>0</v>
      </c>
      <c r="AF4392">
        <v>0</v>
      </c>
      <c r="AK4392">
        <v>0</v>
      </c>
      <c r="AL4392">
        <v>1</v>
      </c>
      <c r="AM4392">
        <v>0</v>
      </c>
      <c r="AN4392">
        <v>0</v>
      </c>
      <c r="AQ4392">
        <v>1</v>
      </c>
      <c r="AT4392">
        <v>0</v>
      </c>
      <c r="AU4392">
        <v>26</v>
      </c>
      <c r="AV4392">
        <v>461</v>
      </c>
      <c r="AW4392">
        <v>461</v>
      </c>
      <c r="AX4392">
        <v>559</v>
      </c>
      <c r="BA4392">
        <v>1</v>
      </c>
      <c r="BC4392" t="s">
        <v>8892</v>
      </c>
      <c r="BD4392" s="4">
        <v>43283.206250000003</v>
      </c>
      <c r="BE4392" s="4">
        <v>43283.2344212963</v>
      </c>
      <c r="BF4392" s="4">
        <v>43283.2344212963</v>
      </c>
      <c r="BG4392" t="s">
        <v>83</v>
      </c>
      <c r="BH4392" t="s">
        <v>84</v>
      </c>
      <c r="BI4392" t="s">
        <v>85</v>
      </c>
    </row>
    <row r="4393" spans="1:61" x14ac:dyDescent="0.3">
      <c r="A4393" t="str">
        <f>"202404B0100"</f>
        <v>202404B0100</v>
      </c>
      <c r="B4393" t="s">
        <v>8893</v>
      </c>
      <c r="C4393">
        <v>20</v>
      </c>
      <c r="D4393" t="s">
        <v>79</v>
      </c>
      <c r="E4393">
        <v>20</v>
      </c>
      <c r="F4393" t="s">
        <v>8477</v>
      </c>
      <c r="G4393">
        <v>2404</v>
      </c>
      <c r="H4393">
        <v>1</v>
      </c>
      <c r="I4393" t="s">
        <v>81</v>
      </c>
      <c r="J4393">
        <v>0</v>
      </c>
      <c r="K4393">
        <v>1</v>
      </c>
      <c r="L4393">
        <v>2</v>
      </c>
      <c r="M4393">
        <v>104</v>
      </c>
      <c r="N4393">
        <v>359</v>
      </c>
      <c r="O4393" t="s">
        <v>100</v>
      </c>
      <c r="P4393">
        <v>357</v>
      </c>
      <c r="Q4393">
        <v>1</v>
      </c>
      <c r="R4393">
        <v>130</v>
      </c>
      <c r="S4393">
        <v>15</v>
      </c>
      <c r="T4393">
        <v>6</v>
      </c>
      <c r="U4393">
        <v>20</v>
      </c>
      <c r="V4393">
        <v>1</v>
      </c>
      <c r="W4393">
        <v>7</v>
      </c>
      <c r="X4393">
        <v>7</v>
      </c>
      <c r="Y4393">
        <v>94</v>
      </c>
      <c r="Z4393">
        <v>3</v>
      </c>
      <c r="AA4393">
        <v>45</v>
      </c>
      <c r="AB4393">
        <v>45</v>
      </c>
      <c r="AC4393">
        <v>0</v>
      </c>
      <c r="AD4393">
        <v>0</v>
      </c>
      <c r="AE4393">
        <v>0</v>
      </c>
      <c r="AF4393">
        <v>0</v>
      </c>
      <c r="AK4393">
        <v>1</v>
      </c>
      <c r="AL4393">
        <v>0</v>
      </c>
      <c r="AM4393">
        <v>0</v>
      </c>
      <c r="AN4393">
        <v>0</v>
      </c>
      <c r="AQ4393">
        <v>0</v>
      </c>
      <c r="AT4393">
        <v>0</v>
      </c>
      <c r="AU4393">
        <v>23</v>
      </c>
      <c r="AV4393">
        <v>357</v>
      </c>
      <c r="AW4393">
        <v>398</v>
      </c>
      <c r="AX4393">
        <v>441</v>
      </c>
      <c r="BA4393">
        <v>1</v>
      </c>
      <c r="BC4393" t="s">
        <v>8894</v>
      </c>
      <c r="BD4393" s="4">
        <v>43283.207638888889</v>
      </c>
      <c r="BE4393" s="4">
        <v>43283.234120370369</v>
      </c>
      <c r="BF4393" s="4">
        <v>43283.234120370369</v>
      </c>
      <c r="BG4393" t="s">
        <v>83</v>
      </c>
      <c r="BH4393" t="s">
        <v>84</v>
      </c>
      <c r="BI4393" t="s">
        <v>85</v>
      </c>
    </row>
    <row r="4394" spans="1:61" x14ac:dyDescent="0.3">
      <c r="A4394" t="str">
        <f>"202404C0100"</f>
        <v>202404C0100</v>
      </c>
      <c r="B4394" t="s">
        <v>8895</v>
      </c>
      <c r="C4394">
        <v>20</v>
      </c>
      <c r="D4394" t="s">
        <v>79</v>
      </c>
      <c r="E4394">
        <v>20</v>
      </c>
      <c r="F4394" t="s">
        <v>8477</v>
      </c>
      <c r="G4394">
        <v>2404</v>
      </c>
      <c r="H4394">
        <v>1</v>
      </c>
      <c r="I4394" t="s">
        <v>89</v>
      </c>
      <c r="J4394">
        <v>0</v>
      </c>
      <c r="K4394">
        <v>1</v>
      </c>
      <c r="L4394">
        <v>2</v>
      </c>
      <c r="M4394">
        <v>99</v>
      </c>
      <c r="N4394">
        <v>364</v>
      </c>
      <c r="O4394">
        <v>1</v>
      </c>
      <c r="P4394">
        <v>0</v>
      </c>
      <c r="Q4394">
        <v>0</v>
      </c>
      <c r="R4394">
        <v>124</v>
      </c>
      <c r="S4394">
        <v>11</v>
      </c>
      <c r="T4394">
        <v>3</v>
      </c>
      <c r="U4394">
        <v>19</v>
      </c>
      <c r="V4394">
        <v>2</v>
      </c>
      <c r="W4394">
        <v>2</v>
      </c>
      <c r="X4394">
        <v>9</v>
      </c>
      <c r="Y4394">
        <v>113</v>
      </c>
      <c r="Z4394">
        <v>1</v>
      </c>
      <c r="AA4394">
        <v>52</v>
      </c>
      <c r="AB4394">
        <v>3</v>
      </c>
      <c r="AC4394">
        <v>0</v>
      </c>
      <c r="AD4394">
        <v>0</v>
      </c>
      <c r="AE4394">
        <v>0</v>
      </c>
      <c r="AF4394">
        <v>0</v>
      </c>
      <c r="AK4394">
        <v>0</v>
      </c>
      <c r="AL4394">
        <v>0</v>
      </c>
      <c r="AM4394">
        <v>0</v>
      </c>
      <c r="AN4394">
        <v>1</v>
      </c>
      <c r="AQ4394">
        <v>3</v>
      </c>
      <c r="AT4394">
        <v>0</v>
      </c>
      <c r="AU4394">
        <v>18</v>
      </c>
      <c r="AV4394">
        <v>363</v>
      </c>
      <c r="AW4394">
        <v>361</v>
      </c>
      <c r="AX4394">
        <v>441</v>
      </c>
      <c r="BA4394">
        <v>1</v>
      </c>
      <c r="BC4394" t="s">
        <v>8896</v>
      </c>
      <c r="BD4394" s="4">
        <v>43283.206944444442</v>
      </c>
      <c r="BE4394" s="4">
        <v>43283.229745370372</v>
      </c>
      <c r="BF4394" s="4">
        <v>43283.229745370372</v>
      </c>
      <c r="BG4394" t="s">
        <v>83</v>
      </c>
      <c r="BH4394" t="s">
        <v>84</v>
      </c>
      <c r="BI4394" t="s">
        <v>85</v>
      </c>
    </row>
    <row r="4395" spans="1:61" x14ac:dyDescent="0.3">
      <c r="A4395" t="str">
        <f>"200113B0100"</f>
        <v>200113B0100</v>
      </c>
      <c r="B4395" t="s">
        <v>8897</v>
      </c>
      <c r="C4395">
        <v>20</v>
      </c>
      <c r="D4395" t="s">
        <v>79</v>
      </c>
      <c r="E4395">
        <v>21</v>
      </c>
      <c r="F4395" t="s">
        <v>8898</v>
      </c>
      <c r="G4395">
        <v>113</v>
      </c>
      <c r="H4395">
        <v>1</v>
      </c>
      <c r="I4395" t="s">
        <v>81</v>
      </c>
      <c r="J4395">
        <v>0</v>
      </c>
      <c r="K4395">
        <v>2</v>
      </c>
      <c r="L4395">
        <v>2</v>
      </c>
      <c r="M4395">
        <v>288</v>
      </c>
      <c r="N4395">
        <v>0</v>
      </c>
      <c r="O4395">
        <v>0</v>
      </c>
      <c r="P4395">
        <v>330</v>
      </c>
      <c r="Q4395">
        <v>53</v>
      </c>
      <c r="R4395">
        <v>40</v>
      </c>
      <c r="S4395">
        <v>7</v>
      </c>
      <c r="T4395">
        <v>8</v>
      </c>
      <c r="U4395">
        <v>18</v>
      </c>
      <c r="V4395">
        <v>5</v>
      </c>
      <c r="W4395">
        <v>3</v>
      </c>
      <c r="X4395">
        <v>6</v>
      </c>
      <c r="Y4395">
        <v>138</v>
      </c>
      <c r="Z4395">
        <v>14</v>
      </c>
      <c r="AA4395">
        <v>0</v>
      </c>
      <c r="AB4395">
        <v>1</v>
      </c>
      <c r="AC4395">
        <v>1</v>
      </c>
      <c r="AD4395">
        <v>0</v>
      </c>
      <c r="AE4395">
        <v>1</v>
      </c>
      <c r="AF4395">
        <v>0</v>
      </c>
      <c r="AG4395">
        <v>2</v>
      </c>
      <c r="AH4395">
        <v>0</v>
      </c>
      <c r="AI4395">
        <v>0</v>
      </c>
      <c r="AJ4395">
        <v>0</v>
      </c>
      <c r="AK4395">
        <v>6</v>
      </c>
      <c r="AL4395">
        <v>0</v>
      </c>
      <c r="AM4395">
        <v>0</v>
      </c>
      <c r="AN4395">
        <v>3</v>
      </c>
      <c r="AT4395">
        <v>0</v>
      </c>
      <c r="AU4395">
        <v>24</v>
      </c>
      <c r="AV4395">
        <v>330</v>
      </c>
      <c r="AW4395">
        <v>330</v>
      </c>
      <c r="AX4395">
        <v>596</v>
      </c>
      <c r="BA4395">
        <v>1</v>
      </c>
      <c r="BC4395" t="s">
        <v>8899</v>
      </c>
      <c r="BD4395" s="4">
        <v>43283.265277777777</v>
      </c>
      <c r="BE4395" s="4">
        <v>43283.291770833333</v>
      </c>
      <c r="BF4395" s="4">
        <v>43283.291770833333</v>
      </c>
      <c r="BG4395" t="s">
        <v>83</v>
      </c>
      <c r="BH4395" t="s">
        <v>84</v>
      </c>
      <c r="BI4395" t="s">
        <v>85</v>
      </c>
    </row>
    <row r="4396" spans="1:61" x14ac:dyDescent="0.3">
      <c r="A4396" t="str">
        <f>"200113C0100"</f>
        <v>200113C0100</v>
      </c>
      <c r="B4396" t="s">
        <v>8900</v>
      </c>
      <c r="C4396">
        <v>20</v>
      </c>
      <c r="D4396" t="s">
        <v>79</v>
      </c>
      <c r="E4396">
        <v>21</v>
      </c>
      <c r="F4396" t="s">
        <v>8898</v>
      </c>
      <c r="G4396">
        <v>113</v>
      </c>
      <c r="H4396">
        <v>1</v>
      </c>
      <c r="I4396" t="s">
        <v>89</v>
      </c>
      <c r="J4396">
        <v>0</v>
      </c>
      <c r="K4396">
        <v>2</v>
      </c>
      <c r="L4396">
        <v>2</v>
      </c>
      <c r="M4396">
        <v>304</v>
      </c>
      <c r="N4396">
        <v>313</v>
      </c>
      <c r="O4396">
        <v>0</v>
      </c>
      <c r="P4396">
        <v>313</v>
      </c>
      <c r="Q4396">
        <v>36</v>
      </c>
      <c r="R4396">
        <v>46</v>
      </c>
      <c r="S4396">
        <v>5</v>
      </c>
      <c r="T4396">
        <v>9</v>
      </c>
      <c r="U4396">
        <v>18</v>
      </c>
      <c r="V4396">
        <v>5</v>
      </c>
      <c r="W4396">
        <v>2</v>
      </c>
      <c r="X4396">
        <v>6</v>
      </c>
      <c r="Y4396">
        <v>131</v>
      </c>
      <c r="Z4396">
        <v>10</v>
      </c>
      <c r="AA4396">
        <v>1</v>
      </c>
      <c r="AB4396">
        <v>2</v>
      </c>
      <c r="AC4396">
        <v>0</v>
      </c>
      <c r="AD4396">
        <v>0</v>
      </c>
      <c r="AE4396">
        <v>0</v>
      </c>
      <c r="AF4396">
        <v>0</v>
      </c>
      <c r="AG4396">
        <v>0</v>
      </c>
      <c r="AH4396">
        <v>1</v>
      </c>
      <c r="AI4396">
        <v>0</v>
      </c>
      <c r="AJ4396">
        <v>0</v>
      </c>
      <c r="AK4396">
        <v>4</v>
      </c>
      <c r="AL4396">
        <v>4</v>
      </c>
      <c r="AM4396">
        <v>0</v>
      </c>
      <c r="AN4396">
        <v>3</v>
      </c>
      <c r="AT4396">
        <v>0</v>
      </c>
      <c r="AU4396">
        <v>31</v>
      </c>
      <c r="AV4396">
        <v>313</v>
      </c>
      <c r="AW4396">
        <v>314</v>
      </c>
      <c r="AX4396">
        <v>595</v>
      </c>
      <c r="BA4396">
        <v>1</v>
      </c>
      <c r="BC4396" t="s">
        <v>8901</v>
      </c>
      <c r="BD4396" s="4">
        <v>43283.269444444442</v>
      </c>
      <c r="BE4396" s="4">
        <v>43283.295370370368</v>
      </c>
      <c r="BF4396" s="4">
        <v>43283.295370370368</v>
      </c>
      <c r="BG4396" t="s">
        <v>83</v>
      </c>
      <c r="BH4396" t="s">
        <v>84</v>
      </c>
      <c r="BI4396" t="s">
        <v>85</v>
      </c>
    </row>
    <row r="4397" spans="1:61" x14ac:dyDescent="0.3">
      <c r="A4397" t="str">
        <f>"200114B0100"</f>
        <v>200114B0100</v>
      </c>
      <c r="B4397" t="s">
        <v>8902</v>
      </c>
      <c r="C4397">
        <v>20</v>
      </c>
      <c r="D4397" t="s">
        <v>79</v>
      </c>
      <c r="E4397">
        <v>21</v>
      </c>
      <c r="F4397" t="s">
        <v>8898</v>
      </c>
      <c r="G4397">
        <v>114</v>
      </c>
      <c r="H4397">
        <v>1</v>
      </c>
      <c r="I4397" t="s">
        <v>81</v>
      </c>
      <c r="J4397">
        <v>0</v>
      </c>
      <c r="K4397">
        <v>2</v>
      </c>
      <c r="L4397">
        <v>2</v>
      </c>
      <c r="M4397">
        <v>322</v>
      </c>
      <c r="N4397">
        <v>430</v>
      </c>
      <c r="O4397">
        <v>0</v>
      </c>
      <c r="P4397">
        <v>430</v>
      </c>
      <c r="Q4397">
        <v>59</v>
      </c>
      <c r="R4397">
        <v>17</v>
      </c>
      <c r="S4397">
        <v>14</v>
      </c>
      <c r="T4397">
        <v>2</v>
      </c>
      <c r="U4397">
        <v>30</v>
      </c>
      <c r="V4397">
        <v>9</v>
      </c>
      <c r="W4397">
        <v>3</v>
      </c>
      <c r="X4397">
        <v>4</v>
      </c>
      <c r="Y4397">
        <v>214</v>
      </c>
      <c r="Z4397">
        <v>20</v>
      </c>
      <c r="AA4397">
        <v>0</v>
      </c>
      <c r="AB4397">
        <v>3</v>
      </c>
      <c r="AC4397">
        <v>0</v>
      </c>
      <c r="AD4397">
        <v>0</v>
      </c>
      <c r="AE4397">
        <v>0</v>
      </c>
      <c r="AF4397">
        <v>0</v>
      </c>
      <c r="AG4397">
        <v>0</v>
      </c>
      <c r="AH4397">
        <v>0</v>
      </c>
      <c r="AI4397">
        <v>0</v>
      </c>
      <c r="AJ4397">
        <v>0</v>
      </c>
      <c r="AK4397">
        <v>16</v>
      </c>
      <c r="AL4397">
        <v>2</v>
      </c>
      <c r="AM4397">
        <v>0</v>
      </c>
      <c r="AN4397">
        <v>6</v>
      </c>
      <c r="AT4397">
        <v>0</v>
      </c>
      <c r="AU4397">
        <v>31</v>
      </c>
      <c r="AV4397">
        <v>430</v>
      </c>
      <c r="AW4397">
        <v>430</v>
      </c>
      <c r="AX4397">
        <v>730</v>
      </c>
      <c r="BA4397">
        <v>1</v>
      </c>
      <c r="BC4397" t="s">
        <v>8903</v>
      </c>
      <c r="BD4397" s="4">
        <v>43283.274305555555</v>
      </c>
      <c r="BE4397" s="4">
        <v>43283.301192129627</v>
      </c>
      <c r="BF4397" s="4">
        <v>43283.301192129627</v>
      </c>
      <c r="BG4397" t="s">
        <v>83</v>
      </c>
      <c r="BH4397" t="s">
        <v>84</v>
      </c>
      <c r="BI4397" t="s">
        <v>85</v>
      </c>
    </row>
    <row r="4398" spans="1:61" x14ac:dyDescent="0.3">
      <c r="A4398" t="str">
        <f>"200114C0100"</f>
        <v>200114C0100</v>
      </c>
      <c r="B4398" t="s">
        <v>8904</v>
      </c>
      <c r="C4398">
        <v>20</v>
      </c>
      <c r="D4398" t="s">
        <v>79</v>
      </c>
      <c r="E4398">
        <v>21</v>
      </c>
      <c r="F4398" t="s">
        <v>8898</v>
      </c>
      <c r="G4398">
        <v>114</v>
      </c>
      <c r="H4398">
        <v>1</v>
      </c>
      <c r="I4398" t="s">
        <v>89</v>
      </c>
      <c r="J4398">
        <v>0</v>
      </c>
      <c r="K4398">
        <v>2</v>
      </c>
      <c r="L4398">
        <v>2</v>
      </c>
      <c r="M4398">
        <v>319</v>
      </c>
      <c r="N4398">
        <v>432</v>
      </c>
      <c r="O4398">
        <v>0</v>
      </c>
      <c r="P4398">
        <v>432</v>
      </c>
      <c r="Q4398">
        <v>68</v>
      </c>
      <c r="R4398">
        <v>18</v>
      </c>
      <c r="S4398">
        <v>7</v>
      </c>
      <c r="T4398">
        <v>7</v>
      </c>
      <c r="U4398">
        <v>27</v>
      </c>
      <c r="V4398">
        <v>8</v>
      </c>
      <c r="W4398">
        <v>4</v>
      </c>
      <c r="X4398">
        <v>3</v>
      </c>
      <c r="Y4398">
        <v>233</v>
      </c>
      <c r="Z4398">
        <v>11</v>
      </c>
      <c r="AA4398">
        <v>0</v>
      </c>
      <c r="AB4398">
        <v>2</v>
      </c>
      <c r="AC4398">
        <v>0</v>
      </c>
      <c r="AD4398">
        <v>1</v>
      </c>
      <c r="AE4398">
        <v>0</v>
      </c>
      <c r="AF4398">
        <v>0</v>
      </c>
      <c r="AG4398">
        <v>0</v>
      </c>
      <c r="AH4398">
        <v>1</v>
      </c>
      <c r="AI4398">
        <v>0</v>
      </c>
      <c r="AJ4398">
        <v>1</v>
      </c>
      <c r="AK4398">
        <v>7</v>
      </c>
      <c r="AL4398">
        <v>3</v>
      </c>
      <c r="AM4398">
        <v>0</v>
      </c>
      <c r="AN4398">
        <v>1</v>
      </c>
      <c r="AT4398">
        <v>0</v>
      </c>
      <c r="AU4398">
        <v>30</v>
      </c>
      <c r="AV4398">
        <v>432</v>
      </c>
      <c r="AW4398">
        <v>432</v>
      </c>
      <c r="AX4398">
        <v>729</v>
      </c>
      <c r="BA4398">
        <v>1</v>
      </c>
      <c r="BC4398" t="s">
        <v>8905</v>
      </c>
      <c r="BD4398" s="4">
        <v>43283.27847222222</v>
      </c>
      <c r="BE4398" s="4">
        <v>43283.311145833337</v>
      </c>
      <c r="BF4398" s="4">
        <v>43283.311145833337</v>
      </c>
      <c r="BG4398" t="s">
        <v>83</v>
      </c>
      <c r="BH4398" t="s">
        <v>84</v>
      </c>
      <c r="BI4398" t="s">
        <v>85</v>
      </c>
    </row>
    <row r="4399" spans="1:61" x14ac:dyDescent="0.3">
      <c r="A4399" t="str">
        <f>"200115B0100"</f>
        <v>200115B0100</v>
      </c>
      <c r="B4399" t="s">
        <v>8906</v>
      </c>
      <c r="C4399">
        <v>20</v>
      </c>
      <c r="D4399" t="s">
        <v>79</v>
      </c>
      <c r="E4399">
        <v>21</v>
      </c>
      <c r="F4399" t="s">
        <v>8898</v>
      </c>
      <c r="G4399">
        <v>115</v>
      </c>
      <c r="H4399">
        <v>1</v>
      </c>
      <c r="I4399" t="s">
        <v>81</v>
      </c>
      <c r="J4399">
        <v>0</v>
      </c>
      <c r="K4399">
        <v>2</v>
      </c>
      <c r="L4399">
        <v>2</v>
      </c>
      <c r="M4399">
        <v>231</v>
      </c>
      <c r="N4399">
        <v>461</v>
      </c>
      <c r="O4399">
        <v>0</v>
      </c>
      <c r="P4399">
        <v>461</v>
      </c>
      <c r="Q4399">
        <v>49</v>
      </c>
      <c r="R4399">
        <v>112</v>
      </c>
      <c r="S4399">
        <v>6</v>
      </c>
      <c r="T4399">
        <v>13</v>
      </c>
      <c r="U4399">
        <v>18</v>
      </c>
      <c r="V4399">
        <v>10</v>
      </c>
      <c r="W4399">
        <v>3</v>
      </c>
      <c r="X4399">
        <v>8</v>
      </c>
      <c r="Y4399">
        <v>167</v>
      </c>
      <c r="Z4399">
        <v>19</v>
      </c>
      <c r="AA4399">
        <v>2</v>
      </c>
      <c r="AB4399">
        <v>1</v>
      </c>
      <c r="AC4399">
        <v>4</v>
      </c>
      <c r="AD4399">
        <v>0</v>
      </c>
      <c r="AE4399">
        <v>0</v>
      </c>
      <c r="AF4399">
        <v>0</v>
      </c>
      <c r="AG4399">
        <v>2</v>
      </c>
      <c r="AH4399">
        <v>8</v>
      </c>
      <c r="AI4399">
        <v>0</v>
      </c>
      <c r="AJ4399">
        <v>0</v>
      </c>
      <c r="AK4399">
        <v>5</v>
      </c>
      <c r="AL4399">
        <v>0</v>
      </c>
      <c r="AM4399">
        <v>1</v>
      </c>
      <c r="AN4399">
        <v>3</v>
      </c>
      <c r="AT4399">
        <v>0</v>
      </c>
      <c r="AU4399">
        <v>30</v>
      </c>
      <c r="AV4399">
        <v>400</v>
      </c>
      <c r="AW4399">
        <v>461</v>
      </c>
      <c r="AX4399">
        <v>670</v>
      </c>
      <c r="BA4399">
        <v>1</v>
      </c>
      <c r="BC4399" t="s">
        <v>8907</v>
      </c>
      <c r="BD4399" s="4">
        <v>43283.164583333331</v>
      </c>
      <c r="BE4399" s="4">
        <v>43283.178356481483</v>
      </c>
      <c r="BF4399" s="4">
        <v>43283.178356481483</v>
      </c>
      <c r="BG4399" t="s">
        <v>83</v>
      </c>
      <c r="BH4399" t="s">
        <v>84</v>
      </c>
      <c r="BI4399" t="s">
        <v>85</v>
      </c>
    </row>
    <row r="4400" spans="1:61" x14ac:dyDescent="0.3">
      <c r="A4400" t="str">
        <f>"200116B0100"</f>
        <v>200116B0100</v>
      </c>
      <c r="B4400" t="s">
        <v>8908</v>
      </c>
      <c r="C4400">
        <v>20</v>
      </c>
      <c r="D4400" t="s">
        <v>79</v>
      </c>
      <c r="E4400">
        <v>21</v>
      </c>
      <c r="F4400" t="s">
        <v>8898</v>
      </c>
      <c r="G4400">
        <v>116</v>
      </c>
      <c r="H4400">
        <v>1</v>
      </c>
      <c r="I4400" t="s">
        <v>81</v>
      </c>
      <c r="J4400">
        <v>0</v>
      </c>
      <c r="K4400">
        <v>1</v>
      </c>
      <c r="L4400">
        <v>2</v>
      </c>
      <c r="AX4400">
        <v>378</v>
      </c>
      <c r="AZ4400" t="s">
        <v>1868</v>
      </c>
      <c r="BA4400">
        <v>0</v>
      </c>
      <c r="BC4400" t="s">
        <v>8909</v>
      </c>
      <c r="BD4400" s="4">
        <v>43283.15347222222</v>
      </c>
      <c r="BE4400" s="4">
        <v>43283.171666666669</v>
      </c>
      <c r="BF4400" s="4">
        <v>43283.171666666669</v>
      </c>
      <c r="BG4400" t="s">
        <v>83</v>
      </c>
      <c r="BH4400" t="s">
        <v>84</v>
      </c>
      <c r="BI4400" t="s">
        <v>85</v>
      </c>
    </row>
    <row r="4401" spans="1:61" x14ac:dyDescent="0.3">
      <c r="A4401" t="str">
        <f>"200116C0100"</f>
        <v>200116C0100</v>
      </c>
      <c r="B4401" t="s">
        <v>8910</v>
      </c>
      <c r="C4401">
        <v>20</v>
      </c>
      <c r="D4401" t="s">
        <v>79</v>
      </c>
      <c r="E4401">
        <v>21</v>
      </c>
      <c r="F4401" t="s">
        <v>8898</v>
      </c>
      <c r="G4401">
        <v>116</v>
      </c>
      <c r="H4401">
        <v>1</v>
      </c>
      <c r="I4401" t="s">
        <v>89</v>
      </c>
      <c r="J4401">
        <v>0</v>
      </c>
      <c r="K4401">
        <v>2</v>
      </c>
      <c r="L4401">
        <v>2</v>
      </c>
      <c r="M4401">
        <v>772</v>
      </c>
      <c r="N4401" t="s">
        <v>100</v>
      </c>
      <c r="O4401" t="s">
        <v>100</v>
      </c>
      <c r="P4401">
        <v>207</v>
      </c>
      <c r="Q4401">
        <v>50</v>
      </c>
      <c r="R4401">
        <v>40</v>
      </c>
      <c r="S4401">
        <v>7</v>
      </c>
      <c r="T4401">
        <v>5</v>
      </c>
      <c r="U4401">
        <v>14</v>
      </c>
      <c r="V4401">
        <v>5</v>
      </c>
      <c r="W4401" t="s">
        <v>100</v>
      </c>
      <c r="X4401">
        <v>2</v>
      </c>
      <c r="Y4401">
        <v>58</v>
      </c>
      <c r="Z4401">
        <v>7</v>
      </c>
      <c r="AA4401">
        <v>1</v>
      </c>
      <c r="AB4401" t="s">
        <v>100</v>
      </c>
      <c r="AC4401" t="s">
        <v>100</v>
      </c>
      <c r="AD4401" t="s">
        <v>100</v>
      </c>
      <c r="AE4401" t="s">
        <v>100</v>
      </c>
      <c r="AF4401" t="s">
        <v>100</v>
      </c>
      <c r="AG4401" t="s">
        <v>100</v>
      </c>
      <c r="AH4401">
        <v>2</v>
      </c>
      <c r="AI4401" t="s">
        <v>100</v>
      </c>
      <c r="AJ4401" t="s">
        <v>100</v>
      </c>
      <c r="AK4401" t="s">
        <v>100</v>
      </c>
      <c r="AL4401">
        <v>1</v>
      </c>
      <c r="AM4401" t="s">
        <v>100</v>
      </c>
      <c r="AN4401" t="s">
        <v>100</v>
      </c>
      <c r="AT4401" t="s">
        <v>100</v>
      </c>
      <c r="AU4401" t="s">
        <v>315</v>
      </c>
      <c r="AV4401" t="s">
        <v>100</v>
      </c>
      <c r="AW4401">
        <v>192</v>
      </c>
      <c r="AX4401">
        <v>378</v>
      </c>
      <c r="AZ4401" t="s">
        <v>101</v>
      </c>
      <c r="BA4401">
        <v>1</v>
      </c>
      <c r="BC4401" t="s">
        <v>8911</v>
      </c>
      <c r="BD4401" s="4">
        <v>43283.159722222219</v>
      </c>
      <c r="BE4401" s="4">
        <v>43283.182118055556</v>
      </c>
      <c r="BF4401" s="4">
        <v>43283.182118055556</v>
      </c>
      <c r="BG4401" t="s">
        <v>83</v>
      </c>
      <c r="BH4401" t="s">
        <v>84</v>
      </c>
      <c r="BI4401" t="s">
        <v>85</v>
      </c>
    </row>
    <row r="4402" spans="1:61" x14ac:dyDescent="0.3">
      <c r="A4402" t="str">
        <f>"200121B0100"</f>
        <v>200121B0100</v>
      </c>
      <c r="B4402" t="s">
        <v>8912</v>
      </c>
      <c r="C4402">
        <v>20</v>
      </c>
      <c r="D4402" t="s">
        <v>79</v>
      </c>
      <c r="E4402">
        <v>21</v>
      </c>
      <c r="F4402" t="s">
        <v>8898</v>
      </c>
      <c r="G4402">
        <v>121</v>
      </c>
      <c r="H4402">
        <v>1</v>
      </c>
      <c r="I4402" t="s">
        <v>81</v>
      </c>
      <c r="J4402">
        <v>0</v>
      </c>
      <c r="K4402">
        <v>1</v>
      </c>
      <c r="L4402">
        <v>2</v>
      </c>
      <c r="M4402">
        <v>163</v>
      </c>
      <c r="N4402">
        <v>260</v>
      </c>
      <c r="O4402" t="s">
        <v>100</v>
      </c>
      <c r="P4402">
        <v>260</v>
      </c>
      <c r="Q4402">
        <v>27</v>
      </c>
      <c r="R4402">
        <v>76</v>
      </c>
      <c r="S4402">
        <v>23</v>
      </c>
      <c r="T4402">
        <v>1</v>
      </c>
      <c r="U4402">
        <v>10</v>
      </c>
      <c r="V4402">
        <v>3</v>
      </c>
      <c r="W4402">
        <v>12</v>
      </c>
      <c r="X4402">
        <v>3</v>
      </c>
      <c r="Y4402">
        <v>68</v>
      </c>
      <c r="Z4402">
        <v>6</v>
      </c>
      <c r="AA4402">
        <v>0</v>
      </c>
      <c r="AB4402">
        <v>7</v>
      </c>
      <c r="AC4402">
        <v>0</v>
      </c>
      <c r="AD4402">
        <v>0</v>
      </c>
      <c r="AE4402">
        <v>0</v>
      </c>
      <c r="AF4402">
        <v>0</v>
      </c>
      <c r="AG4402">
        <v>0</v>
      </c>
      <c r="AH4402">
        <v>0</v>
      </c>
      <c r="AI4402">
        <v>0</v>
      </c>
      <c r="AJ4402">
        <v>0</v>
      </c>
      <c r="AK4402">
        <v>0</v>
      </c>
      <c r="AL4402">
        <v>0</v>
      </c>
      <c r="AM4402">
        <v>0</v>
      </c>
      <c r="AN4402">
        <v>3</v>
      </c>
      <c r="AT4402">
        <v>0</v>
      </c>
      <c r="AU4402">
        <v>21</v>
      </c>
      <c r="AV4402">
        <v>260</v>
      </c>
      <c r="AW4402">
        <v>260</v>
      </c>
      <c r="AX4402">
        <v>401</v>
      </c>
      <c r="BA4402">
        <v>1</v>
      </c>
      <c r="BC4402" t="s">
        <v>8913</v>
      </c>
      <c r="BD4402" s="4">
        <v>43283.224999999999</v>
      </c>
      <c r="BE4402" s="4">
        <v>43283.249918981484</v>
      </c>
      <c r="BF4402" s="4">
        <v>43283.249918981484</v>
      </c>
      <c r="BG4402" t="s">
        <v>83</v>
      </c>
      <c r="BH4402" t="s">
        <v>84</v>
      </c>
      <c r="BI4402" t="s">
        <v>85</v>
      </c>
    </row>
    <row r="4403" spans="1:61" x14ac:dyDescent="0.3">
      <c r="A4403" t="str">
        <f>"200121C0100"</f>
        <v>200121C0100</v>
      </c>
      <c r="B4403" t="s">
        <v>8914</v>
      </c>
      <c r="C4403">
        <v>20</v>
      </c>
      <c r="D4403" t="s">
        <v>79</v>
      </c>
      <c r="E4403">
        <v>21</v>
      </c>
      <c r="F4403" t="s">
        <v>8898</v>
      </c>
      <c r="G4403">
        <v>121</v>
      </c>
      <c r="H4403">
        <v>1</v>
      </c>
      <c r="I4403" t="s">
        <v>89</v>
      </c>
      <c r="J4403">
        <v>0</v>
      </c>
      <c r="K4403">
        <v>2</v>
      </c>
      <c r="L4403">
        <v>2</v>
      </c>
      <c r="M4403">
        <v>195</v>
      </c>
      <c r="N4403">
        <v>227</v>
      </c>
      <c r="O4403">
        <v>0</v>
      </c>
      <c r="P4403">
        <v>227</v>
      </c>
      <c r="Q4403">
        <v>21</v>
      </c>
      <c r="R4403">
        <v>55</v>
      </c>
      <c r="S4403">
        <v>21</v>
      </c>
      <c r="T4403">
        <v>13</v>
      </c>
      <c r="U4403">
        <v>12</v>
      </c>
      <c r="V4403">
        <v>3</v>
      </c>
      <c r="W4403">
        <v>10</v>
      </c>
      <c r="X4403">
        <v>4</v>
      </c>
      <c r="Y4403">
        <v>71</v>
      </c>
      <c r="Z4403">
        <v>3</v>
      </c>
      <c r="AA4403">
        <v>1</v>
      </c>
      <c r="AB4403">
        <v>0</v>
      </c>
      <c r="AC4403">
        <v>1</v>
      </c>
      <c r="AD4403">
        <v>0</v>
      </c>
      <c r="AE4403">
        <v>0</v>
      </c>
      <c r="AF4403">
        <v>0</v>
      </c>
      <c r="AG4403">
        <v>0</v>
      </c>
      <c r="AH4403">
        <v>0</v>
      </c>
      <c r="AI4403">
        <v>0</v>
      </c>
      <c r="AJ4403">
        <v>0</v>
      </c>
      <c r="AK4403">
        <v>1</v>
      </c>
      <c r="AL4403">
        <v>2</v>
      </c>
      <c r="AM4403">
        <v>0</v>
      </c>
      <c r="AN4403">
        <v>0</v>
      </c>
      <c r="AT4403">
        <v>0</v>
      </c>
      <c r="AU4403">
        <v>9</v>
      </c>
      <c r="AV4403">
        <v>227</v>
      </c>
      <c r="AW4403">
        <v>227</v>
      </c>
      <c r="AX4403">
        <v>400</v>
      </c>
      <c r="BA4403">
        <v>1</v>
      </c>
      <c r="BC4403" t="s">
        <v>8915</v>
      </c>
      <c r="BD4403" s="4">
        <v>43283.242361111108</v>
      </c>
      <c r="BE4403" s="4">
        <v>43283.268020833333</v>
      </c>
      <c r="BF4403" s="4">
        <v>43283.268020833333</v>
      </c>
      <c r="BG4403" t="s">
        <v>83</v>
      </c>
      <c r="BH4403" t="s">
        <v>84</v>
      </c>
      <c r="BI4403" t="s">
        <v>85</v>
      </c>
    </row>
    <row r="4404" spans="1:61" x14ac:dyDescent="0.3">
      <c r="A4404" t="str">
        <f>"200122B0100"</f>
        <v>200122B0100</v>
      </c>
      <c r="B4404" t="s">
        <v>8916</v>
      </c>
      <c r="C4404">
        <v>20</v>
      </c>
      <c r="D4404" t="s">
        <v>79</v>
      </c>
      <c r="E4404">
        <v>21</v>
      </c>
      <c r="F4404" t="s">
        <v>8898</v>
      </c>
      <c r="G4404">
        <v>122</v>
      </c>
      <c r="H4404">
        <v>1</v>
      </c>
      <c r="I4404" t="s">
        <v>81</v>
      </c>
      <c r="J4404">
        <v>0</v>
      </c>
      <c r="K4404">
        <v>2</v>
      </c>
      <c r="L4404">
        <v>2</v>
      </c>
      <c r="M4404">
        <v>150</v>
      </c>
      <c r="N4404">
        <v>272</v>
      </c>
      <c r="O4404">
        <v>0</v>
      </c>
      <c r="P4404">
        <v>272</v>
      </c>
      <c r="Q4404">
        <v>28</v>
      </c>
      <c r="R4404">
        <v>44</v>
      </c>
      <c r="S4404">
        <v>6</v>
      </c>
      <c r="T4404">
        <v>4</v>
      </c>
      <c r="U4404">
        <v>18</v>
      </c>
      <c r="V4404">
        <v>3</v>
      </c>
      <c r="W4404">
        <v>7</v>
      </c>
      <c r="X4404">
        <v>4</v>
      </c>
      <c r="Y4404">
        <v>114</v>
      </c>
      <c r="Z4404">
        <v>14</v>
      </c>
      <c r="AA4404" t="s">
        <v>100</v>
      </c>
      <c r="AB4404">
        <v>1</v>
      </c>
      <c r="AC4404" t="s">
        <v>100</v>
      </c>
      <c r="AD4404" t="s">
        <v>100</v>
      </c>
      <c r="AE4404" t="s">
        <v>100</v>
      </c>
      <c r="AF4404" t="s">
        <v>100</v>
      </c>
      <c r="AG4404" t="s">
        <v>100</v>
      </c>
      <c r="AH4404" t="s">
        <v>100</v>
      </c>
      <c r="AI4404" t="s">
        <v>100</v>
      </c>
      <c r="AJ4404" t="s">
        <v>100</v>
      </c>
      <c r="AK4404">
        <v>5</v>
      </c>
      <c r="AL4404">
        <v>4</v>
      </c>
      <c r="AM4404" t="s">
        <v>100</v>
      </c>
      <c r="AN4404">
        <v>4</v>
      </c>
      <c r="AT4404" t="s">
        <v>100</v>
      </c>
      <c r="AU4404">
        <v>16</v>
      </c>
      <c r="AV4404">
        <v>272</v>
      </c>
      <c r="AW4404">
        <v>272</v>
      </c>
      <c r="AX4404">
        <v>400</v>
      </c>
      <c r="AZ4404" t="s">
        <v>101</v>
      </c>
      <c r="BA4404">
        <v>1</v>
      </c>
      <c r="BC4404" t="s">
        <v>8917</v>
      </c>
      <c r="BD4404" s="4">
        <v>43283.168749999997</v>
      </c>
      <c r="BE4404" s="4">
        <v>43283.182719907411</v>
      </c>
      <c r="BF4404" s="4">
        <v>43283.182719907411</v>
      </c>
      <c r="BG4404" t="s">
        <v>83</v>
      </c>
      <c r="BH4404" t="s">
        <v>84</v>
      </c>
      <c r="BI4404" t="s">
        <v>85</v>
      </c>
    </row>
    <row r="4405" spans="1:61" x14ac:dyDescent="0.3">
      <c r="A4405" t="str">
        <f>"200123B0100"</f>
        <v>200123B0100</v>
      </c>
      <c r="B4405" t="s">
        <v>8918</v>
      </c>
      <c r="C4405">
        <v>20</v>
      </c>
      <c r="D4405" t="s">
        <v>79</v>
      </c>
      <c r="E4405">
        <v>21</v>
      </c>
      <c r="F4405" t="s">
        <v>8898</v>
      </c>
      <c r="G4405">
        <v>123</v>
      </c>
      <c r="H4405">
        <v>1</v>
      </c>
      <c r="I4405" t="s">
        <v>81</v>
      </c>
      <c r="J4405">
        <v>0</v>
      </c>
      <c r="K4405">
        <v>2</v>
      </c>
      <c r="L4405">
        <v>2</v>
      </c>
      <c r="M4405">
        <v>214</v>
      </c>
      <c r="N4405">
        <v>240</v>
      </c>
      <c r="O4405">
        <v>0</v>
      </c>
      <c r="P4405">
        <v>240</v>
      </c>
      <c r="Q4405">
        <v>8</v>
      </c>
      <c r="R4405">
        <v>46</v>
      </c>
      <c r="S4405">
        <v>1</v>
      </c>
      <c r="T4405">
        <v>5</v>
      </c>
      <c r="U4405">
        <v>3</v>
      </c>
      <c r="V4405">
        <v>2</v>
      </c>
      <c r="W4405">
        <v>114</v>
      </c>
      <c r="X4405">
        <v>0</v>
      </c>
      <c r="Y4405">
        <v>38</v>
      </c>
      <c r="Z4405">
        <v>0</v>
      </c>
      <c r="AA4405">
        <v>0</v>
      </c>
      <c r="AB4405">
        <v>2</v>
      </c>
      <c r="AC4405">
        <v>0</v>
      </c>
      <c r="AD4405">
        <v>0</v>
      </c>
      <c r="AE4405">
        <v>0</v>
      </c>
      <c r="AF4405">
        <v>0</v>
      </c>
      <c r="AG4405">
        <v>0</v>
      </c>
      <c r="AH4405">
        <v>0</v>
      </c>
      <c r="AI4405">
        <v>0</v>
      </c>
      <c r="AJ4405">
        <v>0</v>
      </c>
      <c r="AK4405">
        <v>0</v>
      </c>
      <c r="AL4405">
        <v>0</v>
      </c>
      <c r="AM4405">
        <v>0</v>
      </c>
      <c r="AN4405">
        <v>0</v>
      </c>
      <c r="AT4405">
        <v>0</v>
      </c>
      <c r="AU4405">
        <v>21</v>
      </c>
      <c r="AV4405">
        <v>240</v>
      </c>
      <c r="AW4405">
        <v>240</v>
      </c>
      <c r="AX4405">
        <v>436</v>
      </c>
      <c r="BA4405">
        <v>1</v>
      </c>
      <c r="BC4405" t="s">
        <v>8919</v>
      </c>
      <c r="BD4405" s="4">
        <v>43283.24722222222</v>
      </c>
      <c r="BE4405" s="4">
        <v>43283.270312499997</v>
      </c>
      <c r="BF4405" s="4">
        <v>43283.270312499997</v>
      </c>
      <c r="BG4405" t="s">
        <v>83</v>
      </c>
      <c r="BH4405" t="s">
        <v>84</v>
      </c>
      <c r="BI4405" t="s">
        <v>85</v>
      </c>
    </row>
    <row r="4406" spans="1:61" x14ac:dyDescent="0.3">
      <c r="A4406" t="str">
        <f>"200123C0100"</f>
        <v>200123C0100</v>
      </c>
      <c r="B4406" t="s">
        <v>8920</v>
      </c>
      <c r="C4406">
        <v>20</v>
      </c>
      <c r="D4406" t="s">
        <v>79</v>
      </c>
      <c r="E4406">
        <v>21</v>
      </c>
      <c r="F4406" t="s">
        <v>8898</v>
      </c>
      <c r="G4406">
        <v>123</v>
      </c>
      <c r="H4406">
        <v>1</v>
      </c>
      <c r="I4406" t="s">
        <v>89</v>
      </c>
      <c r="J4406">
        <v>0</v>
      </c>
      <c r="K4406">
        <v>2</v>
      </c>
      <c r="L4406">
        <v>2</v>
      </c>
      <c r="M4406">
        <v>228</v>
      </c>
      <c r="N4406">
        <v>247</v>
      </c>
      <c r="O4406">
        <v>0</v>
      </c>
      <c r="P4406">
        <v>247</v>
      </c>
      <c r="Q4406">
        <v>16</v>
      </c>
      <c r="R4406">
        <v>49</v>
      </c>
      <c r="S4406">
        <v>4</v>
      </c>
      <c r="T4406">
        <v>6</v>
      </c>
      <c r="U4406">
        <v>4</v>
      </c>
      <c r="V4406">
        <v>2</v>
      </c>
      <c r="W4406">
        <v>89</v>
      </c>
      <c r="X4406">
        <v>6</v>
      </c>
      <c r="Y4406">
        <v>41</v>
      </c>
      <c r="Z4406">
        <v>1</v>
      </c>
      <c r="AA4406">
        <v>0</v>
      </c>
      <c r="AB4406">
        <v>1</v>
      </c>
      <c r="AC4406">
        <v>0</v>
      </c>
      <c r="AD4406">
        <v>1</v>
      </c>
      <c r="AE4406">
        <v>0</v>
      </c>
      <c r="AF4406">
        <v>0</v>
      </c>
      <c r="AG4406">
        <v>1</v>
      </c>
      <c r="AH4406">
        <v>0</v>
      </c>
      <c r="AI4406">
        <v>0</v>
      </c>
      <c r="AJ4406">
        <v>0</v>
      </c>
      <c r="AK4406">
        <v>0</v>
      </c>
      <c r="AL4406">
        <v>1</v>
      </c>
      <c r="AM4406">
        <v>0</v>
      </c>
      <c r="AN4406">
        <v>1</v>
      </c>
      <c r="AT4406">
        <v>0</v>
      </c>
      <c r="AU4406">
        <v>24</v>
      </c>
      <c r="AV4406">
        <v>247</v>
      </c>
      <c r="AW4406">
        <v>247</v>
      </c>
      <c r="AX4406">
        <v>436</v>
      </c>
      <c r="BA4406">
        <v>1</v>
      </c>
      <c r="BC4406" t="s">
        <v>8921</v>
      </c>
      <c r="BD4406" s="4">
        <v>43283.250694444447</v>
      </c>
      <c r="BE4406" s="4">
        <v>43283.275856481479</v>
      </c>
      <c r="BF4406" s="4">
        <v>43283.275856481479</v>
      </c>
      <c r="BG4406" t="s">
        <v>83</v>
      </c>
      <c r="BH4406" t="s">
        <v>84</v>
      </c>
      <c r="BI4406" t="s">
        <v>85</v>
      </c>
    </row>
    <row r="4407" spans="1:61" x14ac:dyDescent="0.3">
      <c r="A4407" t="str">
        <f>"200124B0100"</f>
        <v>200124B0100</v>
      </c>
      <c r="B4407" t="s">
        <v>8922</v>
      </c>
      <c r="C4407">
        <v>20</v>
      </c>
      <c r="D4407" t="s">
        <v>79</v>
      </c>
      <c r="E4407">
        <v>21</v>
      </c>
      <c r="F4407" t="s">
        <v>8898</v>
      </c>
      <c r="G4407">
        <v>124</v>
      </c>
      <c r="H4407">
        <v>1</v>
      </c>
      <c r="I4407" t="s">
        <v>81</v>
      </c>
      <c r="J4407">
        <v>0</v>
      </c>
      <c r="K4407">
        <v>2</v>
      </c>
      <c r="L4407">
        <v>2</v>
      </c>
      <c r="M4407">
        <v>213</v>
      </c>
      <c r="N4407">
        <v>406</v>
      </c>
      <c r="O4407">
        <v>0</v>
      </c>
      <c r="P4407">
        <v>406</v>
      </c>
      <c r="Q4407">
        <v>48</v>
      </c>
      <c r="R4407">
        <v>151</v>
      </c>
      <c r="S4407">
        <v>4</v>
      </c>
      <c r="T4407">
        <v>4</v>
      </c>
      <c r="U4407">
        <v>17</v>
      </c>
      <c r="V4407">
        <v>7</v>
      </c>
      <c r="W4407">
        <v>13</v>
      </c>
      <c r="X4407">
        <v>4</v>
      </c>
      <c r="Y4407">
        <v>114</v>
      </c>
      <c r="Z4407">
        <v>12</v>
      </c>
      <c r="AA4407">
        <v>1</v>
      </c>
      <c r="AB4407">
        <v>1</v>
      </c>
      <c r="AC4407">
        <v>1</v>
      </c>
      <c r="AD4407">
        <v>1</v>
      </c>
      <c r="AE4407">
        <v>0</v>
      </c>
      <c r="AF4407">
        <v>0</v>
      </c>
      <c r="AG4407">
        <v>1</v>
      </c>
      <c r="AH4407">
        <v>3</v>
      </c>
      <c r="AI4407">
        <v>0</v>
      </c>
      <c r="AJ4407">
        <v>0</v>
      </c>
      <c r="AK4407">
        <v>1</v>
      </c>
      <c r="AL4407">
        <v>1</v>
      </c>
      <c r="AM4407">
        <v>0</v>
      </c>
      <c r="AN4407">
        <v>1</v>
      </c>
      <c r="AT4407">
        <v>0</v>
      </c>
      <c r="AU4407">
        <v>21</v>
      </c>
      <c r="AV4407">
        <v>406</v>
      </c>
      <c r="AW4407">
        <v>406</v>
      </c>
      <c r="AX4407">
        <v>597</v>
      </c>
      <c r="BA4407">
        <v>1</v>
      </c>
      <c r="BC4407" t="s">
        <v>8923</v>
      </c>
      <c r="BD4407" s="4">
        <v>43283.254166666666</v>
      </c>
      <c r="BE4407" s="4">
        <v>43283.279548611114</v>
      </c>
      <c r="BF4407" s="4">
        <v>43283.279548611114</v>
      </c>
      <c r="BG4407" t="s">
        <v>83</v>
      </c>
      <c r="BH4407" t="s">
        <v>84</v>
      </c>
      <c r="BI4407" t="s">
        <v>85</v>
      </c>
    </row>
    <row r="4408" spans="1:61" x14ac:dyDescent="0.3">
      <c r="A4408" t="str">
        <f>"200157B0100"</f>
        <v>200157B0100</v>
      </c>
      <c r="B4408" t="s">
        <v>8924</v>
      </c>
      <c r="C4408">
        <v>20</v>
      </c>
      <c r="D4408" t="s">
        <v>79</v>
      </c>
      <c r="E4408">
        <v>21</v>
      </c>
      <c r="F4408" t="s">
        <v>8898</v>
      </c>
      <c r="G4408">
        <v>157</v>
      </c>
      <c r="H4408">
        <v>1</v>
      </c>
      <c r="I4408" t="s">
        <v>81</v>
      </c>
      <c r="J4408">
        <v>0</v>
      </c>
      <c r="K4408">
        <v>2</v>
      </c>
      <c r="L4408">
        <v>2</v>
      </c>
      <c r="M4408">
        <v>193</v>
      </c>
      <c r="N4408">
        <v>505</v>
      </c>
      <c r="O4408">
        <v>2</v>
      </c>
      <c r="P4408">
        <v>503</v>
      </c>
      <c r="Q4408">
        <v>134</v>
      </c>
      <c r="R4408">
        <v>128</v>
      </c>
      <c r="S4408">
        <v>6</v>
      </c>
      <c r="T4408">
        <v>3</v>
      </c>
      <c r="U4408">
        <v>9</v>
      </c>
      <c r="V4408">
        <v>6</v>
      </c>
      <c r="W4408">
        <v>2</v>
      </c>
      <c r="X4408">
        <v>3</v>
      </c>
      <c r="Y4408">
        <v>151</v>
      </c>
      <c r="Z4408">
        <v>9</v>
      </c>
      <c r="AA4408">
        <v>0</v>
      </c>
      <c r="AB4408">
        <v>3</v>
      </c>
      <c r="AC4408">
        <v>1</v>
      </c>
      <c r="AD4408">
        <v>1</v>
      </c>
      <c r="AE4408">
        <v>0</v>
      </c>
      <c r="AF4408">
        <v>0</v>
      </c>
      <c r="AG4408">
        <v>2</v>
      </c>
      <c r="AH4408">
        <v>3</v>
      </c>
      <c r="AI4408">
        <v>0</v>
      </c>
      <c r="AJ4408">
        <v>0</v>
      </c>
      <c r="AK4408">
        <v>3</v>
      </c>
      <c r="AL4408">
        <v>1</v>
      </c>
      <c r="AM4408">
        <v>1</v>
      </c>
      <c r="AN4408">
        <v>3</v>
      </c>
      <c r="AT4408">
        <v>0</v>
      </c>
      <c r="AU4408">
        <v>34</v>
      </c>
      <c r="AV4408">
        <v>503</v>
      </c>
      <c r="AW4408">
        <v>503</v>
      </c>
      <c r="AX4408">
        <v>676</v>
      </c>
      <c r="BA4408">
        <v>1</v>
      </c>
      <c r="BC4408" t="s">
        <v>8925</v>
      </c>
      <c r="BD4408" s="4">
        <v>43283.286111111112</v>
      </c>
      <c r="BE4408" s="4">
        <v>43283.313969907409</v>
      </c>
      <c r="BF4408" s="4">
        <v>43283.313969907409</v>
      </c>
      <c r="BG4408" t="s">
        <v>83</v>
      </c>
      <c r="BH4408" t="s">
        <v>84</v>
      </c>
      <c r="BI4408" t="s">
        <v>85</v>
      </c>
    </row>
    <row r="4409" spans="1:61" x14ac:dyDescent="0.3">
      <c r="A4409" t="str">
        <f>"200157C0100"</f>
        <v>200157C0100</v>
      </c>
      <c r="B4409" t="s">
        <v>8926</v>
      </c>
      <c r="C4409">
        <v>20</v>
      </c>
      <c r="D4409" t="s">
        <v>79</v>
      </c>
      <c r="E4409">
        <v>21</v>
      </c>
      <c r="F4409" t="s">
        <v>8898</v>
      </c>
      <c r="G4409">
        <v>157</v>
      </c>
      <c r="H4409">
        <v>1</v>
      </c>
      <c r="I4409" t="s">
        <v>89</v>
      </c>
      <c r="J4409">
        <v>0</v>
      </c>
      <c r="K4409">
        <v>2</v>
      </c>
      <c r="L4409">
        <v>2</v>
      </c>
      <c r="M4409">
        <v>224</v>
      </c>
      <c r="N4409">
        <v>475</v>
      </c>
      <c r="O4409">
        <v>1</v>
      </c>
      <c r="P4409">
        <v>473</v>
      </c>
      <c r="Q4409">
        <v>103</v>
      </c>
      <c r="R4409">
        <v>143</v>
      </c>
      <c r="S4409">
        <v>7</v>
      </c>
      <c r="T4409">
        <v>4</v>
      </c>
      <c r="U4409">
        <v>3</v>
      </c>
      <c r="V4409">
        <v>2</v>
      </c>
      <c r="W4409">
        <v>2</v>
      </c>
      <c r="X4409">
        <v>3</v>
      </c>
      <c r="Y4409">
        <v>159</v>
      </c>
      <c r="Z4409">
        <v>2</v>
      </c>
      <c r="AA4409">
        <v>2</v>
      </c>
      <c r="AB4409">
        <v>4</v>
      </c>
      <c r="AC4409">
        <v>0</v>
      </c>
      <c r="AD4409">
        <v>1</v>
      </c>
      <c r="AE4409">
        <v>0</v>
      </c>
      <c r="AF4409">
        <v>0</v>
      </c>
      <c r="AG4409">
        <v>3</v>
      </c>
      <c r="AH4409">
        <v>2</v>
      </c>
      <c r="AI4409">
        <v>0</v>
      </c>
      <c r="AJ4409">
        <v>0</v>
      </c>
      <c r="AK4409">
        <v>4</v>
      </c>
      <c r="AL4409">
        <v>1</v>
      </c>
      <c r="AM4409">
        <v>0</v>
      </c>
      <c r="AN4409">
        <v>1</v>
      </c>
      <c r="AT4409">
        <v>0</v>
      </c>
      <c r="AU4409">
        <v>27</v>
      </c>
      <c r="AV4409">
        <v>473</v>
      </c>
      <c r="AW4409">
        <v>473</v>
      </c>
      <c r="AX4409">
        <v>676</v>
      </c>
      <c r="BA4409">
        <v>1</v>
      </c>
      <c r="BC4409" t="s">
        <v>8927</v>
      </c>
      <c r="BD4409" s="4">
        <v>43283.293055555558</v>
      </c>
      <c r="BE4409" s="4">
        <v>43283.31994212963</v>
      </c>
      <c r="BF4409" s="4">
        <v>43283.31994212963</v>
      </c>
      <c r="BG4409" t="s">
        <v>83</v>
      </c>
      <c r="BH4409" t="s">
        <v>84</v>
      </c>
      <c r="BI4409" t="s">
        <v>85</v>
      </c>
    </row>
    <row r="4410" spans="1:61" x14ac:dyDescent="0.3">
      <c r="A4410" t="str">
        <f>"200157C0200"</f>
        <v>200157C0200</v>
      </c>
      <c r="B4410" t="s">
        <v>8928</v>
      </c>
      <c r="C4410">
        <v>20</v>
      </c>
      <c r="D4410" t="s">
        <v>79</v>
      </c>
      <c r="E4410">
        <v>21</v>
      </c>
      <c r="F4410" t="s">
        <v>8898</v>
      </c>
      <c r="G4410">
        <v>157</v>
      </c>
      <c r="H4410">
        <v>2</v>
      </c>
      <c r="I4410" t="s">
        <v>89</v>
      </c>
      <c r="J4410">
        <v>0</v>
      </c>
      <c r="K4410">
        <v>2</v>
      </c>
      <c r="L4410">
        <v>2</v>
      </c>
      <c r="M4410">
        <v>188</v>
      </c>
      <c r="N4410">
        <v>506</v>
      </c>
      <c r="O4410">
        <v>0</v>
      </c>
      <c r="P4410">
        <v>510</v>
      </c>
      <c r="Q4410">
        <v>117</v>
      </c>
      <c r="R4410">
        <v>135</v>
      </c>
      <c r="S4410">
        <v>4</v>
      </c>
      <c r="T4410">
        <v>6</v>
      </c>
      <c r="U4410">
        <v>6</v>
      </c>
      <c r="V4410">
        <v>4</v>
      </c>
      <c r="W4410">
        <v>3</v>
      </c>
      <c r="X4410">
        <v>5</v>
      </c>
      <c r="Y4410">
        <v>183</v>
      </c>
      <c r="Z4410">
        <v>4</v>
      </c>
      <c r="AA4410">
        <v>0</v>
      </c>
      <c r="AB4410">
        <v>6</v>
      </c>
      <c r="AC4410">
        <v>1</v>
      </c>
      <c r="AD4410">
        <v>0</v>
      </c>
      <c r="AE4410">
        <v>0</v>
      </c>
      <c r="AF4410">
        <v>0</v>
      </c>
      <c r="AG4410">
        <v>0</v>
      </c>
      <c r="AH4410">
        <v>2</v>
      </c>
      <c r="AI4410">
        <v>0</v>
      </c>
      <c r="AJ4410">
        <v>0</v>
      </c>
      <c r="AK4410">
        <v>3</v>
      </c>
      <c r="AL4410">
        <v>0</v>
      </c>
      <c r="AM4410">
        <v>0</v>
      </c>
      <c r="AN4410">
        <v>1</v>
      </c>
      <c r="AT4410">
        <v>0</v>
      </c>
      <c r="AU4410">
        <v>31</v>
      </c>
      <c r="AV4410">
        <v>510</v>
      </c>
      <c r="AW4410">
        <v>511</v>
      </c>
      <c r="AX4410">
        <v>676</v>
      </c>
      <c r="BA4410">
        <v>1</v>
      </c>
      <c r="BC4410" t="s">
        <v>8929</v>
      </c>
      <c r="BD4410" s="4">
        <v>43283.369444444441</v>
      </c>
      <c r="BE4410" s="4">
        <v>43283.377824074072</v>
      </c>
      <c r="BF4410" s="4">
        <v>43283.377824074072</v>
      </c>
      <c r="BG4410" t="s">
        <v>83</v>
      </c>
      <c r="BH4410" t="s">
        <v>84</v>
      </c>
      <c r="BI4410" t="s">
        <v>85</v>
      </c>
    </row>
    <row r="4411" spans="1:61" x14ac:dyDescent="0.3">
      <c r="A4411" t="str">
        <f>"200157C0300"</f>
        <v>200157C0300</v>
      </c>
      <c r="B4411" t="s">
        <v>8930</v>
      </c>
      <c r="C4411">
        <v>20</v>
      </c>
      <c r="D4411" t="s">
        <v>79</v>
      </c>
      <c r="E4411">
        <v>21</v>
      </c>
      <c r="F4411" t="s">
        <v>8898</v>
      </c>
      <c r="G4411">
        <v>157</v>
      </c>
      <c r="H4411">
        <v>3</v>
      </c>
      <c r="I4411" t="s">
        <v>89</v>
      </c>
      <c r="J4411">
        <v>0</v>
      </c>
      <c r="K4411">
        <v>2</v>
      </c>
      <c r="L4411">
        <v>2</v>
      </c>
      <c r="M4411">
        <v>230</v>
      </c>
      <c r="N4411">
        <v>469</v>
      </c>
      <c r="O4411">
        <v>1</v>
      </c>
      <c r="P4411">
        <v>469</v>
      </c>
      <c r="Q4411">
        <v>127</v>
      </c>
      <c r="R4411">
        <v>111</v>
      </c>
      <c r="S4411">
        <v>3</v>
      </c>
      <c r="T4411">
        <v>9</v>
      </c>
      <c r="U4411">
        <v>8</v>
      </c>
      <c r="V4411">
        <v>5</v>
      </c>
      <c r="W4411">
        <v>3</v>
      </c>
      <c r="X4411">
        <v>4</v>
      </c>
      <c r="Y4411">
        <v>165</v>
      </c>
      <c r="Z4411">
        <v>2</v>
      </c>
      <c r="AA4411">
        <v>0</v>
      </c>
      <c r="AB4411">
        <v>1</v>
      </c>
      <c r="AC4411">
        <v>1</v>
      </c>
      <c r="AD4411">
        <v>0</v>
      </c>
      <c r="AE4411">
        <v>0</v>
      </c>
      <c r="AF4411">
        <v>0</v>
      </c>
      <c r="AG4411">
        <v>2</v>
      </c>
      <c r="AH4411">
        <v>4</v>
      </c>
      <c r="AI4411">
        <v>0</v>
      </c>
      <c r="AJ4411">
        <v>0</v>
      </c>
      <c r="AK4411">
        <v>0</v>
      </c>
      <c r="AL4411">
        <v>0</v>
      </c>
      <c r="AM4411">
        <v>0</v>
      </c>
      <c r="AN4411">
        <v>1</v>
      </c>
      <c r="AT4411">
        <v>0</v>
      </c>
      <c r="AU4411">
        <v>23</v>
      </c>
      <c r="AV4411">
        <v>469</v>
      </c>
      <c r="AW4411">
        <v>469</v>
      </c>
      <c r="AX4411">
        <v>676</v>
      </c>
      <c r="BA4411">
        <v>1</v>
      </c>
      <c r="BC4411" t="s">
        <v>8931</v>
      </c>
      <c r="BD4411" s="4">
        <v>43283.289583333331</v>
      </c>
      <c r="BE4411" s="4">
        <v>43283.316365740742</v>
      </c>
      <c r="BF4411" s="4">
        <v>43283.316365740742</v>
      </c>
      <c r="BG4411" t="s">
        <v>83</v>
      </c>
      <c r="BH4411" t="s">
        <v>84</v>
      </c>
      <c r="BI4411" t="s">
        <v>85</v>
      </c>
    </row>
    <row r="4412" spans="1:61" x14ac:dyDescent="0.3">
      <c r="A4412" t="str">
        <f>"200158B0100"</f>
        <v>200158B0100</v>
      </c>
      <c r="B4412" t="s">
        <v>8932</v>
      </c>
      <c r="C4412">
        <v>20</v>
      </c>
      <c r="D4412" t="s">
        <v>79</v>
      </c>
      <c r="E4412">
        <v>21</v>
      </c>
      <c r="F4412" t="s">
        <v>8898</v>
      </c>
      <c r="G4412">
        <v>158</v>
      </c>
      <c r="H4412">
        <v>1</v>
      </c>
      <c r="I4412" t="s">
        <v>81</v>
      </c>
      <c r="J4412">
        <v>0</v>
      </c>
      <c r="K4412">
        <v>1</v>
      </c>
      <c r="L4412">
        <v>2</v>
      </c>
      <c r="M4412">
        <v>228</v>
      </c>
      <c r="N4412">
        <v>485</v>
      </c>
      <c r="O4412">
        <v>1</v>
      </c>
      <c r="P4412" t="s">
        <v>315</v>
      </c>
      <c r="Q4412">
        <v>140</v>
      </c>
      <c r="R4412">
        <v>84</v>
      </c>
      <c r="S4412">
        <v>5</v>
      </c>
      <c r="T4412">
        <v>7</v>
      </c>
      <c r="U4412">
        <v>14</v>
      </c>
      <c r="V4412">
        <v>4</v>
      </c>
      <c r="W4412">
        <v>3</v>
      </c>
      <c r="X4412">
        <v>4</v>
      </c>
      <c r="Y4412">
        <v>179</v>
      </c>
      <c r="Z4412">
        <v>5</v>
      </c>
      <c r="AA4412">
        <v>1</v>
      </c>
      <c r="AB4412">
        <v>8</v>
      </c>
      <c r="AC4412">
        <v>0</v>
      </c>
      <c r="AD4412">
        <v>1</v>
      </c>
      <c r="AE4412">
        <v>0</v>
      </c>
      <c r="AF4412">
        <v>0</v>
      </c>
      <c r="AG4412">
        <v>0</v>
      </c>
      <c r="AH4412">
        <v>0</v>
      </c>
      <c r="AI4412">
        <v>0</v>
      </c>
      <c r="AJ4412">
        <v>0</v>
      </c>
      <c r="AK4412">
        <v>0</v>
      </c>
      <c r="AL4412">
        <v>0</v>
      </c>
      <c r="AM4412">
        <v>1</v>
      </c>
      <c r="AN4412">
        <v>1</v>
      </c>
      <c r="AT4412">
        <v>0</v>
      </c>
      <c r="AU4412">
        <v>28</v>
      </c>
      <c r="AV4412">
        <v>485</v>
      </c>
      <c r="AW4412">
        <v>485</v>
      </c>
      <c r="AX4412">
        <v>691</v>
      </c>
      <c r="BA4412">
        <v>1</v>
      </c>
      <c r="BC4412" t="s">
        <v>8933</v>
      </c>
      <c r="BD4412" s="4">
        <v>43283.258333333331</v>
      </c>
      <c r="BE4412" s="4">
        <v>43283.285231481481</v>
      </c>
      <c r="BF4412" s="4">
        <v>43283.285231481481</v>
      </c>
      <c r="BG4412" t="s">
        <v>83</v>
      </c>
      <c r="BH4412" t="s">
        <v>84</v>
      </c>
      <c r="BI4412" t="s">
        <v>85</v>
      </c>
    </row>
    <row r="4413" spans="1:61" x14ac:dyDescent="0.3">
      <c r="A4413" t="str">
        <f>"200158C0100"</f>
        <v>200158C0100</v>
      </c>
      <c r="B4413" t="s">
        <v>8934</v>
      </c>
      <c r="C4413">
        <v>20</v>
      </c>
      <c r="D4413" t="s">
        <v>79</v>
      </c>
      <c r="E4413">
        <v>21</v>
      </c>
      <c r="F4413" t="s">
        <v>8898</v>
      </c>
      <c r="G4413">
        <v>158</v>
      </c>
      <c r="H4413">
        <v>1</v>
      </c>
      <c r="I4413" t="s">
        <v>89</v>
      </c>
      <c r="J4413">
        <v>0</v>
      </c>
      <c r="K4413">
        <v>1</v>
      </c>
      <c r="L4413">
        <v>2</v>
      </c>
      <c r="M4413">
        <v>195</v>
      </c>
      <c r="N4413">
        <v>516</v>
      </c>
      <c r="O4413">
        <v>0</v>
      </c>
      <c r="P4413">
        <v>517</v>
      </c>
      <c r="Q4413">
        <v>128</v>
      </c>
      <c r="R4413">
        <v>94</v>
      </c>
      <c r="S4413">
        <v>1</v>
      </c>
      <c r="T4413">
        <v>6</v>
      </c>
      <c r="U4413">
        <v>10</v>
      </c>
      <c r="V4413">
        <v>6</v>
      </c>
      <c r="W4413">
        <v>4</v>
      </c>
      <c r="X4413">
        <v>3</v>
      </c>
      <c r="Y4413">
        <v>217</v>
      </c>
      <c r="Z4413">
        <v>4</v>
      </c>
      <c r="AA4413">
        <v>2</v>
      </c>
      <c r="AB4413">
        <v>7</v>
      </c>
      <c r="AC4413">
        <v>0</v>
      </c>
      <c r="AD4413">
        <v>0</v>
      </c>
      <c r="AE4413">
        <v>0</v>
      </c>
      <c r="AF4413">
        <v>0</v>
      </c>
      <c r="AG4413">
        <v>1</v>
      </c>
      <c r="AH4413">
        <v>0</v>
      </c>
      <c r="AI4413">
        <v>0</v>
      </c>
      <c r="AJ4413">
        <v>0</v>
      </c>
      <c r="AK4413">
        <v>6</v>
      </c>
      <c r="AL4413">
        <v>0</v>
      </c>
      <c r="AM4413">
        <v>0</v>
      </c>
      <c r="AN4413">
        <v>3</v>
      </c>
      <c r="AT4413" t="s">
        <v>100</v>
      </c>
      <c r="AU4413">
        <v>25</v>
      </c>
      <c r="AV4413">
        <v>517</v>
      </c>
      <c r="AW4413">
        <v>517</v>
      </c>
      <c r="AX4413">
        <v>691</v>
      </c>
      <c r="AZ4413" t="s">
        <v>101</v>
      </c>
      <c r="BA4413">
        <v>1</v>
      </c>
      <c r="BC4413" t="s">
        <v>8935</v>
      </c>
      <c r="BD4413" s="4">
        <v>43283.260416666664</v>
      </c>
      <c r="BE4413" s="4">
        <v>43283.286435185182</v>
      </c>
      <c r="BF4413" s="4">
        <v>43283.286435185182</v>
      </c>
      <c r="BG4413" t="s">
        <v>83</v>
      </c>
      <c r="BH4413" t="s">
        <v>84</v>
      </c>
      <c r="BI4413" t="s">
        <v>85</v>
      </c>
    </row>
    <row r="4414" spans="1:61" x14ac:dyDescent="0.3">
      <c r="A4414" t="str">
        <f>"200158C0200"</f>
        <v>200158C0200</v>
      </c>
      <c r="B4414" t="s">
        <v>8936</v>
      </c>
      <c r="C4414">
        <v>20</v>
      </c>
      <c r="D4414" t="s">
        <v>79</v>
      </c>
      <c r="E4414">
        <v>21</v>
      </c>
      <c r="F4414" t="s">
        <v>8898</v>
      </c>
      <c r="G4414">
        <v>158</v>
      </c>
      <c r="H4414">
        <v>2</v>
      </c>
      <c r="I4414" t="s">
        <v>89</v>
      </c>
      <c r="J4414">
        <v>0</v>
      </c>
      <c r="K4414">
        <v>1</v>
      </c>
      <c r="L4414">
        <v>2</v>
      </c>
      <c r="M4414">
        <v>200</v>
      </c>
      <c r="N4414">
        <v>511</v>
      </c>
      <c r="O4414">
        <v>0</v>
      </c>
      <c r="P4414">
        <v>505</v>
      </c>
      <c r="Q4414">
        <v>145</v>
      </c>
      <c r="R4414">
        <v>95</v>
      </c>
      <c r="S4414">
        <v>3</v>
      </c>
      <c r="T4414">
        <v>3</v>
      </c>
      <c r="U4414">
        <v>19</v>
      </c>
      <c r="V4414">
        <v>6</v>
      </c>
      <c r="W4414">
        <v>2</v>
      </c>
      <c r="X4414">
        <v>2</v>
      </c>
      <c r="Y4414">
        <v>209</v>
      </c>
      <c r="Z4414">
        <v>9</v>
      </c>
      <c r="AA4414">
        <v>1</v>
      </c>
      <c r="AB4414">
        <v>6</v>
      </c>
      <c r="AC4414">
        <v>0</v>
      </c>
      <c r="AD4414">
        <v>1</v>
      </c>
      <c r="AE4414">
        <v>0</v>
      </c>
      <c r="AF4414">
        <v>0</v>
      </c>
      <c r="AG4414">
        <v>2</v>
      </c>
      <c r="AH4414">
        <v>2</v>
      </c>
      <c r="AI4414">
        <v>0</v>
      </c>
      <c r="AJ4414">
        <v>0</v>
      </c>
      <c r="AK4414">
        <v>2</v>
      </c>
      <c r="AL4414">
        <v>19</v>
      </c>
      <c r="AM4414">
        <v>2</v>
      </c>
      <c r="AN4414">
        <v>5</v>
      </c>
      <c r="AT4414">
        <v>0</v>
      </c>
      <c r="AU4414">
        <v>25</v>
      </c>
      <c r="AV4414">
        <v>505</v>
      </c>
      <c r="AW4414">
        <v>558</v>
      </c>
      <c r="AX4414">
        <v>690</v>
      </c>
      <c r="BA4414">
        <v>1</v>
      </c>
      <c r="BC4414" t="s">
        <v>8937</v>
      </c>
      <c r="BD4414" s="4">
        <v>43283.26666666667</v>
      </c>
      <c r="BE4414" s="4">
        <v>43283.29346064815</v>
      </c>
      <c r="BF4414" s="4">
        <v>43283.29346064815</v>
      </c>
      <c r="BG4414" t="s">
        <v>83</v>
      </c>
      <c r="BH4414" t="s">
        <v>84</v>
      </c>
      <c r="BI4414" t="s">
        <v>85</v>
      </c>
    </row>
    <row r="4415" spans="1:61" x14ac:dyDescent="0.3">
      <c r="A4415" t="str">
        <f>"200159B0100"</f>
        <v>200159B0100</v>
      </c>
      <c r="B4415" t="s">
        <v>8938</v>
      </c>
      <c r="C4415">
        <v>20</v>
      </c>
      <c r="D4415" t="s">
        <v>79</v>
      </c>
      <c r="E4415">
        <v>21</v>
      </c>
      <c r="F4415" t="s">
        <v>8898</v>
      </c>
      <c r="G4415">
        <v>159</v>
      </c>
      <c r="H4415">
        <v>1</v>
      </c>
      <c r="I4415" t="s">
        <v>81</v>
      </c>
      <c r="J4415">
        <v>0</v>
      </c>
      <c r="K4415">
        <v>1</v>
      </c>
      <c r="L4415">
        <v>2</v>
      </c>
      <c r="M4415">
        <v>159</v>
      </c>
      <c r="N4415">
        <v>394</v>
      </c>
      <c r="O4415">
        <v>0</v>
      </c>
      <c r="P4415">
        <v>395</v>
      </c>
      <c r="Q4415">
        <v>116</v>
      </c>
      <c r="R4415">
        <v>83</v>
      </c>
      <c r="S4415">
        <v>1</v>
      </c>
      <c r="T4415">
        <v>7</v>
      </c>
      <c r="U4415">
        <v>4</v>
      </c>
      <c r="V4415">
        <v>3</v>
      </c>
      <c r="W4415">
        <v>5</v>
      </c>
      <c r="X4415">
        <v>1</v>
      </c>
      <c r="Y4415">
        <v>136</v>
      </c>
      <c r="Z4415">
        <v>2</v>
      </c>
      <c r="AA4415">
        <v>0</v>
      </c>
      <c r="AB4415">
        <v>8</v>
      </c>
      <c r="AC4415">
        <v>0</v>
      </c>
      <c r="AD4415">
        <v>0</v>
      </c>
      <c r="AE4415">
        <v>0</v>
      </c>
      <c r="AF4415">
        <v>0</v>
      </c>
      <c r="AG4415">
        <v>0</v>
      </c>
      <c r="AH4415">
        <v>2</v>
      </c>
      <c r="AI4415">
        <v>0</v>
      </c>
      <c r="AJ4415">
        <v>0</v>
      </c>
      <c r="AK4415">
        <v>5</v>
      </c>
      <c r="AL4415">
        <v>1</v>
      </c>
      <c r="AM4415">
        <v>2</v>
      </c>
      <c r="AN4415">
        <v>0</v>
      </c>
      <c r="AT4415">
        <v>0</v>
      </c>
      <c r="AU4415">
        <v>19</v>
      </c>
      <c r="AV4415">
        <v>395</v>
      </c>
      <c r="AW4415">
        <v>395</v>
      </c>
      <c r="AX4415">
        <v>531</v>
      </c>
      <c r="BA4415">
        <v>1</v>
      </c>
      <c r="BC4415" t="s">
        <v>8939</v>
      </c>
      <c r="BD4415" s="4">
        <v>43283.181944444441</v>
      </c>
      <c r="BE4415" s="4">
        <v>43283.199363425927</v>
      </c>
      <c r="BF4415" s="4">
        <v>43283.199363425927</v>
      </c>
      <c r="BG4415" t="s">
        <v>83</v>
      </c>
      <c r="BH4415" t="s">
        <v>84</v>
      </c>
      <c r="BI4415" t="s">
        <v>85</v>
      </c>
    </row>
    <row r="4416" spans="1:61" x14ac:dyDescent="0.3">
      <c r="A4416" t="str">
        <f>"200159C0100"</f>
        <v>200159C0100</v>
      </c>
      <c r="B4416" t="s">
        <v>8940</v>
      </c>
      <c r="C4416">
        <v>20</v>
      </c>
      <c r="D4416" t="s">
        <v>79</v>
      </c>
      <c r="E4416">
        <v>21</v>
      </c>
      <c r="F4416" t="s">
        <v>8898</v>
      </c>
      <c r="G4416">
        <v>159</v>
      </c>
      <c r="H4416">
        <v>1</v>
      </c>
      <c r="I4416" t="s">
        <v>89</v>
      </c>
      <c r="J4416">
        <v>0</v>
      </c>
      <c r="K4416">
        <v>1</v>
      </c>
      <c r="L4416">
        <v>2</v>
      </c>
      <c r="M4416">
        <v>145</v>
      </c>
      <c r="N4416">
        <v>407</v>
      </c>
      <c r="O4416">
        <v>0</v>
      </c>
      <c r="P4416">
        <v>403</v>
      </c>
      <c r="Q4416">
        <v>102</v>
      </c>
      <c r="R4416">
        <v>70</v>
      </c>
      <c r="S4416">
        <v>3</v>
      </c>
      <c r="T4416">
        <v>8</v>
      </c>
      <c r="U4416">
        <v>5</v>
      </c>
      <c r="V4416">
        <v>5</v>
      </c>
      <c r="W4416">
        <v>4</v>
      </c>
      <c r="X4416">
        <v>5</v>
      </c>
      <c r="Y4416">
        <v>172</v>
      </c>
      <c r="Z4416">
        <v>3</v>
      </c>
      <c r="AA4416">
        <v>0</v>
      </c>
      <c r="AB4416">
        <v>1</v>
      </c>
      <c r="AC4416">
        <v>0</v>
      </c>
      <c r="AD4416">
        <v>0</v>
      </c>
      <c r="AE4416">
        <v>0</v>
      </c>
      <c r="AF4416">
        <v>0</v>
      </c>
      <c r="AG4416">
        <v>0</v>
      </c>
      <c r="AH4416">
        <v>2</v>
      </c>
      <c r="AI4416">
        <v>0</v>
      </c>
      <c r="AJ4416">
        <v>0</v>
      </c>
      <c r="AK4416">
        <v>2</v>
      </c>
      <c r="AL4416">
        <v>0</v>
      </c>
      <c r="AM4416">
        <v>0</v>
      </c>
      <c r="AN4416">
        <v>0</v>
      </c>
      <c r="AT4416">
        <v>0</v>
      </c>
      <c r="AU4416">
        <v>21</v>
      </c>
      <c r="AV4416">
        <v>403</v>
      </c>
      <c r="AW4416">
        <v>403</v>
      </c>
      <c r="AX4416">
        <v>530</v>
      </c>
      <c r="BA4416">
        <v>1</v>
      </c>
      <c r="BC4416" t="s">
        <v>8941</v>
      </c>
      <c r="BD4416" s="4">
        <v>43283.175000000003</v>
      </c>
      <c r="BE4416" s="4">
        <v>43283.194189814814</v>
      </c>
      <c r="BF4416" s="4">
        <v>43283.194189814814</v>
      </c>
      <c r="BG4416" t="s">
        <v>83</v>
      </c>
      <c r="BH4416" t="s">
        <v>84</v>
      </c>
      <c r="BI4416" t="s">
        <v>85</v>
      </c>
    </row>
    <row r="4417" spans="1:61" x14ac:dyDescent="0.3">
      <c r="A4417" t="str">
        <f>"200160B0100"</f>
        <v>200160B0100</v>
      </c>
      <c r="B4417" t="s">
        <v>8942</v>
      </c>
      <c r="C4417">
        <v>20</v>
      </c>
      <c r="D4417" t="s">
        <v>79</v>
      </c>
      <c r="E4417">
        <v>21</v>
      </c>
      <c r="F4417" t="s">
        <v>8898</v>
      </c>
      <c r="G4417">
        <v>160</v>
      </c>
      <c r="H4417">
        <v>1</v>
      </c>
      <c r="I4417" t="s">
        <v>81</v>
      </c>
      <c r="J4417">
        <v>0</v>
      </c>
      <c r="K4417">
        <v>2</v>
      </c>
      <c r="L4417">
        <v>2</v>
      </c>
      <c r="M4417">
        <v>171</v>
      </c>
      <c r="N4417">
        <v>457</v>
      </c>
      <c r="O4417">
        <v>0</v>
      </c>
      <c r="P4417">
        <v>455</v>
      </c>
      <c r="Q4417">
        <v>119</v>
      </c>
      <c r="R4417">
        <v>131</v>
      </c>
      <c r="S4417">
        <v>3</v>
      </c>
      <c r="T4417">
        <v>11</v>
      </c>
      <c r="U4417">
        <v>6</v>
      </c>
      <c r="V4417">
        <v>4</v>
      </c>
      <c r="W4417">
        <v>4</v>
      </c>
      <c r="X4417">
        <v>1</v>
      </c>
      <c r="Y4417">
        <v>140</v>
      </c>
      <c r="Z4417">
        <v>3</v>
      </c>
      <c r="AA4417">
        <v>1</v>
      </c>
      <c r="AB4417">
        <v>2</v>
      </c>
      <c r="AC4417">
        <v>2</v>
      </c>
      <c r="AD4417">
        <v>0</v>
      </c>
      <c r="AE4417">
        <v>0</v>
      </c>
      <c r="AF4417">
        <v>0</v>
      </c>
      <c r="AG4417">
        <v>0</v>
      </c>
      <c r="AH4417">
        <v>2</v>
      </c>
      <c r="AI4417">
        <v>0</v>
      </c>
      <c r="AJ4417">
        <v>0</v>
      </c>
      <c r="AK4417">
        <v>1</v>
      </c>
      <c r="AL4417">
        <v>0</v>
      </c>
      <c r="AM4417">
        <v>0</v>
      </c>
      <c r="AN4417">
        <v>1</v>
      </c>
      <c r="AT4417">
        <v>0</v>
      </c>
      <c r="AU4417">
        <v>24</v>
      </c>
      <c r="AV4417">
        <v>455</v>
      </c>
      <c r="AW4417">
        <v>455</v>
      </c>
      <c r="AX4417">
        <v>605</v>
      </c>
      <c r="BA4417">
        <v>1</v>
      </c>
      <c r="BC4417" t="s">
        <v>8943</v>
      </c>
      <c r="BD4417" s="4">
        <v>43283.094444444447</v>
      </c>
      <c r="BE4417" s="4">
        <v>43283.106574074074</v>
      </c>
      <c r="BF4417" s="4">
        <v>43283.106574074074</v>
      </c>
      <c r="BG4417" t="s">
        <v>83</v>
      </c>
      <c r="BH4417" t="s">
        <v>84</v>
      </c>
      <c r="BI4417" t="s">
        <v>85</v>
      </c>
    </row>
    <row r="4418" spans="1:61" x14ac:dyDescent="0.3">
      <c r="A4418" t="str">
        <f>"200160C0100"</f>
        <v>200160C0100</v>
      </c>
      <c r="B4418" t="s">
        <v>8944</v>
      </c>
      <c r="C4418">
        <v>20</v>
      </c>
      <c r="D4418" t="s">
        <v>79</v>
      </c>
      <c r="E4418">
        <v>21</v>
      </c>
      <c r="F4418" t="s">
        <v>8898</v>
      </c>
      <c r="G4418">
        <v>160</v>
      </c>
      <c r="H4418">
        <v>1</v>
      </c>
      <c r="I4418" t="s">
        <v>89</v>
      </c>
      <c r="J4418">
        <v>0</v>
      </c>
      <c r="K4418">
        <v>2</v>
      </c>
      <c r="L4418">
        <v>2</v>
      </c>
      <c r="M4418">
        <v>172</v>
      </c>
      <c r="N4418">
        <v>453</v>
      </c>
      <c r="O4418">
        <v>2</v>
      </c>
      <c r="P4418">
        <v>453</v>
      </c>
      <c r="Q4418">
        <v>105</v>
      </c>
      <c r="R4418">
        <v>122</v>
      </c>
      <c r="S4418">
        <v>2</v>
      </c>
      <c r="T4418">
        <v>8</v>
      </c>
      <c r="U4418">
        <v>4</v>
      </c>
      <c r="V4418">
        <v>5</v>
      </c>
      <c r="W4418">
        <v>2</v>
      </c>
      <c r="X4418">
        <v>5</v>
      </c>
      <c r="Y4418">
        <v>143</v>
      </c>
      <c r="Z4418">
        <v>7</v>
      </c>
      <c r="AA4418">
        <v>1</v>
      </c>
      <c r="AB4418">
        <v>6</v>
      </c>
      <c r="AC4418">
        <v>0</v>
      </c>
      <c r="AD4418">
        <v>2</v>
      </c>
      <c r="AE4418">
        <v>2</v>
      </c>
      <c r="AF4418">
        <v>0</v>
      </c>
      <c r="AG4418">
        <v>2</v>
      </c>
      <c r="AH4418">
        <v>2</v>
      </c>
      <c r="AI4418">
        <v>0</v>
      </c>
      <c r="AJ4418">
        <v>0</v>
      </c>
      <c r="AK4418">
        <v>3</v>
      </c>
      <c r="AL4418">
        <v>0</v>
      </c>
      <c r="AM4418">
        <v>0</v>
      </c>
      <c r="AN4418">
        <v>2</v>
      </c>
      <c r="AT4418">
        <v>0</v>
      </c>
      <c r="AU4418">
        <v>30</v>
      </c>
      <c r="AV4418">
        <v>453</v>
      </c>
      <c r="AW4418">
        <v>453</v>
      </c>
      <c r="AX4418">
        <v>604</v>
      </c>
      <c r="BA4418">
        <v>1</v>
      </c>
      <c r="BC4418" t="s">
        <v>8945</v>
      </c>
      <c r="BD4418" s="4">
        <v>43283.100694444445</v>
      </c>
      <c r="BE4418" s="4">
        <v>43283.105034722219</v>
      </c>
      <c r="BF4418" s="4">
        <v>43283.105034722219</v>
      </c>
      <c r="BG4418" t="s">
        <v>83</v>
      </c>
      <c r="BH4418" t="s">
        <v>84</v>
      </c>
      <c r="BI4418" t="s">
        <v>85</v>
      </c>
    </row>
    <row r="4419" spans="1:61" x14ac:dyDescent="0.3">
      <c r="A4419" t="str">
        <f>"200160C0200"</f>
        <v>200160C0200</v>
      </c>
      <c r="B4419" t="s">
        <v>8946</v>
      </c>
      <c r="C4419">
        <v>20</v>
      </c>
      <c r="D4419" t="s">
        <v>79</v>
      </c>
      <c r="E4419">
        <v>21</v>
      </c>
      <c r="F4419" t="s">
        <v>8898</v>
      </c>
      <c r="G4419">
        <v>160</v>
      </c>
      <c r="H4419">
        <v>2</v>
      </c>
      <c r="I4419" t="s">
        <v>89</v>
      </c>
      <c r="J4419">
        <v>0</v>
      </c>
      <c r="K4419">
        <v>2</v>
      </c>
      <c r="L4419">
        <v>2</v>
      </c>
      <c r="M4419">
        <v>146</v>
      </c>
      <c r="N4419">
        <v>481</v>
      </c>
      <c r="O4419">
        <v>5</v>
      </c>
      <c r="P4419">
        <v>481</v>
      </c>
      <c r="Q4419">
        <v>122</v>
      </c>
      <c r="R4419">
        <v>131</v>
      </c>
      <c r="S4419">
        <v>3</v>
      </c>
      <c r="T4419">
        <v>4</v>
      </c>
      <c r="U4419">
        <v>8</v>
      </c>
      <c r="V4419">
        <v>3</v>
      </c>
      <c r="W4419">
        <v>2</v>
      </c>
      <c r="X4419">
        <v>6</v>
      </c>
      <c r="Y4419">
        <v>145</v>
      </c>
      <c r="Z4419">
        <v>8</v>
      </c>
      <c r="AA4419">
        <v>2</v>
      </c>
      <c r="AB4419">
        <v>13</v>
      </c>
      <c r="AC4419">
        <v>0</v>
      </c>
      <c r="AD4419">
        <v>1</v>
      </c>
      <c r="AE4419">
        <v>0</v>
      </c>
      <c r="AF4419">
        <v>0</v>
      </c>
      <c r="AG4419">
        <v>1</v>
      </c>
      <c r="AH4419">
        <v>3</v>
      </c>
      <c r="AI4419">
        <v>1</v>
      </c>
      <c r="AJ4419">
        <v>0</v>
      </c>
      <c r="AK4419">
        <v>0</v>
      </c>
      <c r="AL4419">
        <v>0</v>
      </c>
      <c r="AM4419">
        <v>0</v>
      </c>
      <c r="AN4419">
        <v>1</v>
      </c>
      <c r="AT4419">
        <v>1</v>
      </c>
      <c r="AU4419">
        <v>25</v>
      </c>
      <c r="AV4419">
        <v>480</v>
      </c>
      <c r="AW4419">
        <v>480</v>
      </c>
      <c r="AX4419">
        <v>604</v>
      </c>
      <c r="BA4419">
        <v>1</v>
      </c>
      <c r="BC4419" t="s">
        <v>8947</v>
      </c>
      <c r="BD4419" s="4">
        <v>43283.102083333331</v>
      </c>
      <c r="BE4419" s="4">
        <v>43283.105682870373</v>
      </c>
      <c r="BF4419" s="4">
        <v>43283.105682870373</v>
      </c>
      <c r="BG4419" t="s">
        <v>83</v>
      </c>
      <c r="BH4419" t="s">
        <v>84</v>
      </c>
      <c r="BI4419" t="s">
        <v>85</v>
      </c>
    </row>
    <row r="4420" spans="1:61" x14ac:dyDescent="0.3">
      <c r="A4420" t="str">
        <f>"200160S0100"</f>
        <v>200160S0100</v>
      </c>
      <c r="B4420" t="s">
        <v>8948</v>
      </c>
      <c r="C4420">
        <v>20</v>
      </c>
      <c r="D4420" t="s">
        <v>79</v>
      </c>
      <c r="E4420">
        <v>21</v>
      </c>
      <c r="F4420" t="s">
        <v>8898</v>
      </c>
      <c r="G4420">
        <v>160</v>
      </c>
      <c r="H4420">
        <v>1</v>
      </c>
      <c r="I4420" t="s">
        <v>104</v>
      </c>
      <c r="J4420">
        <v>0</v>
      </c>
      <c r="K4420">
        <v>2</v>
      </c>
      <c r="L4420">
        <v>3</v>
      </c>
      <c r="M4420">
        <v>417</v>
      </c>
      <c r="N4420">
        <v>85</v>
      </c>
      <c r="O4420">
        <v>0</v>
      </c>
      <c r="P4420">
        <v>84</v>
      </c>
      <c r="Q4420">
        <v>16</v>
      </c>
      <c r="R4420">
        <v>22</v>
      </c>
      <c r="S4420">
        <v>0</v>
      </c>
      <c r="T4420">
        <v>3</v>
      </c>
      <c r="U4420">
        <v>2</v>
      </c>
      <c r="V4420">
        <v>1</v>
      </c>
      <c r="W4420">
        <v>1</v>
      </c>
      <c r="X4420">
        <v>0</v>
      </c>
      <c r="Y4420">
        <v>33</v>
      </c>
      <c r="Z4420">
        <v>0</v>
      </c>
      <c r="AA4420">
        <v>0</v>
      </c>
      <c r="AB4420">
        <v>0</v>
      </c>
      <c r="AC4420">
        <v>0</v>
      </c>
      <c r="AD4420">
        <v>0</v>
      </c>
      <c r="AE4420">
        <v>0</v>
      </c>
      <c r="AF4420">
        <v>0</v>
      </c>
      <c r="AG4420">
        <v>0</v>
      </c>
      <c r="AH4420">
        <v>2</v>
      </c>
      <c r="AI4420">
        <v>0</v>
      </c>
      <c r="AJ4420">
        <v>0</v>
      </c>
      <c r="AK4420">
        <v>0</v>
      </c>
      <c r="AL4420">
        <v>0</v>
      </c>
      <c r="AM4420">
        <v>0</v>
      </c>
      <c r="AN4420">
        <v>0</v>
      </c>
      <c r="AT4420">
        <v>0</v>
      </c>
      <c r="AU4420">
        <v>4</v>
      </c>
      <c r="AV4420">
        <v>84</v>
      </c>
      <c r="AW4420">
        <v>84</v>
      </c>
      <c r="AX4420">
        <v>0</v>
      </c>
      <c r="BA4420">
        <v>1</v>
      </c>
      <c r="BC4420" t="s">
        <v>8949</v>
      </c>
      <c r="BD4420" s="4">
        <v>43283.107638888891</v>
      </c>
      <c r="BE4420" s="4">
        <v>43283.114178240743</v>
      </c>
      <c r="BF4420" s="4">
        <v>43283.114178240743</v>
      </c>
      <c r="BG4420" t="s">
        <v>83</v>
      </c>
      <c r="BH4420" t="s">
        <v>84</v>
      </c>
      <c r="BI4420" t="s">
        <v>85</v>
      </c>
    </row>
    <row r="4421" spans="1:61" x14ac:dyDescent="0.3">
      <c r="A4421" t="str">
        <f>"200161B0100"</f>
        <v>200161B0100</v>
      </c>
      <c r="B4421" t="s">
        <v>8950</v>
      </c>
      <c r="C4421">
        <v>20</v>
      </c>
      <c r="D4421" t="s">
        <v>79</v>
      </c>
      <c r="E4421">
        <v>21</v>
      </c>
      <c r="F4421" t="s">
        <v>8898</v>
      </c>
      <c r="G4421">
        <v>161</v>
      </c>
      <c r="H4421">
        <v>1</v>
      </c>
      <c r="I4421" t="s">
        <v>81</v>
      </c>
      <c r="J4421">
        <v>0</v>
      </c>
      <c r="K4421">
        <v>2</v>
      </c>
      <c r="L4421">
        <v>2</v>
      </c>
      <c r="M4421">
        <v>188</v>
      </c>
      <c r="N4421">
        <v>431</v>
      </c>
      <c r="O4421">
        <v>0</v>
      </c>
      <c r="P4421">
        <v>431</v>
      </c>
      <c r="Q4421">
        <v>121</v>
      </c>
      <c r="R4421">
        <v>87</v>
      </c>
      <c r="S4421">
        <v>0</v>
      </c>
      <c r="T4421">
        <v>2</v>
      </c>
      <c r="U4421">
        <v>10</v>
      </c>
      <c r="V4421">
        <v>1</v>
      </c>
      <c r="W4421">
        <v>2</v>
      </c>
      <c r="X4421">
        <v>144</v>
      </c>
      <c r="Y4421">
        <v>11</v>
      </c>
      <c r="Z4421">
        <v>2</v>
      </c>
      <c r="AA4421">
        <v>2</v>
      </c>
      <c r="AB4421">
        <v>1</v>
      </c>
      <c r="AC4421">
        <v>0</v>
      </c>
      <c r="AD4421">
        <v>0</v>
      </c>
      <c r="AE4421">
        <v>0</v>
      </c>
      <c r="AF4421">
        <v>0</v>
      </c>
      <c r="AG4421">
        <v>0</v>
      </c>
      <c r="AH4421">
        <v>0</v>
      </c>
      <c r="AI4421">
        <v>0</v>
      </c>
      <c r="AJ4421">
        <v>0</v>
      </c>
      <c r="AK4421">
        <v>3</v>
      </c>
      <c r="AL4421">
        <v>1</v>
      </c>
      <c r="AM4421">
        <v>1</v>
      </c>
      <c r="AN4421">
        <v>0</v>
      </c>
      <c r="AT4421">
        <v>0</v>
      </c>
      <c r="AU4421">
        <v>23</v>
      </c>
      <c r="AV4421">
        <v>43</v>
      </c>
      <c r="AW4421">
        <v>411</v>
      </c>
      <c r="AX4421">
        <v>597</v>
      </c>
      <c r="BA4421">
        <v>1</v>
      </c>
      <c r="BC4421" t="s">
        <v>8951</v>
      </c>
      <c r="BD4421" s="4">
        <v>43283.245138888888</v>
      </c>
      <c r="BE4421" s="4">
        <v>43283.268541666665</v>
      </c>
      <c r="BF4421" s="4">
        <v>43283.268541666665</v>
      </c>
      <c r="BG4421" t="s">
        <v>83</v>
      </c>
      <c r="BH4421" t="s">
        <v>84</v>
      </c>
      <c r="BI4421" t="s">
        <v>85</v>
      </c>
    </row>
    <row r="4422" spans="1:61" x14ac:dyDescent="0.3">
      <c r="A4422" t="str">
        <f>"200161C0100"</f>
        <v>200161C0100</v>
      </c>
      <c r="B4422" t="s">
        <v>8952</v>
      </c>
      <c r="C4422">
        <v>20</v>
      </c>
      <c r="D4422" t="s">
        <v>79</v>
      </c>
      <c r="E4422">
        <v>21</v>
      </c>
      <c r="F4422" t="s">
        <v>8898</v>
      </c>
      <c r="G4422">
        <v>161</v>
      </c>
      <c r="H4422">
        <v>1</v>
      </c>
      <c r="I4422" t="s">
        <v>89</v>
      </c>
      <c r="J4422">
        <v>0</v>
      </c>
      <c r="K4422">
        <v>2</v>
      </c>
      <c r="L4422">
        <v>2</v>
      </c>
      <c r="M4422">
        <v>177</v>
      </c>
      <c r="N4422">
        <v>445</v>
      </c>
      <c r="O4422">
        <v>3</v>
      </c>
      <c r="P4422">
        <v>445</v>
      </c>
      <c r="Q4422">
        <v>166</v>
      </c>
      <c r="R4422">
        <v>63</v>
      </c>
      <c r="S4422">
        <v>4</v>
      </c>
      <c r="T4422">
        <v>1</v>
      </c>
      <c r="U4422">
        <v>9</v>
      </c>
      <c r="V4422">
        <v>3</v>
      </c>
      <c r="W4422">
        <v>1</v>
      </c>
      <c r="X4422">
        <v>2</v>
      </c>
      <c r="Y4422">
        <v>146</v>
      </c>
      <c r="Z4422">
        <v>0</v>
      </c>
      <c r="AA4422">
        <v>3</v>
      </c>
      <c r="AB4422">
        <v>5</v>
      </c>
      <c r="AC4422">
        <v>1</v>
      </c>
      <c r="AD4422">
        <v>1</v>
      </c>
      <c r="AE4422">
        <v>1</v>
      </c>
      <c r="AF4422">
        <v>0</v>
      </c>
      <c r="AG4422">
        <v>1</v>
      </c>
      <c r="AH4422">
        <v>1</v>
      </c>
      <c r="AI4422">
        <v>0</v>
      </c>
      <c r="AJ4422">
        <v>0</v>
      </c>
      <c r="AK4422">
        <v>4</v>
      </c>
      <c r="AL4422">
        <v>0</v>
      </c>
      <c r="AM4422">
        <v>0</v>
      </c>
      <c r="AN4422">
        <v>1</v>
      </c>
      <c r="AT4422">
        <v>0</v>
      </c>
      <c r="AU4422">
        <v>23</v>
      </c>
      <c r="AV4422">
        <v>276</v>
      </c>
      <c r="AW4422">
        <v>436</v>
      </c>
      <c r="AX4422">
        <v>597</v>
      </c>
      <c r="BA4422">
        <v>1</v>
      </c>
      <c r="BC4422" t="s">
        <v>8953</v>
      </c>
      <c r="BD4422" s="4">
        <v>43283.248611111114</v>
      </c>
      <c r="BE4422" s="4">
        <v>43283.274560185186</v>
      </c>
      <c r="BF4422" s="4">
        <v>43283.274560185186</v>
      </c>
      <c r="BG4422" t="s">
        <v>83</v>
      </c>
      <c r="BH4422" t="s">
        <v>84</v>
      </c>
      <c r="BI4422" t="s">
        <v>85</v>
      </c>
    </row>
    <row r="4423" spans="1:61" x14ac:dyDescent="0.3">
      <c r="A4423" t="str">
        <f>"200162B0100"</f>
        <v>200162B0100</v>
      </c>
      <c r="B4423" t="s">
        <v>8954</v>
      </c>
      <c r="C4423">
        <v>20</v>
      </c>
      <c r="D4423" t="s">
        <v>79</v>
      </c>
      <c r="E4423">
        <v>21</v>
      </c>
      <c r="F4423" t="s">
        <v>8898</v>
      </c>
      <c r="G4423">
        <v>162</v>
      </c>
      <c r="H4423">
        <v>1</v>
      </c>
      <c r="I4423" t="s">
        <v>81</v>
      </c>
      <c r="J4423">
        <v>0</v>
      </c>
      <c r="K4423">
        <v>2</v>
      </c>
      <c r="L4423">
        <v>2</v>
      </c>
      <c r="M4423">
        <v>122</v>
      </c>
      <c r="N4423">
        <v>147</v>
      </c>
      <c r="O4423">
        <v>0</v>
      </c>
      <c r="P4423">
        <v>147</v>
      </c>
      <c r="Q4423">
        <v>62</v>
      </c>
      <c r="R4423">
        <v>17</v>
      </c>
      <c r="S4423">
        <v>2</v>
      </c>
      <c r="T4423">
        <v>4</v>
      </c>
      <c r="U4423">
        <v>5</v>
      </c>
      <c r="V4423">
        <v>2</v>
      </c>
      <c r="W4423">
        <v>0</v>
      </c>
      <c r="X4423">
        <v>2</v>
      </c>
      <c r="Y4423">
        <v>40</v>
      </c>
      <c r="Z4423">
        <v>3</v>
      </c>
      <c r="AA4423">
        <v>1</v>
      </c>
      <c r="AB4423">
        <v>3</v>
      </c>
      <c r="AC4423">
        <v>0</v>
      </c>
      <c r="AD4423">
        <v>0</v>
      </c>
      <c r="AE4423">
        <v>0</v>
      </c>
      <c r="AF4423">
        <v>0</v>
      </c>
      <c r="AG4423">
        <v>0</v>
      </c>
      <c r="AH4423">
        <v>0</v>
      </c>
      <c r="AI4423">
        <v>0</v>
      </c>
      <c r="AJ4423">
        <v>0</v>
      </c>
      <c r="AK4423">
        <v>0</v>
      </c>
      <c r="AL4423">
        <v>0</v>
      </c>
      <c r="AM4423">
        <v>0</v>
      </c>
      <c r="AN4423">
        <v>0</v>
      </c>
      <c r="AT4423">
        <v>0</v>
      </c>
      <c r="AU4423">
        <v>6</v>
      </c>
      <c r="AV4423">
        <v>147</v>
      </c>
      <c r="AW4423">
        <v>147</v>
      </c>
      <c r="AX4423">
        <v>247</v>
      </c>
      <c r="BA4423">
        <v>1</v>
      </c>
      <c r="BC4423" t="s">
        <v>8955</v>
      </c>
      <c r="BD4423" s="4">
        <v>43283.199305555558</v>
      </c>
      <c r="BE4423" s="4">
        <v>43283.216331018521</v>
      </c>
      <c r="BF4423" s="4">
        <v>43283.216331018521</v>
      </c>
      <c r="BG4423" t="s">
        <v>83</v>
      </c>
      <c r="BH4423" t="s">
        <v>84</v>
      </c>
      <c r="BI4423" t="s">
        <v>85</v>
      </c>
    </row>
    <row r="4424" spans="1:61" x14ac:dyDescent="0.3">
      <c r="A4424" t="str">
        <f>"200163B0100"</f>
        <v>200163B0100</v>
      </c>
      <c r="B4424" t="s">
        <v>8956</v>
      </c>
      <c r="C4424">
        <v>20</v>
      </c>
      <c r="D4424" t="s">
        <v>79</v>
      </c>
      <c r="E4424">
        <v>21</v>
      </c>
      <c r="F4424" t="s">
        <v>8898</v>
      </c>
      <c r="G4424">
        <v>163</v>
      </c>
      <c r="H4424">
        <v>1</v>
      </c>
      <c r="I4424" t="s">
        <v>81</v>
      </c>
      <c r="J4424">
        <v>0</v>
      </c>
      <c r="K4424">
        <v>2</v>
      </c>
      <c r="L4424">
        <v>2</v>
      </c>
      <c r="M4424">
        <v>76</v>
      </c>
      <c r="N4424">
        <v>165</v>
      </c>
      <c r="O4424">
        <v>0</v>
      </c>
      <c r="P4424">
        <v>164</v>
      </c>
      <c r="Q4424">
        <v>62</v>
      </c>
      <c r="R4424">
        <v>27</v>
      </c>
      <c r="S4424">
        <v>2</v>
      </c>
      <c r="T4424">
        <v>2</v>
      </c>
      <c r="U4424">
        <v>3</v>
      </c>
      <c r="V4424">
        <v>0</v>
      </c>
      <c r="W4424">
        <v>0</v>
      </c>
      <c r="X4424">
        <v>0</v>
      </c>
      <c r="Y4424">
        <v>60</v>
      </c>
      <c r="Z4424">
        <v>0</v>
      </c>
      <c r="AA4424">
        <v>1</v>
      </c>
      <c r="AB4424">
        <v>1</v>
      </c>
      <c r="AC4424">
        <v>0</v>
      </c>
      <c r="AD4424">
        <v>0</v>
      </c>
      <c r="AE4424">
        <v>0</v>
      </c>
      <c r="AF4424">
        <v>0</v>
      </c>
      <c r="AG4424">
        <v>0</v>
      </c>
      <c r="AH4424">
        <v>0</v>
      </c>
      <c r="AI4424">
        <v>0</v>
      </c>
      <c r="AJ4424">
        <v>0</v>
      </c>
      <c r="AK4424">
        <v>0</v>
      </c>
      <c r="AL4424">
        <v>0</v>
      </c>
      <c r="AM4424">
        <v>0</v>
      </c>
      <c r="AN4424">
        <v>0</v>
      </c>
      <c r="AT4424">
        <v>0</v>
      </c>
      <c r="AU4424">
        <v>7</v>
      </c>
      <c r="AV4424">
        <v>165</v>
      </c>
      <c r="AW4424">
        <v>165</v>
      </c>
      <c r="AX4424">
        <v>219</v>
      </c>
      <c r="BA4424">
        <v>1</v>
      </c>
      <c r="BC4424" t="s">
        <v>8957</v>
      </c>
      <c r="BD4424" s="4">
        <v>43283.202777777777</v>
      </c>
      <c r="BE4424" s="4">
        <v>43283.219664351855</v>
      </c>
      <c r="BF4424" s="4">
        <v>43283.219664351855</v>
      </c>
      <c r="BG4424" t="s">
        <v>83</v>
      </c>
      <c r="BH4424" t="s">
        <v>84</v>
      </c>
      <c r="BI4424" t="s">
        <v>85</v>
      </c>
    </row>
    <row r="4425" spans="1:61" x14ac:dyDescent="0.3">
      <c r="A4425" t="str">
        <f>"200164B0100"</f>
        <v>200164B0100</v>
      </c>
      <c r="B4425" t="s">
        <v>8958</v>
      </c>
      <c r="C4425">
        <v>20</v>
      </c>
      <c r="D4425" t="s">
        <v>79</v>
      </c>
      <c r="E4425">
        <v>21</v>
      </c>
      <c r="F4425" t="s">
        <v>8898</v>
      </c>
      <c r="G4425">
        <v>164</v>
      </c>
      <c r="H4425">
        <v>1</v>
      </c>
      <c r="I4425" t="s">
        <v>81</v>
      </c>
      <c r="J4425">
        <v>0</v>
      </c>
      <c r="K4425">
        <v>2</v>
      </c>
      <c r="L4425">
        <v>2</v>
      </c>
      <c r="M4425">
        <v>110</v>
      </c>
      <c r="N4425">
        <v>414</v>
      </c>
      <c r="O4425">
        <v>0</v>
      </c>
      <c r="P4425">
        <v>414</v>
      </c>
      <c r="Q4425">
        <v>230</v>
      </c>
      <c r="R4425">
        <v>36</v>
      </c>
      <c r="S4425">
        <v>5</v>
      </c>
      <c r="T4425">
        <v>6</v>
      </c>
      <c r="U4425">
        <v>5</v>
      </c>
      <c r="V4425">
        <v>4</v>
      </c>
      <c r="W4425">
        <v>1</v>
      </c>
      <c r="X4425">
        <v>5</v>
      </c>
      <c r="Y4425">
        <v>95</v>
      </c>
      <c r="Z4425">
        <v>4</v>
      </c>
      <c r="AA4425">
        <v>0</v>
      </c>
      <c r="AB4425">
        <v>1</v>
      </c>
      <c r="AC4425">
        <v>1</v>
      </c>
      <c r="AD4425">
        <v>2</v>
      </c>
      <c r="AE4425">
        <v>0</v>
      </c>
      <c r="AF4425">
        <v>0</v>
      </c>
      <c r="AG4425">
        <v>0</v>
      </c>
      <c r="AH4425">
        <v>0</v>
      </c>
      <c r="AI4425">
        <v>0</v>
      </c>
      <c r="AJ4425">
        <v>0</v>
      </c>
      <c r="AK4425">
        <v>2</v>
      </c>
      <c r="AL4425">
        <v>0</v>
      </c>
      <c r="AM4425">
        <v>0</v>
      </c>
      <c r="AN4425">
        <v>0</v>
      </c>
      <c r="AT4425">
        <v>0</v>
      </c>
      <c r="AU4425">
        <v>17</v>
      </c>
      <c r="AV4425">
        <v>414</v>
      </c>
      <c r="AW4425">
        <v>414</v>
      </c>
      <c r="AX4425">
        <v>502</v>
      </c>
      <c r="BA4425">
        <v>1</v>
      </c>
      <c r="BC4425" t="s">
        <v>8959</v>
      </c>
      <c r="BD4425" s="4">
        <v>43283.206944444442</v>
      </c>
      <c r="BE4425" s="4">
        <v>43283.237233796295</v>
      </c>
      <c r="BF4425" s="4">
        <v>43283.237233796295</v>
      </c>
      <c r="BG4425" t="s">
        <v>83</v>
      </c>
      <c r="BH4425" t="s">
        <v>84</v>
      </c>
      <c r="BI4425" t="s">
        <v>85</v>
      </c>
    </row>
    <row r="4426" spans="1:61" x14ac:dyDescent="0.3">
      <c r="A4426" t="str">
        <f>"200166B0100"</f>
        <v>200166B0100</v>
      </c>
      <c r="B4426" t="s">
        <v>8960</v>
      </c>
      <c r="C4426">
        <v>20</v>
      </c>
      <c r="D4426" t="s">
        <v>79</v>
      </c>
      <c r="E4426">
        <v>21</v>
      </c>
      <c r="F4426" t="s">
        <v>8898</v>
      </c>
      <c r="G4426">
        <v>166</v>
      </c>
      <c r="H4426">
        <v>1</v>
      </c>
      <c r="I4426" t="s">
        <v>81</v>
      </c>
      <c r="J4426">
        <v>0</v>
      </c>
      <c r="K4426">
        <v>2</v>
      </c>
      <c r="L4426">
        <v>2</v>
      </c>
      <c r="M4426">
        <v>158</v>
      </c>
      <c r="N4426">
        <v>454</v>
      </c>
      <c r="O4426">
        <v>0</v>
      </c>
      <c r="P4426">
        <v>454</v>
      </c>
      <c r="Q4426">
        <v>168</v>
      </c>
      <c r="R4426">
        <v>52</v>
      </c>
      <c r="S4426">
        <v>6</v>
      </c>
      <c r="T4426">
        <v>6</v>
      </c>
      <c r="U4426">
        <v>23</v>
      </c>
      <c r="V4426">
        <v>4</v>
      </c>
      <c r="W4426">
        <v>6</v>
      </c>
      <c r="X4426">
        <v>2</v>
      </c>
      <c r="Y4426">
        <v>129</v>
      </c>
      <c r="Z4426">
        <v>7</v>
      </c>
      <c r="AA4426">
        <v>1</v>
      </c>
      <c r="AB4426">
        <v>2</v>
      </c>
      <c r="AC4426">
        <v>3</v>
      </c>
      <c r="AD4426">
        <v>4</v>
      </c>
      <c r="AE4426">
        <v>0</v>
      </c>
      <c r="AF4426">
        <v>0</v>
      </c>
      <c r="AG4426">
        <v>0</v>
      </c>
      <c r="AH4426">
        <v>0</v>
      </c>
      <c r="AI4426">
        <v>1</v>
      </c>
      <c r="AJ4426">
        <v>0</v>
      </c>
      <c r="AK4426">
        <v>2</v>
      </c>
      <c r="AL4426">
        <v>2</v>
      </c>
      <c r="AM4426">
        <v>3</v>
      </c>
      <c r="AN4426">
        <v>3</v>
      </c>
      <c r="AT4426">
        <v>0</v>
      </c>
      <c r="AU4426">
        <v>30</v>
      </c>
      <c r="AV4426">
        <v>454</v>
      </c>
      <c r="AW4426">
        <v>454</v>
      </c>
      <c r="AX4426">
        <v>590</v>
      </c>
      <c r="BA4426">
        <v>1</v>
      </c>
      <c r="BC4426" t="s">
        <v>8961</v>
      </c>
      <c r="BD4426" s="4">
        <v>43283.118750000001</v>
      </c>
      <c r="BE4426" s="4">
        <v>43283.124803240738</v>
      </c>
      <c r="BF4426" s="4">
        <v>43283.124803240738</v>
      </c>
      <c r="BG4426" t="s">
        <v>83</v>
      </c>
      <c r="BH4426" t="s">
        <v>84</v>
      </c>
      <c r="BI4426" t="s">
        <v>85</v>
      </c>
    </row>
    <row r="4427" spans="1:61" x14ac:dyDescent="0.3">
      <c r="A4427" t="str">
        <f>"200166C0100"</f>
        <v>200166C0100</v>
      </c>
      <c r="B4427" t="s">
        <v>8962</v>
      </c>
      <c r="C4427">
        <v>20</v>
      </c>
      <c r="D4427" t="s">
        <v>79</v>
      </c>
      <c r="E4427">
        <v>21</v>
      </c>
      <c r="F4427" t="s">
        <v>8898</v>
      </c>
      <c r="G4427">
        <v>166</v>
      </c>
      <c r="H4427">
        <v>1</v>
      </c>
      <c r="I4427" t="s">
        <v>89</v>
      </c>
      <c r="J4427">
        <v>0</v>
      </c>
      <c r="K4427">
        <v>2</v>
      </c>
      <c r="L4427">
        <v>2</v>
      </c>
      <c r="M4427">
        <v>153</v>
      </c>
      <c r="N4427">
        <v>458</v>
      </c>
      <c r="O4427">
        <v>0</v>
      </c>
      <c r="P4427">
        <v>458</v>
      </c>
      <c r="Q4427">
        <v>172</v>
      </c>
      <c r="R4427">
        <v>50</v>
      </c>
      <c r="S4427">
        <v>8</v>
      </c>
      <c r="T4427">
        <v>0</v>
      </c>
      <c r="U4427">
        <v>18</v>
      </c>
      <c r="V4427">
        <v>7</v>
      </c>
      <c r="W4427">
        <v>7</v>
      </c>
      <c r="X4427">
        <v>2</v>
      </c>
      <c r="Y4427">
        <v>129</v>
      </c>
      <c r="Z4427">
        <v>15</v>
      </c>
      <c r="AA4427">
        <v>1</v>
      </c>
      <c r="AB4427">
        <v>0</v>
      </c>
      <c r="AC4427">
        <v>1</v>
      </c>
      <c r="AD4427">
        <v>0</v>
      </c>
      <c r="AE4427">
        <v>2</v>
      </c>
      <c r="AF4427">
        <v>0</v>
      </c>
      <c r="AG4427">
        <v>1</v>
      </c>
      <c r="AH4427">
        <v>1</v>
      </c>
      <c r="AI4427">
        <v>0</v>
      </c>
      <c r="AJ4427">
        <v>0</v>
      </c>
      <c r="AK4427">
        <v>3</v>
      </c>
      <c r="AL4427">
        <v>1</v>
      </c>
      <c r="AM4427">
        <v>1</v>
      </c>
      <c r="AN4427">
        <v>2</v>
      </c>
      <c r="AT4427">
        <v>0</v>
      </c>
      <c r="AU4427">
        <v>37</v>
      </c>
      <c r="AV4427">
        <v>458</v>
      </c>
      <c r="AW4427">
        <v>458</v>
      </c>
      <c r="AX4427">
        <v>589</v>
      </c>
      <c r="BA4427">
        <v>1</v>
      </c>
      <c r="BC4427" t="s">
        <v>8963</v>
      </c>
      <c r="BD4427" s="4">
        <v>43283.12222222222</v>
      </c>
      <c r="BE4427" s="4">
        <v>43283.127581018518</v>
      </c>
      <c r="BF4427" s="4">
        <v>43283.127581018518</v>
      </c>
      <c r="BG4427" t="s">
        <v>83</v>
      </c>
      <c r="BH4427" t="s">
        <v>84</v>
      </c>
      <c r="BI4427" t="s">
        <v>85</v>
      </c>
    </row>
    <row r="4428" spans="1:61" x14ac:dyDescent="0.3">
      <c r="A4428" t="str">
        <f>"200167B0100"</f>
        <v>200167B0100</v>
      </c>
      <c r="B4428" t="s">
        <v>8964</v>
      </c>
      <c r="C4428">
        <v>20</v>
      </c>
      <c r="D4428" t="s">
        <v>79</v>
      </c>
      <c r="E4428">
        <v>21</v>
      </c>
      <c r="F4428" t="s">
        <v>8898</v>
      </c>
      <c r="G4428">
        <v>167</v>
      </c>
      <c r="H4428">
        <v>1</v>
      </c>
      <c r="I4428" t="s">
        <v>81</v>
      </c>
      <c r="J4428">
        <v>0</v>
      </c>
      <c r="K4428">
        <v>2</v>
      </c>
      <c r="L4428">
        <v>2</v>
      </c>
      <c r="M4428">
        <v>189</v>
      </c>
      <c r="N4428">
        <v>493</v>
      </c>
      <c r="O4428">
        <v>0</v>
      </c>
      <c r="P4428">
        <v>493</v>
      </c>
      <c r="Q4428">
        <v>123</v>
      </c>
      <c r="R4428">
        <v>104</v>
      </c>
      <c r="S4428">
        <v>3</v>
      </c>
      <c r="T4428">
        <v>3</v>
      </c>
      <c r="U4428">
        <v>17</v>
      </c>
      <c r="V4428">
        <v>4</v>
      </c>
      <c r="W4428">
        <v>5</v>
      </c>
      <c r="X4428">
        <v>2</v>
      </c>
      <c r="Y4428">
        <v>181</v>
      </c>
      <c r="Z4428">
        <v>11</v>
      </c>
      <c r="AA4428">
        <v>7</v>
      </c>
      <c r="AB4428">
        <v>1</v>
      </c>
      <c r="AC4428">
        <v>0</v>
      </c>
      <c r="AD4428">
        <v>0</v>
      </c>
      <c r="AE4428">
        <v>0</v>
      </c>
      <c r="AF4428">
        <v>0</v>
      </c>
      <c r="AG4428">
        <v>0</v>
      </c>
      <c r="AH4428">
        <v>4</v>
      </c>
      <c r="AI4428">
        <v>0</v>
      </c>
      <c r="AJ4428">
        <v>0</v>
      </c>
      <c r="AK4428">
        <v>5</v>
      </c>
      <c r="AL4428">
        <v>0</v>
      </c>
      <c r="AM4428">
        <v>0</v>
      </c>
      <c r="AN4428">
        <v>0</v>
      </c>
      <c r="AT4428" t="s">
        <v>100</v>
      </c>
      <c r="AU4428">
        <v>23</v>
      </c>
      <c r="AV4428">
        <v>493</v>
      </c>
      <c r="AW4428">
        <v>493</v>
      </c>
      <c r="AX4428">
        <v>660</v>
      </c>
      <c r="AZ4428" t="s">
        <v>101</v>
      </c>
      <c r="BA4428">
        <v>1</v>
      </c>
      <c r="BC4428" t="s">
        <v>8965</v>
      </c>
      <c r="BD4428" s="4">
        <v>43283.206250000003</v>
      </c>
      <c r="BE4428" s="4">
        <v>43283.223078703704</v>
      </c>
      <c r="BF4428" s="4">
        <v>43283.223078703704</v>
      </c>
      <c r="BG4428" t="s">
        <v>83</v>
      </c>
      <c r="BH4428" t="s">
        <v>84</v>
      </c>
      <c r="BI4428" t="s">
        <v>85</v>
      </c>
    </row>
    <row r="4429" spans="1:61" x14ac:dyDescent="0.3">
      <c r="A4429" t="str">
        <f>"200168B0100"</f>
        <v>200168B0100</v>
      </c>
      <c r="B4429" t="s">
        <v>8966</v>
      </c>
      <c r="C4429">
        <v>20</v>
      </c>
      <c r="D4429" t="s">
        <v>79</v>
      </c>
      <c r="E4429">
        <v>21</v>
      </c>
      <c r="F4429" t="s">
        <v>8898</v>
      </c>
      <c r="G4429">
        <v>168</v>
      </c>
      <c r="H4429">
        <v>1</v>
      </c>
      <c r="I4429" t="s">
        <v>81</v>
      </c>
      <c r="J4429">
        <v>0</v>
      </c>
      <c r="K4429">
        <v>2</v>
      </c>
      <c r="L4429">
        <v>2</v>
      </c>
      <c r="M4429">
        <v>182</v>
      </c>
      <c r="N4429">
        <v>454</v>
      </c>
      <c r="O4429">
        <v>0</v>
      </c>
      <c r="P4429">
        <v>457</v>
      </c>
      <c r="Q4429">
        <v>140</v>
      </c>
      <c r="R4429">
        <v>92</v>
      </c>
      <c r="S4429">
        <v>7</v>
      </c>
      <c r="T4429">
        <v>2</v>
      </c>
      <c r="U4429">
        <v>8</v>
      </c>
      <c r="V4429">
        <v>4</v>
      </c>
      <c r="W4429">
        <v>2</v>
      </c>
      <c r="X4429">
        <v>2</v>
      </c>
      <c r="Y4429">
        <v>143</v>
      </c>
      <c r="Z4429">
        <v>16</v>
      </c>
      <c r="AA4429">
        <v>1</v>
      </c>
      <c r="AB4429">
        <v>1</v>
      </c>
      <c r="AC4429">
        <v>1</v>
      </c>
      <c r="AD4429">
        <v>2</v>
      </c>
      <c r="AE4429">
        <v>1</v>
      </c>
      <c r="AF4429">
        <v>1</v>
      </c>
      <c r="AG4429">
        <v>0</v>
      </c>
      <c r="AH4429">
        <v>0</v>
      </c>
      <c r="AI4429">
        <v>0</v>
      </c>
      <c r="AJ4429">
        <v>0</v>
      </c>
      <c r="AK4429">
        <v>4</v>
      </c>
      <c r="AL4429">
        <v>1</v>
      </c>
      <c r="AM4429">
        <v>0</v>
      </c>
      <c r="AN4429">
        <v>5</v>
      </c>
      <c r="AT4429" t="s">
        <v>100</v>
      </c>
      <c r="AU4429">
        <v>24</v>
      </c>
      <c r="AV4429" t="s">
        <v>100</v>
      </c>
      <c r="AW4429">
        <v>457</v>
      </c>
      <c r="AX4429">
        <v>619</v>
      </c>
      <c r="AZ4429" t="s">
        <v>101</v>
      </c>
      <c r="BA4429">
        <v>1</v>
      </c>
      <c r="BC4429" t="s">
        <v>8967</v>
      </c>
      <c r="BD4429" s="4">
        <v>43283.170138888891</v>
      </c>
      <c r="BE4429" s="4">
        <v>43283.187662037039</v>
      </c>
      <c r="BF4429" s="4">
        <v>43283.187662037039</v>
      </c>
      <c r="BG4429" t="s">
        <v>83</v>
      </c>
      <c r="BH4429" t="s">
        <v>84</v>
      </c>
      <c r="BI4429" t="s">
        <v>85</v>
      </c>
    </row>
    <row r="4430" spans="1:61" x14ac:dyDescent="0.3">
      <c r="A4430" t="str">
        <f>"200169B0100"</f>
        <v>200169B0100</v>
      </c>
      <c r="B4430" t="s">
        <v>8968</v>
      </c>
      <c r="C4430">
        <v>20</v>
      </c>
      <c r="D4430" t="s">
        <v>79</v>
      </c>
      <c r="E4430">
        <v>21</v>
      </c>
      <c r="F4430" t="s">
        <v>8898</v>
      </c>
      <c r="G4430">
        <v>169</v>
      </c>
      <c r="H4430">
        <v>1</v>
      </c>
      <c r="I4430" t="s">
        <v>81</v>
      </c>
      <c r="J4430">
        <v>0</v>
      </c>
      <c r="K4430">
        <v>2</v>
      </c>
      <c r="L4430">
        <v>2</v>
      </c>
      <c r="M4430">
        <v>208</v>
      </c>
      <c r="N4430">
        <v>650</v>
      </c>
      <c r="O4430" t="s">
        <v>100</v>
      </c>
      <c r="P4430">
        <v>442</v>
      </c>
      <c r="Q4430">
        <v>128</v>
      </c>
      <c r="R4430">
        <v>91</v>
      </c>
      <c r="S4430">
        <v>5</v>
      </c>
      <c r="T4430">
        <v>7</v>
      </c>
      <c r="U4430">
        <v>17</v>
      </c>
      <c r="V4430">
        <v>8</v>
      </c>
      <c r="W4430">
        <v>1</v>
      </c>
      <c r="X4430">
        <v>4</v>
      </c>
      <c r="Y4430">
        <v>129</v>
      </c>
      <c r="Z4430">
        <v>12</v>
      </c>
      <c r="AA4430">
        <v>1</v>
      </c>
      <c r="AB4430">
        <v>1</v>
      </c>
      <c r="AC4430" t="s">
        <v>100</v>
      </c>
      <c r="AD4430" t="s">
        <v>100</v>
      </c>
      <c r="AE4430">
        <v>1</v>
      </c>
      <c r="AF4430" t="s">
        <v>100</v>
      </c>
      <c r="AG4430" t="s">
        <v>100</v>
      </c>
      <c r="AH4430" t="s">
        <v>100</v>
      </c>
      <c r="AI4430" t="s">
        <v>100</v>
      </c>
      <c r="AJ4430">
        <v>1</v>
      </c>
      <c r="AK4430">
        <v>11</v>
      </c>
      <c r="AL4430" t="s">
        <v>100</v>
      </c>
      <c r="AM4430" t="s">
        <v>100</v>
      </c>
      <c r="AN4430" t="s">
        <v>100</v>
      </c>
      <c r="AT4430" t="s">
        <v>100</v>
      </c>
      <c r="AU4430">
        <v>25</v>
      </c>
      <c r="AV4430">
        <v>442</v>
      </c>
      <c r="AW4430">
        <v>442</v>
      </c>
      <c r="AX4430">
        <v>628</v>
      </c>
      <c r="AZ4430" t="s">
        <v>101</v>
      </c>
      <c r="BA4430">
        <v>1</v>
      </c>
      <c r="BC4430" t="s">
        <v>8969</v>
      </c>
      <c r="BD4430" s="4">
        <v>43283.220833333333</v>
      </c>
      <c r="BE4430" s="4">
        <v>43283.243414351855</v>
      </c>
      <c r="BF4430" s="4">
        <v>43283.243414351855</v>
      </c>
      <c r="BG4430" t="s">
        <v>83</v>
      </c>
      <c r="BH4430" t="s">
        <v>84</v>
      </c>
      <c r="BI4430" t="s">
        <v>85</v>
      </c>
    </row>
    <row r="4431" spans="1:61" x14ac:dyDescent="0.3">
      <c r="A4431" t="str">
        <f>"200170B0100"</f>
        <v>200170B0100</v>
      </c>
      <c r="B4431" t="s">
        <v>8970</v>
      </c>
      <c r="C4431">
        <v>20</v>
      </c>
      <c r="D4431" t="s">
        <v>79</v>
      </c>
      <c r="E4431">
        <v>21</v>
      </c>
      <c r="F4431" t="s">
        <v>8898</v>
      </c>
      <c r="G4431">
        <v>170</v>
      </c>
      <c r="H4431">
        <v>1</v>
      </c>
      <c r="I4431" t="s">
        <v>81</v>
      </c>
      <c r="J4431">
        <v>0</v>
      </c>
      <c r="K4431">
        <v>2</v>
      </c>
      <c r="L4431">
        <v>2</v>
      </c>
      <c r="M4431">
        <v>222</v>
      </c>
      <c r="N4431">
        <v>544</v>
      </c>
      <c r="O4431">
        <v>2</v>
      </c>
      <c r="P4431">
        <v>544</v>
      </c>
      <c r="Q4431">
        <v>215</v>
      </c>
      <c r="R4431">
        <v>107</v>
      </c>
      <c r="S4431">
        <v>7</v>
      </c>
      <c r="T4431">
        <v>6</v>
      </c>
      <c r="U4431">
        <v>12</v>
      </c>
      <c r="V4431">
        <v>5</v>
      </c>
      <c r="W4431">
        <v>1</v>
      </c>
      <c r="X4431">
        <v>2</v>
      </c>
      <c r="Y4431">
        <v>152</v>
      </c>
      <c r="Z4431">
        <v>5</v>
      </c>
      <c r="AA4431">
        <v>0</v>
      </c>
      <c r="AB4431">
        <v>4</v>
      </c>
      <c r="AC4431">
        <v>0</v>
      </c>
      <c r="AD4431">
        <v>0</v>
      </c>
      <c r="AE4431">
        <v>0</v>
      </c>
      <c r="AF4431">
        <v>0</v>
      </c>
      <c r="AG4431">
        <v>0</v>
      </c>
      <c r="AH4431">
        <v>0</v>
      </c>
      <c r="AI4431">
        <v>0</v>
      </c>
      <c r="AJ4431">
        <v>0</v>
      </c>
      <c r="AK4431">
        <v>2</v>
      </c>
      <c r="AL4431">
        <v>0</v>
      </c>
      <c r="AM4431">
        <v>0</v>
      </c>
      <c r="AN4431">
        <v>2</v>
      </c>
      <c r="AT4431">
        <v>0</v>
      </c>
      <c r="AU4431">
        <v>24</v>
      </c>
      <c r="AV4431">
        <v>544</v>
      </c>
      <c r="AW4431">
        <v>544</v>
      </c>
      <c r="AX4431">
        <v>744</v>
      </c>
      <c r="BA4431">
        <v>1</v>
      </c>
      <c r="BC4431" t="s">
        <v>8971</v>
      </c>
      <c r="BD4431" s="4">
        <v>43283.28402777778</v>
      </c>
      <c r="BE4431" s="4">
        <v>43283.312928240739</v>
      </c>
      <c r="BF4431" s="4">
        <v>43283.312928240739</v>
      </c>
      <c r="BG4431" t="s">
        <v>83</v>
      </c>
      <c r="BH4431" t="s">
        <v>84</v>
      </c>
      <c r="BI4431" t="s">
        <v>85</v>
      </c>
    </row>
    <row r="4432" spans="1:61" x14ac:dyDescent="0.3">
      <c r="A4432" t="str">
        <f>"200171B0100"</f>
        <v>200171B0100</v>
      </c>
      <c r="B4432" t="s">
        <v>8972</v>
      </c>
      <c r="C4432">
        <v>20</v>
      </c>
      <c r="D4432" t="s">
        <v>79</v>
      </c>
      <c r="E4432">
        <v>21</v>
      </c>
      <c r="F4432" t="s">
        <v>8898</v>
      </c>
      <c r="G4432">
        <v>171</v>
      </c>
      <c r="H4432">
        <v>1</v>
      </c>
      <c r="I4432" t="s">
        <v>81</v>
      </c>
      <c r="J4432">
        <v>0</v>
      </c>
      <c r="K4432">
        <v>2</v>
      </c>
      <c r="L4432">
        <v>2</v>
      </c>
      <c r="M4432">
        <v>156</v>
      </c>
      <c r="N4432">
        <v>192</v>
      </c>
      <c r="O4432">
        <v>1</v>
      </c>
      <c r="P4432">
        <v>192</v>
      </c>
      <c r="Q4432">
        <v>98</v>
      </c>
      <c r="R4432">
        <v>49</v>
      </c>
      <c r="S4432">
        <v>3</v>
      </c>
      <c r="T4432">
        <v>0</v>
      </c>
      <c r="U4432">
        <v>2</v>
      </c>
      <c r="V4432">
        <v>1</v>
      </c>
      <c r="W4432">
        <v>3</v>
      </c>
      <c r="X4432">
        <v>1</v>
      </c>
      <c r="Y4432">
        <v>27</v>
      </c>
      <c r="Z4432">
        <v>1</v>
      </c>
      <c r="AA4432">
        <v>0</v>
      </c>
      <c r="AB4432">
        <v>1</v>
      </c>
      <c r="AC4432">
        <v>2</v>
      </c>
      <c r="AD4432" t="s">
        <v>100</v>
      </c>
      <c r="AE4432" t="s">
        <v>100</v>
      </c>
      <c r="AF4432" t="s">
        <v>100</v>
      </c>
      <c r="AG4432" t="s">
        <v>100</v>
      </c>
      <c r="AH4432" t="s">
        <v>100</v>
      </c>
      <c r="AI4432" t="s">
        <v>100</v>
      </c>
      <c r="AJ4432" t="s">
        <v>100</v>
      </c>
      <c r="AK4432" t="s">
        <v>100</v>
      </c>
      <c r="AL4432" t="s">
        <v>100</v>
      </c>
      <c r="AM4432" t="s">
        <v>100</v>
      </c>
      <c r="AN4432" t="s">
        <v>100</v>
      </c>
      <c r="AT4432" t="s">
        <v>100</v>
      </c>
      <c r="AU4432">
        <v>4</v>
      </c>
      <c r="AV4432">
        <v>192</v>
      </c>
      <c r="AW4432">
        <v>192</v>
      </c>
      <c r="AX4432">
        <v>248</v>
      </c>
      <c r="AZ4432" t="s">
        <v>101</v>
      </c>
      <c r="BA4432">
        <v>1</v>
      </c>
      <c r="BC4432" t="s">
        <v>8973</v>
      </c>
      <c r="BD4432" s="4">
        <v>43283.151388888888</v>
      </c>
      <c r="BE4432" s="4">
        <v>43283.160324074073</v>
      </c>
      <c r="BF4432" s="4">
        <v>43283.160324074073</v>
      </c>
      <c r="BG4432" t="s">
        <v>83</v>
      </c>
      <c r="BH4432" t="s">
        <v>84</v>
      </c>
      <c r="BI4432" t="s">
        <v>548</v>
      </c>
    </row>
    <row r="4433" spans="1:61" x14ac:dyDescent="0.3">
      <c r="A4433" t="str">
        <f>"200172B0100"</f>
        <v>200172B0100</v>
      </c>
      <c r="B4433" t="s">
        <v>8974</v>
      </c>
      <c r="C4433">
        <v>20</v>
      </c>
      <c r="D4433" t="s">
        <v>79</v>
      </c>
      <c r="E4433">
        <v>21</v>
      </c>
      <c r="F4433" t="s">
        <v>8898</v>
      </c>
      <c r="G4433">
        <v>172</v>
      </c>
      <c r="H4433">
        <v>1</v>
      </c>
      <c r="I4433" t="s">
        <v>81</v>
      </c>
      <c r="J4433">
        <v>0</v>
      </c>
      <c r="K4433">
        <v>2</v>
      </c>
      <c r="L4433">
        <v>2</v>
      </c>
      <c r="M4433">
        <v>100</v>
      </c>
      <c r="N4433">
        <v>217</v>
      </c>
      <c r="O4433">
        <v>4</v>
      </c>
      <c r="P4433">
        <v>217</v>
      </c>
      <c r="Q4433">
        <v>86</v>
      </c>
      <c r="R4433">
        <v>10</v>
      </c>
      <c r="S4433">
        <v>7</v>
      </c>
      <c r="T4433">
        <v>1</v>
      </c>
      <c r="U4433">
        <v>8</v>
      </c>
      <c r="V4433">
        <v>2</v>
      </c>
      <c r="W4433">
        <v>0</v>
      </c>
      <c r="X4433">
        <v>0</v>
      </c>
      <c r="Y4433">
        <v>74</v>
      </c>
      <c r="Z4433">
        <v>5</v>
      </c>
      <c r="AA4433">
        <v>0</v>
      </c>
      <c r="AB4433">
        <v>0</v>
      </c>
      <c r="AC4433">
        <v>1</v>
      </c>
      <c r="AD4433">
        <v>0</v>
      </c>
      <c r="AE4433">
        <v>0</v>
      </c>
      <c r="AF4433">
        <v>0</v>
      </c>
      <c r="AG4433">
        <v>0</v>
      </c>
      <c r="AH4433">
        <v>0</v>
      </c>
      <c r="AI4433">
        <v>0</v>
      </c>
      <c r="AJ4433">
        <v>0</v>
      </c>
      <c r="AK4433">
        <v>2</v>
      </c>
      <c r="AL4433">
        <v>1</v>
      </c>
      <c r="AM4433">
        <v>1</v>
      </c>
      <c r="AN4433">
        <v>0</v>
      </c>
      <c r="AT4433">
        <v>0</v>
      </c>
      <c r="AU4433">
        <v>19</v>
      </c>
      <c r="AV4433">
        <v>217</v>
      </c>
      <c r="AW4433">
        <v>217</v>
      </c>
      <c r="AX4433">
        <v>295</v>
      </c>
      <c r="BA4433">
        <v>1</v>
      </c>
      <c r="BC4433" t="s">
        <v>8975</v>
      </c>
      <c r="BD4433" s="4">
        <v>43283.166666666664</v>
      </c>
      <c r="BE4433" s="4">
        <v>43283.179027777776</v>
      </c>
      <c r="BF4433" s="4">
        <v>43283.179027777776</v>
      </c>
      <c r="BG4433" t="s">
        <v>83</v>
      </c>
      <c r="BH4433" t="s">
        <v>84</v>
      </c>
      <c r="BI4433" t="s">
        <v>85</v>
      </c>
    </row>
    <row r="4434" spans="1:61" x14ac:dyDescent="0.3">
      <c r="A4434" t="str">
        <f>"200173B0100"</f>
        <v>200173B0100</v>
      </c>
      <c r="B4434" t="s">
        <v>8976</v>
      </c>
      <c r="C4434">
        <v>20</v>
      </c>
      <c r="D4434" t="s">
        <v>79</v>
      </c>
      <c r="E4434">
        <v>21</v>
      </c>
      <c r="F4434" t="s">
        <v>8898</v>
      </c>
      <c r="G4434">
        <v>173</v>
      </c>
      <c r="H4434">
        <v>1</v>
      </c>
      <c r="I4434" t="s">
        <v>81</v>
      </c>
      <c r="J4434">
        <v>0</v>
      </c>
      <c r="K4434">
        <v>2</v>
      </c>
      <c r="L4434">
        <v>2</v>
      </c>
      <c r="AX4434">
        <v>656</v>
      </c>
      <c r="AZ4434" t="s">
        <v>156</v>
      </c>
      <c r="BA4434">
        <v>0</v>
      </c>
      <c r="BC4434" t="s">
        <v>8977</v>
      </c>
      <c r="BD4434" s="4">
        <v>43283.751388888886</v>
      </c>
      <c r="BE4434" s="4">
        <v>43283.75408564815</v>
      </c>
      <c r="BF4434" s="4">
        <v>43283.75408564815</v>
      </c>
      <c r="BG4434" t="s">
        <v>83</v>
      </c>
      <c r="BH4434" t="s">
        <v>84</v>
      </c>
      <c r="BI4434" t="s">
        <v>85</v>
      </c>
    </row>
    <row r="4435" spans="1:61" x14ac:dyDescent="0.3">
      <c r="A4435" t="str">
        <f>"200173C0100"</f>
        <v>200173C0100</v>
      </c>
      <c r="B4435" t="s">
        <v>8978</v>
      </c>
      <c r="C4435">
        <v>20</v>
      </c>
      <c r="D4435" t="s">
        <v>79</v>
      </c>
      <c r="E4435">
        <v>21</v>
      </c>
      <c r="F4435" t="s">
        <v>8898</v>
      </c>
      <c r="G4435">
        <v>173</v>
      </c>
      <c r="H4435">
        <v>1</v>
      </c>
      <c r="I4435" t="s">
        <v>89</v>
      </c>
      <c r="J4435">
        <v>0</v>
      </c>
      <c r="K4435">
        <v>2</v>
      </c>
      <c r="L4435">
        <v>2</v>
      </c>
      <c r="M4435">
        <v>201</v>
      </c>
      <c r="N4435">
        <v>476</v>
      </c>
      <c r="O4435">
        <v>0</v>
      </c>
      <c r="P4435">
        <v>476</v>
      </c>
      <c r="Q4435">
        <v>149</v>
      </c>
      <c r="R4435">
        <v>108</v>
      </c>
      <c r="S4435">
        <v>4</v>
      </c>
      <c r="T4435">
        <v>5</v>
      </c>
      <c r="U4435">
        <v>4</v>
      </c>
      <c r="V4435">
        <v>7</v>
      </c>
      <c r="W4435">
        <v>1</v>
      </c>
      <c r="X4435">
        <v>1</v>
      </c>
      <c r="Y4435">
        <v>137</v>
      </c>
      <c r="Z4435">
        <v>9</v>
      </c>
      <c r="AA4435">
        <v>1</v>
      </c>
      <c r="AB4435">
        <v>3</v>
      </c>
      <c r="AC4435">
        <v>0</v>
      </c>
      <c r="AD4435">
        <v>3</v>
      </c>
      <c r="AE4435">
        <v>0</v>
      </c>
      <c r="AF4435">
        <v>0</v>
      </c>
      <c r="AG4435">
        <v>0</v>
      </c>
      <c r="AH4435">
        <v>0</v>
      </c>
      <c r="AI4435">
        <v>0</v>
      </c>
      <c r="AJ4435">
        <v>0</v>
      </c>
      <c r="AK4435">
        <v>2</v>
      </c>
      <c r="AL4435">
        <v>2</v>
      </c>
      <c r="AM4435">
        <v>2</v>
      </c>
      <c r="AN4435">
        <v>0</v>
      </c>
      <c r="AT4435">
        <v>0</v>
      </c>
      <c r="AU4435">
        <v>35</v>
      </c>
      <c r="AV4435" t="s">
        <v>100</v>
      </c>
      <c r="AW4435">
        <v>473</v>
      </c>
      <c r="AX4435">
        <v>655</v>
      </c>
      <c r="BA4435">
        <v>1</v>
      </c>
      <c r="BC4435" t="s">
        <v>8979</v>
      </c>
      <c r="BD4435" s="4">
        <v>43283.259722222225</v>
      </c>
      <c r="BE4435" s="4">
        <v>43283.284525462965</v>
      </c>
      <c r="BF4435" s="4">
        <v>43283.284525462965</v>
      </c>
      <c r="BG4435" t="s">
        <v>83</v>
      </c>
      <c r="BH4435" t="s">
        <v>84</v>
      </c>
      <c r="BI4435" t="s">
        <v>548</v>
      </c>
    </row>
    <row r="4436" spans="1:61" x14ac:dyDescent="0.3">
      <c r="A4436" t="str">
        <f>"200174B0100"</f>
        <v>200174B0100</v>
      </c>
      <c r="B4436" t="s">
        <v>8980</v>
      </c>
      <c r="C4436">
        <v>20</v>
      </c>
      <c r="D4436" t="s">
        <v>79</v>
      </c>
      <c r="E4436">
        <v>21</v>
      </c>
      <c r="F4436" t="s">
        <v>8898</v>
      </c>
      <c r="G4436">
        <v>174</v>
      </c>
      <c r="H4436">
        <v>1</v>
      </c>
      <c r="I4436" t="s">
        <v>81</v>
      </c>
      <c r="J4436">
        <v>0</v>
      </c>
      <c r="K4436">
        <v>2</v>
      </c>
      <c r="L4436">
        <v>2</v>
      </c>
      <c r="M4436">
        <v>139</v>
      </c>
      <c r="N4436">
        <v>259</v>
      </c>
      <c r="O4436">
        <v>0</v>
      </c>
      <c r="P4436">
        <v>257</v>
      </c>
      <c r="Q4436">
        <v>93</v>
      </c>
      <c r="R4436">
        <v>102</v>
      </c>
      <c r="S4436">
        <v>1</v>
      </c>
      <c r="T4436">
        <v>1</v>
      </c>
      <c r="U4436">
        <v>2</v>
      </c>
      <c r="V4436">
        <v>1</v>
      </c>
      <c r="W4436">
        <v>2</v>
      </c>
      <c r="X4436">
        <v>2</v>
      </c>
      <c r="Y4436">
        <v>43</v>
      </c>
      <c r="Z4436">
        <v>1</v>
      </c>
      <c r="AA4436" t="s">
        <v>100</v>
      </c>
      <c r="AB4436">
        <v>1</v>
      </c>
      <c r="AC4436" t="s">
        <v>100</v>
      </c>
      <c r="AD4436" t="s">
        <v>100</v>
      </c>
      <c r="AE4436" t="s">
        <v>100</v>
      </c>
      <c r="AF4436" t="s">
        <v>100</v>
      </c>
      <c r="AG4436" t="s">
        <v>100</v>
      </c>
      <c r="AH4436" t="s">
        <v>100</v>
      </c>
      <c r="AI4436" t="s">
        <v>100</v>
      </c>
      <c r="AJ4436" t="s">
        <v>100</v>
      </c>
      <c r="AK4436" t="s">
        <v>100</v>
      </c>
      <c r="AL4436" t="s">
        <v>100</v>
      </c>
      <c r="AM4436" t="s">
        <v>100</v>
      </c>
      <c r="AN4436">
        <v>1</v>
      </c>
      <c r="AT4436" t="s">
        <v>100</v>
      </c>
      <c r="AU4436">
        <v>7</v>
      </c>
      <c r="AV4436">
        <v>257</v>
      </c>
      <c r="AW4436">
        <v>257</v>
      </c>
      <c r="AX4436">
        <v>374</v>
      </c>
      <c r="AZ4436" t="s">
        <v>101</v>
      </c>
      <c r="BA4436">
        <v>1</v>
      </c>
      <c r="BC4436" t="s">
        <v>8981</v>
      </c>
      <c r="BD4436" s="4">
        <v>43283.185416666667</v>
      </c>
      <c r="BE4436" s="4">
        <v>43283.206053240741</v>
      </c>
      <c r="BF4436" s="4">
        <v>43283.206053240741</v>
      </c>
      <c r="BG4436" t="s">
        <v>83</v>
      </c>
      <c r="BH4436" t="s">
        <v>84</v>
      </c>
      <c r="BI4436" t="s">
        <v>85</v>
      </c>
    </row>
    <row r="4437" spans="1:61" x14ac:dyDescent="0.3">
      <c r="A4437" t="str">
        <f>"200175B0100"</f>
        <v>200175B0100</v>
      </c>
      <c r="B4437" t="s">
        <v>8982</v>
      </c>
      <c r="C4437">
        <v>20</v>
      </c>
      <c r="D4437" t="s">
        <v>79</v>
      </c>
      <c r="E4437">
        <v>21</v>
      </c>
      <c r="F4437" t="s">
        <v>8898</v>
      </c>
      <c r="G4437">
        <v>175</v>
      </c>
      <c r="H4437">
        <v>1</v>
      </c>
      <c r="I4437" t="s">
        <v>81</v>
      </c>
      <c r="J4437">
        <v>0</v>
      </c>
      <c r="K4437">
        <v>2</v>
      </c>
      <c r="L4437">
        <v>2</v>
      </c>
      <c r="M4437">
        <v>250</v>
      </c>
      <c r="N4437" t="s">
        <v>100</v>
      </c>
      <c r="O4437">
        <v>0</v>
      </c>
      <c r="P4437" t="s">
        <v>100</v>
      </c>
      <c r="Q4437">
        <v>175</v>
      </c>
      <c r="R4437">
        <v>117</v>
      </c>
      <c r="S4437">
        <v>6</v>
      </c>
      <c r="T4437">
        <v>3</v>
      </c>
      <c r="U4437">
        <v>7</v>
      </c>
      <c r="V4437">
        <v>2</v>
      </c>
      <c r="W4437">
        <v>4</v>
      </c>
      <c r="X4437">
        <v>5</v>
      </c>
      <c r="Y4437">
        <v>42</v>
      </c>
      <c r="Z4437">
        <v>2</v>
      </c>
      <c r="AA4437">
        <v>1</v>
      </c>
      <c r="AB4437">
        <v>2</v>
      </c>
      <c r="AC4437">
        <v>2</v>
      </c>
      <c r="AD4437">
        <v>1</v>
      </c>
      <c r="AE4437">
        <v>0</v>
      </c>
      <c r="AF4437">
        <v>0</v>
      </c>
      <c r="AG4437">
        <v>0</v>
      </c>
      <c r="AH4437">
        <v>0</v>
      </c>
      <c r="AI4437">
        <v>0</v>
      </c>
      <c r="AJ4437">
        <v>0</v>
      </c>
      <c r="AK4437">
        <v>0</v>
      </c>
      <c r="AL4437">
        <v>0</v>
      </c>
      <c r="AM4437">
        <v>0</v>
      </c>
      <c r="AN4437">
        <v>0</v>
      </c>
      <c r="AT4437">
        <v>0</v>
      </c>
      <c r="AU4437">
        <v>32</v>
      </c>
      <c r="AV4437" t="s">
        <v>100</v>
      </c>
      <c r="AW4437">
        <v>401</v>
      </c>
      <c r="AX4437">
        <v>629</v>
      </c>
      <c r="BA4437">
        <v>1</v>
      </c>
      <c r="BC4437" t="s">
        <v>8983</v>
      </c>
      <c r="BD4437" s="4">
        <v>43283.143055555556</v>
      </c>
      <c r="BE4437" s="4">
        <v>43283.148506944446</v>
      </c>
      <c r="BF4437" s="4">
        <v>43283.148506944446</v>
      </c>
      <c r="BG4437" t="s">
        <v>83</v>
      </c>
      <c r="BH4437" t="s">
        <v>84</v>
      </c>
      <c r="BI4437" t="s">
        <v>85</v>
      </c>
    </row>
    <row r="4438" spans="1:61" x14ac:dyDescent="0.3">
      <c r="A4438" t="str">
        <f>"200374B0100"</f>
        <v>200374B0100</v>
      </c>
      <c r="B4438" t="s">
        <v>8984</v>
      </c>
      <c r="C4438">
        <v>20</v>
      </c>
      <c r="D4438" t="s">
        <v>79</v>
      </c>
      <c r="E4438">
        <v>21</v>
      </c>
      <c r="F4438" t="s">
        <v>8898</v>
      </c>
      <c r="G4438">
        <v>374</v>
      </c>
      <c r="H4438">
        <v>1</v>
      </c>
      <c r="I4438" t="s">
        <v>81</v>
      </c>
      <c r="J4438">
        <v>0</v>
      </c>
      <c r="K4438">
        <v>1</v>
      </c>
      <c r="L4438">
        <v>2</v>
      </c>
      <c r="M4438">
        <v>85</v>
      </c>
      <c r="N4438">
        <v>348</v>
      </c>
      <c r="O4438">
        <v>0</v>
      </c>
      <c r="P4438">
        <v>348</v>
      </c>
      <c r="Q4438">
        <v>9</v>
      </c>
      <c r="R4438">
        <v>107</v>
      </c>
      <c r="S4438">
        <v>77</v>
      </c>
      <c r="T4438">
        <v>5</v>
      </c>
      <c r="U4438">
        <v>11</v>
      </c>
      <c r="V4438">
        <v>1</v>
      </c>
      <c r="W4438">
        <v>0</v>
      </c>
      <c r="X4438">
        <v>3</v>
      </c>
      <c r="Y4438">
        <v>98</v>
      </c>
      <c r="Z4438">
        <v>2</v>
      </c>
      <c r="AA4438">
        <v>0</v>
      </c>
      <c r="AB4438">
        <v>1</v>
      </c>
      <c r="AC4438">
        <v>3</v>
      </c>
      <c r="AD4438">
        <v>2</v>
      </c>
      <c r="AE4438">
        <v>0</v>
      </c>
      <c r="AF4438">
        <v>0</v>
      </c>
      <c r="AG4438">
        <v>0</v>
      </c>
      <c r="AH4438">
        <v>0</v>
      </c>
      <c r="AI4438">
        <v>0</v>
      </c>
      <c r="AJ4438">
        <v>0</v>
      </c>
      <c r="AK4438">
        <v>0</v>
      </c>
      <c r="AL4438">
        <v>0</v>
      </c>
      <c r="AM4438">
        <v>0</v>
      </c>
      <c r="AN4438">
        <v>0</v>
      </c>
      <c r="AT4438">
        <v>0</v>
      </c>
      <c r="AU4438">
        <v>29</v>
      </c>
      <c r="AV4438">
        <v>348</v>
      </c>
      <c r="AW4438">
        <v>348</v>
      </c>
      <c r="AX4438">
        <v>411</v>
      </c>
      <c r="BA4438">
        <v>1</v>
      </c>
      <c r="BC4438" t="s">
        <v>8985</v>
      </c>
      <c r="BD4438" s="4">
        <v>43283.211111111108</v>
      </c>
      <c r="BE4438" s="4">
        <v>43283.234016203707</v>
      </c>
      <c r="BF4438" s="4">
        <v>43283.234016203707</v>
      </c>
      <c r="BG4438" t="s">
        <v>83</v>
      </c>
      <c r="BH4438" t="s">
        <v>84</v>
      </c>
      <c r="BI4438" t="s">
        <v>85</v>
      </c>
    </row>
    <row r="4439" spans="1:61" x14ac:dyDescent="0.3">
      <c r="A4439" t="str">
        <f>"200374C0100"</f>
        <v>200374C0100</v>
      </c>
      <c r="B4439" t="s">
        <v>8986</v>
      </c>
      <c r="C4439">
        <v>20</v>
      </c>
      <c r="D4439" t="s">
        <v>79</v>
      </c>
      <c r="E4439">
        <v>21</v>
      </c>
      <c r="F4439" t="s">
        <v>8898</v>
      </c>
      <c r="G4439">
        <v>374</v>
      </c>
      <c r="H4439">
        <v>1</v>
      </c>
      <c r="I4439" t="s">
        <v>89</v>
      </c>
      <c r="J4439">
        <v>0</v>
      </c>
      <c r="K4439">
        <v>1</v>
      </c>
      <c r="L4439">
        <v>2</v>
      </c>
      <c r="M4439">
        <v>94</v>
      </c>
      <c r="N4439">
        <v>338</v>
      </c>
      <c r="O4439">
        <v>0</v>
      </c>
      <c r="P4439">
        <v>338</v>
      </c>
      <c r="Q4439">
        <v>17</v>
      </c>
      <c r="R4439">
        <v>111</v>
      </c>
      <c r="S4439">
        <v>79</v>
      </c>
      <c r="T4439">
        <v>5</v>
      </c>
      <c r="U4439">
        <v>14</v>
      </c>
      <c r="V4439">
        <v>4</v>
      </c>
      <c r="W4439">
        <v>0</v>
      </c>
      <c r="X4439">
        <v>1</v>
      </c>
      <c r="Y4439">
        <v>74</v>
      </c>
      <c r="Z4439">
        <v>3</v>
      </c>
      <c r="AA4439">
        <v>3</v>
      </c>
      <c r="AB4439">
        <v>1</v>
      </c>
      <c r="AC4439">
        <v>0</v>
      </c>
      <c r="AD4439">
        <v>0</v>
      </c>
      <c r="AE4439">
        <v>0</v>
      </c>
      <c r="AF4439">
        <v>0</v>
      </c>
      <c r="AG4439">
        <v>1</v>
      </c>
      <c r="AH4439">
        <v>0</v>
      </c>
      <c r="AI4439">
        <v>0</v>
      </c>
      <c r="AJ4439">
        <v>1</v>
      </c>
      <c r="AK4439">
        <v>4</v>
      </c>
      <c r="AL4439">
        <v>2</v>
      </c>
      <c r="AM4439">
        <v>1</v>
      </c>
      <c r="AN4439">
        <v>0</v>
      </c>
      <c r="AT4439">
        <v>0</v>
      </c>
      <c r="AU4439">
        <v>17</v>
      </c>
      <c r="AV4439">
        <v>338</v>
      </c>
      <c r="AW4439">
        <v>338</v>
      </c>
      <c r="AX4439">
        <v>410</v>
      </c>
      <c r="BA4439">
        <v>1</v>
      </c>
      <c r="BC4439" t="s">
        <v>8987</v>
      </c>
      <c r="BD4439" s="4">
        <v>43283.224999999999</v>
      </c>
      <c r="BE4439" s="4">
        <v>43283.258356481485</v>
      </c>
      <c r="BF4439" s="4">
        <v>43283.258356481485</v>
      </c>
      <c r="BG4439" t="s">
        <v>83</v>
      </c>
      <c r="BH4439" t="s">
        <v>84</v>
      </c>
      <c r="BI4439" t="s">
        <v>85</v>
      </c>
    </row>
    <row r="4440" spans="1:61" x14ac:dyDescent="0.3">
      <c r="A4440" t="str">
        <f>"200632B0100"</f>
        <v>200632B0100</v>
      </c>
      <c r="B4440" t="s">
        <v>8988</v>
      </c>
      <c r="C4440">
        <v>20</v>
      </c>
      <c r="D4440" t="s">
        <v>79</v>
      </c>
      <c r="E4440">
        <v>21</v>
      </c>
      <c r="F4440" t="s">
        <v>8898</v>
      </c>
      <c r="G4440">
        <v>632</v>
      </c>
      <c r="H4440">
        <v>1</v>
      </c>
      <c r="I4440" t="s">
        <v>81</v>
      </c>
      <c r="J4440">
        <v>0</v>
      </c>
      <c r="K4440">
        <v>2</v>
      </c>
      <c r="L4440">
        <v>2</v>
      </c>
      <c r="M4440">
        <v>328</v>
      </c>
      <c r="N4440">
        <v>288</v>
      </c>
      <c r="O4440">
        <v>0</v>
      </c>
      <c r="P4440">
        <v>288</v>
      </c>
      <c r="Q4440">
        <v>33</v>
      </c>
      <c r="R4440">
        <v>59</v>
      </c>
      <c r="S4440">
        <v>16</v>
      </c>
      <c r="T4440">
        <v>6</v>
      </c>
      <c r="U4440">
        <v>23</v>
      </c>
      <c r="V4440">
        <v>5</v>
      </c>
      <c r="W4440">
        <v>9</v>
      </c>
      <c r="X4440">
        <v>3</v>
      </c>
      <c r="Y4440">
        <v>93</v>
      </c>
      <c r="Z4440">
        <v>6</v>
      </c>
      <c r="AA4440">
        <v>0</v>
      </c>
      <c r="AB4440">
        <v>0</v>
      </c>
      <c r="AC4440">
        <v>1</v>
      </c>
      <c r="AD4440">
        <v>0</v>
      </c>
      <c r="AE4440">
        <v>1</v>
      </c>
      <c r="AF4440">
        <v>0</v>
      </c>
      <c r="AG4440">
        <v>2</v>
      </c>
      <c r="AH4440">
        <v>1</v>
      </c>
      <c r="AI4440">
        <v>0</v>
      </c>
      <c r="AJ4440">
        <v>0</v>
      </c>
      <c r="AK4440">
        <v>4</v>
      </c>
      <c r="AL4440">
        <v>5</v>
      </c>
      <c r="AM4440">
        <v>0</v>
      </c>
      <c r="AN4440">
        <v>1</v>
      </c>
      <c r="AT4440">
        <v>0</v>
      </c>
      <c r="AU4440">
        <v>20</v>
      </c>
      <c r="AV4440">
        <v>288</v>
      </c>
      <c r="AW4440">
        <v>288</v>
      </c>
      <c r="AX4440">
        <v>594</v>
      </c>
      <c r="BA4440">
        <v>1</v>
      </c>
      <c r="BC4440" t="s">
        <v>8989</v>
      </c>
      <c r="BD4440" s="4">
        <v>43283.129861111112</v>
      </c>
      <c r="BE4440" s="4">
        <v>43283.135208333333</v>
      </c>
      <c r="BF4440" s="4">
        <v>43283.135208333333</v>
      </c>
      <c r="BG4440" t="s">
        <v>83</v>
      </c>
      <c r="BH4440" t="s">
        <v>84</v>
      </c>
      <c r="BI4440" t="s">
        <v>85</v>
      </c>
    </row>
    <row r="4441" spans="1:61" x14ac:dyDescent="0.3">
      <c r="A4441" t="str">
        <f>"200632C0100"</f>
        <v>200632C0100</v>
      </c>
      <c r="B4441" t="s">
        <v>8990</v>
      </c>
      <c r="C4441">
        <v>20</v>
      </c>
      <c r="D4441" t="s">
        <v>79</v>
      </c>
      <c r="E4441">
        <v>21</v>
      </c>
      <c r="F4441" t="s">
        <v>8898</v>
      </c>
      <c r="G4441">
        <v>632</v>
      </c>
      <c r="H4441">
        <v>1</v>
      </c>
      <c r="I4441" t="s">
        <v>89</v>
      </c>
      <c r="J4441">
        <v>0</v>
      </c>
      <c r="K4441">
        <v>2</v>
      </c>
      <c r="L4441">
        <v>2</v>
      </c>
      <c r="M4441">
        <v>275</v>
      </c>
      <c r="N4441">
        <v>340</v>
      </c>
      <c r="O4441">
        <v>0</v>
      </c>
      <c r="P4441">
        <v>340</v>
      </c>
      <c r="Q4441">
        <v>15</v>
      </c>
      <c r="R4441">
        <v>93</v>
      </c>
      <c r="S4441">
        <v>16</v>
      </c>
      <c r="T4441">
        <v>5</v>
      </c>
      <c r="U4441">
        <v>24</v>
      </c>
      <c r="V4441">
        <v>6</v>
      </c>
      <c r="W4441">
        <v>8</v>
      </c>
      <c r="X4441">
        <v>5</v>
      </c>
      <c r="Y4441">
        <v>116</v>
      </c>
      <c r="Z4441">
        <v>5</v>
      </c>
      <c r="AA4441">
        <v>1</v>
      </c>
      <c r="AB4441">
        <v>3</v>
      </c>
      <c r="AC4441">
        <v>1</v>
      </c>
      <c r="AD4441">
        <v>1</v>
      </c>
      <c r="AE4441">
        <v>1</v>
      </c>
      <c r="AF4441">
        <v>0</v>
      </c>
      <c r="AG4441">
        <v>1</v>
      </c>
      <c r="AH4441">
        <v>0</v>
      </c>
      <c r="AI4441">
        <v>0</v>
      </c>
      <c r="AJ4441">
        <v>0</v>
      </c>
      <c r="AK4441">
        <v>5</v>
      </c>
      <c r="AL4441">
        <v>1</v>
      </c>
      <c r="AM4441">
        <v>1</v>
      </c>
      <c r="AN4441">
        <v>3</v>
      </c>
      <c r="AT4441">
        <v>0</v>
      </c>
      <c r="AU4441">
        <v>29</v>
      </c>
      <c r="AV4441">
        <v>340</v>
      </c>
      <c r="AW4441">
        <v>340</v>
      </c>
      <c r="AX4441">
        <v>593</v>
      </c>
      <c r="BA4441">
        <v>1</v>
      </c>
      <c r="BC4441" t="s">
        <v>8991</v>
      </c>
      <c r="BD4441" s="4">
        <v>43283.14166666667</v>
      </c>
      <c r="BE4441" s="4">
        <v>43283.147256944445</v>
      </c>
      <c r="BF4441" s="4">
        <v>43283.147256944445</v>
      </c>
      <c r="BG4441" t="s">
        <v>83</v>
      </c>
      <c r="BH4441" t="s">
        <v>84</v>
      </c>
      <c r="BI4441" t="s">
        <v>85</v>
      </c>
    </row>
    <row r="4442" spans="1:61" x14ac:dyDescent="0.3">
      <c r="A4442" t="str">
        <f>"200632C0200"</f>
        <v>200632C0200</v>
      </c>
      <c r="B4442" t="s">
        <v>8992</v>
      </c>
      <c r="C4442">
        <v>20</v>
      </c>
      <c r="D4442" t="s">
        <v>79</v>
      </c>
      <c r="E4442">
        <v>21</v>
      </c>
      <c r="F4442" t="s">
        <v>8898</v>
      </c>
      <c r="G4442">
        <v>632</v>
      </c>
      <c r="H4442">
        <v>2</v>
      </c>
      <c r="I4442" t="s">
        <v>89</v>
      </c>
      <c r="J4442">
        <v>0</v>
      </c>
      <c r="K4442">
        <v>2</v>
      </c>
      <c r="L4442">
        <v>2</v>
      </c>
      <c r="M4442">
        <v>299</v>
      </c>
      <c r="N4442">
        <v>316</v>
      </c>
      <c r="O4442">
        <v>0</v>
      </c>
      <c r="P4442">
        <v>316</v>
      </c>
      <c r="Q4442">
        <v>25</v>
      </c>
      <c r="R4442">
        <v>47</v>
      </c>
      <c r="S4442">
        <v>15</v>
      </c>
      <c r="T4442">
        <v>5</v>
      </c>
      <c r="U4442">
        <v>16</v>
      </c>
      <c r="V4442">
        <v>0</v>
      </c>
      <c r="W4442">
        <v>8</v>
      </c>
      <c r="X4442">
        <v>1</v>
      </c>
      <c r="Y4442">
        <v>148</v>
      </c>
      <c r="Z4442">
        <v>11</v>
      </c>
      <c r="AA4442">
        <v>1</v>
      </c>
      <c r="AB4442">
        <v>0</v>
      </c>
      <c r="AC4442">
        <v>0</v>
      </c>
      <c r="AD4442">
        <v>0</v>
      </c>
      <c r="AE4442">
        <v>0</v>
      </c>
      <c r="AF4442">
        <v>1</v>
      </c>
      <c r="AG4442">
        <v>1</v>
      </c>
      <c r="AH4442">
        <v>0</v>
      </c>
      <c r="AI4442">
        <v>1</v>
      </c>
      <c r="AJ4442">
        <v>0</v>
      </c>
      <c r="AK4442">
        <v>11</v>
      </c>
      <c r="AL4442">
        <v>1</v>
      </c>
      <c r="AM4442">
        <v>2</v>
      </c>
      <c r="AN4442">
        <v>0</v>
      </c>
      <c r="AT4442">
        <v>0</v>
      </c>
      <c r="AU4442">
        <v>22</v>
      </c>
      <c r="AV4442">
        <v>316</v>
      </c>
      <c r="AW4442">
        <v>316</v>
      </c>
      <c r="AX4442">
        <v>593</v>
      </c>
      <c r="BA4442">
        <v>1</v>
      </c>
      <c r="BC4442" t="s">
        <v>8993</v>
      </c>
      <c r="BD4442" s="4">
        <v>43283.147916666669</v>
      </c>
      <c r="BE4442" s="4">
        <v>43283.156840277778</v>
      </c>
      <c r="BF4442" s="4">
        <v>43283.156840277778</v>
      </c>
      <c r="BG4442" t="s">
        <v>83</v>
      </c>
      <c r="BH4442" t="s">
        <v>84</v>
      </c>
      <c r="BI4442" t="s">
        <v>85</v>
      </c>
    </row>
    <row r="4443" spans="1:61" x14ac:dyDescent="0.3">
      <c r="A4443" t="str">
        <f>"200710B0100"</f>
        <v>200710B0100</v>
      </c>
      <c r="B4443" t="s">
        <v>8994</v>
      </c>
      <c r="C4443">
        <v>20</v>
      </c>
      <c r="D4443" t="s">
        <v>79</v>
      </c>
      <c r="E4443">
        <v>21</v>
      </c>
      <c r="F4443" t="s">
        <v>8898</v>
      </c>
      <c r="G4443">
        <v>710</v>
      </c>
      <c r="H4443">
        <v>1</v>
      </c>
      <c r="I4443" t="s">
        <v>81</v>
      </c>
      <c r="J4443">
        <v>0</v>
      </c>
      <c r="K4443">
        <v>2</v>
      </c>
      <c r="L4443">
        <v>2</v>
      </c>
      <c r="M4443">
        <v>143</v>
      </c>
      <c r="N4443">
        <v>462</v>
      </c>
      <c r="O4443">
        <v>0</v>
      </c>
      <c r="P4443">
        <v>462</v>
      </c>
      <c r="Q4443">
        <v>75</v>
      </c>
      <c r="R4443">
        <v>91</v>
      </c>
      <c r="S4443">
        <v>6</v>
      </c>
      <c r="T4443">
        <v>11</v>
      </c>
      <c r="U4443">
        <v>74</v>
      </c>
      <c r="V4443">
        <v>1</v>
      </c>
      <c r="W4443">
        <v>76</v>
      </c>
      <c r="X4443">
        <v>8</v>
      </c>
      <c r="Y4443">
        <v>65</v>
      </c>
      <c r="Z4443">
        <v>8</v>
      </c>
      <c r="AA4443">
        <v>0</v>
      </c>
      <c r="AB4443">
        <v>1</v>
      </c>
      <c r="AC4443">
        <v>0</v>
      </c>
      <c r="AD4443">
        <v>0</v>
      </c>
      <c r="AE4443">
        <v>0</v>
      </c>
      <c r="AF4443">
        <v>0</v>
      </c>
      <c r="AG4443">
        <v>0</v>
      </c>
      <c r="AH4443">
        <v>1</v>
      </c>
      <c r="AI4443">
        <v>0</v>
      </c>
      <c r="AJ4443">
        <v>0</v>
      </c>
      <c r="AK4443">
        <v>0</v>
      </c>
      <c r="AL4443">
        <v>0</v>
      </c>
      <c r="AM4443">
        <v>0</v>
      </c>
      <c r="AN4443">
        <v>0</v>
      </c>
      <c r="AT4443">
        <v>0</v>
      </c>
      <c r="AU4443">
        <v>44</v>
      </c>
      <c r="AV4443">
        <v>462</v>
      </c>
      <c r="AW4443">
        <v>461</v>
      </c>
      <c r="AX4443">
        <v>583</v>
      </c>
      <c r="BA4443">
        <v>1</v>
      </c>
      <c r="BC4443" t="s">
        <v>8995</v>
      </c>
      <c r="BD4443" s="4">
        <v>43283.161805555559</v>
      </c>
      <c r="BE4443" s="4">
        <v>43283.173136574071</v>
      </c>
      <c r="BF4443" s="4">
        <v>43283.173136574071</v>
      </c>
      <c r="BG4443" t="s">
        <v>83</v>
      </c>
      <c r="BH4443" t="s">
        <v>84</v>
      </c>
      <c r="BI4443" t="s">
        <v>85</v>
      </c>
    </row>
    <row r="4444" spans="1:61" x14ac:dyDescent="0.3">
      <c r="A4444" t="str">
        <f>"200711B0100"</f>
        <v>200711B0100</v>
      </c>
      <c r="B4444" t="s">
        <v>8996</v>
      </c>
      <c r="C4444">
        <v>20</v>
      </c>
      <c r="D4444" t="s">
        <v>79</v>
      </c>
      <c r="E4444">
        <v>21</v>
      </c>
      <c r="F4444" t="s">
        <v>8898</v>
      </c>
      <c r="G4444">
        <v>711</v>
      </c>
      <c r="H4444">
        <v>1</v>
      </c>
      <c r="I4444" t="s">
        <v>81</v>
      </c>
      <c r="J4444">
        <v>0</v>
      </c>
      <c r="K4444">
        <v>2</v>
      </c>
      <c r="L4444">
        <v>2</v>
      </c>
      <c r="M4444">
        <v>156</v>
      </c>
      <c r="N4444">
        <v>537</v>
      </c>
      <c r="O4444">
        <v>0</v>
      </c>
      <c r="P4444" t="s">
        <v>100</v>
      </c>
      <c r="Q4444">
        <v>85</v>
      </c>
      <c r="R4444">
        <v>150</v>
      </c>
      <c r="S4444">
        <v>5</v>
      </c>
      <c r="T4444">
        <v>5</v>
      </c>
      <c r="U4444">
        <v>115</v>
      </c>
      <c r="V4444">
        <v>2</v>
      </c>
      <c r="W4444">
        <v>22</v>
      </c>
      <c r="X4444">
        <v>9</v>
      </c>
      <c r="Y4444">
        <v>95</v>
      </c>
      <c r="Z4444">
        <v>7</v>
      </c>
      <c r="AA4444">
        <v>1</v>
      </c>
      <c r="AB4444">
        <v>1</v>
      </c>
      <c r="AC4444">
        <v>0</v>
      </c>
      <c r="AD4444">
        <v>2</v>
      </c>
      <c r="AE4444">
        <v>0</v>
      </c>
      <c r="AF4444">
        <v>0</v>
      </c>
      <c r="AG4444">
        <v>0</v>
      </c>
      <c r="AH4444">
        <v>0</v>
      </c>
      <c r="AI4444">
        <v>0</v>
      </c>
      <c r="AJ4444">
        <v>0</v>
      </c>
      <c r="AK4444">
        <v>0</v>
      </c>
      <c r="AL4444">
        <v>0</v>
      </c>
      <c r="AM4444">
        <v>0</v>
      </c>
      <c r="AN4444">
        <v>0</v>
      </c>
      <c r="AT4444">
        <v>38</v>
      </c>
      <c r="AU4444">
        <v>38</v>
      </c>
      <c r="AV4444">
        <v>537</v>
      </c>
      <c r="AW4444">
        <v>575</v>
      </c>
      <c r="AX4444">
        <v>671</v>
      </c>
      <c r="BA4444">
        <v>1</v>
      </c>
      <c r="BC4444" t="s">
        <v>8997</v>
      </c>
      <c r="BD4444" s="4">
        <v>43283.157638888886</v>
      </c>
      <c r="BE4444" s="4">
        <v>43283.170034722221</v>
      </c>
      <c r="BF4444" s="4">
        <v>43283.170034722221</v>
      </c>
      <c r="BG4444" t="s">
        <v>83</v>
      </c>
      <c r="BH4444" t="s">
        <v>84</v>
      </c>
      <c r="BI4444" t="s">
        <v>85</v>
      </c>
    </row>
    <row r="4445" spans="1:61" x14ac:dyDescent="0.3">
      <c r="A4445" t="str">
        <f>"200871B0100"</f>
        <v>200871B0100</v>
      </c>
      <c r="B4445" t="s">
        <v>8998</v>
      </c>
      <c r="C4445">
        <v>20</v>
      </c>
      <c r="D4445" t="s">
        <v>79</v>
      </c>
      <c r="E4445">
        <v>21</v>
      </c>
      <c r="F4445" t="s">
        <v>8898</v>
      </c>
      <c r="G4445">
        <v>871</v>
      </c>
      <c r="H4445">
        <v>1</v>
      </c>
      <c r="I4445" t="s">
        <v>81</v>
      </c>
      <c r="J4445">
        <v>0</v>
      </c>
      <c r="K4445">
        <v>2</v>
      </c>
      <c r="L4445">
        <v>2</v>
      </c>
      <c r="M4445">
        <v>203</v>
      </c>
      <c r="N4445">
        <v>308</v>
      </c>
      <c r="O4445">
        <v>0</v>
      </c>
      <c r="P4445">
        <v>308</v>
      </c>
      <c r="Q4445">
        <v>13</v>
      </c>
      <c r="R4445">
        <v>56</v>
      </c>
      <c r="S4445">
        <v>28</v>
      </c>
      <c r="T4445">
        <v>7</v>
      </c>
      <c r="U4445">
        <v>18</v>
      </c>
      <c r="V4445">
        <v>0</v>
      </c>
      <c r="W4445">
        <v>3</v>
      </c>
      <c r="X4445">
        <v>10</v>
      </c>
      <c r="Y4445">
        <v>141</v>
      </c>
      <c r="Z4445">
        <v>9</v>
      </c>
      <c r="AA4445">
        <v>0</v>
      </c>
      <c r="AB4445">
        <v>1</v>
      </c>
      <c r="AC4445">
        <v>1</v>
      </c>
      <c r="AD4445">
        <v>1</v>
      </c>
      <c r="AE4445">
        <v>0</v>
      </c>
      <c r="AF4445">
        <v>0</v>
      </c>
      <c r="AG4445">
        <v>0</v>
      </c>
      <c r="AH4445">
        <v>1</v>
      </c>
      <c r="AI4445">
        <v>0</v>
      </c>
      <c r="AJ4445">
        <v>0</v>
      </c>
      <c r="AK4445">
        <v>5</v>
      </c>
      <c r="AL4445">
        <v>0</v>
      </c>
      <c r="AM4445">
        <v>0</v>
      </c>
      <c r="AN4445">
        <v>0</v>
      </c>
      <c r="AT4445">
        <v>0</v>
      </c>
      <c r="AU4445">
        <v>14</v>
      </c>
      <c r="AV4445">
        <v>308</v>
      </c>
      <c r="AW4445">
        <v>308</v>
      </c>
      <c r="AX4445">
        <v>489</v>
      </c>
      <c r="BA4445">
        <v>1</v>
      </c>
      <c r="BC4445" t="s">
        <v>8999</v>
      </c>
      <c r="BD4445" s="4">
        <v>43283.394444444442</v>
      </c>
      <c r="BE4445" s="4">
        <v>43283.399976851855</v>
      </c>
      <c r="BF4445" s="4">
        <v>43283.399976851855</v>
      </c>
      <c r="BG4445" t="s">
        <v>83</v>
      </c>
      <c r="BH4445" t="s">
        <v>84</v>
      </c>
      <c r="BI4445" t="s">
        <v>85</v>
      </c>
    </row>
    <row r="4446" spans="1:61" x14ac:dyDescent="0.3">
      <c r="A4446" t="str">
        <f>"200871C0100"</f>
        <v>200871C0100</v>
      </c>
      <c r="B4446" t="s">
        <v>9000</v>
      </c>
      <c r="C4446">
        <v>20</v>
      </c>
      <c r="D4446" t="s">
        <v>79</v>
      </c>
      <c r="E4446">
        <v>21</v>
      </c>
      <c r="F4446" t="s">
        <v>8898</v>
      </c>
      <c r="G4446">
        <v>871</v>
      </c>
      <c r="H4446">
        <v>1</v>
      </c>
      <c r="I4446" t="s">
        <v>89</v>
      </c>
      <c r="J4446">
        <v>0</v>
      </c>
      <c r="K4446">
        <v>2</v>
      </c>
      <c r="L4446">
        <v>2</v>
      </c>
      <c r="M4446">
        <v>208</v>
      </c>
      <c r="N4446">
        <v>279</v>
      </c>
      <c r="O4446">
        <v>0</v>
      </c>
      <c r="P4446">
        <v>279</v>
      </c>
      <c r="Q4446">
        <v>19</v>
      </c>
      <c r="R4446">
        <v>49</v>
      </c>
      <c r="S4446">
        <v>14</v>
      </c>
      <c r="T4446">
        <v>7</v>
      </c>
      <c r="U4446">
        <v>21</v>
      </c>
      <c r="V4446">
        <v>4</v>
      </c>
      <c r="W4446">
        <v>5</v>
      </c>
      <c r="X4446">
        <v>5</v>
      </c>
      <c r="Y4446">
        <v>132</v>
      </c>
      <c r="Z4446">
        <v>4</v>
      </c>
      <c r="AA4446">
        <v>2</v>
      </c>
      <c r="AB4446">
        <v>1</v>
      </c>
      <c r="AC4446">
        <v>1</v>
      </c>
      <c r="AD4446">
        <v>0</v>
      </c>
      <c r="AE4446">
        <v>1</v>
      </c>
      <c r="AF4446">
        <v>0</v>
      </c>
      <c r="AG4446">
        <v>0</v>
      </c>
      <c r="AH4446">
        <v>0</v>
      </c>
      <c r="AI4446">
        <v>0</v>
      </c>
      <c r="AJ4446">
        <v>0</v>
      </c>
      <c r="AK4446">
        <v>1</v>
      </c>
      <c r="AL4446">
        <v>0</v>
      </c>
      <c r="AM4446">
        <v>0</v>
      </c>
      <c r="AN4446">
        <v>5</v>
      </c>
      <c r="AT4446">
        <v>0</v>
      </c>
      <c r="AU4446">
        <v>8</v>
      </c>
      <c r="AV4446">
        <v>279</v>
      </c>
      <c r="AW4446">
        <v>279</v>
      </c>
      <c r="AX4446">
        <v>489</v>
      </c>
      <c r="BA4446">
        <v>1</v>
      </c>
      <c r="BC4446" t="s">
        <v>9001</v>
      </c>
      <c r="BD4446" s="4">
        <v>43283.396527777775</v>
      </c>
      <c r="BE4446" s="4">
        <v>43283.401608796295</v>
      </c>
      <c r="BF4446" s="4">
        <v>43283.401608796295</v>
      </c>
      <c r="BG4446" t="s">
        <v>83</v>
      </c>
      <c r="BH4446" t="s">
        <v>84</v>
      </c>
      <c r="BI4446" t="s">
        <v>85</v>
      </c>
    </row>
    <row r="4447" spans="1:61" x14ac:dyDescent="0.3">
      <c r="A4447" t="str">
        <f>"200872B0100"</f>
        <v>200872B0100</v>
      </c>
      <c r="B4447" t="s">
        <v>9002</v>
      </c>
      <c r="C4447">
        <v>20</v>
      </c>
      <c r="D4447" t="s">
        <v>79</v>
      </c>
      <c r="E4447">
        <v>21</v>
      </c>
      <c r="F4447" t="s">
        <v>8898</v>
      </c>
      <c r="G4447">
        <v>872</v>
      </c>
      <c r="H4447">
        <v>1</v>
      </c>
      <c r="I4447" t="s">
        <v>81</v>
      </c>
      <c r="J4447">
        <v>0</v>
      </c>
      <c r="K4447">
        <v>2</v>
      </c>
      <c r="L4447">
        <v>2</v>
      </c>
      <c r="M4447">
        <v>228</v>
      </c>
      <c r="N4447">
        <v>265</v>
      </c>
      <c r="O4447">
        <v>0</v>
      </c>
      <c r="P4447">
        <v>265</v>
      </c>
      <c r="Q4447">
        <v>8</v>
      </c>
      <c r="R4447">
        <v>63</v>
      </c>
      <c r="S4447">
        <v>9</v>
      </c>
      <c r="T4447">
        <v>4</v>
      </c>
      <c r="U4447">
        <v>14</v>
      </c>
      <c r="V4447">
        <v>1</v>
      </c>
      <c r="W4447">
        <v>3</v>
      </c>
      <c r="X4447">
        <v>4</v>
      </c>
      <c r="Y4447">
        <v>133</v>
      </c>
      <c r="Z4447">
        <v>6</v>
      </c>
      <c r="AA4447">
        <v>1</v>
      </c>
      <c r="AB4447">
        <v>1</v>
      </c>
      <c r="AC4447">
        <v>0</v>
      </c>
      <c r="AD4447">
        <v>0</v>
      </c>
      <c r="AE4447">
        <v>0</v>
      </c>
      <c r="AF4447">
        <v>0</v>
      </c>
      <c r="AG4447">
        <v>0</v>
      </c>
      <c r="AH4447">
        <v>0</v>
      </c>
      <c r="AI4447">
        <v>0</v>
      </c>
      <c r="AJ4447">
        <v>0</v>
      </c>
      <c r="AK4447">
        <v>6</v>
      </c>
      <c r="AL4447">
        <v>0</v>
      </c>
      <c r="AM4447">
        <v>0</v>
      </c>
      <c r="AN4447">
        <v>0</v>
      </c>
      <c r="AT4447">
        <v>0</v>
      </c>
      <c r="AU4447">
        <v>12</v>
      </c>
      <c r="AV4447">
        <v>265</v>
      </c>
      <c r="AW4447">
        <v>265</v>
      </c>
      <c r="AX4447">
        <v>471</v>
      </c>
      <c r="BA4447">
        <v>1</v>
      </c>
      <c r="BC4447" t="s">
        <v>9003</v>
      </c>
      <c r="BD4447" s="4">
        <v>43283.4</v>
      </c>
      <c r="BE4447" s="4">
        <v>43283.404641203706</v>
      </c>
      <c r="BF4447" s="4">
        <v>43283.404641203706</v>
      </c>
      <c r="BG4447" t="s">
        <v>83</v>
      </c>
      <c r="BH4447" t="s">
        <v>84</v>
      </c>
      <c r="BI4447" t="s">
        <v>85</v>
      </c>
    </row>
    <row r="4448" spans="1:61" x14ac:dyDescent="0.3">
      <c r="A4448" t="str">
        <f>"200873B0100"</f>
        <v>200873B0100</v>
      </c>
      <c r="B4448" t="s">
        <v>9004</v>
      </c>
      <c r="C4448">
        <v>20</v>
      </c>
      <c r="D4448" t="s">
        <v>79</v>
      </c>
      <c r="E4448">
        <v>21</v>
      </c>
      <c r="F4448" t="s">
        <v>8898</v>
      </c>
      <c r="G4448">
        <v>873</v>
      </c>
      <c r="H4448">
        <v>1</v>
      </c>
      <c r="I4448" t="s">
        <v>81</v>
      </c>
      <c r="J4448">
        <v>0</v>
      </c>
      <c r="K4448">
        <v>2</v>
      </c>
      <c r="L4448">
        <v>2</v>
      </c>
      <c r="M4448">
        <v>171</v>
      </c>
      <c r="N4448" t="s">
        <v>100</v>
      </c>
      <c r="O4448" t="s">
        <v>315</v>
      </c>
      <c r="P4448" t="s">
        <v>100</v>
      </c>
      <c r="Q4448">
        <v>10</v>
      </c>
      <c r="R4448">
        <v>9</v>
      </c>
      <c r="S4448">
        <v>18</v>
      </c>
      <c r="T4448">
        <v>3</v>
      </c>
      <c r="U4448">
        <v>6</v>
      </c>
      <c r="V4448">
        <v>3</v>
      </c>
      <c r="W4448">
        <v>1</v>
      </c>
      <c r="X4448">
        <v>3</v>
      </c>
      <c r="Y4448">
        <v>172</v>
      </c>
      <c r="Z4448">
        <v>4</v>
      </c>
      <c r="AA4448">
        <v>0</v>
      </c>
      <c r="AB4448">
        <v>0</v>
      </c>
      <c r="AC4448">
        <v>0</v>
      </c>
      <c r="AD4448">
        <v>0</v>
      </c>
      <c r="AE4448">
        <v>0</v>
      </c>
      <c r="AF4448">
        <v>0</v>
      </c>
      <c r="AG4448">
        <v>0</v>
      </c>
      <c r="AH4448">
        <v>0</v>
      </c>
      <c r="AI4448">
        <v>0</v>
      </c>
      <c r="AJ4448">
        <v>0</v>
      </c>
      <c r="AK4448">
        <v>3</v>
      </c>
      <c r="AL4448">
        <v>2</v>
      </c>
      <c r="AM4448">
        <v>0</v>
      </c>
      <c r="AN4448">
        <v>2</v>
      </c>
      <c r="AT4448">
        <v>0</v>
      </c>
      <c r="AU4448">
        <v>0</v>
      </c>
      <c r="AV4448" t="s">
        <v>315</v>
      </c>
      <c r="AW4448">
        <v>236</v>
      </c>
      <c r="AX4448">
        <v>390</v>
      </c>
      <c r="BA4448">
        <v>1</v>
      </c>
      <c r="BC4448" t="s">
        <v>9005</v>
      </c>
      <c r="BD4448" s="4">
        <v>43283.625</v>
      </c>
      <c r="BE4448" s="4">
        <v>43283.628460648149</v>
      </c>
      <c r="BF4448" s="4">
        <v>43283.628460648149</v>
      </c>
      <c r="BG4448" t="s">
        <v>83</v>
      </c>
      <c r="BH4448" t="s">
        <v>84</v>
      </c>
      <c r="BI4448" t="s">
        <v>85</v>
      </c>
    </row>
    <row r="4449" spans="1:61" x14ac:dyDescent="0.3">
      <c r="A4449" t="str">
        <f>"200873C0100"</f>
        <v>200873C0100</v>
      </c>
      <c r="B4449" t="s">
        <v>9006</v>
      </c>
      <c r="C4449">
        <v>20</v>
      </c>
      <c r="D4449" t="s">
        <v>79</v>
      </c>
      <c r="E4449">
        <v>21</v>
      </c>
      <c r="F4449" t="s">
        <v>8898</v>
      </c>
      <c r="G4449">
        <v>873</v>
      </c>
      <c r="H4449">
        <v>1</v>
      </c>
      <c r="I4449" t="s">
        <v>89</v>
      </c>
      <c r="J4449">
        <v>0</v>
      </c>
      <c r="K4449">
        <v>2</v>
      </c>
      <c r="L4449">
        <v>2</v>
      </c>
      <c r="M4449">
        <v>192</v>
      </c>
      <c r="N4449" t="s">
        <v>100</v>
      </c>
      <c r="O4449">
        <v>0</v>
      </c>
      <c r="P4449" t="s">
        <v>100</v>
      </c>
      <c r="Q4449">
        <v>5</v>
      </c>
      <c r="R4449">
        <v>7</v>
      </c>
      <c r="S4449">
        <v>15</v>
      </c>
      <c r="T4449">
        <v>2</v>
      </c>
      <c r="U4449">
        <v>12</v>
      </c>
      <c r="V4449">
        <v>1</v>
      </c>
      <c r="W4449">
        <v>1</v>
      </c>
      <c r="X4449">
        <v>3</v>
      </c>
      <c r="Y4449">
        <v>154</v>
      </c>
      <c r="Z4449">
        <v>4</v>
      </c>
      <c r="AA4449">
        <v>0</v>
      </c>
      <c r="AB4449">
        <v>0</v>
      </c>
      <c r="AC4449">
        <v>0</v>
      </c>
      <c r="AD4449">
        <v>0</v>
      </c>
      <c r="AE4449">
        <v>0</v>
      </c>
      <c r="AF4449">
        <v>0</v>
      </c>
      <c r="AG4449">
        <v>0</v>
      </c>
      <c r="AH4449">
        <v>0</v>
      </c>
      <c r="AI4449">
        <v>0</v>
      </c>
      <c r="AJ4449">
        <v>0</v>
      </c>
      <c r="AK4449">
        <v>5</v>
      </c>
      <c r="AL4449">
        <v>3</v>
      </c>
      <c r="AM4449">
        <v>1</v>
      </c>
      <c r="AN4449">
        <v>0</v>
      </c>
      <c r="AT4449">
        <v>0</v>
      </c>
      <c r="AU4449">
        <v>7</v>
      </c>
      <c r="AV4449">
        <v>220</v>
      </c>
      <c r="AW4449">
        <v>220</v>
      </c>
      <c r="AX4449">
        <v>390</v>
      </c>
      <c r="BA4449">
        <v>1</v>
      </c>
      <c r="BC4449" t="s">
        <v>9007</v>
      </c>
      <c r="BD4449" s="4">
        <v>43283.629861111112</v>
      </c>
      <c r="BE4449" s="4">
        <v>43283.633229166669</v>
      </c>
      <c r="BF4449" s="4">
        <v>43283.633229166669</v>
      </c>
      <c r="BG4449" t="s">
        <v>83</v>
      </c>
      <c r="BH4449" t="s">
        <v>84</v>
      </c>
      <c r="BI4449" t="s">
        <v>85</v>
      </c>
    </row>
    <row r="4450" spans="1:61" x14ac:dyDescent="0.3">
      <c r="A4450" t="str">
        <f>"200899B0100"</f>
        <v>200899B0100</v>
      </c>
      <c r="B4450" t="s">
        <v>9008</v>
      </c>
      <c r="C4450">
        <v>20</v>
      </c>
      <c r="D4450" t="s">
        <v>79</v>
      </c>
      <c r="E4450">
        <v>21</v>
      </c>
      <c r="F4450" t="s">
        <v>8898</v>
      </c>
      <c r="G4450">
        <v>899</v>
      </c>
      <c r="H4450">
        <v>1</v>
      </c>
      <c r="I4450" t="s">
        <v>81</v>
      </c>
      <c r="J4450">
        <v>0</v>
      </c>
      <c r="K4450">
        <v>2</v>
      </c>
      <c r="L4450">
        <v>2</v>
      </c>
      <c r="M4450">
        <v>283</v>
      </c>
      <c r="N4450">
        <v>341</v>
      </c>
      <c r="O4450">
        <v>0</v>
      </c>
      <c r="P4450">
        <v>341</v>
      </c>
      <c r="Q4450">
        <v>21</v>
      </c>
      <c r="R4450">
        <v>47</v>
      </c>
      <c r="S4450">
        <v>6</v>
      </c>
      <c r="T4450">
        <v>13</v>
      </c>
      <c r="U4450">
        <v>24</v>
      </c>
      <c r="V4450">
        <v>2</v>
      </c>
      <c r="W4450">
        <v>2</v>
      </c>
      <c r="X4450">
        <v>14</v>
      </c>
      <c r="Y4450">
        <v>170</v>
      </c>
      <c r="Z4450">
        <v>5</v>
      </c>
      <c r="AA4450">
        <v>6</v>
      </c>
      <c r="AB4450">
        <v>4</v>
      </c>
      <c r="AC4450">
        <v>2</v>
      </c>
      <c r="AD4450">
        <v>0</v>
      </c>
      <c r="AE4450">
        <v>0</v>
      </c>
      <c r="AF4450">
        <v>0</v>
      </c>
      <c r="AG4450">
        <v>3</v>
      </c>
      <c r="AH4450">
        <v>0</v>
      </c>
      <c r="AI4450">
        <v>0</v>
      </c>
      <c r="AJ4450">
        <v>0</v>
      </c>
      <c r="AK4450">
        <v>12</v>
      </c>
      <c r="AL4450">
        <v>0</v>
      </c>
      <c r="AM4450">
        <v>0</v>
      </c>
      <c r="AN4450">
        <v>0</v>
      </c>
      <c r="AT4450">
        <v>0</v>
      </c>
      <c r="AU4450">
        <v>10</v>
      </c>
      <c r="AV4450">
        <v>341</v>
      </c>
      <c r="AW4450">
        <v>341</v>
      </c>
      <c r="AX4450">
        <v>602</v>
      </c>
      <c r="BA4450">
        <v>1</v>
      </c>
      <c r="BC4450" t="s">
        <v>9009</v>
      </c>
      <c r="BD4450" s="4">
        <v>43283.5625</v>
      </c>
      <c r="BE4450" s="4">
        <v>43283.568912037037</v>
      </c>
      <c r="BF4450" s="4">
        <v>43283.568912037037</v>
      </c>
      <c r="BG4450" t="s">
        <v>83</v>
      </c>
      <c r="BH4450" t="s">
        <v>84</v>
      </c>
      <c r="BI4450" t="s">
        <v>85</v>
      </c>
    </row>
    <row r="4451" spans="1:61" x14ac:dyDescent="0.3">
      <c r="A4451" t="str">
        <f>"200899C0100"</f>
        <v>200899C0100</v>
      </c>
      <c r="B4451" t="s">
        <v>9010</v>
      </c>
      <c r="C4451">
        <v>20</v>
      </c>
      <c r="D4451" t="s">
        <v>79</v>
      </c>
      <c r="E4451">
        <v>21</v>
      </c>
      <c r="F4451" t="s">
        <v>8898</v>
      </c>
      <c r="G4451">
        <v>899</v>
      </c>
      <c r="H4451">
        <v>1</v>
      </c>
      <c r="I4451" t="s">
        <v>89</v>
      </c>
      <c r="J4451">
        <v>0</v>
      </c>
      <c r="K4451">
        <v>2</v>
      </c>
      <c r="L4451">
        <v>2</v>
      </c>
      <c r="M4451">
        <v>287</v>
      </c>
      <c r="N4451">
        <v>337</v>
      </c>
      <c r="O4451">
        <v>0</v>
      </c>
      <c r="P4451">
        <v>337</v>
      </c>
      <c r="Q4451">
        <v>22</v>
      </c>
      <c r="R4451">
        <v>33</v>
      </c>
      <c r="S4451">
        <v>6</v>
      </c>
      <c r="T4451">
        <v>8</v>
      </c>
      <c r="U4451">
        <v>28</v>
      </c>
      <c r="V4451">
        <v>5</v>
      </c>
      <c r="W4451">
        <v>4</v>
      </c>
      <c r="X4451">
        <v>9</v>
      </c>
      <c r="Y4451">
        <v>176</v>
      </c>
      <c r="Z4451">
        <v>12</v>
      </c>
      <c r="AA4451">
        <v>6</v>
      </c>
      <c r="AB4451">
        <v>0</v>
      </c>
      <c r="AC4451">
        <v>1</v>
      </c>
      <c r="AD4451">
        <v>0</v>
      </c>
      <c r="AE4451">
        <v>0</v>
      </c>
      <c r="AF4451">
        <v>0</v>
      </c>
      <c r="AG4451">
        <v>0</v>
      </c>
      <c r="AH4451">
        <v>0</v>
      </c>
      <c r="AI4451">
        <v>0</v>
      </c>
      <c r="AJ4451">
        <v>0</v>
      </c>
      <c r="AK4451">
        <v>6</v>
      </c>
      <c r="AL4451">
        <v>1</v>
      </c>
      <c r="AM4451">
        <v>2</v>
      </c>
      <c r="AN4451">
        <v>0</v>
      </c>
      <c r="AT4451">
        <v>0</v>
      </c>
      <c r="AU4451">
        <v>18</v>
      </c>
      <c r="AV4451">
        <v>337</v>
      </c>
      <c r="AW4451">
        <v>337</v>
      </c>
      <c r="AX4451">
        <v>602</v>
      </c>
      <c r="BA4451">
        <v>1</v>
      </c>
      <c r="BC4451" t="s">
        <v>9011</v>
      </c>
      <c r="BD4451" s="4">
        <v>43283.564583333333</v>
      </c>
      <c r="BE4451" s="4">
        <v>43283.56890046296</v>
      </c>
      <c r="BF4451" s="4">
        <v>43283.56890046296</v>
      </c>
      <c r="BG4451" t="s">
        <v>83</v>
      </c>
      <c r="BH4451" t="s">
        <v>84</v>
      </c>
      <c r="BI4451" t="s">
        <v>85</v>
      </c>
    </row>
    <row r="4452" spans="1:61" x14ac:dyDescent="0.3">
      <c r="A4452" t="str">
        <f>"200908B0100"</f>
        <v>200908B0100</v>
      </c>
      <c r="B4452" t="s">
        <v>9012</v>
      </c>
      <c r="C4452">
        <v>20</v>
      </c>
      <c r="D4452" t="s">
        <v>79</v>
      </c>
      <c r="E4452">
        <v>21</v>
      </c>
      <c r="F4452" t="s">
        <v>8898</v>
      </c>
      <c r="G4452">
        <v>908</v>
      </c>
      <c r="H4452">
        <v>1</v>
      </c>
      <c r="I4452" t="s">
        <v>81</v>
      </c>
      <c r="J4452">
        <v>0</v>
      </c>
      <c r="K4452">
        <v>2</v>
      </c>
      <c r="L4452">
        <v>2</v>
      </c>
      <c r="M4452">
        <v>143</v>
      </c>
      <c r="N4452">
        <v>315</v>
      </c>
      <c r="O4452">
        <v>3</v>
      </c>
      <c r="P4452">
        <v>315</v>
      </c>
      <c r="Q4452">
        <v>8</v>
      </c>
      <c r="R4452">
        <v>77</v>
      </c>
      <c r="S4452">
        <v>6</v>
      </c>
      <c r="T4452">
        <v>1</v>
      </c>
      <c r="U4452">
        <v>6</v>
      </c>
      <c r="V4452">
        <v>3</v>
      </c>
      <c r="W4452">
        <v>2</v>
      </c>
      <c r="X4452">
        <v>4</v>
      </c>
      <c r="Y4452">
        <v>193</v>
      </c>
      <c r="Z4452">
        <v>3</v>
      </c>
      <c r="AA4452">
        <v>1</v>
      </c>
      <c r="AB4452" t="s">
        <v>100</v>
      </c>
      <c r="AC4452" t="s">
        <v>100</v>
      </c>
      <c r="AD4452" t="s">
        <v>100</v>
      </c>
      <c r="AE4452" t="s">
        <v>100</v>
      </c>
      <c r="AF4452" t="s">
        <v>100</v>
      </c>
      <c r="AG4452">
        <v>1</v>
      </c>
      <c r="AH4452">
        <v>3</v>
      </c>
      <c r="AI4452" t="s">
        <v>100</v>
      </c>
      <c r="AJ4452" t="s">
        <v>100</v>
      </c>
      <c r="AK4452">
        <v>3</v>
      </c>
      <c r="AL4452" t="s">
        <v>100</v>
      </c>
      <c r="AM4452" t="s">
        <v>100</v>
      </c>
      <c r="AN4452" t="s">
        <v>100</v>
      </c>
      <c r="AT4452" t="s">
        <v>100</v>
      </c>
      <c r="AU4452">
        <v>4</v>
      </c>
      <c r="AV4452">
        <v>315</v>
      </c>
      <c r="AW4452">
        <v>315</v>
      </c>
      <c r="AX4452">
        <v>436</v>
      </c>
      <c r="AZ4452" t="s">
        <v>101</v>
      </c>
      <c r="BA4452">
        <v>1</v>
      </c>
      <c r="BC4452" t="s">
        <v>9013</v>
      </c>
      <c r="BD4452" s="4">
        <v>43283.402777777781</v>
      </c>
      <c r="BE4452" s="4">
        <v>43283.405787037038</v>
      </c>
      <c r="BF4452" s="4">
        <v>43283.405787037038</v>
      </c>
      <c r="BG4452" t="s">
        <v>83</v>
      </c>
      <c r="BH4452" t="s">
        <v>84</v>
      </c>
      <c r="BI4452" t="s">
        <v>85</v>
      </c>
    </row>
    <row r="4453" spans="1:61" x14ac:dyDescent="0.3">
      <c r="A4453" t="str">
        <f>"200908C0100"</f>
        <v>200908C0100</v>
      </c>
      <c r="B4453" t="s">
        <v>9014</v>
      </c>
      <c r="C4453">
        <v>20</v>
      </c>
      <c r="D4453" t="s">
        <v>79</v>
      </c>
      <c r="E4453">
        <v>21</v>
      </c>
      <c r="F4453" t="s">
        <v>8898</v>
      </c>
      <c r="G4453">
        <v>908</v>
      </c>
      <c r="H4453">
        <v>1</v>
      </c>
      <c r="I4453" t="s">
        <v>89</v>
      </c>
      <c r="J4453">
        <v>0</v>
      </c>
      <c r="K4453">
        <v>2</v>
      </c>
      <c r="L4453">
        <v>2</v>
      </c>
      <c r="M4453">
        <v>151</v>
      </c>
      <c r="N4453">
        <v>307</v>
      </c>
      <c r="O4453">
        <v>1</v>
      </c>
      <c r="P4453">
        <v>307</v>
      </c>
      <c r="Q4453">
        <v>13</v>
      </c>
      <c r="R4453">
        <v>60</v>
      </c>
      <c r="S4453">
        <v>5</v>
      </c>
      <c r="T4453">
        <v>5</v>
      </c>
      <c r="U4453">
        <v>6</v>
      </c>
      <c r="V4453">
        <v>3</v>
      </c>
      <c r="W4453">
        <v>0</v>
      </c>
      <c r="X4453">
        <v>0</v>
      </c>
      <c r="Y4453">
        <v>203</v>
      </c>
      <c r="Z4453">
        <v>2</v>
      </c>
      <c r="AA4453">
        <v>1</v>
      </c>
      <c r="AB4453">
        <v>3</v>
      </c>
      <c r="AC4453">
        <v>0</v>
      </c>
      <c r="AD4453">
        <v>0</v>
      </c>
      <c r="AE4453">
        <v>0</v>
      </c>
      <c r="AF4453">
        <v>0</v>
      </c>
      <c r="AG4453">
        <v>0</v>
      </c>
      <c r="AH4453">
        <v>2</v>
      </c>
      <c r="AI4453">
        <v>0</v>
      </c>
      <c r="AJ4453">
        <v>0</v>
      </c>
      <c r="AK4453">
        <v>0</v>
      </c>
      <c r="AL4453">
        <v>0</v>
      </c>
      <c r="AM4453">
        <v>0</v>
      </c>
      <c r="AN4453">
        <v>0</v>
      </c>
      <c r="AT4453">
        <v>0</v>
      </c>
      <c r="AU4453">
        <v>4</v>
      </c>
      <c r="AV4453">
        <v>307</v>
      </c>
      <c r="AW4453">
        <v>307</v>
      </c>
      <c r="AX4453">
        <v>436</v>
      </c>
      <c r="BA4453">
        <v>1</v>
      </c>
      <c r="BC4453" t="s">
        <v>9015</v>
      </c>
      <c r="BD4453" s="4">
        <v>43283.404166666667</v>
      </c>
      <c r="BE4453" s="4">
        <v>43283.409328703703</v>
      </c>
      <c r="BF4453" s="4">
        <v>43283.409328703703</v>
      </c>
      <c r="BG4453" t="s">
        <v>83</v>
      </c>
      <c r="BH4453" t="s">
        <v>84</v>
      </c>
      <c r="BI4453" t="s">
        <v>85</v>
      </c>
    </row>
    <row r="4454" spans="1:61" x14ac:dyDescent="0.3">
      <c r="A4454" t="str">
        <f>"200909B0100"</f>
        <v>200909B0100</v>
      </c>
      <c r="B4454" t="s">
        <v>9016</v>
      </c>
      <c r="C4454">
        <v>20</v>
      </c>
      <c r="D4454" t="s">
        <v>79</v>
      </c>
      <c r="E4454">
        <v>21</v>
      </c>
      <c r="F4454" t="s">
        <v>8898</v>
      </c>
      <c r="G4454">
        <v>909</v>
      </c>
      <c r="H4454">
        <v>1</v>
      </c>
      <c r="I4454" t="s">
        <v>81</v>
      </c>
      <c r="J4454">
        <v>0</v>
      </c>
      <c r="K4454">
        <v>2</v>
      </c>
      <c r="L4454">
        <v>2</v>
      </c>
      <c r="M4454">
        <v>226</v>
      </c>
      <c r="N4454">
        <v>385</v>
      </c>
      <c r="O4454">
        <v>5</v>
      </c>
      <c r="P4454">
        <v>7</v>
      </c>
      <c r="Q4454">
        <v>17</v>
      </c>
      <c r="R4454">
        <v>96</v>
      </c>
      <c r="S4454">
        <v>10</v>
      </c>
      <c r="T4454">
        <v>3</v>
      </c>
      <c r="U4454">
        <v>11</v>
      </c>
      <c r="V4454">
        <v>2</v>
      </c>
      <c r="W4454">
        <v>2</v>
      </c>
      <c r="X4454">
        <v>3</v>
      </c>
      <c r="Y4454">
        <v>218</v>
      </c>
      <c r="Z4454">
        <v>3</v>
      </c>
      <c r="AA4454">
        <v>1</v>
      </c>
      <c r="AB4454">
        <v>1</v>
      </c>
      <c r="AC4454">
        <v>0</v>
      </c>
      <c r="AD4454">
        <v>1</v>
      </c>
      <c r="AE4454">
        <v>0</v>
      </c>
      <c r="AF4454">
        <v>0</v>
      </c>
      <c r="AG4454">
        <v>1</v>
      </c>
      <c r="AH4454">
        <v>1</v>
      </c>
      <c r="AI4454">
        <v>0</v>
      </c>
      <c r="AJ4454">
        <v>0</v>
      </c>
      <c r="AK4454">
        <v>1</v>
      </c>
      <c r="AL4454">
        <v>1</v>
      </c>
      <c r="AM4454">
        <v>0</v>
      </c>
      <c r="AN4454">
        <v>1</v>
      </c>
      <c r="AT4454">
        <v>1</v>
      </c>
      <c r="AU4454">
        <v>14</v>
      </c>
      <c r="AV4454">
        <v>388</v>
      </c>
      <c r="AW4454">
        <v>388</v>
      </c>
      <c r="AX4454">
        <v>591</v>
      </c>
      <c r="BA4454">
        <v>1</v>
      </c>
      <c r="BC4454" t="s">
        <v>9017</v>
      </c>
      <c r="BD4454" s="4">
        <v>43283.405555555553</v>
      </c>
      <c r="BE4454" s="4">
        <v>43283.409930555557</v>
      </c>
      <c r="BF4454" s="4">
        <v>43283.409930555557</v>
      </c>
      <c r="BG4454" t="s">
        <v>83</v>
      </c>
      <c r="BH4454" t="s">
        <v>84</v>
      </c>
      <c r="BI4454" t="s">
        <v>85</v>
      </c>
    </row>
    <row r="4455" spans="1:61" x14ac:dyDescent="0.3">
      <c r="A4455" t="str">
        <f>"200909C0100"</f>
        <v>200909C0100</v>
      </c>
      <c r="B4455" t="s">
        <v>9018</v>
      </c>
      <c r="C4455">
        <v>20</v>
      </c>
      <c r="D4455" t="s">
        <v>79</v>
      </c>
      <c r="E4455">
        <v>21</v>
      </c>
      <c r="F4455" t="s">
        <v>8898</v>
      </c>
      <c r="G4455">
        <v>909</v>
      </c>
      <c r="H4455">
        <v>1</v>
      </c>
      <c r="I4455" t="s">
        <v>89</v>
      </c>
      <c r="J4455">
        <v>0</v>
      </c>
      <c r="K4455">
        <v>2</v>
      </c>
      <c r="L4455">
        <v>2</v>
      </c>
      <c r="M4455">
        <v>224</v>
      </c>
      <c r="N4455">
        <v>388</v>
      </c>
      <c r="O4455">
        <v>6</v>
      </c>
      <c r="P4455">
        <v>386</v>
      </c>
      <c r="Q4455">
        <v>17</v>
      </c>
      <c r="R4455">
        <v>109</v>
      </c>
      <c r="S4455">
        <v>10</v>
      </c>
      <c r="T4455">
        <v>1</v>
      </c>
      <c r="U4455">
        <v>12</v>
      </c>
      <c r="V4455">
        <v>1</v>
      </c>
      <c r="W4455">
        <v>4</v>
      </c>
      <c r="X4455">
        <v>2</v>
      </c>
      <c r="Y4455">
        <v>201</v>
      </c>
      <c r="Z4455">
        <v>3</v>
      </c>
      <c r="AA4455">
        <v>0</v>
      </c>
      <c r="AB4455">
        <v>0</v>
      </c>
      <c r="AC4455">
        <v>0</v>
      </c>
      <c r="AD4455">
        <v>0</v>
      </c>
      <c r="AE4455">
        <v>0</v>
      </c>
      <c r="AF4455">
        <v>0</v>
      </c>
      <c r="AG4455">
        <v>3</v>
      </c>
      <c r="AH4455">
        <v>1</v>
      </c>
      <c r="AI4455">
        <v>0</v>
      </c>
      <c r="AJ4455">
        <v>0</v>
      </c>
      <c r="AK4455">
        <v>2</v>
      </c>
      <c r="AL4455">
        <v>3</v>
      </c>
      <c r="AM4455">
        <v>0</v>
      </c>
      <c r="AN4455">
        <v>2</v>
      </c>
      <c r="AT4455">
        <v>0</v>
      </c>
      <c r="AU4455">
        <v>15</v>
      </c>
      <c r="AV4455">
        <v>386</v>
      </c>
      <c r="AW4455">
        <v>386</v>
      </c>
      <c r="AX4455">
        <v>590</v>
      </c>
      <c r="BA4455">
        <v>1</v>
      </c>
      <c r="BC4455" t="s">
        <v>9019</v>
      </c>
      <c r="BD4455" s="4">
        <v>43283.408333333333</v>
      </c>
      <c r="BE4455" s="4">
        <v>43283.412581018521</v>
      </c>
      <c r="BF4455" s="4">
        <v>43283.412581018521</v>
      </c>
      <c r="BG4455" t="s">
        <v>83</v>
      </c>
      <c r="BH4455" t="s">
        <v>84</v>
      </c>
      <c r="BI4455" t="s">
        <v>85</v>
      </c>
    </row>
    <row r="4456" spans="1:61" x14ac:dyDescent="0.3">
      <c r="A4456" t="str">
        <f>"200910B0100"</f>
        <v>200910B0100</v>
      </c>
      <c r="B4456" t="s">
        <v>9020</v>
      </c>
      <c r="C4456">
        <v>20</v>
      </c>
      <c r="D4456" t="s">
        <v>79</v>
      </c>
      <c r="E4456">
        <v>21</v>
      </c>
      <c r="F4456" t="s">
        <v>8898</v>
      </c>
      <c r="G4456">
        <v>910</v>
      </c>
      <c r="H4456">
        <v>1</v>
      </c>
      <c r="I4456" t="s">
        <v>81</v>
      </c>
      <c r="J4456">
        <v>0</v>
      </c>
      <c r="K4456">
        <v>2</v>
      </c>
      <c r="L4456">
        <v>2</v>
      </c>
      <c r="M4456">
        <v>255</v>
      </c>
      <c r="N4456">
        <v>509</v>
      </c>
      <c r="O4456">
        <v>0</v>
      </c>
      <c r="P4456">
        <v>509</v>
      </c>
      <c r="Q4456">
        <v>23</v>
      </c>
      <c r="R4456">
        <v>168</v>
      </c>
      <c r="S4456">
        <v>9</v>
      </c>
      <c r="T4456">
        <v>8</v>
      </c>
      <c r="U4456">
        <v>14</v>
      </c>
      <c r="V4456">
        <v>4</v>
      </c>
      <c r="W4456">
        <v>1</v>
      </c>
      <c r="X4456">
        <v>2</v>
      </c>
      <c r="Y4456">
        <v>246</v>
      </c>
      <c r="Z4456">
        <v>1</v>
      </c>
      <c r="AA4456">
        <v>1</v>
      </c>
      <c r="AB4456">
        <v>0</v>
      </c>
      <c r="AC4456">
        <v>0</v>
      </c>
      <c r="AD4456">
        <v>0</v>
      </c>
      <c r="AE4456">
        <v>0</v>
      </c>
      <c r="AF4456">
        <v>0</v>
      </c>
      <c r="AG4456">
        <v>0</v>
      </c>
      <c r="AH4456">
        <v>9</v>
      </c>
      <c r="AI4456">
        <v>2</v>
      </c>
      <c r="AJ4456">
        <v>0</v>
      </c>
      <c r="AK4456">
        <v>1</v>
      </c>
      <c r="AL4456">
        <v>2</v>
      </c>
      <c r="AM4456">
        <v>2</v>
      </c>
      <c r="AN4456">
        <v>0</v>
      </c>
      <c r="AT4456">
        <v>0</v>
      </c>
      <c r="AU4456">
        <v>16</v>
      </c>
      <c r="AV4456">
        <v>509</v>
      </c>
      <c r="AW4456">
        <v>509</v>
      </c>
      <c r="AX4456">
        <v>742</v>
      </c>
      <c r="BA4456">
        <v>1</v>
      </c>
      <c r="BC4456" t="s">
        <v>9021</v>
      </c>
      <c r="BD4456" s="4">
        <v>43283.410416666666</v>
      </c>
      <c r="BE4456" s="4">
        <v>43283.414479166669</v>
      </c>
      <c r="BF4456" s="4">
        <v>43283.414479166669</v>
      </c>
      <c r="BG4456" t="s">
        <v>83</v>
      </c>
      <c r="BH4456" t="s">
        <v>84</v>
      </c>
      <c r="BI4456" t="s">
        <v>85</v>
      </c>
    </row>
    <row r="4457" spans="1:61" x14ac:dyDescent="0.3">
      <c r="A4457" t="str">
        <f>"200910E0100"</f>
        <v>200910E0100</v>
      </c>
      <c r="B4457" s="2" t="s">
        <v>9022</v>
      </c>
      <c r="C4457">
        <v>20</v>
      </c>
      <c r="D4457" t="s">
        <v>79</v>
      </c>
      <c r="E4457">
        <v>21</v>
      </c>
      <c r="F4457" t="s">
        <v>8898</v>
      </c>
      <c r="G4457">
        <v>910</v>
      </c>
      <c r="H4457">
        <v>1</v>
      </c>
      <c r="I4457" t="s">
        <v>145</v>
      </c>
      <c r="J4457">
        <v>0</v>
      </c>
      <c r="K4457">
        <v>2</v>
      </c>
      <c r="L4457">
        <v>2</v>
      </c>
      <c r="M4457">
        <v>128</v>
      </c>
      <c r="N4457">
        <v>345</v>
      </c>
      <c r="O4457">
        <v>6</v>
      </c>
      <c r="P4457">
        <v>328</v>
      </c>
      <c r="Q4457">
        <v>16</v>
      </c>
      <c r="R4457">
        <v>110</v>
      </c>
      <c r="S4457">
        <v>7</v>
      </c>
      <c r="T4457">
        <v>3</v>
      </c>
      <c r="U4457">
        <v>10</v>
      </c>
      <c r="V4457">
        <v>3</v>
      </c>
      <c r="W4457">
        <v>6</v>
      </c>
      <c r="X4457">
        <v>0</v>
      </c>
      <c r="Y4457">
        <v>158</v>
      </c>
      <c r="Z4457">
        <v>8</v>
      </c>
      <c r="AA4457">
        <v>0</v>
      </c>
      <c r="AB4457">
        <v>2</v>
      </c>
      <c r="AC4457">
        <v>1</v>
      </c>
      <c r="AD4457">
        <v>1</v>
      </c>
      <c r="AE4457">
        <v>0</v>
      </c>
      <c r="AF4457">
        <v>0</v>
      </c>
      <c r="AG4457">
        <v>1</v>
      </c>
      <c r="AH4457">
        <v>6</v>
      </c>
      <c r="AI4457">
        <v>0</v>
      </c>
      <c r="AJ4457">
        <v>0</v>
      </c>
      <c r="AK4457">
        <v>0</v>
      </c>
      <c r="AL4457">
        <v>1</v>
      </c>
      <c r="AM4457">
        <v>1</v>
      </c>
      <c r="AN4457">
        <v>0</v>
      </c>
      <c r="AT4457" t="s">
        <v>100</v>
      </c>
      <c r="AU4457">
        <v>10</v>
      </c>
      <c r="AV4457" t="s">
        <v>100</v>
      </c>
      <c r="AW4457">
        <v>344</v>
      </c>
      <c r="AX4457">
        <v>452</v>
      </c>
      <c r="AZ4457" t="s">
        <v>101</v>
      </c>
      <c r="BA4457">
        <v>1</v>
      </c>
      <c r="BC4457" t="s">
        <v>9023</v>
      </c>
      <c r="BD4457" s="4">
        <v>43283.413194444445</v>
      </c>
      <c r="BE4457" s="4">
        <v>43283.417974537035</v>
      </c>
      <c r="BF4457" s="4">
        <v>43283.417974537035</v>
      </c>
      <c r="BG4457" t="s">
        <v>83</v>
      </c>
      <c r="BH4457" t="s">
        <v>84</v>
      </c>
      <c r="BI4457" t="s">
        <v>85</v>
      </c>
    </row>
    <row r="4458" spans="1:61" x14ac:dyDescent="0.3">
      <c r="A4458" t="str">
        <f>"200913B0100"</f>
        <v>200913B0100</v>
      </c>
      <c r="B4458" t="s">
        <v>9024</v>
      </c>
      <c r="C4458">
        <v>20</v>
      </c>
      <c r="D4458" t="s">
        <v>79</v>
      </c>
      <c r="E4458">
        <v>21</v>
      </c>
      <c r="F4458" t="s">
        <v>8898</v>
      </c>
      <c r="G4458">
        <v>913</v>
      </c>
      <c r="H4458">
        <v>1</v>
      </c>
      <c r="I4458" t="s">
        <v>81</v>
      </c>
      <c r="J4458">
        <v>0</v>
      </c>
      <c r="K4458">
        <v>2</v>
      </c>
      <c r="L4458">
        <v>2</v>
      </c>
      <c r="M4458">
        <v>243</v>
      </c>
      <c r="N4458" t="s">
        <v>100</v>
      </c>
      <c r="O4458" t="s">
        <v>100</v>
      </c>
      <c r="P4458">
        <v>336</v>
      </c>
      <c r="Q4458">
        <v>19</v>
      </c>
      <c r="R4458">
        <v>88</v>
      </c>
      <c r="S4458">
        <v>17</v>
      </c>
      <c r="T4458">
        <v>14</v>
      </c>
      <c r="U4458">
        <v>29</v>
      </c>
      <c r="V4458">
        <v>5</v>
      </c>
      <c r="W4458">
        <v>6</v>
      </c>
      <c r="X4458">
        <v>11</v>
      </c>
      <c r="Y4458">
        <v>6</v>
      </c>
      <c r="Z4458">
        <v>6</v>
      </c>
      <c r="AA4458">
        <v>1</v>
      </c>
      <c r="AB4458">
        <v>5</v>
      </c>
      <c r="AC4458">
        <v>2</v>
      </c>
      <c r="AD4458">
        <v>0</v>
      </c>
      <c r="AE4458">
        <v>0</v>
      </c>
      <c r="AF4458">
        <v>0</v>
      </c>
      <c r="AG4458">
        <v>3</v>
      </c>
      <c r="AH4458">
        <v>2</v>
      </c>
      <c r="AI4458">
        <v>0</v>
      </c>
      <c r="AJ4458">
        <v>0</v>
      </c>
      <c r="AK4458">
        <v>1</v>
      </c>
      <c r="AL4458">
        <v>1</v>
      </c>
      <c r="AM4458">
        <v>0</v>
      </c>
      <c r="AN4458">
        <v>1</v>
      </c>
      <c r="AT4458">
        <v>0</v>
      </c>
      <c r="AU4458">
        <v>19</v>
      </c>
      <c r="AV4458">
        <v>336</v>
      </c>
      <c r="AW4458">
        <v>236</v>
      </c>
      <c r="AX4458">
        <v>557</v>
      </c>
      <c r="BA4458">
        <v>1</v>
      </c>
      <c r="BC4458" t="s">
        <v>9025</v>
      </c>
      <c r="BD4458" s="4">
        <v>43283.227083333331</v>
      </c>
      <c r="BE4458" s="4">
        <v>43283.254513888889</v>
      </c>
      <c r="BF4458" s="4">
        <v>43283.254513888889</v>
      </c>
      <c r="BG4458" t="s">
        <v>83</v>
      </c>
      <c r="BH4458" t="s">
        <v>84</v>
      </c>
      <c r="BI4458" t="s">
        <v>85</v>
      </c>
    </row>
    <row r="4459" spans="1:61" x14ac:dyDescent="0.3">
      <c r="A4459" t="str">
        <f>"200920B0100"</f>
        <v>200920B0100</v>
      </c>
      <c r="B4459" t="s">
        <v>9026</v>
      </c>
      <c r="C4459">
        <v>20</v>
      </c>
      <c r="D4459" t="s">
        <v>79</v>
      </c>
      <c r="E4459">
        <v>21</v>
      </c>
      <c r="F4459" t="s">
        <v>8898</v>
      </c>
      <c r="G4459">
        <v>920</v>
      </c>
      <c r="H4459">
        <v>1</v>
      </c>
      <c r="I4459" t="s">
        <v>81</v>
      </c>
      <c r="J4459">
        <v>0</v>
      </c>
      <c r="K4459">
        <v>2</v>
      </c>
      <c r="L4459">
        <v>2</v>
      </c>
      <c r="M4459">
        <v>265</v>
      </c>
      <c r="N4459">
        <v>298</v>
      </c>
      <c r="O4459">
        <v>0</v>
      </c>
      <c r="P4459">
        <v>298</v>
      </c>
      <c r="Q4459">
        <v>6</v>
      </c>
      <c r="R4459">
        <v>26</v>
      </c>
      <c r="S4459">
        <v>47</v>
      </c>
      <c r="T4459">
        <v>7</v>
      </c>
      <c r="U4459">
        <v>16</v>
      </c>
      <c r="V4459">
        <v>4</v>
      </c>
      <c r="W4459">
        <v>0</v>
      </c>
      <c r="X4459">
        <v>11</v>
      </c>
      <c r="Y4459">
        <v>143</v>
      </c>
      <c r="Z4459">
        <v>5</v>
      </c>
      <c r="AA4459">
        <v>0</v>
      </c>
      <c r="AB4459">
        <v>0</v>
      </c>
      <c r="AC4459">
        <v>0</v>
      </c>
      <c r="AD4459">
        <v>2</v>
      </c>
      <c r="AE4459">
        <v>0</v>
      </c>
      <c r="AF4459">
        <v>0</v>
      </c>
      <c r="AG4459">
        <v>0</v>
      </c>
      <c r="AH4459">
        <v>0</v>
      </c>
      <c r="AI4459">
        <v>0</v>
      </c>
      <c r="AJ4459">
        <v>0</v>
      </c>
      <c r="AK4459">
        <v>3</v>
      </c>
      <c r="AL4459">
        <v>0</v>
      </c>
      <c r="AM4459">
        <v>0</v>
      </c>
      <c r="AN4459">
        <v>3</v>
      </c>
      <c r="AT4459" t="s">
        <v>100</v>
      </c>
      <c r="AU4459">
        <v>25</v>
      </c>
      <c r="AV4459">
        <v>298</v>
      </c>
      <c r="AW4459">
        <v>298</v>
      </c>
      <c r="AX4459">
        <v>541</v>
      </c>
      <c r="AZ4459" t="s">
        <v>101</v>
      </c>
      <c r="BA4459">
        <v>1</v>
      </c>
      <c r="BC4459" t="s">
        <v>9027</v>
      </c>
      <c r="BD4459" s="4">
        <v>43283.68472222222</v>
      </c>
      <c r="BE4459" s="4">
        <v>43283.689432870371</v>
      </c>
      <c r="BF4459" s="4">
        <v>43283.689432870371</v>
      </c>
      <c r="BG4459" t="s">
        <v>83</v>
      </c>
      <c r="BH4459" t="s">
        <v>84</v>
      </c>
      <c r="BI4459" t="s">
        <v>85</v>
      </c>
    </row>
    <row r="4460" spans="1:61" x14ac:dyDescent="0.3">
      <c r="A4460" t="str">
        <f>"200920C0100"</f>
        <v>200920C0100</v>
      </c>
      <c r="B4460" t="s">
        <v>9028</v>
      </c>
      <c r="C4460">
        <v>20</v>
      </c>
      <c r="D4460" t="s">
        <v>79</v>
      </c>
      <c r="E4460">
        <v>21</v>
      </c>
      <c r="F4460" t="s">
        <v>8898</v>
      </c>
      <c r="G4460">
        <v>920</v>
      </c>
      <c r="H4460">
        <v>1</v>
      </c>
      <c r="I4460" t="s">
        <v>89</v>
      </c>
      <c r="J4460">
        <v>0</v>
      </c>
      <c r="K4460">
        <v>2</v>
      </c>
      <c r="L4460">
        <v>2</v>
      </c>
      <c r="M4460">
        <v>277</v>
      </c>
      <c r="N4460" t="s">
        <v>100</v>
      </c>
      <c r="O4460" t="s">
        <v>100</v>
      </c>
      <c r="P4460" t="s">
        <v>100</v>
      </c>
      <c r="Q4460">
        <v>7</v>
      </c>
      <c r="R4460">
        <v>25</v>
      </c>
      <c r="S4460">
        <v>38</v>
      </c>
      <c r="T4460">
        <v>11</v>
      </c>
      <c r="U4460">
        <v>17</v>
      </c>
      <c r="V4460">
        <v>4</v>
      </c>
      <c r="W4460">
        <v>5</v>
      </c>
      <c r="X4460">
        <v>3</v>
      </c>
      <c r="Y4460">
        <v>121</v>
      </c>
      <c r="Z4460">
        <v>8</v>
      </c>
      <c r="AA4460">
        <v>1</v>
      </c>
      <c r="AB4460">
        <v>1</v>
      </c>
      <c r="AC4460">
        <v>1</v>
      </c>
      <c r="AD4460">
        <v>1</v>
      </c>
      <c r="AE4460">
        <v>0</v>
      </c>
      <c r="AF4460">
        <v>2</v>
      </c>
      <c r="AG4460">
        <v>0</v>
      </c>
      <c r="AH4460">
        <v>2</v>
      </c>
      <c r="AI4460">
        <v>1</v>
      </c>
      <c r="AJ4460">
        <v>0</v>
      </c>
      <c r="AK4460">
        <v>1</v>
      </c>
      <c r="AL4460">
        <v>2</v>
      </c>
      <c r="AM4460">
        <v>1</v>
      </c>
      <c r="AN4460">
        <v>2</v>
      </c>
      <c r="AT4460" t="s">
        <v>100</v>
      </c>
      <c r="AU4460">
        <v>32</v>
      </c>
      <c r="AV4460">
        <v>286</v>
      </c>
      <c r="AW4460">
        <v>286</v>
      </c>
      <c r="AX4460">
        <v>541</v>
      </c>
      <c r="AZ4460" t="s">
        <v>101</v>
      </c>
      <c r="BA4460">
        <v>1</v>
      </c>
      <c r="BC4460" t="s">
        <v>9029</v>
      </c>
      <c r="BD4460" s="4">
        <v>43283.688194444447</v>
      </c>
      <c r="BE4460" s="4">
        <v>43283.693530092591</v>
      </c>
      <c r="BF4460" s="4">
        <v>43283.693530092591</v>
      </c>
      <c r="BG4460" t="s">
        <v>83</v>
      </c>
      <c r="BH4460" t="s">
        <v>84</v>
      </c>
      <c r="BI4460" t="s">
        <v>85</v>
      </c>
    </row>
    <row r="4461" spans="1:61" x14ac:dyDescent="0.3">
      <c r="A4461" t="str">
        <f>"200920C0200"</f>
        <v>200920C0200</v>
      </c>
      <c r="B4461" t="s">
        <v>9030</v>
      </c>
      <c r="C4461">
        <v>20</v>
      </c>
      <c r="D4461" t="s">
        <v>79</v>
      </c>
      <c r="E4461">
        <v>21</v>
      </c>
      <c r="F4461" t="s">
        <v>8898</v>
      </c>
      <c r="G4461">
        <v>920</v>
      </c>
      <c r="H4461">
        <v>2</v>
      </c>
      <c r="I4461" t="s">
        <v>89</v>
      </c>
      <c r="J4461">
        <v>0</v>
      </c>
      <c r="K4461">
        <v>2</v>
      </c>
      <c r="L4461">
        <v>2</v>
      </c>
      <c r="M4461">
        <v>293</v>
      </c>
      <c r="N4461">
        <v>269</v>
      </c>
      <c r="O4461">
        <v>0</v>
      </c>
      <c r="P4461">
        <v>269</v>
      </c>
      <c r="Q4461">
        <v>5</v>
      </c>
      <c r="R4461">
        <v>33</v>
      </c>
      <c r="S4461">
        <v>31</v>
      </c>
      <c r="T4461">
        <v>7</v>
      </c>
      <c r="U4461">
        <v>15</v>
      </c>
      <c r="V4461">
        <v>2</v>
      </c>
      <c r="W4461">
        <v>0</v>
      </c>
      <c r="X4461">
        <v>3</v>
      </c>
      <c r="Y4461">
        <v>138</v>
      </c>
      <c r="Z4461">
        <v>4</v>
      </c>
      <c r="AA4461">
        <v>2</v>
      </c>
      <c r="AB4461">
        <v>2</v>
      </c>
      <c r="AC4461">
        <v>0</v>
      </c>
      <c r="AD4461">
        <v>0</v>
      </c>
      <c r="AE4461">
        <v>0</v>
      </c>
      <c r="AF4461">
        <v>0</v>
      </c>
      <c r="AG4461">
        <v>0</v>
      </c>
      <c r="AH4461">
        <v>0</v>
      </c>
      <c r="AI4461">
        <v>0</v>
      </c>
      <c r="AJ4461">
        <v>0</v>
      </c>
      <c r="AK4461">
        <v>0</v>
      </c>
      <c r="AL4461">
        <v>0</v>
      </c>
      <c r="AM4461">
        <v>0</v>
      </c>
      <c r="AN4461">
        <v>5</v>
      </c>
      <c r="AT4461">
        <v>0</v>
      </c>
      <c r="AU4461">
        <v>22</v>
      </c>
      <c r="AV4461">
        <v>269</v>
      </c>
      <c r="AW4461">
        <v>269</v>
      </c>
      <c r="AX4461">
        <v>540</v>
      </c>
      <c r="BA4461">
        <v>1</v>
      </c>
      <c r="BC4461" s="2" t="s">
        <v>9031</v>
      </c>
      <c r="BD4461" s="4">
        <v>43283.698611111111</v>
      </c>
      <c r="BE4461" s="4">
        <v>43283.704583333332</v>
      </c>
      <c r="BF4461" s="4">
        <v>43283.704583333332</v>
      </c>
      <c r="BG4461" t="s">
        <v>83</v>
      </c>
      <c r="BH4461" t="s">
        <v>84</v>
      </c>
      <c r="BI4461" t="s">
        <v>85</v>
      </c>
    </row>
    <row r="4462" spans="1:61" x14ac:dyDescent="0.3">
      <c r="A4462" t="str">
        <f>"200921B0100"</f>
        <v>200921B0100</v>
      </c>
      <c r="B4462" t="s">
        <v>9032</v>
      </c>
      <c r="C4462">
        <v>20</v>
      </c>
      <c r="D4462" t="s">
        <v>79</v>
      </c>
      <c r="E4462">
        <v>21</v>
      </c>
      <c r="F4462" t="s">
        <v>8898</v>
      </c>
      <c r="G4462">
        <v>921</v>
      </c>
      <c r="H4462">
        <v>1</v>
      </c>
      <c r="I4462" t="s">
        <v>81</v>
      </c>
      <c r="J4462">
        <v>0</v>
      </c>
      <c r="K4462">
        <v>2</v>
      </c>
      <c r="L4462">
        <v>2</v>
      </c>
      <c r="M4462">
        <v>303</v>
      </c>
      <c r="N4462">
        <v>415</v>
      </c>
      <c r="O4462">
        <v>0</v>
      </c>
      <c r="P4462">
        <v>415</v>
      </c>
      <c r="Q4462">
        <v>66</v>
      </c>
      <c r="R4462">
        <v>78</v>
      </c>
      <c r="S4462">
        <v>7</v>
      </c>
      <c r="T4462">
        <v>0</v>
      </c>
      <c r="U4462">
        <v>20</v>
      </c>
      <c r="V4462">
        <v>5</v>
      </c>
      <c r="W4462">
        <v>9</v>
      </c>
      <c r="X4462">
        <v>0</v>
      </c>
      <c r="Y4462">
        <v>192</v>
      </c>
      <c r="Z4462">
        <v>7</v>
      </c>
      <c r="AA4462">
        <v>2</v>
      </c>
      <c r="AB4462">
        <v>5</v>
      </c>
      <c r="AC4462">
        <v>0</v>
      </c>
      <c r="AD4462">
        <v>0</v>
      </c>
      <c r="AE4462">
        <v>0</v>
      </c>
      <c r="AF4462">
        <v>0</v>
      </c>
      <c r="AG4462">
        <v>0</v>
      </c>
      <c r="AH4462">
        <v>0</v>
      </c>
      <c r="AI4462">
        <v>0</v>
      </c>
      <c r="AJ4462">
        <v>0</v>
      </c>
      <c r="AK4462">
        <v>0</v>
      </c>
      <c r="AL4462">
        <v>0</v>
      </c>
      <c r="AM4462">
        <v>0</v>
      </c>
      <c r="AN4462">
        <v>1</v>
      </c>
      <c r="AT4462">
        <v>0</v>
      </c>
      <c r="AU4462">
        <v>23</v>
      </c>
      <c r="AV4462" t="s">
        <v>100</v>
      </c>
      <c r="AW4462">
        <v>415</v>
      </c>
      <c r="AX4462">
        <v>697</v>
      </c>
      <c r="BA4462">
        <v>1</v>
      </c>
      <c r="BC4462" t="s">
        <v>9033</v>
      </c>
      <c r="BD4462" s="4">
        <v>43283.290972222225</v>
      </c>
      <c r="BE4462" s="4">
        <v>43283.318518518521</v>
      </c>
      <c r="BF4462" s="4">
        <v>43283.318518518521</v>
      </c>
      <c r="BG4462" t="s">
        <v>83</v>
      </c>
      <c r="BH4462" t="s">
        <v>84</v>
      </c>
      <c r="BI4462" t="s">
        <v>85</v>
      </c>
    </row>
    <row r="4463" spans="1:61" x14ac:dyDescent="0.3">
      <c r="A4463" t="str">
        <f>"200921E0100"</f>
        <v>200921E0100</v>
      </c>
      <c r="B4463" s="2" t="s">
        <v>9034</v>
      </c>
      <c r="C4463">
        <v>20</v>
      </c>
      <c r="D4463" t="s">
        <v>79</v>
      </c>
      <c r="E4463">
        <v>21</v>
      </c>
      <c r="F4463" t="s">
        <v>8898</v>
      </c>
      <c r="G4463">
        <v>921</v>
      </c>
      <c r="H4463">
        <v>1</v>
      </c>
      <c r="I4463" t="s">
        <v>145</v>
      </c>
      <c r="J4463">
        <v>0</v>
      </c>
      <c r="K4463">
        <v>2</v>
      </c>
      <c r="L4463">
        <v>2</v>
      </c>
      <c r="M4463">
        <v>110</v>
      </c>
      <c r="N4463">
        <v>225</v>
      </c>
      <c r="O4463">
        <v>0</v>
      </c>
      <c r="P4463">
        <v>225</v>
      </c>
      <c r="Q4463">
        <v>15</v>
      </c>
      <c r="R4463">
        <v>63</v>
      </c>
      <c r="S4463">
        <v>0</v>
      </c>
      <c r="T4463">
        <v>7</v>
      </c>
      <c r="U4463">
        <v>3</v>
      </c>
      <c r="V4463">
        <v>6</v>
      </c>
      <c r="W4463">
        <v>1</v>
      </c>
      <c r="X4463">
        <v>3</v>
      </c>
      <c r="Y4463">
        <v>106</v>
      </c>
      <c r="Z4463">
        <v>3</v>
      </c>
      <c r="AA4463">
        <v>0</v>
      </c>
      <c r="AB4463">
        <v>1</v>
      </c>
      <c r="AC4463">
        <v>2</v>
      </c>
      <c r="AD4463">
        <v>0</v>
      </c>
      <c r="AE4463">
        <v>0</v>
      </c>
      <c r="AF4463">
        <v>0</v>
      </c>
      <c r="AG4463">
        <v>2</v>
      </c>
      <c r="AH4463">
        <v>5</v>
      </c>
      <c r="AI4463">
        <v>0</v>
      </c>
      <c r="AJ4463">
        <v>0</v>
      </c>
      <c r="AK4463">
        <v>1</v>
      </c>
      <c r="AL4463">
        <v>1</v>
      </c>
      <c r="AM4463">
        <v>0</v>
      </c>
      <c r="AN4463">
        <v>1</v>
      </c>
      <c r="AT4463">
        <v>0</v>
      </c>
      <c r="AU4463">
        <v>5</v>
      </c>
      <c r="AV4463">
        <v>225</v>
      </c>
      <c r="AW4463">
        <v>225</v>
      </c>
      <c r="AX4463">
        <v>313</v>
      </c>
      <c r="BA4463">
        <v>1</v>
      </c>
      <c r="BC4463" t="s">
        <v>9035</v>
      </c>
      <c r="BD4463" s="4">
        <v>43283.295138888891</v>
      </c>
      <c r="BE4463" s="4">
        <v>43283.323078703703</v>
      </c>
      <c r="BF4463" s="4">
        <v>43283.323078703703</v>
      </c>
      <c r="BG4463" t="s">
        <v>83</v>
      </c>
      <c r="BH4463" t="s">
        <v>84</v>
      </c>
      <c r="BI4463" t="s">
        <v>85</v>
      </c>
    </row>
    <row r="4464" spans="1:61" x14ac:dyDescent="0.3">
      <c r="A4464" t="str">
        <f>"200921E0200"</f>
        <v>200921E0200</v>
      </c>
      <c r="B4464" s="2" t="s">
        <v>9036</v>
      </c>
      <c r="C4464">
        <v>20</v>
      </c>
      <c r="D4464" t="s">
        <v>79</v>
      </c>
      <c r="E4464">
        <v>21</v>
      </c>
      <c r="F4464" t="s">
        <v>8898</v>
      </c>
      <c r="G4464">
        <v>921</v>
      </c>
      <c r="H4464">
        <v>2</v>
      </c>
      <c r="I4464" t="s">
        <v>145</v>
      </c>
      <c r="J4464">
        <v>0</v>
      </c>
      <c r="K4464">
        <v>2</v>
      </c>
      <c r="L4464">
        <v>2</v>
      </c>
      <c r="M4464">
        <v>146</v>
      </c>
      <c r="N4464">
        <v>227</v>
      </c>
      <c r="O4464">
        <v>0</v>
      </c>
      <c r="P4464">
        <v>227</v>
      </c>
      <c r="Q4464">
        <v>11</v>
      </c>
      <c r="R4464">
        <v>23</v>
      </c>
      <c r="S4464">
        <v>3</v>
      </c>
      <c r="T4464">
        <v>4</v>
      </c>
      <c r="U4464">
        <v>10</v>
      </c>
      <c r="V4464">
        <v>2</v>
      </c>
      <c r="W4464">
        <v>2</v>
      </c>
      <c r="X4464">
        <v>2</v>
      </c>
      <c r="Y4464">
        <v>132</v>
      </c>
      <c r="Z4464">
        <v>11</v>
      </c>
      <c r="AA4464">
        <v>1</v>
      </c>
      <c r="AB4464">
        <v>0</v>
      </c>
      <c r="AC4464" t="s">
        <v>100</v>
      </c>
      <c r="AD4464" t="s">
        <v>100</v>
      </c>
      <c r="AE4464" t="s">
        <v>100</v>
      </c>
      <c r="AF4464" t="s">
        <v>100</v>
      </c>
      <c r="AG4464" t="s">
        <v>100</v>
      </c>
      <c r="AH4464">
        <v>1</v>
      </c>
      <c r="AI4464" t="s">
        <v>100</v>
      </c>
      <c r="AJ4464" t="s">
        <v>100</v>
      </c>
      <c r="AK4464">
        <v>6</v>
      </c>
      <c r="AL4464">
        <v>1</v>
      </c>
      <c r="AM4464">
        <v>2</v>
      </c>
      <c r="AN4464" t="s">
        <v>100</v>
      </c>
      <c r="AT4464" t="s">
        <v>100</v>
      </c>
      <c r="AU4464">
        <v>16</v>
      </c>
      <c r="AV4464">
        <v>227</v>
      </c>
      <c r="AW4464">
        <v>227</v>
      </c>
      <c r="AX4464">
        <v>351</v>
      </c>
      <c r="AZ4464" t="s">
        <v>101</v>
      </c>
      <c r="BA4464">
        <v>1</v>
      </c>
      <c r="BC4464" t="s">
        <v>9037</v>
      </c>
      <c r="BD4464" s="4">
        <v>43283.299305555556</v>
      </c>
      <c r="BE4464" s="4">
        <v>43283.325497685182</v>
      </c>
      <c r="BF4464" s="4">
        <v>43283.325497685182</v>
      </c>
      <c r="BG4464" t="s">
        <v>83</v>
      </c>
      <c r="BH4464" t="s">
        <v>84</v>
      </c>
      <c r="BI4464" t="s">
        <v>85</v>
      </c>
    </row>
    <row r="4465" spans="1:61" x14ac:dyDescent="0.3">
      <c r="A4465" t="str">
        <f>"200922B0100"</f>
        <v>200922B0100</v>
      </c>
      <c r="B4465" t="s">
        <v>9038</v>
      </c>
      <c r="C4465">
        <v>20</v>
      </c>
      <c r="D4465" t="s">
        <v>79</v>
      </c>
      <c r="E4465">
        <v>21</v>
      </c>
      <c r="F4465" t="s">
        <v>8898</v>
      </c>
      <c r="G4465">
        <v>922</v>
      </c>
      <c r="H4465">
        <v>1</v>
      </c>
      <c r="I4465" t="s">
        <v>81</v>
      </c>
      <c r="J4465">
        <v>0</v>
      </c>
      <c r="K4465">
        <v>2</v>
      </c>
      <c r="L4465">
        <v>2</v>
      </c>
      <c r="M4465" t="s">
        <v>100</v>
      </c>
      <c r="N4465">
        <v>420</v>
      </c>
      <c r="O4465">
        <v>0</v>
      </c>
      <c r="P4465">
        <v>420</v>
      </c>
      <c r="Q4465">
        <v>9</v>
      </c>
      <c r="R4465">
        <v>28</v>
      </c>
      <c r="S4465">
        <v>71</v>
      </c>
      <c r="T4465">
        <v>10</v>
      </c>
      <c r="U4465">
        <v>10</v>
      </c>
      <c r="V4465">
        <v>2</v>
      </c>
      <c r="W4465">
        <v>6</v>
      </c>
      <c r="X4465">
        <v>7</v>
      </c>
      <c r="Y4465">
        <v>257</v>
      </c>
      <c r="Z4465">
        <v>13</v>
      </c>
      <c r="AA4465">
        <v>1</v>
      </c>
      <c r="AB4465">
        <v>1</v>
      </c>
      <c r="AC4465" t="s">
        <v>100</v>
      </c>
      <c r="AD4465" t="s">
        <v>100</v>
      </c>
      <c r="AE4465" t="s">
        <v>100</v>
      </c>
      <c r="AF4465" t="s">
        <v>100</v>
      </c>
      <c r="AG4465" t="s">
        <v>100</v>
      </c>
      <c r="AH4465">
        <v>1</v>
      </c>
      <c r="AI4465" t="s">
        <v>100</v>
      </c>
      <c r="AJ4465" t="s">
        <v>100</v>
      </c>
      <c r="AK4465" t="s">
        <v>100</v>
      </c>
      <c r="AL4465" t="s">
        <v>100</v>
      </c>
      <c r="AM4465" t="s">
        <v>100</v>
      </c>
      <c r="AN4465">
        <v>1</v>
      </c>
      <c r="AT4465" t="s">
        <v>100</v>
      </c>
      <c r="AU4465">
        <v>3</v>
      </c>
      <c r="AV4465">
        <v>420</v>
      </c>
      <c r="AW4465">
        <v>420</v>
      </c>
      <c r="AX4465">
        <v>667</v>
      </c>
      <c r="AZ4465" t="s">
        <v>101</v>
      </c>
      <c r="BA4465">
        <v>1</v>
      </c>
      <c r="BC4465" t="s">
        <v>9039</v>
      </c>
      <c r="BD4465" s="4">
        <v>43283.568749999999</v>
      </c>
      <c r="BE4465" s="4">
        <v>43283.578645833331</v>
      </c>
      <c r="BF4465" s="4">
        <v>43283.578645833331</v>
      </c>
      <c r="BG4465" t="s">
        <v>83</v>
      </c>
      <c r="BH4465" t="s">
        <v>84</v>
      </c>
      <c r="BI4465" t="s">
        <v>85</v>
      </c>
    </row>
    <row r="4466" spans="1:61" x14ac:dyDescent="0.3">
      <c r="A4466" t="str">
        <f>"200923B0100"</f>
        <v>200923B0100</v>
      </c>
      <c r="B4466" t="s">
        <v>9040</v>
      </c>
      <c r="C4466">
        <v>20</v>
      </c>
      <c r="D4466" t="s">
        <v>79</v>
      </c>
      <c r="E4466">
        <v>21</v>
      </c>
      <c r="F4466" t="s">
        <v>8898</v>
      </c>
      <c r="G4466">
        <v>923</v>
      </c>
      <c r="H4466">
        <v>1</v>
      </c>
      <c r="I4466" t="s">
        <v>81</v>
      </c>
      <c r="J4466">
        <v>0</v>
      </c>
      <c r="K4466">
        <v>2</v>
      </c>
      <c r="L4466">
        <v>2</v>
      </c>
      <c r="M4466">
        <v>164</v>
      </c>
      <c r="N4466">
        <v>257</v>
      </c>
      <c r="O4466">
        <v>0</v>
      </c>
      <c r="P4466">
        <v>257</v>
      </c>
      <c r="Q4466">
        <v>24</v>
      </c>
      <c r="R4466">
        <v>36</v>
      </c>
      <c r="S4466">
        <v>3</v>
      </c>
      <c r="T4466">
        <v>6</v>
      </c>
      <c r="U4466">
        <v>9</v>
      </c>
      <c r="V4466">
        <v>2</v>
      </c>
      <c r="W4466">
        <v>13</v>
      </c>
      <c r="X4466">
        <v>1</v>
      </c>
      <c r="Y4466">
        <v>134</v>
      </c>
      <c r="Z4466">
        <v>5</v>
      </c>
      <c r="AA4466">
        <v>1</v>
      </c>
      <c r="AB4466">
        <v>0</v>
      </c>
      <c r="AC4466">
        <v>1</v>
      </c>
      <c r="AD4466">
        <v>0</v>
      </c>
      <c r="AE4466">
        <v>0</v>
      </c>
      <c r="AF4466">
        <v>0</v>
      </c>
      <c r="AG4466">
        <v>0</v>
      </c>
      <c r="AH4466">
        <v>0</v>
      </c>
      <c r="AI4466">
        <v>0</v>
      </c>
      <c r="AJ4466">
        <v>0</v>
      </c>
      <c r="AK4466">
        <v>7</v>
      </c>
      <c r="AL4466">
        <v>0</v>
      </c>
      <c r="AM4466">
        <v>0</v>
      </c>
      <c r="AN4466">
        <v>0</v>
      </c>
      <c r="AT4466">
        <v>0</v>
      </c>
      <c r="AU4466">
        <v>15</v>
      </c>
      <c r="AV4466">
        <v>257</v>
      </c>
      <c r="AW4466">
        <v>257</v>
      </c>
      <c r="AX4466">
        <v>399</v>
      </c>
      <c r="BA4466">
        <v>1</v>
      </c>
      <c r="BC4466" t="s">
        <v>9041</v>
      </c>
      <c r="BD4466" s="4">
        <v>43283.567361111112</v>
      </c>
      <c r="BE4466" s="4">
        <v>43283.570335648146</v>
      </c>
      <c r="BF4466" s="4">
        <v>43283.570335648146</v>
      </c>
      <c r="BG4466" t="s">
        <v>83</v>
      </c>
      <c r="BH4466" t="s">
        <v>84</v>
      </c>
      <c r="BI4466" t="s">
        <v>85</v>
      </c>
    </row>
    <row r="4467" spans="1:61" x14ac:dyDescent="0.3">
      <c r="A4467" t="str">
        <f>"200923C0100"</f>
        <v>200923C0100</v>
      </c>
      <c r="B4467" t="s">
        <v>9042</v>
      </c>
      <c r="C4467">
        <v>20</v>
      </c>
      <c r="D4467" t="s">
        <v>79</v>
      </c>
      <c r="E4467">
        <v>21</v>
      </c>
      <c r="F4467" t="s">
        <v>8898</v>
      </c>
      <c r="G4467">
        <v>923</v>
      </c>
      <c r="H4467">
        <v>1</v>
      </c>
      <c r="I4467" t="s">
        <v>89</v>
      </c>
      <c r="J4467">
        <v>0</v>
      </c>
      <c r="K4467">
        <v>2</v>
      </c>
      <c r="L4467">
        <v>2</v>
      </c>
      <c r="M4467">
        <v>185</v>
      </c>
      <c r="N4467">
        <v>236</v>
      </c>
      <c r="O4467" t="s">
        <v>100</v>
      </c>
      <c r="P4467">
        <v>236</v>
      </c>
      <c r="Q4467">
        <v>23</v>
      </c>
      <c r="R4467">
        <v>25</v>
      </c>
      <c r="S4467">
        <v>2</v>
      </c>
      <c r="T4467">
        <v>2</v>
      </c>
      <c r="U4467">
        <v>8</v>
      </c>
      <c r="V4467">
        <v>2</v>
      </c>
      <c r="W4467">
        <v>8</v>
      </c>
      <c r="X4467">
        <v>1</v>
      </c>
      <c r="Y4467">
        <v>141</v>
      </c>
      <c r="Z4467">
        <v>2</v>
      </c>
      <c r="AA4467">
        <v>0</v>
      </c>
      <c r="AB4467">
        <v>1</v>
      </c>
      <c r="AC4467">
        <v>1</v>
      </c>
      <c r="AD4467">
        <v>0</v>
      </c>
      <c r="AE4467">
        <v>0</v>
      </c>
      <c r="AF4467">
        <v>0</v>
      </c>
      <c r="AG4467">
        <v>0</v>
      </c>
      <c r="AH4467">
        <v>0</v>
      </c>
      <c r="AI4467">
        <v>0</v>
      </c>
      <c r="AJ4467">
        <v>0</v>
      </c>
      <c r="AK4467">
        <v>2</v>
      </c>
      <c r="AL4467">
        <v>1</v>
      </c>
      <c r="AM4467">
        <v>0</v>
      </c>
      <c r="AN4467">
        <v>3</v>
      </c>
      <c r="AT4467">
        <v>0</v>
      </c>
      <c r="AU4467">
        <v>14</v>
      </c>
      <c r="AV4467">
        <v>236</v>
      </c>
      <c r="AW4467">
        <v>236</v>
      </c>
      <c r="AX4467">
        <v>399</v>
      </c>
      <c r="BA4467">
        <v>1</v>
      </c>
      <c r="BC4467" t="s">
        <v>9043</v>
      </c>
      <c r="BD4467" s="4">
        <v>43283.572916666664</v>
      </c>
      <c r="BE4467" s="4">
        <v>43283.577847222223</v>
      </c>
      <c r="BF4467" s="4">
        <v>43283.577847222223</v>
      </c>
      <c r="BG4467" t="s">
        <v>83</v>
      </c>
      <c r="BH4467" t="s">
        <v>84</v>
      </c>
      <c r="BI4467" t="s">
        <v>85</v>
      </c>
    </row>
    <row r="4468" spans="1:61" x14ac:dyDescent="0.3">
      <c r="A4468" t="str">
        <f>"200923E0100"</f>
        <v>200923E0100</v>
      </c>
      <c r="B4468" s="2" t="s">
        <v>9044</v>
      </c>
      <c r="C4468">
        <v>20</v>
      </c>
      <c r="D4468" t="s">
        <v>79</v>
      </c>
      <c r="E4468">
        <v>21</v>
      </c>
      <c r="F4468" t="s">
        <v>8898</v>
      </c>
      <c r="G4468">
        <v>923</v>
      </c>
      <c r="H4468">
        <v>1</v>
      </c>
      <c r="I4468" t="s">
        <v>145</v>
      </c>
      <c r="J4468">
        <v>0</v>
      </c>
      <c r="K4468">
        <v>2</v>
      </c>
      <c r="L4468">
        <v>2</v>
      </c>
      <c r="M4468">
        <v>177</v>
      </c>
      <c r="N4468">
        <v>224</v>
      </c>
      <c r="O4468">
        <v>0</v>
      </c>
      <c r="P4468">
        <v>224</v>
      </c>
      <c r="Q4468">
        <v>23</v>
      </c>
      <c r="R4468">
        <v>29</v>
      </c>
      <c r="S4468">
        <v>12</v>
      </c>
      <c r="T4468">
        <v>4</v>
      </c>
      <c r="U4468">
        <v>16</v>
      </c>
      <c r="V4468">
        <v>1</v>
      </c>
      <c r="W4468">
        <v>0</v>
      </c>
      <c r="X4468">
        <v>3</v>
      </c>
      <c r="Y4468">
        <v>106</v>
      </c>
      <c r="Z4468">
        <v>10</v>
      </c>
      <c r="AA4468">
        <v>0</v>
      </c>
      <c r="AB4468">
        <v>1</v>
      </c>
      <c r="AC4468">
        <v>1</v>
      </c>
      <c r="AD4468">
        <v>0</v>
      </c>
      <c r="AE4468">
        <v>0</v>
      </c>
      <c r="AF4468">
        <v>0</v>
      </c>
      <c r="AG4468">
        <v>0</v>
      </c>
      <c r="AH4468">
        <v>3</v>
      </c>
      <c r="AI4468">
        <v>0</v>
      </c>
      <c r="AJ4468">
        <v>0</v>
      </c>
      <c r="AK4468">
        <v>6</v>
      </c>
      <c r="AL4468">
        <v>1</v>
      </c>
      <c r="AM4468">
        <v>0</v>
      </c>
      <c r="AN4468">
        <v>1</v>
      </c>
      <c r="AT4468">
        <v>0</v>
      </c>
      <c r="AU4468">
        <v>7</v>
      </c>
      <c r="AV4468">
        <v>224</v>
      </c>
      <c r="AW4468">
        <v>224</v>
      </c>
      <c r="AX4468">
        <v>379</v>
      </c>
      <c r="BA4468">
        <v>1</v>
      </c>
      <c r="BC4468" t="s">
        <v>9045</v>
      </c>
      <c r="BD4468" s="4">
        <v>43283.574999999997</v>
      </c>
      <c r="BE4468" s="4">
        <v>43283.578506944446</v>
      </c>
      <c r="BF4468" s="4">
        <v>43283.578506944446</v>
      </c>
      <c r="BG4468" t="s">
        <v>83</v>
      </c>
      <c r="BH4468" t="s">
        <v>84</v>
      </c>
      <c r="BI4468" t="s">
        <v>85</v>
      </c>
    </row>
    <row r="4469" spans="1:61" x14ac:dyDescent="0.3">
      <c r="A4469" t="str">
        <f>"200958B0100"</f>
        <v>200958B0100</v>
      </c>
      <c r="B4469" t="s">
        <v>9046</v>
      </c>
      <c r="C4469">
        <v>20</v>
      </c>
      <c r="D4469" t="s">
        <v>79</v>
      </c>
      <c r="E4469">
        <v>21</v>
      </c>
      <c r="F4469" t="s">
        <v>8898</v>
      </c>
      <c r="G4469">
        <v>958</v>
      </c>
      <c r="H4469">
        <v>1</v>
      </c>
      <c r="I4469" t="s">
        <v>81</v>
      </c>
      <c r="J4469">
        <v>0</v>
      </c>
      <c r="K4469">
        <v>2</v>
      </c>
      <c r="L4469">
        <v>2</v>
      </c>
      <c r="M4469">
        <v>198</v>
      </c>
      <c r="N4469">
        <v>265</v>
      </c>
      <c r="O4469">
        <v>0</v>
      </c>
      <c r="P4469" t="s">
        <v>100</v>
      </c>
      <c r="Q4469">
        <v>15</v>
      </c>
      <c r="R4469">
        <v>72</v>
      </c>
      <c r="S4469">
        <v>12</v>
      </c>
      <c r="T4469">
        <v>6</v>
      </c>
      <c r="U4469">
        <v>10</v>
      </c>
      <c r="V4469">
        <v>4</v>
      </c>
      <c r="W4469">
        <v>0</v>
      </c>
      <c r="X4469">
        <v>3</v>
      </c>
      <c r="Y4469">
        <v>105</v>
      </c>
      <c r="Z4469">
        <v>6</v>
      </c>
      <c r="AA4469">
        <v>1</v>
      </c>
      <c r="AB4469">
        <v>7</v>
      </c>
      <c r="AC4469">
        <v>0</v>
      </c>
      <c r="AD4469">
        <v>0</v>
      </c>
      <c r="AE4469">
        <v>0</v>
      </c>
      <c r="AF4469">
        <v>0</v>
      </c>
      <c r="AG4469">
        <v>0</v>
      </c>
      <c r="AH4469">
        <v>4</v>
      </c>
      <c r="AI4469">
        <v>0</v>
      </c>
      <c r="AJ4469">
        <v>0</v>
      </c>
      <c r="AK4469">
        <v>1</v>
      </c>
      <c r="AL4469">
        <v>0</v>
      </c>
      <c r="AM4469">
        <v>0</v>
      </c>
      <c r="AN4469">
        <v>0</v>
      </c>
      <c r="AT4469" t="s">
        <v>100</v>
      </c>
      <c r="AU4469">
        <v>13</v>
      </c>
      <c r="AV4469">
        <v>259</v>
      </c>
      <c r="AW4469">
        <v>259</v>
      </c>
      <c r="AX4469">
        <v>441</v>
      </c>
      <c r="AZ4469" t="s">
        <v>101</v>
      </c>
      <c r="BA4469">
        <v>1</v>
      </c>
      <c r="BC4469" t="s">
        <v>9047</v>
      </c>
      <c r="BD4469" s="4">
        <v>43283.19027777778</v>
      </c>
      <c r="BE4469" s="4">
        <v>43283.207303240742</v>
      </c>
      <c r="BF4469" s="4">
        <v>43283.207303240742</v>
      </c>
      <c r="BG4469" t="s">
        <v>83</v>
      </c>
      <c r="BH4469" t="s">
        <v>84</v>
      </c>
      <c r="BI4469" t="s">
        <v>85</v>
      </c>
    </row>
    <row r="4470" spans="1:61" x14ac:dyDescent="0.3">
      <c r="A4470" t="str">
        <f>"200958C0100"</f>
        <v>200958C0100</v>
      </c>
      <c r="B4470" t="s">
        <v>9048</v>
      </c>
      <c r="C4470">
        <v>20</v>
      </c>
      <c r="D4470" t="s">
        <v>79</v>
      </c>
      <c r="E4470">
        <v>21</v>
      </c>
      <c r="F4470" t="s">
        <v>8898</v>
      </c>
      <c r="G4470">
        <v>958</v>
      </c>
      <c r="H4470">
        <v>1</v>
      </c>
      <c r="I4470" t="s">
        <v>89</v>
      </c>
      <c r="J4470">
        <v>0</v>
      </c>
      <c r="K4470">
        <v>2</v>
      </c>
      <c r="L4470">
        <v>2</v>
      </c>
      <c r="M4470">
        <v>239</v>
      </c>
      <c r="N4470">
        <v>462</v>
      </c>
      <c r="O4470">
        <v>0</v>
      </c>
      <c r="P4470">
        <v>222</v>
      </c>
      <c r="Q4470">
        <v>14</v>
      </c>
      <c r="R4470">
        <v>45</v>
      </c>
      <c r="S4470">
        <v>4</v>
      </c>
      <c r="T4470">
        <v>7</v>
      </c>
      <c r="U4470">
        <v>13</v>
      </c>
      <c r="V4470">
        <v>6</v>
      </c>
      <c r="W4470">
        <v>0</v>
      </c>
      <c r="X4470">
        <v>2</v>
      </c>
      <c r="Y4470">
        <v>109</v>
      </c>
      <c r="Z4470">
        <v>2</v>
      </c>
      <c r="AA4470">
        <v>0</v>
      </c>
      <c r="AB4470">
        <v>0</v>
      </c>
      <c r="AC4470">
        <v>0</v>
      </c>
      <c r="AD4470">
        <v>0</v>
      </c>
      <c r="AE4470">
        <v>0</v>
      </c>
      <c r="AF4470">
        <v>0</v>
      </c>
      <c r="AG4470">
        <v>1</v>
      </c>
      <c r="AH4470">
        <v>0</v>
      </c>
      <c r="AI4470">
        <v>0</v>
      </c>
      <c r="AJ4470">
        <v>0</v>
      </c>
      <c r="AK4470">
        <v>0</v>
      </c>
      <c r="AL4470">
        <v>1</v>
      </c>
      <c r="AM4470">
        <v>0</v>
      </c>
      <c r="AN4470">
        <v>5</v>
      </c>
      <c r="AT4470">
        <v>0</v>
      </c>
      <c r="AU4470">
        <v>7</v>
      </c>
      <c r="AV4470">
        <v>216</v>
      </c>
      <c r="AW4470">
        <v>216</v>
      </c>
      <c r="AX4470">
        <v>441</v>
      </c>
      <c r="BA4470">
        <v>1</v>
      </c>
      <c r="BC4470" t="s">
        <v>9049</v>
      </c>
      <c r="BD4470" s="4">
        <v>43283.196527777778</v>
      </c>
      <c r="BE4470" s="4">
        <v>43283.21298611111</v>
      </c>
      <c r="BF4470" s="4">
        <v>43283.21298611111</v>
      </c>
      <c r="BG4470" t="s">
        <v>83</v>
      </c>
      <c r="BH4470" t="s">
        <v>84</v>
      </c>
      <c r="BI4470" t="s">
        <v>85</v>
      </c>
    </row>
    <row r="4471" spans="1:61" x14ac:dyDescent="0.3">
      <c r="A4471" t="str">
        <f>"200958E0100"</f>
        <v>200958E0100</v>
      </c>
      <c r="B4471" s="2" t="s">
        <v>9050</v>
      </c>
      <c r="C4471">
        <v>20</v>
      </c>
      <c r="D4471" t="s">
        <v>79</v>
      </c>
      <c r="E4471">
        <v>21</v>
      </c>
      <c r="F4471" t="s">
        <v>8898</v>
      </c>
      <c r="G4471">
        <v>958</v>
      </c>
      <c r="H4471">
        <v>1</v>
      </c>
      <c r="I4471" t="s">
        <v>145</v>
      </c>
      <c r="J4471">
        <v>0</v>
      </c>
      <c r="K4471">
        <v>2</v>
      </c>
      <c r="L4471">
        <v>2</v>
      </c>
      <c r="M4471">
        <v>257</v>
      </c>
      <c r="N4471">
        <v>560</v>
      </c>
      <c r="O4471">
        <v>0</v>
      </c>
      <c r="P4471">
        <v>301</v>
      </c>
      <c r="Q4471">
        <v>30</v>
      </c>
      <c r="R4471">
        <v>25</v>
      </c>
      <c r="S4471">
        <v>24</v>
      </c>
      <c r="T4471">
        <v>5</v>
      </c>
      <c r="U4471">
        <v>21</v>
      </c>
      <c r="V4471">
        <v>6</v>
      </c>
      <c r="W4471">
        <v>2</v>
      </c>
      <c r="X4471">
        <v>3</v>
      </c>
      <c r="Y4471">
        <v>153</v>
      </c>
      <c r="Z4471">
        <v>6</v>
      </c>
      <c r="AA4471">
        <v>0</v>
      </c>
      <c r="AB4471">
        <v>5</v>
      </c>
      <c r="AC4471">
        <v>0</v>
      </c>
      <c r="AD4471">
        <v>0</v>
      </c>
      <c r="AE4471">
        <v>0</v>
      </c>
      <c r="AF4471">
        <v>0</v>
      </c>
      <c r="AG4471">
        <v>2</v>
      </c>
      <c r="AH4471">
        <v>0</v>
      </c>
      <c r="AI4471">
        <v>0</v>
      </c>
      <c r="AJ4471">
        <v>1</v>
      </c>
      <c r="AK4471">
        <v>6</v>
      </c>
      <c r="AL4471">
        <v>2</v>
      </c>
      <c r="AM4471">
        <v>0</v>
      </c>
      <c r="AN4471">
        <v>2</v>
      </c>
      <c r="AT4471">
        <v>0</v>
      </c>
      <c r="AU4471">
        <v>8</v>
      </c>
      <c r="AV4471">
        <v>301</v>
      </c>
      <c r="AW4471">
        <v>301</v>
      </c>
      <c r="AX4471">
        <v>538</v>
      </c>
      <c r="BA4471">
        <v>1</v>
      </c>
      <c r="BC4471" t="s">
        <v>9051</v>
      </c>
      <c r="BD4471" s="4">
        <v>43283.145138888889</v>
      </c>
      <c r="BE4471" s="4">
        <v>43283.163113425922</v>
      </c>
      <c r="BF4471" s="4">
        <v>43283.163113425922</v>
      </c>
      <c r="BG4471" t="s">
        <v>83</v>
      </c>
      <c r="BH4471" t="s">
        <v>84</v>
      </c>
      <c r="BI4471" t="s">
        <v>85</v>
      </c>
    </row>
    <row r="4472" spans="1:61" x14ac:dyDescent="0.3">
      <c r="A4472" t="str">
        <f>"200959B0100"</f>
        <v>200959B0100</v>
      </c>
      <c r="B4472" t="s">
        <v>9052</v>
      </c>
      <c r="C4472">
        <v>20</v>
      </c>
      <c r="D4472" t="s">
        <v>79</v>
      </c>
      <c r="E4472">
        <v>21</v>
      </c>
      <c r="F4472" t="s">
        <v>8898</v>
      </c>
      <c r="G4472">
        <v>959</v>
      </c>
      <c r="H4472">
        <v>1</v>
      </c>
      <c r="I4472" t="s">
        <v>81</v>
      </c>
      <c r="J4472">
        <v>0</v>
      </c>
      <c r="K4472">
        <v>2</v>
      </c>
      <c r="L4472">
        <v>2</v>
      </c>
      <c r="M4472">
        <v>326</v>
      </c>
      <c r="N4472">
        <v>421</v>
      </c>
      <c r="O4472">
        <v>0</v>
      </c>
      <c r="P4472">
        <v>421</v>
      </c>
      <c r="Q4472">
        <v>28</v>
      </c>
      <c r="R4472">
        <v>127</v>
      </c>
      <c r="S4472">
        <v>11</v>
      </c>
      <c r="T4472">
        <v>15</v>
      </c>
      <c r="U4472">
        <v>26</v>
      </c>
      <c r="V4472">
        <v>7</v>
      </c>
      <c r="W4472">
        <v>4</v>
      </c>
      <c r="X4472">
        <v>4</v>
      </c>
      <c r="Y4472">
        <v>151</v>
      </c>
      <c r="Z4472">
        <v>6</v>
      </c>
      <c r="AA4472">
        <v>0</v>
      </c>
      <c r="AB4472">
        <v>3</v>
      </c>
      <c r="AC4472">
        <v>0</v>
      </c>
      <c r="AD4472">
        <v>1</v>
      </c>
      <c r="AE4472">
        <v>0</v>
      </c>
      <c r="AF4472">
        <v>0</v>
      </c>
      <c r="AG4472">
        <v>2</v>
      </c>
      <c r="AH4472">
        <v>5</v>
      </c>
      <c r="AI4472">
        <v>0</v>
      </c>
      <c r="AJ4472">
        <v>0</v>
      </c>
      <c r="AK4472">
        <v>2</v>
      </c>
      <c r="AL4472">
        <v>1</v>
      </c>
      <c r="AM4472">
        <v>0</v>
      </c>
      <c r="AN4472">
        <v>1</v>
      </c>
      <c r="AT4472" t="s">
        <v>100</v>
      </c>
      <c r="AU4472">
        <v>27</v>
      </c>
      <c r="AV4472">
        <v>421</v>
      </c>
      <c r="AW4472">
        <v>421</v>
      </c>
      <c r="AX4472">
        <v>725</v>
      </c>
      <c r="AZ4472" t="s">
        <v>101</v>
      </c>
      <c r="BA4472">
        <v>1</v>
      </c>
      <c r="BC4472" t="s">
        <v>9053</v>
      </c>
      <c r="BD4472" s="4">
        <v>43283.201388888891</v>
      </c>
      <c r="BE4472" s="4">
        <v>43283.217743055553</v>
      </c>
      <c r="BF4472" s="4">
        <v>43283.217743055553</v>
      </c>
      <c r="BG4472" t="s">
        <v>83</v>
      </c>
      <c r="BH4472" t="s">
        <v>84</v>
      </c>
      <c r="BI4472" t="s">
        <v>85</v>
      </c>
    </row>
    <row r="4473" spans="1:61" x14ac:dyDescent="0.3">
      <c r="A4473" t="str">
        <f>"200959C0100"</f>
        <v>200959C0100</v>
      </c>
      <c r="B4473" t="s">
        <v>9054</v>
      </c>
      <c r="C4473">
        <v>20</v>
      </c>
      <c r="D4473" t="s">
        <v>79</v>
      </c>
      <c r="E4473">
        <v>21</v>
      </c>
      <c r="F4473" t="s">
        <v>8898</v>
      </c>
      <c r="G4473">
        <v>959</v>
      </c>
      <c r="H4473">
        <v>1</v>
      </c>
      <c r="I4473" t="s">
        <v>89</v>
      </c>
      <c r="J4473">
        <v>0</v>
      </c>
      <c r="K4473">
        <v>2</v>
      </c>
      <c r="L4473">
        <v>2</v>
      </c>
      <c r="AX4473">
        <v>725</v>
      </c>
      <c r="AZ4473" t="s">
        <v>156</v>
      </c>
      <c r="BA4473">
        <v>0</v>
      </c>
      <c r="BC4473" t="s">
        <v>9055</v>
      </c>
      <c r="BD4473" s="4">
        <v>43283.75277777778</v>
      </c>
      <c r="BE4473" s="4">
        <v>43283.754247685189</v>
      </c>
      <c r="BF4473" s="4">
        <v>43283.754247685189</v>
      </c>
      <c r="BG4473" t="s">
        <v>83</v>
      </c>
      <c r="BH4473" t="s">
        <v>84</v>
      </c>
      <c r="BI4473" t="s">
        <v>85</v>
      </c>
    </row>
    <row r="4474" spans="1:61" x14ac:dyDescent="0.3">
      <c r="A4474" t="str">
        <f>"200960B0100"</f>
        <v>200960B0100</v>
      </c>
      <c r="B4474" t="s">
        <v>9056</v>
      </c>
      <c r="C4474">
        <v>20</v>
      </c>
      <c r="D4474" t="s">
        <v>79</v>
      </c>
      <c r="E4474">
        <v>21</v>
      </c>
      <c r="F4474" t="s">
        <v>8898</v>
      </c>
      <c r="G4474">
        <v>960</v>
      </c>
      <c r="H4474">
        <v>1</v>
      </c>
      <c r="I4474" t="s">
        <v>81</v>
      </c>
      <c r="J4474">
        <v>0</v>
      </c>
      <c r="K4474">
        <v>2</v>
      </c>
      <c r="L4474">
        <v>2</v>
      </c>
      <c r="M4474">
        <v>195</v>
      </c>
      <c r="N4474">
        <v>397</v>
      </c>
      <c r="O4474">
        <v>0</v>
      </c>
      <c r="P4474">
        <v>397</v>
      </c>
      <c r="Q4474">
        <v>35</v>
      </c>
      <c r="R4474">
        <v>30</v>
      </c>
      <c r="S4474">
        <v>13</v>
      </c>
      <c r="T4474">
        <v>6</v>
      </c>
      <c r="U4474">
        <v>16</v>
      </c>
      <c r="V4474">
        <v>7</v>
      </c>
      <c r="W4474">
        <v>3</v>
      </c>
      <c r="X4474">
        <v>3</v>
      </c>
      <c r="Y4474">
        <v>247</v>
      </c>
      <c r="Z4474">
        <v>8</v>
      </c>
      <c r="AA4474">
        <v>4</v>
      </c>
      <c r="AB4474">
        <v>11</v>
      </c>
      <c r="AC4474">
        <v>0</v>
      </c>
      <c r="AD4474">
        <v>0</v>
      </c>
      <c r="AE4474">
        <v>0</v>
      </c>
      <c r="AF4474">
        <v>0</v>
      </c>
      <c r="AG4474">
        <v>0</v>
      </c>
      <c r="AH4474">
        <v>2</v>
      </c>
      <c r="AI4474">
        <v>0</v>
      </c>
      <c r="AJ4474">
        <v>0</v>
      </c>
      <c r="AK4474">
        <v>0</v>
      </c>
      <c r="AL4474">
        <v>0</v>
      </c>
      <c r="AM4474">
        <v>1</v>
      </c>
      <c r="AN4474">
        <v>1</v>
      </c>
      <c r="AT4474">
        <v>0</v>
      </c>
      <c r="AU4474">
        <v>10</v>
      </c>
      <c r="AV4474">
        <v>397</v>
      </c>
      <c r="AW4474">
        <v>397</v>
      </c>
      <c r="AX4474">
        <v>570</v>
      </c>
      <c r="BA4474">
        <v>1</v>
      </c>
      <c r="BC4474" t="s">
        <v>9057</v>
      </c>
      <c r="BD4474" s="4">
        <v>43283.15625</v>
      </c>
      <c r="BE4474" s="4">
        <v>43283.166817129626</v>
      </c>
      <c r="BF4474" s="4">
        <v>43283.166817129626</v>
      </c>
      <c r="BG4474" t="s">
        <v>83</v>
      </c>
      <c r="BH4474" t="s">
        <v>84</v>
      </c>
      <c r="BI4474" t="s">
        <v>85</v>
      </c>
    </row>
    <row r="4475" spans="1:61" x14ac:dyDescent="0.3">
      <c r="A4475" t="str">
        <f>"200960E0100"</f>
        <v>200960E0100</v>
      </c>
      <c r="B4475" s="2" t="s">
        <v>9058</v>
      </c>
      <c r="C4475">
        <v>20</v>
      </c>
      <c r="D4475" t="s">
        <v>79</v>
      </c>
      <c r="E4475">
        <v>21</v>
      </c>
      <c r="F4475" t="s">
        <v>8898</v>
      </c>
      <c r="G4475">
        <v>960</v>
      </c>
      <c r="H4475">
        <v>1</v>
      </c>
      <c r="I4475" t="s">
        <v>145</v>
      </c>
      <c r="J4475">
        <v>0</v>
      </c>
      <c r="K4475">
        <v>2</v>
      </c>
      <c r="L4475">
        <v>2</v>
      </c>
      <c r="M4475">
        <v>142</v>
      </c>
      <c r="N4475">
        <v>240</v>
      </c>
      <c r="O4475">
        <v>1</v>
      </c>
      <c r="P4475">
        <v>240</v>
      </c>
      <c r="Q4475">
        <v>13</v>
      </c>
      <c r="R4475">
        <v>48</v>
      </c>
      <c r="S4475">
        <v>15</v>
      </c>
      <c r="T4475">
        <v>8</v>
      </c>
      <c r="U4475">
        <v>11</v>
      </c>
      <c r="V4475">
        <v>3</v>
      </c>
      <c r="W4475">
        <v>2</v>
      </c>
      <c r="X4475">
        <v>22</v>
      </c>
      <c r="Y4475">
        <v>95</v>
      </c>
      <c r="Z4475">
        <v>3</v>
      </c>
      <c r="AA4475">
        <v>0</v>
      </c>
      <c r="AB4475">
        <v>3</v>
      </c>
      <c r="AC4475">
        <v>0</v>
      </c>
      <c r="AD4475">
        <v>0</v>
      </c>
      <c r="AE4475">
        <v>0</v>
      </c>
      <c r="AF4475">
        <v>0</v>
      </c>
      <c r="AG4475">
        <v>0</v>
      </c>
      <c r="AH4475">
        <v>0</v>
      </c>
      <c r="AI4475">
        <v>0</v>
      </c>
      <c r="AJ4475">
        <v>0</v>
      </c>
      <c r="AK4475">
        <v>2</v>
      </c>
      <c r="AL4475">
        <v>1</v>
      </c>
      <c r="AM4475">
        <v>0</v>
      </c>
      <c r="AN4475">
        <v>1</v>
      </c>
      <c r="AT4475">
        <v>0</v>
      </c>
      <c r="AU4475">
        <v>13</v>
      </c>
      <c r="AV4475" t="s">
        <v>100</v>
      </c>
      <c r="AW4475">
        <v>240</v>
      </c>
      <c r="AX4475">
        <v>360</v>
      </c>
      <c r="BA4475">
        <v>1</v>
      </c>
      <c r="BC4475" t="s">
        <v>9059</v>
      </c>
      <c r="BD4475" s="4">
        <v>43283.163194444445</v>
      </c>
      <c r="BE4475" s="4">
        <v>43283.173831018517</v>
      </c>
      <c r="BF4475" s="4">
        <v>43283.173831018517</v>
      </c>
      <c r="BG4475" t="s">
        <v>83</v>
      </c>
      <c r="BH4475" t="s">
        <v>84</v>
      </c>
      <c r="BI4475" t="s">
        <v>85</v>
      </c>
    </row>
    <row r="4476" spans="1:61" x14ac:dyDescent="0.3">
      <c r="A4476" t="str">
        <f>"200961B0100"</f>
        <v>200961B0100</v>
      </c>
      <c r="B4476" t="s">
        <v>9060</v>
      </c>
      <c r="C4476">
        <v>20</v>
      </c>
      <c r="D4476" t="s">
        <v>79</v>
      </c>
      <c r="E4476">
        <v>21</v>
      </c>
      <c r="F4476" t="s">
        <v>8898</v>
      </c>
      <c r="G4476">
        <v>961</v>
      </c>
      <c r="H4476">
        <v>1</v>
      </c>
      <c r="I4476" t="s">
        <v>81</v>
      </c>
      <c r="J4476">
        <v>0</v>
      </c>
      <c r="K4476">
        <v>2</v>
      </c>
      <c r="L4476">
        <v>2</v>
      </c>
      <c r="M4476">
        <v>192</v>
      </c>
      <c r="N4476">
        <v>392</v>
      </c>
      <c r="O4476">
        <v>0</v>
      </c>
      <c r="P4476">
        <v>392</v>
      </c>
      <c r="Q4476">
        <v>53</v>
      </c>
      <c r="R4476">
        <v>70</v>
      </c>
      <c r="S4476">
        <v>69</v>
      </c>
      <c r="T4476">
        <v>7</v>
      </c>
      <c r="U4476">
        <v>23</v>
      </c>
      <c r="V4476">
        <v>5</v>
      </c>
      <c r="W4476">
        <v>5</v>
      </c>
      <c r="X4476">
        <v>5</v>
      </c>
      <c r="Y4476">
        <v>120</v>
      </c>
      <c r="Z4476">
        <v>6</v>
      </c>
      <c r="AA4476">
        <v>0</v>
      </c>
      <c r="AB4476">
        <v>1</v>
      </c>
      <c r="AC4476">
        <v>0</v>
      </c>
      <c r="AD4476">
        <v>1</v>
      </c>
      <c r="AE4476">
        <v>1</v>
      </c>
      <c r="AF4476">
        <v>1</v>
      </c>
      <c r="AG4476">
        <v>1</v>
      </c>
      <c r="AH4476">
        <v>0</v>
      </c>
      <c r="AI4476">
        <v>0</v>
      </c>
      <c r="AJ4476">
        <v>0</v>
      </c>
      <c r="AK4476">
        <v>0</v>
      </c>
      <c r="AL4476">
        <v>1</v>
      </c>
      <c r="AM4476">
        <v>0</v>
      </c>
      <c r="AN4476">
        <v>2</v>
      </c>
      <c r="AT4476">
        <v>0</v>
      </c>
      <c r="AU4476">
        <v>21</v>
      </c>
      <c r="AV4476" t="s">
        <v>100</v>
      </c>
      <c r="AW4476">
        <v>392</v>
      </c>
      <c r="AX4476">
        <v>562</v>
      </c>
      <c r="BA4476">
        <v>1</v>
      </c>
      <c r="BC4476" t="s">
        <v>9061</v>
      </c>
      <c r="BD4476" s="4">
        <v>43283.148611111108</v>
      </c>
      <c r="BE4476" s="4">
        <v>43283.158391203702</v>
      </c>
      <c r="BF4476" s="4">
        <v>43283.158391203702</v>
      </c>
      <c r="BG4476" t="s">
        <v>83</v>
      </c>
      <c r="BH4476" t="s">
        <v>84</v>
      </c>
      <c r="BI4476" t="s">
        <v>85</v>
      </c>
    </row>
    <row r="4477" spans="1:61" x14ac:dyDescent="0.3">
      <c r="A4477" t="str">
        <f>"200961C0100"</f>
        <v>200961C0100</v>
      </c>
      <c r="B4477" t="s">
        <v>9062</v>
      </c>
      <c r="C4477">
        <v>20</v>
      </c>
      <c r="D4477" t="s">
        <v>79</v>
      </c>
      <c r="E4477">
        <v>21</v>
      </c>
      <c r="F4477" t="s">
        <v>8898</v>
      </c>
      <c r="G4477">
        <v>961</v>
      </c>
      <c r="H4477">
        <v>1</v>
      </c>
      <c r="I4477" t="s">
        <v>89</v>
      </c>
      <c r="J4477">
        <v>0</v>
      </c>
      <c r="K4477">
        <v>2</v>
      </c>
      <c r="L4477">
        <v>2</v>
      </c>
      <c r="M4477">
        <v>236</v>
      </c>
      <c r="N4477" t="s">
        <v>100</v>
      </c>
      <c r="O4477" t="s">
        <v>100</v>
      </c>
      <c r="P4477" t="s">
        <v>100</v>
      </c>
      <c r="Q4477">
        <v>43</v>
      </c>
      <c r="R4477">
        <v>56</v>
      </c>
      <c r="S4477">
        <v>64</v>
      </c>
      <c r="T4477">
        <v>8</v>
      </c>
      <c r="U4477">
        <v>22</v>
      </c>
      <c r="V4477">
        <v>5</v>
      </c>
      <c r="W4477">
        <v>2</v>
      </c>
      <c r="X4477">
        <v>3</v>
      </c>
      <c r="Y4477">
        <v>96</v>
      </c>
      <c r="Z4477">
        <v>5</v>
      </c>
      <c r="AA4477">
        <v>3</v>
      </c>
      <c r="AB4477">
        <v>1</v>
      </c>
      <c r="AC4477">
        <v>0</v>
      </c>
      <c r="AD4477">
        <v>1</v>
      </c>
      <c r="AE4477">
        <v>0</v>
      </c>
      <c r="AF4477">
        <v>1</v>
      </c>
      <c r="AG4477">
        <v>0</v>
      </c>
      <c r="AH4477">
        <v>6</v>
      </c>
      <c r="AI4477">
        <v>0</v>
      </c>
      <c r="AJ4477">
        <v>0</v>
      </c>
      <c r="AK4477">
        <v>3</v>
      </c>
      <c r="AL4477">
        <v>0</v>
      </c>
      <c r="AM4477">
        <v>0</v>
      </c>
      <c r="AN4477">
        <v>1</v>
      </c>
      <c r="AT4477">
        <v>2</v>
      </c>
      <c r="AU4477">
        <v>2</v>
      </c>
      <c r="AV4477" t="s">
        <v>100</v>
      </c>
      <c r="AW4477">
        <v>324</v>
      </c>
      <c r="AX4477">
        <v>562</v>
      </c>
      <c r="BA4477">
        <v>1</v>
      </c>
      <c r="BC4477" t="s">
        <v>9063</v>
      </c>
      <c r="BD4477" s="4">
        <v>43283.152083333334</v>
      </c>
      <c r="BE4477" s="4">
        <v>43283.174710648149</v>
      </c>
      <c r="BF4477" s="4">
        <v>43283.174710648149</v>
      </c>
      <c r="BG4477" t="s">
        <v>83</v>
      </c>
      <c r="BH4477" t="s">
        <v>84</v>
      </c>
      <c r="BI4477" t="s">
        <v>85</v>
      </c>
    </row>
    <row r="4478" spans="1:61" x14ac:dyDescent="0.3">
      <c r="A4478" t="str">
        <f>"201249B0100"</f>
        <v>201249B0100</v>
      </c>
      <c r="B4478" t="s">
        <v>9064</v>
      </c>
      <c r="C4478">
        <v>20</v>
      </c>
      <c r="D4478" t="s">
        <v>79</v>
      </c>
      <c r="E4478">
        <v>21</v>
      </c>
      <c r="F4478" t="s">
        <v>8898</v>
      </c>
      <c r="G4478">
        <v>1249</v>
      </c>
      <c r="H4478">
        <v>1</v>
      </c>
      <c r="I4478" t="s">
        <v>81</v>
      </c>
      <c r="J4478">
        <v>0</v>
      </c>
      <c r="K4478">
        <v>2</v>
      </c>
      <c r="L4478">
        <v>2</v>
      </c>
      <c r="M4478">
        <v>209</v>
      </c>
      <c r="N4478">
        <v>269</v>
      </c>
      <c r="O4478">
        <v>0</v>
      </c>
      <c r="P4478">
        <v>266</v>
      </c>
      <c r="Q4478">
        <v>13</v>
      </c>
      <c r="R4478">
        <v>39</v>
      </c>
      <c r="S4478">
        <v>15</v>
      </c>
      <c r="T4478">
        <v>3</v>
      </c>
      <c r="U4478">
        <v>12</v>
      </c>
      <c r="V4478">
        <v>5</v>
      </c>
      <c r="W4478">
        <v>0</v>
      </c>
      <c r="X4478">
        <v>3</v>
      </c>
      <c r="Y4478">
        <v>146</v>
      </c>
      <c r="Z4478">
        <v>3</v>
      </c>
      <c r="AA4478">
        <v>1</v>
      </c>
      <c r="AB4478">
        <v>2</v>
      </c>
      <c r="AC4478">
        <v>0</v>
      </c>
      <c r="AD4478">
        <v>3</v>
      </c>
      <c r="AE4478">
        <v>0</v>
      </c>
      <c r="AF4478">
        <v>0</v>
      </c>
      <c r="AG4478">
        <v>1</v>
      </c>
      <c r="AH4478">
        <v>1</v>
      </c>
      <c r="AI4478">
        <v>0</v>
      </c>
      <c r="AJ4478">
        <v>0</v>
      </c>
      <c r="AK4478">
        <v>4</v>
      </c>
      <c r="AL4478">
        <v>1</v>
      </c>
      <c r="AM4478">
        <v>0</v>
      </c>
      <c r="AN4478">
        <v>1</v>
      </c>
      <c r="AT4478">
        <v>1</v>
      </c>
      <c r="AU4478">
        <v>12</v>
      </c>
      <c r="AV4478">
        <v>266</v>
      </c>
      <c r="AW4478">
        <v>266</v>
      </c>
      <c r="AX4478">
        <v>455</v>
      </c>
      <c r="BA4478">
        <v>1</v>
      </c>
      <c r="BC4478" t="s">
        <v>9065</v>
      </c>
      <c r="BD4478" s="4">
        <v>43283.636805555558</v>
      </c>
      <c r="BE4478" s="4">
        <v>43283.641875000001</v>
      </c>
      <c r="BF4478" s="4">
        <v>43283.641875000001</v>
      </c>
      <c r="BG4478" t="s">
        <v>83</v>
      </c>
      <c r="BH4478" t="s">
        <v>84</v>
      </c>
      <c r="BI4478" t="s">
        <v>85</v>
      </c>
    </row>
    <row r="4479" spans="1:61" x14ac:dyDescent="0.3">
      <c r="A4479" t="str">
        <f>"201249C0100"</f>
        <v>201249C0100</v>
      </c>
      <c r="B4479" t="s">
        <v>9066</v>
      </c>
      <c r="C4479">
        <v>20</v>
      </c>
      <c r="D4479" t="s">
        <v>79</v>
      </c>
      <c r="E4479">
        <v>21</v>
      </c>
      <c r="F4479" t="s">
        <v>8898</v>
      </c>
      <c r="G4479">
        <v>1249</v>
      </c>
      <c r="H4479">
        <v>1</v>
      </c>
      <c r="I4479" t="s">
        <v>89</v>
      </c>
      <c r="J4479">
        <v>0</v>
      </c>
      <c r="K4479">
        <v>2</v>
      </c>
      <c r="L4479">
        <v>2</v>
      </c>
      <c r="M4479" t="s">
        <v>315</v>
      </c>
      <c r="N4479" t="s">
        <v>315</v>
      </c>
      <c r="O4479">
        <v>0</v>
      </c>
      <c r="P4479" t="s">
        <v>315</v>
      </c>
      <c r="Q4479">
        <v>10</v>
      </c>
      <c r="R4479">
        <v>46</v>
      </c>
      <c r="S4479">
        <v>13</v>
      </c>
      <c r="T4479">
        <v>3</v>
      </c>
      <c r="U4479">
        <v>17</v>
      </c>
      <c r="V4479">
        <v>2</v>
      </c>
      <c r="W4479">
        <v>1</v>
      </c>
      <c r="X4479">
        <v>3</v>
      </c>
      <c r="Y4479">
        <v>141</v>
      </c>
      <c r="Z4479">
        <v>5</v>
      </c>
      <c r="AA4479">
        <v>1</v>
      </c>
      <c r="AB4479">
        <v>2</v>
      </c>
      <c r="AC4479">
        <v>1</v>
      </c>
      <c r="AD4479">
        <v>3</v>
      </c>
      <c r="AE4479">
        <v>0</v>
      </c>
      <c r="AF4479">
        <v>0</v>
      </c>
      <c r="AG4479">
        <v>0</v>
      </c>
      <c r="AH4479">
        <v>0</v>
      </c>
      <c r="AI4479">
        <v>0</v>
      </c>
      <c r="AJ4479">
        <v>1</v>
      </c>
      <c r="AK4479">
        <v>3</v>
      </c>
      <c r="AL4479">
        <v>1</v>
      </c>
      <c r="AM4479">
        <v>0</v>
      </c>
      <c r="AN4479">
        <v>0</v>
      </c>
      <c r="AT4479">
        <v>0</v>
      </c>
      <c r="AU4479">
        <v>17</v>
      </c>
      <c r="AV4479">
        <v>270</v>
      </c>
      <c r="AW4479">
        <v>270</v>
      </c>
      <c r="AX4479">
        <v>454</v>
      </c>
      <c r="BA4479">
        <v>1</v>
      </c>
      <c r="BC4479" t="s">
        <v>9067</v>
      </c>
      <c r="BD4479" s="4">
        <v>43283.638888888891</v>
      </c>
      <c r="BE4479" s="4">
        <v>43283.643310185187</v>
      </c>
      <c r="BF4479" s="4">
        <v>43283.643310185187</v>
      </c>
      <c r="BG4479" t="s">
        <v>83</v>
      </c>
      <c r="BH4479" t="s">
        <v>84</v>
      </c>
      <c r="BI4479" t="s">
        <v>85</v>
      </c>
    </row>
    <row r="4480" spans="1:61" x14ac:dyDescent="0.3">
      <c r="A4480" t="str">
        <f>"201249E0100"</f>
        <v>201249E0100</v>
      </c>
      <c r="B4480" s="2" t="s">
        <v>9068</v>
      </c>
      <c r="C4480">
        <v>20</v>
      </c>
      <c r="D4480" t="s">
        <v>79</v>
      </c>
      <c r="E4480">
        <v>21</v>
      </c>
      <c r="F4480" t="s">
        <v>8898</v>
      </c>
      <c r="G4480">
        <v>1249</v>
      </c>
      <c r="H4480">
        <v>1</v>
      </c>
      <c r="I4480" t="s">
        <v>145</v>
      </c>
      <c r="J4480">
        <v>0</v>
      </c>
      <c r="K4480">
        <v>2</v>
      </c>
      <c r="L4480">
        <v>2</v>
      </c>
      <c r="M4480">
        <v>252</v>
      </c>
      <c r="N4480">
        <v>265</v>
      </c>
      <c r="O4480">
        <v>5</v>
      </c>
      <c r="P4480">
        <v>264</v>
      </c>
      <c r="Q4480">
        <v>24</v>
      </c>
      <c r="R4480">
        <v>73</v>
      </c>
      <c r="S4480">
        <v>14</v>
      </c>
      <c r="T4480">
        <v>7</v>
      </c>
      <c r="U4480">
        <v>9</v>
      </c>
      <c r="V4480">
        <v>5</v>
      </c>
      <c r="W4480">
        <v>4</v>
      </c>
      <c r="X4480">
        <v>1</v>
      </c>
      <c r="Y4480">
        <v>92</v>
      </c>
      <c r="Z4480">
        <v>4</v>
      </c>
      <c r="AA4480">
        <v>0</v>
      </c>
      <c r="AB4480">
        <v>2</v>
      </c>
      <c r="AC4480">
        <v>0</v>
      </c>
      <c r="AD4480">
        <v>0</v>
      </c>
      <c r="AE4480">
        <v>0</v>
      </c>
      <c r="AF4480">
        <v>0</v>
      </c>
      <c r="AG4480">
        <v>0</v>
      </c>
      <c r="AH4480">
        <v>2</v>
      </c>
      <c r="AI4480">
        <v>0</v>
      </c>
      <c r="AJ4480">
        <v>0</v>
      </c>
      <c r="AK4480">
        <v>0</v>
      </c>
      <c r="AL4480">
        <v>2</v>
      </c>
      <c r="AM4480">
        <v>0</v>
      </c>
      <c r="AN4480">
        <v>0</v>
      </c>
      <c r="AT4480">
        <v>0</v>
      </c>
      <c r="AU4480">
        <v>25</v>
      </c>
      <c r="AV4480">
        <v>264</v>
      </c>
      <c r="AW4480">
        <v>264</v>
      </c>
      <c r="AX4480">
        <v>496</v>
      </c>
      <c r="BA4480">
        <v>1</v>
      </c>
      <c r="BC4480" t="s">
        <v>9069</v>
      </c>
      <c r="BD4480" s="4">
        <v>43283.651388888888</v>
      </c>
      <c r="BE4480" s="4">
        <v>43283.656643518516</v>
      </c>
      <c r="BF4480" s="4">
        <v>43283.656643518516</v>
      </c>
      <c r="BG4480" t="s">
        <v>83</v>
      </c>
      <c r="BH4480" t="s">
        <v>84</v>
      </c>
      <c r="BI4480" t="s">
        <v>85</v>
      </c>
    </row>
    <row r="4481" spans="1:61" x14ac:dyDescent="0.3">
      <c r="A4481" t="str">
        <f>"201249E0101"</f>
        <v>201249E0101</v>
      </c>
      <c r="B4481" s="2" t="s">
        <v>9070</v>
      </c>
      <c r="C4481">
        <v>20</v>
      </c>
      <c r="D4481" t="s">
        <v>79</v>
      </c>
      <c r="E4481">
        <v>21</v>
      </c>
      <c r="F4481" t="s">
        <v>8898</v>
      </c>
      <c r="G4481">
        <v>1249</v>
      </c>
      <c r="H4481">
        <v>1</v>
      </c>
      <c r="I4481" t="s">
        <v>145</v>
      </c>
      <c r="J4481">
        <v>1</v>
      </c>
      <c r="K4481">
        <v>2</v>
      </c>
      <c r="L4481">
        <v>2</v>
      </c>
      <c r="M4481">
        <v>234</v>
      </c>
      <c r="N4481">
        <v>284</v>
      </c>
      <c r="O4481">
        <v>3</v>
      </c>
      <c r="P4481">
        <v>283</v>
      </c>
      <c r="Q4481">
        <v>40</v>
      </c>
      <c r="R4481">
        <v>93</v>
      </c>
      <c r="S4481">
        <v>15</v>
      </c>
      <c r="T4481">
        <v>7</v>
      </c>
      <c r="U4481">
        <v>11</v>
      </c>
      <c r="V4481">
        <v>3</v>
      </c>
      <c r="W4481">
        <v>2</v>
      </c>
      <c r="X4481">
        <v>2</v>
      </c>
      <c r="Y4481">
        <v>86</v>
      </c>
      <c r="Z4481">
        <v>1</v>
      </c>
      <c r="AA4481">
        <v>0</v>
      </c>
      <c r="AB4481">
        <v>2</v>
      </c>
      <c r="AC4481">
        <v>0</v>
      </c>
      <c r="AD4481">
        <v>0</v>
      </c>
      <c r="AE4481">
        <v>0</v>
      </c>
      <c r="AF4481">
        <v>0</v>
      </c>
      <c r="AG4481">
        <v>0</v>
      </c>
      <c r="AH4481">
        <v>1</v>
      </c>
      <c r="AI4481">
        <v>0</v>
      </c>
      <c r="AJ4481">
        <v>0</v>
      </c>
      <c r="AK4481">
        <v>0</v>
      </c>
      <c r="AL4481">
        <v>1</v>
      </c>
      <c r="AM4481">
        <v>0</v>
      </c>
      <c r="AN4481">
        <v>0</v>
      </c>
      <c r="AT4481">
        <v>0</v>
      </c>
      <c r="AU4481">
        <v>19</v>
      </c>
      <c r="AV4481">
        <v>283</v>
      </c>
      <c r="AW4481">
        <v>283</v>
      </c>
      <c r="AX4481">
        <v>496</v>
      </c>
      <c r="BA4481">
        <v>1</v>
      </c>
      <c r="BC4481" t="s">
        <v>9071</v>
      </c>
      <c r="BD4481" s="4">
        <v>43283.658333333333</v>
      </c>
      <c r="BE4481" s="4">
        <v>43283.662511574075</v>
      </c>
      <c r="BF4481" s="4">
        <v>43283.662511574075</v>
      </c>
      <c r="BG4481" t="s">
        <v>83</v>
      </c>
      <c r="BH4481" t="s">
        <v>84</v>
      </c>
      <c r="BI4481" t="s">
        <v>85</v>
      </c>
    </row>
    <row r="4482" spans="1:61" x14ac:dyDescent="0.3">
      <c r="A4482" t="str">
        <f>"201249E0200"</f>
        <v>201249E0200</v>
      </c>
      <c r="B4482" s="2" t="s">
        <v>9072</v>
      </c>
      <c r="C4482">
        <v>20</v>
      </c>
      <c r="D4482" t="s">
        <v>79</v>
      </c>
      <c r="E4482">
        <v>21</v>
      </c>
      <c r="F4482" t="s">
        <v>8898</v>
      </c>
      <c r="G4482">
        <v>1249</v>
      </c>
      <c r="H4482">
        <v>2</v>
      </c>
      <c r="I4482" t="s">
        <v>145</v>
      </c>
      <c r="J4482">
        <v>0</v>
      </c>
      <c r="K4482">
        <v>2</v>
      </c>
      <c r="L4482">
        <v>2</v>
      </c>
      <c r="M4482">
        <v>234</v>
      </c>
      <c r="N4482">
        <v>398</v>
      </c>
      <c r="O4482">
        <v>3</v>
      </c>
      <c r="P4482">
        <v>398</v>
      </c>
      <c r="Q4482">
        <v>14</v>
      </c>
      <c r="R4482">
        <v>13</v>
      </c>
      <c r="S4482">
        <v>11</v>
      </c>
      <c r="T4482">
        <v>4</v>
      </c>
      <c r="U4482">
        <v>13</v>
      </c>
      <c r="V4482">
        <v>4</v>
      </c>
      <c r="W4482">
        <v>3</v>
      </c>
      <c r="X4482">
        <v>7</v>
      </c>
      <c r="Y4482">
        <v>282</v>
      </c>
      <c r="Z4482">
        <v>11</v>
      </c>
      <c r="AA4482">
        <v>1</v>
      </c>
      <c r="AB4482">
        <v>0</v>
      </c>
      <c r="AC4482">
        <v>0</v>
      </c>
      <c r="AD4482">
        <v>1</v>
      </c>
      <c r="AE4482">
        <v>0</v>
      </c>
      <c r="AF4482">
        <v>0</v>
      </c>
      <c r="AG4482">
        <v>0</v>
      </c>
      <c r="AH4482">
        <v>1</v>
      </c>
      <c r="AI4482">
        <v>1</v>
      </c>
      <c r="AJ4482">
        <v>0</v>
      </c>
      <c r="AK4482">
        <v>3</v>
      </c>
      <c r="AL4482">
        <v>0</v>
      </c>
      <c r="AM4482">
        <v>0</v>
      </c>
      <c r="AN4482">
        <v>1</v>
      </c>
      <c r="AT4482">
        <v>0</v>
      </c>
      <c r="AU4482">
        <v>27</v>
      </c>
      <c r="AV4482">
        <v>398</v>
      </c>
      <c r="AW4482">
        <v>397</v>
      </c>
      <c r="AX4482">
        <v>610</v>
      </c>
      <c r="BA4482">
        <v>1</v>
      </c>
      <c r="BC4482" t="s">
        <v>9073</v>
      </c>
      <c r="BD4482" s="4">
        <v>43283.660416666666</v>
      </c>
      <c r="BE4482" s="4">
        <v>43283.666666666664</v>
      </c>
      <c r="BF4482" s="4">
        <v>43283.666666666664</v>
      </c>
      <c r="BG4482" t="s">
        <v>83</v>
      </c>
      <c r="BH4482" t="s">
        <v>84</v>
      </c>
      <c r="BI4482" t="s">
        <v>85</v>
      </c>
    </row>
    <row r="4483" spans="1:61" x14ac:dyDescent="0.3">
      <c r="A4483" t="str">
        <f>"201250B0100"</f>
        <v>201250B0100</v>
      </c>
      <c r="B4483" t="s">
        <v>9074</v>
      </c>
      <c r="C4483">
        <v>20</v>
      </c>
      <c r="D4483" t="s">
        <v>79</v>
      </c>
      <c r="E4483">
        <v>21</v>
      </c>
      <c r="F4483" t="s">
        <v>8898</v>
      </c>
      <c r="G4483">
        <v>1250</v>
      </c>
      <c r="H4483">
        <v>1</v>
      </c>
      <c r="I4483" t="s">
        <v>81</v>
      </c>
      <c r="J4483">
        <v>0</v>
      </c>
      <c r="K4483">
        <v>2</v>
      </c>
      <c r="L4483">
        <v>2</v>
      </c>
      <c r="AX4483">
        <v>371</v>
      </c>
      <c r="AZ4483" t="s">
        <v>156</v>
      </c>
      <c r="BA4483">
        <v>0</v>
      </c>
      <c r="BC4483" t="s">
        <v>9075</v>
      </c>
      <c r="BD4483" s="4">
        <v>43283.75277777778</v>
      </c>
      <c r="BE4483" s="4">
        <v>43283.755162037036</v>
      </c>
      <c r="BF4483" s="4">
        <v>43283.755162037036</v>
      </c>
      <c r="BG4483" t="s">
        <v>83</v>
      </c>
      <c r="BH4483" t="s">
        <v>84</v>
      </c>
      <c r="BI4483" t="s">
        <v>85</v>
      </c>
    </row>
    <row r="4484" spans="1:61" x14ac:dyDescent="0.3">
      <c r="A4484" t="str">
        <f>"201250E0100"</f>
        <v>201250E0100</v>
      </c>
      <c r="B4484" s="2" t="s">
        <v>9076</v>
      </c>
      <c r="C4484">
        <v>20</v>
      </c>
      <c r="D4484" t="s">
        <v>79</v>
      </c>
      <c r="E4484">
        <v>21</v>
      </c>
      <c r="F4484" t="s">
        <v>8898</v>
      </c>
      <c r="G4484">
        <v>1250</v>
      </c>
      <c r="H4484">
        <v>1</v>
      </c>
      <c r="I4484" t="s">
        <v>145</v>
      </c>
      <c r="J4484">
        <v>0</v>
      </c>
      <c r="K4484">
        <v>2</v>
      </c>
      <c r="L4484">
        <v>2</v>
      </c>
      <c r="M4484">
        <v>213</v>
      </c>
      <c r="N4484">
        <v>334</v>
      </c>
      <c r="O4484">
        <v>0</v>
      </c>
      <c r="P4484">
        <v>329</v>
      </c>
      <c r="Q4484">
        <v>3</v>
      </c>
      <c r="R4484">
        <v>6</v>
      </c>
      <c r="S4484">
        <v>8</v>
      </c>
      <c r="T4484">
        <v>2</v>
      </c>
      <c r="U4484">
        <v>12</v>
      </c>
      <c r="V4484">
        <v>2</v>
      </c>
      <c r="W4484">
        <v>0</v>
      </c>
      <c r="X4484">
        <v>9</v>
      </c>
      <c r="Y4484">
        <v>252</v>
      </c>
      <c r="Z4484">
        <v>5</v>
      </c>
      <c r="AA4484">
        <v>0</v>
      </c>
      <c r="AB4484">
        <v>3</v>
      </c>
      <c r="AC4484">
        <v>0</v>
      </c>
      <c r="AD4484">
        <v>0</v>
      </c>
      <c r="AE4484">
        <v>0</v>
      </c>
      <c r="AF4484">
        <v>0</v>
      </c>
      <c r="AG4484">
        <v>0</v>
      </c>
      <c r="AH4484">
        <v>0</v>
      </c>
      <c r="AI4484">
        <v>0</v>
      </c>
      <c r="AJ4484">
        <v>0</v>
      </c>
      <c r="AK4484">
        <v>2</v>
      </c>
      <c r="AL4484">
        <v>4</v>
      </c>
      <c r="AM4484">
        <v>0</v>
      </c>
      <c r="AN4484">
        <v>1</v>
      </c>
      <c r="AT4484">
        <v>0</v>
      </c>
      <c r="AU4484">
        <v>19</v>
      </c>
      <c r="AV4484">
        <v>329</v>
      </c>
      <c r="AW4484">
        <v>328</v>
      </c>
      <c r="AX4484">
        <v>526</v>
      </c>
      <c r="BA4484">
        <v>1</v>
      </c>
      <c r="BC4484" t="s">
        <v>9077</v>
      </c>
      <c r="BD4484" s="4">
        <v>43283.666666666664</v>
      </c>
      <c r="BE4484" s="4">
        <v>43283.673738425925</v>
      </c>
      <c r="BF4484" s="4">
        <v>43283.673738425925</v>
      </c>
      <c r="BG4484" t="s">
        <v>83</v>
      </c>
      <c r="BH4484" t="s">
        <v>84</v>
      </c>
      <c r="BI4484" t="s">
        <v>85</v>
      </c>
    </row>
    <row r="4485" spans="1:61" x14ac:dyDescent="0.3">
      <c r="A4485" t="str">
        <f>"201250E0101"</f>
        <v>201250E0101</v>
      </c>
      <c r="B4485" s="2" t="s">
        <v>9078</v>
      </c>
      <c r="C4485">
        <v>20</v>
      </c>
      <c r="D4485" t="s">
        <v>79</v>
      </c>
      <c r="E4485">
        <v>21</v>
      </c>
      <c r="F4485" t="s">
        <v>8898</v>
      </c>
      <c r="G4485">
        <v>1250</v>
      </c>
      <c r="H4485">
        <v>1</v>
      </c>
      <c r="I4485" t="s">
        <v>145</v>
      </c>
      <c r="J4485">
        <v>1</v>
      </c>
      <c r="K4485">
        <v>2</v>
      </c>
      <c r="L4485">
        <v>2</v>
      </c>
      <c r="AX4485">
        <v>525</v>
      </c>
      <c r="AZ4485" t="s">
        <v>932</v>
      </c>
      <c r="BA4485">
        <v>0</v>
      </c>
      <c r="BC4485" t="s">
        <v>9079</v>
      </c>
      <c r="BD4485" s="4">
        <v>43283.793055555558</v>
      </c>
      <c r="BE4485" s="4">
        <v>43283.797673611109</v>
      </c>
      <c r="BF4485" s="4">
        <v>43283.797673611109</v>
      </c>
      <c r="BG4485" t="s">
        <v>83</v>
      </c>
      <c r="BH4485" t="s">
        <v>84</v>
      </c>
      <c r="BI4485" t="s">
        <v>85</v>
      </c>
    </row>
    <row r="4486" spans="1:61" x14ac:dyDescent="0.3">
      <c r="A4486" t="str">
        <f>"201250E0200"</f>
        <v>201250E0200</v>
      </c>
      <c r="B4486" s="2" t="s">
        <v>9080</v>
      </c>
      <c r="C4486">
        <v>20</v>
      </c>
      <c r="D4486" t="s">
        <v>79</v>
      </c>
      <c r="E4486">
        <v>21</v>
      </c>
      <c r="F4486" t="s">
        <v>8898</v>
      </c>
      <c r="G4486">
        <v>1250</v>
      </c>
      <c r="H4486">
        <v>2</v>
      </c>
      <c r="I4486" t="s">
        <v>145</v>
      </c>
      <c r="J4486">
        <v>0</v>
      </c>
      <c r="K4486">
        <v>2</v>
      </c>
      <c r="L4486">
        <v>2</v>
      </c>
      <c r="M4486">
        <v>301</v>
      </c>
      <c r="N4486">
        <v>316</v>
      </c>
      <c r="O4486">
        <v>10</v>
      </c>
      <c r="P4486">
        <v>316</v>
      </c>
      <c r="Q4486">
        <v>50</v>
      </c>
      <c r="R4486">
        <v>49</v>
      </c>
      <c r="S4486">
        <v>17</v>
      </c>
      <c r="T4486">
        <v>8</v>
      </c>
      <c r="U4486">
        <v>25</v>
      </c>
      <c r="V4486">
        <v>1</v>
      </c>
      <c r="W4486">
        <v>6</v>
      </c>
      <c r="X4486">
        <v>7</v>
      </c>
      <c r="Y4486">
        <v>122</v>
      </c>
      <c r="Z4486">
        <v>5</v>
      </c>
      <c r="AA4486">
        <v>1</v>
      </c>
      <c r="AB4486">
        <v>1</v>
      </c>
      <c r="AC4486">
        <v>0</v>
      </c>
      <c r="AD4486">
        <v>0</v>
      </c>
      <c r="AE4486">
        <v>0</v>
      </c>
      <c r="AF4486">
        <v>0</v>
      </c>
      <c r="AG4486">
        <v>0</v>
      </c>
      <c r="AH4486">
        <v>1</v>
      </c>
      <c r="AI4486">
        <v>0</v>
      </c>
      <c r="AJ4486">
        <v>0</v>
      </c>
      <c r="AK4486">
        <v>2</v>
      </c>
      <c r="AL4486">
        <v>1</v>
      </c>
      <c r="AM4486">
        <v>0</v>
      </c>
      <c r="AN4486">
        <v>1</v>
      </c>
      <c r="AT4486" t="s">
        <v>100</v>
      </c>
      <c r="AU4486">
        <v>15</v>
      </c>
      <c r="AV4486" t="s">
        <v>100</v>
      </c>
      <c r="AW4486">
        <v>312</v>
      </c>
      <c r="AX4486">
        <v>595</v>
      </c>
      <c r="AZ4486" t="s">
        <v>101</v>
      </c>
      <c r="BA4486">
        <v>1</v>
      </c>
      <c r="BC4486" t="s">
        <v>9081</v>
      </c>
      <c r="BD4486" s="4">
        <v>43283.668749999997</v>
      </c>
      <c r="BE4486" s="4">
        <v>43283.674004629633</v>
      </c>
      <c r="BF4486" s="4">
        <v>43283.674004629633</v>
      </c>
      <c r="BG4486" t="s">
        <v>83</v>
      </c>
      <c r="BH4486" t="s">
        <v>84</v>
      </c>
      <c r="BI4486" t="s">
        <v>85</v>
      </c>
    </row>
    <row r="4487" spans="1:61" x14ac:dyDescent="0.3">
      <c r="A4487" t="str">
        <f>"201282B0100"</f>
        <v>201282B0100</v>
      </c>
      <c r="B4487" t="s">
        <v>9082</v>
      </c>
      <c r="C4487">
        <v>20</v>
      </c>
      <c r="D4487" t="s">
        <v>79</v>
      </c>
      <c r="E4487">
        <v>21</v>
      </c>
      <c r="F4487" t="s">
        <v>8898</v>
      </c>
      <c r="G4487">
        <v>1282</v>
      </c>
      <c r="H4487">
        <v>1</v>
      </c>
      <c r="I4487" t="s">
        <v>81</v>
      </c>
      <c r="J4487">
        <v>0</v>
      </c>
      <c r="K4487">
        <v>2</v>
      </c>
      <c r="L4487">
        <v>2</v>
      </c>
      <c r="M4487">
        <v>213</v>
      </c>
      <c r="N4487">
        <v>476</v>
      </c>
      <c r="O4487">
        <v>2</v>
      </c>
      <c r="P4487">
        <v>476</v>
      </c>
      <c r="Q4487">
        <v>41</v>
      </c>
      <c r="R4487">
        <v>158</v>
      </c>
      <c r="S4487">
        <v>10</v>
      </c>
      <c r="T4487">
        <v>8</v>
      </c>
      <c r="U4487">
        <v>16</v>
      </c>
      <c r="V4487">
        <v>6</v>
      </c>
      <c r="W4487">
        <v>6</v>
      </c>
      <c r="X4487">
        <v>3</v>
      </c>
      <c r="Y4487">
        <v>187</v>
      </c>
      <c r="Z4487">
        <v>13</v>
      </c>
      <c r="AA4487">
        <v>2</v>
      </c>
      <c r="AB4487">
        <v>2</v>
      </c>
      <c r="AC4487">
        <v>0</v>
      </c>
      <c r="AD4487">
        <v>0</v>
      </c>
      <c r="AE4487">
        <v>0</v>
      </c>
      <c r="AF4487">
        <v>0</v>
      </c>
      <c r="AG4487">
        <v>0</v>
      </c>
      <c r="AH4487">
        <v>1</v>
      </c>
      <c r="AI4487">
        <v>2</v>
      </c>
      <c r="AJ4487">
        <v>0</v>
      </c>
      <c r="AK4487">
        <v>0</v>
      </c>
      <c r="AL4487">
        <v>1</v>
      </c>
      <c r="AM4487">
        <v>0</v>
      </c>
      <c r="AN4487">
        <v>2</v>
      </c>
      <c r="AT4487">
        <v>0</v>
      </c>
      <c r="AU4487">
        <v>18</v>
      </c>
      <c r="AV4487">
        <v>476</v>
      </c>
      <c r="AW4487">
        <v>476</v>
      </c>
      <c r="AX4487">
        <v>667</v>
      </c>
      <c r="BA4487">
        <v>1</v>
      </c>
      <c r="BC4487" t="s">
        <v>9083</v>
      </c>
      <c r="BD4487" s="4">
        <v>43283.215277777781</v>
      </c>
      <c r="BE4487" s="4">
        <v>43283.237615740742</v>
      </c>
      <c r="BF4487" s="4">
        <v>43283.237615740742</v>
      </c>
      <c r="BG4487" t="s">
        <v>83</v>
      </c>
      <c r="BH4487" t="s">
        <v>84</v>
      </c>
      <c r="BI4487" t="s">
        <v>85</v>
      </c>
    </row>
    <row r="4488" spans="1:61" x14ac:dyDescent="0.3">
      <c r="A4488" t="str">
        <f>"201353B0100"</f>
        <v>201353B0100</v>
      </c>
      <c r="B4488" t="s">
        <v>9084</v>
      </c>
      <c r="C4488">
        <v>20</v>
      </c>
      <c r="D4488" t="s">
        <v>79</v>
      </c>
      <c r="E4488">
        <v>21</v>
      </c>
      <c r="F4488" t="s">
        <v>8898</v>
      </c>
      <c r="G4488">
        <v>1353</v>
      </c>
      <c r="H4488">
        <v>1</v>
      </c>
      <c r="I4488" t="s">
        <v>81</v>
      </c>
      <c r="J4488">
        <v>0</v>
      </c>
      <c r="K4488">
        <v>2</v>
      </c>
      <c r="L4488">
        <v>2</v>
      </c>
      <c r="M4488">
        <v>301</v>
      </c>
      <c r="N4488">
        <v>470</v>
      </c>
      <c r="O4488">
        <v>0</v>
      </c>
      <c r="P4488">
        <v>459</v>
      </c>
      <c r="Q4488">
        <v>66</v>
      </c>
      <c r="R4488">
        <v>147</v>
      </c>
      <c r="S4488">
        <v>6</v>
      </c>
      <c r="T4488">
        <v>5</v>
      </c>
      <c r="U4488">
        <v>20</v>
      </c>
      <c r="V4488">
        <v>8</v>
      </c>
      <c r="W4488">
        <v>1</v>
      </c>
      <c r="X4488">
        <v>3</v>
      </c>
      <c r="Y4488">
        <v>175</v>
      </c>
      <c r="Z4488">
        <v>9</v>
      </c>
      <c r="AA4488">
        <v>1</v>
      </c>
      <c r="AB4488">
        <v>3</v>
      </c>
      <c r="AC4488">
        <v>1</v>
      </c>
      <c r="AD4488">
        <v>0</v>
      </c>
      <c r="AE4488">
        <v>0</v>
      </c>
      <c r="AF4488">
        <v>0</v>
      </c>
      <c r="AG4488">
        <v>1</v>
      </c>
      <c r="AH4488">
        <v>5</v>
      </c>
      <c r="AI4488">
        <v>0</v>
      </c>
      <c r="AJ4488">
        <v>0</v>
      </c>
      <c r="AK4488">
        <v>6</v>
      </c>
      <c r="AL4488">
        <v>1</v>
      </c>
      <c r="AM4488">
        <v>0</v>
      </c>
      <c r="AN4488">
        <v>1</v>
      </c>
      <c r="AT4488">
        <v>11</v>
      </c>
      <c r="AU4488">
        <v>11</v>
      </c>
      <c r="AV4488">
        <v>470</v>
      </c>
      <c r="AW4488">
        <v>481</v>
      </c>
      <c r="AX4488">
        <v>749</v>
      </c>
      <c r="BA4488">
        <v>1</v>
      </c>
      <c r="BC4488" t="s">
        <v>9085</v>
      </c>
      <c r="BD4488" s="4">
        <v>43283.213194444441</v>
      </c>
      <c r="BE4488" s="4">
        <v>43283.244756944441</v>
      </c>
      <c r="BF4488" s="4">
        <v>43283.244756944441</v>
      </c>
      <c r="BG4488" t="s">
        <v>83</v>
      </c>
      <c r="BH4488" t="s">
        <v>84</v>
      </c>
      <c r="BI4488" t="s">
        <v>85</v>
      </c>
    </row>
    <row r="4489" spans="1:61" x14ac:dyDescent="0.3">
      <c r="A4489" t="str">
        <f>"201417B0100"</f>
        <v>201417B0100</v>
      </c>
      <c r="B4489" t="s">
        <v>9086</v>
      </c>
      <c r="C4489">
        <v>20</v>
      </c>
      <c r="D4489" t="s">
        <v>79</v>
      </c>
      <c r="E4489">
        <v>21</v>
      </c>
      <c r="F4489" t="s">
        <v>8898</v>
      </c>
      <c r="G4489">
        <v>1417</v>
      </c>
      <c r="H4489">
        <v>1</v>
      </c>
      <c r="I4489" t="s">
        <v>81</v>
      </c>
      <c r="J4489">
        <v>0</v>
      </c>
      <c r="K4489">
        <v>2</v>
      </c>
      <c r="L4489">
        <v>2</v>
      </c>
      <c r="M4489">
        <v>174</v>
      </c>
      <c r="N4489">
        <v>284</v>
      </c>
      <c r="O4489">
        <v>0</v>
      </c>
      <c r="P4489">
        <v>284</v>
      </c>
      <c r="Q4489">
        <v>85</v>
      </c>
      <c r="R4489">
        <v>61</v>
      </c>
      <c r="S4489">
        <v>4</v>
      </c>
      <c r="T4489">
        <v>8</v>
      </c>
      <c r="U4489">
        <v>14</v>
      </c>
      <c r="V4489">
        <v>4</v>
      </c>
      <c r="W4489">
        <v>7</v>
      </c>
      <c r="X4489">
        <v>2</v>
      </c>
      <c r="Y4489">
        <v>64</v>
      </c>
      <c r="Z4489">
        <v>5</v>
      </c>
      <c r="AA4489">
        <v>0</v>
      </c>
      <c r="AB4489">
        <v>0</v>
      </c>
      <c r="AC4489">
        <v>1</v>
      </c>
      <c r="AD4489">
        <v>0</v>
      </c>
      <c r="AE4489">
        <v>1</v>
      </c>
      <c r="AF4489">
        <v>0</v>
      </c>
      <c r="AG4489">
        <v>0</v>
      </c>
      <c r="AH4489">
        <v>3</v>
      </c>
      <c r="AI4489">
        <v>0</v>
      </c>
      <c r="AJ4489">
        <v>0</v>
      </c>
      <c r="AK4489">
        <v>0</v>
      </c>
      <c r="AL4489">
        <v>1</v>
      </c>
      <c r="AM4489">
        <v>0</v>
      </c>
      <c r="AN4489">
        <v>1</v>
      </c>
      <c r="AT4489">
        <v>0</v>
      </c>
      <c r="AU4489">
        <v>23</v>
      </c>
      <c r="AV4489">
        <v>284</v>
      </c>
      <c r="AW4489">
        <v>284</v>
      </c>
      <c r="AX4489">
        <v>436</v>
      </c>
      <c r="BA4489">
        <v>1</v>
      </c>
      <c r="BC4489" t="s">
        <v>9087</v>
      </c>
      <c r="BD4489" s="4">
        <v>43283.297222222223</v>
      </c>
      <c r="BE4489" s="4">
        <v>43283.323703703703</v>
      </c>
      <c r="BF4489" s="4">
        <v>43283.323703703703</v>
      </c>
      <c r="BG4489" t="s">
        <v>83</v>
      </c>
      <c r="BH4489" t="s">
        <v>84</v>
      </c>
      <c r="BI4489" t="s">
        <v>85</v>
      </c>
    </row>
    <row r="4490" spans="1:61" x14ac:dyDescent="0.3">
      <c r="A4490" t="str">
        <f>"201417C0100"</f>
        <v>201417C0100</v>
      </c>
      <c r="B4490" t="s">
        <v>9088</v>
      </c>
      <c r="C4490">
        <v>20</v>
      </c>
      <c r="D4490" t="s">
        <v>79</v>
      </c>
      <c r="E4490">
        <v>21</v>
      </c>
      <c r="F4490" t="s">
        <v>8898</v>
      </c>
      <c r="G4490">
        <v>1417</v>
      </c>
      <c r="H4490">
        <v>1</v>
      </c>
      <c r="I4490" t="s">
        <v>89</v>
      </c>
      <c r="J4490">
        <v>0</v>
      </c>
      <c r="K4490">
        <v>2</v>
      </c>
      <c r="L4490">
        <v>2</v>
      </c>
      <c r="M4490">
        <v>188</v>
      </c>
      <c r="N4490">
        <v>270</v>
      </c>
      <c r="O4490">
        <v>0</v>
      </c>
      <c r="P4490">
        <v>270</v>
      </c>
      <c r="Q4490">
        <v>73</v>
      </c>
      <c r="R4490">
        <v>70</v>
      </c>
      <c r="S4490">
        <v>4</v>
      </c>
      <c r="T4490">
        <v>8</v>
      </c>
      <c r="U4490">
        <v>9</v>
      </c>
      <c r="V4490">
        <v>0</v>
      </c>
      <c r="W4490">
        <v>13</v>
      </c>
      <c r="X4490">
        <v>4</v>
      </c>
      <c r="Y4490">
        <v>56</v>
      </c>
      <c r="Z4490">
        <v>4</v>
      </c>
      <c r="AA4490">
        <v>1</v>
      </c>
      <c r="AB4490">
        <v>1</v>
      </c>
      <c r="AC4490" t="s">
        <v>100</v>
      </c>
      <c r="AD4490">
        <v>1</v>
      </c>
      <c r="AE4490">
        <v>2</v>
      </c>
      <c r="AF4490" t="s">
        <v>100</v>
      </c>
      <c r="AG4490" t="s">
        <v>100</v>
      </c>
      <c r="AH4490">
        <v>2</v>
      </c>
      <c r="AI4490" t="s">
        <v>100</v>
      </c>
      <c r="AJ4490" t="s">
        <v>100</v>
      </c>
      <c r="AK4490">
        <v>1</v>
      </c>
      <c r="AL4490">
        <v>2</v>
      </c>
      <c r="AM4490" t="s">
        <v>100</v>
      </c>
      <c r="AN4490" t="s">
        <v>100</v>
      </c>
      <c r="AT4490" t="s">
        <v>100</v>
      </c>
      <c r="AU4490" t="s">
        <v>100</v>
      </c>
      <c r="AV4490" t="s">
        <v>100</v>
      </c>
      <c r="AW4490">
        <v>251</v>
      </c>
      <c r="AX4490">
        <v>436</v>
      </c>
      <c r="AZ4490" t="s">
        <v>101</v>
      </c>
      <c r="BA4490">
        <v>1</v>
      </c>
      <c r="BC4490" t="s">
        <v>9089</v>
      </c>
      <c r="BD4490" s="4">
        <v>43283.301388888889</v>
      </c>
      <c r="BE4490" s="4">
        <v>43283.326944444445</v>
      </c>
      <c r="BF4490" s="4">
        <v>43283.326944444445</v>
      </c>
      <c r="BG4490" t="s">
        <v>83</v>
      </c>
      <c r="BH4490" t="s">
        <v>84</v>
      </c>
      <c r="BI4490" t="s">
        <v>85</v>
      </c>
    </row>
    <row r="4491" spans="1:61" x14ac:dyDescent="0.3">
      <c r="A4491" t="str">
        <f>"201493B0100"</f>
        <v>201493B0100</v>
      </c>
      <c r="B4491" t="s">
        <v>9090</v>
      </c>
      <c r="C4491">
        <v>20</v>
      </c>
      <c r="D4491" t="s">
        <v>79</v>
      </c>
      <c r="E4491">
        <v>21</v>
      </c>
      <c r="F4491" t="s">
        <v>8898</v>
      </c>
      <c r="G4491">
        <v>1493</v>
      </c>
      <c r="H4491">
        <v>1</v>
      </c>
      <c r="I4491" t="s">
        <v>81</v>
      </c>
      <c r="J4491">
        <v>0</v>
      </c>
      <c r="K4491">
        <v>2</v>
      </c>
      <c r="L4491">
        <v>2</v>
      </c>
      <c r="M4491">
        <v>216</v>
      </c>
      <c r="N4491">
        <v>401</v>
      </c>
      <c r="O4491">
        <v>0</v>
      </c>
      <c r="P4491">
        <v>401</v>
      </c>
      <c r="Q4491">
        <v>15</v>
      </c>
      <c r="R4491">
        <v>137</v>
      </c>
      <c r="S4491">
        <v>16</v>
      </c>
      <c r="T4491">
        <v>18</v>
      </c>
      <c r="U4491">
        <v>18</v>
      </c>
      <c r="V4491">
        <v>5</v>
      </c>
      <c r="W4491">
        <v>4</v>
      </c>
      <c r="X4491">
        <v>5</v>
      </c>
      <c r="Y4491">
        <v>135</v>
      </c>
      <c r="Z4491">
        <v>9</v>
      </c>
      <c r="AA4491">
        <v>0</v>
      </c>
      <c r="AB4491">
        <v>1</v>
      </c>
      <c r="AC4491">
        <v>2</v>
      </c>
      <c r="AD4491">
        <v>0</v>
      </c>
      <c r="AE4491">
        <v>0</v>
      </c>
      <c r="AF4491">
        <v>0</v>
      </c>
      <c r="AG4491">
        <v>2</v>
      </c>
      <c r="AH4491">
        <v>11</v>
      </c>
      <c r="AI4491">
        <v>0</v>
      </c>
      <c r="AJ4491">
        <v>0</v>
      </c>
      <c r="AK4491">
        <v>4</v>
      </c>
      <c r="AL4491">
        <v>0</v>
      </c>
      <c r="AM4491">
        <v>1</v>
      </c>
      <c r="AN4491">
        <v>2</v>
      </c>
      <c r="AT4491">
        <v>0</v>
      </c>
      <c r="AU4491">
        <v>16</v>
      </c>
      <c r="AV4491">
        <v>401</v>
      </c>
      <c r="AW4491">
        <v>401</v>
      </c>
      <c r="AX4491">
        <v>595</v>
      </c>
      <c r="BA4491">
        <v>1</v>
      </c>
      <c r="BC4491" t="s">
        <v>9091</v>
      </c>
      <c r="BD4491" s="4">
        <v>43283.272222222222</v>
      </c>
      <c r="BE4491" s="4">
        <v>43283.311990740738</v>
      </c>
      <c r="BF4491" s="4">
        <v>43283.311990740738</v>
      </c>
      <c r="BG4491" t="s">
        <v>83</v>
      </c>
      <c r="BH4491" t="s">
        <v>84</v>
      </c>
      <c r="BI4491" t="s">
        <v>85</v>
      </c>
    </row>
    <row r="4492" spans="1:61" x14ac:dyDescent="0.3">
      <c r="A4492" t="str">
        <f>"201493C0100"</f>
        <v>201493C0100</v>
      </c>
      <c r="B4492" t="s">
        <v>9092</v>
      </c>
      <c r="C4492">
        <v>20</v>
      </c>
      <c r="D4492" t="s">
        <v>79</v>
      </c>
      <c r="E4492">
        <v>21</v>
      </c>
      <c r="F4492" t="s">
        <v>8898</v>
      </c>
      <c r="G4492">
        <v>1493</v>
      </c>
      <c r="H4492">
        <v>1</v>
      </c>
      <c r="I4492" t="s">
        <v>89</v>
      </c>
      <c r="J4492">
        <v>0</v>
      </c>
      <c r="K4492">
        <v>2</v>
      </c>
      <c r="L4492">
        <v>2</v>
      </c>
      <c r="M4492">
        <v>232</v>
      </c>
      <c r="N4492">
        <v>384</v>
      </c>
      <c r="O4492">
        <v>0</v>
      </c>
      <c r="P4492">
        <v>384</v>
      </c>
      <c r="Q4492">
        <v>12</v>
      </c>
      <c r="R4492">
        <v>127</v>
      </c>
      <c r="S4492">
        <v>18</v>
      </c>
      <c r="T4492">
        <v>6</v>
      </c>
      <c r="U4492">
        <v>17</v>
      </c>
      <c r="V4492">
        <v>4</v>
      </c>
      <c r="W4492">
        <v>3</v>
      </c>
      <c r="X4492">
        <v>5</v>
      </c>
      <c r="Y4492">
        <v>145</v>
      </c>
      <c r="Z4492">
        <v>3</v>
      </c>
      <c r="AA4492">
        <v>0</v>
      </c>
      <c r="AB4492">
        <v>2</v>
      </c>
      <c r="AC4492">
        <v>0</v>
      </c>
      <c r="AD4492">
        <v>0</v>
      </c>
      <c r="AE4492">
        <v>1</v>
      </c>
      <c r="AF4492">
        <v>0</v>
      </c>
      <c r="AG4492">
        <v>4</v>
      </c>
      <c r="AH4492">
        <v>10</v>
      </c>
      <c r="AI4492">
        <v>0</v>
      </c>
      <c r="AJ4492">
        <v>0</v>
      </c>
      <c r="AK4492">
        <v>5</v>
      </c>
      <c r="AL4492">
        <v>1</v>
      </c>
      <c r="AM4492">
        <v>0</v>
      </c>
      <c r="AN4492">
        <v>6</v>
      </c>
      <c r="AT4492">
        <v>0</v>
      </c>
      <c r="AU4492">
        <v>15</v>
      </c>
      <c r="AV4492">
        <v>384</v>
      </c>
      <c r="AW4492">
        <v>384</v>
      </c>
      <c r="AX4492">
        <v>594</v>
      </c>
      <c r="BA4492">
        <v>1</v>
      </c>
      <c r="BC4492" t="s">
        <v>9093</v>
      </c>
      <c r="BD4492" s="4">
        <v>43283.276388888888</v>
      </c>
      <c r="BE4492" s="4">
        <v>43283.308333333334</v>
      </c>
      <c r="BF4492" s="4">
        <v>43283.308333333334</v>
      </c>
      <c r="BG4492" t="s">
        <v>83</v>
      </c>
      <c r="BH4492" t="s">
        <v>84</v>
      </c>
      <c r="BI4492" t="s">
        <v>85</v>
      </c>
    </row>
    <row r="4493" spans="1:61" x14ac:dyDescent="0.3">
      <c r="A4493" t="str">
        <f>"201607B0100"</f>
        <v>201607B0100</v>
      </c>
      <c r="B4493" t="s">
        <v>9094</v>
      </c>
      <c r="C4493">
        <v>20</v>
      </c>
      <c r="D4493" t="s">
        <v>79</v>
      </c>
      <c r="E4493">
        <v>21</v>
      </c>
      <c r="F4493" t="s">
        <v>8898</v>
      </c>
      <c r="G4493">
        <v>1607</v>
      </c>
      <c r="H4493">
        <v>1</v>
      </c>
      <c r="I4493" t="s">
        <v>81</v>
      </c>
      <c r="J4493">
        <v>0</v>
      </c>
      <c r="K4493">
        <v>2</v>
      </c>
      <c r="L4493">
        <v>2</v>
      </c>
      <c r="M4493">
        <v>201</v>
      </c>
      <c r="N4493">
        <v>329</v>
      </c>
      <c r="O4493">
        <v>0</v>
      </c>
      <c r="P4493">
        <v>329</v>
      </c>
      <c r="Q4493">
        <v>63</v>
      </c>
      <c r="R4493">
        <v>86</v>
      </c>
      <c r="S4493">
        <v>1</v>
      </c>
      <c r="T4493">
        <v>10</v>
      </c>
      <c r="U4493">
        <v>21</v>
      </c>
      <c r="V4493">
        <v>4</v>
      </c>
      <c r="W4493">
        <v>5</v>
      </c>
      <c r="X4493">
        <v>7</v>
      </c>
      <c r="Y4493">
        <v>94</v>
      </c>
      <c r="Z4493">
        <v>9</v>
      </c>
      <c r="AA4493">
        <v>1</v>
      </c>
      <c r="AB4493">
        <v>2</v>
      </c>
      <c r="AC4493">
        <v>0</v>
      </c>
      <c r="AD4493">
        <v>0</v>
      </c>
      <c r="AE4493">
        <v>0</v>
      </c>
      <c r="AF4493">
        <v>0</v>
      </c>
      <c r="AG4493">
        <v>0</v>
      </c>
      <c r="AH4493">
        <v>4</v>
      </c>
      <c r="AI4493">
        <v>0</v>
      </c>
      <c r="AJ4493">
        <v>0</v>
      </c>
      <c r="AK4493">
        <v>1</v>
      </c>
      <c r="AL4493">
        <v>1</v>
      </c>
      <c r="AM4493">
        <v>0</v>
      </c>
      <c r="AN4493">
        <v>1</v>
      </c>
      <c r="AT4493">
        <v>0</v>
      </c>
      <c r="AU4493">
        <v>19</v>
      </c>
      <c r="AV4493">
        <v>329</v>
      </c>
      <c r="AW4493">
        <v>329</v>
      </c>
      <c r="AX4493">
        <v>508</v>
      </c>
      <c r="BA4493">
        <v>1</v>
      </c>
      <c r="BC4493" t="s">
        <v>9095</v>
      </c>
      <c r="BD4493" s="4">
        <v>43283.37777777778</v>
      </c>
      <c r="BE4493" s="4">
        <v>43283.381157407406</v>
      </c>
      <c r="BF4493" s="4">
        <v>43283.381157407406</v>
      </c>
      <c r="BG4493" t="s">
        <v>83</v>
      </c>
      <c r="BH4493" t="s">
        <v>84</v>
      </c>
      <c r="BI4493" t="s">
        <v>85</v>
      </c>
    </row>
    <row r="4494" spans="1:61" x14ac:dyDescent="0.3">
      <c r="A4494" t="str">
        <f>"201607C0100"</f>
        <v>201607C0100</v>
      </c>
      <c r="B4494" t="s">
        <v>9096</v>
      </c>
      <c r="C4494">
        <v>20</v>
      </c>
      <c r="D4494" t="s">
        <v>79</v>
      </c>
      <c r="E4494">
        <v>21</v>
      </c>
      <c r="F4494" t="s">
        <v>8898</v>
      </c>
      <c r="G4494">
        <v>1607</v>
      </c>
      <c r="H4494">
        <v>1</v>
      </c>
      <c r="I4494" t="s">
        <v>89</v>
      </c>
      <c r="J4494">
        <v>0</v>
      </c>
      <c r="K4494">
        <v>2</v>
      </c>
      <c r="L4494">
        <v>2</v>
      </c>
      <c r="M4494">
        <v>183</v>
      </c>
      <c r="N4494">
        <v>347</v>
      </c>
      <c r="O4494">
        <v>0</v>
      </c>
      <c r="P4494">
        <v>347</v>
      </c>
      <c r="Q4494">
        <v>59</v>
      </c>
      <c r="R4494">
        <v>97</v>
      </c>
      <c r="S4494">
        <v>3</v>
      </c>
      <c r="T4494">
        <v>9</v>
      </c>
      <c r="U4494">
        <v>12</v>
      </c>
      <c r="V4494">
        <v>7</v>
      </c>
      <c r="W4494">
        <v>1</v>
      </c>
      <c r="X4494">
        <v>3</v>
      </c>
      <c r="Y4494">
        <v>100</v>
      </c>
      <c r="Z4494">
        <v>16</v>
      </c>
      <c r="AA4494">
        <v>0</v>
      </c>
      <c r="AB4494">
        <v>0</v>
      </c>
      <c r="AC4494">
        <v>0</v>
      </c>
      <c r="AD4494">
        <v>0</v>
      </c>
      <c r="AE4494">
        <v>0</v>
      </c>
      <c r="AF4494">
        <v>0</v>
      </c>
      <c r="AG4494">
        <v>4</v>
      </c>
      <c r="AH4494">
        <v>9</v>
      </c>
      <c r="AI4494">
        <v>0</v>
      </c>
      <c r="AJ4494">
        <v>0</v>
      </c>
      <c r="AK4494">
        <v>1</v>
      </c>
      <c r="AL4494">
        <v>0</v>
      </c>
      <c r="AM4494">
        <v>2</v>
      </c>
      <c r="AN4494">
        <v>4</v>
      </c>
      <c r="AT4494">
        <v>0</v>
      </c>
      <c r="AU4494">
        <v>19</v>
      </c>
      <c r="AV4494">
        <v>347</v>
      </c>
      <c r="AW4494">
        <v>346</v>
      </c>
      <c r="AX4494">
        <v>508</v>
      </c>
      <c r="BA4494">
        <v>1</v>
      </c>
      <c r="BC4494" t="s">
        <v>9097</v>
      </c>
      <c r="BD4494" s="4">
        <v>43283.375694444447</v>
      </c>
      <c r="BE4494" s="4">
        <v>43283.380810185183</v>
      </c>
      <c r="BF4494" s="4">
        <v>43283.380810185183</v>
      </c>
      <c r="BG4494" t="s">
        <v>83</v>
      </c>
      <c r="BH4494" t="s">
        <v>84</v>
      </c>
      <c r="BI4494" t="s">
        <v>85</v>
      </c>
    </row>
    <row r="4495" spans="1:61" x14ac:dyDescent="0.3">
      <c r="A4495" t="str">
        <f>"201608B0100"</f>
        <v>201608B0100</v>
      </c>
      <c r="B4495" t="s">
        <v>9098</v>
      </c>
      <c r="C4495">
        <v>20</v>
      </c>
      <c r="D4495" t="s">
        <v>79</v>
      </c>
      <c r="E4495">
        <v>21</v>
      </c>
      <c r="F4495" t="s">
        <v>8898</v>
      </c>
      <c r="G4495">
        <v>1608</v>
      </c>
      <c r="H4495">
        <v>1</v>
      </c>
      <c r="I4495" t="s">
        <v>81</v>
      </c>
      <c r="J4495">
        <v>0</v>
      </c>
      <c r="K4495">
        <v>2</v>
      </c>
      <c r="L4495">
        <v>2</v>
      </c>
      <c r="M4495">
        <v>258</v>
      </c>
      <c r="N4495">
        <v>469</v>
      </c>
      <c r="O4495">
        <v>0</v>
      </c>
      <c r="P4495">
        <v>469</v>
      </c>
      <c r="Q4495">
        <v>64</v>
      </c>
      <c r="R4495">
        <v>202</v>
      </c>
      <c r="S4495">
        <v>3</v>
      </c>
      <c r="T4495">
        <v>11</v>
      </c>
      <c r="U4495">
        <v>30</v>
      </c>
      <c r="V4495">
        <v>1</v>
      </c>
      <c r="W4495">
        <v>0</v>
      </c>
      <c r="X4495">
        <v>5</v>
      </c>
      <c r="Y4495">
        <v>114</v>
      </c>
      <c r="Z4495">
        <v>12</v>
      </c>
      <c r="AA4495">
        <v>0</v>
      </c>
      <c r="AB4495">
        <v>0</v>
      </c>
      <c r="AC4495">
        <v>0</v>
      </c>
      <c r="AD4495">
        <v>0</v>
      </c>
      <c r="AE4495">
        <v>0</v>
      </c>
      <c r="AF4495">
        <v>0</v>
      </c>
      <c r="AG4495">
        <v>3</v>
      </c>
      <c r="AH4495">
        <v>5</v>
      </c>
      <c r="AI4495">
        <v>1</v>
      </c>
      <c r="AJ4495">
        <v>0</v>
      </c>
      <c r="AK4495">
        <v>2</v>
      </c>
      <c r="AL4495">
        <v>0</v>
      </c>
      <c r="AM4495">
        <v>0</v>
      </c>
      <c r="AN4495">
        <v>0</v>
      </c>
      <c r="AT4495">
        <v>0</v>
      </c>
      <c r="AU4495">
        <v>14</v>
      </c>
      <c r="AV4495">
        <v>469</v>
      </c>
      <c r="AW4495">
        <v>467</v>
      </c>
      <c r="AX4495">
        <v>705</v>
      </c>
      <c r="BA4495">
        <v>1</v>
      </c>
      <c r="BC4495" t="s">
        <v>9099</v>
      </c>
      <c r="BD4495" s="4">
        <v>43283.382638888892</v>
      </c>
      <c r="BE4495" s="4">
        <v>43283.386203703703</v>
      </c>
      <c r="BF4495" s="4">
        <v>43283.386203703703</v>
      </c>
      <c r="BG4495" t="s">
        <v>83</v>
      </c>
      <c r="BH4495" t="s">
        <v>84</v>
      </c>
      <c r="BI4495" t="s">
        <v>85</v>
      </c>
    </row>
    <row r="4496" spans="1:61" x14ac:dyDescent="0.3">
      <c r="A4496" t="str">
        <f>"201608E0100"</f>
        <v>201608E0100</v>
      </c>
      <c r="B4496" s="2" t="s">
        <v>9100</v>
      </c>
      <c r="C4496">
        <v>20</v>
      </c>
      <c r="D4496" t="s">
        <v>79</v>
      </c>
      <c r="E4496">
        <v>21</v>
      </c>
      <c r="F4496" t="s">
        <v>8898</v>
      </c>
      <c r="G4496">
        <v>1608</v>
      </c>
      <c r="H4496">
        <v>1</v>
      </c>
      <c r="I4496" t="s">
        <v>145</v>
      </c>
      <c r="J4496">
        <v>0</v>
      </c>
      <c r="K4496">
        <v>2</v>
      </c>
      <c r="L4496">
        <v>2</v>
      </c>
      <c r="M4496">
        <v>80</v>
      </c>
      <c r="N4496">
        <v>145</v>
      </c>
      <c r="O4496">
        <v>0</v>
      </c>
      <c r="P4496">
        <v>145</v>
      </c>
      <c r="Q4496">
        <v>17</v>
      </c>
      <c r="R4496">
        <v>95</v>
      </c>
      <c r="S4496">
        <v>2</v>
      </c>
      <c r="T4496">
        <v>0</v>
      </c>
      <c r="U4496">
        <v>5</v>
      </c>
      <c r="V4496">
        <v>0</v>
      </c>
      <c r="W4496">
        <v>0</v>
      </c>
      <c r="X4496">
        <v>2</v>
      </c>
      <c r="Y4496">
        <v>18</v>
      </c>
      <c r="Z4496">
        <v>2</v>
      </c>
      <c r="AA4496">
        <v>0</v>
      </c>
      <c r="AB4496">
        <v>0</v>
      </c>
      <c r="AC4496">
        <v>0</v>
      </c>
      <c r="AD4496">
        <v>0</v>
      </c>
      <c r="AE4496">
        <v>0</v>
      </c>
      <c r="AF4496">
        <v>0</v>
      </c>
      <c r="AG4496">
        <v>0</v>
      </c>
      <c r="AH4496">
        <v>0</v>
      </c>
      <c r="AI4496">
        <v>0</v>
      </c>
      <c r="AJ4496">
        <v>0</v>
      </c>
      <c r="AK4496">
        <v>0</v>
      </c>
      <c r="AL4496">
        <v>0</v>
      </c>
      <c r="AM4496">
        <v>0</v>
      </c>
      <c r="AN4496">
        <v>0</v>
      </c>
      <c r="AT4496">
        <v>0</v>
      </c>
      <c r="AU4496">
        <v>4</v>
      </c>
      <c r="AV4496" t="s">
        <v>100</v>
      </c>
      <c r="AW4496">
        <v>145</v>
      </c>
      <c r="AX4496">
        <v>203</v>
      </c>
      <c r="BA4496">
        <v>1</v>
      </c>
      <c r="BC4496" t="s">
        <v>9101</v>
      </c>
      <c r="BD4496" s="4">
        <v>43283.380555555559</v>
      </c>
      <c r="BE4496" s="4">
        <v>43283.396249999998</v>
      </c>
      <c r="BF4496" s="4">
        <v>43283.396249999998</v>
      </c>
      <c r="BG4496" t="s">
        <v>83</v>
      </c>
      <c r="BH4496" t="s">
        <v>84</v>
      </c>
      <c r="BI4496" t="s">
        <v>85</v>
      </c>
    </row>
    <row r="4497" spans="1:61" x14ac:dyDescent="0.3">
      <c r="A4497" t="str">
        <f>"201634B0100"</f>
        <v>201634B0100</v>
      </c>
      <c r="B4497" t="s">
        <v>9102</v>
      </c>
      <c r="C4497">
        <v>20</v>
      </c>
      <c r="D4497" t="s">
        <v>79</v>
      </c>
      <c r="E4497">
        <v>21</v>
      </c>
      <c r="F4497" t="s">
        <v>8898</v>
      </c>
      <c r="G4497">
        <v>1634</v>
      </c>
      <c r="H4497">
        <v>1</v>
      </c>
      <c r="I4497" t="s">
        <v>81</v>
      </c>
      <c r="J4497">
        <v>0</v>
      </c>
      <c r="K4497">
        <v>2</v>
      </c>
      <c r="L4497">
        <v>2</v>
      </c>
      <c r="M4497">
        <v>344</v>
      </c>
      <c r="N4497">
        <v>327</v>
      </c>
      <c r="O4497">
        <v>2</v>
      </c>
      <c r="P4497">
        <v>327</v>
      </c>
      <c r="Q4497">
        <v>57</v>
      </c>
      <c r="R4497">
        <v>64</v>
      </c>
      <c r="S4497">
        <v>2</v>
      </c>
      <c r="T4497">
        <v>9</v>
      </c>
      <c r="U4497">
        <v>17</v>
      </c>
      <c r="V4497">
        <v>5</v>
      </c>
      <c r="W4497">
        <v>17</v>
      </c>
      <c r="X4497">
        <v>7</v>
      </c>
      <c r="Y4497">
        <v>110</v>
      </c>
      <c r="Z4497">
        <v>7</v>
      </c>
      <c r="AA4497">
        <v>0</v>
      </c>
      <c r="AB4497">
        <v>2</v>
      </c>
      <c r="AC4497">
        <v>0</v>
      </c>
      <c r="AD4497">
        <v>0</v>
      </c>
      <c r="AE4497">
        <v>0</v>
      </c>
      <c r="AF4497">
        <v>0</v>
      </c>
      <c r="AG4497">
        <v>0</v>
      </c>
      <c r="AH4497">
        <v>0</v>
      </c>
      <c r="AI4497">
        <v>2</v>
      </c>
      <c r="AJ4497">
        <v>0</v>
      </c>
      <c r="AK4497">
        <v>0</v>
      </c>
      <c r="AL4497">
        <v>0</v>
      </c>
      <c r="AM4497">
        <v>0</v>
      </c>
      <c r="AN4497">
        <v>7</v>
      </c>
      <c r="AT4497">
        <v>0</v>
      </c>
      <c r="AU4497">
        <v>22</v>
      </c>
      <c r="AV4497">
        <v>327</v>
      </c>
      <c r="AW4497">
        <v>328</v>
      </c>
      <c r="AX4497">
        <v>649</v>
      </c>
      <c r="BA4497">
        <v>1</v>
      </c>
      <c r="BC4497" t="s">
        <v>9103</v>
      </c>
      <c r="BD4497" s="4">
        <v>43283.365972222222</v>
      </c>
      <c r="BE4497" s="4">
        <v>43283.374780092592</v>
      </c>
      <c r="BF4497" s="4">
        <v>43283.374780092592</v>
      </c>
      <c r="BG4497" t="s">
        <v>83</v>
      </c>
      <c r="BH4497" t="s">
        <v>84</v>
      </c>
      <c r="BI4497" t="s">
        <v>85</v>
      </c>
    </row>
    <row r="4498" spans="1:61" x14ac:dyDescent="0.3">
      <c r="A4498" t="str">
        <f>"201634C0100"</f>
        <v>201634C0100</v>
      </c>
      <c r="B4498" t="s">
        <v>9104</v>
      </c>
      <c r="C4498">
        <v>20</v>
      </c>
      <c r="D4498" t="s">
        <v>79</v>
      </c>
      <c r="E4498">
        <v>21</v>
      </c>
      <c r="F4498" t="s">
        <v>8898</v>
      </c>
      <c r="G4498">
        <v>1634</v>
      </c>
      <c r="H4498">
        <v>1</v>
      </c>
      <c r="I4498" t="s">
        <v>89</v>
      </c>
      <c r="J4498">
        <v>0</v>
      </c>
      <c r="K4498">
        <v>2</v>
      </c>
      <c r="L4498">
        <v>2</v>
      </c>
      <c r="M4498">
        <v>354</v>
      </c>
      <c r="N4498">
        <v>317</v>
      </c>
      <c r="O4498">
        <v>0</v>
      </c>
      <c r="P4498">
        <v>317</v>
      </c>
      <c r="Q4498">
        <v>65</v>
      </c>
      <c r="R4498">
        <v>71</v>
      </c>
      <c r="S4498">
        <v>7</v>
      </c>
      <c r="T4498">
        <v>10</v>
      </c>
      <c r="U4498">
        <v>17</v>
      </c>
      <c r="V4498">
        <v>8</v>
      </c>
      <c r="W4498">
        <v>11</v>
      </c>
      <c r="X4498">
        <v>0</v>
      </c>
      <c r="Y4498">
        <v>96</v>
      </c>
      <c r="Z4498">
        <v>2</v>
      </c>
      <c r="AA4498">
        <v>0</v>
      </c>
      <c r="AB4498">
        <v>0</v>
      </c>
      <c r="AC4498">
        <v>0</v>
      </c>
      <c r="AD4498">
        <v>2</v>
      </c>
      <c r="AE4498">
        <v>0</v>
      </c>
      <c r="AF4498">
        <v>0</v>
      </c>
      <c r="AG4498">
        <v>1</v>
      </c>
      <c r="AH4498">
        <v>0</v>
      </c>
      <c r="AI4498">
        <v>0</v>
      </c>
      <c r="AJ4498">
        <v>0</v>
      </c>
      <c r="AK4498">
        <v>4</v>
      </c>
      <c r="AL4498">
        <v>2</v>
      </c>
      <c r="AM4498">
        <v>1</v>
      </c>
      <c r="AN4498">
        <v>0</v>
      </c>
      <c r="AT4498">
        <v>0</v>
      </c>
      <c r="AU4498">
        <v>20</v>
      </c>
      <c r="AV4498">
        <v>317</v>
      </c>
      <c r="AW4498">
        <v>317</v>
      </c>
      <c r="AX4498">
        <v>649</v>
      </c>
      <c r="BA4498">
        <v>1</v>
      </c>
      <c r="BC4498" t="s">
        <v>9105</v>
      </c>
      <c r="BD4498" s="4">
        <v>43283.368055555555</v>
      </c>
      <c r="BE4498" s="4">
        <v>43283.376342592594</v>
      </c>
      <c r="BF4498" s="4">
        <v>43283.376342592594</v>
      </c>
      <c r="BG4498" t="s">
        <v>83</v>
      </c>
      <c r="BH4498" t="s">
        <v>84</v>
      </c>
      <c r="BI4498" t="s">
        <v>85</v>
      </c>
    </row>
    <row r="4499" spans="1:61" x14ac:dyDescent="0.3">
      <c r="A4499" t="str">
        <f>"201635B0100"</f>
        <v>201635B0100</v>
      </c>
      <c r="B4499" t="s">
        <v>9106</v>
      </c>
      <c r="C4499">
        <v>20</v>
      </c>
      <c r="D4499" t="s">
        <v>79</v>
      </c>
      <c r="E4499">
        <v>21</v>
      </c>
      <c r="F4499" t="s">
        <v>8898</v>
      </c>
      <c r="G4499">
        <v>1635</v>
      </c>
      <c r="H4499">
        <v>1</v>
      </c>
      <c r="I4499" t="s">
        <v>81</v>
      </c>
      <c r="J4499">
        <v>0</v>
      </c>
      <c r="K4499">
        <v>2</v>
      </c>
      <c r="L4499">
        <v>2</v>
      </c>
      <c r="M4499">
        <v>223</v>
      </c>
      <c r="N4499">
        <v>248</v>
      </c>
      <c r="O4499">
        <v>0</v>
      </c>
      <c r="P4499">
        <v>266</v>
      </c>
      <c r="Q4499">
        <v>23</v>
      </c>
      <c r="R4499">
        <v>44</v>
      </c>
      <c r="S4499">
        <v>2</v>
      </c>
      <c r="T4499">
        <v>0</v>
      </c>
      <c r="U4499">
        <v>9</v>
      </c>
      <c r="V4499">
        <v>1</v>
      </c>
      <c r="W4499">
        <v>7</v>
      </c>
      <c r="X4499">
        <v>9</v>
      </c>
      <c r="Y4499">
        <v>145</v>
      </c>
      <c r="Z4499">
        <v>5</v>
      </c>
      <c r="AA4499" t="s">
        <v>100</v>
      </c>
      <c r="AB4499">
        <v>3</v>
      </c>
      <c r="AC4499">
        <v>0</v>
      </c>
      <c r="AD4499">
        <v>0</v>
      </c>
      <c r="AE4499">
        <v>0</v>
      </c>
      <c r="AF4499">
        <v>0</v>
      </c>
      <c r="AG4499">
        <v>0</v>
      </c>
      <c r="AH4499">
        <v>0</v>
      </c>
      <c r="AI4499">
        <v>0</v>
      </c>
      <c r="AJ4499">
        <v>0</v>
      </c>
      <c r="AK4499">
        <v>0</v>
      </c>
      <c r="AL4499">
        <v>0</v>
      </c>
      <c r="AM4499">
        <v>0</v>
      </c>
      <c r="AN4499">
        <v>0</v>
      </c>
      <c r="AT4499">
        <v>0</v>
      </c>
      <c r="AU4499">
        <v>18</v>
      </c>
      <c r="AV4499" t="s">
        <v>100</v>
      </c>
      <c r="AW4499">
        <v>266</v>
      </c>
      <c r="AX4499">
        <v>467</v>
      </c>
      <c r="AZ4499" t="s">
        <v>101</v>
      </c>
      <c r="BA4499">
        <v>1</v>
      </c>
      <c r="BC4499" t="s">
        <v>9107</v>
      </c>
      <c r="BD4499" s="4">
        <v>43283.204687500001</v>
      </c>
      <c r="BE4499" s="4">
        <v>43283.22011574074</v>
      </c>
      <c r="BF4499" s="4">
        <v>43283.22011574074</v>
      </c>
      <c r="BG4499" t="s">
        <v>373</v>
      </c>
      <c r="BH4499" t="s">
        <v>374</v>
      </c>
      <c r="BI4499" t="s">
        <v>85</v>
      </c>
    </row>
    <row r="4500" spans="1:61" x14ac:dyDescent="0.3">
      <c r="A4500" t="str">
        <f>"201635C0100"</f>
        <v>201635C0100</v>
      </c>
      <c r="B4500" t="s">
        <v>9108</v>
      </c>
      <c r="C4500">
        <v>20</v>
      </c>
      <c r="D4500" t="s">
        <v>79</v>
      </c>
      <c r="E4500">
        <v>21</v>
      </c>
      <c r="F4500" t="s">
        <v>8898</v>
      </c>
      <c r="G4500">
        <v>1635</v>
      </c>
      <c r="H4500">
        <v>1</v>
      </c>
      <c r="I4500" t="s">
        <v>89</v>
      </c>
      <c r="J4500">
        <v>0</v>
      </c>
      <c r="K4500">
        <v>2</v>
      </c>
      <c r="L4500">
        <v>2</v>
      </c>
      <c r="M4500">
        <v>249</v>
      </c>
      <c r="N4500">
        <v>488</v>
      </c>
      <c r="O4500">
        <v>0</v>
      </c>
      <c r="P4500">
        <v>239</v>
      </c>
      <c r="Q4500">
        <v>16</v>
      </c>
      <c r="R4500">
        <v>28</v>
      </c>
      <c r="S4500">
        <v>1</v>
      </c>
      <c r="T4500">
        <v>3</v>
      </c>
      <c r="U4500">
        <v>6</v>
      </c>
      <c r="V4500">
        <v>1</v>
      </c>
      <c r="W4500">
        <v>11</v>
      </c>
      <c r="X4500">
        <v>2</v>
      </c>
      <c r="Y4500">
        <v>154</v>
      </c>
      <c r="Z4500">
        <v>2</v>
      </c>
      <c r="AA4500">
        <v>1</v>
      </c>
      <c r="AB4500">
        <v>0</v>
      </c>
      <c r="AC4500" t="s">
        <v>100</v>
      </c>
      <c r="AD4500" t="s">
        <v>100</v>
      </c>
      <c r="AE4500" t="s">
        <v>100</v>
      </c>
      <c r="AF4500" t="s">
        <v>100</v>
      </c>
      <c r="AG4500" t="s">
        <v>100</v>
      </c>
      <c r="AH4500" t="s">
        <v>100</v>
      </c>
      <c r="AI4500" t="s">
        <v>100</v>
      </c>
      <c r="AJ4500" t="s">
        <v>100</v>
      </c>
      <c r="AK4500" t="s">
        <v>100</v>
      </c>
      <c r="AL4500" t="s">
        <v>100</v>
      </c>
      <c r="AM4500" t="s">
        <v>100</v>
      </c>
      <c r="AN4500" t="s">
        <v>100</v>
      </c>
      <c r="AT4500" t="s">
        <v>100</v>
      </c>
      <c r="AU4500" t="s">
        <v>100</v>
      </c>
      <c r="AV4500" t="s">
        <v>100</v>
      </c>
      <c r="AW4500">
        <v>225</v>
      </c>
      <c r="AX4500">
        <v>466</v>
      </c>
      <c r="AZ4500" t="s">
        <v>101</v>
      </c>
      <c r="BA4500">
        <v>1</v>
      </c>
      <c r="BC4500" t="s">
        <v>9109</v>
      </c>
      <c r="BD4500" s="4">
        <v>43283.375</v>
      </c>
      <c r="BE4500" s="4">
        <v>43283.381504629629</v>
      </c>
      <c r="BF4500" s="4">
        <v>43283.381504629629</v>
      </c>
      <c r="BG4500" t="s">
        <v>83</v>
      </c>
      <c r="BH4500" t="s">
        <v>84</v>
      </c>
      <c r="BI4500" t="s">
        <v>85</v>
      </c>
    </row>
    <row r="4501" spans="1:61" x14ac:dyDescent="0.3">
      <c r="A4501" t="str">
        <f>"201637B0100"</f>
        <v>201637B0100</v>
      </c>
      <c r="B4501" t="s">
        <v>9110</v>
      </c>
      <c r="C4501">
        <v>20</v>
      </c>
      <c r="D4501" t="s">
        <v>79</v>
      </c>
      <c r="E4501">
        <v>21</v>
      </c>
      <c r="F4501" t="s">
        <v>8898</v>
      </c>
      <c r="G4501">
        <v>1637</v>
      </c>
      <c r="H4501">
        <v>1</v>
      </c>
      <c r="I4501" t="s">
        <v>81</v>
      </c>
      <c r="J4501">
        <v>0</v>
      </c>
      <c r="K4501">
        <v>2</v>
      </c>
      <c r="L4501">
        <v>2</v>
      </c>
      <c r="M4501">
        <v>404</v>
      </c>
      <c r="N4501">
        <v>135</v>
      </c>
      <c r="O4501">
        <v>1</v>
      </c>
      <c r="P4501">
        <v>135</v>
      </c>
      <c r="Q4501">
        <v>21</v>
      </c>
      <c r="R4501">
        <v>11</v>
      </c>
      <c r="S4501">
        <v>13</v>
      </c>
      <c r="T4501">
        <v>5</v>
      </c>
      <c r="U4501">
        <v>17</v>
      </c>
      <c r="V4501">
        <v>1</v>
      </c>
      <c r="W4501">
        <v>11</v>
      </c>
      <c r="X4501">
        <v>4</v>
      </c>
      <c r="Y4501">
        <v>37</v>
      </c>
      <c r="Z4501">
        <v>1</v>
      </c>
      <c r="AA4501">
        <v>0</v>
      </c>
      <c r="AB4501">
        <v>1</v>
      </c>
      <c r="AC4501">
        <v>0</v>
      </c>
      <c r="AD4501">
        <v>1</v>
      </c>
      <c r="AE4501">
        <v>0</v>
      </c>
      <c r="AF4501">
        <v>0</v>
      </c>
      <c r="AG4501">
        <v>0</v>
      </c>
      <c r="AH4501">
        <v>1</v>
      </c>
      <c r="AI4501">
        <v>0</v>
      </c>
      <c r="AJ4501">
        <v>0</v>
      </c>
      <c r="AK4501">
        <v>0</v>
      </c>
      <c r="AL4501">
        <v>0</v>
      </c>
      <c r="AM4501">
        <v>0</v>
      </c>
      <c r="AN4501">
        <v>0</v>
      </c>
      <c r="AT4501">
        <v>0</v>
      </c>
      <c r="AU4501">
        <v>10</v>
      </c>
      <c r="AV4501">
        <v>135</v>
      </c>
      <c r="AW4501">
        <v>134</v>
      </c>
      <c r="AX4501">
        <v>517</v>
      </c>
      <c r="BA4501">
        <v>1</v>
      </c>
      <c r="BC4501" t="s">
        <v>9111</v>
      </c>
      <c r="BD4501" s="4">
        <v>43283.385416666664</v>
      </c>
      <c r="BE4501" s="4">
        <v>43283.390636574077</v>
      </c>
      <c r="BF4501" s="4">
        <v>43283.390636574077</v>
      </c>
      <c r="BG4501" t="s">
        <v>83</v>
      </c>
      <c r="BH4501" t="s">
        <v>84</v>
      </c>
      <c r="BI4501" t="s">
        <v>85</v>
      </c>
    </row>
    <row r="4502" spans="1:61" x14ac:dyDescent="0.3">
      <c r="A4502" t="str">
        <f>"201637C0100"</f>
        <v>201637C0100</v>
      </c>
      <c r="B4502" t="s">
        <v>9112</v>
      </c>
      <c r="C4502">
        <v>20</v>
      </c>
      <c r="D4502" t="s">
        <v>79</v>
      </c>
      <c r="E4502">
        <v>21</v>
      </c>
      <c r="F4502" t="s">
        <v>8898</v>
      </c>
      <c r="G4502">
        <v>1637</v>
      </c>
      <c r="H4502">
        <v>1</v>
      </c>
      <c r="I4502" t="s">
        <v>89</v>
      </c>
      <c r="J4502">
        <v>0</v>
      </c>
      <c r="K4502">
        <v>2</v>
      </c>
      <c r="L4502">
        <v>2</v>
      </c>
      <c r="M4502">
        <v>417</v>
      </c>
      <c r="N4502">
        <v>122</v>
      </c>
      <c r="O4502">
        <v>0</v>
      </c>
      <c r="P4502">
        <v>122</v>
      </c>
      <c r="Q4502">
        <v>23</v>
      </c>
      <c r="R4502">
        <v>11</v>
      </c>
      <c r="S4502">
        <v>4</v>
      </c>
      <c r="T4502">
        <v>4</v>
      </c>
      <c r="U4502">
        <v>13</v>
      </c>
      <c r="V4502">
        <v>1</v>
      </c>
      <c r="W4502">
        <v>6</v>
      </c>
      <c r="X4502">
        <v>4</v>
      </c>
      <c r="Y4502">
        <v>40</v>
      </c>
      <c r="Z4502">
        <v>0</v>
      </c>
      <c r="AA4502">
        <v>0</v>
      </c>
      <c r="AB4502">
        <v>0</v>
      </c>
      <c r="AC4502">
        <v>1</v>
      </c>
      <c r="AD4502">
        <v>0</v>
      </c>
      <c r="AE4502">
        <v>0</v>
      </c>
      <c r="AF4502">
        <v>0</v>
      </c>
      <c r="AG4502">
        <v>0</v>
      </c>
      <c r="AH4502">
        <v>2</v>
      </c>
      <c r="AI4502">
        <v>0</v>
      </c>
      <c r="AJ4502">
        <v>0</v>
      </c>
      <c r="AK4502">
        <v>0</v>
      </c>
      <c r="AL4502">
        <v>3</v>
      </c>
      <c r="AM4502">
        <v>0</v>
      </c>
      <c r="AN4502">
        <v>0</v>
      </c>
      <c r="AT4502">
        <v>0</v>
      </c>
      <c r="AU4502">
        <v>10</v>
      </c>
      <c r="AV4502">
        <v>122</v>
      </c>
      <c r="AW4502">
        <v>122</v>
      </c>
      <c r="AX4502">
        <v>517</v>
      </c>
      <c r="BA4502">
        <v>1</v>
      </c>
      <c r="BC4502" t="s">
        <v>9113</v>
      </c>
      <c r="BD4502" s="4">
        <v>43283.388194444444</v>
      </c>
      <c r="BE4502" s="4">
        <v>43283.392199074071</v>
      </c>
      <c r="BF4502" s="4">
        <v>43283.392199074071</v>
      </c>
      <c r="BG4502" t="s">
        <v>83</v>
      </c>
      <c r="BH4502" t="s">
        <v>84</v>
      </c>
      <c r="BI4502" t="s">
        <v>85</v>
      </c>
    </row>
    <row r="4503" spans="1:61" x14ac:dyDescent="0.3">
      <c r="A4503" t="str">
        <f>"201637C0200"</f>
        <v>201637C0200</v>
      </c>
      <c r="B4503" t="s">
        <v>9114</v>
      </c>
      <c r="C4503">
        <v>20</v>
      </c>
      <c r="D4503" t="s">
        <v>79</v>
      </c>
      <c r="E4503">
        <v>21</v>
      </c>
      <c r="F4503" t="s">
        <v>8898</v>
      </c>
      <c r="G4503">
        <v>1637</v>
      </c>
      <c r="H4503">
        <v>2</v>
      </c>
      <c r="I4503" t="s">
        <v>89</v>
      </c>
      <c r="J4503">
        <v>0</v>
      </c>
      <c r="K4503">
        <v>2</v>
      </c>
      <c r="L4503">
        <v>2</v>
      </c>
      <c r="M4503">
        <v>424</v>
      </c>
      <c r="N4503">
        <v>115</v>
      </c>
      <c r="O4503">
        <v>0</v>
      </c>
      <c r="P4503">
        <v>115</v>
      </c>
      <c r="Q4503">
        <v>17</v>
      </c>
      <c r="R4503">
        <v>13</v>
      </c>
      <c r="S4503">
        <v>8</v>
      </c>
      <c r="T4503">
        <v>2</v>
      </c>
      <c r="U4503">
        <v>11</v>
      </c>
      <c r="V4503">
        <v>6</v>
      </c>
      <c r="W4503">
        <v>1</v>
      </c>
      <c r="X4503">
        <v>2</v>
      </c>
      <c r="Y4503">
        <v>38</v>
      </c>
      <c r="Z4503">
        <v>1</v>
      </c>
      <c r="AA4503">
        <v>1</v>
      </c>
      <c r="AB4503">
        <v>0</v>
      </c>
      <c r="AC4503">
        <v>0</v>
      </c>
      <c r="AD4503">
        <v>0</v>
      </c>
      <c r="AE4503">
        <v>0</v>
      </c>
      <c r="AF4503">
        <v>0</v>
      </c>
      <c r="AG4503">
        <v>0</v>
      </c>
      <c r="AH4503">
        <v>0</v>
      </c>
      <c r="AI4503">
        <v>0</v>
      </c>
      <c r="AJ4503">
        <v>0</v>
      </c>
      <c r="AK4503">
        <v>0</v>
      </c>
      <c r="AL4503">
        <v>0</v>
      </c>
      <c r="AM4503">
        <v>0</v>
      </c>
      <c r="AN4503">
        <v>1</v>
      </c>
      <c r="AT4503">
        <v>0</v>
      </c>
      <c r="AU4503">
        <v>15</v>
      </c>
      <c r="AV4503">
        <v>15</v>
      </c>
      <c r="AW4503">
        <v>116</v>
      </c>
      <c r="AX4503">
        <v>517</v>
      </c>
      <c r="BA4503">
        <v>1</v>
      </c>
      <c r="BC4503" t="s">
        <v>9115</v>
      </c>
      <c r="BD4503" s="4">
        <v>43283.38958333333</v>
      </c>
      <c r="BE4503" s="4">
        <v>43283.393321759257</v>
      </c>
      <c r="BF4503" s="4">
        <v>43283.393321759257</v>
      </c>
      <c r="BG4503" t="s">
        <v>83</v>
      </c>
      <c r="BH4503" t="s">
        <v>84</v>
      </c>
      <c r="BI4503" t="s">
        <v>85</v>
      </c>
    </row>
    <row r="4504" spans="1:61" x14ac:dyDescent="0.3">
      <c r="A4504" t="str">
        <f>"201638B0100"</f>
        <v>201638B0100</v>
      </c>
      <c r="B4504" t="s">
        <v>9116</v>
      </c>
      <c r="C4504">
        <v>20</v>
      </c>
      <c r="D4504" t="s">
        <v>79</v>
      </c>
      <c r="E4504">
        <v>21</v>
      </c>
      <c r="F4504" t="s">
        <v>8898</v>
      </c>
      <c r="G4504">
        <v>1638</v>
      </c>
      <c r="H4504">
        <v>1</v>
      </c>
      <c r="I4504" t="s">
        <v>81</v>
      </c>
      <c r="J4504">
        <v>0</v>
      </c>
      <c r="K4504">
        <v>2</v>
      </c>
      <c r="L4504">
        <v>2</v>
      </c>
      <c r="M4504">
        <v>466</v>
      </c>
      <c r="N4504">
        <v>180</v>
      </c>
      <c r="O4504">
        <v>0</v>
      </c>
      <c r="P4504">
        <v>180</v>
      </c>
      <c r="Q4504">
        <v>41</v>
      </c>
      <c r="R4504">
        <v>24</v>
      </c>
      <c r="S4504">
        <v>16</v>
      </c>
      <c r="T4504">
        <v>6</v>
      </c>
      <c r="U4504">
        <v>8</v>
      </c>
      <c r="V4504">
        <v>1</v>
      </c>
      <c r="W4504">
        <v>7</v>
      </c>
      <c r="X4504">
        <v>6</v>
      </c>
      <c r="Y4504">
        <v>43</v>
      </c>
      <c r="Z4504">
        <v>1</v>
      </c>
      <c r="AA4504">
        <v>0</v>
      </c>
      <c r="AB4504">
        <v>3</v>
      </c>
      <c r="AC4504">
        <v>0</v>
      </c>
      <c r="AD4504">
        <v>0</v>
      </c>
      <c r="AE4504">
        <v>0</v>
      </c>
      <c r="AF4504">
        <v>0</v>
      </c>
      <c r="AG4504">
        <v>0</v>
      </c>
      <c r="AH4504">
        <v>0</v>
      </c>
      <c r="AI4504">
        <v>0</v>
      </c>
      <c r="AJ4504">
        <v>0</v>
      </c>
      <c r="AK4504">
        <v>0</v>
      </c>
      <c r="AL4504">
        <v>0</v>
      </c>
      <c r="AM4504">
        <v>0</v>
      </c>
      <c r="AN4504">
        <v>0</v>
      </c>
      <c r="AT4504">
        <v>0</v>
      </c>
      <c r="AU4504">
        <v>23</v>
      </c>
      <c r="AV4504">
        <v>180</v>
      </c>
      <c r="AW4504">
        <v>179</v>
      </c>
      <c r="AX4504">
        <v>624</v>
      </c>
      <c r="BA4504">
        <v>1</v>
      </c>
      <c r="BC4504" t="s">
        <v>9117</v>
      </c>
      <c r="BD4504" s="4">
        <v>43283.39166666667</v>
      </c>
      <c r="BE4504" s="4">
        <v>43283.394999999997</v>
      </c>
      <c r="BF4504" s="4">
        <v>43283.394999999997</v>
      </c>
      <c r="BG4504" t="s">
        <v>83</v>
      </c>
      <c r="BH4504" t="s">
        <v>84</v>
      </c>
      <c r="BI4504" t="s">
        <v>85</v>
      </c>
    </row>
    <row r="4505" spans="1:61" x14ac:dyDescent="0.3">
      <c r="A4505" t="str">
        <f>"201638C0100"</f>
        <v>201638C0100</v>
      </c>
      <c r="B4505" t="s">
        <v>9118</v>
      </c>
      <c r="C4505">
        <v>20</v>
      </c>
      <c r="D4505" t="s">
        <v>79</v>
      </c>
      <c r="E4505">
        <v>21</v>
      </c>
      <c r="F4505" t="s">
        <v>8898</v>
      </c>
      <c r="G4505">
        <v>1638</v>
      </c>
      <c r="H4505">
        <v>1</v>
      </c>
      <c r="I4505" t="s">
        <v>89</v>
      </c>
      <c r="J4505">
        <v>0</v>
      </c>
      <c r="K4505">
        <v>2</v>
      </c>
      <c r="L4505">
        <v>2</v>
      </c>
      <c r="M4505">
        <v>473</v>
      </c>
      <c r="N4505">
        <v>173</v>
      </c>
      <c r="O4505">
        <v>0</v>
      </c>
      <c r="P4505">
        <v>173</v>
      </c>
      <c r="Q4505">
        <v>51</v>
      </c>
      <c r="R4505">
        <v>21</v>
      </c>
      <c r="S4505">
        <v>13</v>
      </c>
      <c r="T4505">
        <v>4</v>
      </c>
      <c r="U4505">
        <v>7</v>
      </c>
      <c r="V4505">
        <v>2</v>
      </c>
      <c r="W4505">
        <v>6</v>
      </c>
      <c r="X4505">
        <v>4</v>
      </c>
      <c r="Y4505">
        <v>38</v>
      </c>
      <c r="Z4505">
        <v>0</v>
      </c>
      <c r="AA4505">
        <v>0</v>
      </c>
      <c r="AB4505">
        <v>0</v>
      </c>
      <c r="AC4505">
        <v>0</v>
      </c>
      <c r="AD4505">
        <v>0</v>
      </c>
      <c r="AE4505">
        <v>0</v>
      </c>
      <c r="AF4505">
        <v>0</v>
      </c>
      <c r="AG4505">
        <v>0</v>
      </c>
      <c r="AH4505">
        <v>0</v>
      </c>
      <c r="AI4505">
        <v>0</v>
      </c>
      <c r="AJ4505">
        <v>0</v>
      </c>
      <c r="AK4505">
        <v>0</v>
      </c>
      <c r="AL4505">
        <v>0</v>
      </c>
      <c r="AM4505">
        <v>0</v>
      </c>
      <c r="AN4505">
        <v>1</v>
      </c>
      <c r="AT4505">
        <v>0</v>
      </c>
      <c r="AU4505">
        <v>26</v>
      </c>
      <c r="AV4505">
        <v>173</v>
      </c>
      <c r="AW4505">
        <v>173</v>
      </c>
      <c r="AX4505">
        <v>624</v>
      </c>
      <c r="BA4505">
        <v>1</v>
      </c>
      <c r="BC4505" t="s">
        <v>9119</v>
      </c>
      <c r="BD4505" s="4">
        <v>43283.393055555556</v>
      </c>
      <c r="BE4505" s="4">
        <v>43283.396585648145</v>
      </c>
      <c r="BF4505" s="4">
        <v>43283.396585648145</v>
      </c>
      <c r="BG4505" t="s">
        <v>83</v>
      </c>
      <c r="BH4505" t="s">
        <v>84</v>
      </c>
      <c r="BI4505" t="s">
        <v>85</v>
      </c>
    </row>
    <row r="4506" spans="1:61" x14ac:dyDescent="0.3">
      <c r="A4506" t="str">
        <f>"201730B0100"</f>
        <v>201730B0100</v>
      </c>
      <c r="B4506" t="s">
        <v>9120</v>
      </c>
      <c r="C4506">
        <v>20</v>
      </c>
      <c r="D4506" t="s">
        <v>79</v>
      </c>
      <c r="E4506">
        <v>21</v>
      </c>
      <c r="F4506" t="s">
        <v>8898</v>
      </c>
      <c r="G4506">
        <v>1730</v>
      </c>
      <c r="H4506">
        <v>1</v>
      </c>
      <c r="I4506" t="s">
        <v>81</v>
      </c>
      <c r="J4506">
        <v>0</v>
      </c>
      <c r="K4506">
        <v>2</v>
      </c>
      <c r="L4506">
        <v>2</v>
      </c>
      <c r="M4506">
        <v>392</v>
      </c>
      <c r="N4506">
        <v>392</v>
      </c>
      <c r="O4506">
        <v>0</v>
      </c>
      <c r="P4506">
        <v>392</v>
      </c>
      <c r="Q4506">
        <v>14</v>
      </c>
      <c r="R4506">
        <v>29</v>
      </c>
      <c r="S4506">
        <v>25</v>
      </c>
      <c r="T4506">
        <v>9</v>
      </c>
      <c r="U4506">
        <v>25</v>
      </c>
      <c r="V4506">
        <v>3</v>
      </c>
      <c r="W4506">
        <v>5</v>
      </c>
      <c r="X4506">
        <v>8</v>
      </c>
      <c r="Y4506">
        <v>211</v>
      </c>
      <c r="Z4506">
        <v>12</v>
      </c>
      <c r="AA4506">
        <v>1</v>
      </c>
      <c r="AB4506">
        <v>2</v>
      </c>
      <c r="AC4506">
        <v>0</v>
      </c>
      <c r="AD4506">
        <v>1</v>
      </c>
      <c r="AE4506">
        <v>0</v>
      </c>
      <c r="AF4506">
        <v>1</v>
      </c>
      <c r="AG4506">
        <v>0</v>
      </c>
      <c r="AH4506">
        <v>2</v>
      </c>
      <c r="AI4506">
        <v>0</v>
      </c>
      <c r="AJ4506">
        <v>0</v>
      </c>
      <c r="AK4506">
        <v>2</v>
      </c>
      <c r="AL4506">
        <v>2</v>
      </c>
      <c r="AM4506">
        <v>0</v>
      </c>
      <c r="AN4506">
        <v>1</v>
      </c>
      <c r="AT4506">
        <v>0</v>
      </c>
      <c r="AU4506">
        <v>30</v>
      </c>
      <c r="AV4506" t="s">
        <v>100</v>
      </c>
      <c r="AW4506">
        <v>383</v>
      </c>
      <c r="AX4506">
        <v>653</v>
      </c>
      <c r="BA4506">
        <v>1</v>
      </c>
      <c r="BC4506" t="s">
        <v>9121</v>
      </c>
      <c r="BD4506" s="4">
        <v>43283.678472222222</v>
      </c>
      <c r="BE4506" s="4">
        <v>43283.686122685183</v>
      </c>
      <c r="BF4506" s="4">
        <v>43283.686122685183</v>
      </c>
      <c r="BG4506" t="s">
        <v>83</v>
      </c>
      <c r="BH4506" t="s">
        <v>84</v>
      </c>
      <c r="BI4506" t="s">
        <v>85</v>
      </c>
    </row>
    <row r="4507" spans="1:61" x14ac:dyDescent="0.3">
      <c r="A4507" t="str">
        <f>"201730C0100"</f>
        <v>201730C0100</v>
      </c>
      <c r="B4507" t="s">
        <v>9122</v>
      </c>
      <c r="C4507">
        <v>20</v>
      </c>
      <c r="D4507" t="s">
        <v>79</v>
      </c>
      <c r="E4507">
        <v>21</v>
      </c>
      <c r="F4507" t="s">
        <v>8898</v>
      </c>
      <c r="G4507">
        <v>1730</v>
      </c>
      <c r="H4507">
        <v>1</v>
      </c>
      <c r="I4507" t="s">
        <v>89</v>
      </c>
      <c r="J4507">
        <v>0</v>
      </c>
      <c r="K4507">
        <v>2</v>
      </c>
      <c r="L4507">
        <v>2</v>
      </c>
      <c r="AX4507">
        <v>653</v>
      </c>
      <c r="AZ4507" t="s">
        <v>156</v>
      </c>
      <c r="BA4507">
        <v>0</v>
      </c>
      <c r="BC4507" t="s">
        <v>9123</v>
      </c>
      <c r="BD4507" s="4">
        <v>43283.753472222219</v>
      </c>
      <c r="BE4507" s="4">
        <v>43283.755462962959</v>
      </c>
      <c r="BF4507" s="4">
        <v>43283.755462962959</v>
      </c>
      <c r="BG4507" t="s">
        <v>83</v>
      </c>
      <c r="BH4507" t="s">
        <v>84</v>
      </c>
      <c r="BI4507" t="s">
        <v>85</v>
      </c>
    </row>
    <row r="4508" spans="1:61" x14ac:dyDescent="0.3">
      <c r="A4508" t="str">
        <f>"201731B0100"</f>
        <v>201731B0100</v>
      </c>
      <c r="B4508" t="s">
        <v>9124</v>
      </c>
      <c r="C4508">
        <v>20</v>
      </c>
      <c r="D4508" t="s">
        <v>79</v>
      </c>
      <c r="E4508">
        <v>21</v>
      </c>
      <c r="F4508" t="s">
        <v>8898</v>
      </c>
      <c r="G4508">
        <v>1731</v>
      </c>
      <c r="H4508">
        <v>1</v>
      </c>
      <c r="I4508" t="s">
        <v>81</v>
      </c>
      <c r="J4508">
        <v>0</v>
      </c>
      <c r="K4508">
        <v>2</v>
      </c>
      <c r="L4508">
        <v>2</v>
      </c>
      <c r="M4508">
        <v>314</v>
      </c>
      <c r="N4508">
        <v>295</v>
      </c>
      <c r="O4508">
        <v>0</v>
      </c>
      <c r="P4508">
        <v>295</v>
      </c>
      <c r="Q4508">
        <v>28</v>
      </c>
      <c r="R4508">
        <v>21</v>
      </c>
      <c r="S4508">
        <v>28</v>
      </c>
      <c r="T4508">
        <v>5</v>
      </c>
      <c r="U4508">
        <v>17</v>
      </c>
      <c r="V4508">
        <v>5</v>
      </c>
      <c r="W4508">
        <v>2</v>
      </c>
      <c r="X4508">
        <v>2</v>
      </c>
      <c r="Y4508">
        <v>141</v>
      </c>
      <c r="Z4508">
        <v>3</v>
      </c>
      <c r="AA4508">
        <v>2</v>
      </c>
      <c r="AB4508">
        <v>0</v>
      </c>
      <c r="AC4508">
        <v>0</v>
      </c>
      <c r="AD4508">
        <v>0</v>
      </c>
      <c r="AE4508">
        <v>0</v>
      </c>
      <c r="AF4508">
        <v>0</v>
      </c>
      <c r="AG4508">
        <v>0</v>
      </c>
      <c r="AH4508">
        <v>1</v>
      </c>
      <c r="AI4508">
        <v>0</v>
      </c>
      <c r="AJ4508">
        <v>1</v>
      </c>
      <c r="AK4508">
        <v>2</v>
      </c>
      <c r="AL4508">
        <v>2</v>
      </c>
      <c r="AM4508">
        <v>2</v>
      </c>
      <c r="AN4508">
        <v>1</v>
      </c>
      <c r="AT4508">
        <v>1</v>
      </c>
      <c r="AU4508">
        <v>31</v>
      </c>
      <c r="AV4508">
        <v>295</v>
      </c>
      <c r="AW4508">
        <v>295</v>
      </c>
      <c r="AX4508">
        <v>588</v>
      </c>
      <c r="BA4508">
        <v>1</v>
      </c>
      <c r="BC4508" t="s">
        <v>9125</v>
      </c>
      <c r="BD4508" s="4">
        <v>43283.686111111114</v>
      </c>
      <c r="BE4508" s="4">
        <v>43283.69059027778</v>
      </c>
      <c r="BF4508" s="4">
        <v>43283.69059027778</v>
      </c>
      <c r="BG4508" t="s">
        <v>83</v>
      </c>
      <c r="BH4508" t="s">
        <v>84</v>
      </c>
      <c r="BI4508" t="s">
        <v>85</v>
      </c>
    </row>
    <row r="4509" spans="1:61" x14ac:dyDescent="0.3">
      <c r="A4509" t="str">
        <f>"201731C0100"</f>
        <v>201731C0100</v>
      </c>
      <c r="B4509" t="s">
        <v>9126</v>
      </c>
      <c r="C4509">
        <v>20</v>
      </c>
      <c r="D4509" t="s">
        <v>79</v>
      </c>
      <c r="E4509">
        <v>21</v>
      </c>
      <c r="F4509" t="s">
        <v>8898</v>
      </c>
      <c r="G4509">
        <v>1731</v>
      </c>
      <c r="H4509">
        <v>1</v>
      </c>
      <c r="I4509" t="s">
        <v>89</v>
      </c>
      <c r="J4509">
        <v>0</v>
      </c>
      <c r="K4509">
        <v>2</v>
      </c>
      <c r="L4509">
        <v>2</v>
      </c>
      <c r="AX4509">
        <v>587</v>
      </c>
      <c r="AZ4509" t="s">
        <v>156</v>
      </c>
      <c r="BA4509">
        <v>0</v>
      </c>
      <c r="BC4509" t="s">
        <v>9127</v>
      </c>
      <c r="BD4509" s="4">
        <v>43283.754166666666</v>
      </c>
      <c r="BE4509" s="4">
        <v>43283.755636574075</v>
      </c>
      <c r="BF4509" s="4">
        <v>43283.755636574075</v>
      </c>
      <c r="BG4509" t="s">
        <v>83</v>
      </c>
      <c r="BH4509" t="s">
        <v>84</v>
      </c>
      <c r="BI4509" t="s">
        <v>85</v>
      </c>
    </row>
    <row r="4510" spans="1:61" x14ac:dyDescent="0.3">
      <c r="A4510" t="str">
        <f>"201732B0100"</f>
        <v>201732B0100</v>
      </c>
      <c r="B4510" t="s">
        <v>9128</v>
      </c>
      <c r="C4510">
        <v>20</v>
      </c>
      <c r="D4510" t="s">
        <v>79</v>
      </c>
      <c r="E4510">
        <v>21</v>
      </c>
      <c r="F4510" t="s">
        <v>8898</v>
      </c>
      <c r="G4510">
        <v>1732</v>
      </c>
      <c r="H4510">
        <v>1</v>
      </c>
      <c r="I4510" t="s">
        <v>81</v>
      </c>
      <c r="J4510">
        <v>0</v>
      </c>
      <c r="K4510">
        <v>2</v>
      </c>
      <c r="L4510">
        <v>2</v>
      </c>
      <c r="M4510">
        <v>313</v>
      </c>
      <c r="N4510">
        <v>144</v>
      </c>
      <c r="O4510">
        <v>0</v>
      </c>
      <c r="P4510">
        <v>144</v>
      </c>
      <c r="Q4510">
        <v>2</v>
      </c>
      <c r="R4510">
        <v>44</v>
      </c>
      <c r="S4510">
        <v>16</v>
      </c>
      <c r="T4510">
        <v>1</v>
      </c>
      <c r="U4510">
        <v>2</v>
      </c>
      <c r="V4510">
        <v>3</v>
      </c>
      <c r="W4510">
        <v>1</v>
      </c>
      <c r="X4510">
        <v>0</v>
      </c>
      <c r="Y4510">
        <v>59</v>
      </c>
      <c r="Z4510">
        <v>1</v>
      </c>
      <c r="AA4510">
        <v>0</v>
      </c>
      <c r="AB4510">
        <v>1</v>
      </c>
      <c r="AC4510">
        <v>0</v>
      </c>
      <c r="AD4510">
        <v>0</v>
      </c>
      <c r="AE4510">
        <v>0</v>
      </c>
      <c r="AF4510">
        <v>0</v>
      </c>
      <c r="AG4510">
        <v>1</v>
      </c>
      <c r="AH4510">
        <v>3</v>
      </c>
      <c r="AI4510">
        <v>1</v>
      </c>
      <c r="AJ4510">
        <v>0</v>
      </c>
      <c r="AK4510">
        <v>2</v>
      </c>
      <c r="AL4510">
        <v>1</v>
      </c>
      <c r="AM4510">
        <v>0</v>
      </c>
      <c r="AN4510">
        <v>1</v>
      </c>
      <c r="AT4510">
        <v>0</v>
      </c>
      <c r="AU4510">
        <v>5</v>
      </c>
      <c r="AV4510">
        <v>144</v>
      </c>
      <c r="AW4510">
        <v>144</v>
      </c>
      <c r="AX4510">
        <v>436</v>
      </c>
      <c r="BA4510">
        <v>1</v>
      </c>
      <c r="BC4510" t="s">
        <v>9129</v>
      </c>
      <c r="BD4510" s="4">
        <v>43283.708333333336</v>
      </c>
      <c r="BE4510" s="4">
        <v>43283.71533564815</v>
      </c>
      <c r="BF4510" s="4">
        <v>43283.71533564815</v>
      </c>
      <c r="BG4510" t="s">
        <v>83</v>
      </c>
      <c r="BH4510" t="s">
        <v>84</v>
      </c>
      <c r="BI4510" t="s">
        <v>85</v>
      </c>
    </row>
    <row r="4511" spans="1:61" x14ac:dyDescent="0.3">
      <c r="A4511" t="str">
        <f>"201732C0100"</f>
        <v>201732C0100</v>
      </c>
      <c r="B4511" t="s">
        <v>9130</v>
      </c>
      <c r="C4511">
        <v>20</v>
      </c>
      <c r="D4511" t="s">
        <v>79</v>
      </c>
      <c r="E4511">
        <v>21</v>
      </c>
      <c r="F4511" t="s">
        <v>8898</v>
      </c>
      <c r="G4511">
        <v>1732</v>
      </c>
      <c r="H4511">
        <v>1</v>
      </c>
      <c r="I4511" t="s">
        <v>89</v>
      </c>
      <c r="J4511">
        <v>0</v>
      </c>
      <c r="K4511">
        <v>2</v>
      </c>
      <c r="L4511">
        <v>2</v>
      </c>
      <c r="M4511">
        <v>284</v>
      </c>
      <c r="N4511" t="s">
        <v>100</v>
      </c>
      <c r="O4511">
        <v>0</v>
      </c>
      <c r="P4511" t="s">
        <v>100</v>
      </c>
      <c r="Q4511">
        <v>0</v>
      </c>
      <c r="R4511">
        <v>33</v>
      </c>
      <c r="S4511">
        <v>6</v>
      </c>
      <c r="T4511">
        <v>0</v>
      </c>
      <c r="U4511">
        <v>4</v>
      </c>
      <c r="V4511">
        <v>0</v>
      </c>
      <c r="W4511">
        <v>2</v>
      </c>
      <c r="X4511">
        <v>1</v>
      </c>
      <c r="Y4511">
        <v>109</v>
      </c>
      <c r="Z4511">
        <v>1</v>
      </c>
      <c r="AA4511">
        <v>1</v>
      </c>
      <c r="AB4511">
        <v>0</v>
      </c>
      <c r="AC4511">
        <v>0</v>
      </c>
      <c r="AD4511">
        <v>0</v>
      </c>
      <c r="AE4511">
        <v>0</v>
      </c>
      <c r="AF4511">
        <v>0</v>
      </c>
      <c r="AG4511">
        <v>0</v>
      </c>
      <c r="AH4511">
        <v>0</v>
      </c>
      <c r="AI4511">
        <v>0</v>
      </c>
      <c r="AJ4511">
        <v>0</v>
      </c>
      <c r="AK4511">
        <v>2</v>
      </c>
      <c r="AL4511">
        <v>1</v>
      </c>
      <c r="AM4511">
        <v>1</v>
      </c>
      <c r="AN4511">
        <v>3</v>
      </c>
      <c r="AT4511">
        <v>0</v>
      </c>
      <c r="AU4511">
        <v>3</v>
      </c>
      <c r="AV4511">
        <v>167</v>
      </c>
      <c r="AW4511">
        <v>167</v>
      </c>
      <c r="AX4511">
        <v>436</v>
      </c>
      <c r="BA4511">
        <v>1</v>
      </c>
      <c r="BC4511" t="s">
        <v>9131</v>
      </c>
      <c r="BD4511" s="4">
        <v>43283.711805555555</v>
      </c>
      <c r="BE4511" s="4">
        <v>43283.715081018519</v>
      </c>
      <c r="BF4511" s="4">
        <v>43283.715081018519</v>
      </c>
      <c r="BG4511" t="s">
        <v>83</v>
      </c>
      <c r="BH4511" t="s">
        <v>84</v>
      </c>
      <c r="BI4511" t="s">
        <v>85</v>
      </c>
    </row>
    <row r="4512" spans="1:61" x14ac:dyDescent="0.3">
      <c r="A4512" t="str">
        <f>"201732E0100"</f>
        <v>201732E0100</v>
      </c>
      <c r="B4512" s="2" t="s">
        <v>9132</v>
      </c>
      <c r="C4512">
        <v>20</v>
      </c>
      <c r="D4512" t="s">
        <v>79</v>
      </c>
      <c r="E4512">
        <v>21</v>
      </c>
      <c r="F4512" t="s">
        <v>8898</v>
      </c>
      <c r="G4512">
        <v>1732</v>
      </c>
      <c r="H4512">
        <v>1</v>
      </c>
      <c r="I4512" t="s">
        <v>145</v>
      </c>
      <c r="J4512">
        <v>0</v>
      </c>
      <c r="K4512">
        <v>2</v>
      </c>
      <c r="L4512">
        <v>2</v>
      </c>
      <c r="M4512">
        <v>286</v>
      </c>
      <c r="N4512">
        <v>298</v>
      </c>
      <c r="O4512">
        <v>0</v>
      </c>
      <c r="P4512">
        <v>0</v>
      </c>
      <c r="Q4512">
        <v>19</v>
      </c>
      <c r="R4512">
        <v>43</v>
      </c>
      <c r="S4512">
        <v>7</v>
      </c>
      <c r="T4512">
        <v>15</v>
      </c>
      <c r="U4512">
        <v>3</v>
      </c>
      <c r="V4512">
        <v>0</v>
      </c>
      <c r="W4512">
        <v>0</v>
      </c>
      <c r="X4512">
        <v>0</v>
      </c>
      <c r="Y4512">
        <v>173</v>
      </c>
      <c r="Z4512">
        <v>0</v>
      </c>
      <c r="AA4512">
        <v>0</v>
      </c>
      <c r="AB4512">
        <v>0</v>
      </c>
      <c r="AC4512">
        <v>0</v>
      </c>
      <c r="AD4512">
        <v>0</v>
      </c>
      <c r="AE4512">
        <v>0</v>
      </c>
      <c r="AF4512">
        <v>0</v>
      </c>
      <c r="AG4512">
        <v>0</v>
      </c>
      <c r="AH4512">
        <v>1</v>
      </c>
      <c r="AI4512">
        <v>0</v>
      </c>
      <c r="AJ4512">
        <v>0</v>
      </c>
      <c r="AK4512">
        <v>5</v>
      </c>
      <c r="AL4512">
        <v>1</v>
      </c>
      <c r="AM4512">
        <v>0</v>
      </c>
      <c r="AN4512">
        <v>0</v>
      </c>
      <c r="AT4512">
        <v>0</v>
      </c>
      <c r="AU4512">
        <v>12</v>
      </c>
      <c r="AV4512">
        <v>298</v>
      </c>
      <c r="AW4512">
        <v>279</v>
      </c>
      <c r="AX4512">
        <v>562</v>
      </c>
      <c r="BA4512">
        <v>1</v>
      </c>
      <c r="BC4512" t="s">
        <v>9133</v>
      </c>
      <c r="BD4512" s="4">
        <v>43283.693749999999</v>
      </c>
      <c r="BE4512" s="4">
        <v>43283.699236111112</v>
      </c>
      <c r="BF4512" s="4">
        <v>43283.699236111112</v>
      </c>
      <c r="BG4512" t="s">
        <v>83</v>
      </c>
      <c r="BH4512" t="s">
        <v>84</v>
      </c>
      <c r="BI4512" t="s">
        <v>85</v>
      </c>
    </row>
    <row r="4513" spans="1:61" x14ac:dyDescent="0.3">
      <c r="A4513" t="str">
        <f>"201733B0100"</f>
        <v>201733B0100</v>
      </c>
      <c r="B4513" t="s">
        <v>9134</v>
      </c>
      <c r="C4513">
        <v>20</v>
      </c>
      <c r="D4513" t="s">
        <v>79</v>
      </c>
      <c r="E4513">
        <v>21</v>
      </c>
      <c r="F4513" t="s">
        <v>8898</v>
      </c>
      <c r="G4513">
        <v>1733</v>
      </c>
      <c r="H4513">
        <v>1</v>
      </c>
      <c r="I4513" t="s">
        <v>81</v>
      </c>
      <c r="J4513">
        <v>0</v>
      </c>
      <c r="K4513">
        <v>2</v>
      </c>
      <c r="L4513">
        <v>2</v>
      </c>
      <c r="M4513">
        <v>318</v>
      </c>
      <c r="N4513">
        <v>288</v>
      </c>
      <c r="O4513">
        <v>0</v>
      </c>
      <c r="P4513">
        <v>288</v>
      </c>
      <c r="Q4513">
        <v>2</v>
      </c>
      <c r="R4513">
        <v>11</v>
      </c>
      <c r="S4513">
        <v>34</v>
      </c>
      <c r="T4513">
        <v>3</v>
      </c>
      <c r="U4513">
        <v>7</v>
      </c>
      <c r="V4513">
        <v>4</v>
      </c>
      <c r="W4513">
        <v>2</v>
      </c>
      <c r="X4513">
        <v>3</v>
      </c>
      <c r="Y4513">
        <v>183</v>
      </c>
      <c r="Z4513">
        <v>9</v>
      </c>
      <c r="AA4513">
        <v>2</v>
      </c>
      <c r="AB4513">
        <v>1</v>
      </c>
      <c r="AC4513">
        <v>0</v>
      </c>
      <c r="AD4513">
        <v>0</v>
      </c>
      <c r="AE4513">
        <v>0</v>
      </c>
      <c r="AF4513">
        <v>0</v>
      </c>
      <c r="AG4513">
        <v>0</v>
      </c>
      <c r="AH4513">
        <v>1</v>
      </c>
      <c r="AI4513">
        <v>0</v>
      </c>
      <c r="AJ4513">
        <v>0</v>
      </c>
      <c r="AK4513">
        <v>3</v>
      </c>
      <c r="AL4513">
        <v>1</v>
      </c>
      <c r="AM4513">
        <v>0</v>
      </c>
      <c r="AN4513">
        <v>0</v>
      </c>
      <c r="AT4513">
        <v>14</v>
      </c>
      <c r="AU4513">
        <v>8</v>
      </c>
      <c r="AV4513">
        <v>23</v>
      </c>
      <c r="AW4513">
        <v>288</v>
      </c>
      <c r="AX4513">
        <v>584</v>
      </c>
      <c r="BA4513">
        <v>1</v>
      </c>
      <c r="BC4513" t="s">
        <v>9135</v>
      </c>
      <c r="BD4513" s="4">
        <v>43283.697916666664</v>
      </c>
      <c r="BE4513" s="4">
        <v>43283.703703703701</v>
      </c>
      <c r="BF4513" s="4">
        <v>43283.703703703701</v>
      </c>
      <c r="BG4513" t="s">
        <v>83</v>
      </c>
      <c r="BH4513" t="s">
        <v>84</v>
      </c>
      <c r="BI4513" t="s">
        <v>85</v>
      </c>
    </row>
    <row r="4514" spans="1:61" x14ac:dyDescent="0.3">
      <c r="A4514" t="str">
        <f>"201733C0100"</f>
        <v>201733C0100</v>
      </c>
      <c r="B4514" t="s">
        <v>9136</v>
      </c>
      <c r="C4514">
        <v>20</v>
      </c>
      <c r="D4514" t="s">
        <v>79</v>
      </c>
      <c r="E4514">
        <v>21</v>
      </c>
      <c r="F4514" t="s">
        <v>8898</v>
      </c>
      <c r="G4514">
        <v>1733</v>
      </c>
      <c r="H4514">
        <v>1</v>
      </c>
      <c r="I4514" t="s">
        <v>89</v>
      </c>
      <c r="J4514">
        <v>0</v>
      </c>
      <c r="K4514">
        <v>2</v>
      </c>
      <c r="L4514">
        <v>2</v>
      </c>
      <c r="M4514">
        <v>328</v>
      </c>
      <c r="N4514" t="s">
        <v>100</v>
      </c>
      <c r="O4514">
        <v>605</v>
      </c>
      <c r="P4514" t="s">
        <v>100</v>
      </c>
      <c r="Q4514">
        <v>10</v>
      </c>
      <c r="R4514">
        <v>4</v>
      </c>
      <c r="S4514">
        <v>35</v>
      </c>
      <c r="T4514">
        <v>2</v>
      </c>
      <c r="U4514">
        <v>11</v>
      </c>
      <c r="V4514">
        <v>2</v>
      </c>
      <c r="W4514">
        <v>8</v>
      </c>
      <c r="X4514">
        <v>8</v>
      </c>
      <c r="Y4514">
        <v>164</v>
      </c>
      <c r="Z4514">
        <v>7</v>
      </c>
      <c r="AA4514">
        <v>1</v>
      </c>
      <c r="AB4514">
        <v>0</v>
      </c>
      <c r="AC4514">
        <v>1</v>
      </c>
      <c r="AD4514">
        <v>1</v>
      </c>
      <c r="AE4514">
        <v>0</v>
      </c>
      <c r="AF4514">
        <v>0</v>
      </c>
      <c r="AG4514">
        <v>0</v>
      </c>
      <c r="AH4514">
        <v>0</v>
      </c>
      <c r="AI4514">
        <v>0</v>
      </c>
      <c r="AJ4514">
        <v>0</v>
      </c>
      <c r="AK4514">
        <v>0</v>
      </c>
      <c r="AL4514">
        <v>1</v>
      </c>
      <c r="AM4514">
        <v>0</v>
      </c>
      <c r="AN4514">
        <v>1</v>
      </c>
      <c r="AT4514">
        <v>0</v>
      </c>
      <c r="AU4514">
        <v>21</v>
      </c>
      <c r="AV4514">
        <v>277</v>
      </c>
      <c r="AW4514">
        <v>277</v>
      </c>
      <c r="AX4514">
        <v>583</v>
      </c>
      <c r="BA4514">
        <v>1</v>
      </c>
      <c r="BC4514" t="s">
        <v>9137</v>
      </c>
      <c r="BD4514" s="4">
        <v>43283.703472222223</v>
      </c>
      <c r="BE4514" s="4">
        <v>43283.706944444442</v>
      </c>
      <c r="BF4514" s="4">
        <v>43283.706944444442</v>
      </c>
      <c r="BG4514" t="s">
        <v>83</v>
      </c>
      <c r="BH4514" t="s">
        <v>84</v>
      </c>
      <c r="BI4514" t="s">
        <v>85</v>
      </c>
    </row>
    <row r="4515" spans="1:61" x14ac:dyDescent="0.3">
      <c r="A4515" t="str">
        <f>"201733C0200"</f>
        <v>201733C0200</v>
      </c>
      <c r="B4515" t="s">
        <v>9138</v>
      </c>
      <c r="C4515">
        <v>20</v>
      </c>
      <c r="D4515" t="s">
        <v>79</v>
      </c>
      <c r="E4515">
        <v>21</v>
      </c>
      <c r="F4515" t="s">
        <v>8898</v>
      </c>
      <c r="G4515">
        <v>1733</v>
      </c>
      <c r="H4515">
        <v>2</v>
      </c>
      <c r="I4515" t="s">
        <v>89</v>
      </c>
      <c r="J4515">
        <v>0</v>
      </c>
      <c r="K4515">
        <v>2</v>
      </c>
      <c r="L4515">
        <v>2</v>
      </c>
      <c r="M4515">
        <v>305</v>
      </c>
      <c r="N4515">
        <v>300</v>
      </c>
      <c r="O4515">
        <v>0</v>
      </c>
      <c r="P4515">
        <v>300</v>
      </c>
      <c r="Q4515">
        <v>3</v>
      </c>
      <c r="R4515">
        <v>14</v>
      </c>
      <c r="S4515">
        <v>30</v>
      </c>
      <c r="T4515">
        <v>4</v>
      </c>
      <c r="U4515">
        <v>12</v>
      </c>
      <c r="V4515">
        <v>0</v>
      </c>
      <c r="W4515">
        <v>0</v>
      </c>
      <c r="X4515">
        <v>3</v>
      </c>
      <c r="Y4515">
        <v>202</v>
      </c>
      <c r="Z4515">
        <v>7</v>
      </c>
      <c r="AA4515">
        <v>0</v>
      </c>
      <c r="AB4515">
        <v>3</v>
      </c>
      <c r="AC4515">
        <v>0</v>
      </c>
      <c r="AD4515">
        <v>0</v>
      </c>
      <c r="AE4515">
        <v>0</v>
      </c>
      <c r="AF4515">
        <v>0</v>
      </c>
      <c r="AG4515">
        <v>0</v>
      </c>
      <c r="AH4515">
        <v>1</v>
      </c>
      <c r="AI4515">
        <v>1</v>
      </c>
      <c r="AJ4515">
        <v>0</v>
      </c>
      <c r="AK4515">
        <v>1</v>
      </c>
      <c r="AL4515">
        <v>1</v>
      </c>
      <c r="AM4515">
        <v>0</v>
      </c>
      <c r="AN4515">
        <v>4</v>
      </c>
      <c r="AT4515">
        <v>0</v>
      </c>
      <c r="AU4515">
        <v>15</v>
      </c>
      <c r="AV4515">
        <v>300</v>
      </c>
      <c r="AW4515">
        <v>301</v>
      </c>
      <c r="AX4515">
        <v>583</v>
      </c>
      <c r="BA4515">
        <v>1</v>
      </c>
      <c r="BC4515" t="s">
        <v>9139</v>
      </c>
      <c r="BD4515" s="4">
        <v>43283.704861111109</v>
      </c>
      <c r="BE4515" s="4">
        <v>43283.710219907407</v>
      </c>
      <c r="BF4515" s="4">
        <v>43283.710219907407</v>
      </c>
      <c r="BG4515" t="s">
        <v>83</v>
      </c>
      <c r="BH4515" t="s">
        <v>84</v>
      </c>
      <c r="BI4515" t="s">
        <v>85</v>
      </c>
    </row>
    <row r="4516" spans="1:61" x14ac:dyDescent="0.3">
      <c r="A4516" t="str">
        <f>"201734B0100"</f>
        <v>201734B0100</v>
      </c>
      <c r="B4516" t="s">
        <v>9140</v>
      </c>
      <c r="C4516">
        <v>20</v>
      </c>
      <c r="D4516" t="s">
        <v>79</v>
      </c>
      <c r="E4516">
        <v>21</v>
      </c>
      <c r="F4516" t="s">
        <v>8898</v>
      </c>
      <c r="G4516">
        <v>1734</v>
      </c>
      <c r="H4516">
        <v>1</v>
      </c>
      <c r="I4516" t="s">
        <v>81</v>
      </c>
      <c r="J4516">
        <v>0</v>
      </c>
      <c r="K4516">
        <v>2</v>
      </c>
      <c r="L4516">
        <v>2</v>
      </c>
      <c r="M4516">
        <v>247</v>
      </c>
      <c r="N4516" t="s">
        <v>100</v>
      </c>
      <c r="O4516" t="s">
        <v>100</v>
      </c>
      <c r="P4516">
        <v>371</v>
      </c>
      <c r="Q4516">
        <v>16</v>
      </c>
      <c r="R4516">
        <v>21</v>
      </c>
      <c r="S4516">
        <v>20</v>
      </c>
      <c r="T4516">
        <v>4</v>
      </c>
      <c r="U4516">
        <v>15</v>
      </c>
      <c r="V4516">
        <v>6</v>
      </c>
      <c r="W4516">
        <v>11</v>
      </c>
      <c r="X4516">
        <v>6</v>
      </c>
      <c r="Y4516">
        <v>219</v>
      </c>
      <c r="Z4516">
        <v>10</v>
      </c>
      <c r="AA4516">
        <v>0</v>
      </c>
      <c r="AB4516">
        <v>0</v>
      </c>
      <c r="AC4516">
        <v>1</v>
      </c>
      <c r="AD4516">
        <v>0</v>
      </c>
      <c r="AE4516">
        <v>0</v>
      </c>
      <c r="AF4516">
        <v>0</v>
      </c>
      <c r="AG4516">
        <v>0</v>
      </c>
      <c r="AH4516">
        <v>0</v>
      </c>
      <c r="AI4516">
        <v>0</v>
      </c>
      <c r="AJ4516">
        <v>0</v>
      </c>
      <c r="AK4516">
        <v>1</v>
      </c>
      <c r="AL4516">
        <v>0</v>
      </c>
      <c r="AM4516">
        <v>1</v>
      </c>
      <c r="AN4516">
        <v>0</v>
      </c>
      <c r="AT4516">
        <v>0</v>
      </c>
      <c r="AU4516">
        <v>40</v>
      </c>
      <c r="AV4516">
        <v>371</v>
      </c>
      <c r="AW4516">
        <v>371</v>
      </c>
      <c r="AX4516">
        <v>598</v>
      </c>
      <c r="BA4516">
        <v>1</v>
      </c>
      <c r="BC4516" t="s">
        <v>9141</v>
      </c>
      <c r="BD4516" s="4">
        <v>43283.69027777778</v>
      </c>
      <c r="BE4516" s="4">
        <v>43283.693796296298</v>
      </c>
      <c r="BF4516" s="4">
        <v>43283.693796296298</v>
      </c>
      <c r="BG4516" t="s">
        <v>83</v>
      </c>
      <c r="BH4516" t="s">
        <v>84</v>
      </c>
      <c r="BI4516" t="s">
        <v>85</v>
      </c>
    </row>
    <row r="4517" spans="1:61" x14ac:dyDescent="0.3">
      <c r="A4517" t="str">
        <f>"201734C0100"</f>
        <v>201734C0100</v>
      </c>
      <c r="B4517" t="s">
        <v>9142</v>
      </c>
      <c r="C4517">
        <v>20</v>
      </c>
      <c r="D4517" t="s">
        <v>79</v>
      </c>
      <c r="E4517">
        <v>21</v>
      </c>
      <c r="F4517" t="s">
        <v>8898</v>
      </c>
      <c r="G4517">
        <v>1734</v>
      </c>
      <c r="H4517">
        <v>1</v>
      </c>
      <c r="I4517" t="s">
        <v>89</v>
      </c>
      <c r="J4517">
        <v>0</v>
      </c>
      <c r="K4517">
        <v>2</v>
      </c>
      <c r="L4517">
        <v>2</v>
      </c>
      <c r="M4517" t="s">
        <v>100</v>
      </c>
      <c r="N4517" t="s">
        <v>100</v>
      </c>
      <c r="O4517" t="s">
        <v>100</v>
      </c>
      <c r="P4517" t="s">
        <v>100</v>
      </c>
      <c r="Q4517">
        <v>6</v>
      </c>
      <c r="R4517">
        <v>6</v>
      </c>
      <c r="S4517">
        <v>22</v>
      </c>
      <c r="T4517">
        <v>2</v>
      </c>
      <c r="U4517">
        <v>19</v>
      </c>
      <c r="V4517">
        <v>2</v>
      </c>
      <c r="W4517">
        <v>6</v>
      </c>
      <c r="X4517">
        <v>3</v>
      </c>
      <c r="Y4517">
        <v>241</v>
      </c>
      <c r="Z4517">
        <v>5</v>
      </c>
      <c r="AA4517">
        <v>1</v>
      </c>
      <c r="AB4517">
        <v>1</v>
      </c>
      <c r="AC4517">
        <v>1</v>
      </c>
      <c r="AD4517">
        <v>0</v>
      </c>
      <c r="AE4517">
        <v>0</v>
      </c>
      <c r="AF4517">
        <v>0</v>
      </c>
      <c r="AG4517">
        <v>0</v>
      </c>
      <c r="AH4517">
        <v>0</v>
      </c>
      <c r="AI4517">
        <v>0</v>
      </c>
      <c r="AJ4517">
        <v>0</v>
      </c>
      <c r="AK4517">
        <v>2</v>
      </c>
      <c r="AL4517">
        <v>1</v>
      </c>
      <c r="AM4517">
        <v>0</v>
      </c>
      <c r="AN4517">
        <v>0</v>
      </c>
      <c r="AT4517">
        <v>0</v>
      </c>
      <c r="AU4517">
        <v>15</v>
      </c>
      <c r="AV4517" t="s">
        <v>100</v>
      </c>
      <c r="AW4517">
        <v>333</v>
      </c>
      <c r="AX4517">
        <v>598</v>
      </c>
      <c r="BA4517">
        <v>1</v>
      </c>
      <c r="BC4517" t="s">
        <v>9143</v>
      </c>
      <c r="BD4517" s="4">
        <v>43283.692361111112</v>
      </c>
      <c r="BE4517" s="4">
        <v>43283.696967592594</v>
      </c>
      <c r="BF4517" s="4">
        <v>43283.696967592594</v>
      </c>
      <c r="BG4517" t="s">
        <v>83</v>
      </c>
      <c r="BH4517" t="s">
        <v>84</v>
      </c>
      <c r="BI4517" t="s">
        <v>85</v>
      </c>
    </row>
    <row r="4518" spans="1:61" x14ac:dyDescent="0.3">
      <c r="A4518" t="str">
        <f>"201734C0200"</f>
        <v>201734C0200</v>
      </c>
      <c r="B4518" t="s">
        <v>9144</v>
      </c>
      <c r="C4518">
        <v>20</v>
      </c>
      <c r="D4518" t="s">
        <v>79</v>
      </c>
      <c r="E4518">
        <v>21</v>
      </c>
      <c r="F4518" t="s">
        <v>8898</v>
      </c>
      <c r="G4518">
        <v>1734</v>
      </c>
      <c r="H4518">
        <v>2</v>
      </c>
      <c r="I4518" t="s">
        <v>89</v>
      </c>
      <c r="J4518">
        <v>0</v>
      </c>
      <c r="K4518">
        <v>2</v>
      </c>
      <c r="L4518">
        <v>2</v>
      </c>
      <c r="AX4518">
        <v>598</v>
      </c>
      <c r="AZ4518" t="s">
        <v>156</v>
      </c>
      <c r="BA4518">
        <v>0</v>
      </c>
      <c r="BC4518" t="s">
        <v>9145</v>
      </c>
      <c r="BD4518" s="4">
        <v>43283.754166666666</v>
      </c>
      <c r="BE4518" s="4">
        <v>43283.756226851852</v>
      </c>
      <c r="BF4518" s="4">
        <v>43283.756226851852</v>
      </c>
      <c r="BG4518" t="s">
        <v>83</v>
      </c>
      <c r="BH4518" t="s">
        <v>84</v>
      </c>
      <c r="BI4518" t="s">
        <v>85</v>
      </c>
    </row>
    <row r="4519" spans="1:61" x14ac:dyDescent="0.3">
      <c r="A4519" t="str">
        <f>"201735B0100"</f>
        <v>201735B0100</v>
      </c>
      <c r="B4519" t="s">
        <v>9146</v>
      </c>
      <c r="C4519">
        <v>20</v>
      </c>
      <c r="D4519" t="s">
        <v>79</v>
      </c>
      <c r="E4519">
        <v>21</v>
      </c>
      <c r="F4519" t="s">
        <v>8898</v>
      </c>
      <c r="G4519">
        <v>1735</v>
      </c>
      <c r="H4519">
        <v>1</v>
      </c>
      <c r="I4519" t="s">
        <v>81</v>
      </c>
      <c r="J4519">
        <v>0</v>
      </c>
      <c r="K4519">
        <v>2</v>
      </c>
      <c r="L4519">
        <v>2</v>
      </c>
      <c r="M4519">
        <v>314</v>
      </c>
      <c r="N4519">
        <v>320</v>
      </c>
      <c r="O4519">
        <v>2</v>
      </c>
      <c r="P4519">
        <v>320</v>
      </c>
      <c r="Q4519">
        <v>2</v>
      </c>
      <c r="R4519">
        <v>13</v>
      </c>
      <c r="S4519">
        <v>8</v>
      </c>
      <c r="T4519">
        <v>3</v>
      </c>
      <c r="U4519">
        <v>19</v>
      </c>
      <c r="V4519">
        <v>3</v>
      </c>
      <c r="W4519">
        <v>4</v>
      </c>
      <c r="X4519">
        <v>8</v>
      </c>
      <c r="Y4519">
        <v>223</v>
      </c>
      <c r="Z4519">
        <v>8</v>
      </c>
      <c r="AA4519">
        <v>2</v>
      </c>
      <c r="AB4519">
        <v>0</v>
      </c>
      <c r="AC4519">
        <v>0</v>
      </c>
      <c r="AD4519">
        <v>0</v>
      </c>
      <c r="AE4519">
        <v>0</v>
      </c>
      <c r="AF4519">
        <v>0</v>
      </c>
      <c r="AG4519">
        <v>0</v>
      </c>
      <c r="AH4519">
        <v>0</v>
      </c>
      <c r="AI4519">
        <v>0</v>
      </c>
      <c r="AJ4519">
        <v>0</v>
      </c>
      <c r="AK4519">
        <v>11</v>
      </c>
      <c r="AL4519">
        <v>1</v>
      </c>
      <c r="AM4519">
        <v>0</v>
      </c>
      <c r="AN4519">
        <v>0</v>
      </c>
      <c r="AT4519">
        <v>0</v>
      </c>
      <c r="AU4519">
        <v>15</v>
      </c>
      <c r="AV4519">
        <v>320</v>
      </c>
      <c r="AW4519">
        <v>320</v>
      </c>
      <c r="AX4519">
        <v>612</v>
      </c>
      <c r="BA4519">
        <v>1</v>
      </c>
      <c r="BC4519" t="s">
        <v>9147</v>
      </c>
      <c r="BD4519" s="4">
        <v>43283.70208333333</v>
      </c>
      <c r="BE4519" s="4">
        <v>43283.705925925926</v>
      </c>
      <c r="BF4519" s="4">
        <v>43283.705925925926</v>
      </c>
      <c r="BG4519" t="s">
        <v>83</v>
      </c>
      <c r="BH4519" t="s">
        <v>84</v>
      </c>
      <c r="BI4519" t="s">
        <v>85</v>
      </c>
    </row>
    <row r="4520" spans="1:61" x14ac:dyDescent="0.3">
      <c r="A4520" t="str">
        <f>"201736B0100"</f>
        <v>201736B0100</v>
      </c>
      <c r="B4520" t="s">
        <v>9148</v>
      </c>
      <c r="C4520">
        <v>20</v>
      </c>
      <c r="D4520" t="s">
        <v>79</v>
      </c>
      <c r="E4520">
        <v>21</v>
      </c>
      <c r="F4520" t="s">
        <v>8898</v>
      </c>
      <c r="G4520">
        <v>1736</v>
      </c>
      <c r="H4520">
        <v>1</v>
      </c>
      <c r="I4520" t="s">
        <v>81</v>
      </c>
      <c r="J4520">
        <v>0</v>
      </c>
      <c r="K4520">
        <v>2</v>
      </c>
      <c r="L4520">
        <v>2</v>
      </c>
      <c r="M4520">
        <v>412</v>
      </c>
      <c r="N4520">
        <v>243</v>
      </c>
      <c r="O4520">
        <v>0</v>
      </c>
      <c r="P4520">
        <v>243</v>
      </c>
      <c r="Q4520">
        <v>19</v>
      </c>
      <c r="R4520">
        <v>18</v>
      </c>
      <c r="S4520">
        <v>35</v>
      </c>
      <c r="T4520">
        <v>5</v>
      </c>
      <c r="U4520">
        <v>17</v>
      </c>
      <c r="V4520">
        <v>6</v>
      </c>
      <c r="W4520">
        <v>3</v>
      </c>
      <c r="X4520">
        <v>0</v>
      </c>
      <c r="Y4520">
        <v>105</v>
      </c>
      <c r="Z4520">
        <v>7</v>
      </c>
      <c r="AA4520">
        <v>0</v>
      </c>
      <c r="AB4520">
        <v>0</v>
      </c>
      <c r="AC4520">
        <v>0</v>
      </c>
      <c r="AD4520">
        <v>0</v>
      </c>
      <c r="AE4520">
        <v>0</v>
      </c>
      <c r="AF4520">
        <v>0</v>
      </c>
      <c r="AG4520">
        <v>0</v>
      </c>
      <c r="AH4520">
        <v>1</v>
      </c>
      <c r="AI4520">
        <v>0</v>
      </c>
      <c r="AJ4520">
        <v>0</v>
      </c>
      <c r="AK4520">
        <v>2</v>
      </c>
      <c r="AL4520">
        <v>0</v>
      </c>
      <c r="AM4520">
        <v>0</v>
      </c>
      <c r="AN4520">
        <v>0</v>
      </c>
      <c r="AT4520">
        <v>0</v>
      </c>
      <c r="AU4520">
        <v>25</v>
      </c>
      <c r="AV4520">
        <v>243</v>
      </c>
      <c r="AW4520">
        <v>243</v>
      </c>
      <c r="AX4520">
        <v>638</v>
      </c>
      <c r="BA4520">
        <v>1</v>
      </c>
      <c r="BC4520" t="s">
        <v>9149</v>
      </c>
      <c r="BD4520" s="4">
        <v>43283.531886574077</v>
      </c>
      <c r="BE4520" s="4">
        <v>43283.535891203705</v>
      </c>
      <c r="BF4520" s="4">
        <v>43283.535891203705</v>
      </c>
      <c r="BG4520" t="s">
        <v>373</v>
      </c>
      <c r="BH4520" t="s">
        <v>374</v>
      </c>
      <c r="BI4520" t="s">
        <v>85</v>
      </c>
    </row>
    <row r="4521" spans="1:61" x14ac:dyDescent="0.3">
      <c r="A4521" t="str">
        <f>"201736C0100"</f>
        <v>201736C0100</v>
      </c>
      <c r="B4521" t="s">
        <v>9150</v>
      </c>
      <c r="C4521">
        <v>20</v>
      </c>
      <c r="D4521" t="s">
        <v>79</v>
      </c>
      <c r="E4521">
        <v>21</v>
      </c>
      <c r="F4521" t="s">
        <v>8898</v>
      </c>
      <c r="G4521">
        <v>1736</v>
      </c>
      <c r="H4521">
        <v>1</v>
      </c>
      <c r="I4521" t="s">
        <v>89</v>
      </c>
      <c r="J4521">
        <v>0</v>
      </c>
      <c r="K4521">
        <v>2</v>
      </c>
      <c r="L4521">
        <v>2</v>
      </c>
      <c r="M4521">
        <v>409</v>
      </c>
      <c r="N4521">
        <v>250</v>
      </c>
      <c r="O4521">
        <v>0</v>
      </c>
      <c r="P4521">
        <v>248</v>
      </c>
      <c r="Q4521">
        <v>26</v>
      </c>
      <c r="R4521">
        <v>26</v>
      </c>
      <c r="S4521">
        <v>31</v>
      </c>
      <c r="T4521">
        <v>3</v>
      </c>
      <c r="U4521">
        <v>18</v>
      </c>
      <c r="V4521">
        <v>3</v>
      </c>
      <c r="W4521">
        <v>0</v>
      </c>
      <c r="X4521">
        <v>0</v>
      </c>
      <c r="Y4521">
        <v>94</v>
      </c>
      <c r="Z4521">
        <v>10</v>
      </c>
      <c r="AA4521">
        <v>0</v>
      </c>
      <c r="AB4521">
        <v>1</v>
      </c>
      <c r="AC4521">
        <v>1</v>
      </c>
      <c r="AD4521">
        <v>0</v>
      </c>
      <c r="AE4521">
        <v>0</v>
      </c>
      <c r="AF4521">
        <v>0</v>
      </c>
      <c r="AG4521">
        <v>0</v>
      </c>
      <c r="AH4521">
        <v>0</v>
      </c>
      <c r="AI4521">
        <v>0</v>
      </c>
      <c r="AJ4521">
        <v>0</v>
      </c>
      <c r="AK4521">
        <v>1</v>
      </c>
      <c r="AL4521">
        <v>1</v>
      </c>
      <c r="AM4521">
        <v>0</v>
      </c>
      <c r="AN4521">
        <v>0</v>
      </c>
      <c r="AT4521">
        <v>0</v>
      </c>
      <c r="AU4521">
        <v>33</v>
      </c>
      <c r="AV4521">
        <v>248</v>
      </c>
      <c r="AW4521">
        <v>248</v>
      </c>
      <c r="AX4521">
        <v>637</v>
      </c>
      <c r="BA4521">
        <v>1</v>
      </c>
      <c r="BC4521" s="2" t="s">
        <v>9151</v>
      </c>
      <c r="BD4521" s="4">
        <v>43283.53193287037</v>
      </c>
      <c r="BE4521" s="4">
        <v>43283.535034722219</v>
      </c>
      <c r="BF4521" s="4">
        <v>43283.535034722219</v>
      </c>
      <c r="BG4521" t="s">
        <v>373</v>
      </c>
      <c r="BH4521" t="s">
        <v>374</v>
      </c>
      <c r="BI4521" t="s">
        <v>85</v>
      </c>
    </row>
    <row r="4522" spans="1:61" x14ac:dyDescent="0.3">
      <c r="A4522" t="str">
        <f>"201736E0100"</f>
        <v>201736E0100</v>
      </c>
      <c r="B4522" s="2" t="s">
        <v>9152</v>
      </c>
      <c r="C4522">
        <v>20</v>
      </c>
      <c r="D4522" t="s">
        <v>79</v>
      </c>
      <c r="E4522">
        <v>21</v>
      </c>
      <c r="F4522" t="s">
        <v>8898</v>
      </c>
      <c r="G4522">
        <v>1736</v>
      </c>
      <c r="H4522">
        <v>1</v>
      </c>
      <c r="I4522" t="s">
        <v>145</v>
      </c>
      <c r="J4522">
        <v>0</v>
      </c>
      <c r="K4522">
        <v>2</v>
      </c>
      <c r="L4522">
        <v>2</v>
      </c>
      <c r="M4522">
        <v>93</v>
      </c>
      <c r="N4522">
        <v>123</v>
      </c>
      <c r="O4522">
        <v>0</v>
      </c>
      <c r="P4522">
        <v>123</v>
      </c>
      <c r="Q4522">
        <v>15</v>
      </c>
      <c r="R4522">
        <v>0</v>
      </c>
      <c r="S4522">
        <v>11</v>
      </c>
      <c r="T4522">
        <v>1</v>
      </c>
      <c r="U4522">
        <v>8</v>
      </c>
      <c r="V4522">
        <v>3</v>
      </c>
      <c r="W4522">
        <v>0</v>
      </c>
      <c r="X4522">
        <v>4</v>
      </c>
      <c r="Y4522">
        <v>69</v>
      </c>
      <c r="Z4522">
        <v>0</v>
      </c>
      <c r="AA4522">
        <v>0</v>
      </c>
      <c r="AB4522">
        <v>0</v>
      </c>
      <c r="AC4522">
        <v>1</v>
      </c>
      <c r="AD4522">
        <v>1</v>
      </c>
      <c r="AE4522">
        <v>0</v>
      </c>
      <c r="AF4522">
        <v>0</v>
      </c>
      <c r="AG4522">
        <v>0</v>
      </c>
      <c r="AH4522">
        <v>0</v>
      </c>
      <c r="AI4522">
        <v>0</v>
      </c>
      <c r="AJ4522">
        <v>0</v>
      </c>
      <c r="AK4522">
        <v>1</v>
      </c>
      <c r="AL4522">
        <v>1</v>
      </c>
      <c r="AM4522">
        <v>0</v>
      </c>
      <c r="AN4522">
        <v>0</v>
      </c>
      <c r="AT4522">
        <v>0</v>
      </c>
      <c r="AU4522">
        <v>8</v>
      </c>
      <c r="AV4522">
        <v>123</v>
      </c>
      <c r="AW4522">
        <v>123</v>
      </c>
      <c r="AX4522">
        <v>194</v>
      </c>
      <c r="BA4522">
        <v>1</v>
      </c>
      <c r="BC4522" t="s">
        <v>9153</v>
      </c>
      <c r="BD4522" s="4">
        <v>43283.706944444442</v>
      </c>
      <c r="BE4522" s="4">
        <v>43283.712719907409</v>
      </c>
      <c r="BF4522" s="4">
        <v>43283.712719907409</v>
      </c>
      <c r="BG4522" t="s">
        <v>83</v>
      </c>
      <c r="BH4522" t="s">
        <v>84</v>
      </c>
      <c r="BI4522" t="s">
        <v>85</v>
      </c>
    </row>
    <row r="4523" spans="1:61" x14ac:dyDescent="0.3">
      <c r="A4523" t="str">
        <f>"201737B0100"</f>
        <v>201737B0100</v>
      </c>
      <c r="B4523" t="s">
        <v>9154</v>
      </c>
      <c r="C4523">
        <v>20</v>
      </c>
      <c r="D4523" t="s">
        <v>79</v>
      </c>
      <c r="E4523">
        <v>21</v>
      </c>
      <c r="F4523" t="s">
        <v>8898</v>
      </c>
      <c r="G4523">
        <v>1737</v>
      </c>
      <c r="H4523">
        <v>1</v>
      </c>
      <c r="I4523" t="s">
        <v>81</v>
      </c>
      <c r="J4523">
        <v>0</v>
      </c>
      <c r="K4523">
        <v>2</v>
      </c>
      <c r="L4523">
        <v>2</v>
      </c>
      <c r="M4523">
        <v>344</v>
      </c>
      <c r="N4523" t="s">
        <v>100</v>
      </c>
      <c r="O4523" t="s">
        <v>100</v>
      </c>
      <c r="P4523">
        <v>305</v>
      </c>
      <c r="Q4523">
        <v>16</v>
      </c>
      <c r="R4523">
        <v>8</v>
      </c>
      <c r="S4523">
        <v>18</v>
      </c>
      <c r="T4523">
        <v>9</v>
      </c>
      <c r="U4523">
        <v>13</v>
      </c>
      <c r="V4523">
        <v>7</v>
      </c>
      <c r="W4523">
        <v>4</v>
      </c>
      <c r="X4523">
        <v>2</v>
      </c>
      <c r="Y4523">
        <v>193</v>
      </c>
      <c r="Z4523">
        <v>7</v>
      </c>
      <c r="AA4523">
        <v>0</v>
      </c>
      <c r="AB4523">
        <v>1</v>
      </c>
      <c r="AC4523">
        <v>1</v>
      </c>
      <c r="AD4523">
        <v>0</v>
      </c>
      <c r="AE4523">
        <v>0</v>
      </c>
      <c r="AF4523">
        <v>0</v>
      </c>
      <c r="AG4523">
        <v>0</v>
      </c>
      <c r="AH4523">
        <v>0</v>
      </c>
      <c r="AI4523">
        <v>0</v>
      </c>
      <c r="AJ4523">
        <v>0</v>
      </c>
      <c r="AK4523">
        <v>0</v>
      </c>
      <c r="AL4523">
        <v>0</v>
      </c>
      <c r="AM4523">
        <v>0</v>
      </c>
      <c r="AN4523">
        <v>2</v>
      </c>
      <c r="AT4523">
        <v>0</v>
      </c>
      <c r="AU4523">
        <v>18</v>
      </c>
      <c r="AV4523" t="s">
        <v>100</v>
      </c>
      <c r="AW4523">
        <v>299</v>
      </c>
      <c r="AX4523">
        <v>627</v>
      </c>
      <c r="BA4523">
        <v>1</v>
      </c>
      <c r="BC4523" t="s">
        <v>9155</v>
      </c>
      <c r="BD4523" s="4">
        <v>43283.709722222222</v>
      </c>
      <c r="BE4523" s="4">
        <v>43283.714189814818</v>
      </c>
      <c r="BF4523" s="4">
        <v>43283.714189814818</v>
      </c>
      <c r="BG4523" t="s">
        <v>83</v>
      </c>
      <c r="BH4523" t="s">
        <v>84</v>
      </c>
      <c r="BI4523" t="s">
        <v>85</v>
      </c>
    </row>
    <row r="4524" spans="1:61" x14ac:dyDescent="0.3">
      <c r="A4524" t="str">
        <f>"201737E0100"</f>
        <v>201737E0100</v>
      </c>
      <c r="B4524" s="2" t="s">
        <v>9156</v>
      </c>
      <c r="C4524">
        <v>20</v>
      </c>
      <c r="D4524" t="s">
        <v>79</v>
      </c>
      <c r="E4524">
        <v>21</v>
      </c>
      <c r="F4524" t="s">
        <v>8898</v>
      </c>
      <c r="G4524">
        <v>1737</v>
      </c>
      <c r="H4524">
        <v>1</v>
      </c>
      <c r="I4524" t="s">
        <v>145</v>
      </c>
      <c r="J4524">
        <v>0</v>
      </c>
      <c r="K4524">
        <v>2</v>
      </c>
      <c r="L4524">
        <v>2</v>
      </c>
      <c r="M4524">
        <v>377</v>
      </c>
      <c r="N4524">
        <v>196</v>
      </c>
      <c r="O4524">
        <v>0</v>
      </c>
      <c r="P4524">
        <v>196</v>
      </c>
      <c r="Q4524">
        <v>1</v>
      </c>
      <c r="R4524">
        <v>7</v>
      </c>
      <c r="S4524">
        <v>3</v>
      </c>
      <c r="T4524">
        <v>5</v>
      </c>
      <c r="U4524">
        <v>8</v>
      </c>
      <c r="V4524">
        <v>3</v>
      </c>
      <c r="W4524">
        <v>31</v>
      </c>
      <c r="X4524">
        <v>9</v>
      </c>
      <c r="Y4524">
        <v>105</v>
      </c>
      <c r="Z4524">
        <v>5</v>
      </c>
      <c r="AA4524">
        <v>0</v>
      </c>
      <c r="AB4524">
        <v>1</v>
      </c>
      <c r="AC4524">
        <v>0</v>
      </c>
      <c r="AD4524">
        <v>0</v>
      </c>
      <c r="AE4524">
        <v>0</v>
      </c>
      <c r="AF4524">
        <v>0</v>
      </c>
      <c r="AG4524">
        <v>0</v>
      </c>
      <c r="AH4524">
        <v>0</v>
      </c>
      <c r="AI4524">
        <v>0</v>
      </c>
      <c r="AJ4524">
        <v>0</v>
      </c>
      <c r="AK4524">
        <v>0</v>
      </c>
      <c r="AL4524">
        <v>0</v>
      </c>
      <c r="AM4524">
        <v>0</v>
      </c>
      <c r="AN4524">
        <v>0</v>
      </c>
      <c r="AT4524">
        <v>8</v>
      </c>
      <c r="AU4524">
        <v>11</v>
      </c>
      <c r="AV4524">
        <v>197</v>
      </c>
      <c r="AW4524">
        <v>197</v>
      </c>
      <c r="AX4524">
        <v>552</v>
      </c>
      <c r="BA4524">
        <v>1</v>
      </c>
      <c r="BC4524" t="s">
        <v>9157</v>
      </c>
      <c r="BD4524" s="4">
        <v>43283.713194444441</v>
      </c>
      <c r="BE4524" s="4">
        <v>43283.718622685185</v>
      </c>
      <c r="BF4524" s="4">
        <v>43283.718622685185</v>
      </c>
      <c r="BG4524" t="s">
        <v>83</v>
      </c>
      <c r="BH4524" t="s">
        <v>84</v>
      </c>
      <c r="BI4524" t="s">
        <v>85</v>
      </c>
    </row>
    <row r="4525" spans="1:61" x14ac:dyDescent="0.3">
      <c r="A4525" t="str">
        <f>"201737E0101"</f>
        <v>201737E0101</v>
      </c>
      <c r="B4525" s="2" t="s">
        <v>9158</v>
      </c>
      <c r="C4525">
        <v>20</v>
      </c>
      <c r="D4525" t="s">
        <v>79</v>
      </c>
      <c r="E4525">
        <v>21</v>
      </c>
      <c r="F4525" t="s">
        <v>8898</v>
      </c>
      <c r="G4525">
        <v>1737</v>
      </c>
      <c r="H4525">
        <v>1</v>
      </c>
      <c r="I4525" t="s">
        <v>145</v>
      </c>
      <c r="J4525">
        <v>1</v>
      </c>
      <c r="K4525">
        <v>2</v>
      </c>
      <c r="L4525">
        <v>2</v>
      </c>
      <c r="M4525">
        <v>242</v>
      </c>
      <c r="N4525" t="s">
        <v>100</v>
      </c>
      <c r="O4525" t="s">
        <v>100</v>
      </c>
      <c r="P4525" t="s">
        <v>100</v>
      </c>
      <c r="Q4525">
        <v>6</v>
      </c>
      <c r="R4525">
        <v>1</v>
      </c>
      <c r="S4525">
        <v>2</v>
      </c>
      <c r="T4525">
        <v>11</v>
      </c>
      <c r="U4525">
        <v>5</v>
      </c>
      <c r="V4525">
        <v>3</v>
      </c>
      <c r="W4525">
        <v>119</v>
      </c>
      <c r="X4525">
        <v>6</v>
      </c>
      <c r="Y4525">
        <v>119</v>
      </c>
      <c r="Z4525">
        <v>1</v>
      </c>
      <c r="AA4525">
        <v>0</v>
      </c>
      <c r="AB4525">
        <v>1</v>
      </c>
      <c r="AC4525">
        <v>0</v>
      </c>
      <c r="AD4525">
        <v>0</v>
      </c>
      <c r="AE4525">
        <v>0</v>
      </c>
      <c r="AF4525">
        <v>0</v>
      </c>
      <c r="AG4525">
        <v>0</v>
      </c>
      <c r="AH4525">
        <v>0</v>
      </c>
      <c r="AI4525">
        <v>0</v>
      </c>
      <c r="AJ4525">
        <v>0</v>
      </c>
      <c r="AK4525">
        <v>0</v>
      </c>
      <c r="AL4525">
        <v>1</v>
      </c>
      <c r="AM4525">
        <v>0</v>
      </c>
      <c r="AN4525">
        <v>0</v>
      </c>
      <c r="AT4525">
        <v>0</v>
      </c>
      <c r="AU4525">
        <v>0</v>
      </c>
      <c r="AV4525">
        <v>244</v>
      </c>
      <c r="AW4525">
        <v>275</v>
      </c>
      <c r="AX4525">
        <v>551</v>
      </c>
      <c r="BA4525">
        <v>1</v>
      </c>
      <c r="BC4525" t="s">
        <v>9159</v>
      </c>
      <c r="BD4525" s="4">
        <v>43283.71597222222</v>
      </c>
      <c r="BE4525" s="4">
        <v>43283.725405092591</v>
      </c>
      <c r="BF4525" s="4">
        <v>43283.725405092591</v>
      </c>
      <c r="BG4525" t="s">
        <v>83</v>
      </c>
      <c r="BH4525" t="s">
        <v>84</v>
      </c>
      <c r="BI4525" t="s">
        <v>85</v>
      </c>
    </row>
    <row r="4526" spans="1:61" x14ac:dyDescent="0.3">
      <c r="A4526" t="str">
        <f>"201950B0100"</f>
        <v>201950B0100</v>
      </c>
      <c r="B4526" t="s">
        <v>9160</v>
      </c>
      <c r="C4526">
        <v>20</v>
      </c>
      <c r="D4526" t="s">
        <v>79</v>
      </c>
      <c r="E4526">
        <v>21</v>
      </c>
      <c r="F4526" t="s">
        <v>8898</v>
      </c>
      <c r="G4526">
        <v>1950</v>
      </c>
      <c r="H4526">
        <v>1</v>
      </c>
      <c r="I4526" t="s">
        <v>81</v>
      </c>
      <c r="J4526">
        <v>0</v>
      </c>
      <c r="K4526">
        <v>2</v>
      </c>
      <c r="L4526">
        <v>2</v>
      </c>
      <c r="M4526">
        <v>293</v>
      </c>
      <c r="N4526">
        <v>368</v>
      </c>
      <c r="O4526">
        <v>0</v>
      </c>
      <c r="P4526">
        <v>366</v>
      </c>
      <c r="Q4526">
        <v>11</v>
      </c>
      <c r="R4526">
        <v>36</v>
      </c>
      <c r="S4526">
        <v>66</v>
      </c>
      <c r="T4526">
        <v>23</v>
      </c>
      <c r="U4526">
        <v>5</v>
      </c>
      <c r="V4526">
        <v>3</v>
      </c>
      <c r="W4526">
        <v>2</v>
      </c>
      <c r="X4526">
        <v>5</v>
      </c>
      <c r="Y4526">
        <v>186</v>
      </c>
      <c r="Z4526">
        <v>3</v>
      </c>
      <c r="AA4526">
        <v>1</v>
      </c>
      <c r="AB4526">
        <v>2</v>
      </c>
      <c r="AC4526">
        <v>0</v>
      </c>
      <c r="AD4526">
        <v>1</v>
      </c>
      <c r="AE4526">
        <v>0</v>
      </c>
      <c r="AF4526">
        <v>0</v>
      </c>
      <c r="AG4526">
        <v>1</v>
      </c>
      <c r="AH4526">
        <v>0</v>
      </c>
      <c r="AI4526">
        <v>0</v>
      </c>
      <c r="AJ4526">
        <v>0</v>
      </c>
      <c r="AK4526">
        <v>1</v>
      </c>
      <c r="AL4526">
        <v>0</v>
      </c>
      <c r="AM4526">
        <v>0</v>
      </c>
      <c r="AN4526">
        <v>0</v>
      </c>
      <c r="AT4526">
        <v>0</v>
      </c>
      <c r="AU4526">
        <v>20</v>
      </c>
      <c r="AV4526">
        <v>366</v>
      </c>
      <c r="AW4526">
        <v>366</v>
      </c>
      <c r="AX4526">
        <v>639</v>
      </c>
      <c r="BA4526">
        <v>1</v>
      </c>
      <c r="BC4526" t="s">
        <v>9161</v>
      </c>
      <c r="BD4526" s="4">
        <v>43283.626388888886</v>
      </c>
      <c r="BE4526" s="4">
        <v>43283.630729166667</v>
      </c>
      <c r="BF4526" s="4">
        <v>43283.630729166667</v>
      </c>
      <c r="BG4526" t="s">
        <v>83</v>
      </c>
      <c r="BH4526" t="s">
        <v>84</v>
      </c>
      <c r="BI4526" t="s">
        <v>85</v>
      </c>
    </row>
    <row r="4527" spans="1:61" x14ac:dyDescent="0.3">
      <c r="A4527" t="str">
        <f>"201950C0100"</f>
        <v>201950C0100</v>
      </c>
      <c r="B4527" t="s">
        <v>9162</v>
      </c>
      <c r="C4527">
        <v>20</v>
      </c>
      <c r="D4527" t="s">
        <v>79</v>
      </c>
      <c r="E4527">
        <v>21</v>
      </c>
      <c r="F4527" t="s">
        <v>8898</v>
      </c>
      <c r="G4527">
        <v>1950</v>
      </c>
      <c r="H4527">
        <v>1</v>
      </c>
      <c r="I4527" t="s">
        <v>89</v>
      </c>
      <c r="J4527">
        <v>0</v>
      </c>
      <c r="K4527">
        <v>2</v>
      </c>
      <c r="L4527">
        <v>2</v>
      </c>
      <c r="M4527">
        <v>314</v>
      </c>
      <c r="N4527">
        <v>347</v>
      </c>
      <c r="O4527">
        <v>0</v>
      </c>
      <c r="P4527">
        <v>347</v>
      </c>
      <c r="Q4527">
        <v>14</v>
      </c>
      <c r="R4527">
        <v>39</v>
      </c>
      <c r="S4527">
        <v>61</v>
      </c>
      <c r="T4527">
        <v>32</v>
      </c>
      <c r="U4527">
        <v>10</v>
      </c>
      <c r="V4527">
        <v>2</v>
      </c>
      <c r="W4527">
        <v>5</v>
      </c>
      <c r="X4527">
        <v>2</v>
      </c>
      <c r="Y4527">
        <v>144</v>
      </c>
      <c r="Z4527">
        <v>3</v>
      </c>
      <c r="AA4527">
        <v>0</v>
      </c>
      <c r="AB4527">
        <v>0</v>
      </c>
      <c r="AC4527">
        <v>1</v>
      </c>
      <c r="AD4527">
        <v>1</v>
      </c>
      <c r="AE4527">
        <v>0</v>
      </c>
      <c r="AF4527">
        <v>0</v>
      </c>
      <c r="AG4527">
        <v>1</v>
      </c>
      <c r="AH4527">
        <v>1</v>
      </c>
      <c r="AI4527">
        <v>0</v>
      </c>
      <c r="AJ4527">
        <v>0</v>
      </c>
      <c r="AK4527">
        <v>3</v>
      </c>
      <c r="AL4527">
        <v>1</v>
      </c>
      <c r="AM4527">
        <v>0</v>
      </c>
      <c r="AN4527">
        <v>1</v>
      </c>
      <c r="AT4527">
        <v>0</v>
      </c>
      <c r="AU4527">
        <v>24</v>
      </c>
      <c r="AV4527">
        <v>347</v>
      </c>
      <c r="AW4527">
        <v>345</v>
      </c>
      <c r="AX4527">
        <v>638</v>
      </c>
      <c r="BA4527">
        <v>1</v>
      </c>
      <c r="BC4527" t="s">
        <v>9163</v>
      </c>
      <c r="BD4527" s="4">
        <v>43283.632638888892</v>
      </c>
      <c r="BE4527" s="4">
        <v>43283.637442129628</v>
      </c>
      <c r="BF4527" s="4">
        <v>43283.637442129628</v>
      </c>
      <c r="BG4527" t="s">
        <v>83</v>
      </c>
      <c r="BH4527" t="s">
        <v>84</v>
      </c>
      <c r="BI4527" t="s">
        <v>85</v>
      </c>
    </row>
    <row r="4528" spans="1:61" x14ac:dyDescent="0.3">
      <c r="A4528" t="str">
        <f>"201955B0100"</f>
        <v>201955B0100</v>
      </c>
      <c r="B4528" t="s">
        <v>9164</v>
      </c>
      <c r="C4528">
        <v>20</v>
      </c>
      <c r="D4528" t="s">
        <v>79</v>
      </c>
      <c r="E4528">
        <v>21</v>
      </c>
      <c r="F4528" t="s">
        <v>8898</v>
      </c>
      <c r="G4528">
        <v>1955</v>
      </c>
      <c r="H4528">
        <v>1</v>
      </c>
      <c r="I4528" t="s">
        <v>81</v>
      </c>
      <c r="J4528">
        <v>0</v>
      </c>
      <c r="K4528">
        <v>2</v>
      </c>
      <c r="L4528">
        <v>2</v>
      </c>
      <c r="M4528">
        <v>328</v>
      </c>
      <c r="N4528">
        <v>296</v>
      </c>
      <c r="O4528">
        <v>0</v>
      </c>
      <c r="P4528">
        <v>296</v>
      </c>
      <c r="Q4528">
        <v>8</v>
      </c>
      <c r="R4528">
        <v>9</v>
      </c>
      <c r="S4528">
        <v>8</v>
      </c>
      <c r="T4528">
        <v>2</v>
      </c>
      <c r="U4528">
        <v>11</v>
      </c>
      <c r="V4528">
        <v>4</v>
      </c>
      <c r="W4528">
        <v>12</v>
      </c>
      <c r="X4528">
        <v>5</v>
      </c>
      <c r="Y4528">
        <v>194</v>
      </c>
      <c r="Z4528">
        <v>5</v>
      </c>
      <c r="AA4528">
        <v>2</v>
      </c>
      <c r="AB4528">
        <v>5</v>
      </c>
      <c r="AC4528">
        <v>0</v>
      </c>
      <c r="AD4528">
        <v>0</v>
      </c>
      <c r="AE4528">
        <v>0</v>
      </c>
      <c r="AF4528">
        <v>0</v>
      </c>
      <c r="AG4528">
        <v>0</v>
      </c>
      <c r="AH4528">
        <v>0</v>
      </c>
      <c r="AI4528">
        <v>0</v>
      </c>
      <c r="AJ4528">
        <v>0</v>
      </c>
      <c r="AK4528">
        <v>6</v>
      </c>
      <c r="AL4528">
        <v>3</v>
      </c>
      <c r="AM4528">
        <v>0</v>
      </c>
      <c r="AN4528">
        <v>2</v>
      </c>
      <c r="AT4528">
        <v>0</v>
      </c>
      <c r="AU4528">
        <v>20</v>
      </c>
      <c r="AV4528">
        <v>296</v>
      </c>
      <c r="AW4528">
        <v>296</v>
      </c>
      <c r="AX4528">
        <v>601</v>
      </c>
      <c r="BA4528">
        <v>1</v>
      </c>
      <c r="BC4528" t="s">
        <v>9165</v>
      </c>
      <c r="BD4528" s="4">
        <v>43283.61041666667</v>
      </c>
      <c r="BE4528" s="4">
        <v>43283.62804398148</v>
      </c>
      <c r="BF4528" s="4">
        <v>43283.62804398148</v>
      </c>
      <c r="BG4528" t="s">
        <v>83</v>
      </c>
      <c r="BH4528" t="s">
        <v>84</v>
      </c>
      <c r="BI4528" t="s">
        <v>85</v>
      </c>
    </row>
    <row r="4529" spans="1:61" x14ac:dyDescent="0.3">
      <c r="A4529" t="str">
        <f>"201955C0100"</f>
        <v>201955C0100</v>
      </c>
      <c r="B4529" t="s">
        <v>9166</v>
      </c>
      <c r="C4529">
        <v>20</v>
      </c>
      <c r="D4529" t="s">
        <v>79</v>
      </c>
      <c r="E4529">
        <v>21</v>
      </c>
      <c r="F4529" t="s">
        <v>8898</v>
      </c>
      <c r="G4529">
        <v>1955</v>
      </c>
      <c r="H4529">
        <v>1</v>
      </c>
      <c r="I4529" t="s">
        <v>89</v>
      </c>
      <c r="J4529">
        <v>0</v>
      </c>
      <c r="K4529">
        <v>2</v>
      </c>
      <c r="L4529">
        <v>2</v>
      </c>
      <c r="M4529">
        <v>295</v>
      </c>
      <c r="N4529">
        <v>318</v>
      </c>
      <c r="O4529">
        <v>0</v>
      </c>
      <c r="P4529">
        <v>318</v>
      </c>
      <c r="Q4529">
        <v>4</v>
      </c>
      <c r="R4529">
        <v>6</v>
      </c>
      <c r="S4529">
        <v>14</v>
      </c>
      <c r="T4529">
        <v>4</v>
      </c>
      <c r="U4529">
        <v>0</v>
      </c>
      <c r="V4529">
        <v>4</v>
      </c>
      <c r="W4529">
        <v>8</v>
      </c>
      <c r="X4529">
        <v>2</v>
      </c>
      <c r="Y4529">
        <v>228</v>
      </c>
      <c r="Z4529">
        <v>5</v>
      </c>
      <c r="AA4529">
        <v>0</v>
      </c>
      <c r="AB4529">
        <v>13</v>
      </c>
      <c r="AC4529">
        <v>0</v>
      </c>
      <c r="AD4529">
        <v>0</v>
      </c>
      <c r="AE4529">
        <v>0</v>
      </c>
      <c r="AF4529">
        <v>0</v>
      </c>
      <c r="AG4529">
        <v>0</v>
      </c>
      <c r="AH4529">
        <v>0</v>
      </c>
      <c r="AI4529">
        <v>0</v>
      </c>
      <c r="AJ4529">
        <v>0</v>
      </c>
      <c r="AK4529">
        <v>10</v>
      </c>
      <c r="AL4529">
        <v>3</v>
      </c>
      <c r="AM4529">
        <v>1</v>
      </c>
      <c r="AN4529">
        <v>3</v>
      </c>
      <c r="AT4529">
        <v>0</v>
      </c>
      <c r="AU4529">
        <v>9</v>
      </c>
      <c r="AV4529" t="s">
        <v>315</v>
      </c>
      <c r="AW4529">
        <v>314</v>
      </c>
      <c r="AX4529">
        <v>600</v>
      </c>
      <c r="BA4529">
        <v>1</v>
      </c>
      <c r="BC4529" t="s">
        <v>9167</v>
      </c>
      <c r="BD4529" s="4">
        <v>43283.616666666669</v>
      </c>
      <c r="BE4529" s="4">
        <v>43283.621574074074</v>
      </c>
      <c r="BF4529" s="4">
        <v>43283.621574074074</v>
      </c>
      <c r="BG4529" t="s">
        <v>83</v>
      </c>
      <c r="BH4529" t="s">
        <v>84</v>
      </c>
      <c r="BI4529" t="s">
        <v>85</v>
      </c>
    </row>
    <row r="4530" spans="1:61" x14ac:dyDescent="0.3">
      <c r="A4530" t="str">
        <f>"201955E0100"</f>
        <v>201955E0100</v>
      </c>
      <c r="B4530" s="2" t="s">
        <v>9168</v>
      </c>
      <c r="C4530">
        <v>20</v>
      </c>
      <c r="D4530" t="s">
        <v>79</v>
      </c>
      <c r="E4530">
        <v>21</v>
      </c>
      <c r="F4530" t="s">
        <v>8898</v>
      </c>
      <c r="G4530">
        <v>1955</v>
      </c>
      <c r="H4530">
        <v>1</v>
      </c>
      <c r="I4530" t="s">
        <v>145</v>
      </c>
      <c r="J4530">
        <v>0</v>
      </c>
      <c r="K4530">
        <v>2</v>
      </c>
      <c r="L4530">
        <v>2</v>
      </c>
      <c r="M4530">
        <v>381</v>
      </c>
      <c r="N4530">
        <v>367</v>
      </c>
      <c r="O4530">
        <v>1</v>
      </c>
      <c r="P4530">
        <v>373</v>
      </c>
      <c r="Q4530">
        <v>13</v>
      </c>
      <c r="R4530">
        <v>4</v>
      </c>
      <c r="S4530">
        <v>19</v>
      </c>
      <c r="T4530">
        <v>0</v>
      </c>
      <c r="U4530">
        <v>9</v>
      </c>
      <c r="V4530">
        <v>4</v>
      </c>
      <c r="W4530">
        <v>3</v>
      </c>
      <c r="X4530">
        <v>7</v>
      </c>
      <c r="Y4530">
        <v>276</v>
      </c>
      <c r="Z4530">
        <v>6</v>
      </c>
      <c r="AA4530">
        <v>2</v>
      </c>
      <c r="AB4530">
        <v>1</v>
      </c>
      <c r="AC4530" t="s">
        <v>100</v>
      </c>
      <c r="AD4530" t="s">
        <v>100</v>
      </c>
      <c r="AE4530" t="s">
        <v>100</v>
      </c>
      <c r="AF4530" t="s">
        <v>100</v>
      </c>
      <c r="AG4530" t="s">
        <v>100</v>
      </c>
      <c r="AH4530" t="s">
        <v>100</v>
      </c>
      <c r="AI4530" t="s">
        <v>100</v>
      </c>
      <c r="AJ4530" t="s">
        <v>100</v>
      </c>
      <c r="AK4530">
        <v>10</v>
      </c>
      <c r="AL4530" t="s">
        <v>100</v>
      </c>
      <c r="AM4530" t="s">
        <v>100</v>
      </c>
      <c r="AN4530" t="s">
        <v>100</v>
      </c>
      <c r="AT4530" t="s">
        <v>100</v>
      </c>
      <c r="AU4530">
        <v>19</v>
      </c>
      <c r="AV4530" t="s">
        <v>100</v>
      </c>
      <c r="AW4530">
        <v>373</v>
      </c>
      <c r="AX4530">
        <v>733</v>
      </c>
      <c r="AZ4530" t="s">
        <v>101</v>
      </c>
      <c r="BA4530">
        <v>1</v>
      </c>
      <c r="BC4530" t="s">
        <v>9169</v>
      </c>
      <c r="BD4530" s="4">
        <v>43283.619444444441</v>
      </c>
      <c r="BE4530" s="4">
        <v>43283.62296296296</v>
      </c>
      <c r="BF4530" s="4">
        <v>43283.62296296296</v>
      </c>
      <c r="BG4530" t="s">
        <v>83</v>
      </c>
      <c r="BH4530" t="s">
        <v>84</v>
      </c>
      <c r="BI4530" t="s">
        <v>85</v>
      </c>
    </row>
    <row r="4531" spans="1:61" x14ac:dyDescent="0.3">
      <c r="A4531" t="str">
        <f>"201956B0100"</f>
        <v>201956B0100</v>
      </c>
      <c r="B4531" t="s">
        <v>9170</v>
      </c>
      <c r="C4531">
        <v>20</v>
      </c>
      <c r="D4531" t="s">
        <v>79</v>
      </c>
      <c r="E4531">
        <v>21</v>
      </c>
      <c r="F4531" t="s">
        <v>8898</v>
      </c>
      <c r="G4531">
        <v>1956</v>
      </c>
      <c r="H4531">
        <v>1</v>
      </c>
      <c r="I4531" t="s">
        <v>81</v>
      </c>
      <c r="J4531">
        <v>0</v>
      </c>
      <c r="K4531">
        <v>2</v>
      </c>
      <c r="L4531">
        <v>2</v>
      </c>
      <c r="M4531" t="s">
        <v>315</v>
      </c>
      <c r="N4531">
        <v>299</v>
      </c>
      <c r="O4531">
        <v>2</v>
      </c>
      <c r="P4531">
        <v>297</v>
      </c>
      <c r="Q4531">
        <v>9</v>
      </c>
      <c r="R4531">
        <v>13</v>
      </c>
      <c r="S4531">
        <v>7</v>
      </c>
      <c r="T4531">
        <v>1</v>
      </c>
      <c r="U4531">
        <v>6</v>
      </c>
      <c r="V4531">
        <v>3</v>
      </c>
      <c r="W4531">
        <v>0</v>
      </c>
      <c r="X4531">
        <v>5</v>
      </c>
      <c r="Y4531">
        <v>198</v>
      </c>
      <c r="Z4531">
        <v>18</v>
      </c>
      <c r="AA4531">
        <v>1</v>
      </c>
      <c r="AB4531">
        <v>3</v>
      </c>
      <c r="AC4531">
        <v>0</v>
      </c>
      <c r="AD4531">
        <v>1</v>
      </c>
      <c r="AE4531">
        <v>0</v>
      </c>
      <c r="AF4531">
        <v>0</v>
      </c>
      <c r="AG4531">
        <v>0</v>
      </c>
      <c r="AH4531">
        <v>0</v>
      </c>
      <c r="AI4531">
        <v>0</v>
      </c>
      <c r="AJ4531">
        <v>0</v>
      </c>
      <c r="AK4531">
        <v>4</v>
      </c>
      <c r="AL4531">
        <v>4</v>
      </c>
      <c r="AM4531">
        <v>0</v>
      </c>
      <c r="AN4531">
        <v>5</v>
      </c>
      <c r="AT4531">
        <v>0</v>
      </c>
      <c r="AU4531">
        <v>19</v>
      </c>
      <c r="AV4531">
        <v>297</v>
      </c>
      <c r="AW4531">
        <v>297</v>
      </c>
      <c r="AX4531">
        <v>741</v>
      </c>
      <c r="BA4531">
        <v>1</v>
      </c>
      <c r="BC4531" t="s">
        <v>9171</v>
      </c>
      <c r="BD4531" s="4">
        <v>43283.609722222223</v>
      </c>
      <c r="BE4531" s="4">
        <v>43283.61314814815</v>
      </c>
      <c r="BF4531" s="4">
        <v>43283.61314814815</v>
      </c>
      <c r="BG4531" t="s">
        <v>83</v>
      </c>
      <c r="BH4531" t="s">
        <v>84</v>
      </c>
      <c r="BI4531" t="s">
        <v>85</v>
      </c>
    </row>
    <row r="4532" spans="1:61" x14ac:dyDescent="0.3">
      <c r="A4532" t="str">
        <f>"201956E0100"</f>
        <v>201956E0100</v>
      </c>
      <c r="B4532" s="2" t="s">
        <v>9172</v>
      </c>
      <c r="C4532">
        <v>20</v>
      </c>
      <c r="D4532" t="s">
        <v>79</v>
      </c>
      <c r="E4532">
        <v>21</v>
      </c>
      <c r="F4532" t="s">
        <v>8898</v>
      </c>
      <c r="G4532">
        <v>1956</v>
      </c>
      <c r="H4532">
        <v>1</v>
      </c>
      <c r="I4532" t="s">
        <v>145</v>
      </c>
      <c r="J4532">
        <v>0</v>
      </c>
      <c r="K4532">
        <v>2</v>
      </c>
      <c r="L4532">
        <v>2</v>
      </c>
      <c r="M4532">
        <v>308</v>
      </c>
      <c r="N4532">
        <v>178</v>
      </c>
      <c r="O4532">
        <v>0</v>
      </c>
      <c r="P4532">
        <v>0</v>
      </c>
      <c r="Q4532">
        <v>6</v>
      </c>
      <c r="R4532">
        <v>20</v>
      </c>
      <c r="S4532">
        <v>7</v>
      </c>
      <c r="T4532">
        <v>4</v>
      </c>
      <c r="U4532">
        <v>2</v>
      </c>
      <c r="V4532">
        <v>0</v>
      </c>
      <c r="W4532">
        <v>5</v>
      </c>
      <c r="X4532">
        <v>1</v>
      </c>
      <c r="Y4532">
        <v>106</v>
      </c>
      <c r="Z4532">
        <v>6</v>
      </c>
      <c r="AA4532">
        <v>0</v>
      </c>
      <c r="AB4532">
        <v>1</v>
      </c>
      <c r="AC4532">
        <v>0</v>
      </c>
      <c r="AD4532">
        <v>0</v>
      </c>
      <c r="AE4532">
        <v>0</v>
      </c>
      <c r="AF4532">
        <v>0</v>
      </c>
      <c r="AG4532">
        <v>0</v>
      </c>
      <c r="AH4532">
        <v>0</v>
      </c>
      <c r="AI4532">
        <v>0</v>
      </c>
      <c r="AJ4532">
        <v>0</v>
      </c>
      <c r="AK4532">
        <v>0</v>
      </c>
      <c r="AL4532">
        <v>0</v>
      </c>
      <c r="AM4532">
        <v>0</v>
      </c>
      <c r="AN4532">
        <v>0</v>
      </c>
      <c r="AT4532">
        <v>0</v>
      </c>
      <c r="AU4532">
        <v>17</v>
      </c>
      <c r="AV4532">
        <v>175</v>
      </c>
      <c r="AW4532">
        <v>175</v>
      </c>
      <c r="AX4532">
        <v>464</v>
      </c>
      <c r="BA4532">
        <v>1</v>
      </c>
      <c r="BC4532" t="s">
        <v>9173</v>
      </c>
      <c r="BD4532" s="4">
        <v>43283.611805555556</v>
      </c>
      <c r="BE4532" s="4">
        <v>43283.615381944444</v>
      </c>
      <c r="BF4532" s="4">
        <v>43283.615381944444</v>
      </c>
      <c r="BG4532" t="s">
        <v>83</v>
      </c>
      <c r="BH4532" t="s">
        <v>84</v>
      </c>
      <c r="BI4532" t="s">
        <v>85</v>
      </c>
    </row>
    <row r="4533" spans="1:61" x14ac:dyDescent="0.3">
      <c r="A4533" t="str">
        <f>"201957B0100"</f>
        <v>201957B0100</v>
      </c>
      <c r="B4533" t="s">
        <v>9174</v>
      </c>
      <c r="C4533">
        <v>20</v>
      </c>
      <c r="D4533" t="s">
        <v>79</v>
      </c>
      <c r="E4533">
        <v>21</v>
      </c>
      <c r="F4533" t="s">
        <v>8898</v>
      </c>
      <c r="G4533">
        <v>1957</v>
      </c>
      <c r="H4533">
        <v>1</v>
      </c>
      <c r="I4533" t="s">
        <v>81</v>
      </c>
      <c r="J4533">
        <v>0</v>
      </c>
      <c r="K4533">
        <v>2</v>
      </c>
      <c r="L4533">
        <v>2</v>
      </c>
      <c r="M4533">
        <v>313</v>
      </c>
      <c r="N4533">
        <v>315</v>
      </c>
      <c r="O4533">
        <v>0</v>
      </c>
      <c r="P4533">
        <v>319</v>
      </c>
      <c r="Q4533">
        <v>6</v>
      </c>
      <c r="R4533">
        <v>6</v>
      </c>
      <c r="S4533">
        <v>14</v>
      </c>
      <c r="T4533">
        <v>6</v>
      </c>
      <c r="U4533">
        <v>8</v>
      </c>
      <c r="V4533">
        <v>5</v>
      </c>
      <c r="W4533">
        <v>5</v>
      </c>
      <c r="X4533">
        <v>12</v>
      </c>
      <c r="Y4533">
        <v>222</v>
      </c>
      <c r="Z4533">
        <v>7</v>
      </c>
      <c r="AA4533">
        <v>0</v>
      </c>
      <c r="AB4533">
        <v>2</v>
      </c>
      <c r="AC4533">
        <v>2</v>
      </c>
      <c r="AD4533">
        <v>1</v>
      </c>
      <c r="AE4533">
        <v>0</v>
      </c>
      <c r="AF4533">
        <v>0</v>
      </c>
      <c r="AG4533">
        <v>0</v>
      </c>
      <c r="AH4533">
        <v>0</v>
      </c>
      <c r="AI4533">
        <v>0</v>
      </c>
      <c r="AJ4533">
        <v>0</v>
      </c>
      <c r="AK4533">
        <v>2</v>
      </c>
      <c r="AL4533">
        <v>2</v>
      </c>
      <c r="AM4533">
        <v>0</v>
      </c>
      <c r="AN4533">
        <v>3</v>
      </c>
      <c r="AT4533">
        <v>0</v>
      </c>
      <c r="AU4533">
        <v>17</v>
      </c>
      <c r="AV4533">
        <v>322</v>
      </c>
      <c r="AW4533">
        <v>320</v>
      </c>
      <c r="AX4533">
        <v>614</v>
      </c>
      <c r="BA4533">
        <v>1</v>
      </c>
      <c r="BC4533" t="s">
        <v>9175</v>
      </c>
      <c r="BD4533" s="4">
        <v>43283.620833333334</v>
      </c>
      <c r="BE4533" s="4">
        <v>43283.625752314816</v>
      </c>
      <c r="BF4533" s="4">
        <v>43283.625752314816</v>
      </c>
      <c r="BG4533" t="s">
        <v>83</v>
      </c>
      <c r="BH4533" t="s">
        <v>84</v>
      </c>
      <c r="BI4533" t="s">
        <v>85</v>
      </c>
    </row>
    <row r="4534" spans="1:61" x14ac:dyDescent="0.3">
      <c r="A4534" t="str">
        <f>"201957E0100"</f>
        <v>201957E0100</v>
      </c>
      <c r="B4534" s="2" t="s">
        <v>9176</v>
      </c>
      <c r="C4534">
        <v>20</v>
      </c>
      <c r="D4534" t="s">
        <v>79</v>
      </c>
      <c r="E4534">
        <v>21</v>
      </c>
      <c r="F4534" t="s">
        <v>8898</v>
      </c>
      <c r="G4534">
        <v>1957</v>
      </c>
      <c r="H4534">
        <v>1</v>
      </c>
      <c r="I4534" t="s">
        <v>145</v>
      </c>
      <c r="J4534">
        <v>0</v>
      </c>
      <c r="K4534">
        <v>2</v>
      </c>
      <c r="L4534">
        <v>2</v>
      </c>
      <c r="M4534" t="s">
        <v>315</v>
      </c>
      <c r="N4534">
        <v>343</v>
      </c>
      <c r="O4534">
        <v>0</v>
      </c>
      <c r="P4534">
        <v>343</v>
      </c>
      <c r="Q4534">
        <v>6</v>
      </c>
      <c r="R4534">
        <v>10</v>
      </c>
      <c r="S4534">
        <v>8</v>
      </c>
      <c r="T4534">
        <v>1</v>
      </c>
      <c r="U4534">
        <v>23</v>
      </c>
      <c r="V4534">
        <v>0</v>
      </c>
      <c r="W4534">
        <v>8</v>
      </c>
      <c r="X4534">
        <v>3</v>
      </c>
      <c r="Y4534">
        <v>252</v>
      </c>
      <c r="Z4534">
        <v>7</v>
      </c>
      <c r="AA4534">
        <v>1</v>
      </c>
      <c r="AB4534">
        <v>2</v>
      </c>
      <c r="AC4534">
        <v>0</v>
      </c>
      <c r="AD4534">
        <v>0</v>
      </c>
      <c r="AE4534">
        <v>0</v>
      </c>
      <c r="AF4534">
        <v>0</v>
      </c>
      <c r="AG4534">
        <v>0</v>
      </c>
      <c r="AH4534">
        <v>0</v>
      </c>
      <c r="AI4534">
        <v>0</v>
      </c>
      <c r="AJ4534">
        <v>0</v>
      </c>
      <c r="AK4534">
        <v>6</v>
      </c>
      <c r="AL4534">
        <v>2</v>
      </c>
      <c r="AM4534">
        <v>0</v>
      </c>
      <c r="AN4534">
        <v>0</v>
      </c>
      <c r="AT4534">
        <v>0</v>
      </c>
      <c r="AU4534">
        <v>14</v>
      </c>
      <c r="AV4534">
        <v>343</v>
      </c>
      <c r="AW4534">
        <v>343</v>
      </c>
      <c r="AX4534">
        <v>722</v>
      </c>
      <c r="BA4534">
        <v>1</v>
      </c>
      <c r="BC4534" t="s">
        <v>9177</v>
      </c>
      <c r="BD4534" s="4">
        <v>43283.623611111114</v>
      </c>
      <c r="BE4534" s="4">
        <v>43283.627557870372</v>
      </c>
      <c r="BF4534" s="4">
        <v>43283.627557870372</v>
      </c>
      <c r="BG4534" t="s">
        <v>83</v>
      </c>
      <c r="BH4534" t="s">
        <v>84</v>
      </c>
      <c r="BI4534" t="s">
        <v>85</v>
      </c>
    </row>
    <row r="4535" spans="1:61" x14ac:dyDescent="0.3">
      <c r="A4535" t="str">
        <f>"201958B0100"</f>
        <v>201958B0100</v>
      </c>
      <c r="B4535" t="s">
        <v>9178</v>
      </c>
      <c r="C4535">
        <v>20</v>
      </c>
      <c r="D4535" t="s">
        <v>79</v>
      </c>
      <c r="E4535">
        <v>21</v>
      </c>
      <c r="F4535" t="s">
        <v>8898</v>
      </c>
      <c r="G4535">
        <v>1958</v>
      </c>
      <c r="H4535">
        <v>1</v>
      </c>
      <c r="I4535" t="s">
        <v>81</v>
      </c>
      <c r="J4535">
        <v>0</v>
      </c>
      <c r="K4535">
        <v>2</v>
      </c>
      <c r="L4535">
        <v>2</v>
      </c>
      <c r="M4535">
        <v>309</v>
      </c>
      <c r="N4535">
        <v>253</v>
      </c>
      <c r="O4535">
        <v>0</v>
      </c>
      <c r="P4535">
        <v>253</v>
      </c>
      <c r="Q4535">
        <v>5</v>
      </c>
      <c r="R4535">
        <v>3</v>
      </c>
      <c r="S4535">
        <v>16</v>
      </c>
      <c r="T4535">
        <v>3</v>
      </c>
      <c r="U4535">
        <v>14</v>
      </c>
      <c r="V4535" t="s">
        <v>100</v>
      </c>
      <c r="W4535">
        <v>7</v>
      </c>
      <c r="X4535">
        <v>146</v>
      </c>
      <c r="Y4535">
        <v>10</v>
      </c>
      <c r="Z4535">
        <v>2</v>
      </c>
      <c r="AA4535">
        <v>3</v>
      </c>
      <c r="AB4535">
        <v>3</v>
      </c>
      <c r="AC4535">
        <v>0</v>
      </c>
      <c r="AD4535">
        <v>0</v>
      </c>
      <c r="AE4535">
        <v>0</v>
      </c>
      <c r="AF4535">
        <v>0</v>
      </c>
      <c r="AG4535">
        <v>0</v>
      </c>
      <c r="AH4535">
        <v>0</v>
      </c>
      <c r="AI4535">
        <v>0</v>
      </c>
      <c r="AJ4535">
        <v>0</v>
      </c>
      <c r="AK4535">
        <v>2</v>
      </c>
      <c r="AL4535">
        <v>0</v>
      </c>
      <c r="AM4535">
        <v>0</v>
      </c>
      <c r="AN4535">
        <v>0</v>
      </c>
      <c r="AT4535">
        <v>0</v>
      </c>
      <c r="AU4535">
        <v>0</v>
      </c>
      <c r="AV4535">
        <v>0</v>
      </c>
      <c r="AW4535">
        <v>214</v>
      </c>
      <c r="AX4535">
        <v>546</v>
      </c>
      <c r="AZ4535" t="s">
        <v>101</v>
      </c>
      <c r="BA4535">
        <v>1</v>
      </c>
      <c r="BC4535" t="s">
        <v>9179</v>
      </c>
      <c r="BD4535" s="4">
        <v>43283.62777777778</v>
      </c>
      <c r="BE4535" s="4">
        <v>43283.631342592591</v>
      </c>
      <c r="BF4535" s="4">
        <v>43283.631342592591</v>
      </c>
      <c r="BG4535" t="s">
        <v>83</v>
      </c>
      <c r="BH4535" t="s">
        <v>84</v>
      </c>
      <c r="BI4535" t="s">
        <v>85</v>
      </c>
    </row>
    <row r="4536" spans="1:61" x14ac:dyDescent="0.3">
      <c r="A4536" t="str">
        <f>"201958E0100"</f>
        <v>201958E0100</v>
      </c>
      <c r="B4536" s="2" t="s">
        <v>9180</v>
      </c>
      <c r="C4536">
        <v>20</v>
      </c>
      <c r="D4536" t="s">
        <v>79</v>
      </c>
      <c r="E4536">
        <v>21</v>
      </c>
      <c r="F4536" t="s">
        <v>8898</v>
      </c>
      <c r="G4536">
        <v>1958</v>
      </c>
      <c r="H4536">
        <v>1</v>
      </c>
      <c r="I4536" t="s">
        <v>145</v>
      </c>
      <c r="J4536">
        <v>0</v>
      </c>
      <c r="K4536">
        <v>2</v>
      </c>
      <c r="L4536">
        <v>2</v>
      </c>
      <c r="M4536">
        <v>435</v>
      </c>
      <c r="N4536">
        <v>269</v>
      </c>
      <c r="O4536">
        <v>0</v>
      </c>
      <c r="P4536">
        <v>269</v>
      </c>
      <c r="Q4536">
        <v>9</v>
      </c>
      <c r="R4536">
        <v>3</v>
      </c>
      <c r="S4536">
        <v>20</v>
      </c>
      <c r="T4536">
        <v>5</v>
      </c>
      <c r="U4536">
        <v>8</v>
      </c>
      <c r="V4536">
        <v>4</v>
      </c>
      <c r="W4536">
        <v>0</v>
      </c>
      <c r="X4536">
        <v>6</v>
      </c>
      <c r="Y4536">
        <v>181</v>
      </c>
      <c r="Z4536">
        <v>7</v>
      </c>
      <c r="AA4536">
        <v>0</v>
      </c>
      <c r="AB4536">
        <v>0</v>
      </c>
      <c r="AC4536">
        <v>3</v>
      </c>
      <c r="AD4536">
        <v>0</v>
      </c>
      <c r="AE4536">
        <v>0</v>
      </c>
      <c r="AF4536">
        <v>0</v>
      </c>
      <c r="AG4536">
        <v>3</v>
      </c>
      <c r="AH4536">
        <v>0</v>
      </c>
      <c r="AI4536">
        <v>0</v>
      </c>
      <c r="AJ4536">
        <v>9</v>
      </c>
      <c r="AK4536">
        <v>0</v>
      </c>
      <c r="AL4536">
        <v>0</v>
      </c>
      <c r="AM4536">
        <v>0</v>
      </c>
      <c r="AN4536">
        <v>0</v>
      </c>
      <c r="AT4536">
        <v>9</v>
      </c>
      <c r="AU4536">
        <v>0</v>
      </c>
      <c r="AV4536">
        <v>269</v>
      </c>
      <c r="AW4536">
        <v>267</v>
      </c>
      <c r="AX4536">
        <v>682</v>
      </c>
      <c r="BA4536">
        <v>1</v>
      </c>
      <c r="BC4536" s="2" t="s">
        <v>9181</v>
      </c>
      <c r="BD4536" s="4">
        <v>43283.633333333331</v>
      </c>
      <c r="BE4536" s="4">
        <v>43283.638020833336</v>
      </c>
      <c r="BF4536" s="4">
        <v>43283.638020833336</v>
      </c>
      <c r="BG4536" t="s">
        <v>83</v>
      </c>
      <c r="BH4536" t="s">
        <v>84</v>
      </c>
      <c r="BI4536" t="s">
        <v>85</v>
      </c>
    </row>
    <row r="4537" spans="1:61" x14ac:dyDescent="0.3">
      <c r="A4537" t="str">
        <f>"201959B0100"</f>
        <v>201959B0100</v>
      </c>
      <c r="B4537" t="s">
        <v>9182</v>
      </c>
      <c r="C4537">
        <v>20</v>
      </c>
      <c r="D4537" t="s">
        <v>79</v>
      </c>
      <c r="E4537">
        <v>21</v>
      </c>
      <c r="F4537" t="s">
        <v>8898</v>
      </c>
      <c r="G4537">
        <v>1959</v>
      </c>
      <c r="H4537">
        <v>1</v>
      </c>
      <c r="I4537" t="s">
        <v>81</v>
      </c>
      <c r="J4537">
        <v>0</v>
      </c>
      <c r="K4537">
        <v>2</v>
      </c>
      <c r="L4537">
        <v>2</v>
      </c>
      <c r="M4537">
        <v>266</v>
      </c>
      <c r="N4537">
        <v>424</v>
      </c>
      <c r="O4537">
        <v>0</v>
      </c>
      <c r="P4537">
        <v>159</v>
      </c>
      <c r="Q4537">
        <v>3</v>
      </c>
      <c r="R4537">
        <v>1</v>
      </c>
      <c r="S4537">
        <v>7</v>
      </c>
      <c r="T4537">
        <v>0</v>
      </c>
      <c r="U4537">
        <v>7</v>
      </c>
      <c r="V4537">
        <v>1</v>
      </c>
      <c r="W4537">
        <v>6</v>
      </c>
      <c r="X4537">
        <v>1</v>
      </c>
      <c r="Y4537">
        <v>117</v>
      </c>
      <c r="Z4537">
        <v>1</v>
      </c>
      <c r="AA4537">
        <v>0</v>
      </c>
      <c r="AB4537">
        <v>0</v>
      </c>
      <c r="AC4537">
        <v>0</v>
      </c>
      <c r="AD4537">
        <v>0</v>
      </c>
      <c r="AE4537">
        <v>0</v>
      </c>
      <c r="AF4537">
        <v>0</v>
      </c>
      <c r="AG4537">
        <v>0</v>
      </c>
      <c r="AH4537">
        <v>0</v>
      </c>
      <c r="AI4537">
        <v>0</v>
      </c>
      <c r="AJ4537">
        <v>0</v>
      </c>
      <c r="AK4537">
        <v>0</v>
      </c>
      <c r="AL4537">
        <v>1</v>
      </c>
      <c r="AM4537">
        <v>0</v>
      </c>
      <c r="AN4537">
        <v>0</v>
      </c>
      <c r="AT4537">
        <v>0</v>
      </c>
      <c r="AU4537">
        <v>14</v>
      </c>
      <c r="AV4537">
        <v>159</v>
      </c>
      <c r="AW4537">
        <v>159</v>
      </c>
      <c r="AX4537">
        <v>403</v>
      </c>
      <c r="BA4537">
        <v>1</v>
      </c>
      <c r="BC4537" t="s">
        <v>9183</v>
      </c>
      <c r="BD4537" s="4">
        <v>43283.637499999997</v>
      </c>
      <c r="BE4537" s="4">
        <v>43283.642835648148</v>
      </c>
      <c r="BF4537" s="4">
        <v>43283.642835648148</v>
      </c>
      <c r="BG4537" t="s">
        <v>83</v>
      </c>
      <c r="BH4537" t="s">
        <v>84</v>
      </c>
      <c r="BI4537" t="s">
        <v>85</v>
      </c>
    </row>
    <row r="4538" spans="1:61" x14ac:dyDescent="0.3">
      <c r="A4538" t="str">
        <f>"201959C0100"</f>
        <v>201959C0100</v>
      </c>
      <c r="B4538" t="s">
        <v>9184</v>
      </c>
      <c r="C4538">
        <v>20</v>
      </c>
      <c r="D4538" t="s">
        <v>79</v>
      </c>
      <c r="E4538">
        <v>21</v>
      </c>
      <c r="F4538" t="s">
        <v>8898</v>
      </c>
      <c r="G4538">
        <v>1959</v>
      </c>
      <c r="H4538">
        <v>1</v>
      </c>
      <c r="I4538" t="s">
        <v>89</v>
      </c>
      <c r="J4538">
        <v>0</v>
      </c>
      <c r="K4538">
        <v>2</v>
      </c>
      <c r="L4538">
        <v>2</v>
      </c>
      <c r="M4538">
        <v>296</v>
      </c>
      <c r="N4538">
        <v>32</v>
      </c>
      <c r="O4538">
        <v>0</v>
      </c>
      <c r="P4538" t="s">
        <v>315</v>
      </c>
      <c r="Q4538">
        <v>0</v>
      </c>
      <c r="R4538">
        <v>7</v>
      </c>
      <c r="S4538">
        <v>6</v>
      </c>
      <c r="T4538">
        <v>0</v>
      </c>
      <c r="U4538">
        <v>4</v>
      </c>
      <c r="V4538">
        <v>0</v>
      </c>
      <c r="W4538">
        <v>3</v>
      </c>
      <c r="X4538">
        <v>2</v>
      </c>
      <c r="Y4538">
        <v>93</v>
      </c>
      <c r="Z4538">
        <v>3</v>
      </c>
      <c r="AA4538">
        <v>0</v>
      </c>
      <c r="AB4538">
        <v>4</v>
      </c>
      <c r="AC4538">
        <v>0</v>
      </c>
      <c r="AD4538">
        <v>0</v>
      </c>
      <c r="AE4538">
        <v>0</v>
      </c>
      <c r="AF4538">
        <v>0</v>
      </c>
      <c r="AG4538">
        <v>0</v>
      </c>
      <c r="AH4538">
        <v>0</v>
      </c>
      <c r="AI4538">
        <v>0</v>
      </c>
      <c r="AJ4538">
        <v>0</v>
      </c>
      <c r="AK4538">
        <v>0</v>
      </c>
      <c r="AL4538">
        <v>0</v>
      </c>
      <c r="AM4538">
        <v>0</v>
      </c>
      <c r="AN4538">
        <v>0</v>
      </c>
      <c r="AT4538">
        <v>0</v>
      </c>
      <c r="AU4538">
        <v>7</v>
      </c>
      <c r="AV4538">
        <v>129</v>
      </c>
      <c r="AW4538">
        <v>129</v>
      </c>
      <c r="AX4538">
        <v>403</v>
      </c>
      <c r="BA4538">
        <v>1</v>
      </c>
      <c r="BC4538" t="s">
        <v>9185</v>
      </c>
      <c r="BD4538" s="4">
        <v>43283.64166666667</v>
      </c>
      <c r="BE4538" s="4">
        <v>43283.646018518521</v>
      </c>
      <c r="BF4538" s="4">
        <v>43283.646018518521</v>
      </c>
      <c r="BG4538" t="s">
        <v>83</v>
      </c>
      <c r="BH4538" t="s">
        <v>84</v>
      </c>
      <c r="BI4538" t="s">
        <v>85</v>
      </c>
    </row>
    <row r="4539" spans="1:61" x14ac:dyDescent="0.3">
      <c r="A4539" t="str">
        <f>"201959E0100"</f>
        <v>201959E0100</v>
      </c>
      <c r="B4539" s="2" t="s">
        <v>9186</v>
      </c>
      <c r="C4539">
        <v>20</v>
      </c>
      <c r="D4539" t="s">
        <v>79</v>
      </c>
      <c r="E4539">
        <v>21</v>
      </c>
      <c r="F4539" t="s">
        <v>8898</v>
      </c>
      <c r="G4539">
        <v>1959</v>
      </c>
      <c r="H4539">
        <v>1</v>
      </c>
      <c r="I4539" t="s">
        <v>145</v>
      </c>
      <c r="J4539">
        <v>0</v>
      </c>
      <c r="K4539">
        <v>2</v>
      </c>
      <c r="L4539">
        <v>2</v>
      </c>
      <c r="M4539">
        <v>227</v>
      </c>
      <c r="N4539">
        <v>225</v>
      </c>
      <c r="O4539">
        <v>0</v>
      </c>
      <c r="P4539">
        <v>223</v>
      </c>
      <c r="Q4539">
        <v>2</v>
      </c>
      <c r="R4539">
        <v>3</v>
      </c>
      <c r="S4539">
        <v>9</v>
      </c>
      <c r="T4539">
        <v>3</v>
      </c>
      <c r="U4539" t="s">
        <v>315</v>
      </c>
      <c r="V4539" t="s">
        <v>315</v>
      </c>
      <c r="W4539">
        <v>13</v>
      </c>
      <c r="X4539">
        <v>4</v>
      </c>
      <c r="Y4539">
        <v>122</v>
      </c>
      <c r="Z4539">
        <v>6</v>
      </c>
      <c r="AA4539">
        <v>1</v>
      </c>
      <c r="AB4539">
        <v>23</v>
      </c>
      <c r="AC4539">
        <v>0</v>
      </c>
      <c r="AD4539">
        <v>0</v>
      </c>
      <c r="AE4539">
        <v>0</v>
      </c>
      <c r="AF4539">
        <v>0</v>
      </c>
      <c r="AG4539">
        <v>0</v>
      </c>
      <c r="AH4539">
        <v>0</v>
      </c>
      <c r="AI4539">
        <v>0</v>
      </c>
      <c r="AJ4539">
        <v>0</v>
      </c>
      <c r="AK4539">
        <v>0</v>
      </c>
      <c r="AL4539">
        <v>0</v>
      </c>
      <c r="AM4539">
        <v>0</v>
      </c>
      <c r="AN4539">
        <v>0</v>
      </c>
      <c r="AT4539">
        <v>0</v>
      </c>
      <c r="AU4539">
        <v>28</v>
      </c>
      <c r="AV4539">
        <v>224</v>
      </c>
      <c r="AW4539">
        <v>214</v>
      </c>
      <c r="AX4539">
        <v>428</v>
      </c>
      <c r="AZ4539" t="s">
        <v>101</v>
      </c>
      <c r="BA4539">
        <v>1</v>
      </c>
      <c r="BC4539" t="s">
        <v>9187</v>
      </c>
      <c r="BD4539" s="4">
        <v>43283.645833333336</v>
      </c>
      <c r="BE4539" s="4">
        <v>43283.656168981484</v>
      </c>
      <c r="BF4539" s="4">
        <v>43283.656168981484</v>
      </c>
      <c r="BG4539" t="s">
        <v>83</v>
      </c>
      <c r="BH4539" t="s">
        <v>84</v>
      </c>
      <c r="BI4539" t="s">
        <v>85</v>
      </c>
    </row>
    <row r="4540" spans="1:61" x14ac:dyDescent="0.3">
      <c r="A4540" t="str">
        <f>"202071B0100"</f>
        <v>202071B0100</v>
      </c>
      <c r="B4540" t="s">
        <v>9188</v>
      </c>
      <c r="C4540">
        <v>20</v>
      </c>
      <c r="D4540" t="s">
        <v>79</v>
      </c>
      <c r="E4540">
        <v>21</v>
      </c>
      <c r="F4540" t="s">
        <v>8898</v>
      </c>
      <c r="G4540">
        <v>2071</v>
      </c>
      <c r="H4540">
        <v>1</v>
      </c>
      <c r="I4540" t="s">
        <v>81</v>
      </c>
      <c r="J4540">
        <v>0</v>
      </c>
      <c r="K4540">
        <v>2</v>
      </c>
      <c r="L4540">
        <v>2</v>
      </c>
      <c r="M4540">
        <v>240</v>
      </c>
      <c r="N4540">
        <v>323</v>
      </c>
      <c r="O4540">
        <v>0</v>
      </c>
      <c r="P4540">
        <v>323</v>
      </c>
      <c r="Q4540">
        <v>18</v>
      </c>
      <c r="R4540">
        <v>71</v>
      </c>
      <c r="S4540">
        <v>14</v>
      </c>
      <c r="T4540">
        <v>5</v>
      </c>
      <c r="U4540">
        <v>31</v>
      </c>
      <c r="V4540">
        <v>9</v>
      </c>
      <c r="W4540">
        <v>3</v>
      </c>
      <c r="X4540">
        <v>3</v>
      </c>
      <c r="Y4540">
        <v>142</v>
      </c>
      <c r="Z4540">
        <v>7</v>
      </c>
      <c r="AA4540">
        <v>2</v>
      </c>
      <c r="AB4540">
        <v>1</v>
      </c>
      <c r="AC4540">
        <v>0</v>
      </c>
      <c r="AD4540">
        <v>1</v>
      </c>
      <c r="AE4540">
        <v>0</v>
      </c>
      <c r="AF4540">
        <v>0</v>
      </c>
      <c r="AG4540">
        <v>0</v>
      </c>
      <c r="AH4540">
        <v>2</v>
      </c>
      <c r="AI4540">
        <v>0</v>
      </c>
      <c r="AJ4540">
        <v>0</v>
      </c>
      <c r="AK4540">
        <v>2</v>
      </c>
      <c r="AL4540">
        <v>0</v>
      </c>
      <c r="AM4540">
        <v>0</v>
      </c>
      <c r="AN4540">
        <v>3</v>
      </c>
      <c r="AT4540">
        <v>0</v>
      </c>
      <c r="AU4540">
        <v>9</v>
      </c>
      <c r="AV4540">
        <v>323</v>
      </c>
      <c r="AW4540">
        <v>323</v>
      </c>
      <c r="AX4540">
        <v>541</v>
      </c>
      <c r="BA4540">
        <v>1</v>
      </c>
      <c r="BC4540" t="s">
        <v>9189</v>
      </c>
      <c r="BD4540" s="4">
        <v>43283.281944444447</v>
      </c>
      <c r="BE4540" s="4">
        <v>43283.327638888892</v>
      </c>
      <c r="BF4540" s="4">
        <v>43283.327638888892</v>
      </c>
      <c r="BG4540" t="s">
        <v>83</v>
      </c>
      <c r="BH4540" t="s">
        <v>84</v>
      </c>
      <c r="BI4540" t="s">
        <v>85</v>
      </c>
    </row>
    <row r="4541" spans="1:61" x14ac:dyDescent="0.3">
      <c r="A4541" t="str">
        <f>"202071C0100"</f>
        <v>202071C0100</v>
      </c>
      <c r="B4541" t="s">
        <v>9190</v>
      </c>
      <c r="C4541">
        <v>20</v>
      </c>
      <c r="D4541" t="s">
        <v>79</v>
      </c>
      <c r="E4541">
        <v>21</v>
      </c>
      <c r="F4541" t="s">
        <v>8898</v>
      </c>
      <c r="G4541">
        <v>2071</v>
      </c>
      <c r="H4541">
        <v>1</v>
      </c>
      <c r="I4541" t="s">
        <v>89</v>
      </c>
      <c r="J4541">
        <v>0</v>
      </c>
      <c r="K4541">
        <v>2</v>
      </c>
      <c r="L4541">
        <v>2</v>
      </c>
      <c r="M4541">
        <v>255</v>
      </c>
      <c r="N4541">
        <v>308</v>
      </c>
      <c r="O4541">
        <v>1</v>
      </c>
      <c r="P4541">
        <v>308</v>
      </c>
      <c r="Q4541">
        <v>16</v>
      </c>
      <c r="R4541">
        <v>63</v>
      </c>
      <c r="S4541">
        <v>8</v>
      </c>
      <c r="T4541">
        <v>7</v>
      </c>
      <c r="U4541">
        <v>21</v>
      </c>
      <c r="V4541">
        <v>7</v>
      </c>
      <c r="W4541">
        <v>1</v>
      </c>
      <c r="X4541">
        <v>4</v>
      </c>
      <c r="Y4541">
        <v>137</v>
      </c>
      <c r="Z4541">
        <v>8</v>
      </c>
      <c r="AA4541">
        <v>1</v>
      </c>
      <c r="AB4541">
        <v>1</v>
      </c>
      <c r="AC4541">
        <v>1</v>
      </c>
      <c r="AD4541">
        <v>1</v>
      </c>
      <c r="AE4541">
        <v>0</v>
      </c>
      <c r="AF4541">
        <v>0</v>
      </c>
      <c r="AG4541">
        <v>0</v>
      </c>
      <c r="AH4541">
        <v>5</v>
      </c>
      <c r="AI4541">
        <v>1</v>
      </c>
      <c r="AJ4541">
        <v>0</v>
      </c>
      <c r="AK4541">
        <v>4</v>
      </c>
      <c r="AL4541">
        <v>0</v>
      </c>
      <c r="AM4541">
        <v>0</v>
      </c>
      <c r="AN4541">
        <v>1</v>
      </c>
      <c r="AT4541">
        <v>0</v>
      </c>
      <c r="AU4541">
        <v>21</v>
      </c>
      <c r="AV4541">
        <v>308</v>
      </c>
      <c r="AW4541">
        <v>308</v>
      </c>
      <c r="AX4541">
        <v>541</v>
      </c>
      <c r="BA4541">
        <v>1</v>
      </c>
      <c r="BC4541" t="s">
        <v>9191</v>
      </c>
      <c r="BD4541" s="4">
        <v>43283.287499999999</v>
      </c>
      <c r="BE4541" s="4">
        <v>43283.316423611112</v>
      </c>
      <c r="BF4541" s="4">
        <v>43283.316423611112</v>
      </c>
      <c r="BG4541" t="s">
        <v>83</v>
      </c>
      <c r="BH4541" t="s">
        <v>84</v>
      </c>
      <c r="BI4541" t="s">
        <v>85</v>
      </c>
    </row>
    <row r="4542" spans="1:61" x14ac:dyDescent="0.3">
      <c r="A4542" t="str">
        <f>"202133B0100"</f>
        <v>202133B0100</v>
      </c>
      <c r="B4542" t="s">
        <v>9192</v>
      </c>
      <c r="C4542">
        <v>20</v>
      </c>
      <c r="D4542" t="s">
        <v>79</v>
      </c>
      <c r="E4542">
        <v>21</v>
      </c>
      <c r="F4542" t="s">
        <v>8898</v>
      </c>
      <c r="G4542">
        <v>2133</v>
      </c>
      <c r="H4542">
        <v>1</v>
      </c>
      <c r="I4542" t="s">
        <v>81</v>
      </c>
      <c r="J4542">
        <v>0</v>
      </c>
      <c r="K4542">
        <v>2</v>
      </c>
      <c r="L4542">
        <v>2</v>
      </c>
      <c r="M4542">
        <v>275</v>
      </c>
      <c r="N4542">
        <v>455</v>
      </c>
      <c r="O4542">
        <v>0</v>
      </c>
      <c r="P4542" t="s">
        <v>100</v>
      </c>
      <c r="Q4542">
        <v>18</v>
      </c>
      <c r="R4542">
        <v>38</v>
      </c>
      <c r="S4542">
        <v>111</v>
      </c>
      <c r="T4542">
        <v>6</v>
      </c>
      <c r="U4542">
        <v>13</v>
      </c>
      <c r="V4542">
        <v>2</v>
      </c>
      <c r="W4542">
        <v>4</v>
      </c>
      <c r="X4542">
        <v>1</v>
      </c>
      <c r="Y4542">
        <v>219</v>
      </c>
      <c r="Z4542">
        <v>5</v>
      </c>
      <c r="AA4542">
        <v>0</v>
      </c>
      <c r="AB4542">
        <v>2</v>
      </c>
      <c r="AC4542">
        <v>0</v>
      </c>
      <c r="AD4542">
        <v>2</v>
      </c>
      <c r="AE4542">
        <v>1</v>
      </c>
      <c r="AF4542">
        <v>1</v>
      </c>
      <c r="AG4542">
        <v>1</v>
      </c>
      <c r="AH4542">
        <v>0</v>
      </c>
      <c r="AI4542">
        <v>0</v>
      </c>
      <c r="AJ4542">
        <v>0</v>
      </c>
      <c r="AK4542">
        <v>9</v>
      </c>
      <c r="AL4542">
        <v>2</v>
      </c>
      <c r="AM4542">
        <v>0</v>
      </c>
      <c r="AN4542">
        <v>1</v>
      </c>
      <c r="AT4542">
        <v>0</v>
      </c>
      <c r="AU4542">
        <v>19</v>
      </c>
      <c r="AV4542" t="s">
        <v>100</v>
      </c>
      <c r="AW4542">
        <v>455</v>
      </c>
      <c r="AX4542">
        <v>708</v>
      </c>
      <c r="BA4542">
        <v>1</v>
      </c>
      <c r="BC4542" t="s">
        <v>9193</v>
      </c>
      <c r="BD4542" s="4">
        <v>43283.634722222225</v>
      </c>
      <c r="BE4542" s="4">
        <v>43283.639027777775</v>
      </c>
      <c r="BF4542" s="4">
        <v>43283.639027777775</v>
      </c>
      <c r="BG4542" t="s">
        <v>83</v>
      </c>
      <c r="BH4542" t="s">
        <v>84</v>
      </c>
      <c r="BI4542" t="s">
        <v>85</v>
      </c>
    </row>
    <row r="4543" spans="1:61" x14ac:dyDescent="0.3">
      <c r="A4543" t="str">
        <f>"202133E0100"</f>
        <v>202133E0100</v>
      </c>
      <c r="B4543" s="2" t="s">
        <v>9194</v>
      </c>
      <c r="C4543">
        <v>20</v>
      </c>
      <c r="D4543" t="s">
        <v>79</v>
      </c>
      <c r="E4543">
        <v>21</v>
      </c>
      <c r="F4543" t="s">
        <v>8898</v>
      </c>
      <c r="G4543">
        <v>2133</v>
      </c>
      <c r="H4543">
        <v>1</v>
      </c>
      <c r="I4543" t="s">
        <v>145</v>
      </c>
      <c r="J4543">
        <v>0</v>
      </c>
      <c r="K4543">
        <v>2</v>
      </c>
      <c r="L4543">
        <v>2</v>
      </c>
      <c r="M4543">
        <v>125</v>
      </c>
      <c r="N4543">
        <v>317</v>
      </c>
      <c r="O4543">
        <v>0</v>
      </c>
      <c r="P4543">
        <v>312</v>
      </c>
      <c r="Q4543">
        <v>3</v>
      </c>
      <c r="R4543">
        <v>14</v>
      </c>
      <c r="S4543">
        <v>54</v>
      </c>
      <c r="T4543">
        <v>4</v>
      </c>
      <c r="U4543">
        <v>21</v>
      </c>
      <c r="V4543">
        <v>2</v>
      </c>
      <c r="W4543">
        <v>4</v>
      </c>
      <c r="X4543">
        <v>3</v>
      </c>
      <c r="Y4543">
        <v>182</v>
      </c>
      <c r="Z4543">
        <v>5</v>
      </c>
      <c r="AA4543">
        <v>0</v>
      </c>
      <c r="AB4543">
        <v>0</v>
      </c>
      <c r="AC4543">
        <v>0</v>
      </c>
      <c r="AD4543">
        <v>0</v>
      </c>
      <c r="AE4543">
        <v>0</v>
      </c>
      <c r="AF4543">
        <v>0</v>
      </c>
      <c r="AG4543">
        <v>0</v>
      </c>
      <c r="AH4543">
        <v>0</v>
      </c>
      <c r="AI4543">
        <v>0</v>
      </c>
      <c r="AJ4543">
        <v>0</v>
      </c>
      <c r="AK4543">
        <v>3</v>
      </c>
      <c r="AL4543">
        <v>2</v>
      </c>
      <c r="AM4543">
        <v>1</v>
      </c>
      <c r="AN4543">
        <v>3</v>
      </c>
      <c r="AT4543">
        <v>0</v>
      </c>
      <c r="AU4543">
        <v>11</v>
      </c>
      <c r="AV4543" t="s">
        <v>100</v>
      </c>
      <c r="AW4543">
        <v>312</v>
      </c>
      <c r="AX4543">
        <v>418</v>
      </c>
      <c r="BA4543">
        <v>1</v>
      </c>
      <c r="BC4543" t="s">
        <v>9195</v>
      </c>
      <c r="BD4543" s="4">
        <v>43283.640277777777</v>
      </c>
      <c r="BE4543" s="4">
        <v>43283.644189814811</v>
      </c>
      <c r="BF4543" s="4">
        <v>43283.644189814811</v>
      </c>
      <c r="BG4543" t="s">
        <v>83</v>
      </c>
      <c r="BH4543" t="s">
        <v>84</v>
      </c>
      <c r="BI4543" t="s">
        <v>85</v>
      </c>
    </row>
    <row r="4544" spans="1:61" x14ac:dyDescent="0.3">
      <c r="A4544" t="str">
        <f>"202133E0101"</f>
        <v>202133E0101</v>
      </c>
      <c r="B4544" s="2" t="s">
        <v>9196</v>
      </c>
      <c r="C4544">
        <v>20</v>
      </c>
      <c r="D4544" t="s">
        <v>79</v>
      </c>
      <c r="E4544">
        <v>21</v>
      </c>
      <c r="F4544" t="s">
        <v>8898</v>
      </c>
      <c r="G4544">
        <v>2133</v>
      </c>
      <c r="H4544">
        <v>1</v>
      </c>
      <c r="I4544" t="s">
        <v>145</v>
      </c>
      <c r="J4544">
        <v>1</v>
      </c>
      <c r="K4544">
        <v>2</v>
      </c>
      <c r="L4544">
        <v>2</v>
      </c>
      <c r="M4544">
        <v>141</v>
      </c>
      <c r="N4544">
        <v>300</v>
      </c>
      <c r="O4544">
        <v>0</v>
      </c>
      <c r="P4544">
        <v>300</v>
      </c>
      <c r="Q4544">
        <v>1</v>
      </c>
      <c r="R4544">
        <v>8</v>
      </c>
      <c r="S4544">
        <v>68</v>
      </c>
      <c r="T4544">
        <v>2</v>
      </c>
      <c r="U4544">
        <v>8</v>
      </c>
      <c r="V4544">
        <v>2</v>
      </c>
      <c r="W4544">
        <v>0</v>
      </c>
      <c r="X4544">
        <v>5</v>
      </c>
      <c r="Y4544">
        <v>180</v>
      </c>
      <c r="Z4544">
        <v>7</v>
      </c>
      <c r="AA4544">
        <v>0</v>
      </c>
      <c r="AB4544">
        <v>0</v>
      </c>
      <c r="AC4544">
        <v>0</v>
      </c>
      <c r="AD4544">
        <v>0</v>
      </c>
      <c r="AE4544">
        <v>0</v>
      </c>
      <c r="AF4544">
        <v>0</v>
      </c>
      <c r="AG4544">
        <v>0</v>
      </c>
      <c r="AH4544">
        <v>2</v>
      </c>
      <c r="AI4544">
        <v>0</v>
      </c>
      <c r="AJ4544">
        <v>0</v>
      </c>
      <c r="AK4544">
        <v>0</v>
      </c>
      <c r="AL4544">
        <v>0</v>
      </c>
      <c r="AM4544">
        <v>0</v>
      </c>
      <c r="AN4544">
        <v>7</v>
      </c>
      <c r="AT4544" t="s">
        <v>100</v>
      </c>
      <c r="AU4544" t="s">
        <v>100</v>
      </c>
      <c r="AV4544" t="s">
        <v>100</v>
      </c>
      <c r="AW4544">
        <v>290</v>
      </c>
      <c r="AX4544">
        <v>418</v>
      </c>
      <c r="AZ4544" t="s">
        <v>101</v>
      </c>
      <c r="BA4544">
        <v>1</v>
      </c>
      <c r="BC4544" t="s">
        <v>9197</v>
      </c>
      <c r="BD4544" s="4">
        <v>43283.644444444442</v>
      </c>
      <c r="BE4544" s="4">
        <v>43283.648796296293</v>
      </c>
      <c r="BF4544" s="4">
        <v>43283.648796296293</v>
      </c>
      <c r="BG4544" t="s">
        <v>83</v>
      </c>
      <c r="BH4544" t="s">
        <v>84</v>
      </c>
      <c r="BI4544" t="s">
        <v>85</v>
      </c>
    </row>
    <row r="4545" spans="1:61" x14ac:dyDescent="0.3">
      <c r="A4545" t="str">
        <f>"202133E0200"</f>
        <v>202133E0200</v>
      </c>
      <c r="B4545" s="2" t="s">
        <v>9198</v>
      </c>
      <c r="C4545">
        <v>20</v>
      </c>
      <c r="D4545" t="s">
        <v>79</v>
      </c>
      <c r="E4545">
        <v>21</v>
      </c>
      <c r="F4545" t="s">
        <v>8898</v>
      </c>
      <c r="G4545">
        <v>2133</v>
      </c>
      <c r="H4545">
        <v>2</v>
      </c>
      <c r="I4545" t="s">
        <v>145</v>
      </c>
      <c r="J4545">
        <v>0</v>
      </c>
      <c r="K4545">
        <v>2</v>
      </c>
      <c r="L4545">
        <v>2</v>
      </c>
      <c r="M4545">
        <v>187</v>
      </c>
      <c r="N4545">
        <v>343</v>
      </c>
      <c r="O4545">
        <v>3</v>
      </c>
      <c r="P4545">
        <v>343</v>
      </c>
      <c r="Q4545">
        <v>53</v>
      </c>
      <c r="R4545">
        <v>104</v>
      </c>
      <c r="S4545">
        <v>44</v>
      </c>
      <c r="T4545">
        <v>5</v>
      </c>
      <c r="U4545">
        <v>11</v>
      </c>
      <c r="V4545">
        <v>7</v>
      </c>
      <c r="W4545">
        <v>5</v>
      </c>
      <c r="X4545">
        <v>6</v>
      </c>
      <c r="Y4545">
        <v>79</v>
      </c>
      <c r="Z4545">
        <v>6</v>
      </c>
      <c r="AA4545">
        <v>0</v>
      </c>
      <c r="AB4545">
        <v>3</v>
      </c>
      <c r="AC4545">
        <v>0</v>
      </c>
      <c r="AD4545">
        <v>0</v>
      </c>
      <c r="AE4545">
        <v>0</v>
      </c>
      <c r="AF4545">
        <v>0</v>
      </c>
      <c r="AG4545">
        <v>5</v>
      </c>
      <c r="AH4545">
        <v>0</v>
      </c>
      <c r="AI4545">
        <v>0</v>
      </c>
      <c r="AJ4545">
        <v>0</v>
      </c>
      <c r="AK4545">
        <v>5</v>
      </c>
      <c r="AL4545">
        <v>0</v>
      </c>
      <c r="AM4545">
        <v>0</v>
      </c>
      <c r="AN4545">
        <v>0</v>
      </c>
      <c r="AT4545">
        <v>0</v>
      </c>
      <c r="AU4545">
        <v>10</v>
      </c>
      <c r="AV4545">
        <v>343</v>
      </c>
      <c r="AW4545">
        <v>343</v>
      </c>
      <c r="AX4545">
        <v>508</v>
      </c>
      <c r="BA4545">
        <v>1</v>
      </c>
      <c r="BC4545" t="s">
        <v>9199</v>
      </c>
      <c r="BD4545" s="4">
        <v>43283.648611111108</v>
      </c>
      <c r="BE4545" s="4">
        <v>43283.652789351851</v>
      </c>
      <c r="BF4545" s="4">
        <v>43283.652789351851</v>
      </c>
      <c r="BG4545" t="s">
        <v>83</v>
      </c>
      <c r="BH4545" t="s">
        <v>84</v>
      </c>
      <c r="BI4545" t="s">
        <v>85</v>
      </c>
    </row>
    <row r="4546" spans="1:61" x14ac:dyDescent="0.3">
      <c r="A4546" t="str">
        <f>"202134B0100"</f>
        <v>202134B0100</v>
      </c>
      <c r="B4546" t="s">
        <v>9200</v>
      </c>
      <c r="C4546">
        <v>20</v>
      </c>
      <c r="D4546" t="s">
        <v>79</v>
      </c>
      <c r="E4546">
        <v>21</v>
      </c>
      <c r="F4546" t="s">
        <v>8898</v>
      </c>
      <c r="G4546">
        <v>2134</v>
      </c>
      <c r="H4546">
        <v>1</v>
      </c>
      <c r="I4546" t="s">
        <v>81</v>
      </c>
      <c r="J4546">
        <v>0</v>
      </c>
      <c r="K4546">
        <v>2</v>
      </c>
      <c r="L4546">
        <v>2</v>
      </c>
      <c r="M4546">
        <v>159</v>
      </c>
      <c r="N4546">
        <v>341</v>
      </c>
      <c r="O4546">
        <v>0</v>
      </c>
      <c r="P4546">
        <v>341</v>
      </c>
      <c r="Q4546">
        <v>17</v>
      </c>
      <c r="R4546">
        <v>4</v>
      </c>
      <c r="S4546">
        <v>155</v>
      </c>
      <c r="T4546">
        <v>2</v>
      </c>
      <c r="U4546">
        <v>14</v>
      </c>
      <c r="V4546">
        <v>1</v>
      </c>
      <c r="W4546">
        <v>1</v>
      </c>
      <c r="X4546">
        <v>3</v>
      </c>
      <c r="Y4546">
        <v>128</v>
      </c>
      <c r="Z4546">
        <v>4</v>
      </c>
      <c r="AA4546">
        <v>0</v>
      </c>
      <c r="AB4546">
        <v>0</v>
      </c>
      <c r="AC4546">
        <v>1</v>
      </c>
      <c r="AD4546">
        <v>1</v>
      </c>
      <c r="AE4546">
        <v>0</v>
      </c>
      <c r="AF4546">
        <v>1</v>
      </c>
      <c r="AG4546">
        <v>0</v>
      </c>
      <c r="AH4546">
        <v>1</v>
      </c>
      <c r="AI4546">
        <v>0</v>
      </c>
      <c r="AJ4546">
        <v>0</v>
      </c>
      <c r="AK4546">
        <v>1</v>
      </c>
      <c r="AL4546">
        <v>0</v>
      </c>
      <c r="AM4546">
        <v>0</v>
      </c>
      <c r="AN4546">
        <v>0</v>
      </c>
      <c r="AT4546">
        <v>0</v>
      </c>
      <c r="AU4546">
        <v>7</v>
      </c>
      <c r="AV4546" t="s">
        <v>100</v>
      </c>
      <c r="AW4546">
        <v>341</v>
      </c>
      <c r="AX4546">
        <v>478</v>
      </c>
      <c r="BA4546">
        <v>1</v>
      </c>
      <c r="BC4546" t="s">
        <v>9201</v>
      </c>
      <c r="BD4546" s="4">
        <v>43283.652777777781</v>
      </c>
      <c r="BE4546" s="4">
        <v>43283.657129629632</v>
      </c>
      <c r="BF4546" s="4">
        <v>43283.657129629632</v>
      </c>
      <c r="BG4546" t="s">
        <v>83</v>
      </c>
      <c r="BH4546" t="s">
        <v>84</v>
      </c>
      <c r="BI4546" t="s">
        <v>85</v>
      </c>
    </row>
    <row r="4547" spans="1:61" x14ac:dyDescent="0.3">
      <c r="A4547" t="str">
        <f>"202229B0100"</f>
        <v>202229B0100</v>
      </c>
      <c r="B4547" t="s">
        <v>9202</v>
      </c>
      <c r="C4547">
        <v>20</v>
      </c>
      <c r="D4547" t="s">
        <v>79</v>
      </c>
      <c r="E4547">
        <v>21</v>
      </c>
      <c r="F4547" t="s">
        <v>8898</v>
      </c>
      <c r="G4547">
        <v>2229</v>
      </c>
      <c r="H4547">
        <v>1</v>
      </c>
      <c r="I4547" t="s">
        <v>81</v>
      </c>
      <c r="J4547">
        <v>0</v>
      </c>
      <c r="K4547">
        <v>2</v>
      </c>
      <c r="L4547">
        <v>2</v>
      </c>
      <c r="M4547">
        <v>241</v>
      </c>
      <c r="N4547">
        <v>628</v>
      </c>
      <c r="O4547">
        <v>0</v>
      </c>
      <c r="P4547">
        <v>387</v>
      </c>
      <c r="Q4547">
        <v>3</v>
      </c>
      <c r="R4547">
        <v>8</v>
      </c>
      <c r="S4547">
        <v>15</v>
      </c>
      <c r="T4547">
        <v>1</v>
      </c>
      <c r="U4547">
        <v>13</v>
      </c>
      <c r="V4547">
        <v>0</v>
      </c>
      <c r="W4547">
        <v>0</v>
      </c>
      <c r="X4547">
        <v>0</v>
      </c>
      <c r="Y4547">
        <v>311</v>
      </c>
      <c r="Z4547">
        <v>6</v>
      </c>
      <c r="AA4547">
        <v>1</v>
      </c>
      <c r="AB4547">
        <v>1</v>
      </c>
      <c r="AC4547">
        <v>0</v>
      </c>
      <c r="AD4547">
        <v>0</v>
      </c>
      <c r="AE4547">
        <v>0</v>
      </c>
      <c r="AF4547">
        <v>0</v>
      </c>
      <c r="AG4547">
        <v>0</v>
      </c>
      <c r="AH4547">
        <v>0</v>
      </c>
      <c r="AI4547">
        <v>0</v>
      </c>
      <c r="AJ4547">
        <v>0</v>
      </c>
      <c r="AK4547">
        <v>7</v>
      </c>
      <c r="AL4547">
        <v>1</v>
      </c>
      <c r="AM4547">
        <v>1</v>
      </c>
      <c r="AN4547">
        <v>2</v>
      </c>
      <c r="AT4547">
        <v>0</v>
      </c>
      <c r="AU4547">
        <v>16</v>
      </c>
      <c r="AV4547">
        <v>387</v>
      </c>
      <c r="AW4547">
        <v>386</v>
      </c>
      <c r="AX4547">
        <v>606</v>
      </c>
      <c r="BA4547">
        <v>1</v>
      </c>
      <c r="BC4547" t="s">
        <v>9203</v>
      </c>
      <c r="BD4547" s="4">
        <v>43283.643055555556</v>
      </c>
      <c r="BE4547" s="4">
        <v>43283.646689814814</v>
      </c>
      <c r="BF4547" s="4">
        <v>43283.646689814814</v>
      </c>
      <c r="BG4547" t="s">
        <v>83</v>
      </c>
      <c r="BH4547" t="s">
        <v>84</v>
      </c>
      <c r="BI4547" t="s">
        <v>85</v>
      </c>
    </row>
    <row r="4548" spans="1:61" x14ac:dyDescent="0.3">
      <c r="A4548" t="str">
        <f>"202229C0100"</f>
        <v>202229C0100</v>
      </c>
      <c r="B4548" t="s">
        <v>9204</v>
      </c>
      <c r="C4548">
        <v>20</v>
      </c>
      <c r="D4548" t="s">
        <v>79</v>
      </c>
      <c r="E4548">
        <v>21</v>
      </c>
      <c r="F4548" t="s">
        <v>8898</v>
      </c>
      <c r="G4548">
        <v>2229</v>
      </c>
      <c r="H4548">
        <v>1</v>
      </c>
      <c r="I4548" t="s">
        <v>89</v>
      </c>
      <c r="J4548">
        <v>0</v>
      </c>
      <c r="K4548">
        <v>2</v>
      </c>
      <c r="L4548">
        <v>2</v>
      </c>
      <c r="M4548">
        <v>278</v>
      </c>
      <c r="N4548">
        <v>350</v>
      </c>
      <c r="O4548">
        <v>0</v>
      </c>
      <c r="P4548">
        <v>350</v>
      </c>
      <c r="Q4548">
        <v>4</v>
      </c>
      <c r="R4548">
        <v>7</v>
      </c>
      <c r="S4548">
        <v>14</v>
      </c>
      <c r="T4548">
        <v>5</v>
      </c>
      <c r="U4548">
        <v>17</v>
      </c>
      <c r="V4548">
        <v>1</v>
      </c>
      <c r="W4548">
        <v>1</v>
      </c>
      <c r="X4548">
        <v>1</v>
      </c>
      <c r="Y4548">
        <v>271</v>
      </c>
      <c r="Z4548" t="s">
        <v>315</v>
      </c>
      <c r="AA4548">
        <v>1</v>
      </c>
      <c r="AB4548">
        <v>0</v>
      </c>
      <c r="AC4548">
        <v>0</v>
      </c>
      <c r="AD4548">
        <v>0</v>
      </c>
      <c r="AE4548">
        <v>0</v>
      </c>
      <c r="AF4548">
        <v>0</v>
      </c>
      <c r="AG4548">
        <v>0</v>
      </c>
      <c r="AH4548">
        <v>0</v>
      </c>
      <c r="AI4548">
        <v>0</v>
      </c>
      <c r="AJ4548">
        <v>0</v>
      </c>
      <c r="AK4548">
        <v>0</v>
      </c>
      <c r="AL4548">
        <v>0</v>
      </c>
      <c r="AM4548">
        <v>0</v>
      </c>
      <c r="AN4548">
        <v>3</v>
      </c>
      <c r="AT4548">
        <v>0</v>
      </c>
      <c r="AU4548">
        <v>9</v>
      </c>
      <c r="AV4548">
        <v>350</v>
      </c>
      <c r="AW4548">
        <v>334</v>
      </c>
      <c r="AX4548">
        <v>606</v>
      </c>
      <c r="AZ4548" t="s">
        <v>101</v>
      </c>
      <c r="BA4548">
        <v>1</v>
      </c>
      <c r="BC4548" t="s">
        <v>9205</v>
      </c>
      <c r="BD4548" s="4">
        <v>43283.647916666669</v>
      </c>
      <c r="BE4548" s="4">
        <v>43283.658206018517</v>
      </c>
      <c r="BF4548" s="4">
        <v>43283.658206018517</v>
      </c>
      <c r="BG4548" t="s">
        <v>83</v>
      </c>
      <c r="BH4548" t="s">
        <v>84</v>
      </c>
      <c r="BI4548" t="s">
        <v>85</v>
      </c>
    </row>
    <row r="4549" spans="1:61" x14ac:dyDescent="0.3">
      <c r="A4549" t="str">
        <f>"202229C0200"</f>
        <v>202229C0200</v>
      </c>
      <c r="B4549" t="s">
        <v>9206</v>
      </c>
      <c r="C4549">
        <v>20</v>
      </c>
      <c r="D4549" t="s">
        <v>79</v>
      </c>
      <c r="E4549">
        <v>21</v>
      </c>
      <c r="F4549" t="s">
        <v>8898</v>
      </c>
      <c r="G4549">
        <v>2229</v>
      </c>
      <c r="H4549">
        <v>2</v>
      </c>
      <c r="I4549" t="s">
        <v>89</v>
      </c>
      <c r="J4549">
        <v>0</v>
      </c>
      <c r="K4549">
        <v>2</v>
      </c>
      <c r="L4549">
        <v>2</v>
      </c>
      <c r="M4549">
        <v>254</v>
      </c>
      <c r="N4549">
        <v>374</v>
      </c>
      <c r="O4549">
        <v>0</v>
      </c>
      <c r="P4549">
        <v>374</v>
      </c>
      <c r="Q4549">
        <v>5</v>
      </c>
      <c r="R4549">
        <v>16</v>
      </c>
      <c r="S4549">
        <v>13</v>
      </c>
      <c r="T4549">
        <v>2</v>
      </c>
      <c r="U4549">
        <v>16</v>
      </c>
      <c r="V4549">
        <v>1</v>
      </c>
      <c r="W4549">
        <v>0</v>
      </c>
      <c r="X4549">
        <v>4</v>
      </c>
      <c r="Y4549">
        <v>273</v>
      </c>
      <c r="Z4549">
        <v>12</v>
      </c>
      <c r="AA4549">
        <v>0</v>
      </c>
      <c r="AB4549">
        <v>3</v>
      </c>
      <c r="AC4549">
        <v>0</v>
      </c>
      <c r="AD4549">
        <v>0</v>
      </c>
      <c r="AE4549">
        <v>0</v>
      </c>
      <c r="AF4549">
        <v>0</v>
      </c>
      <c r="AG4549">
        <v>0</v>
      </c>
      <c r="AH4549">
        <v>0</v>
      </c>
      <c r="AI4549">
        <v>0</v>
      </c>
      <c r="AJ4549">
        <v>0</v>
      </c>
      <c r="AK4549">
        <v>4</v>
      </c>
      <c r="AL4549">
        <v>6</v>
      </c>
      <c r="AM4549">
        <v>0</v>
      </c>
      <c r="AN4549">
        <v>2</v>
      </c>
      <c r="AT4549">
        <v>0</v>
      </c>
      <c r="AU4549">
        <v>17</v>
      </c>
      <c r="AV4549">
        <v>374</v>
      </c>
      <c r="AW4549">
        <v>374</v>
      </c>
      <c r="AX4549">
        <v>606</v>
      </c>
      <c r="BA4549">
        <v>1</v>
      </c>
      <c r="BC4549" t="s">
        <v>9207</v>
      </c>
      <c r="BD4549" s="4">
        <v>43283.65</v>
      </c>
      <c r="BE4549" s="4">
        <v>43283.653981481482</v>
      </c>
      <c r="BF4549" s="4">
        <v>43283.653981481482</v>
      </c>
      <c r="BG4549" t="s">
        <v>83</v>
      </c>
      <c r="BH4549" t="s">
        <v>84</v>
      </c>
      <c r="BI4549" t="s">
        <v>85</v>
      </c>
    </row>
    <row r="4550" spans="1:61" x14ac:dyDescent="0.3">
      <c r="A4550" t="str">
        <f>"202230B0100"</f>
        <v>202230B0100</v>
      </c>
      <c r="B4550" t="s">
        <v>9208</v>
      </c>
      <c r="C4550">
        <v>20</v>
      </c>
      <c r="D4550" t="s">
        <v>79</v>
      </c>
      <c r="E4550">
        <v>21</v>
      </c>
      <c r="F4550" t="s">
        <v>8898</v>
      </c>
      <c r="G4550">
        <v>2230</v>
      </c>
      <c r="H4550">
        <v>1</v>
      </c>
      <c r="I4550" t="s">
        <v>81</v>
      </c>
      <c r="J4550">
        <v>0</v>
      </c>
      <c r="K4550">
        <v>2</v>
      </c>
      <c r="L4550">
        <v>2</v>
      </c>
      <c r="M4550">
        <v>229</v>
      </c>
      <c r="N4550">
        <v>260</v>
      </c>
      <c r="O4550">
        <v>1</v>
      </c>
      <c r="P4550">
        <v>260</v>
      </c>
      <c r="Q4550">
        <v>13</v>
      </c>
      <c r="R4550">
        <v>67</v>
      </c>
      <c r="S4550">
        <v>51</v>
      </c>
      <c r="T4550">
        <v>3</v>
      </c>
      <c r="U4550">
        <v>8</v>
      </c>
      <c r="V4550">
        <v>1</v>
      </c>
      <c r="W4550">
        <v>3</v>
      </c>
      <c r="X4550">
        <v>1</v>
      </c>
      <c r="Y4550">
        <v>90</v>
      </c>
      <c r="Z4550">
        <v>5</v>
      </c>
      <c r="AA4550">
        <v>0</v>
      </c>
      <c r="AB4550">
        <v>1</v>
      </c>
      <c r="AC4550">
        <v>0</v>
      </c>
      <c r="AD4550">
        <v>0</v>
      </c>
      <c r="AE4550">
        <v>0</v>
      </c>
      <c r="AF4550">
        <v>0</v>
      </c>
      <c r="AG4550">
        <v>0</v>
      </c>
      <c r="AH4550">
        <v>1</v>
      </c>
      <c r="AI4550">
        <v>0</v>
      </c>
      <c r="AJ4550">
        <v>0</v>
      </c>
      <c r="AK4550">
        <v>0</v>
      </c>
      <c r="AL4550">
        <v>3</v>
      </c>
      <c r="AM4550">
        <v>2</v>
      </c>
      <c r="AN4550">
        <v>1</v>
      </c>
      <c r="AT4550">
        <v>0</v>
      </c>
      <c r="AU4550">
        <v>10</v>
      </c>
      <c r="AV4550">
        <v>260</v>
      </c>
      <c r="AW4550">
        <v>260</v>
      </c>
      <c r="AX4550">
        <v>467</v>
      </c>
      <c r="BA4550">
        <v>1</v>
      </c>
      <c r="BC4550" t="s">
        <v>9209</v>
      </c>
      <c r="BD4550" s="4">
        <v>43283.656944444447</v>
      </c>
      <c r="BE4550" s="4">
        <v>43283.663287037038</v>
      </c>
      <c r="BF4550" s="4">
        <v>43283.663287037038</v>
      </c>
      <c r="BG4550" t="s">
        <v>83</v>
      </c>
      <c r="BH4550" t="s">
        <v>84</v>
      </c>
      <c r="BI4550" t="s">
        <v>85</v>
      </c>
    </row>
    <row r="4551" spans="1:61" x14ac:dyDescent="0.3">
      <c r="A4551" t="str">
        <f>"202230C0100"</f>
        <v>202230C0100</v>
      </c>
      <c r="B4551" t="s">
        <v>9210</v>
      </c>
      <c r="C4551">
        <v>20</v>
      </c>
      <c r="D4551" t="s">
        <v>79</v>
      </c>
      <c r="E4551">
        <v>21</v>
      </c>
      <c r="F4551" t="s">
        <v>8898</v>
      </c>
      <c r="G4551">
        <v>2230</v>
      </c>
      <c r="H4551">
        <v>1</v>
      </c>
      <c r="I4551" t="s">
        <v>89</v>
      </c>
      <c r="J4551">
        <v>0</v>
      </c>
      <c r="K4551">
        <v>2</v>
      </c>
      <c r="L4551">
        <v>2</v>
      </c>
      <c r="M4551">
        <v>256</v>
      </c>
      <c r="N4551">
        <v>233</v>
      </c>
      <c r="O4551">
        <v>0</v>
      </c>
      <c r="P4551">
        <v>233</v>
      </c>
      <c r="Q4551">
        <v>18</v>
      </c>
      <c r="R4551">
        <v>29</v>
      </c>
      <c r="S4551">
        <v>39</v>
      </c>
      <c r="T4551">
        <v>7</v>
      </c>
      <c r="U4551">
        <v>10</v>
      </c>
      <c r="V4551">
        <v>0</v>
      </c>
      <c r="W4551">
        <v>1</v>
      </c>
      <c r="X4551">
        <v>4</v>
      </c>
      <c r="Y4551">
        <v>95</v>
      </c>
      <c r="Z4551">
        <v>6</v>
      </c>
      <c r="AA4551">
        <v>0</v>
      </c>
      <c r="AB4551">
        <v>0</v>
      </c>
      <c r="AC4551">
        <v>0</v>
      </c>
      <c r="AD4551">
        <v>1</v>
      </c>
      <c r="AE4551">
        <v>0</v>
      </c>
      <c r="AF4551">
        <v>0</v>
      </c>
      <c r="AG4551">
        <v>0</v>
      </c>
      <c r="AH4551">
        <v>1</v>
      </c>
      <c r="AI4551">
        <v>0</v>
      </c>
      <c r="AJ4551">
        <v>0</v>
      </c>
      <c r="AK4551">
        <v>0</v>
      </c>
      <c r="AL4551">
        <v>1</v>
      </c>
      <c r="AM4551">
        <v>0</v>
      </c>
      <c r="AN4551">
        <v>1</v>
      </c>
      <c r="AT4551">
        <v>0</v>
      </c>
      <c r="AU4551">
        <v>20</v>
      </c>
      <c r="AV4551">
        <v>233</v>
      </c>
      <c r="AW4551">
        <v>233</v>
      </c>
      <c r="AX4551">
        <v>467</v>
      </c>
      <c r="BA4551">
        <v>1</v>
      </c>
      <c r="BC4551" t="s">
        <v>9211</v>
      </c>
      <c r="BD4551" s="4">
        <v>43283.663888888892</v>
      </c>
      <c r="BE4551" s="4">
        <v>43283.668935185182</v>
      </c>
      <c r="BF4551" s="4">
        <v>43283.668935185182</v>
      </c>
      <c r="BG4551" t="s">
        <v>83</v>
      </c>
      <c r="BH4551" t="s">
        <v>84</v>
      </c>
      <c r="BI4551" t="s">
        <v>85</v>
      </c>
    </row>
    <row r="4552" spans="1:61" x14ac:dyDescent="0.3">
      <c r="A4552" t="str">
        <f>"202230E0100"</f>
        <v>202230E0100</v>
      </c>
      <c r="B4552" s="2" t="s">
        <v>9212</v>
      </c>
      <c r="C4552">
        <v>20</v>
      </c>
      <c r="D4552" t="s">
        <v>79</v>
      </c>
      <c r="E4552">
        <v>21</v>
      </c>
      <c r="F4552" t="s">
        <v>8898</v>
      </c>
      <c r="G4552">
        <v>2230</v>
      </c>
      <c r="H4552">
        <v>1</v>
      </c>
      <c r="I4552" t="s">
        <v>145</v>
      </c>
      <c r="J4552">
        <v>0</v>
      </c>
      <c r="K4552">
        <v>2</v>
      </c>
      <c r="L4552">
        <v>2</v>
      </c>
      <c r="M4552" t="s">
        <v>315</v>
      </c>
      <c r="N4552">
        <v>231</v>
      </c>
      <c r="O4552">
        <v>0</v>
      </c>
      <c r="P4552" t="s">
        <v>315</v>
      </c>
      <c r="Q4552">
        <v>19</v>
      </c>
      <c r="R4552">
        <v>41</v>
      </c>
      <c r="S4552">
        <v>27</v>
      </c>
      <c r="T4552">
        <v>3</v>
      </c>
      <c r="U4552">
        <v>15</v>
      </c>
      <c r="V4552">
        <v>0</v>
      </c>
      <c r="W4552">
        <v>1</v>
      </c>
      <c r="X4552">
        <v>6</v>
      </c>
      <c r="Y4552">
        <v>97</v>
      </c>
      <c r="Z4552">
        <v>4</v>
      </c>
      <c r="AA4552">
        <v>0</v>
      </c>
      <c r="AB4552">
        <v>2</v>
      </c>
      <c r="AC4552">
        <v>1</v>
      </c>
      <c r="AD4552">
        <v>0</v>
      </c>
      <c r="AE4552">
        <v>0</v>
      </c>
      <c r="AF4552">
        <v>0</v>
      </c>
      <c r="AG4552">
        <v>0</v>
      </c>
      <c r="AH4552">
        <v>1</v>
      </c>
      <c r="AI4552">
        <v>0</v>
      </c>
      <c r="AJ4552">
        <v>0</v>
      </c>
      <c r="AK4552">
        <v>1</v>
      </c>
      <c r="AL4552">
        <v>0</v>
      </c>
      <c r="AM4552">
        <v>0</v>
      </c>
      <c r="AN4552">
        <v>0</v>
      </c>
      <c r="AT4552">
        <v>0</v>
      </c>
      <c r="AU4552">
        <v>13</v>
      </c>
      <c r="AV4552">
        <v>231</v>
      </c>
      <c r="AW4552">
        <v>231</v>
      </c>
      <c r="AX4552">
        <v>370</v>
      </c>
      <c r="BA4552">
        <v>1</v>
      </c>
      <c r="BC4552" t="s">
        <v>9213</v>
      </c>
      <c r="BD4552" s="4">
        <v>43283.663194444445</v>
      </c>
      <c r="BE4552" s="4">
        <v>43283.671597222223</v>
      </c>
      <c r="BF4552" s="4">
        <v>43283.671597222223</v>
      </c>
      <c r="BG4552" t="s">
        <v>83</v>
      </c>
      <c r="BH4552" t="s">
        <v>84</v>
      </c>
      <c r="BI4552" t="s">
        <v>85</v>
      </c>
    </row>
    <row r="4553" spans="1:61" x14ac:dyDescent="0.3">
      <c r="A4553" t="str">
        <f>"202291B0100"</f>
        <v>202291B0100</v>
      </c>
      <c r="B4553" t="s">
        <v>9214</v>
      </c>
      <c r="C4553">
        <v>20</v>
      </c>
      <c r="D4553" t="s">
        <v>79</v>
      </c>
      <c r="E4553">
        <v>21</v>
      </c>
      <c r="F4553" t="s">
        <v>8898</v>
      </c>
      <c r="G4553">
        <v>2291</v>
      </c>
      <c r="H4553">
        <v>1</v>
      </c>
      <c r="I4553" t="s">
        <v>81</v>
      </c>
      <c r="J4553">
        <v>0</v>
      </c>
      <c r="K4553">
        <v>2</v>
      </c>
      <c r="L4553">
        <v>2</v>
      </c>
      <c r="M4553">
        <v>194</v>
      </c>
      <c r="N4553">
        <v>421</v>
      </c>
      <c r="O4553">
        <v>0</v>
      </c>
      <c r="P4553">
        <v>421</v>
      </c>
      <c r="Q4553">
        <v>105</v>
      </c>
      <c r="R4553">
        <v>62</v>
      </c>
      <c r="S4553">
        <v>14</v>
      </c>
      <c r="T4553">
        <v>13</v>
      </c>
      <c r="U4553">
        <v>21</v>
      </c>
      <c r="V4553">
        <v>7</v>
      </c>
      <c r="W4553" t="s">
        <v>100</v>
      </c>
      <c r="X4553">
        <v>29</v>
      </c>
      <c r="Y4553">
        <v>96</v>
      </c>
      <c r="Z4553">
        <v>8</v>
      </c>
      <c r="AA4553">
        <v>17</v>
      </c>
      <c r="AB4553">
        <v>4</v>
      </c>
      <c r="AC4553">
        <v>1</v>
      </c>
      <c r="AD4553" t="s">
        <v>100</v>
      </c>
      <c r="AE4553">
        <v>5</v>
      </c>
      <c r="AF4553">
        <v>8</v>
      </c>
      <c r="AG4553" t="s">
        <v>100</v>
      </c>
      <c r="AH4553" t="s">
        <v>100</v>
      </c>
      <c r="AI4553" t="s">
        <v>100</v>
      </c>
      <c r="AJ4553">
        <v>6</v>
      </c>
      <c r="AK4553">
        <v>5</v>
      </c>
      <c r="AL4553" t="s">
        <v>100</v>
      </c>
      <c r="AM4553" t="s">
        <v>100</v>
      </c>
      <c r="AN4553" t="s">
        <v>100</v>
      </c>
      <c r="AT4553">
        <v>26</v>
      </c>
      <c r="AU4553">
        <v>31</v>
      </c>
      <c r="AV4553">
        <v>421</v>
      </c>
      <c r="AW4553">
        <v>458</v>
      </c>
      <c r="AX4553">
        <v>593</v>
      </c>
      <c r="AZ4553" t="s">
        <v>101</v>
      </c>
      <c r="BA4553">
        <v>1</v>
      </c>
      <c r="BC4553" t="s">
        <v>9215</v>
      </c>
      <c r="BD4553" s="4">
        <v>43283.240277777775</v>
      </c>
      <c r="BE4553" s="4">
        <v>43283.272719907407</v>
      </c>
      <c r="BF4553" s="4">
        <v>43283.272719907407</v>
      </c>
      <c r="BG4553" t="s">
        <v>83</v>
      </c>
      <c r="BH4553" t="s">
        <v>84</v>
      </c>
      <c r="BI4553" t="s">
        <v>85</v>
      </c>
    </row>
    <row r="4554" spans="1:61" x14ac:dyDescent="0.3">
      <c r="A4554" t="str">
        <f>"202292B0100"</f>
        <v>202292B0100</v>
      </c>
      <c r="B4554" t="s">
        <v>9216</v>
      </c>
      <c r="C4554">
        <v>20</v>
      </c>
      <c r="D4554" t="s">
        <v>79</v>
      </c>
      <c r="E4554">
        <v>21</v>
      </c>
      <c r="F4554" t="s">
        <v>8898</v>
      </c>
      <c r="G4554">
        <v>2292</v>
      </c>
      <c r="H4554">
        <v>1</v>
      </c>
      <c r="I4554" t="s">
        <v>81</v>
      </c>
      <c r="J4554">
        <v>0</v>
      </c>
      <c r="K4554">
        <v>2</v>
      </c>
      <c r="L4554">
        <v>2</v>
      </c>
      <c r="M4554">
        <v>219</v>
      </c>
      <c r="N4554">
        <v>376</v>
      </c>
      <c r="O4554">
        <v>1</v>
      </c>
      <c r="P4554">
        <v>376</v>
      </c>
      <c r="Q4554">
        <v>54</v>
      </c>
      <c r="R4554">
        <v>52</v>
      </c>
      <c r="S4554">
        <v>6</v>
      </c>
      <c r="T4554">
        <v>15</v>
      </c>
      <c r="U4554">
        <v>32</v>
      </c>
      <c r="V4554">
        <v>2</v>
      </c>
      <c r="W4554">
        <v>3</v>
      </c>
      <c r="X4554">
        <v>32</v>
      </c>
      <c r="Y4554">
        <v>133</v>
      </c>
      <c r="Z4554">
        <v>8</v>
      </c>
      <c r="AA4554">
        <v>7</v>
      </c>
      <c r="AB4554">
        <v>4</v>
      </c>
      <c r="AC4554">
        <v>0</v>
      </c>
      <c r="AD4554">
        <v>1</v>
      </c>
      <c r="AE4554">
        <v>0</v>
      </c>
      <c r="AF4554">
        <v>0</v>
      </c>
      <c r="AG4554">
        <v>4</v>
      </c>
      <c r="AH4554">
        <v>1</v>
      </c>
      <c r="AI4554">
        <v>1</v>
      </c>
      <c r="AJ4554">
        <v>1</v>
      </c>
      <c r="AK4554">
        <v>3</v>
      </c>
      <c r="AL4554">
        <v>0</v>
      </c>
      <c r="AM4554">
        <v>0</v>
      </c>
      <c r="AN4554">
        <v>2</v>
      </c>
      <c r="AT4554">
        <v>0</v>
      </c>
      <c r="AU4554">
        <v>15</v>
      </c>
      <c r="AV4554">
        <v>376</v>
      </c>
      <c r="AW4554">
        <v>376</v>
      </c>
      <c r="AX4554">
        <v>573</v>
      </c>
      <c r="BA4554">
        <v>1</v>
      </c>
      <c r="BC4554" t="s">
        <v>9217</v>
      </c>
      <c r="BD4554" s="4">
        <v>43283.539583333331</v>
      </c>
      <c r="BE4554" s="4">
        <v>43283.546180555553</v>
      </c>
      <c r="BF4554" s="4">
        <v>43283.546180555553</v>
      </c>
      <c r="BG4554" t="s">
        <v>83</v>
      </c>
      <c r="BH4554" t="s">
        <v>84</v>
      </c>
      <c r="BI4554" t="s">
        <v>85</v>
      </c>
    </row>
    <row r="4555" spans="1:61" x14ac:dyDescent="0.3">
      <c r="A4555" t="str">
        <f>"202292C0100"</f>
        <v>202292C0100</v>
      </c>
      <c r="B4555" t="s">
        <v>9218</v>
      </c>
      <c r="C4555">
        <v>20</v>
      </c>
      <c r="D4555" t="s">
        <v>79</v>
      </c>
      <c r="E4555">
        <v>21</v>
      </c>
      <c r="F4555" t="s">
        <v>8898</v>
      </c>
      <c r="G4555">
        <v>2292</v>
      </c>
      <c r="H4555">
        <v>1</v>
      </c>
      <c r="I4555" t="s">
        <v>89</v>
      </c>
      <c r="J4555">
        <v>0</v>
      </c>
      <c r="K4555">
        <v>2</v>
      </c>
      <c r="L4555">
        <v>2</v>
      </c>
      <c r="M4555">
        <v>204</v>
      </c>
      <c r="N4555">
        <v>394</v>
      </c>
      <c r="O4555">
        <v>4</v>
      </c>
      <c r="P4555">
        <v>394</v>
      </c>
      <c r="Q4555">
        <v>72</v>
      </c>
      <c r="R4555">
        <v>40</v>
      </c>
      <c r="S4555">
        <v>12</v>
      </c>
      <c r="T4555">
        <v>8</v>
      </c>
      <c r="U4555">
        <v>38</v>
      </c>
      <c r="V4555">
        <v>3</v>
      </c>
      <c r="W4555">
        <v>2</v>
      </c>
      <c r="X4555">
        <v>31</v>
      </c>
      <c r="Y4555">
        <v>18</v>
      </c>
      <c r="Z4555">
        <v>6</v>
      </c>
      <c r="AA4555">
        <v>30</v>
      </c>
      <c r="AB4555">
        <v>2</v>
      </c>
      <c r="AC4555">
        <v>0</v>
      </c>
      <c r="AD4555">
        <v>0</v>
      </c>
      <c r="AE4555">
        <v>0</v>
      </c>
      <c r="AF4555">
        <v>0</v>
      </c>
      <c r="AG4555">
        <v>2</v>
      </c>
      <c r="AH4555">
        <v>1</v>
      </c>
      <c r="AI4555">
        <v>25</v>
      </c>
      <c r="AJ4555">
        <v>1</v>
      </c>
      <c r="AK4555">
        <v>4</v>
      </c>
      <c r="AL4555">
        <v>3</v>
      </c>
      <c r="AM4555">
        <v>25</v>
      </c>
      <c r="AN4555">
        <v>25</v>
      </c>
      <c r="AT4555">
        <v>0</v>
      </c>
      <c r="AU4555">
        <v>45</v>
      </c>
      <c r="AV4555">
        <v>394</v>
      </c>
      <c r="AW4555">
        <v>393</v>
      </c>
      <c r="AX4555">
        <v>573</v>
      </c>
      <c r="BA4555">
        <v>1</v>
      </c>
      <c r="BC4555" t="s">
        <v>9219</v>
      </c>
      <c r="BD4555" s="4">
        <v>43283.542361111111</v>
      </c>
      <c r="BE4555" s="4">
        <v>43283.554756944446</v>
      </c>
      <c r="BF4555" s="4">
        <v>43283.554756944446</v>
      </c>
      <c r="BG4555" t="s">
        <v>83</v>
      </c>
      <c r="BH4555" t="s">
        <v>84</v>
      </c>
      <c r="BI4555" t="s">
        <v>85</v>
      </c>
    </row>
    <row r="4556" spans="1:61" x14ac:dyDescent="0.3">
      <c r="A4556" t="str">
        <f>"202292C0200"</f>
        <v>202292C0200</v>
      </c>
      <c r="B4556" t="s">
        <v>9220</v>
      </c>
      <c r="C4556">
        <v>20</v>
      </c>
      <c r="D4556" t="s">
        <v>79</v>
      </c>
      <c r="E4556">
        <v>21</v>
      </c>
      <c r="F4556" t="s">
        <v>8898</v>
      </c>
      <c r="G4556">
        <v>2292</v>
      </c>
      <c r="H4556">
        <v>2</v>
      </c>
      <c r="I4556" t="s">
        <v>89</v>
      </c>
      <c r="J4556">
        <v>0</v>
      </c>
      <c r="K4556">
        <v>2</v>
      </c>
      <c r="L4556">
        <v>2</v>
      </c>
      <c r="M4556">
        <v>232</v>
      </c>
      <c r="N4556">
        <v>363</v>
      </c>
      <c r="O4556">
        <v>0</v>
      </c>
      <c r="P4556">
        <v>363</v>
      </c>
      <c r="Q4556">
        <v>41</v>
      </c>
      <c r="R4556">
        <v>54</v>
      </c>
      <c r="S4556">
        <v>6</v>
      </c>
      <c r="T4556">
        <v>4</v>
      </c>
      <c r="U4556">
        <v>24</v>
      </c>
      <c r="V4556">
        <v>6</v>
      </c>
      <c r="W4556">
        <v>0</v>
      </c>
      <c r="X4556">
        <v>31</v>
      </c>
      <c r="Y4556">
        <v>131</v>
      </c>
      <c r="Z4556">
        <v>6</v>
      </c>
      <c r="AA4556">
        <v>12</v>
      </c>
      <c r="AB4556">
        <v>4</v>
      </c>
      <c r="AC4556">
        <v>0</v>
      </c>
      <c r="AD4556">
        <v>0</v>
      </c>
      <c r="AE4556">
        <v>0</v>
      </c>
      <c r="AF4556">
        <v>0</v>
      </c>
      <c r="AG4556">
        <v>3</v>
      </c>
      <c r="AH4556">
        <v>0</v>
      </c>
      <c r="AI4556">
        <v>0</v>
      </c>
      <c r="AJ4556">
        <v>0</v>
      </c>
      <c r="AK4556">
        <v>4</v>
      </c>
      <c r="AL4556">
        <v>1</v>
      </c>
      <c r="AM4556">
        <v>0</v>
      </c>
      <c r="AN4556">
        <v>0</v>
      </c>
      <c r="AT4556" t="s">
        <v>100</v>
      </c>
      <c r="AU4556" t="s">
        <v>100</v>
      </c>
      <c r="AV4556" t="s">
        <v>100</v>
      </c>
      <c r="AW4556">
        <v>327</v>
      </c>
      <c r="AX4556">
        <v>573</v>
      </c>
      <c r="AZ4556" t="s">
        <v>101</v>
      </c>
      <c r="BA4556">
        <v>1</v>
      </c>
      <c r="BC4556" t="s">
        <v>9221</v>
      </c>
      <c r="BD4556" s="4">
        <v>43283.544444444444</v>
      </c>
      <c r="BE4556" s="4">
        <v>43283.549456018518</v>
      </c>
      <c r="BF4556" s="4">
        <v>43283.549456018518</v>
      </c>
      <c r="BG4556" t="s">
        <v>83</v>
      </c>
      <c r="BH4556" t="s">
        <v>84</v>
      </c>
      <c r="BI4556" t="s">
        <v>85</v>
      </c>
    </row>
    <row r="4557" spans="1:61" x14ac:dyDescent="0.3">
      <c r="A4557" t="str">
        <f>"202292S0100"</f>
        <v>202292S0100</v>
      </c>
      <c r="B4557" t="s">
        <v>9222</v>
      </c>
      <c r="C4557">
        <v>20</v>
      </c>
      <c r="D4557" t="s">
        <v>79</v>
      </c>
      <c r="E4557">
        <v>21</v>
      </c>
      <c r="F4557" t="s">
        <v>8898</v>
      </c>
      <c r="G4557">
        <v>2292</v>
      </c>
      <c r="H4557">
        <v>1</v>
      </c>
      <c r="I4557" t="s">
        <v>104</v>
      </c>
      <c r="J4557">
        <v>0</v>
      </c>
      <c r="K4557">
        <v>2</v>
      </c>
      <c r="L4557">
        <v>3</v>
      </c>
      <c r="M4557" t="s">
        <v>100</v>
      </c>
      <c r="N4557" t="s">
        <v>100</v>
      </c>
      <c r="O4557" t="s">
        <v>100</v>
      </c>
      <c r="P4557" t="s">
        <v>100</v>
      </c>
      <c r="Q4557" t="s">
        <v>100</v>
      </c>
      <c r="R4557" t="s">
        <v>100</v>
      </c>
      <c r="S4557" t="s">
        <v>100</v>
      </c>
      <c r="T4557" t="s">
        <v>100</v>
      </c>
      <c r="U4557" t="s">
        <v>100</v>
      </c>
      <c r="V4557" t="s">
        <v>100</v>
      </c>
      <c r="W4557" t="s">
        <v>100</v>
      </c>
      <c r="X4557" t="s">
        <v>100</v>
      </c>
      <c r="Y4557" t="s">
        <v>100</v>
      </c>
      <c r="Z4557" t="s">
        <v>100</v>
      </c>
      <c r="AA4557" t="s">
        <v>100</v>
      </c>
      <c r="AB4557" t="s">
        <v>100</v>
      </c>
      <c r="AC4557" t="s">
        <v>100</v>
      </c>
      <c r="AD4557" t="s">
        <v>100</v>
      </c>
      <c r="AE4557" t="s">
        <v>100</v>
      </c>
      <c r="AF4557" t="s">
        <v>100</v>
      </c>
      <c r="AG4557" t="s">
        <v>100</v>
      </c>
      <c r="AH4557" t="s">
        <v>100</v>
      </c>
      <c r="AI4557" t="s">
        <v>100</v>
      </c>
      <c r="AJ4557" t="s">
        <v>100</v>
      </c>
      <c r="AK4557" t="s">
        <v>100</v>
      </c>
      <c r="AL4557" t="s">
        <v>100</v>
      </c>
      <c r="AM4557" t="s">
        <v>100</v>
      </c>
      <c r="AN4557" t="s">
        <v>100</v>
      </c>
      <c r="AT4557" t="s">
        <v>100</v>
      </c>
      <c r="AU4557" t="s">
        <v>100</v>
      </c>
      <c r="AX4557">
        <v>0</v>
      </c>
      <c r="AZ4557" t="s">
        <v>794</v>
      </c>
      <c r="BA4557">
        <v>0</v>
      </c>
      <c r="BC4557" t="s">
        <v>9223</v>
      </c>
      <c r="BD4557" s="4">
        <v>43283.577777777777</v>
      </c>
      <c r="BE4557" s="4">
        <v>43283.580763888887</v>
      </c>
      <c r="BF4557" s="4">
        <v>43283.580763888887</v>
      </c>
      <c r="BG4557" t="s">
        <v>83</v>
      </c>
      <c r="BH4557" t="s">
        <v>84</v>
      </c>
      <c r="BI4557" t="s">
        <v>85</v>
      </c>
    </row>
    <row r="4558" spans="1:61" x14ac:dyDescent="0.3">
      <c r="A4558" t="str">
        <f>"202293B0100"</f>
        <v>202293B0100</v>
      </c>
      <c r="B4558" t="s">
        <v>9224</v>
      </c>
      <c r="C4558">
        <v>20</v>
      </c>
      <c r="D4558" t="s">
        <v>79</v>
      </c>
      <c r="E4558">
        <v>21</v>
      </c>
      <c r="F4558" t="s">
        <v>8898</v>
      </c>
      <c r="G4558">
        <v>2293</v>
      </c>
      <c r="H4558">
        <v>1</v>
      </c>
      <c r="I4558" t="s">
        <v>81</v>
      </c>
      <c r="J4558">
        <v>0</v>
      </c>
      <c r="K4558">
        <v>2</v>
      </c>
      <c r="L4558">
        <v>2</v>
      </c>
      <c r="M4558">
        <v>104</v>
      </c>
      <c r="N4558">
        <v>350</v>
      </c>
      <c r="O4558">
        <v>0</v>
      </c>
      <c r="P4558">
        <v>348</v>
      </c>
      <c r="Q4558">
        <v>23</v>
      </c>
      <c r="R4558">
        <v>36</v>
      </c>
      <c r="S4558">
        <v>3</v>
      </c>
      <c r="T4558">
        <v>4</v>
      </c>
      <c r="U4558">
        <v>88</v>
      </c>
      <c r="V4558">
        <v>3</v>
      </c>
      <c r="W4558">
        <v>1</v>
      </c>
      <c r="X4558">
        <v>25</v>
      </c>
      <c r="Y4558">
        <v>89</v>
      </c>
      <c r="Z4558">
        <v>46</v>
      </c>
      <c r="AA4558">
        <v>14</v>
      </c>
      <c r="AB4558">
        <v>0</v>
      </c>
      <c r="AC4558">
        <v>0</v>
      </c>
      <c r="AD4558">
        <v>0</v>
      </c>
      <c r="AE4558">
        <v>0</v>
      </c>
      <c r="AF4558">
        <v>0</v>
      </c>
      <c r="AG4558">
        <v>0</v>
      </c>
      <c r="AH4558">
        <v>0</v>
      </c>
      <c r="AI4558">
        <v>0</v>
      </c>
      <c r="AJ4558">
        <v>0</v>
      </c>
      <c r="AK4558">
        <v>0</v>
      </c>
      <c r="AL4558">
        <v>1</v>
      </c>
      <c r="AM4558">
        <v>0</v>
      </c>
      <c r="AN4558">
        <v>0</v>
      </c>
      <c r="AT4558" t="s">
        <v>100</v>
      </c>
      <c r="AU4558">
        <v>15</v>
      </c>
      <c r="AV4558">
        <v>348</v>
      </c>
      <c r="AW4558">
        <v>348</v>
      </c>
      <c r="AX4558">
        <v>433</v>
      </c>
      <c r="AZ4558" t="s">
        <v>101</v>
      </c>
      <c r="BA4558">
        <v>1</v>
      </c>
      <c r="BC4558" t="s">
        <v>9225</v>
      </c>
      <c r="BD4558" s="4">
        <v>43283.415277777778</v>
      </c>
      <c r="BE4558" s="4">
        <v>43283.420081018521</v>
      </c>
      <c r="BF4558" s="4">
        <v>43283.420081018521</v>
      </c>
      <c r="BG4558" t="s">
        <v>83</v>
      </c>
      <c r="BH4558" t="s">
        <v>84</v>
      </c>
      <c r="BI4558" t="s">
        <v>85</v>
      </c>
    </row>
    <row r="4559" spans="1:61" x14ac:dyDescent="0.3">
      <c r="A4559" t="str">
        <f>"202293C0100"</f>
        <v>202293C0100</v>
      </c>
      <c r="B4559" t="s">
        <v>9226</v>
      </c>
      <c r="C4559">
        <v>20</v>
      </c>
      <c r="D4559" t="s">
        <v>79</v>
      </c>
      <c r="E4559">
        <v>21</v>
      </c>
      <c r="F4559" t="s">
        <v>8898</v>
      </c>
      <c r="G4559">
        <v>2293</v>
      </c>
      <c r="H4559">
        <v>1</v>
      </c>
      <c r="I4559" t="s">
        <v>89</v>
      </c>
      <c r="J4559">
        <v>0</v>
      </c>
      <c r="K4559">
        <v>2</v>
      </c>
      <c r="L4559">
        <v>2</v>
      </c>
      <c r="M4559">
        <v>107</v>
      </c>
      <c r="N4559">
        <v>334</v>
      </c>
      <c r="O4559">
        <v>0</v>
      </c>
      <c r="P4559">
        <v>334</v>
      </c>
      <c r="Q4559">
        <v>22</v>
      </c>
      <c r="R4559">
        <v>29</v>
      </c>
      <c r="S4559">
        <v>2</v>
      </c>
      <c r="T4559">
        <v>2</v>
      </c>
      <c r="U4559">
        <v>87</v>
      </c>
      <c r="V4559">
        <v>3</v>
      </c>
      <c r="W4559">
        <v>3</v>
      </c>
      <c r="X4559">
        <v>11</v>
      </c>
      <c r="Y4559">
        <v>132</v>
      </c>
      <c r="Z4559">
        <v>24</v>
      </c>
      <c r="AA4559">
        <v>12</v>
      </c>
      <c r="AB4559">
        <v>0</v>
      </c>
      <c r="AC4559">
        <v>0</v>
      </c>
      <c r="AD4559">
        <v>1</v>
      </c>
      <c r="AE4559">
        <v>0</v>
      </c>
      <c r="AF4559">
        <v>0</v>
      </c>
      <c r="AG4559">
        <v>1</v>
      </c>
      <c r="AH4559">
        <v>3</v>
      </c>
      <c r="AI4559">
        <v>0</v>
      </c>
      <c r="AJ4559">
        <v>0</v>
      </c>
      <c r="AK4559">
        <v>1</v>
      </c>
      <c r="AL4559">
        <v>0</v>
      </c>
      <c r="AM4559">
        <v>0</v>
      </c>
      <c r="AN4559">
        <v>1</v>
      </c>
      <c r="AT4559">
        <v>0</v>
      </c>
      <c r="AU4559">
        <v>13</v>
      </c>
      <c r="AV4559">
        <v>347</v>
      </c>
      <c r="AW4559">
        <v>347</v>
      </c>
      <c r="AX4559">
        <v>432</v>
      </c>
      <c r="BA4559">
        <v>1</v>
      </c>
      <c r="BC4559" t="s">
        <v>9227</v>
      </c>
      <c r="BD4559" s="4">
        <v>43283.418055555558</v>
      </c>
      <c r="BE4559" s="4">
        <v>43283.422673611109</v>
      </c>
      <c r="BF4559" s="4">
        <v>43283.422673611109</v>
      </c>
      <c r="BG4559" t="s">
        <v>83</v>
      </c>
      <c r="BH4559" t="s">
        <v>84</v>
      </c>
      <c r="BI4559" t="s">
        <v>85</v>
      </c>
    </row>
    <row r="4560" spans="1:61" x14ac:dyDescent="0.3">
      <c r="A4560" t="str">
        <f>"202293E0100"</f>
        <v>202293E0100</v>
      </c>
      <c r="B4560" s="2" t="s">
        <v>9228</v>
      </c>
      <c r="C4560">
        <v>20</v>
      </c>
      <c r="D4560" t="s">
        <v>79</v>
      </c>
      <c r="E4560">
        <v>21</v>
      </c>
      <c r="F4560" t="s">
        <v>8898</v>
      </c>
      <c r="G4560">
        <v>2293</v>
      </c>
      <c r="H4560">
        <v>1</v>
      </c>
      <c r="I4560" t="s">
        <v>145</v>
      </c>
      <c r="J4560">
        <v>0</v>
      </c>
      <c r="K4560">
        <v>2</v>
      </c>
      <c r="L4560">
        <v>2</v>
      </c>
      <c r="M4560">
        <v>100</v>
      </c>
      <c r="N4560">
        <v>211</v>
      </c>
      <c r="O4560">
        <v>0</v>
      </c>
      <c r="P4560">
        <v>211</v>
      </c>
      <c r="Q4560">
        <v>22</v>
      </c>
      <c r="R4560">
        <v>6</v>
      </c>
      <c r="S4560">
        <v>4</v>
      </c>
      <c r="T4560">
        <v>1</v>
      </c>
      <c r="U4560">
        <v>19</v>
      </c>
      <c r="V4560">
        <v>2</v>
      </c>
      <c r="W4560">
        <v>0</v>
      </c>
      <c r="X4560">
        <v>3</v>
      </c>
      <c r="Y4560">
        <v>120</v>
      </c>
      <c r="Z4560">
        <v>12</v>
      </c>
      <c r="AA4560">
        <v>4</v>
      </c>
      <c r="AB4560">
        <v>0</v>
      </c>
      <c r="AC4560">
        <v>0</v>
      </c>
      <c r="AD4560">
        <v>0</v>
      </c>
      <c r="AE4560">
        <v>0</v>
      </c>
      <c r="AF4560">
        <v>0</v>
      </c>
      <c r="AG4560">
        <v>0</v>
      </c>
      <c r="AH4560">
        <v>0</v>
      </c>
      <c r="AI4560">
        <v>0</v>
      </c>
      <c r="AJ4560">
        <v>0</v>
      </c>
      <c r="AK4560">
        <v>9</v>
      </c>
      <c r="AL4560">
        <v>2</v>
      </c>
      <c r="AM4560">
        <v>0</v>
      </c>
      <c r="AN4560">
        <v>1</v>
      </c>
      <c r="AT4560" t="s">
        <v>100</v>
      </c>
      <c r="AU4560">
        <v>6</v>
      </c>
      <c r="AV4560">
        <v>211</v>
      </c>
      <c r="AW4560">
        <v>211</v>
      </c>
      <c r="AX4560">
        <v>289</v>
      </c>
      <c r="AZ4560" t="s">
        <v>101</v>
      </c>
      <c r="BA4560">
        <v>1</v>
      </c>
      <c r="BC4560" t="s">
        <v>9229</v>
      </c>
      <c r="BD4560" s="4">
        <v>43283.424305555556</v>
      </c>
      <c r="BE4560" s="4">
        <v>43283.427418981482</v>
      </c>
      <c r="BF4560" s="4">
        <v>43283.427418981482</v>
      </c>
      <c r="BG4560" t="s">
        <v>83</v>
      </c>
      <c r="BH4560" t="s">
        <v>84</v>
      </c>
      <c r="BI4560" t="s">
        <v>85</v>
      </c>
    </row>
    <row r="4561" spans="1:61" x14ac:dyDescent="0.3">
      <c r="A4561" t="str">
        <f>"202294B0100"</f>
        <v>202294B0100</v>
      </c>
      <c r="B4561" t="s">
        <v>9230</v>
      </c>
      <c r="C4561">
        <v>20</v>
      </c>
      <c r="D4561" t="s">
        <v>79</v>
      </c>
      <c r="E4561">
        <v>21</v>
      </c>
      <c r="F4561" t="s">
        <v>8898</v>
      </c>
      <c r="G4561">
        <v>2294</v>
      </c>
      <c r="H4561">
        <v>1</v>
      </c>
      <c r="I4561" t="s">
        <v>81</v>
      </c>
      <c r="J4561">
        <v>0</v>
      </c>
      <c r="K4561">
        <v>2</v>
      </c>
      <c r="L4561">
        <v>2</v>
      </c>
      <c r="M4561">
        <v>199</v>
      </c>
      <c r="N4561">
        <v>527</v>
      </c>
      <c r="O4561">
        <v>0</v>
      </c>
      <c r="P4561">
        <v>527</v>
      </c>
      <c r="Q4561">
        <v>167</v>
      </c>
      <c r="R4561">
        <v>11</v>
      </c>
      <c r="S4561">
        <v>6</v>
      </c>
      <c r="T4561">
        <v>4</v>
      </c>
      <c r="U4561">
        <v>44</v>
      </c>
      <c r="V4561">
        <v>6</v>
      </c>
      <c r="W4561">
        <v>1</v>
      </c>
      <c r="X4561">
        <v>15</v>
      </c>
      <c r="Y4561">
        <v>119</v>
      </c>
      <c r="Z4561">
        <v>65</v>
      </c>
      <c r="AA4561">
        <v>50</v>
      </c>
      <c r="AB4561">
        <v>1</v>
      </c>
      <c r="AC4561">
        <v>4</v>
      </c>
      <c r="AD4561">
        <v>0</v>
      </c>
      <c r="AE4561">
        <v>0</v>
      </c>
      <c r="AF4561">
        <v>0</v>
      </c>
      <c r="AG4561">
        <v>1</v>
      </c>
      <c r="AH4561">
        <v>0</v>
      </c>
      <c r="AI4561">
        <v>0</v>
      </c>
      <c r="AJ4561">
        <v>0</v>
      </c>
      <c r="AK4561">
        <v>8</v>
      </c>
      <c r="AL4561">
        <v>0</v>
      </c>
      <c r="AM4561">
        <v>0</v>
      </c>
      <c r="AN4561">
        <v>0</v>
      </c>
      <c r="AT4561">
        <v>0</v>
      </c>
      <c r="AU4561">
        <v>25</v>
      </c>
      <c r="AV4561">
        <v>527</v>
      </c>
      <c r="AW4561">
        <v>527</v>
      </c>
      <c r="AX4561">
        <v>704</v>
      </c>
      <c r="BA4561">
        <v>1</v>
      </c>
      <c r="BC4561" t="s">
        <v>9231</v>
      </c>
      <c r="BD4561" s="4">
        <v>43283.546527777777</v>
      </c>
      <c r="BE4561" s="4">
        <v>43283.551620370374</v>
      </c>
      <c r="BF4561" s="4">
        <v>43283.551620370374</v>
      </c>
      <c r="BG4561" t="s">
        <v>83</v>
      </c>
      <c r="BH4561" t="s">
        <v>84</v>
      </c>
      <c r="BI4561" t="s">
        <v>85</v>
      </c>
    </row>
    <row r="4562" spans="1:61" x14ac:dyDescent="0.3">
      <c r="A4562" t="str">
        <f>"202295B0100"</f>
        <v>202295B0100</v>
      </c>
      <c r="B4562" t="s">
        <v>9232</v>
      </c>
      <c r="C4562">
        <v>20</v>
      </c>
      <c r="D4562" t="s">
        <v>79</v>
      </c>
      <c r="E4562">
        <v>21</v>
      </c>
      <c r="F4562" t="s">
        <v>8898</v>
      </c>
      <c r="G4562">
        <v>2295</v>
      </c>
      <c r="H4562">
        <v>1</v>
      </c>
      <c r="I4562" t="s">
        <v>81</v>
      </c>
      <c r="J4562">
        <v>0</v>
      </c>
      <c r="K4562">
        <v>2</v>
      </c>
      <c r="L4562">
        <v>2</v>
      </c>
      <c r="M4562">
        <v>202</v>
      </c>
      <c r="N4562">
        <v>389</v>
      </c>
      <c r="O4562">
        <v>2</v>
      </c>
      <c r="P4562">
        <v>389</v>
      </c>
      <c r="Q4562">
        <v>86</v>
      </c>
      <c r="R4562">
        <v>63</v>
      </c>
      <c r="S4562">
        <v>6</v>
      </c>
      <c r="T4562">
        <v>15</v>
      </c>
      <c r="U4562">
        <v>31</v>
      </c>
      <c r="V4562">
        <v>1</v>
      </c>
      <c r="W4562">
        <v>4</v>
      </c>
      <c r="X4562">
        <v>44</v>
      </c>
      <c r="Y4562">
        <v>77</v>
      </c>
      <c r="Z4562">
        <v>5</v>
      </c>
      <c r="AA4562">
        <v>14</v>
      </c>
      <c r="AB4562">
        <v>2</v>
      </c>
      <c r="AC4562">
        <v>0</v>
      </c>
      <c r="AD4562">
        <v>3</v>
      </c>
      <c r="AE4562">
        <v>0</v>
      </c>
      <c r="AF4562">
        <v>0</v>
      </c>
      <c r="AG4562">
        <v>1</v>
      </c>
      <c r="AH4562">
        <v>0</v>
      </c>
      <c r="AI4562">
        <v>0</v>
      </c>
      <c r="AJ4562">
        <v>0</v>
      </c>
      <c r="AK4562">
        <v>2</v>
      </c>
      <c r="AL4562">
        <v>1</v>
      </c>
      <c r="AM4562">
        <v>0</v>
      </c>
      <c r="AN4562">
        <v>2</v>
      </c>
      <c r="AT4562">
        <v>0</v>
      </c>
      <c r="AU4562">
        <v>32</v>
      </c>
      <c r="AV4562">
        <v>389</v>
      </c>
      <c r="AW4562">
        <v>389</v>
      </c>
      <c r="AX4562">
        <v>569</v>
      </c>
      <c r="BA4562">
        <v>1</v>
      </c>
      <c r="BC4562" t="s">
        <v>9233</v>
      </c>
      <c r="BD4562" s="4">
        <v>43283.552083333336</v>
      </c>
      <c r="BE4562" s="4">
        <v>43283.556597222225</v>
      </c>
      <c r="BF4562" s="4">
        <v>43283.556597222225</v>
      </c>
      <c r="BG4562" t="s">
        <v>83</v>
      </c>
      <c r="BH4562" t="s">
        <v>84</v>
      </c>
      <c r="BI4562" t="s">
        <v>85</v>
      </c>
    </row>
    <row r="4563" spans="1:61" x14ac:dyDescent="0.3">
      <c r="A4563" t="str">
        <f>"202296B0100"</f>
        <v>202296B0100</v>
      </c>
      <c r="B4563" t="s">
        <v>9234</v>
      </c>
      <c r="C4563">
        <v>20</v>
      </c>
      <c r="D4563" t="s">
        <v>79</v>
      </c>
      <c r="E4563">
        <v>21</v>
      </c>
      <c r="F4563" t="s">
        <v>8898</v>
      </c>
      <c r="G4563">
        <v>2296</v>
      </c>
      <c r="H4563">
        <v>1</v>
      </c>
      <c r="I4563" t="s">
        <v>81</v>
      </c>
      <c r="J4563">
        <v>0</v>
      </c>
      <c r="K4563">
        <v>2</v>
      </c>
      <c r="L4563">
        <v>2</v>
      </c>
      <c r="M4563">
        <v>178</v>
      </c>
      <c r="N4563">
        <v>416</v>
      </c>
      <c r="O4563">
        <v>1</v>
      </c>
      <c r="P4563">
        <v>416</v>
      </c>
      <c r="Q4563">
        <v>114</v>
      </c>
      <c r="R4563">
        <v>47</v>
      </c>
      <c r="S4563">
        <v>9</v>
      </c>
      <c r="T4563">
        <v>28</v>
      </c>
      <c r="U4563">
        <v>39</v>
      </c>
      <c r="V4563">
        <v>10</v>
      </c>
      <c r="W4563">
        <v>2</v>
      </c>
      <c r="X4563">
        <v>18</v>
      </c>
      <c r="Y4563">
        <v>85</v>
      </c>
      <c r="Z4563">
        <v>2</v>
      </c>
      <c r="AA4563">
        <v>14</v>
      </c>
      <c r="AB4563">
        <v>3</v>
      </c>
      <c r="AC4563">
        <v>3</v>
      </c>
      <c r="AD4563">
        <v>2</v>
      </c>
      <c r="AE4563" t="s">
        <v>100</v>
      </c>
      <c r="AF4563" t="s">
        <v>100</v>
      </c>
      <c r="AG4563">
        <v>1</v>
      </c>
      <c r="AH4563">
        <v>1</v>
      </c>
      <c r="AI4563" t="s">
        <v>100</v>
      </c>
      <c r="AJ4563" t="s">
        <v>100</v>
      </c>
      <c r="AK4563">
        <v>5</v>
      </c>
      <c r="AL4563">
        <v>1</v>
      </c>
      <c r="AM4563">
        <v>2</v>
      </c>
      <c r="AN4563">
        <v>1</v>
      </c>
      <c r="AT4563" t="s">
        <v>100</v>
      </c>
      <c r="AU4563">
        <v>29</v>
      </c>
      <c r="AV4563" t="s">
        <v>100</v>
      </c>
      <c r="AW4563">
        <v>416</v>
      </c>
      <c r="AX4563">
        <v>572</v>
      </c>
      <c r="AZ4563" t="s">
        <v>101</v>
      </c>
      <c r="BA4563">
        <v>1</v>
      </c>
      <c r="BC4563" t="s">
        <v>9235</v>
      </c>
      <c r="BD4563" s="4">
        <v>43283.551388888889</v>
      </c>
      <c r="BE4563" s="4">
        <v>43283.555868055555</v>
      </c>
      <c r="BF4563" s="4">
        <v>43283.555868055555</v>
      </c>
      <c r="BG4563" t="s">
        <v>83</v>
      </c>
      <c r="BH4563" t="s">
        <v>84</v>
      </c>
      <c r="BI4563" t="s">
        <v>85</v>
      </c>
    </row>
    <row r="4564" spans="1:61" x14ac:dyDescent="0.3">
      <c r="A4564" t="str">
        <f>"202297B0100"</f>
        <v>202297B0100</v>
      </c>
      <c r="B4564" t="s">
        <v>9236</v>
      </c>
      <c r="C4564">
        <v>20</v>
      </c>
      <c r="D4564" t="s">
        <v>79</v>
      </c>
      <c r="E4564">
        <v>21</v>
      </c>
      <c r="F4564" t="s">
        <v>8898</v>
      </c>
      <c r="G4564">
        <v>2297</v>
      </c>
      <c r="H4564">
        <v>1</v>
      </c>
      <c r="I4564" t="s">
        <v>81</v>
      </c>
      <c r="J4564">
        <v>0</v>
      </c>
      <c r="K4564">
        <v>2</v>
      </c>
      <c r="L4564">
        <v>2</v>
      </c>
      <c r="M4564">
        <v>139</v>
      </c>
      <c r="N4564">
        <v>261</v>
      </c>
      <c r="O4564">
        <v>0</v>
      </c>
      <c r="P4564">
        <v>261</v>
      </c>
      <c r="Q4564">
        <v>79</v>
      </c>
      <c r="R4564">
        <v>40</v>
      </c>
      <c r="S4564">
        <v>1</v>
      </c>
      <c r="T4564">
        <v>7</v>
      </c>
      <c r="U4564">
        <v>21</v>
      </c>
      <c r="V4564">
        <v>6</v>
      </c>
      <c r="W4564">
        <v>6</v>
      </c>
      <c r="X4564">
        <v>10</v>
      </c>
      <c r="Y4564">
        <v>47</v>
      </c>
      <c r="Z4564">
        <v>5</v>
      </c>
      <c r="AA4564">
        <v>13</v>
      </c>
      <c r="AB4564">
        <v>2</v>
      </c>
      <c r="AC4564">
        <v>1</v>
      </c>
      <c r="AD4564">
        <v>2</v>
      </c>
      <c r="AE4564">
        <v>0</v>
      </c>
      <c r="AF4564">
        <v>0</v>
      </c>
      <c r="AG4564">
        <v>0</v>
      </c>
      <c r="AH4564">
        <v>1</v>
      </c>
      <c r="AI4564">
        <v>1</v>
      </c>
      <c r="AJ4564">
        <v>0</v>
      </c>
      <c r="AK4564">
        <v>2</v>
      </c>
      <c r="AL4564">
        <v>0</v>
      </c>
      <c r="AM4564">
        <v>0</v>
      </c>
      <c r="AN4564">
        <v>0</v>
      </c>
      <c r="AT4564">
        <v>0</v>
      </c>
      <c r="AU4564">
        <v>17</v>
      </c>
      <c r="AV4564">
        <v>261</v>
      </c>
      <c r="AW4564">
        <v>261</v>
      </c>
      <c r="AX4564">
        <v>378</v>
      </c>
      <c r="BA4564">
        <v>1</v>
      </c>
      <c r="BC4564" t="s">
        <v>9237</v>
      </c>
      <c r="BD4564" s="4">
        <v>43283.719444444447</v>
      </c>
      <c r="BE4564" s="4">
        <v>43283.723645833335</v>
      </c>
      <c r="BF4564" s="4">
        <v>43283.723645833335</v>
      </c>
      <c r="BG4564" t="s">
        <v>83</v>
      </c>
      <c r="BH4564" t="s">
        <v>84</v>
      </c>
      <c r="BI4564" t="s">
        <v>85</v>
      </c>
    </row>
    <row r="4565" spans="1:61" x14ac:dyDescent="0.3">
      <c r="A4565" t="str">
        <f>"202297C0100"</f>
        <v>202297C0100</v>
      </c>
      <c r="B4565" t="s">
        <v>9238</v>
      </c>
      <c r="C4565">
        <v>20</v>
      </c>
      <c r="D4565" t="s">
        <v>79</v>
      </c>
      <c r="E4565">
        <v>21</v>
      </c>
      <c r="F4565" t="s">
        <v>8898</v>
      </c>
      <c r="G4565">
        <v>2297</v>
      </c>
      <c r="H4565">
        <v>1</v>
      </c>
      <c r="I4565" t="s">
        <v>89</v>
      </c>
      <c r="J4565">
        <v>0</v>
      </c>
      <c r="K4565">
        <v>2</v>
      </c>
      <c r="L4565">
        <v>2</v>
      </c>
      <c r="M4565">
        <v>132</v>
      </c>
      <c r="N4565">
        <v>267</v>
      </c>
      <c r="O4565">
        <v>0</v>
      </c>
      <c r="P4565">
        <v>267</v>
      </c>
      <c r="Q4565">
        <v>78</v>
      </c>
      <c r="R4565">
        <v>40</v>
      </c>
      <c r="S4565">
        <v>4</v>
      </c>
      <c r="T4565">
        <v>3</v>
      </c>
      <c r="U4565">
        <v>32</v>
      </c>
      <c r="V4565">
        <v>2</v>
      </c>
      <c r="W4565">
        <v>1</v>
      </c>
      <c r="X4565">
        <v>19</v>
      </c>
      <c r="Y4565">
        <v>39</v>
      </c>
      <c r="Z4565">
        <v>2</v>
      </c>
      <c r="AA4565">
        <v>8</v>
      </c>
      <c r="AB4565">
        <v>0</v>
      </c>
      <c r="AC4565">
        <v>0</v>
      </c>
      <c r="AD4565">
        <v>1</v>
      </c>
      <c r="AE4565">
        <v>0</v>
      </c>
      <c r="AF4565">
        <v>0</v>
      </c>
      <c r="AG4565">
        <v>1</v>
      </c>
      <c r="AH4565">
        <v>0</v>
      </c>
      <c r="AI4565">
        <v>0</v>
      </c>
      <c r="AJ4565">
        <v>1</v>
      </c>
      <c r="AK4565">
        <v>1</v>
      </c>
      <c r="AL4565">
        <v>0</v>
      </c>
      <c r="AM4565">
        <v>0</v>
      </c>
      <c r="AN4565">
        <v>0</v>
      </c>
      <c r="AT4565" t="s">
        <v>100</v>
      </c>
      <c r="AU4565">
        <v>35</v>
      </c>
      <c r="AV4565">
        <v>267</v>
      </c>
      <c r="AW4565">
        <v>267</v>
      </c>
      <c r="AX4565">
        <v>377</v>
      </c>
      <c r="AZ4565" t="s">
        <v>101</v>
      </c>
      <c r="BA4565">
        <v>1</v>
      </c>
      <c r="BC4565" t="s">
        <v>9239</v>
      </c>
      <c r="BD4565" s="4">
        <v>43283.324999999997</v>
      </c>
      <c r="BE4565" s="4">
        <v>43283.354849537034</v>
      </c>
      <c r="BF4565" s="4">
        <v>43283.354849537034</v>
      </c>
      <c r="BG4565" t="s">
        <v>83</v>
      </c>
      <c r="BH4565" t="s">
        <v>84</v>
      </c>
      <c r="BI4565" t="s">
        <v>85</v>
      </c>
    </row>
    <row r="4566" spans="1:61" x14ac:dyDescent="0.3">
      <c r="A4566" t="str">
        <f>"202298B0100"</f>
        <v>202298B0100</v>
      </c>
      <c r="B4566" t="s">
        <v>9240</v>
      </c>
      <c r="C4566">
        <v>20</v>
      </c>
      <c r="D4566" t="s">
        <v>79</v>
      </c>
      <c r="E4566">
        <v>21</v>
      </c>
      <c r="F4566" t="s">
        <v>8898</v>
      </c>
      <c r="G4566">
        <v>2298</v>
      </c>
      <c r="H4566">
        <v>1</v>
      </c>
      <c r="I4566" t="s">
        <v>81</v>
      </c>
      <c r="J4566">
        <v>0</v>
      </c>
      <c r="K4566">
        <v>2</v>
      </c>
      <c r="L4566">
        <v>2</v>
      </c>
      <c r="M4566">
        <v>286</v>
      </c>
      <c r="N4566">
        <v>304</v>
      </c>
      <c r="O4566">
        <v>1</v>
      </c>
      <c r="P4566">
        <v>304</v>
      </c>
      <c r="Q4566">
        <v>77</v>
      </c>
      <c r="R4566">
        <v>26</v>
      </c>
      <c r="S4566">
        <v>5</v>
      </c>
      <c r="T4566">
        <v>7</v>
      </c>
      <c r="U4566">
        <v>14</v>
      </c>
      <c r="V4566">
        <v>8</v>
      </c>
      <c r="W4566">
        <v>2</v>
      </c>
      <c r="X4566">
        <v>13</v>
      </c>
      <c r="Y4566">
        <v>53</v>
      </c>
      <c r="Z4566">
        <v>7</v>
      </c>
      <c r="AA4566">
        <v>49</v>
      </c>
      <c r="AB4566">
        <v>2</v>
      </c>
      <c r="AC4566">
        <v>1</v>
      </c>
      <c r="AD4566">
        <v>2</v>
      </c>
      <c r="AE4566">
        <v>0</v>
      </c>
      <c r="AF4566">
        <v>0</v>
      </c>
      <c r="AG4566">
        <v>0</v>
      </c>
      <c r="AH4566">
        <v>1</v>
      </c>
      <c r="AI4566">
        <v>1</v>
      </c>
      <c r="AJ4566">
        <v>0</v>
      </c>
      <c r="AK4566">
        <v>0</v>
      </c>
      <c r="AL4566">
        <v>0</v>
      </c>
      <c r="AM4566">
        <v>0</v>
      </c>
      <c r="AN4566">
        <v>0</v>
      </c>
      <c r="AT4566">
        <v>0</v>
      </c>
      <c r="AU4566">
        <v>36</v>
      </c>
      <c r="AV4566">
        <v>304</v>
      </c>
      <c r="AW4566">
        <v>304</v>
      </c>
      <c r="AX4566">
        <v>568</v>
      </c>
      <c r="BA4566">
        <v>1</v>
      </c>
      <c r="BC4566" t="s">
        <v>9241</v>
      </c>
      <c r="BD4566" s="4">
        <v>43283.552777777775</v>
      </c>
      <c r="BE4566" s="4">
        <v>43283.557986111111</v>
      </c>
      <c r="BF4566" s="4">
        <v>43283.557986111111</v>
      </c>
      <c r="BG4566" t="s">
        <v>83</v>
      </c>
      <c r="BH4566" t="s">
        <v>84</v>
      </c>
      <c r="BI4566" t="s">
        <v>548</v>
      </c>
    </row>
    <row r="4567" spans="1:61" x14ac:dyDescent="0.3">
      <c r="A4567" t="str">
        <f>"202298C0100"</f>
        <v>202298C0100</v>
      </c>
      <c r="B4567" t="s">
        <v>9242</v>
      </c>
      <c r="C4567">
        <v>20</v>
      </c>
      <c r="D4567" t="s">
        <v>79</v>
      </c>
      <c r="E4567">
        <v>21</v>
      </c>
      <c r="F4567" t="s">
        <v>8898</v>
      </c>
      <c r="G4567">
        <v>2298</v>
      </c>
      <c r="H4567">
        <v>1</v>
      </c>
      <c r="I4567" t="s">
        <v>89</v>
      </c>
      <c r="J4567">
        <v>0</v>
      </c>
      <c r="K4567">
        <v>2</v>
      </c>
      <c r="L4567">
        <v>2</v>
      </c>
      <c r="M4567">
        <v>264</v>
      </c>
      <c r="N4567">
        <v>324</v>
      </c>
      <c r="O4567">
        <v>0</v>
      </c>
      <c r="P4567">
        <v>324</v>
      </c>
      <c r="Q4567">
        <v>72</v>
      </c>
      <c r="R4567">
        <v>32</v>
      </c>
      <c r="S4567">
        <v>8</v>
      </c>
      <c r="T4567">
        <v>12</v>
      </c>
      <c r="U4567">
        <v>21</v>
      </c>
      <c r="V4567">
        <v>8</v>
      </c>
      <c r="W4567">
        <v>3</v>
      </c>
      <c r="X4567">
        <v>20</v>
      </c>
      <c r="Y4567">
        <v>43</v>
      </c>
      <c r="Z4567">
        <v>8</v>
      </c>
      <c r="AA4567">
        <v>64</v>
      </c>
      <c r="AB4567">
        <v>1</v>
      </c>
      <c r="AC4567">
        <v>1</v>
      </c>
      <c r="AD4567">
        <v>1</v>
      </c>
      <c r="AE4567">
        <v>0</v>
      </c>
      <c r="AF4567">
        <v>0</v>
      </c>
      <c r="AG4567">
        <v>0</v>
      </c>
      <c r="AH4567">
        <v>0</v>
      </c>
      <c r="AI4567">
        <v>0</v>
      </c>
      <c r="AJ4567">
        <v>0</v>
      </c>
      <c r="AK4567">
        <v>0</v>
      </c>
      <c r="AL4567">
        <v>0</v>
      </c>
      <c r="AM4567">
        <v>0</v>
      </c>
      <c r="AN4567">
        <v>0</v>
      </c>
      <c r="AT4567">
        <v>0</v>
      </c>
      <c r="AU4567">
        <v>0</v>
      </c>
      <c r="AV4567">
        <v>324</v>
      </c>
      <c r="AW4567">
        <v>294</v>
      </c>
      <c r="AX4567">
        <v>567</v>
      </c>
      <c r="BA4567">
        <v>1</v>
      </c>
      <c r="BC4567" t="s">
        <v>9243</v>
      </c>
      <c r="BD4567" s="4">
        <v>43283.556944444441</v>
      </c>
      <c r="BE4567" s="4">
        <v>43283.563101851854</v>
      </c>
      <c r="BF4567" s="4">
        <v>43283.563101851854</v>
      </c>
      <c r="BG4567" t="s">
        <v>83</v>
      </c>
      <c r="BH4567" t="s">
        <v>84</v>
      </c>
      <c r="BI4567" t="s">
        <v>85</v>
      </c>
    </row>
    <row r="4568" spans="1:61" x14ac:dyDescent="0.3">
      <c r="A4568" t="str">
        <f>"202299B0100"</f>
        <v>202299B0100</v>
      </c>
      <c r="B4568" t="s">
        <v>9244</v>
      </c>
      <c r="C4568">
        <v>20</v>
      </c>
      <c r="D4568" t="s">
        <v>79</v>
      </c>
      <c r="E4568">
        <v>21</v>
      </c>
      <c r="F4568" t="s">
        <v>8898</v>
      </c>
      <c r="G4568">
        <v>2299</v>
      </c>
      <c r="H4568">
        <v>1</v>
      </c>
      <c r="I4568" t="s">
        <v>81</v>
      </c>
      <c r="J4568">
        <v>0</v>
      </c>
      <c r="K4568">
        <v>2</v>
      </c>
      <c r="L4568">
        <v>2</v>
      </c>
      <c r="M4568">
        <v>137</v>
      </c>
      <c r="N4568">
        <v>310</v>
      </c>
      <c r="O4568">
        <v>0</v>
      </c>
      <c r="P4568">
        <v>310</v>
      </c>
      <c r="Q4568">
        <v>44</v>
      </c>
      <c r="R4568">
        <v>47</v>
      </c>
      <c r="S4568">
        <v>8</v>
      </c>
      <c r="T4568">
        <v>11</v>
      </c>
      <c r="U4568">
        <v>38</v>
      </c>
      <c r="V4568">
        <v>5</v>
      </c>
      <c r="W4568">
        <v>0</v>
      </c>
      <c r="X4568">
        <v>20</v>
      </c>
      <c r="Y4568">
        <v>81</v>
      </c>
      <c r="Z4568">
        <v>9</v>
      </c>
      <c r="AA4568">
        <v>21</v>
      </c>
      <c r="AB4568">
        <v>0</v>
      </c>
      <c r="AC4568">
        <v>1</v>
      </c>
      <c r="AD4568">
        <v>0</v>
      </c>
      <c r="AE4568">
        <v>0</v>
      </c>
      <c r="AF4568">
        <v>0</v>
      </c>
      <c r="AG4568">
        <v>0</v>
      </c>
      <c r="AH4568">
        <v>0</v>
      </c>
      <c r="AI4568">
        <v>0</v>
      </c>
      <c r="AJ4568">
        <v>0</v>
      </c>
      <c r="AK4568">
        <v>1</v>
      </c>
      <c r="AL4568">
        <v>2</v>
      </c>
      <c r="AM4568">
        <v>1</v>
      </c>
      <c r="AN4568">
        <v>1</v>
      </c>
      <c r="AT4568">
        <v>0</v>
      </c>
      <c r="AU4568">
        <v>20</v>
      </c>
      <c r="AV4568">
        <v>310</v>
      </c>
      <c r="AW4568">
        <v>310</v>
      </c>
      <c r="AX4568">
        <v>425</v>
      </c>
      <c r="BA4568">
        <v>1</v>
      </c>
      <c r="BC4568" t="s">
        <v>9245</v>
      </c>
      <c r="BD4568" s="4">
        <v>43283.423611111109</v>
      </c>
      <c r="BE4568" s="4">
        <v>43283.425949074073</v>
      </c>
      <c r="BF4568" s="4">
        <v>43283.425949074073</v>
      </c>
      <c r="BG4568" t="s">
        <v>83</v>
      </c>
      <c r="BH4568" t="s">
        <v>84</v>
      </c>
      <c r="BI4568" t="s">
        <v>85</v>
      </c>
    </row>
    <row r="4569" spans="1:61" x14ac:dyDescent="0.3">
      <c r="A4569" t="str">
        <f>"202299E0100"</f>
        <v>202299E0100</v>
      </c>
      <c r="B4569" s="2" t="s">
        <v>9246</v>
      </c>
      <c r="C4569">
        <v>20</v>
      </c>
      <c r="D4569" t="s">
        <v>79</v>
      </c>
      <c r="E4569">
        <v>21</v>
      </c>
      <c r="F4569" t="s">
        <v>8898</v>
      </c>
      <c r="G4569">
        <v>2299</v>
      </c>
      <c r="H4569">
        <v>1</v>
      </c>
      <c r="I4569" t="s">
        <v>145</v>
      </c>
      <c r="J4569">
        <v>0</v>
      </c>
      <c r="K4569">
        <v>2</v>
      </c>
      <c r="L4569">
        <v>2</v>
      </c>
      <c r="M4569">
        <v>195</v>
      </c>
      <c r="N4569">
        <v>195</v>
      </c>
      <c r="O4569">
        <v>0</v>
      </c>
      <c r="P4569">
        <v>195</v>
      </c>
      <c r="Q4569">
        <v>56</v>
      </c>
      <c r="R4569">
        <v>12</v>
      </c>
      <c r="S4569">
        <v>6</v>
      </c>
      <c r="T4569">
        <v>1</v>
      </c>
      <c r="U4569">
        <v>12</v>
      </c>
      <c r="V4569">
        <v>0</v>
      </c>
      <c r="W4569">
        <v>1</v>
      </c>
      <c r="X4569">
        <v>9</v>
      </c>
      <c r="Y4569">
        <v>36</v>
      </c>
      <c r="Z4569">
        <v>4</v>
      </c>
      <c r="AA4569">
        <v>34</v>
      </c>
      <c r="AB4569">
        <v>3</v>
      </c>
      <c r="AC4569">
        <v>0</v>
      </c>
      <c r="AD4569">
        <v>1</v>
      </c>
      <c r="AE4569">
        <v>0</v>
      </c>
      <c r="AF4569">
        <v>0</v>
      </c>
      <c r="AG4569">
        <v>1</v>
      </c>
      <c r="AH4569">
        <v>0</v>
      </c>
      <c r="AI4569">
        <v>0</v>
      </c>
      <c r="AJ4569">
        <v>0</v>
      </c>
      <c r="AK4569">
        <v>4</v>
      </c>
      <c r="AL4569">
        <v>0</v>
      </c>
      <c r="AM4569">
        <v>0</v>
      </c>
      <c r="AN4569">
        <v>0</v>
      </c>
      <c r="AT4569">
        <v>0</v>
      </c>
      <c r="AU4569">
        <v>15</v>
      </c>
      <c r="AV4569">
        <v>195</v>
      </c>
      <c r="AW4569">
        <v>195</v>
      </c>
      <c r="AX4569">
        <v>368</v>
      </c>
      <c r="BA4569">
        <v>1</v>
      </c>
      <c r="BC4569" t="s">
        <v>9247</v>
      </c>
      <c r="BD4569" s="4">
        <v>43283.561111111114</v>
      </c>
      <c r="BE4569" s="4">
        <v>43283.567256944443</v>
      </c>
      <c r="BF4569" s="4">
        <v>43283.567256944443</v>
      </c>
      <c r="BG4569" t="s">
        <v>83</v>
      </c>
      <c r="BH4569" t="s">
        <v>84</v>
      </c>
      <c r="BI4569" t="s">
        <v>85</v>
      </c>
    </row>
    <row r="4570" spans="1:61" x14ac:dyDescent="0.3">
      <c r="A4570" t="str">
        <f>"202300B0100"</f>
        <v>202300B0100</v>
      </c>
      <c r="B4570" t="s">
        <v>9248</v>
      </c>
      <c r="C4570">
        <v>20</v>
      </c>
      <c r="D4570" t="s">
        <v>79</v>
      </c>
      <c r="E4570">
        <v>21</v>
      </c>
      <c r="F4570" t="s">
        <v>8898</v>
      </c>
      <c r="G4570">
        <v>2300</v>
      </c>
      <c r="H4570">
        <v>1</v>
      </c>
      <c r="I4570" t="s">
        <v>81</v>
      </c>
      <c r="J4570">
        <v>0</v>
      </c>
      <c r="K4570">
        <v>2</v>
      </c>
      <c r="L4570">
        <v>2</v>
      </c>
      <c r="M4570">
        <v>238</v>
      </c>
      <c r="N4570">
        <v>751</v>
      </c>
      <c r="O4570">
        <v>0</v>
      </c>
      <c r="P4570">
        <v>751</v>
      </c>
      <c r="Q4570">
        <v>57</v>
      </c>
      <c r="R4570">
        <v>46</v>
      </c>
      <c r="S4570">
        <v>6</v>
      </c>
      <c r="T4570">
        <v>53</v>
      </c>
      <c r="U4570">
        <v>7</v>
      </c>
      <c r="V4570">
        <v>4</v>
      </c>
      <c r="W4570">
        <v>32</v>
      </c>
      <c r="X4570">
        <v>200</v>
      </c>
      <c r="Y4570">
        <v>200</v>
      </c>
      <c r="Z4570">
        <v>15</v>
      </c>
      <c r="AA4570">
        <v>48</v>
      </c>
      <c r="AB4570">
        <v>0</v>
      </c>
      <c r="AC4570" t="s">
        <v>100</v>
      </c>
      <c r="AD4570" t="s">
        <v>100</v>
      </c>
      <c r="AE4570" t="s">
        <v>100</v>
      </c>
      <c r="AF4570" t="s">
        <v>100</v>
      </c>
      <c r="AG4570" t="s">
        <v>100</v>
      </c>
      <c r="AH4570" t="s">
        <v>100</v>
      </c>
      <c r="AI4570" t="s">
        <v>100</v>
      </c>
      <c r="AJ4570" t="s">
        <v>100</v>
      </c>
      <c r="AK4570" t="s">
        <v>100</v>
      </c>
      <c r="AL4570" t="s">
        <v>100</v>
      </c>
      <c r="AM4570" t="s">
        <v>100</v>
      </c>
      <c r="AN4570" t="s">
        <v>100</v>
      </c>
      <c r="AT4570" t="s">
        <v>100</v>
      </c>
      <c r="AU4570">
        <v>27</v>
      </c>
      <c r="AV4570">
        <v>513</v>
      </c>
      <c r="AW4570">
        <v>695</v>
      </c>
      <c r="AX4570">
        <v>729</v>
      </c>
      <c r="AZ4570" t="s">
        <v>101</v>
      </c>
      <c r="BA4570">
        <v>1</v>
      </c>
      <c r="BC4570" t="s">
        <v>9249</v>
      </c>
      <c r="BD4570" s="4">
        <v>43283.714583333334</v>
      </c>
      <c r="BE4570" s="4">
        <v>43283.722777777781</v>
      </c>
      <c r="BF4570" s="4">
        <v>43283.722777777781</v>
      </c>
      <c r="BG4570" t="s">
        <v>83</v>
      </c>
      <c r="BH4570" t="s">
        <v>84</v>
      </c>
      <c r="BI4570" t="s">
        <v>85</v>
      </c>
    </row>
    <row r="4571" spans="1:61" x14ac:dyDescent="0.3">
      <c r="A4571" t="str">
        <f>"202300E0100"</f>
        <v>202300E0100</v>
      </c>
      <c r="B4571" s="2" t="s">
        <v>9250</v>
      </c>
      <c r="C4571">
        <v>20</v>
      </c>
      <c r="D4571" t="s">
        <v>79</v>
      </c>
      <c r="E4571">
        <v>21</v>
      </c>
      <c r="F4571" t="s">
        <v>8898</v>
      </c>
      <c r="G4571">
        <v>2300</v>
      </c>
      <c r="H4571">
        <v>1</v>
      </c>
      <c r="I4571" t="s">
        <v>145</v>
      </c>
      <c r="J4571">
        <v>0</v>
      </c>
      <c r="K4571">
        <v>2</v>
      </c>
      <c r="L4571">
        <v>2</v>
      </c>
      <c r="M4571">
        <v>131</v>
      </c>
      <c r="N4571">
        <v>346</v>
      </c>
      <c r="O4571">
        <v>0</v>
      </c>
      <c r="P4571">
        <v>215</v>
      </c>
      <c r="Q4571">
        <v>29</v>
      </c>
      <c r="R4571">
        <v>9</v>
      </c>
      <c r="S4571">
        <v>5</v>
      </c>
      <c r="T4571">
        <v>2</v>
      </c>
      <c r="U4571">
        <v>21</v>
      </c>
      <c r="V4571">
        <v>1</v>
      </c>
      <c r="W4571">
        <v>2</v>
      </c>
      <c r="X4571">
        <v>13</v>
      </c>
      <c r="Y4571">
        <v>104</v>
      </c>
      <c r="Z4571">
        <v>1</v>
      </c>
      <c r="AA4571">
        <v>11</v>
      </c>
      <c r="AB4571">
        <v>1</v>
      </c>
      <c r="AC4571">
        <v>0</v>
      </c>
      <c r="AD4571">
        <v>1</v>
      </c>
      <c r="AE4571">
        <v>0</v>
      </c>
      <c r="AF4571">
        <v>0</v>
      </c>
      <c r="AG4571">
        <v>0</v>
      </c>
      <c r="AH4571">
        <v>0</v>
      </c>
      <c r="AI4571">
        <v>0</v>
      </c>
      <c r="AJ4571">
        <v>0</v>
      </c>
      <c r="AK4571">
        <v>0</v>
      </c>
      <c r="AL4571">
        <v>1</v>
      </c>
      <c r="AM4571">
        <v>0</v>
      </c>
      <c r="AN4571">
        <v>0</v>
      </c>
      <c r="AT4571">
        <v>0</v>
      </c>
      <c r="AU4571">
        <v>14</v>
      </c>
      <c r="AV4571">
        <v>215</v>
      </c>
      <c r="AW4571">
        <v>215</v>
      </c>
      <c r="AX4571">
        <v>324</v>
      </c>
      <c r="BA4571">
        <v>1</v>
      </c>
      <c r="BC4571" t="s">
        <v>9251</v>
      </c>
      <c r="BD4571" s="4">
        <v>43283.559027777781</v>
      </c>
      <c r="BE4571" s="4">
        <v>43283.566041666665</v>
      </c>
      <c r="BF4571" s="4">
        <v>43283.566041666665</v>
      </c>
      <c r="BG4571" t="s">
        <v>83</v>
      </c>
      <c r="BH4571" t="s">
        <v>84</v>
      </c>
      <c r="BI4571" t="s">
        <v>85</v>
      </c>
    </row>
    <row r="4572" spans="1:61" x14ac:dyDescent="0.3">
      <c r="A4572" t="str">
        <f>"202304B0100"</f>
        <v>202304B0100</v>
      </c>
      <c r="B4572" t="s">
        <v>9252</v>
      </c>
      <c r="C4572">
        <v>20</v>
      </c>
      <c r="D4572" t="s">
        <v>79</v>
      </c>
      <c r="E4572">
        <v>21</v>
      </c>
      <c r="F4572" t="s">
        <v>8898</v>
      </c>
      <c r="G4572">
        <v>2304</v>
      </c>
      <c r="H4572">
        <v>1</v>
      </c>
      <c r="I4572" t="s">
        <v>81</v>
      </c>
      <c r="J4572">
        <v>0</v>
      </c>
      <c r="K4572">
        <v>2</v>
      </c>
      <c r="L4572">
        <v>2</v>
      </c>
      <c r="M4572">
        <v>272</v>
      </c>
      <c r="N4572" t="s">
        <v>100</v>
      </c>
      <c r="O4572">
        <v>662</v>
      </c>
      <c r="P4572">
        <v>390</v>
      </c>
      <c r="Q4572">
        <v>43</v>
      </c>
      <c r="R4572">
        <v>120</v>
      </c>
      <c r="S4572">
        <v>11</v>
      </c>
      <c r="T4572">
        <v>6</v>
      </c>
      <c r="U4572">
        <v>12</v>
      </c>
      <c r="V4572">
        <v>4</v>
      </c>
      <c r="W4572">
        <v>5</v>
      </c>
      <c r="X4572">
        <v>5</v>
      </c>
      <c r="Y4572">
        <v>117</v>
      </c>
      <c r="Z4572">
        <v>12</v>
      </c>
      <c r="AA4572">
        <v>0</v>
      </c>
      <c r="AB4572">
        <v>3</v>
      </c>
      <c r="AC4572">
        <v>1</v>
      </c>
      <c r="AD4572">
        <v>0</v>
      </c>
      <c r="AE4572">
        <v>0</v>
      </c>
      <c r="AF4572">
        <v>0</v>
      </c>
      <c r="AG4572">
        <v>2</v>
      </c>
      <c r="AH4572">
        <v>5</v>
      </c>
      <c r="AI4572">
        <v>0</v>
      </c>
      <c r="AJ4572">
        <v>0</v>
      </c>
      <c r="AK4572">
        <v>10</v>
      </c>
      <c r="AL4572">
        <v>1</v>
      </c>
      <c r="AM4572">
        <v>1</v>
      </c>
      <c r="AN4572">
        <v>5</v>
      </c>
      <c r="AT4572">
        <v>0</v>
      </c>
      <c r="AU4572">
        <v>27</v>
      </c>
      <c r="AV4572">
        <v>390</v>
      </c>
      <c r="AW4572">
        <v>390</v>
      </c>
      <c r="AX4572">
        <v>640</v>
      </c>
      <c r="BA4572">
        <v>1</v>
      </c>
      <c r="BC4572" t="s">
        <v>9253</v>
      </c>
      <c r="BD4572" s="4">
        <v>43283.224999999999</v>
      </c>
      <c r="BE4572" s="4">
        <v>43283.24658564815</v>
      </c>
      <c r="BF4572" s="4">
        <v>43283.24658564815</v>
      </c>
      <c r="BG4572" t="s">
        <v>83</v>
      </c>
      <c r="BH4572" t="s">
        <v>84</v>
      </c>
      <c r="BI4572" t="s">
        <v>548</v>
      </c>
    </row>
    <row r="4573" spans="1:61" x14ac:dyDescent="0.3">
      <c r="A4573" t="str">
        <f>"202421B0100"</f>
        <v>202421B0100</v>
      </c>
      <c r="B4573" t="s">
        <v>9254</v>
      </c>
      <c r="C4573">
        <v>20</v>
      </c>
      <c r="D4573" t="s">
        <v>79</v>
      </c>
      <c r="E4573">
        <v>21</v>
      </c>
      <c r="F4573" t="s">
        <v>8898</v>
      </c>
      <c r="G4573">
        <v>2421</v>
      </c>
      <c r="H4573">
        <v>1</v>
      </c>
      <c r="I4573" t="s">
        <v>81</v>
      </c>
      <c r="J4573">
        <v>0</v>
      </c>
      <c r="K4573">
        <v>2</v>
      </c>
      <c r="L4573">
        <v>2</v>
      </c>
      <c r="M4573">
        <v>14</v>
      </c>
      <c r="N4573">
        <v>290</v>
      </c>
      <c r="O4573">
        <v>0</v>
      </c>
      <c r="P4573">
        <v>290</v>
      </c>
      <c r="Q4573">
        <v>51</v>
      </c>
      <c r="R4573">
        <v>52</v>
      </c>
      <c r="S4573">
        <v>0</v>
      </c>
      <c r="T4573">
        <v>9</v>
      </c>
      <c r="U4573">
        <v>4</v>
      </c>
      <c r="V4573">
        <v>0</v>
      </c>
      <c r="W4573">
        <v>5</v>
      </c>
      <c r="X4573">
        <v>3</v>
      </c>
      <c r="Y4573">
        <v>107</v>
      </c>
      <c r="Z4573">
        <v>27</v>
      </c>
      <c r="AA4573">
        <v>1</v>
      </c>
      <c r="AB4573">
        <v>1</v>
      </c>
      <c r="AC4573">
        <v>0</v>
      </c>
      <c r="AD4573">
        <v>0</v>
      </c>
      <c r="AE4573">
        <v>0</v>
      </c>
      <c r="AF4573">
        <v>0</v>
      </c>
      <c r="AG4573">
        <v>0</v>
      </c>
      <c r="AH4573">
        <v>1</v>
      </c>
      <c r="AI4573">
        <v>1</v>
      </c>
      <c r="AJ4573">
        <v>0</v>
      </c>
      <c r="AK4573">
        <v>5</v>
      </c>
      <c r="AL4573">
        <v>0</v>
      </c>
      <c r="AM4573">
        <v>1</v>
      </c>
      <c r="AN4573">
        <v>8</v>
      </c>
      <c r="AT4573">
        <v>0</v>
      </c>
      <c r="AU4573">
        <v>14</v>
      </c>
      <c r="AV4573">
        <v>290</v>
      </c>
      <c r="AW4573">
        <v>290</v>
      </c>
      <c r="AX4573">
        <v>528</v>
      </c>
      <c r="BA4573">
        <v>1</v>
      </c>
      <c r="BC4573" t="s">
        <v>9255</v>
      </c>
      <c r="BD4573" s="4">
        <v>43283.1875</v>
      </c>
      <c r="BE4573" s="4">
        <v>43283.213310185187</v>
      </c>
      <c r="BF4573" s="4">
        <v>43283.213310185187</v>
      </c>
      <c r="BG4573" t="s">
        <v>83</v>
      </c>
      <c r="BH4573" t="s">
        <v>84</v>
      </c>
      <c r="BI4573" t="s">
        <v>85</v>
      </c>
    </row>
    <row r="4574" spans="1:61" x14ac:dyDescent="0.3">
      <c r="A4574" t="str">
        <f>"202421C0100"</f>
        <v>202421C0100</v>
      </c>
      <c r="B4574" t="s">
        <v>9256</v>
      </c>
      <c r="C4574">
        <v>20</v>
      </c>
      <c r="D4574" t="s">
        <v>79</v>
      </c>
      <c r="E4574">
        <v>21</v>
      </c>
      <c r="F4574" t="s">
        <v>8898</v>
      </c>
      <c r="G4574">
        <v>2421</v>
      </c>
      <c r="H4574">
        <v>1</v>
      </c>
      <c r="I4574" t="s">
        <v>89</v>
      </c>
      <c r="J4574">
        <v>0</v>
      </c>
      <c r="K4574">
        <v>2</v>
      </c>
      <c r="L4574">
        <v>2</v>
      </c>
      <c r="M4574">
        <v>244</v>
      </c>
      <c r="N4574">
        <v>306</v>
      </c>
      <c r="O4574">
        <v>0</v>
      </c>
      <c r="P4574">
        <v>306</v>
      </c>
      <c r="Q4574">
        <v>54</v>
      </c>
      <c r="R4574">
        <v>47</v>
      </c>
      <c r="S4574">
        <v>4</v>
      </c>
      <c r="T4574">
        <v>11</v>
      </c>
      <c r="U4574">
        <v>11</v>
      </c>
      <c r="V4574">
        <v>2</v>
      </c>
      <c r="W4574">
        <v>1</v>
      </c>
      <c r="X4574">
        <v>5</v>
      </c>
      <c r="Y4574">
        <v>108</v>
      </c>
      <c r="Z4574">
        <v>32</v>
      </c>
      <c r="AA4574">
        <v>3</v>
      </c>
      <c r="AB4574">
        <v>2</v>
      </c>
      <c r="AC4574">
        <v>0</v>
      </c>
      <c r="AD4574">
        <v>0</v>
      </c>
      <c r="AE4574">
        <v>0</v>
      </c>
      <c r="AF4574">
        <v>0</v>
      </c>
      <c r="AG4574">
        <v>0</v>
      </c>
      <c r="AH4574">
        <v>0</v>
      </c>
      <c r="AI4574">
        <v>0</v>
      </c>
      <c r="AJ4574">
        <v>0</v>
      </c>
      <c r="AK4574">
        <v>1</v>
      </c>
      <c r="AL4574">
        <v>1</v>
      </c>
      <c r="AM4574">
        <v>0</v>
      </c>
      <c r="AN4574">
        <v>3</v>
      </c>
      <c r="AT4574">
        <v>0</v>
      </c>
      <c r="AU4574">
        <v>21</v>
      </c>
      <c r="AV4574">
        <v>306</v>
      </c>
      <c r="AW4574">
        <v>306</v>
      </c>
      <c r="AX4574">
        <v>528</v>
      </c>
      <c r="BA4574">
        <v>1</v>
      </c>
      <c r="BC4574" t="s">
        <v>9257</v>
      </c>
      <c r="BD4574" s="4">
        <v>43283.189583333333</v>
      </c>
      <c r="BE4574" s="4">
        <v>43283.207546296297</v>
      </c>
      <c r="BF4574" s="4">
        <v>43283.207546296297</v>
      </c>
      <c r="BG4574" t="s">
        <v>83</v>
      </c>
      <c r="BH4574" t="s">
        <v>84</v>
      </c>
      <c r="BI4574" t="s">
        <v>85</v>
      </c>
    </row>
    <row r="4575" spans="1:61" x14ac:dyDescent="0.3">
      <c r="A4575" t="str">
        <f>"202430B0100"</f>
        <v>202430B0100</v>
      </c>
      <c r="B4575" t="s">
        <v>9258</v>
      </c>
      <c r="C4575">
        <v>20</v>
      </c>
      <c r="D4575" t="s">
        <v>79</v>
      </c>
      <c r="E4575">
        <v>21</v>
      </c>
      <c r="F4575" t="s">
        <v>8898</v>
      </c>
      <c r="G4575">
        <v>2430</v>
      </c>
      <c r="H4575">
        <v>1</v>
      </c>
      <c r="I4575" t="s">
        <v>81</v>
      </c>
      <c r="J4575">
        <v>0</v>
      </c>
      <c r="K4575">
        <v>2</v>
      </c>
      <c r="L4575">
        <v>2</v>
      </c>
      <c r="M4575">
        <v>195</v>
      </c>
      <c r="N4575">
        <v>250</v>
      </c>
      <c r="O4575">
        <v>0</v>
      </c>
      <c r="P4575" t="s">
        <v>100</v>
      </c>
      <c r="Q4575">
        <v>3</v>
      </c>
      <c r="R4575">
        <v>71</v>
      </c>
      <c r="S4575">
        <v>41</v>
      </c>
      <c r="T4575">
        <v>5</v>
      </c>
      <c r="U4575">
        <v>15</v>
      </c>
      <c r="V4575">
        <v>0</v>
      </c>
      <c r="W4575">
        <v>1</v>
      </c>
      <c r="X4575">
        <v>3</v>
      </c>
      <c r="Y4575">
        <v>97</v>
      </c>
      <c r="Z4575">
        <v>4</v>
      </c>
      <c r="AA4575">
        <v>1</v>
      </c>
      <c r="AB4575">
        <v>1</v>
      </c>
      <c r="AC4575">
        <v>0</v>
      </c>
      <c r="AD4575">
        <v>0</v>
      </c>
      <c r="AE4575">
        <v>0</v>
      </c>
      <c r="AF4575">
        <v>0</v>
      </c>
      <c r="AG4575">
        <v>0</v>
      </c>
      <c r="AH4575">
        <v>1</v>
      </c>
      <c r="AI4575">
        <v>0</v>
      </c>
      <c r="AJ4575">
        <v>0</v>
      </c>
      <c r="AK4575">
        <v>4</v>
      </c>
      <c r="AL4575">
        <v>0</v>
      </c>
      <c r="AM4575">
        <v>0</v>
      </c>
      <c r="AN4575">
        <v>0</v>
      </c>
      <c r="AT4575">
        <v>0</v>
      </c>
      <c r="AU4575">
        <v>4</v>
      </c>
      <c r="AV4575">
        <v>250</v>
      </c>
      <c r="AW4575">
        <v>251</v>
      </c>
      <c r="AX4575">
        <v>423</v>
      </c>
      <c r="BA4575">
        <v>1</v>
      </c>
      <c r="BC4575" t="s">
        <v>9259</v>
      </c>
      <c r="BD4575" s="4">
        <v>43283.398611111108</v>
      </c>
      <c r="BE4575" s="4">
        <v>43283.402754629627</v>
      </c>
      <c r="BF4575" s="4">
        <v>43283.402754629627</v>
      </c>
      <c r="BG4575" t="s">
        <v>83</v>
      </c>
      <c r="BH4575" t="s">
        <v>84</v>
      </c>
      <c r="BI4575" t="s">
        <v>85</v>
      </c>
    </row>
    <row r="4576" spans="1:61" x14ac:dyDescent="0.3">
      <c r="A4576" t="str">
        <f>"202431B0100"</f>
        <v>202431B0100</v>
      </c>
      <c r="B4576" t="s">
        <v>9260</v>
      </c>
      <c r="C4576">
        <v>20</v>
      </c>
      <c r="D4576" t="s">
        <v>79</v>
      </c>
      <c r="E4576">
        <v>21</v>
      </c>
      <c r="F4576" t="s">
        <v>8898</v>
      </c>
      <c r="G4576">
        <v>2431</v>
      </c>
      <c r="H4576">
        <v>1</v>
      </c>
      <c r="I4576" t="s">
        <v>81</v>
      </c>
      <c r="J4576">
        <v>0</v>
      </c>
      <c r="K4576">
        <v>2</v>
      </c>
      <c r="L4576">
        <v>2</v>
      </c>
      <c r="M4576">
        <v>313</v>
      </c>
      <c r="N4576">
        <v>379</v>
      </c>
      <c r="O4576">
        <v>1</v>
      </c>
      <c r="P4576">
        <v>379</v>
      </c>
      <c r="Q4576">
        <v>10</v>
      </c>
      <c r="R4576">
        <v>85</v>
      </c>
      <c r="S4576">
        <v>97</v>
      </c>
      <c r="T4576">
        <v>6</v>
      </c>
      <c r="U4576">
        <v>12</v>
      </c>
      <c r="V4576">
        <v>4</v>
      </c>
      <c r="W4576">
        <v>4</v>
      </c>
      <c r="X4576">
        <v>4</v>
      </c>
      <c r="Y4576">
        <v>119</v>
      </c>
      <c r="Z4576">
        <v>7</v>
      </c>
      <c r="AA4576">
        <v>0</v>
      </c>
      <c r="AB4576">
        <v>1</v>
      </c>
      <c r="AC4576">
        <v>1</v>
      </c>
      <c r="AD4576">
        <v>1</v>
      </c>
      <c r="AE4576">
        <v>0</v>
      </c>
      <c r="AF4576">
        <v>0</v>
      </c>
      <c r="AG4576">
        <v>0</v>
      </c>
      <c r="AH4576">
        <v>0</v>
      </c>
      <c r="AI4576">
        <v>0</v>
      </c>
      <c r="AJ4576">
        <v>0</v>
      </c>
      <c r="AK4576">
        <v>0</v>
      </c>
      <c r="AL4576">
        <v>1</v>
      </c>
      <c r="AM4576">
        <v>0</v>
      </c>
      <c r="AN4576">
        <v>2</v>
      </c>
      <c r="AT4576">
        <v>0</v>
      </c>
      <c r="AU4576">
        <v>22</v>
      </c>
      <c r="AV4576">
        <v>372</v>
      </c>
      <c r="AW4576">
        <v>376</v>
      </c>
      <c r="AX4576">
        <v>670</v>
      </c>
      <c r="BA4576">
        <v>1</v>
      </c>
      <c r="BC4576" t="s">
        <v>9261</v>
      </c>
      <c r="BD4576" s="4">
        <v>43283.615277777775</v>
      </c>
      <c r="BE4576" s="4">
        <v>43283.622199074074</v>
      </c>
      <c r="BF4576" s="4">
        <v>43283.622199074074</v>
      </c>
      <c r="BG4576" t="s">
        <v>83</v>
      </c>
      <c r="BH4576" t="s">
        <v>84</v>
      </c>
      <c r="BI4576" t="s">
        <v>85</v>
      </c>
    </row>
    <row r="4577" spans="1:61" x14ac:dyDescent="0.3">
      <c r="A4577" t="str">
        <f>"202431C0100"</f>
        <v>202431C0100</v>
      </c>
      <c r="B4577" t="s">
        <v>9262</v>
      </c>
      <c r="C4577">
        <v>20</v>
      </c>
      <c r="D4577" t="s">
        <v>79</v>
      </c>
      <c r="E4577">
        <v>21</v>
      </c>
      <c r="F4577" t="s">
        <v>8898</v>
      </c>
      <c r="G4577">
        <v>2431</v>
      </c>
      <c r="H4577">
        <v>1</v>
      </c>
      <c r="I4577" t="s">
        <v>89</v>
      </c>
      <c r="J4577">
        <v>0</v>
      </c>
      <c r="K4577">
        <v>2</v>
      </c>
      <c r="L4577">
        <v>2</v>
      </c>
      <c r="M4577">
        <v>329</v>
      </c>
      <c r="N4577">
        <v>363</v>
      </c>
      <c r="O4577">
        <v>0</v>
      </c>
      <c r="P4577">
        <v>363</v>
      </c>
      <c r="Q4577">
        <v>18</v>
      </c>
      <c r="R4577">
        <v>59</v>
      </c>
      <c r="S4577">
        <v>85</v>
      </c>
      <c r="T4577">
        <v>12</v>
      </c>
      <c r="U4577">
        <v>9</v>
      </c>
      <c r="V4577">
        <v>5</v>
      </c>
      <c r="W4577">
        <v>3</v>
      </c>
      <c r="X4577">
        <v>8</v>
      </c>
      <c r="Y4577">
        <v>133</v>
      </c>
      <c r="Z4577">
        <v>3</v>
      </c>
      <c r="AA4577">
        <v>0</v>
      </c>
      <c r="AB4577">
        <v>1</v>
      </c>
      <c r="AC4577">
        <v>0</v>
      </c>
      <c r="AD4577">
        <v>0</v>
      </c>
      <c r="AE4577">
        <v>0</v>
      </c>
      <c r="AF4577">
        <v>0</v>
      </c>
      <c r="AG4577">
        <v>1</v>
      </c>
      <c r="AH4577">
        <v>2</v>
      </c>
      <c r="AI4577">
        <v>1</v>
      </c>
      <c r="AJ4577">
        <v>0</v>
      </c>
      <c r="AK4577">
        <v>0</v>
      </c>
      <c r="AL4577">
        <v>2</v>
      </c>
      <c r="AM4577">
        <v>1</v>
      </c>
      <c r="AN4577">
        <v>0</v>
      </c>
      <c r="AT4577" t="s">
        <v>100</v>
      </c>
      <c r="AU4577">
        <v>20</v>
      </c>
      <c r="AV4577">
        <v>363</v>
      </c>
      <c r="AW4577">
        <v>363</v>
      </c>
      <c r="AX4577">
        <v>670</v>
      </c>
      <c r="AZ4577" t="s">
        <v>101</v>
      </c>
      <c r="BA4577">
        <v>1</v>
      </c>
      <c r="BC4577" t="s">
        <v>9263</v>
      </c>
      <c r="BD4577" s="4">
        <v>43283.618055555555</v>
      </c>
      <c r="BE4577" s="4">
        <v>43283.623136574075</v>
      </c>
      <c r="BF4577" s="4">
        <v>43283.623136574075</v>
      </c>
      <c r="BG4577" t="s">
        <v>83</v>
      </c>
      <c r="BH4577" t="s">
        <v>84</v>
      </c>
      <c r="BI4577" t="s">
        <v>85</v>
      </c>
    </row>
    <row r="4578" spans="1:61" x14ac:dyDescent="0.3">
      <c r="A4578" t="str">
        <f>"202431E0100"</f>
        <v>202431E0100</v>
      </c>
      <c r="B4578" s="2" t="s">
        <v>9264</v>
      </c>
      <c r="C4578">
        <v>20</v>
      </c>
      <c r="D4578" t="s">
        <v>79</v>
      </c>
      <c r="E4578">
        <v>21</v>
      </c>
      <c r="F4578" t="s">
        <v>8898</v>
      </c>
      <c r="G4578">
        <v>2431</v>
      </c>
      <c r="H4578">
        <v>1</v>
      </c>
      <c r="I4578" t="s">
        <v>145</v>
      </c>
      <c r="J4578">
        <v>0</v>
      </c>
      <c r="K4578">
        <v>2</v>
      </c>
      <c r="L4578">
        <v>2</v>
      </c>
      <c r="M4578">
        <v>140</v>
      </c>
      <c r="N4578">
        <v>223</v>
      </c>
      <c r="O4578">
        <v>0</v>
      </c>
      <c r="P4578">
        <v>222</v>
      </c>
      <c r="Q4578">
        <v>3</v>
      </c>
      <c r="R4578">
        <v>47</v>
      </c>
      <c r="S4578">
        <v>69</v>
      </c>
      <c r="T4578">
        <v>5</v>
      </c>
      <c r="U4578">
        <v>3</v>
      </c>
      <c r="V4578">
        <v>5</v>
      </c>
      <c r="W4578">
        <v>1</v>
      </c>
      <c r="X4578">
        <v>0</v>
      </c>
      <c r="Y4578">
        <v>74</v>
      </c>
      <c r="Z4578">
        <v>4</v>
      </c>
      <c r="AA4578">
        <v>0</v>
      </c>
      <c r="AB4578">
        <v>0</v>
      </c>
      <c r="AC4578">
        <v>0</v>
      </c>
      <c r="AD4578">
        <v>0</v>
      </c>
      <c r="AE4578">
        <v>0</v>
      </c>
      <c r="AF4578">
        <v>0</v>
      </c>
      <c r="AG4578">
        <v>0</v>
      </c>
      <c r="AH4578">
        <v>1</v>
      </c>
      <c r="AI4578">
        <v>0</v>
      </c>
      <c r="AJ4578">
        <v>0</v>
      </c>
      <c r="AK4578">
        <v>0</v>
      </c>
      <c r="AL4578">
        <v>0</v>
      </c>
      <c r="AM4578">
        <v>0</v>
      </c>
      <c r="AN4578">
        <v>0</v>
      </c>
      <c r="AT4578">
        <v>0</v>
      </c>
      <c r="AU4578">
        <v>10</v>
      </c>
      <c r="AV4578">
        <v>222</v>
      </c>
      <c r="AW4578">
        <v>222</v>
      </c>
      <c r="AX4578">
        <v>341</v>
      </c>
      <c r="BA4578">
        <v>1</v>
      </c>
      <c r="BC4578" t="s">
        <v>9265</v>
      </c>
      <c r="BD4578" s="4">
        <v>43283.621527777781</v>
      </c>
      <c r="BE4578" s="4">
        <v>43283.625381944446</v>
      </c>
      <c r="BF4578" s="4">
        <v>43283.625381944446</v>
      </c>
      <c r="BG4578" t="s">
        <v>83</v>
      </c>
      <c r="BH4578" t="s">
        <v>84</v>
      </c>
      <c r="BI4578" t="s">
        <v>85</v>
      </c>
    </row>
    <row r="4579" spans="1:61" x14ac:dyDescent="0.3">
      <c r="A4579" t="str">
        <f>"200396B0100"</f>
        <v>200396B0100</v>
      </c>
      <c r="B4579" t="s">
        <v>9266</v>
      </c>
      <c r="C4579">
        <v>20</v>
      </c>
      <c r="D4579" t="s">
        <v>79</v>
      </c>
      <c r="E4579">
        <v>22</v>
      </c>
      <c r="F4579" t="s">
        <v>9267</v>
      </c>
      <c r="G4579">
        <v>396</v>
      </c>
      <c r="H4579">
        <v>1</v>
      </c>
      <c r="I4579" t="s">
        <v>81</v>
      </c>
      <c r="J4579">
        <v>0</v>
      </c>
      <c r="K4579">
        <v>2</v>
      </c>
      <c r="L4579">
        <v>2</v>
      </c>
      <c r="M4579">
        <v>127</v>
      </c>
      <c r="N4579">
        <v>748</v>
      </c>
      <c r="O4579">
        <v>0</v>
      </c>
      <c r="P4579">
        <v>621</v>
      </c>
      <c r="Q4579">
        <v>5</v>
      </c>
      <c r="R4579">
        <v>187</v>
      </c>
      <c r="S4579">
        <v>32</v>
      </c>
      <c r="T4579">
        <v>2</v>
      </c>
      <c r="U4579">
        <v>5</v>
      </c>
      <c r="V4579">
        <v>41</v>
      </c>
      <c r="W4579">
        <v>1</v>
      </c>
      <c r="X4579">
        <v>7</v>
      </c>
      <c r="Y4579">
        <v>304</v>
      </c>
      <c r="Z4579">
        <v>2</v>
      </c>
      <c r="AA4579">
        <v>2</v>
      </c>
      <c r="AC4579">
        <v>2</v>
      </c>
      <c r="AD4579">
        <v>0</v>
      </c>
      <c r="AE4579">
        <v>0</v>
      </c>
      <c r="AF4579">
        <v>2</v>
      </c>
      <c r="AG4579">
        <v>3</v>
      </c>
      <c r="AH4579">
        <v>3</v>
      </c>
      <c r="AI4579">
        <v>0</v>
      </c>
      <c r="AJ4579">
        <v>0</v>
      </c>
      <c r="AK4579">
        <v>3</v>
      </c>
      <c r="AL4579">
        <v>0</v>
      </c>
      <c r="AM4579">
        <v>0</v>
      </c>
      <c r="AN4579">
        <v>0</v>
      </c>
      <c r="AT4579">
        <v>0</v>
      </c>
      <c r="AU4579">
        <v>18</v>
      </c>
      <c r="AV4579">
        <v>621</v>
      </c>
      <c r="AW4579">
        <v>619</v>
      </c>
      <c r="AX4579">
        <v>726</v>
      </c>
      <c r="BA4579">
        <v>1</v>
      </c>
      <c r="BC4579" t="s">
        <v>9268</v>
      </c>
      <c r="BD4579" s="4">
        <v>43283.174305555556</v>
      </c>
      <c r="BE4579" s="4">
        <v>43283.193796296298</v>
      </c>
      <c r="BF4579" s="4">
        <v>43283.193796296298</v>
      </c>
      <c r="BG4579" t="s">
        <v>83</v>
      </c>
      <c r="BH4579" t="s">
        <v>84</v>
      </c>
      <c r="BI4579" t="s">
        <v>85</v>
      </c>
    </row>
    <row r="4580" spans="1:61" x14ac:dyDescent="0.3">
      <c r="A4580" t="str">
        <f>"200396E0100"</f>
        <v>200396E0100</v>
      </c>
      <c r="B4580" s="2" t="s">
        <v>9269</v>
      </c>
      <c r="C4580">
        <v>20</v>
      </c>
      <c r="D4580" t="s">
        <v>79</v>
      </c>
      <c r="E4580">
        <v>22</v>
      </c>
      <c r="F4580" t="s">
        <v>9267</v>
      </c>
      <c r="G4580">
        <v>396</v>
      </c>
      <c r="H4580">
        <v>1</v>
      </c>
      <c r="I4580" t="s">
        <v>145</v>
      </c>
      <c r="J4580">
        <v>0</v>
      </c>
      <c r="K4580">
        <v>2</v>
      </c>
      <c r="L4580">
        <v>2</v>
      </c>
      <c r="M4580">
        <v>57</v>
      </c>
      <c r="N4580">
        <v>296</v>
      </c>
      <c r="O4580">
        <v>0</v>
      </c>
      <c r="P4580">
        <v>296</v>
      </c>
      <c r="Q4580">
        <v>6</v>
      </c>
      <c r="R4580">
        <v>47</v>
      </c>
      <c r="S4580">
        <v>49</v>
      </c>
      <c r="T4580">
        <v>0</v>
      </c>
      <c r="U4580">
        <v>2</v>
      </c>
      <c r="V4580">
        <v>57</v>
      </c>
      <c r="W4580">
        <v>3</v>
      </c>
      <c r="X4580">
        <v>0</v>
      </c>
      <c r="Y4580">
        <v>121</v>
      </c>
      <c r="Z4580">
        <v>3</v>
      </c>
      <c r="AA4580">
        <v>0</v>
      </c>
      <c r="AC4580">
        <v>1</v>
      </c>
      <c r="AD4580">
        <v>0</v>
      </c>
      <c r="AE4580">
        <v>0</v>
      </c>
      <c r="AF4580">
        <v>3</v>
      </c>
      <c r="AG4580">
        <v>0</v>
      </c>
      <c r="AH4580">
        <v>1</v>
      </c>
      <c r="AI4580">
        <v>0</v>
      </c>
      <c r="AJ4580">
        <v>0</v>
      </c>
      <c r="AK4580">
        <v>0</v>
      </c>
      <c r="AL4580">
        <v>0</v>
      </c>
      <c r="AM4580">
        <v>0</v>
      </c>
      <c r="AN4580">
        <v>0</v>
      </c>
      <c r="AT4580" t="s">
        <v>100</v>
      </c>
      <c r="AU4580">
        <v>3</v>
      </c>
      <c r="AV4580">
        <v>296</v>
      </c>
      <c r="AW4580">
        <v>296</v>
      </c>
      <c r="AX4580">
        <v>331</v>
      </c>
      <c r="AZ4580" t="s">
        <v>101</v>
      </c>
      <c r="BA4580">
        <v>1</v>
      </c>
      <c r="BC4580" t="s">
        <v>9270</v>
      </c>
      <c r="BD4580" s="4">
        <v>43283.245138888888</v>
      </c>
      <c r="BE4580" s="4">
        <v>43283.276655092595</v>
      </c>
      <c r="BF4580" s="4">
        <v>43283.276655092595</v>
      </c>
      <c r="BG4580" t="s">
        <v>83</v>
      </c>
      <c r="BH4580" t="s">
        <v>84</v>
      </c>
      <c r="BI4580" t="s">
        <v>548</v>
      </c>
    </row>
    <row r="4581" spans="1:61" x14ac:dyDescent="0.3">
      <c r="A4581" t="str">
        <f>"200633B0100"</f>
        <v>200633B0100</v>
      </c>
      <c r="B4581" t="s">
        <v>9271</v>
      </c>
      <c r="C4581">
        <v>20</v>
      </c>
      <c r="D4581" t="s">
        <v>79</v>
      </c>
      <c r="E4581">
        <v>22</v>
      </c>
      <c r="F4581" t="s">
        <v>9267</v>
      </c>
      <c r="G4581">
        <v>633</v>
      </c>
      <c r="H4581">
        <v>1</v>
      </c>
      <c r="I4581" t="s">
        <v>81</v>
      </c>
      <c r="J4581">
        <v>0</v>
      </c>
      <c r="K4581">
        <v>1</v>
      </c>
      <c r="L4581">
        <v>2</v>
      </c>
      <c r="M4581">
        <v>145</v>
      </c>
      <c r="N4581">
        <v>447</v>
      </c>
      <c r="O4581">
        <v>0</v>
      </c>
      <c r="P4581">
        <v>447</v>
      </c>
      <c r="Q4581">
        <v>1</v>
      </c>
      <c r="R4581">
        <v>148</v>
      </c>
      <c r="S4581">
        <v>115</v>
      </c>
      <c r="T4581">
        <v>3</v>
      </c>
      <c r="U4581">
        <v>2</v>
      </c>
      <c r="V4581">
        <v>2</v>
      </c>
      <c r="W4581">
        <v>2</v>
      </c>
      <c r="X4581">
        <v>20</v>
      </c>
      <c r="Y4581">
        <v>120</v>
      </c>
      <c r="Z4581">
        <v>3</v>
      </c>
      <c r="AA4581">
        <v>0</v>
      </c>
      <c r="AC4581">
        <v>1</v>
      </c>
      <c r="AD4581">
        <v>0</v>
      </c>
      <c r="AE4581">
        <v>0</v>
      </c>
      <c r="AF4581">
        <v>0</v>
      </c>
      <c r="AG4581">
        <v>0</v>
      </c>
      <c r="AH4581">
        <v>0</v>
      </c>
      <c r="AI4581">
        <v>1</v>
      </c>
      <c r="AJ4581">
        <v>0</v>
      </c>
      <c r="AK4581">
        <v>0</v>
      </c>
      <c r="AL4581">
        <v>0</v>
      </c>
      <c r="AM4581">
        <v>0</v>
      </c>
      <c r="AN4581">
        <v>1</v>
      </c>
      <c r="AT4581">
        <v>0</v>
      </c>
      <c r="AU4581">
        <v>28</v>
      </c>
      <c r="AV4581">
        <v>447</v>
      </c>
      <c r="AW4581">
        <v>447</v>
      </c>
      <c r="AX4581">
        <v>570</v>
      </c>
      <c r="BA4581">
        <v>1</v>
      </c>
      <c r="BC4581" t="s">
        <v>9272</v>
      </c>
      <c r="BD4581" s="4">
        <v>43283.276388888888</v>
      </c>
      <c r="BE4581" s="4">
        <v>43283.306689814817</v>
      </c>
      <c r="BF4581" s="4">
        <v>43283.306689814817</v>
      </c>
      <c r="BG4581" t="s">
        <v>83</v>
      </c>
      <c r="BH4581" t="s">
        <v>84</v>
      </c>
      <c r="BI4581" t="s">
        <v>85</v>
      </c>
    </row>
    <row r="4582" spans="1:61" x14ac:dyDescent="0.3">
      <c r="A4582" t="str">
        <f>"200633C0100"</f>
        <v>200633C0100</v>
      </c>
      <c r="B4582" t="s">
        <v>9273</v>
      </c>
      <c r="C4582">
        <v>20</v>
      </c>
      <c r="D4582" t="s">
        <v>79</v>
      </c>
      <c r="E4582">
        <v>22</v>
      </c>
      <c r="F4582" t="s">
        <v>9267</v>
      </c>
      <c r="G4582">
        <v>633</v>
      </c>
      <c r="H4582">
        <v>1</v>
      </c>
      <c r="I4582" t="s">
        <v>89</v>
      </c>
      <c r="J4582">
        <v>0</v>
      </c>
      <c r="K4582">
        <v>1</v>
      </c>
      <c r="L4582">
        <v>2</v>
      </c>
      <c r="M4582">
        <v>137</v>
      </c>
      <c r="N4582">
        <v>455</v>
      </c>
      <c r="O4582">
        <v>3</v>
      </c>
      <c r="P4582">
        <v>455</v>
      </c>
      <c r="Q4582">
        <v>1</v>
      </c>
      <c r="R4582">
        <v>138</v>
      </c>
      <c r="S4582">
        <v>99</v>
      </c>
      <c r="T4582">
        <v>1</v>
      </c>
      <c r="U4582">
        <v>2</v>
      </c>
      <c r="V4582">
        <v>4</v>
      </c>
      <c r="W4582" t="s">
        <v>100</v>
      </c>
      <c r="X4582">
        <v>19</v>
      </c>
      <c r="Y4582">
        <v>166</v>
      </c>
      <c r="Z4582">
        <v>2</v>
      </c>
      <c r="AA4582" t="s">
        <v>100</v>
      </c>
      <c r="AC4582" t="s">
        <v>100</v>
      </c>
      <c r="AD4582" t="s">
        <v>100</v>
      </c>
      <c r="AE4582" t="s">
        <v>100</v>
      </c>
      <c r="AF4582" t="s">
        <v>100</v>
      </c>
      <c r="AG4582">
        <v>2</v>
      </c>
      <c r="AH4582" t="s">
        <v>100</v>
      </c>
      <c r="AI4582" t="s">
        <v>100</v>
      </c>
      <c r="AJ4582" t="s">
        <v>100</v>
      </c>
      <c r="AK4582" t="s">
        <v>100</v>
      </c>
      <c r="AL4582">
        <v>1</v>
      </c>
      <c r="AM4582" t="s">
        <v>100</v>
      </c>
      <c r="AN4582" t="s">
        <v>100</v>
      </c>
      <c r="AT4582" t="s">
        <v>100</v>
      </c>
      <c r="AU4582">
        <v>20</v>
      </c>
      <c r="AV4582">
        <v>455</v>
      </c>
      <c r="AW4582">
        <v>455</v>
      </c>
      <c r="AX4582">
        <v>570</v>
      </c>
      <c r="AZ4582" t="s">
        <v>101</v>
      </c>
      <c r="BA4582">
        <v>1</v>
      </c>
      <c r="BC4582" t="s">
        <v>9274</v>
      </c>
      <c r="BD4582" s="4">
        <v>43283.268750000003</v>
      </c>
      <c r="BE4582" s="4">
        <v>43283.293958333335</v>
      </c>
      <c r="BF4582" s="4">
        <v>43283.293958333335</v>
      </c>
      <c r="BG4582" t="s">
        <v>83</v>
      </c>
      <c r="BH4582" t="s">
        <v>84</v>
      </c>
      <c r="BI4582" t="s">
        <v>548</v>
      </c>
    </row>
    <row r="4583" spans="1:61" x14ac:dyDescent="0.3">
      <c r="A4583" t="str">
        <f>"200634B0100"</f>
        <v>200634B0100</v>
      </c>
      <c r="B4583" t="s">
        <v>9275</v>
      </c>
      <c r="C4583">
        <v>20</v>
      </c>
      <c r="D4583" t="s">
        <v>79</v>
      </c>
      <c r="E4583">
        <v>22</v>
      </c>
      <c r="F4583" t="s">
        <v>9267</v>
      </c>
      <c r="G4583">
        <v>634</v>
      </c>
      <c r="H4583">
        <v>1</v>
      </c>
      <c r="I4583" t="s">
        <v>81</v>
      </c>
      <c r="J4583">
        <v>0</v>
      </c>
      <c r="K4583">
        <v>2</v>
      </c>
      <c r="L4583">
        <v>2</v>
      </c>
      <c r="M4583">
        <v>111</v>
      </c>
      <c r="N4583">
        <v>512</v>
      </c>
      <c r="O4583">
        <v>0</v>
      </c>
      <c r="P4583">
        <v>401</v>
      </c>
      <c r="Q4583">
        <v>3</v>
      </c>
      <c r="R4583">
        <v>83</v>
      </c>
      <c r="S4583">
        <v>100</v>
      </c>
      <c r="T4583">
        <v>1</v>
      </c>
      <c r="U4583">
        <v>4</v>
      </c>
      <c r="V4583">
        <v>1</v>
      </c>
      <c r="W4583">
        <v>4</v>
      </c>
      <c r="X4583">
        <v>15</v>
      </c>
      <c r="Y4583">
        <v>165</v>
      </c>
      <c r="Z4583">
        <v>0</v>
      </c>
      <c r="AA4583">
        <v>0</v>
      </c>
      <c r="AC4583">
        <v>0</v>
      </c>
      <c r="AD4583">
        <v>0</v>
      </c>
      <c r="AE4583">
        <v>0</v>
      </c>
      <c r="AF4583">
        <v>0</v>
      </c>
      <c r="AG4583">
        <v>0</v>
      </c>
      <c r="AH4583">
        <v>0</v>
      </c>
      <c r="AI4583">
        <v>0</v>
      </c>
      <c r="AJ4583">
        <v>0</v>
      </c>
      <c r="AK4583">
        <v>1</v>
      </c>
      <c r="AL4583">
        <v>0</v>
      </c>
      <c r="AM4583">
        <v>0</v>
      </c>
      <c r="AN4583">
        <v>0</v>
      </c>
      <c r="AT4583">
        <v>0</v>
      </c>
      <c r="AU4583">
        <v>24</v>
      </c>
      <c r="AV4583">
        <v>0</v>
      </c>
      <c r="AW4583">
        <v>401</v>
      </c>
      <c r="AX4583">
        <v>491</v>
      </c>
      <c r="BA4583">
        <v>1</v>
      </c>
      <c r="BC4583" t="s">
        <v>9276</v>
      </c>
      <c r="BD4583" s="4">
        <v>43283.267361111109</v>
      </c>
      <c r="BE4583" s="4">
        <v>43283.297511574077</v>
      </c>
      <c r="BF4583" s="4">
        <v>43283.297511574077</v>
      </c>
      <c r="BG4583" t="s">
        <v>83</v>
      </c>
      <c r="BH4583" t="s">
        <v>84</v>
      </c>
      <c r="BI4583" t="s">
        <v>85</v>
      </c>
    </row>
    <row r="4584" spans="1:61" x14ac:dyDescent="0.3">
      <c r="A4584" t="str">
        <f>"200634C0100"</f>
        <v>200634C0100</v>
      </c>
      <c r="B4584" t="s">
        <v>9277</v>
      </c>
      <c r="C4584">
        <v>20</v>
      </c>
      <c r="D4584" t="s">
        <v>79</v>
      </c>
      <c r="E4584">
        <v>22</v>
      </c>
      <c r="F4584" t="s">
        <v>9267</v>
      </c>
      <c r="G4584">
        <v>634</v>
      </c>
      <c r="H4584">
        <v>1</v>
      </c>
      <c r="I4584" t="s">
        <v>89</v>
      </c>
      <c r="J4584">
        <v>0</v>
      </c>
      <c r="K4584">
        <v>2</v>
      </c>
      <c r="L4584">
        <v>2</v>
      </c>
      <c r="AX4584">
        <v>490</v>
      </c>
      <c r="AZ4584" t="s">
        <v>156</v>
      </c>
      <c r="BA4584">
        <v>0</v>
      </c>
      <c r="BC4584" t="s">
        <v>9278</v>
      </c>
      <c r="BD4584" s="4">
        <v>43283.734722222223</v>
      </c>
      <c r="BE4584" s="4">
        <v>43283.737280092595</v>
      </c>
      <c r="BF4584" s="4">
        <v>43283.737280092595</v>
      </c>
      <c r="BG4584" t="s">
        <v>83</v>
      </c>
      <c r="BH4584" t="s">
        <v>84</v>
      </c>
      <c r="BI4584" t="s">
        <v>85</v>
      </c>
    </row>
    <row r="4585" spans="1:61" x14ac:dyDescent="0.3">
      <c r="A4585" t="str">
        <f>"200635B0100"</f>
        <v>200635B0100</v>
      </c>
      <c r="B4585" t="s">
        <v>9279</v>
      </c>
      <c r="C4585">
        <v>20</v>
      </c>
      <c r="D4585" t="s">
        <v>79</v>
      </c>
      <c r="E4585">
        <v>22</v>
      </c>
      <c r="F4585" t="s">
        <v>9267</v>
      </c>
      <c r="G4585">
        <v>635</v>
      </c>
      <c r="H4585">
        <v>1</v>
      </c>
      <c r="I4585" t="s">
        <v>81</v>
      </c>
      <c r="J4585">
        <v>0</v>
      </c>
      <c r="K4585">
        <v>2</v>
      </c>
      <c r="L4585">
        <v>2</v>
      </c>
      <c r="M4585">
        <v>162</v>
      </c>
      <c r="N4585">
        <v>514</v>
      </c>
      <c r="O4585">
        <v>6</v>
      </c>
      <c r="P4585">
        <v>514</v>
      </c>
      <c r="Q4585">
        <v>4</v>
      </c>
      <c r="R4585">
        <v>180</v>
      </c>
      <c r="S4585">
        <v>92</v>
      </c>
      <c r="T4585">
        <v>4</v>
      </c>
      <c r="U4585">
        <v>4</v>
      </c>
      <c r="V4585">
        <v>2</v>
      </c>
      <c r="W4585">
        <v>2</v>
      </c>
      <c r="X4585">
        <v>48</v>
      </c>
      <c r="Y4585">
        <v>141</v>
      </c>
      <c r="Z4585">
        <v>4</v>
      </c>
      <c r="AA4585">
        <v>0</v>
      </c>
      <c r="AC4585">
        <v>0</v>
      </c>
      <c r="AD4585">
        <v>0</v>
      </c>
      <c r="AE4585">
        <v>0</v>
      </c>
      <c r="AF4585">
        <v>1</v>
      </c>
      <c r="AG4585">
        <v>0</v>
      </c>
      <c r="AH4585">
        <v>0</v>
      </c>
      <c r="AI4585">
        <v>0</v>
      </c>
      <c r="AJ4585">
        <v>0</v>
      </c>
      <c r="AK4585">
        <v>0</v>
      </c>
      <c r="AL4585">
        <v>0</v>
      </c>
      <c r="AM4585">
        <v>0</v>
      </c>
      <c r="AN4585">
        <v>0</v>
      </c>
      <c r="AT4585">
        <v>0</v>
      </c>
      <c r="AU4585">
        <v>23</v>
      </c>
      <c r="AV4585">
        <v>509</v>
      </c>
      <c r="AW4585">
        <v>505</v>
      </c>
      <c r="AX4585">
        <v>649</v>
      </c>
      <c r="BA4585">
        <v>1</v>
      </c>
      <c r="BC4585" t="s">
        <v>9280</v>
      </c>
      <c r="BD4585" s="4">
        <v>43283.316666666666</v>
      </c>
      <c r="BE4585" s="4">
        <v>43283.339548611111</v>
      </c>
      <c r="BF4585" s="4">
        <v>43283.339548611111</v>
      </c>
      <c r="BG4585" t="s">
        <v>83</v>
      </c>
      <c r="BH4585" t="s">
        <v>84</v>
      </c>
      <c r="BI4585" t="s">
        <v>85</v>
      </c>
    </row>
    <row r="4586" spans="1:61" x14ac:dyDescent="0.3">
      <c r="A4586" t="str">
        <f>"200636B0100"</f>
        <v>200636B0100</v>
      </c>
      <c r="B4586" t="s">
        <v>9281</v>
      </c>
      <c r="C4586">
        <v>20</v>
      </c>
      <c r="D4586" t="s">
        <v>79</v>
      </c>
      <c r="E4586">
        <v>22</v>
      </c>
      <c r="F4586" t="s">
        <v>9267</v>
      </c>
      <c r="G4586">
        <v>636</v>
      </c>
      <c r="H4586">
        <v>1</v>
      </c>
      <c r="I4586" t="s">
        <v>81</v>
      </c>
      <c r="J4586">
        <v>0</v>
      </c>
      <c r="K4586">
        <v>1</v>
      </c>
      <c r="L4586">
        <v>2</v>
      </c>
      <c r="M4586">
        <v>102</v>
      </c>
      <c r="N4586">
        <v>348</v>
      </c>
      <c r="O4586">
        <v>5</v>
      </c>
      <c r="P4586">
        <v>348</v>
      </c>
      <c r="Q4586">
        <v>0</v>
      </c>
      <c r="R4586">
        <v>89</v>
      </c>
      <c r="S4586">
        <v>80</v>
      </c>
      <c r="T4586">
        <v>1</v>
      </c>
      <c r="U4586">
        <v>5</v>
      </c>
      <c r="V4586">
        <v>2</v>
      </c>
      <c r="W4586">
        <v>1</v>
      </c>
      <c r="X4586">
        <v>13</v>
      </c>
      <c r="Y4586">
        <v>134</v>
      </c>
      <c r="Z4586">
        <v>1</v>
      </c>
      <c r="AA4586">
        <v>0</v>
      </c>
      <c r="AC4586">
        <v>0</v>
      </c>
      <c r="AD4586">
        <v>2</v>
      </c>
      <c r="AE4586">
        <v>0</v>
      </c>
      <c r="AF4586">
        <v>0</v>
      </c>
      <c r="AG4586">
        <v>0</v>
      </c>
      <c r="AH4586">
        <v>2</v>
      </c>
      <c r="AI4586">
        <v>0</v>
      </c>
      <c r="AJ4586">
        <v>0</v>
      </c>
      <c r="AK4586">
        <v>2</v>
      </c>
      <c r="AL4586">
        <v>1</v>
      </c>
      <c r="AM4586">
        <v>0</v>
      </c>
      <c r="AN4586">
        <v>0</v>
      </c>
      <c r="AT4586">
        <v>0</v>
      </c>
      <c r="AU4586">
        <v>15</v>
      </c>
      <c r="AV4586">
        <v>348</v>
      </c>
      <c r="AW4586">
        <v>348</v>
      </c>
      <c r="AX4586">
        <v>428</v>
      </c>
      <c r="BA4586">
        <v>1</v>
      </c>
      <c r="BC4586" t="s">
        <v>9282</v>
      </c>
      <c r="BD4586" s="4">
        <v>43283.319444444445</v>
      </c>
      <c r="BE4586" s="4">
        <v>43283.341909722221</v>
      </c>
      <c r="BF4586" s="4">
        <v>43283.341909722221</v>
      </c>
      <c r="BG4586" t="s">
        <v>83</v>
      </c>
      <c r="BH4586" t="s">
        <v>84</v>
      </c>
      <c r="BI4586" t="s">
        <v>85</v>
      </c>
    </row>
    <row r="4587" spans="1:61" x14ac:dyDescent="0.3">
      <c r="A4587" t="str">
        <f>"200636C0100"</f>
        <v>200636C0100</v>
      </c>
      <c r="B4587" t="s">
        <v>9283</v>
      </c>
      <c r="C4587">
        <v>20</v>
      </c>
      <c r="D4587" t="s">
        <v>79</v>
      </c>
      <c r="E4587">
        <v>22</v>
      </c>
      <c r="F4587" t="s">
        <v>9267</v>
      </c>
      <c r="G4587">
        <v>636</v>
      </c>
      <c r="H4587">
        <v>1</v>
      </c>
      <c r="I4587" t="s">
        <v>89</v>
      </c>
      <c r="J4587">
        <v>0</v>
      </c>
      <c r="K4587">
        <v>1</v>
      </c>
      <c r="L4587">
        <v>2</v>
      </c>
      <c r="M4587">
        <v>117</v>
      </c>
      <c r="N4587">
        <v>332</v>
      </c>
      <c r="O4587">
        <v>4</v>
      </c>
      <c r="P4587">
        <v>332</v>
      </c>
      <c r="Q4587">
        <v>0</v>
      </c>
      <c r="R4587">
        <v>119</v>
      </c>
      <c r="S4587">
        <v>69</v>
      </c>
      <c r="T4587">
        <v>2</v>
      </c>
      <c r="U4587">
        <v>0</v>
      </c>
      <c r="V4587">
        <v>1</v>
      </c>
      <c r="W4587">
        <v>1</v>
      </c>
      <c r="X4587">
        <v>15</v>
      </c>
      <c r="Y4587">
        <v>101</v>
      </c>
      <c r="Z4587">
        <v>1</v>
      </c>
      <c r="AA4587">
        <v>0</v>
      </c>
      <c r="AC4587">
        <v>0</v>
      </c>
      <c r="AD4587">
        <v>0</v>
      </c>
      <c r="AE4587">
        <v>0</v>
      </c>
      <c r="AF4587">
        <v>0</v>
      </c>
      <c r="AG4587">
        <v>0</v>
      </c>
      <c r="AH4587">
        <v>0</v>
      </c>
      <c r="AI4587">
        <v>0</v>
      </c>
      <c r="AJ4587">
        <v>0</v>
      </c>
      <c r="AK4587">
        <v>0</v>
      </c>
      <c r="AL4587">
        <v>0</v>
      </c>
      <c r="AM4587">
        <v>0</v>
      </c>
      <c r="AN4587">
        <v>0</v>
      </c>
      <c r="AT4587">
        <v>0</v>
      </c>
      <c r="AU4587">
        <v>22</v>
      </c>
      <c r="AV4587" t="s">
        <v>100</v>
      </c>
      <c r="AW4587">
        <v>331</v>
      </c>
      <c r="AX4587">
        <v>428</v>
      </c>
      <c r="BA4587">
        <v>1</v>
      </c>
      <c r="BC4587" t="s">
        <v>9284</v>
      </c>
      <c r="BD4587" s="4">
        <v>43283.322222222225</v>
      </c>
      <c r="BE4587" s="4">
        <v>43283.344571759262</v>
      </c>
      <c r="BF4587" s="4">
        <v>43283.344571759262</v>
      </c>
      <c r="BG4587" t="s">
        <v>83</v>
      </c>
      <c r="BH4587" t="s">
        <v>84</v>
      </c>
      <c r="BI4587" t="s">
        <v>85</v>
      </c>
    </row>
    <row r="4588" spans="1:61" x14ac:dyDescent="0.3">
      <c r="A4588" t="str">
        <f>"200637B0100"</f>
        <v>200637B0100</v>
      </c>
      <c r="B4588" t="s">
        <v>9285</v>
      </c>
      <c r="C4588">
        <v>20</v>
      </c>
      <c r="D4588" t="s">
        <v>79</v>
      </c>
      <c r="E4588">
        <v>22</v>
      </c>
      <c r="F4588" t="s">
        <v>9267</v>
      </c>
      <c r="G4588">
        <v>637</v>
      </c>
      <c r="H4588">
        <v>1</v>
      </c>
      <c r="I4588" t="s">
        <v>81</v>
      </c>
      <c r="J4588">
        <v>0</v>
      </c>
      <c r="K4588">
        <v>2</v>
      </c>
      <c r="L4588">
        <v>2</v>
      </c>
      <c r="M4588">
        <v>159</v>
      </c>
      <c r="N4588">
        <v>570</v>
      </c>
      <c r="O4588">
        <v>2</v>
      </c>
      <c r="P4588" t="s">
        <v>100</v>
      </c>
      <c r="Q4588">
        <v>2</v>
      </c>
      <c r="R4588">
        <v>205</v>
      </c>
      <c r="S4588">
        <v>133</v>
      </c>
      <c r="T4588">
        <v>1</v>
      </c>
      <c r="U4588">
        <v>2</v>
      </c>
      <c r="V4588">
        <v>4</v>
      </c>
      <c r="W4588">
        <v>2</v>
      </c>
      <c r="X4588">
        <v>23</v>
      </c>
      <c r="Y4588">
        <v>177</v>
      </c>
      <c r="Z4588">
        <v>1</v>
      </c>
      <c r="AA4588">
        <v>0</v>
      </c>
      <c r="AC4588">
        <v>0</v>
      </c>
      <c r="AD4588">
        <v>0</v>
      </c>
      <c r="AE4588">
        <v>0</v>
      </c>
      <c r="AF4588">
        <v>0</v>
      </c>
      <c r="AG4588">
        <v>0</v>
      </c>
      <c r="AH4588">
        <v>0</v>
      </c>
      <c r="AI4588">
        <v>0</v>
      </c>
      <c r="AJ4588">
        <v>0</v>
      </c>
      <c r="AK4588">
        <v>5</v>
      </c>
      <c r="AL4588">
        <v>0</v>
      </c>
      <c r="AM4588">
        <v>0</v>
      </c>
      <c r="AN4588">
        <v>2</v>
      </c>
      <c r="AT4588">
        <v>0</v>
      </c>
      <c r="AU4588">
        <v>13</v>
      </c>
      <c r="AV4588" t="s">
        <v>100</v>
      </c>
      <c r="AW4588">
        <v>570</v>
      </c>
      <c r="AX4588">
        <v>707</v>
      </c>
      <c r="BA4588">
        <v>1</v>
      </c>
      <c r="BC4588" t="s">
        <v>9286</v>
      </c>
      <c r="BD4588" s="4">
        <v>43283.324305555558</v>
      </c>
      <c r="BE4588" s="4">
        <v>43283.345543981479</v>
      </c>
      <c r="BF4588" s="4">
        <v>43283.345543981479</v>
      </c>
      <c r="BG4588" t="s">
        <v>83</v>
      </c>
      <c r="BH4588" t="s">
        <v>84</v>
      </c>
      <c r="BI4588" t="s">
        <v>85</v>
      </c>
    </row>
    <row r="4589" spans="1:61" x14ac:dyDescent="0.3">
      <c r="A4589" t="str">
        <f>"200637E0100"</f>
        <v>200637E0100</v>
      </c>
      <c r="B4589" s="2" t="s">
        <v>9287</v>
      </c>
      <c r="C4589">
        <v>20</v>
      </c>
      <c r="D4589" t="s">
        <v>79</v>
      </c>
      <c r="E4589">
        <v>22</v>
      </c>
      <c r="F4589" t="s">
        <v>9267</v>
      </c>
      <c r="G4589">
        <v>637</v>
      </c>
      <c r="H4589">
        <v>1</v>
      </c>
      <c r="I4589" t="s">
        <v>145</v>
      </c>
      <c r="J4589">
        <v>0</v>
      </c>
      <c r="K4589">
        <v>2</v>
      </c>
      <c r="L4589">
        <v>2</v>
      </c>
      <c r="M4589">
        <v>59</v>
      </c>
      <c r="N4589">
        <v>210</v>
      </c>
      <c r="O4589">
        <v>7</v>
      </c>
      <c r="P4589">
        <v>210</v>
      </c>
      <c r="Q4589">
        <v>0</v>
      </c>
      <c r="R4589">
        <v>84</v>
      </c>
      <c r="S4589">
        <v>73</v>
      </c>
      <c r="T4589">
        <v>0</v>
      </c>
      <c r="U4589">
        <v>1</v>
      </c>
      <c r="V4589">
        <v>1</v>
      </c>
      <c r="W4589">
        <v>1</v>
      </c>
      <c r="X4589">
        <v>7</v>
      </c>
      <c r="Y4589">
        <v>28</v>
      </c>
      <c r="Z4589">
        <v>1</v>
      </c>
      <c r="AA4589">
        <v>0</v>
      </c>
      <c r="AC4589" t="s">
        <v>100</v>
      </c>
      <c r="AD4589" t="s">
        <v>100</v>
      </c>
      <c r="AE4589" t="s">
        <v>100</v>
      </c>
      <c r="AF4589" t="s">
        <v>100</v>
      </c>
      <c r="AG4589" t="s">
        <v>100</v>
      </c>
      <c r="AH4589">
        <v>1</v>
      </c>
      <c r="AI4589" t="s">
        <v>100</v>
      </c>
      <c r="AJ4589" t="s">
        <v>100</v>
      </c>
      <c r="AK4589" t="s">
        <v>100</v>
      </c>
      <c r="AL4589" t="s">
        <v>100</v>
      </c>
      <c r="AM4589" t="s">
        <v>100</v>
      </c>
      <c r="AN4589" t="s">
        <v>100</v>
      </c>
      <c r="AT4589" t="s">
        <v>100</v>
      </c>
      <c r="AU4589">
        <v>13</v>
      </c>
      <c r="AV4589">
        <v>210</v>
      </c>
      <c r="AW4589">
        <v>210</v>
      </c>
      <c r="AX4589">
        <v>247</v>
      </c>
      <c r="AZ4589" t="s">
        <v>101</v>
      </c>
      <c r="BA4589">
        <v>1</v>
      </c>
      <c r="BC4589" t="s">
        <v>9288</v>
      </c>
      <c r="BD4589" s="4">
        <v>43283.326388888891</v>
      </c>
      <c r="BE4589" s="4">
        <v>43283.347280092596</v>
      </c>
      <c r="BF4589" s="4">
        <v>43283.347280092596</v>
      </c>
      <c r="BG4589" t="s">
        <v>83</v>
      </c>
      <c r="BH4589" t="s">
        <v>84</v>
      </c>
      <c r="BI4589" t="s">
        <v>85</v>
      </c>
    </row>
    <row r="4590" spans="1:61" x14ac:dyDescent="0.3">
      <c r="A4590" t="str">
        <f>"200714B0100"</f>
        <v>200714B0100</v>
      </c>
      <c r="B4590" t="s">
        <v>9289</v>
      </c>
      <c r="C4590">
        <v>20</v>
      </c>
      <c r="D4590" t="s">
        <v>79</v>
      </c>
      <c r="E4590">
        <v>22</v>
      </c>
      <c r="F4590" t="s">
        <v>9267</v>
      </c>
      <c r="G4590">
        <v>714</v>
      </c>
      <c r="H4590">
        <v>1</v>
      </c>
      <c r="I4590" t="s">
        <v>81</v>
      </c>
      <c r="J4590">
        <v>0</v>
      </c>
      <c r="K4590">
        <v>2</v>
      </c>
      <c r="L4590">
        <v>2</v>
      </c>
      <c r="M4590">
        <v>202</v>
      </c>
      <c r="N4590">
        <v>333</v>
      </c>
      <c r="O4590">
        <v>0</v>
      </c>
      <c r="P4590">
        <v>333</v>
      </c>
      <c r="Q4590">
        <v>3</v>
      </c>
      <c r="R4590">
        <v>63</v>
      </c>
      <c r="S4590">
        <v>81</v>
      </c>
      <c r="T4590">
        <v>0</v>
      </c>
      <c r="U4590">
        <v>10</v>
      </c>
      <c r="V4590">
        <v>6</v>
      </c>
      <c r="W4590">
        <v>5</v>
      </c>
      <c r="X4590">
        <v>3</v>
      </c>
      <c r="Y4590">
        <v>117</v>
      </c>
      <c r="Z4590">
        <v>6</v>
      </c>
      <c r="AA4590">
        <v>2</v>
      </c>
      <c r="AC4590">
        <v>4</v>
      </c>
      <c r="AD4590">
        <v>0</v>
      </c>
      <c r="AE4590">
        <v>0</v>
      </c>
      <c r="AF4590">
        <v>0</v>
      </c>
      <c r="AG4590">
        <v>1</v>
      </c>
      <c r="AH4590">
        <v>1</v>
      </c>
      <c r="AI4590">
        <v>0</v>
      </c>
      <c r="AJ4590">
        <v>0</v>
      </c>
      <c r="AK4590">
        <v>2</v>
      </c>
      <c r="AL4590">
        <v>0</v>
      </c>
      <c r="AM4590">
        <v>0</v>
      </c>
      <c r="AN4590">
        <v>2</v>
      </c>
      <c r="AT4590">
        <v>0</v>
      </c>
      <c r="AU4590">
        <v>20</v>
      </c>
      <c r="AV4590">
        <v>326</v>
      </c>
      <c r="AW4590">
        <v>326</v>
      </c>
      <c r="AX4590">
        <v>513</v>
      </c>
      <c r="BA4590">
        <v>1</v>
      </c>
      <c r="BC4590" t="s">
        <v>9290</v>
      </c>
      <c r="BD4590" s="4">
        <v>43283.315972222219</v>
      </c>
      <c r="BE4590" s="4">
        <v>43283.359178240738</v>
      </c>
      <c r="BF4590" s="4">
        <v>43283.359178240738</v>
      </c>
      <c r="BG4590" t="s">
        <v>83</v>
      </c>
      <c r="BH4590" t="s">
        <v>84</v>
      </c>
      <c r="BI4590" t="s">
        <v>85</v>
      </c>
    </row>
    <row r="4591" spans="1:61" x14ac:dyDescent="0.3">
      <c r="A4591" t="str">
        <f>"200714E0100"</f>
        <v>200714E0100</v>
      </c>
      <c r="B4591" s="2" t="s">
        <v>9291</v>
      </c>
      <c r="C4591">
        <v>20</v>
      </c>
      <c r="D4591" t="s">
        <v>79</v>
      </c>
      <c r="E4591">
        <v>22</v>
      </c>
      <c r="F4591" t="s">
        <v>9267</v>
      </c>
      <c r="G4591">
        <v>714</v>
      </c>
      <c r="H4591">
        <v>1</v>
      </c>
      <c r="I4591" t="s">
        <v>145</v>
      </c>
      <c r="J4591">
        <v>0</v>
      </c>
      <c r="K4591">
        <v>2</v>
      </c>
      <c r="L4591">
        <v>2</v>
      </c>
      <c r="M4591">
        <v>84</v>
      </c>
      <c r="N4591">
        <v>194</v>
      </c>
      <c r="O4591" t="s">
        <v>315</v>
      </c>
      <c r="P4591">
        <v>194</v>
      </c>
      <c r="Q4591">
        <v>4</v>
      </c>
      <c r="R4591">
        <v>22</v>
      </c>
      <c r="S4591">
        <v>19</v>
      </c>
      <c r="T4591">
        <v>4</v>
      </c>
      <c r="U4591">
        <v>3</v>
      </c>
      <c r="V4591">
        <v>2</v>
      </c>
      <c r="W4591">
        <v>1</v>
      </c>
      <c r="X4591">
        <v>5</v>
      </c>
      <c r="Y4591">
        <v>109</v>
      </c>
      <c r="Z4591">
        <v>10</v>
      </c>
      <c r="AA4591">
        <v>1</v>
      </c>
      <c r="AC4591">
        <v>2</v>
      </c>
      <c r="AD4591">
        <v>0</v>
      </c>
      <c r="AE4591">
        <v>0</v>
      </c>
      <c r="AF4591">
        <v>0</v>
      </c>
      <c r="AG4591">
        <v>1</v>
      </c>
      <c r="AH4591">
        <v>1</v>
      </c>
      <c r="AI4591">
        <v>0</v>
      </c>
      <c r="AJ4591">
        <v>0</v>
      </c>
      <c r="AK4591">
        <v>1</v>
      </c>
      <c r="AL4591">
        <v>1</v>
      </c>
      <c r="AM4591">
        <v>0</v>
      </c>
      <c r="AN4591">
        <v>1</v>
      </c>
      <c r="AT4591">
        <v>0</v>
      </c>
      <c r="AU4591">
        <v>7</v>
      </c>
      <c r="AV4591">
        <v>194</v>
      </c>
      <c r="AW4591">
        <v>194</v>
      </c>
      <c r="AX4591">
        <v>256</v>
      </c>
      <c r="BA4591">
        <v>1</v>
      </c>
      <c r="BC4591" t="s">
        <v>9292</v>
      </c>
      <c r="BD4591" s="4">
        <v>43283.727083333331</v>
      </c>
      <c r="BE4591" s="4">
        <v>43283.732048611113</v>
      </c>
      <c r="BF4591" s="4">
        <v>43283.732048611113</v>
      </c>
      <c r="BG4591" t="s">
        <v>83</v>
      </c>
      <c r="BH4591" t="s">
        <v>84</v>
      </c>
      <c r="BI4591" t="s">
        <v>85</v>
      </c>
    </row>
    <row r="4592" spans="1:61" x14ac:dyDescent="0.3">
      <c r="A4592" t="str">
        <f>"200714E0200"</f>
        <v>200714E0200</v>
      </c>
      <c r="B4592" s="2" t="s">
        <v>9293</v>
      </c>
      <c r="C4592">
        <v>20</v>
      </c>
      <c r="D4592" t="s">
        <v>79</v>
      </c>
      <c r="E4592">
        <v>22</v>
      </c>
      <c r="F4592" t="s">
        <v>9267</v>
      </c>
      <c r="G4592">
        <v>714</v>
      </c>
      <c r="H4592">
        <v>2</v>
      </c>
      <c r="I4592" t="s">
        <v>145</v>
      </c>
      <c r="J4592">
        <v>0</v>
      </c>
      <c r="K4592">
        <v>2</v>
      </c>
      <c r="L4592">
        <v>2</v>
      </c>
      <c r="M4592">
        <v>151</v>
      </c>
      <c r="N4592">
        <v>266</v>
      </c>
      <c r="O4592">
        <v>5</v>
      </c>
      <c r="P4592">
        <v>267</v>
      </c>
      <c r="Q4592">
        <v>9</v>
      </c>
      <c r="R4592">
        <v>40</v>
      </c>
      <c r="S4592">
        <v>11</v>
      </c>
      <c r="T4592">
        <v>3</v>
      </c>
      <c r="U4592">
        <v>10</v>
      </c>
      <c r="V4592">
        <v>2</v>
      </c>
      <c r="W4592">
        <v>4</v>
      </c>
      <c r="X4592">
        <v>3</v>
      </c>
      <c r="Y4592">
        <v>161</v>
      </c>
      <c r="Z4592">
        <v>4</v>
      </c>
      <c r="AA4592">
        <v>0</v>
      </c>
      <c r="AC4592">
        <v>0</v>
      </c>
      <c r="AD4592">
        <v>0</v>
      </c>
      <c r="AE4592">
        <v>0</v>
      </c>
      <c r="AF4592">
        <v>0</v>
      </c>
      <c r="AG4592">
        <v>0</v>
      </c>
      <c r="AH4592">
        <v>3</v>
      </c>
      <c r="AI4592">
        <v>0</v>
      </c>
      <c r="AJ4592">
        <v>0</v>
      </c>
      <c r="AK4592">
        <v>8</v>
      </c>
      <c r="AL4592">
        <v>0</v>
      </c>
      <c r="AM4592">
        <v>0</v>
      </c>
      <c r="AN4592">
        <v>0</v>
      </c>
      <c r="AT4592">
        <v>0</v>
      </c>
      <c r="AU4592">
        <v>9</v>
      </c>
      <c r="AV4592">
        <v>267</v>
      </c>
      <c r="AW4592">
        <v>267</v>
      </c>
      <c r="AX4592">
        <v>396</v>
      </c>
      <c r="BA4592">
        <v>1</v>
      </c>
      <c r="BC4592" t="s">
        <v>9294</v>
      </c>
      <c r="BD4592" s="4">
        <v>43283.319444444445</v>
      </c>
      <c r="BE4592" s="4">
        <v>43283.341539351852</v>
      </c>
      <c r="BF4592" s="4">
        <v>43283.341539351852</v>
      </c>
      <c r="BG4592" t="s">
        <v>83</v>
      </c>
      <c r="BH4592" t="s">
        <v>84</v>
      </c>
      <c r="BI4592" t="s">
        <v>85</v>
      </c>
    </row>
    <row r="4593" spans="1:61" x14ac:dyDescent="0.3">
      <c r="A4593" t="str">
        <f>"200715B0100"</f>
        <v>200715B0100</v>
      </c>
      <c r="B4593" t="s">
        <v>9295</v>
      </c>
      <c r="C4593">
        <v>20</v>
      </c>
      <c r="D4593" t="s">
        <v>79</v>
      </c>
      <c r="E4593">
        <v>22</v>
      </c>
      <c r="F4593" t="s">
        <v>9267</v>
      </c>
      <c r="G4593">
        <v>715</v>
      </c>
      <c r="H4593">
        <v>1</v>
      </c>
      <c r="I4593" t="s">
        <v>81</v>
      </c>
      <c r="J4593">
        <v>0</v>
      </c>
      <c r="K4593">
        <v>2</v>
      </c>
      <c r="L4593">
        <v>2</v>
      </c>
      <c r="M4593">
        <v>206</v>
      </c>
      <c r="N4593">
        <v>425</v>
      </c>
      <c r="O4593">
        <v>0</v>
      </c>
      <c r="P4593">
        <v>425</v>
      </c>
      <c r="Q4593">
        <v>4</v>
      </c>
      <c r="R4593">
        <v>87</v>
      </c>
      <c r="S4593">
        <v>125</v>
      </c>
      <c r="T4593">
        <v>2</v>
      </c>
      <c r="U4593">
        <v>11</v>
      </c>
      <c r="V4593">
        <v>6</v>
      </c>
      <c r="W4593">
        <v>1</v>
      </c>
      <c r="X4593">
        <v>5</v>
      </c>
      <c r="Y4593">
        <v>128</v>
      </c>
      <c r="Z4593">
        <v>9</v>
      </c>
      <c r="AA4593">
        <v>1</v>
      </c>
      <c r="AC4593">
        <v>2</v>
      </c>
      <c r="AD4593">
        <v>0</v>
      </c>
      <c r="AE4593">
        <v>0</v>
      </c>
      <c r="AF4593">
        <v>1</v>
      </c>
      <c r="AG4593">
        <v>2</v>
      </c>
      <c r="AH4593">
        <v>3</v>
      </c>
      <c r="AI4593">
        <v>0</v>
      </c>
      <c r="AJ4593">
        <v>0</v>
      </c>
      <c r="AK4593">
        <v>4</v>
      </c>
      <c r="AL4593">
        <v>2</v>
      </c>
      <c r="AM4593">
        <v>0</v>
      </c>
      <c r="AN4593">
        <v>1</v>
      </c>
      <c r="AT4593">
        <v>0</v>
      </c>
      <c r="AU4593">
        <v>31</v>
      </c>
      <c r="AV4593">
        <v>425</v>
      </c>
      <c r="AW4593">
        <v>425</v>
      </c>
      <c r="AX4593">
        <v>609</v>
      </c>
      <c r="BA4593">
        <v>1</v>
      </c>
      <c r="BC4593" t="s">
        <v>9296</v>
      </c>
      <c r="BD4593" s="4">
        <v>43283.307638888888</v>
      </c>
      <c r="BE4593" s="4">
        <v>43283.337638888886</v>
      </c>
      <c r="BF4593" s="4">
        <v>43283.337638888886</v>
      </c>
      <c r="BG4593" t="s">
        <v>83</v>
      </c>
      <c r="BH4593" t="s">
        <v>84</v>
      </c>
      <c r="BI4593" t="s">
        <v>85</v>
      </c>
    </row>
    <row r="4594" spans="1:61" x14ac:dyDescent="0.3">
      <c r="A4594" t="str">
        <f>"200715C0100"</f>
        <v>200715C0100</v>
      </c>
      <c r="B4594" t="s">
        <v>9297</v>
      </c>
      <c r="C4594">
        <v>20</v>
      </c>
      <c r="D4594" t="s">
        <v>79</v>
      </c>
      <c r="E4594">
        <v>22</v>
      </c>
      <c r="F4594" t="s">
        <v>9267</v>
      </c>
      <c r="G4594">
        <v>715</v>
      </c>
      <c r="H4594">
        <v>1</v>
      </c>
      <c r="I4594" t="s">
        <v>89</v>
      </c>
      <c r="J4594">
        <v>0</v>
      </c>
      <c r="K4594">
        <v>2</v>
      </c>
      <c r="L4594">
        <v>2</v>
      </c>
      <c r="M4594">
        <v>227</v>
      </c>
      <c r="N4594">
        <v>388</v>
      </c>
      <c r="O4594">
        <v>0</v>
      </c>
      <c r="P4594">
        <v>388</v>
      </c>
      <c r="Q4594">
        <v>3</v>
      </c>
      <c r="R4594">
        <v>92</v>
      </c>
      <c r="S4594">
        <v>133</v>
      </c>
      <c r="T4594">
        <v>5</v>
      </c>
      <c r="U4594">
        <v>7</v>
      </c>
      <c r="V4594">
        <v>4</v>
      </c>
      <c r="W4594">
        <v>3</v>
      </c>
      <c r="X4594">
        <v>4</v>
      </c>
      <c r="Y4594">
        <v>133</v>
      </c>
      <c r="Z4594">
        <v>4</v>
      </c>
      <c r="AA4594" t="s">
        <v>100</v>
      </c>
      <c r="AC4594" t="s">
        <v>100</v>
      </c>
      <c r="AD4594" t="s">
        <v>100</v>
      </c>
      <c r="AE4594" t="s">
        <v>100</v>
      </c>
      <c r="AF4594" t="s">
        <v>100</v>
      </c>
      <c r="AG4594" t="s">
        <v>100</v>
      </c>
      <c r="AH4594" t="s">
        <v>100</v>
      </c>
      <c r="AI4594" t="s">
        <v>100</v>
      </c>
      <c r="AJ4594" t="s">
        <v>100</v>
      </c>
      <c r="AK4594" t="s">
        <v>100</v>
      </c>
      <c r="AL4594" t="s">
        <v>100</v>
      </c>
      <c r="AM4594" t="s">
        <v>100</v>
      </c>
      <c r="AN4594" t="s">
        <v>100</v>
      </c>
      <c r="AT4594" t="s">
        <v>100</v>
      </c>
      <c r="AU4594" t="s">
        <v>100</v>
      </c>
      <c r="AV4594">
        <v>388</v>
      </c>
      <c r="AW4594">
        <v>388</v>
      </c>
      <c r="AX4594">
        <v>608</v>
      </c>
      <c r="AZ4594" t="s">
        <v>101</v>
      </c>
      <c r="BA4594">
        <v>1</v>
      </c>
      <c r="BC4594" t="s">
        <v>9298</v>
      </c>
      <c r="BD4594" s="4">
        <v>43283.31527777778</v>
      </c>
      <c r="BE4594" s="4">
        <v>43283.337847222225</v>
      </c>
      <c r="BF4594" s="4">
        <v>43283.337847222225</v>
      </c>
      <c r="BG4594" t="s">
        <v>83</v>
      </c>
      <c r="BH4594" t="s">
        <v>84</v>
      </c>
      <c r="BI4594" t="s">
        <v>548</v>
      </c>
    </row>
    <row r="4595" spans="1:61" x14ac:dyDescent="0.3">
      <c r="A4595" t="str">
        <f>"200716B0100"</f>
        <v>200716B0100</v>
      </c>
      <c r="B4595" t="s">
        <v>9299</v>
      </c>
      <c r="C4595">
        <v>20</v>
      </c>
      <c r="D4595" t="s">
        <v>79</v>
      </c>
      <c r="E4595">
        <v>22</v>
      </c>
      <c r="F4595" t="s">
        <v>9267</v>
      </c>
      <c r="G4595">
        <v>716</v>
      </c>
      <c r="H4595">
        <v>1</v>
      </c>
      <c r="I4595" t="s">
        <v>81</v>
      </c>
      <c r="J4595">
        <v>0</v>
      </c>
      <c r="K4595">
        <v>2</v>
      </c>
      <c r="L4595">
        <v>2</v>
      </c>
      <c r="M4595">
        <v>269</v>
      </c>
      <c r="N4595">
        <v>635</v>
      </c>
      <c r="O4595">
        <v>0</v>
      </c>
      <c r="P4595">
        <v>367</v>
      </c>
      <c r="Q4595">
        <v>3</v>
      </c>
      <c r="R4595">
        <v>39</v>
      </c>
      <c r="S4595">
        <v>126</v>
      </c>
      <c r="T4595">
        <v>7</v>
      </c>
      <c r="U4595">
        <v>9</v>
      </c>
      <c r="V4595">
        <v>7</v>
      </c>
      <c r="W4595">
        <v>7</v>
      </c>
      <c r="X4595">
        <v>5</v>
      </c>
      <c r="Y4595">
        <v>122</v>
      </c>
      <c r="Z4595">
        <v>8</v>
      </c>
      <c r="AA4595">
        <v>0</v>
      </c>
      <c r="AC4595">
        <v>2</v>
      </c>
      <c r="AD4595">
        <v>1</v>
      </c>
      <c r="AE4595">
        <v>0</v>
      </c>
      <c r="AF4595">
        <v>0</v>
      </c>
      <c r="AG4595">
        <v>1</v>
      </c>
      <c r="AH4595">
        <v>0</v>
      </c>
      <c r="AI4595">
        <v>0</v>
      </c>
      <c r="AJ4595">
        <v>1</v>
      </c>
      <c r="AK4595">
        <v>7</v>
      </c>
      <c r="AL4595">
        <v>3</v>
      </c>
      <c r="AM4595">
        <v>0</v>
      </c>
      <c r="AN4595">
        <v>1</v>
      </c>
      <c r="AT4595">
        <v>0</v>
      </c>
      <c r="AU4595">
        <v>18</v>
      </c>
      <c r="AV4595">
        <v>367</v>
      </c>
      <c r="AW4595">
        <v>367</v>
      </c>
      <c r="AX4595">
        <v>614</v>
      </c>
      <c r="BA4595">
        <v>1</v>
      </c>
      <c r="BC4595" t="s">
        <v>9300</v>
      </c>
      <c r="BD4595" s="4">
        <v>43283.130555555559</v>
      </c>
      <c r="BE4595" s="4">
        <v>43283.163055555553</v>
      </c>
      <c r="BF4595" s="4">
        <v>43283.163055555553</v>
      </c>
      <c r="BG4595" t="s">
        <v>83</v>
      </c>
      <c r="BH4595" t="s">
        <v>84</v>
      </c>
      <c r="BI4595" t="s">
        <v>85</v>
      </c>
    </row>
    <row r="4596" spans="1:61" x14ac:dyDescent="0.3">
      <c r="A4596" t="str">
        <f>"200744B0100"</f>
        <v>200744B0100</v>
      </c>
      <c r="B4596" t="s">
        <v>9301</v>
      </c>
      <c r="C4596">
        <v>20</v>
      </c>
      <c r="D4596" t="s">
        <v>79</v>
      </c>
      <c r="E4596">
        <v>22</v>
      </c>
      <c r="F4596" t="s">
        <v>9267</v>
      </c>
      <c r="G4596">
        <v>744</v>
      </c>
      <c r="H4596">
        <v>1</v>
      </c>
      <c r="I4596" t="s">
        <v>81</v>
      </c>
      <c r="J4596">
        <v>0</v>
      </c>
      <c r="K4596">
        <v>2</v>
      </c>
      <c r="L4596">
        <v>2</v>
      </c>
      <c r="M4596">
        <v>160</v>
      </c>
      <c r="N4596">
        <v>365</v>
      </c>
      <c r="O4596">
        <v>0</v>
      </c>
      <c r="P4596">
        <v>365</v>
      </c>
      <c r="Q4596">
        <v>5</v>
      </c>
      <c r="R4596">
        <v>74</v>
      </c>
      <c r="S4596">
        <v>20</v>
      </c>
      <c r="T4596">
        <v>2</v>
      </c>
      <c r="U4596">
        <v>3</v>
      </c>
      <c r="V4596">
        <v>4</v>
      </c>
      <c r="W4596">
        <v>51</v>
      </c>
      <c r="X4596">
        <v>63</v>
      </c>
      <c r="Y4596">
        <v>121</v>
      </c>
      <c r="Z4596">
        <v>1</v>
      </c>
      <c r="AA4596">
        <v>1</v>
      </c>
      <c r="AC4596">
        <v>0</v>
      </c>
      <c r="AD4596">
        <v>0</v>
      </c>
      <c r="AE4596">
        <v>0</v>
      </c>
      <c r="AF4596">
        <v>0</v>
      </c>
      <c r="AG4596">
        <v>0</v>
      </c>
      <c r="AH4596">
        <v>0</v>
      </c>
      <c r="AI4596">
        <v>0</v>
      </c>
      <c r="AJ4596">
        <v>0</v>
      </c>
      <c r="AK4596">
        <v>1</v>
      </c>
      <c r="AL4596">
        <v>0</v>
      </c>
      <c r="AM4596">
        <v>0</v>
      </c>
      <c r="AN4596">
        <v>0</v>
      </c>
      <c r="AT4596">
        <v>0</v>
      </c>
      <c r="AU4596">
        <v>19</v>
      </c>
      <c r="AV4596">
        <v>366</v>
      </c>
      <c r="AW4596">
        <v>365</v>
      </c>
      <c r="AX4596">
        <v>504</v>
      </c>
      <c r="BA4596">
        <v>1</v>
      </c>
      <c r="BC4596" t="s">
        <v>9302</v>
      </c>
      <c r="BD4596" s="4">
        <v>43283.274305555555</v>
      </c>
      <c r="BE4596" s="4">
        <v>43283.301099537035</v>
      </c>
      <c r="BF4596" s="4">
        <v>43283.301099537035</v>
      </c>
      <c r="BG4596" t="s">
        <v>83</v>
      </c>
      <c r="BH4596" t="s">
        <v>84</v>
      </c>
      <c r="BI4596" t="s">
        <v>85</v>
      </c>
    </row>
    <row r="4597" spans="1:61" x14ac:dyDescent="0.3">
      <c r="A4597" t="str">
        <f>"200744C0100"</f>
        <v>200744C0100</v>
      </c>
      <c r="B4597" t="s">
        <v>9303</v>
      </c>
      <c r="C4597">
        <v>20</v>
      </c>
      <c r="D4597" t="s">
        <v>79</v>
      </c>
      <c r="E4597">
        <v>22</v>
      </c>
      <c r="F4597" t="s">
        <v>9267</v>
      </c>
      <c r="G4597">
        <v>744</v>
      </c>
      <c r="H4597">
        <v>1</v>
      </c>
      <c r="I4597" t="s">
        <v>89</v>
      </c>
      <c r="J4597">
        <v>0</v>
      </c>
      <c r="K4597">
        <v>2</v>
      </c>
      <c r="L4597">
        <v>2</v>
      </c>
      <c r="M4597">
        <v>155</v>
      </c>
      <c r="N4597">
        <v>0</v>
      </c>
      <c r="O4597">
        <v>0</v>
      </c>
      <c r="P4597">
        <v>369</v>
      </c>
      <c r="Q4597">
        <v>8</v>
      </c>
      <c r="R4597">
        <v>80</v>
      </c>
      <c r="S4597">
        <v>16</v>
      </c>
      <c r="T4597">
        <v>2</v>
      </c>
      <c r="U4597">
        <v>5</v>
      </c>
      <c r="V4597">
        <v>4</v>
      </c>
      <c r="W4597">
        <v>58</v>
      </c>
      <c r="X4597">
        <v>55</v>
      </c>
      <c r="Y4597">
        <v>128</v>
      </c>
      <c r="Z4597">
        <v>1</v>
      </c>
      <c r="AA4597">
        <v>0</v>
      </c>
      <c r="AC4597">
        <v>0</v>
      </c>
      <c r="AD4597">
        <v>0</v>
      </c>
      <c r="AE4597">
        <v>0</v>
      </c>
      <c r="AF4597">
        <v>0</v>
      </c>
      <c r="AG4597">
        <v>0</v>
      </c>
      <c r="AH4597">
        <v>0</v>
      </c>
      <c r="AI4597">
        <v>2</v>
      </c>
      <c r="AJ4597">
        <v>0</v>
      </c>
      <c r="AK4597">
        <v>0</v>
      </c>
      <c r="AL4597">
        <v>0</v>
      </c>
      <c r="AM4597">
        <v>0</v>
      </c>
      <c r="AN4597">
        <v>0</v>
      </c>
      <c r="AT4597">
        <v>0</v>
      </c>
      <c r="AU4597">
        <v>10</v>
      </c>
      <c r="AV4597">
        <v>369</v>
      </c>
      <c r="AW4597">
        <v>369</v>
      </c>
      <c r="AX4597">
        <v>504</v>
      </c>
      <c r="BA4597">
        <v>1</v>
      </c>
      <c r="BC4597" t="s">
        <v>9304</v>
      </c>
      <c r="BD4597" s="4">
        <v>43283.274305555555</v>
      </c>
      <c r="BE4597" s="4">
        <v>43283.319305555553</v>
      </c>
      <c r="BF4597" s="4">
        <v>43283.319305555553</v>
      </c>
      <c r="BG4597" t="s">
        <v>83</v>
      </c>
      <c r="BH4597" t="s">
        <v>84</v>
      </c>
      <c r="BI4597" t="s">
        <v>85</v>
      </c>
    </row>
    <row r="4598" spans="1:61" x14ac:dyDescent="0.3">
      <c r="A4598" t="str">
        <f>"200744C0200"</f>
        <v>200744C0200</v>
      </c>
      <c r="B4598" t="s">
        <v>9305</v>
      </c>
      <c r="C4598">
        <v>20</v>
      </c>
      <c r="D4598" t="s">
        <v>79</v>
      </c>
      <c r="E4598">
        <v>22</v>
      </c>
      <c r="F4598" t="s">
        <v>9267</v>
      </c>
      <c r="G4598">
        <v>744</v>
      </c>
      <c r="H4598">
        <v>2</v>
      </c>
      <c r="I4598" t="s">
        <v>89</v>
      </c>
      <c r="J4598">
        <v>0</v>
      </c>
      <c r="K4598">
        <v>2</v>
      </c>
      <c r="L4598">
        <v>2</v>
      </c>
      <c r="M4598">
        <v>155</v>
      </c>
      <c r="N4598">
        <v>371</v>
      </c>
      <c r="O4598" t="s">
        <v>100</v>
      </c>
      <c r="P4598">
        <v>371</v>
      </c>
      <c r="Q4598">
        <v>6</v>
      </c>
      <c r="R4598">
        <v>81</v>
      </c>
      <c r="S4598">
        <v>12</v>
      </c>
      <c r="T4598">
        <v>2</v>
      </c>
      <c r="U4598">
        <v>4</v>
      </c>
      <c r="V4598">
        <v>1</v>
      </c>
      <c r="W4598">
        <v>69</v>
      </c>
      <c r="X4598">
        <v>61</v>
      </c>
      <c r="Y4598">
        <v>112</v>
      </c>
      <c r="Z4598">
        <v>2</v>
      </c>
      <c r="AA4598" t="s">
        <v>100</v>
      </c>
      <c r="AC4598" t="s">
        <v>100</v>
      </c>
      <c r="AD4598" t="s">
        <v>100</v>
      </c>
      <c r="AE4598" t="s">
        <v>100</v>
      </c>
      <c r="AF4598" t="s">
        <v>100</v>
      </c>
      <c r="AG4598">
        <v>1</v>
      </c>
      <c r="AH4598" t="s">
        <v>100</v>
      </c>
      <c r="AI4598" t="s">
        <v>100</v>
      </c>
      <c r="AJ4598" t="s">
        <v>100</v>
      </c>
      <c r="AK4598">
        <v>2</v>
      </c>
      <c r="AL4598">
        <v>1</v>
      </c>
      <c r="AM4598" t="s">
        <v>100</v>
      </c>
      <c r="AN4598">
        <v>1</v>
      </c>
      <c r="AT4598" t="s">
        <v>100</v>
      </c>
      <c r="AU4598">
        <v>16</v>
      </c>
      <c r="AV4598">
        <v>371</v>
      </c>
      <c r="AW4598">
        <v>371</v>
      </c>
      <c r="AX4598">
        <v>504</v>
      </c>
      <c r="AZ4598" t="s">
        <v>101</v>
      </c>
      <c r="BA4598">
        <v>1</v>
      </c>
      <c r="BC4598" t="s">
        <v>9306</v>
      </c>
      <c r="BD4598" s="4">
        <v>43283.27847222222</v>
      </c>
      <c r="BE4598" s="4">
        <v>43283.307638888888</v>
      </c>
      <c r="BF4598" s="4">
        <v>43283.307638888888</v>
      </c>
      <c r="BG4598" t="s">
        <v>83</v>
      </c>
      <c r="BH4598" t="s">
        <v>84</v>
      </c>
      <c r="BI4598" t="s">
        <v>85</v>
      </c>
    </row>
    <row r="4599" spans="1:61" x14ac:dyDescent="0.3">
      <c r="A4599" t="str">
        <f>"200745B0100"</f>
        <v>200745B0100</v>
      </c>
      <c r="B4599" t="s">
        <v>9307</v>
      </c>
      <c r="C4599">
        <v>20</v>
      </c>
      <c r="D4599" t="s">
        <v>79</v>
      </c>
      <c r="E4599">
        <v>22</v>
      </c>
      <c r="F4599" t="s">
        <v>9267</v>
      </c>
      <c r="G4599">
        <v>745</v>
      </c>
      <c r="H4599">
        <v>1</v>
      </c>
      <c r="I4599" t="s">
        <v>81</v>
      </c>
      <c r="J4599">
        <v>0</v>
      </c>
      <c r="K4599">
        <v>2</v>
      </c>
      <c r="L4599">
        <v>2</v>
      </c>
      <c r="M4599">
        <v>220</v>
      </c>
      <c r="N4599">
        <v>530</v>
      </c>
      <c r="O4599">
        <v>0</v>
      </c>
      <c r="P4599">
        <v>530</v>
      </c>
      <c r="Q4599">
        <v>4</v>
      </c>
      <c r="R4599">
        <v>154</v>
      </c>
      <c r="S4599">
        <v>34</v>
      </c>
      <c r="T4599">
        <v>5</v>
      </c>
      <c r="U4599">
        <v>7</v>
      </c>
      <c r="V4599">
        <v>2</v>
      </c>
      <c r="W4599">
        <v>62</v>
      </c>
      <c r="X4599">
        <v>39</v>
      </c>
      <c r="Y4599">
        <v>193</v>
      </c>
      <c r="Z4599">
        <v>2</v>
      </c>
      <c r="AA4599">
        <v>2</v>
      </c>
      <c r="AC4599">
        <v>0</v>
      </c>
      <c r="AD4599">
        <v>0</v>
      </c>
      <c r="AE4599">
        <v>0</v>
      </c>
      <c r="AF4599">
        <v>0</v>
      </c>
      <c r="AG4599">
        <v>0</v>
      </c>
      <c r="AH4599">
        <v>0</v>
      </c>
      <c r="AI4599">
        <v>0</v>
      </c>
      <c r="AJ4599">
        <v>0</v>
      </c>
      <c r="AK4599">
        <v>1</v>
      </c>
      <c r="AL4599">
        <v>1</v>
      </c>
      <c r="AM4599">
        <v>0</v>
      </c>
      <c r="AN4599">
        <v>1</v>
      </c>
      <c r="AT4599">
        <v>0</v>
      </c>
      <c r="AU4599">
        <v>23</v>
      </c>
      <c r="AV4599">
        <v>530</v>
      </c>
      <c r="AW4599">
        <v>530</v>
      </c>
      <c r="AX4599">
        <v>729</v>
      </c>
      <c r="BA4599">
        <v>1</v>
      </c>
      <c r="BC4599" t="s">
        <v>9308</v>
      </c>
      <c r="BD4599" s="4">
        <v>43283.27847222222</v>
      </c>
      <c r="BE4599" s="4">
        <v>43283.311284722222</v>
      </c>
      <c r="BF4599" s="4">
        <v>43283.311284722222</v>
      </c>
      <c r="BG4599" t="s">
        <v>83</v>
      </c>
      <c r="BH4599" t="s">
        <v>84</v>
      </c>
      <c r="BI4599" t="s">
        <v>85</v>
      </c>
    </row>
    <row r="4600" spans="1:61" x14ac:dyDescent="0.3">
      <c r="A4600" t="str">
        <f>"200745C0100"</f>
        <v>200745C0100</v>
      </c>
      <c r="B4600" t="s">
        <v>9309</v>
      </c>
      <c r="C4600">
        <v>20</v>
      </c>
      <c r="D4600" t="s">
        <v>79</v>
      </c>
      <c r="E4600">
        <v>22</v>
      </c>
      <c r="F4600" t="s">
        <v>9267</v>
      </c>
      <c r="G4600">
        <v>745</v>
      </c>
      <c r="H4600">
        <v>1</v>
      </c>
      <c r="I4600" t="s">
        <v>89</v>
      </c>
      <c r="J4600">
        <v>0</v>
      </c>
      <c r="K4600">
        <v>2</v>
      </c>
      <c r="L4600">
        <v>2</v>
      </c>
      <c r="M4600">
        <v>237</v>
      </c>
      <c r="N4600">
        <v>0</v>
      </c>
      <c r="O4600">
        <v>0</v>
      </c>
      <c r="P4600">
        <v>514</v>
      </c>
      <c r="Q4600">
        <v>5</v>
      </c>
      <c r="R4600">
        <v>167</v>
      </c>
      <c r="S4600">
        <v>43</v>
      </c>
      <c r="T4600">
        <v>3</v>
      </c>
      <c r="U4600">
        <v>4</v>
      </c>
      <c r="V4600">
        <v>5</v>
      </c>
      <c r="W4600">
        <v>48</v>
      </c>
      <c r="X4600">
        <v>54</v>
      </c>
      <c r="Y4600">
        <v>136</v>
      </c>
      <c r="Z4600">
        <v>7</v>
      </c>
      <c r="AA4600">
        <v>0</v>
      </c>
      <c r="AC4600">
        <v>1</v>
      </c>
      <c r="AD4600">
        <v>0</v>
      </c>
      <c r="AE4600">
        <v>0</v>
      </c>
      <c r="AF4600">
        <v>0</v>
      </c>
      <c r="AG4600">
        <v>0</v>
      </c>
      <c r="AH4600">
        <v>0</v>
      </c>
      <c r="AI4600">
        <v>1</v>
      </c>
      <c r="AJ4600">
        <v>1</v>
      </c>
      <c r="AK4600">
        <v>3</v>
      </c>
      <c r="AL4600">
        <v>0</v>
      </c>
      <c r="AM4600">
        <v>0</v>
      </c>
      <c r="AN4600">
        <v>2</v>
      </c>
      <c r="AT4600">
        <v>0</v>
      </c>
      <c r="AU4600">
        <v>35</v>
      </c>
      <c r="AV4600">
        <v>514</v>
      </c>
      <c r="AW4600">
        <v>515</v>
      </c>
      <c r="AX4600">
        <v>729</v>
      </c>
      <c r="BA4600">
        <v>1</v>
      </c>
      <c r="BC4600" t="s">
        <v>9310</v>
      </c>
      <c r="BD4600" s="4">
        <v>43283.284722222219</v>
      </c>
      <c r="BE4600" s="4">
        <v>43283.313946759263</v>
      </c>
      <c r="BF4600" s="4">
        <v>43283.313946759263</v>
      </c>
      <c r="BG4600" t="s">
        <v>83</v>
      </c>
      <c r="BH4600" t="s">
        <v>84</v>
      </c>
      <c r="BI4600" t="s">
        <v>85</v>
      </c>
    </row>
    <row r="4601" spans="1:61" x14ac:dyDescent="0.3">
      <c r="A4601" t="str">
        <f>"200746B0100"</f>
        <v>200746B0100</v>
      </c>
      <c r="B4601" t="s">
        <v>9311</v>
      </c>
      <c r="C4601">
        <v>20</v>
      </c>
      <c r="D4601" t="s">
        <v>79</v>
      </c>
      <c r="E4601">
        <v>22</v>
      </c>
      <c r="F4601" t="s">
        <v>9267</v>
      </c>
      <c r="G4601">
        <v>746</v>
      </c>
      <c r="H4601">
        <v>1</v>
      </c>
      <c r="I4601" t="s">
        <v>81</v>
      </c>
      <c r="J4601">
        <v>0</v>
      </c>
      <c r="K4601">
        <v>2</v>
      </c>
      <c r="L4601">
        <v>2</v>
      </c>
      <c r="M4601">
        <v>182</v>
      </c>
      <c r="N4601">
        <v>557</v>
      </c>
      <c r="O4601">
        <v>0</v>
      </c>
      <c r="P4601">
        <v>557</v>
      </c>
      <c r="Q4601">
        <v>15</v>
      </c>
      <c r="R4601">
        <v>127</v>
      </c>
      <c r="S4601">
        <v>26</v>
      </c>
      <c r="T4601">
        <v>5</v>
      </c>
      <c r="U4601">
        <v>11</v>
      </c>
      <c r="V4601">
        <v>11</v>
      </c>
      <c r="W4601">
        <v>79</v>
      </c>
      <c r="X4601">
        <v>53</v>
      </c>
      <c r="Y4601">
        <v>20</v>
      </c>
      <c r="Z4601">
        <v>10</v>
      </c>
      <c r="AA4601">
        <v>2</v>
      </c>
      <c r="AC4601">
        <v>0</v>
      </c>
      <c r="AD4601">
        <v>0</v>
      </c>
      <c r="AE4601">
        <v>0</v>
      </c>
      <c r="AF4601">
        <v>0</v>
      </c>
      <c r="AG4601">
        <v>0</v>
      </c>
      <c r="AH4601">
        <v>0</v>
      </c>
      <c r="AI4601">
        <v>0</v>
      </c>
      <c r="AJ4601">
        <v>0</v>
      </c>
      <c r="AK4601">
        <v>0</v>
      </c>
      <c r="AL4601">
        <v>0</v>
      </c>
      <c r="AM4601">
        <v>0</v>
      </c>
      <c r="AN4601">
        <v>0</v>
      </c>
      <c r="AT4601">
        <v>0</v>
      </c>
      <c r="AU4601">
        <v>17</v>
      </c>
      <c r="AV4601">
        <v>557</v>
      </c>
      <c r="AW4601">
        <v>376</v>
      </c>
      <c r="AX4601">
        <v>718</v>
      </c>
      <c r="BA4601">
        <v>1</v>
      </c>
      <c r="BC4601" t="s">
        <v>9312</v>
      </c>
      <c r="BD4601" s="4">
        <v>43283.283333333333</v>
      </c>
      <c r="BE4601" s="4">
        <v>43283.312604166669</v>
      </c>
      <c r="BF4601" s="4">
        <v>43283.312604166669</v>
      </c>
      <c r="BG4601" t="s">
        <v>83</v>
      </c>
      <c r="BH4601" t="s">
        <v>84</v>
      </c>
      <c r="BI4601" t="s">
        <v>85</v>
      </c>
    </row>
    <row r="4602" spans="1:61" x14ac:dyDescent="0.3">
      <c r="A4602" t="str">
        <f>"200746C0100"</f>
        <v>200746C0100</v>
      </c>
      <c r="B4602" t="s">
        <v>9313</v>
      </c>
      <c r="C4602">
        <v>20</v>
      </c>
      <c r="D4602" t="s">
        <v>79</v>
      </c>
      <c r="E4602">
        <v>22</v>
      </c>
      <c r="F4602" t="s">
        <v>9267</v>
      </c>
      <c r="G4602">
        <v>746</v>
      </c>
      <c r="H4602">
        <v>1</v>
      </c>
      <c r="I4602" t="s">
        <v>89</v>
      </c>
      <c r="J4602">
        <v>0</v>
      </c>
      <c r="K4602">
        <v>2</v>
      </c>
      <c r="L4602">
        <v>2</v>
      </c>
      <c r="M4602">
        <v>200</v>
      </c>
      <c r="N4602">
        <v>539</v>
      </c>
      <c r="O4602">
        <v>0</v>
      </c>
      <c r="P4602">
        <v>539</v>
      </c>
      <c r="Q4602">
        <v>16</v>
      </c>
      <c r="R4602">
        <v>119</v>
      </c>
      <c r="S4602">
        <v>34</v>
      </c>
      <c r="T4602">
        <v>4</v>
      </c>
      <c r="U4602">
        <v>11</v>
      </c>
      <c r="V4602">
        <v>4</v>
      </c>
      <c r="W4602">
        <v>84</v>
      </c>
      <c r="X4602">
        <v>46</v>
      </c>
      <c r="Y4602">
        <v>178</v>
      </c>
      <c r="Z4602">
        <v>6</v>
      </c>
      <c r="AA4602">
        <v>2</v>
      </c>
      <c r="AC4602">
        <v>0</v>
      </c>
      <c r="AD4602">
        <v>0</v>
      </c>
      <c r="AE4602">
        <v>0</v>
      </c>
      <c r="AF4602">
        <v>0</v>
      </c>
      <c r="AG4602">
        <v>0</v>
      </c>
      <c r="AH4602">
        <v>1</v>
      </c>
      <c r="AI4602">
        <v>0</v>
      </c>
      <c r="AJ4602">
        <v>0</v>
      </c>
      <c r="AK4602">
        <v>0</v>
      </c>
      <c r="AL4602">
        <v>0</v>
      </c>
      <c r="AM4602">
        <v>0</v>
      </c>
      <c r="AN4602">
        <v>0</v>
      </c>
      <c r="AT4602">
        <v>0</v>
      </c>
      <c r="AU4602">
        <v>34</v>
      </c>
      <c r="AV4602">
        <v>539</v>
      </c>
      <c r="AW4602">
        <v>539</v>
      </c>
      <c r="AX4602">
        <v>717</v>
      </c>
      <c r="BA4602">
        <v>1</v>
      </c>
      <c r="BC4602" t="s">
        <v>9314</v>
      </c>
      <c r="BD4602" s="4">
        <v>43283.284722222219</v>
      </c>
      <c r="BE4602" s="4">
        <v>43283.314525462964</v>
      </c>
      <c r="BF4602" s="4">
        <v>43283.314525462964</v>
      </c>
      <c r="BG4602" t="s">
        <v>83</v>
      </c>
      <c r="BH4602" t="s">
        <v>84</v>
      </c>
      <c r="BI4602" t="s">
        <v>85</v>
      </c>
    </row>
    <row r="4603" spans="1:61" x14ac:dyDescent="0.3">
      <c r="A4603" t="str">
        <f>"200790B0100"</f>
        <v>200790B0100</v>
      </c>
      <c r="B4603" t="s">
        <v>9315</v>
      </c>
      <c r="C4603">
        <v>20</v>
      </c>
      <c r="D4603" t="s">
        <v>79</v>
      </c>
      <c r="E4603">
        <v>22</v>
      </c>
      <c r="F4603" t="s">
        <v>9267</v>
      </c>
      <c r="G4603">
        <v>790</v>
      </c>
      <c r="H4603">
        <v>1</v>
      </c>
      <c r="I4603" t="s">
        <v>81</v>
      </c>
      <c r="J4603">
        <v>0</v>
      </c>
      <c r="K4603">
        <v>2</v>
      </c>
      <c r="L4603">
        <v>2</v>
      </c>
      <c r="M4603">
        <v>318</v>
      </c>
      <c r="N4603">
        <v>269</v>
      </c>
      <c r="O4603">
        <v>0</v>
      </c>
      <c r="P4603">
        <v>269</v>
      </c>
      <c r="Q4603">
        <v>4</v>
      </c>
      <c r="R4603">
        <v>16</v>
      </c>
      <c r="S4603">
        <v>40</v>
      </c>
      <c r="T4603">
        <v>3</v>
      </c>
      <c r="U4603">
        <v>2</v>
      </c>
      <c r="V4603">
        <v>3</v>
      </c>
      <c r="W4603">
        <v>1</v>
      </c>
      <c r="X4603">
        <v>2</v>
      </c>
      <c r="Y4603">
        <v>139</v>
      </c>
      <c r="Z4603">
        <v>2</v>
      </c>
      <c r="AA4603">
        <v>1</v>
      </c>
      <c r="AC4603">
        <v>1</v>
      </c>
      <c r="AD4603">
        <v>0</v>
      </c>
      <c r="AE4603">
        <v>0</v>
      </c>
      <c r="AF4603">
        <v>0</v>
      </c>
      <c r="AG4603">
        <v>0</v>
      </c>
      <c r="AH4603">
        <v>0</v>
      </c>
      <c r="AI4603">
        <v>0</v>
      </c>
      <c r="AJ4603">
        <v>0</v>
      </c>
      <c r="AK4603">
        <v>0</v>
      </c>
      <c r="AL4603">
        <v>1</v>
      </c>
      <c r="AM4603">
        <v>0</v>
      </c>
      <c r="AN4603">
        <v>1</v>
      </c>
      <c r="AT4603">
        <v>0</v>
      </c>
      <c r="AU4603">
        <v>33</v>
      </c>
      <c r="AV4603">
        <v>269</v>
      </c>
      <c r="AW4603">
        <v>249</v>
      </c>
      <c r="AX4603">
        <v>565</v>
      </c>
      <c r="BA4603">
        <v>1</v>
      </c>
      <c r="BC4603" t="s">
        <v>9316</v>
      </c>
      <c r="BD4603" s="4">
        <v>43283.25277777778</v>
      </c>
      <c r="BE4603" s="4">
        <v>43283.283217592594</v>
      </c>
      <c r="BF4603" s="4">
        <v>43283.283217592594</v>
      </c>
      <c r="BG4603" t="s">
        <v>83</v>
      </c>
      <c r="BH4603" t="s">
        <v>84</v>
      </c>
      <c r="BI4603" t="s">
        <v>85</v>
      </c>
    </row>
    <row r="4604" spans="1:61" x14ac:dyDescent="0.3">
      <c r="A4604" t="str">
        <f>"200790C0100"</f>
        <v>200790C0100</v>
      </c>
      <c r="B4604" t="s">
        <v>9317</v>
      </c>
      <c r="C4604">
        <v>20</v>
      </c>
      <c r="D4604" t="s">
        <v>79</v>
      </c>
      <c r="E4604">
        <v>22</v>
      </c>
      <c r="F4604" t="s">
        <v>9267</v>
      </c>
      <c r="G4604">
        <v>790</v>
      </c>
      <c r="H4604">
        <v>1</v>
      </c>
      <c r="I4604" t="s">
        <v>89</v>
      </c>
      <c r="J4604">
        <v>0</v>
      </c>
      <c r="K4604">
        <v>2</v>
      </c>
      <c r="L4604">
        <v>2</v>
      </c>
      <c r="M4604">
        <v>314</v>
      </c>
      <c r="N4604">
        <v>273</v>
      </c>
      <c r="O4604">
        <v>0</v>
      </c>
      <c r="P4604">
        <v>273</v>
      </c>
      <c r="Q4604">
        <v>4</v>
      </c>
      <c r="R4604">
        <v>35</v>
      </c>
      <c r="S4604">
        <v>27</v>
      </c>
      <c r="T4604">
        <v>3</v>
      </c>
      <c r="U4604">
        <v>22</v>
      </c>
      <c r="V4604">
        <v>3</v>
      </c>
      <c r="W4604">
        <v>1</v>
      </c>
      <c r="X4604">
        <v>4</v>
      </c>
      <c r="Y4604">
        <v>132</v>
      </c>
      <c r="Z4604">
        <v>7</v>
      </c>
      <c r="AA4604">
        <v>1</v>
      </c>
      <c r="AC4604">
        <v>0</v>
      </c>
      <c r="AD4604">
        <v>0</v>
      </c>
      <c r="AE4604">
        <v>0</v>
      </c>
      <c r="AF4604">
        <v>0</v>
      </c>
      <c r="AG4604">
        <v>0</v>
      </c>
      <c r="AH4604">
        <v>3</v>
      </c>
      <c r="AI4604">
        <v>0</v>
      </c>
      <c r="AJ4604">
        <v>0</v>
      </c>
      <c r="AK4604">
        <v>0</v>
      </c>
      <c r="AL4604">
        <v>2</v>
      </c>
      <c r="AM4604">
        <v>2</v>
      </c>
      <c r="AN4604">
        <v>2</v>
      </c>
      <c r="AT4604">
        <v>0</v>
      </c>
      <c r="AU4604">
        <v>25</v>
      </c>
      <c r="AV4604" t="s">
        <v>100</v>
      </c>
      <c r="AW4604">
        <v>273</v>
      </c>
      <c r="AX4604">
        <v>565</v>
      </c>
      <c r="BA4604">
        <v>1</v>
      </c>
      <c r="BC4604" t="s">
        <v>9318</v>
      </c>
      <c r="BD4604" s="4">
        <v>43283.25</v>
      </c>
      <c r="BE4604" s="4">
        <v>43283.275763888887</v>
      </c>
      <c r="BF4604" s="4">
        <v>43283.275763888887</v>
      </c>
      <c r="BG4604" t="s">
        <v>83</v>
      </c>
      <c r="BH4604" t="s">
        <v>84</v>
      </c>
      <c r="BI4604" t="s">
        <v>85</v>
      </c>
    </row>
    <row r="4605" spans="1:61" x14ac:dyDescent="0.3">
      <c r="A4605" t="str">
        <f>"200790C0200"</f>
        <v>200790C0200</v>
      </c>
      <c r="B4605" t="s">
        <v>9319</v>
      </c>
      <c r="C4605">
        <v>20</v>
      </c>
      <c r="D4605" t="s">
        <v>79</v>
      </c>
      <c r="E4605">
        <v>22</v>
      </c>
      <c r="F4605" t="s">
        <v>9267</v>
      </c>
      <c r="G4605">
        <v>790</v>
      </c>
      <c r="H4605">
        <v>2</v>
      </c>
      <c r="I4605" t="s">
        <v>89</v>
      </c>
      <c r="J4605">
        <v>0</v>
      </c>
      <c r="K4605">
        <v>2</v>
      </c>
      <c r="L4605">
        <v>2</v>
      </c>
      <c r="M4605">
        <v>302</v>
      </c>
      <c r="N4605">
        <v>285</v>
      </c>
      <c r="O4605">
        <v>0</v>
      </c>
      <c r="P4605">
        <v>285</v>
      </c>
      <c r="Q4605">
        <v>1</v>
      </c>
      <c r="R4605">
        <v>21</v>
      </c>
      <c r="S4605">
        <v>27</v>
      </c>
      <c r="T4605">
        <v>8</v>
      </c>
      <c r="U4605">
        <v>20</v>
      </c>
      <c r="V4605">
        <v>14</v>
      </c>
      <c r="W4605">
        <v>7</v>
      </c>
      <c r="X4605">
        <v>4</v>
      </c>
      <c r="Y4605">
        <v>150</v>
      </c>
      <c r="Z4605">
        <v>9</v>
      </c>
      <c r="AA4605">
        <v>0</v>
      </c>
      <c r="AC4605">
        <v>0</v>
      </c>
      <c r="AD4605">
        <v>0</v>
      </c>
      <c r="AE4605">
        <v>0</v>
      </c>
      <c r="AF4605">
        <v>0</v>
      </c>
      <c r="AG4605">
        <v>1</v>
      </c>
      <c r="AH4605">
        <v>2</v>
      </c>
      <c r="AI4605">
        <v>0</v>
      </c>
      <c r="AJ4605">
        <v>0</v>
      </c>
      <c r="AK4605">
        <v>3</v>
      </c>
      <c r="AL4605">
        <v>0</v>
      </c>
      <c r="AM4605">
        <v>0</v>
      </c>
      <c r="AN4605">
        <v>0</v>
      </c>
      <c r="AT4605">
        <v>0</v>
      </c>
      <c r="AU4605">
        <v>18</v>
      </c>
      <c r="AV4605">
        <v>285</v>
      </c>
      <c r="AW4605">
        <v>285</v>
      </c>
      <c r="AX4605">
        <v>565</v>
      </c>
      <c r="BA4605">
        <v>1</v>
      </c>
      <c r="BC4605" t="s">
        <v>9320</v>
      </c>
      <c r="BD4605" s="4">
        <v>43283.251388888886</v>
      </c>
      <c r="BE4605" s="4">
        <v>43283.277256944442</v>
      </c>
      <c r="BF4605" s="4">
        <v>43283.277256944442</v>
      </c>
      <c r="BG4605" t="s">
        <v>83</v>
      </c>
      <c r="BH4605" t="s">
        <v>84</v>
      </c>
      <c r="BI4605" t="s">
        <v>85</v>
      </c>
    </row>
    <row r="4606" spans="1:61" x14ac:dyDescent="0.3">
      <c r="A4606" t="str">
        <f>"200791B0100"</f>
        <v>200791B0100</v>
      </c>
      <c r="B4606" t="s">
        <v>9321</v>
      </c>
      <c r="C4606">
        <v>20</v>
      </c>
      <c r="D4606" t="s">
        <v>79</v>
      </c>
      <c r="E4606">
        <v>22</v>
      </c>
      <c r="F4606" t="s">
        <v>9267</v>
      </c>
      <c r="G4606">
        <v>791</v>
      </c>
      <c r="H4606">
        <v>1</v>
      </c>
      <c r="I4606" t="s">
        <v>81</v>
      </c>
      <c r="J4606">
        <v>0</v>
      </c>
      <c r="K4606">
        <v>2</v>
      </c>
      <c r="L4606">
        <v>2</v>
      </c>
      <c r="M4606">
        <v>359</v>
      </c>
      <c r="N4606">
        <v>217</v>
      </c>
      <c r="O4606">
        <v>0</v>
      </c>
      <c r="P4606">
        <v>217</v>
      </c>
      <c r="Q4606">
        <v>2</v>
      </c>
      <c r="R4606">
        <v>11</v>
      </c>
      <c r="S4606">
        <v>16</v>
      </c>
      <c r="T4606">
        <v>1</v>
      </c>
      <c r="U4606">
        <v>7</v>
      </c>
      <c r="V4606">
        <v>0</v>
      </c>
      <c r="W4606">
        <v>1</v>
      </c>
      <c r="X4606">
        <v>3</v>
      </c>
      <c r="Y4606">
        <v>160</v>
      </c>
      <c r="Z4606">
        <v>4</v>
      </c>
      <c r="AA4606">
        <v>0</v>
      </c>
      <c r="AC4606">
        <v>0</v>
      </c>
      <c r="AD4606">
        <v>0</v>
      </c>
      <c r="AE4606">
        <v>0</v>
      </c>
      <c r="AF4606">
        <v>0</v>
      </c>
      <c r="AG4606">
        <v>0</v>
      </c>
      <c r="AH4606">
        <v>0</v>
      </c>
      <c r="AI4606">
        <v>0</v>
      </c>
      <c r="AJ4606">
        <v>0</v>
      </c>
      <c r="AK4606">
        <v>0</v>
      </c>
      <c r="AL4606">
        <v>0</v>
      </c>
      <c r="AM4606">
        <v>0</v>
      </c>
      <c r="AN4606">
        <v>3</v>
      </c>
      <c r="AT4606">
        <v>0</v>
      </c>
      <c r="AU4606">
        <v>7</v>
      </c>
      <c r="AV4606">
        <v>217</v>
      </c>
      <c r="AW4606">
        <v>215</v>
      </c>
      <c r="AX4606">
        <v>554</v>
      </c>
      <c r="BA4606">
        <v>1</v>
      </c>
      <c r="BC4606" t="s">
        <v>9322</v>
      </c>
      <c r="BD4606" s="4">
        <v>43283.3125</v>
      </c>
      <c r="BE4606" s="4">
        <v>43283.336493055554</v>
      </c>
      <c r="BF4606" s="4">
        <v>43283.336493055554</v>
      </c>
      <c r="BG4606" t="s">
        <v>83</v>
      </c>
      <c r="BH4606" t="s">
        <v>84</v>
      </c>
      <c r="BI4606" t="s">
        <v>548</v>
      </c>
    </row>
    <row r="4607" spans="1:61" x14ac:dyDescent="0.3">
      <c r="A4607" t="str">
        <f>"200791C0100"</f>
        <v>200791C0100</v>
      </c>
      <c r="B4607" t="s">
        <v>9323</v>
      </c>
      <c r="C4607">
        <v>20</v>
      </c>
      <c r="D4607" t="s">
        <v>79</v>
      </c>
      <c r="E4607">
        <v>22</v>
      </c>
      <c r="F4607" t="s">
        <v>9267</v>
      </c>
      <c r="G4607">
        <v>791</v>
      </c>
      <c r="H4607">
        <v>1</v>
      </c>
      <c r="I4607" t="s">
        <v>89</v>
      </c>
      <c r="J4607">
        <v>0</v>
      </c>
      <c r="K4607">
        <v>2</v>
      </c>
      <c r="L4607">
        <v>2</v>
      </c>
      <c r="M4607">
        <v>348</v>
      </c>
      <c r="N4607">
        <v>228</v>
      </c>
      <c r="O4607">
        <v>0</v>
      </c>
      <c r="P4607">
        <v>228</v>
      </c>
      <c r="Q4607">
        <v>3</v>
      </c>
      <c r="R4607">
        <v>2</v>
      </c>
      <c r="S4607">
        <v>13</v>
      </c>
      <c r="T4607">
        <v>3</v>
      </c>
      <c r="U4607">
        <v>5</v>
      </c>
      <c r="V4607">
        <v>4</v>
      </c>
      <c r="W4607">
        <v>1</v>
      </c>
      <c r="X4607">
        <v>2</v>
      </c>
      <c r="Y4607">
        <v>171</v>
      </c>
      <c r="Z4607">
        <v>4</v>
      </c>
      <c r="AA4607">
        <v>1</v>
      </c>
      <c r="AC4607" t="s">
        <v>100</v>
      </c>
      <c r="AD4607" t="s">
        <v>100</v>
      </c>
      <c r="AE4607" t="s">
        <v>100</v>
      </c>
      <c r="AF4607" t="s">
        <v>100</v>
      </c>
      <c r="AG4607" t="s">
        <v>100</v>
      </c>
      <c r="AH4607" t="s">
        <v>100</v>
      </c>
      <c r="AI4607" t="s">
        <v>100</v>
      </c>
      <c r="AJ4607" t="s">
        <v>100</v>
      </c>
      <c r="AK4607">
        <v>1</v>
      </c>
      <c r="AL4607">
        <v>2</v>
      </c>
      <c r="AM4607" t="s">
        <v>100</v>
      </c>
      <c r="AN4607" t="s">
        <v>100</v>
      </c>
      <c r="AT4607" t="s">
        <v>100</v>
      </c>
      <c r="AU4607">
        <v>16</v>
      </c>
      <c r="AV4607">
        <v>228</v>
      </c>
      <c r="AW4607">
        <v>228</v>
      </c>
      <c r="AX4607">
        <v>554</v>
      </c>
      <c r="AZ4607" t="s">
        <v>101</v>
      </c>
      <c r="BA4607">
        <v>1</v>
      </c>
      <c r="BC4607" t="s">
        <v>9324</v>
      </c>
      <c r="BD4607" s="4">
        <v>43283.256249999999</v>
      </c>
      <c r="BE4607" s="4">
        <v>43283.282986111109</v>
      </c>
      <c r="BF4607" s="4">
        <v>43283.282986111109</v>
      </c>
      <c r="BG4607" t="s">
        <v>83</v>
      </c>
      <c r="BH4607" t="s">
        <v>84</v>
      </c>
      <c r="BI4607" t="s">
        <v>85</v>
      </c>
    </row>
    <row r="4608" spans="1:61" x14ac:dyDescent="0.3">
      <c r="A4608" t="str">
        <f>"200951B0100"</f>
        <v>200951B0100</v>
      </c>
      <c r="B4608" t="s">
        <v>9325</v>
      </c>
      <c r="C4608">
        <v>20</v>
      </c>
      <c r="D4608" t="s">
        <v>79</v>
      </c>
      <c r="E4608">
        <v>22</v>
      </c>
      <c r="F4608" t="s">
        <v>9267</v>
      </c>
      <c r="G4608">
        <v>951</v>
      </c>
      <c r="H4608">
        <v>1</v>
      </c>
      <c r="I4608" t="s">
        <v>81</v>
      </c>
      <c r="J4608">
        <v>0</v>
      </c>
      <c r="K4608">
        <v>2</v>
      </c>
      <c r="L4608">
        <v>2</v>
      </c>
      <c r="M4608">
        <v>166</v>
      </c>
      <c r="N4608">
        <v>604</v>
      </c>
      <c r="O4608">
        <v>0</v>
      </c>
      <c r="P4608">
        <v>602</v>
      </c>
      <c r="Q4608">
        <v>8</v>
      </c>
      <c r="R4608">
        <v>215</v>
      </c>
      <c r="S4608">
        <v>38</v>
      </c>
      <c r="T4608">
        <v>4</v>
      </c>
      <c r="U4608">
        <v>8</v>
      </c>
      <c r="V4608">
        <v>5</v>
      </c>
      <c r="W4608">
        <v>2</v>
      </c>
      <c r="X4608">
        <v>2</v>
      </c>
      <c r="Y4608">
        <v>105</v>
      </c>
      <c r="Z4608">
        <v>4</v>
      </c>
      <c r="AA4608">
        <v>181</v>
      </c>
      <c r="AC4608">
        <v>0</v>
      </c>
      <c r="AD4608">
        <v>0</v>
      </c>
      <c r="AE4608">
        <v>0</v>
      </c>
      <c r="AF4608">
        <v>0</v>
      </c>
      <c r="AG4608">
        <v>0</v>
      </c>
      <c r="AH4608">
        <v>0</v>
      </c>
      <c r="AI4608">
        <v>0</v>
      </c>
      <c r="AJ4608">
        <v>0</v>
      </c>
      <c r="AK4608">
        <v>0</v>
      </c>
      <c r="AL4608">
        <v>0</v>
      </c>
      <c r="AM4608">
        <v>0</v>
      </c>
      <c r="AN4608">
        <v>0</v>
      </c>
      <c r="AT4608">
        <v>0</v>
      </c>
      <c r="AU4608">
        <v>30</v>
      </c>
      <c r="AV4608">
        <v>602</v>
      </c>
      <c r="AW4608">
        <v>602</v>
      </c>
      <c r="AX4608">
        <v>749</v>
      </c>
      <c r="BA4608">
        <v>1</v>
      </c>
      <c r="BC4608" t="s">
        <v>9326</v>
      </c>
      <c r="BD4608" s="4">
        <v>43283.26458333333</v>
      </c>
      <c r="BE4608" s="4">
        <v>43283.292268518519</v>
      </c>
      <c r="BF4608" s="4">
        <v>43283.292268518519</v>
      </c>
      <c r="BG4608" t="s">
        <v>83</v>
      </c>
      <c r="BH4608" t="s">
        <v>84</v>
      </c>
      <c r="BI4608" t="s">
        <v>85</v>
      </c>
    </row>
    <row r="4609" spans="1:61" x14ac:dyDescent="0.3">
      <c r="A4609" t="str">
        <f>"201003B0100"</f>
        <v>201003B0100</v>
      </c>
      <c r="B4609" t="s">
        <v>9327</v>
      </c>
      <c r="C4609">
        <v>20</v>
      </c>
      <c r="D4609" t="s">
        <v>79</v>
      </c>
      <c r="E4609">
        <v>22</v>
      </c>
      <c r="F4609" t="s">
        <v>9267</v>
      </c>
      <c r="G4609">
        <v>1003</v>
      </c>
      <c r="H4609">
        <v>1</v>
      </c>
      <c r="I4609" t="s">
        <v>81</v>
      </c>
      <c r="J4609">
        <v>0</v>
      </c>
      <c r="K4609">
        <v>1</v>
      </c>
      <c r="L4609">
        <v>2</v>
      </c>
      <c r="M4609">
        <v>97</v>
      </c>
      <c r="N4609">
        <v>325</v>
      </c>
      <c r="O4609">
        <v>0</v>
      </c>
      <c r="P4609">
        <v>325</v>
      </c>
      <c r="Q4609">
        <v>9</v>
      </c>
      <c r="R4609">
        <v>46</v>
      </c>
      <c r="S4609">
        <v>6</v>
      </c>
      <c r="T4609">
        <v>7</v>
      </c>
      <c r="U4609">
        <v>0</v>
      </c>
      <c r="V4609">
        <v>36</v>
      </c>
      <c r="W4609">
        <v>42</v>
      </c>
      <c r="X4609">
        <v>15</v>
      </c>
      <c r="Y4609">
        <v>139</v>
      </c>
      <c r="Z4609">
        <v>2</v>
      </c>
      <c r="AA4609">
        <v>1</v>
      </c>
      <c r="AC4609">
        <v>0</v>
      </c>
      <c r="AD4609">
        <v>2</v>
      </c>
      <c r="AE4609">
        <v>0</v>
      </c>
      <c r="AF4609">
        <v>0</v>
      </c>
      <c r="AG4609">
        <v>1</v>
      </c>
      <c r="AH4609">
        <v>1</v>
      </c>
      <c r="AI4609">
        <v>0</v>
      </c>
      <c r="AJ4609">
        <v>0</v>
      </c>
      <c r="AK4609">
        <v>1</v>
      </c>
      <c r="AL4609">
        <v>1</v>
      </c>
      <c r="AM4609">
        <v>0</v>
      </c>
      <c r="AN4609">
        <v>2</v>
      </c>
      <c r="AT4609">
        <v>0</v>
      </c>
      <c r="AU4609">
        <v>14</v>
      </c>
      <c r="AV4609">
        <v>325</v>
      </c>
      <c r="AW4609">
        <v>325</v>
      </c>
      <c r="AX4609">
        <v>400</v>
      </c>
      <c r="BA4609">
        <v>1</v>
      </c>
      <c r="BC4609" t="s">
        <v>9328</v>
      </c>
      <c r="BD4609" s="4">
        <v>43283.245833333334</v>
      </c>
      <c r="BE4609" s="4">
        <v>43283.283831018518</v>
      </c>
      <c r="BF4609" s="4">
        <v>43283.283831018518</v>
      </c>
      <c r="BG4609" t="s">
        <v>83</v>
      </c>
      <c r="BH4609" t="s">
        <v>84</v>
      </c>
      <c r="BI4609" t="s">
        <v>85</v>
      </c>
    </row>
    <row r="4610" spans="1:61" x14ac:dyDescent="0.3">
      <c r="A4610" t="str">
        <f>"201003C0100"</f>
        <v>201003C0100</v>
      </c>
      <c r="B4610" t="s">
        <v>9329</v>
      </c>
      <c r="C4610">
        <v>20</v>
      </c>
      <c r="D4610" t="s">
        <v>79</v>
      </c>
      <c r="E4610">
        <v>22</v>
      </c>
      <c r="F4610" t="s">
        <v>9267</v>
      </c>
      <c r="G4610">
        <v>1003</v>
      </c>
      <c r="H4610">
        <v>1</v>
      </c>
      <c r="I4610" t="s">
        <v>89</v>
      </c>
      <c r="J4610">
        <v>0</v>
      </c>
      <c r="K4610">
        <v>1</v>
      </c>
      <c r="L4610">
        <v>2</v>
      </c>
      <c r="M4610">
        <v>103</v>
      </c>
      <c r="N4610">
        <v>318</v>
      </c>
      <c r="O4610">
        <v>0</v>
      </c>
      <c r="P4610">
        <v>318</v>
      </c>
      <c r="Q4610">
        <v>5</v>
      </c>
      <c r="R4610">
        <v>41</v>
      </c>
      <c r="S4610">
        <v>9</v>
      </c>
      <c r="T4610">
        <v>5</v>
      </c>
      <c r="U4610">
        <v>5</v>
      </c>
      <c r="V4610">
        <v>46</v>
      </c>
      <c r="W4610">
        <v>52</v>
      </c>
      <c r="X4610">
        <v>10</v>
      </c>
      <c r="Y4610">
        <v>122</v>
      </c>
      <c r="Z4610">
        <v>3</v>
      </c>
      <c r="AA4610">
        <v>0</v>
      </c>
      <c r="AC4610">
        <v>1</v>
      </c>
      <c r="AD4610">
        <v>0</v>
      </c>
      <c r="AE4610">
        <v>0</v>
      </c>
      <c r="AF4610">
        <v>0</v>
      </c>
      <c r="AG4610">
        <v>0</v>
      </c>
      <c r="AH4610">
        <v>1</v>
      </c>
      <c r="AI4610">
        <v>0</v>
      </c>
      <c r="AJ4610">
        <v>0</v>
      </c>
      <c r="AK4610">
        <v>1</v>
      </c>
      <c r="AL4610">
        <v>0</v>
      </c>
      <c r="AM4610">
        <v>0</v>
      </c>
      <c r="AN4610">
        <v>1</v>
      </c>
      <c r="AT4610">
        <v>0</v>
      </c>
      <c r="AU4610">
        <v>16</v>
      </c>
      <c r="AV4610">
        <v>318</v>
      </c>
      <c r="AW4610">
        <v>318</v>
      </c>
      <c r="AX4610">
        <v>399</v>
      </c>
      <c r="BA4610">
        <v>1</v>
      </c>
      <c r="BC4610" t="s">
        <v>9330</v>
      </c>
      <c r="BD4610" s="4">
        <v>43283.247916666667</v>
      </c>
      <c r="BE4610" s="4">
        <v>43283.273020833331</v>
      </c>
      <c r="BF4610" s="4">
        <v>43283.273020833331</v>
      </c>
      <c r="BG4610" t="s">
        <v>83</v>
      </c>
      <c r="BH4610" t="s">
        <v>84</v>
      </c>
      <c r="BI4610" t="s">
        <v>85</v>
      </c>
    </row>
    <row r="4611" spans="1:61" x14ac:dyDescent="0.3">
      <c r="A4611" t="str">
        <f>"201004B0100"</f>
        <v>201004B0100</v>
      </c>
      <c r="B4611" t="s">
        <v>9331</v>
      </c>
      <c r="C4611">
        <v>20</v>
      </c>
      <c r="D4611" t="s">
        <v>79</v>
      </c>
      <c r="E4611">
        <v>22</v>
      </c>
      <c r="F4611" t="s">
        <v>9267</v>
      </c>
      <c r="G4611">
        <v>1004</v>
      </c>
      <c r="H4611">
        <v>1</v>
      </c>
      <c r="I4611" t="s">
        <v>81</v>
      </c>
      <c r="J4611">
        <v>0</v>
      </c>
      <c r="K4611">
        <v>2</v>
      </c>
      <c r="L4611">
        <v>2</v>
      </c>
      <c r="M4611">
        <v>143</v>
      </c>
      <c r="N4611">
        <v>323</v>
      </c>
      <c r="O4611">
        <v>1</v>
      </c>
      <c r="P4611" t="s">
        <v>100</v>
      </c>
      <c r="Q4611">
        <v>8</v>
      </c>
      <c r="R4611">
        <v>62</v>
      </c>
      <c r="S4611">
        <v>6</v>
      </c>
      <c r="T4611">
        <v>2</v>
      </c>
      <c r="U4611">
        <v>6</v>
      </c>
      <c r="V4611">
        <v>51</v>
      </c>
      <c r="W4611">
        <v>45</v>
      </c>
      <c r="X4611">
        <v>19</v>
      </c>
      <c r="Y4611">
        <v>85</v>
      </c>
      <c r="Z4611">
        <v>4</v>
      </c>
      <c r="AA4611">
        <v>2</v>
      </c>
      <c r="AC4611">
        <v>1</v>
      </c>
      <c r="AD4611">
        <v>0</v>
      </c>
      <c r="AE4611">
        <v>0</v>
      </c>
      <c r="AF4611">
        <v>0</v>
      </c>
      <c r="AG4611">
        <v>1</v>
      </c>
      <c r="AH4611">
        <v>0</v>
      </c>
      <c r="AI4611">
        <v>0</v>
      </c>
      <c r="AJ4611">
        <v>0</v>
      </c>
      <c r="AK4611">
        <v>3</v>
      </c>
      <c r="AL4611">
        <v>1</v>
      </c>
      <c r="AM4611">
        <v>0</v>
      </c>
      <c r="AN4611">
        <v>0</v>
      </c>
      <c r="AT4611">
        <v>0</v>
      </c>
      <c r="AU4611">
        <v>21</v>
      </c>
      <c r="AV4611">
        <v>317</v>
      </c>
      <c r="AW4611">
        <v>317</v>
      </c>
      <c r="AX4611">
        <v>443</v>
      </c>
      <c r="BA4611">
        <v>1</v>
      </c>
      <c r="BC4611" t="s">
        <v>9332</v>
      </c>
      <c r="BD4611" s="4">
        <v>43283.227777777778</v>
      </c>
      <c r="BE4611" s="4">
        <v>43283.256307870368</v>
      </c>
      <c r="BF4611" s="4">
        <v>43283.256307870368</v>
      </c>
      <c r="BG4611" t="s">
        <v>83</v>
      </c>
      <c r="BH4611" t="s">
        <v>84</v>
      </c>
      <c r="BI4611" t="s">
        <v>85</v>
      </c>
    </row>
    <row r="4612" spans="1:61" x14ac:dyDescent="0.3">
      <c r="A4612" t="str">
        <f>"201004C0100"</f>
        <v>201004C0100</v>
      </c>
      <c r="B4612" t="s">
        <v>9333</v>
      </c>
      <c r="C4612">
        <v>20</v>
      </c>
      <c r="D4612" t="s">
        <v>79</v>
      </c>
      <c r="E4612">
        <v>22</v>
      </c>
      <c r="F4612" t="s">
        <v>9267</v>
      </c>
      <c r="G4612">
        <v>1004</v>
      </c>
      <c r="H4612">
        <v>1</v>
      </c>
      <c r="I4612" t="s">
        <v>89</v>
      </c>
      <c r="J4612">
        <v>0</v>
      </c>
      <c r="K4612">
        <v>2</v>
      </c>
      <c r="L4612">
        <v>2</v>
      </c>
      <c r="M4612">
        <v>138</v>
      </c>
      <c r="N4612" t="s">
        <v>100</v>
      </c>
      <c r="O4612" t="s">
        <v>100</v>
      </c>
      <c r="P4612" t="s">
        <v>100</v>
      </c>
      <c r="Q4612">
        <v>4</v>
      </c>
      <c r="R4612">
        <v>76</v>
      </c>
      <c r="S4612">
        <v>8</v>
      </c>
      <c r="T4612">
        <v>0</v>
      </c>
      <c r="U4612">
        <v>4</v>
      </c>
      <c r="V4612">
        <v>50</v>
      </c>
      <c r="W4612">
        <v>43</v>
      </c>
      <c r="X4612">
        <v>14</v>
      </c>
      <c r="Y4612">
        <v>96</v>
      </c>
      <c r="Z4612">
        <v>9</v>
      </c>
      <c r="AA4612">
        <v>1</v>
      </c>
      <c r="AC4612">
        <v>3</v>
      </c>
      <c r="AD4612">
        <v>0</v>
      </c>
      <c r="AE4612">
        <v>0</v>
      </c>
      <c r="AF4612">
        <v>0</v>
      </c>
      <c r="AG4612">
        <v>1</v>
      </c>
      <c r="AH4612">
        <v>0</v>
      </c>
      <c r="AI4612">
        <v>0</v>
      </c>
      <c r="AJ4612">
        <v>0</v>
      </c>
      <c r="AK4612">
        <v>1</v>
      </c>
      <c r="AL4612">
        <v>0</v>
      </c>
      <c r="AM4612">
        <v>0</v>
      </c>
      <c r="AN4612">
        <v>1</v>
      </c>
      <c r="AT4612">
        <v>0</v>
      </c>
      <c r="AU4612">
        <v>15</v>
      </c>
      <c r="AV4612">
        <v>327</v>
      </c>
      <c r="AW4612">
        <v>326</v>
      </c>
      <c r="AX4612">
        <v>442</v>
      </c>
      <c r="BA4612">
        <v>1</v>
      </c>
      <c r="BC4612" t="s">
        <v>9334</v>
      </c>
      <c r="BD4612" s="4">
        <v>43283.23541666667</v>
      </c>
      <c r="BE4612" s="4">
        <v>43283.259039351855</v>
      </c>
      <c r="BF4612" s="4">
        <v>43283.259039351855</v>
      </c>
      <c r="BG4612" t="s">
        <v>83</v>
      </c>
      <c r="BH4612" t="s">
        <v>84</v>
      </c>
      <c r="BI4612" t="s">
        <v>85</v>
      </c>
    </row>
    <row r="4613" spans="1:61" x14ac:dyDescent="0.3">
      <c r="A4613" t="str">
        <f>"201004E0100"</f>
        <v>201004E0100</v>
      </c>
      <c r="B4613" s="2" t="s">
        <v>9335</v>
      </c>
      <c r="C4613">
        <v>20</v>
      </c>
      <c r="D4613" t="s">
        <v>79</v>
      </c>
      <c r="E4613">
        <v>22</v>
      </c>
      <c r="F4613" t="s">
        <v>9267</v>
      </c>
      <c r="G4613">
        <v>1004</v>
      </c>
      <c r="H4613">
        <v>1</v>
      </c>
      <c r="I4613" t="s">
        <v>145</v>
      </c>
      <c r="J4613">
        <v>0</v>
      </c>
      <c r="K4613">
        <v>2</v>
      </c>
      <c r="L4613">
        <v>2</v>
      </c>
      <c r="AX4613">
        <v>329</v>
      </c>
      <c r="AZ4613" t="s">
        <v>156</v>
      </c>
      <c r="BA4613">
        <v>0</v>
      </c>
      <c r="BC4613" t="s">
        <v>9336</v>
      </c>
      <c r="BD4613" s="4">
        <v>43283.73541666667</v>
      </c>
      <c r="BE4613" s="4">
        <v>43283.736550925925</v>
      </c>
      <c r="BF4613" s="4">
        <v>43283.736550925925</v>
      </c>
      <c r="BG4613" t="s">
        <v>83</v>
      </c>
      <c r="BH4613" t="s">
        <v>84</v>
      </c>
      <c r="BI4613" t="s">
        <v>85</v>
      </c>
    </row>
    <row r="4614" spans="1:61" x14ac:dyDescent="0.3">
      <c r="A4614" t="str">
        <f>"201112B0100"</f>
        <v>201112B0100</v>
      </c>
      <c r="B4614" t="s">
        <v>9337</v>
      </c>
      <c r="C4614">
        <v>20</v>
      </c>
      <c r="D4614" t="s">
        <v>79</v>
      </c>
      <c r="E4614">
        <v>22</v>
      </c>
      <c r="F4614" t="s">
        <v>9267</v>
      </c>
      <c r="G4614">
        <v>1112</v>
      </c>
      <c r="H4614">
        <v>1</v>
      </c>
      <c r="I4614" t="s">
        <v>81</v>
      </c>
      <c r="J4614">
        <v>0</v>
      </c>
      <c r="K4614">
        <v>2</v>
      </c>
      <c r="L4614">
        <v>2</v>
      </c>
      <c r="M4614">
        <v>129</v>
      </c>
      <c r="N4614">
        <v>570</v>
      </c>
      <c r="O4614">
        <v>0</v>
      </c>
      <c r="P4614">
        <v>574</v>
      </c>
      <c r="Q4614">
        <v>1</v>
      </c>
      <c r="R4614">
        <v>180</v>
      </c>
      <c r="S4614">
        <v>258</v>
      </c>
      <c r="T4614">
        <v>15</v>
      </c>
      <c r="U4614">
        <v>5</v>
      </c>
      <c r="V4614">
        <v>2</v>
      </c>
      <c r="W4614" t="s">
        <v>100</v>
      </c>
      <c r="X4614">
        <v>2</v>
      </c>
      <c r="Y4614">
        <v>75</v>
      </c>
      <c r="Z4614">
        <v>1</v>
      </c>
      <c r="AA4614" t="s">
        <v>100</v>
      </c>
      <c r="AC4614" t="s">
        <v>100</v>
      </c>
      <c r="AD4614" t="s">
        <v>100</v>
      </c>
      <c r="AE4614" t="s">
        <v>100</v>
      </c>
      <c r="AF4614" t="s">
        <v>100</v>
      </c>
      <c r="AG4614" t="s">
        <v>100</v>
      </c>
      <c r="AH4614">
        <v>4</v>
      </c>
      <c r="AI4614" t="s">
        <v>100</v>
      </c>
      <c r="AJ4614" t="s">
        <v>100</v>
      </c>
      <c r="AK4614">
        <v>3</v>
      </c>
      <c r="AL4614">
        <v>1</v>
      </c>
      <c r="AM4614" t="s">
        <v>100</v>
      </c>
      <c r="AN4614" t="s">
        <v>100</v>
      </c>
      <c r="AT4614" t="s">
        <v>100</v>
      </c>
      <c r="AU4614">
        <v>27</v>
      </c>
      <c r="AV4614">
        <v>574</v>
      </c>
      <c r="AW4614">
        <v>574</v>
      </c>
      <c r="AX4614">
        <v>674</v>
      </c>
      <c r="AZ4614" t="s">
        <v>101</v>
      </c>
      <c r="BA4614">
        <v>1</v>
      </c>
      <c r="BC4614" t="s">
        <v>9338</v>
      </c>
      <c r="BD4614" s="4">
        <v>43283.324305555558</v>
      </c>
      <c r="BE4614" s="4">
        <v>43283.34479166667</v>
      </c>
      <c r="BF4614" s="4">
        <v>43283.34479166667</v>
      </c>
      <c r="BG4614" t="s">
        <v>83</v>
      </c>
      <c r="BH4614" t="s">
        <v>84</v>
      </c>
      <c r="BI4614" t="s">
        <v>85</v>
      </c>
    </row>
    <row r="4615" spans="1:61" x14ac:dyDescent="0.3">
      <c r="A4615" t="str">
        <f>"201112C0100"</f>
        <v>201112C0100</v>
      </c>
      <c r="B4615" t="s">
        <v>9339</v>
      </c>
      <c r="C4615">
        <v>20</v>
      </c>
      <c r="D4615" t="s">
        <v>79</v>
      </c>
      <c r="E4615">
        <v>22</v>
      </c>
      <c r="F4615" t="s">
        <v>9267</v>
      </c>
      <c r="G4615">
        <v>1112</v>
      </c>
      <c r="H4615">
        <v>1</v>
      </c>
      <c r="I4615" t="s">
        <v>89</v>
      </c>
      <c r="J4615">
        <v>0</v>
      </c>
      <c r="K4615">
        <v>2</v>
      </c>
      <c r="L4615">
        <v>2</v>
      </c>
      <c r="M4615">
        <v>125</v>
      </c>
      <c r="N4615">
        <v>570</v>
      </c>
      <c r="O4615">
        <v>0</v>
      </c>
      <c r="P4615">
        <v>554</v>
      </c>
      <c r="Q4615">
        <v>4</v>
      </c>
      <c r="R4615">
        <v>207</v>
      </c>
      <c r="S4615">
        <v>237</v>
      </c>
      <c r="T4615">
        <v>25</v>
      </c>
      <c r="U4615">
        <v>2</v>
      </c>
      <c r="V4615">
        <v>1</v>
      </c>
      <c r="W4615">
        <v>0</v>
      </c>
      <c r="X4615">
        <v>1</v>
      </c>
      <c r="Y4615">
        <v>71</v>
      </c>
      <c r="Z4615">
        <v>1</v>
      </c>
      <c r="AA4615">
        <v>0</v>
      </c>
      <c r="AC4615">
        <v>0</v>
      </c>
      <c r="AD4615">
        <v>1</v>
      </c>
      <c r="AE4615">
        <v>0</v>
      </c>
      <c r="AF4615">
        <v>0</v>
      </c>
      <c r="AG4615">
        <v>0</v>
      </c>
      <c r="AH4615">
        <v>3</v>
      </c>
      <c r="AI4615">
        <v>0</v>
      </c>
      <c r="AJ4615">
        <v>0</v>
      </c>
      <c r="AK4615">
        <v>1</v>
      </c>
      <c r="AL4615">
        <v>0</v>
      </c>
      <c r="AM4615">
        <v>0</v>
      </c>
      <c r="AN4615">
        <v>0</v>
      </c>
      <c r="AT4615" t="s">
        <v>100</v>
      </c>
      <c r="AU4615">
        <v>9</v>
      </c>
      <c r="AV4615" t="s">
        <v>315</v>
      </c>
      <c r="AW4615">
        <v>563</v>
      </c>
      <c r="AX4615">
        <v>674</v>
      </c>
      <c r="AZ4615" t="s">
        <v>101</v>
      </c>
      <c r="BA4615">
        <v>1</v>
      </c>
      <c r="BC4615" t="s">
        <v>9340</v>
      </c>
      <c r="BD4615" s="4">
        <v>43283.324999999997</v>
      </c>
      <c r="BE4615" s="4">
        <v>43283.347025462965</v>
      </c>
      <c r="BF4615" s="4">
        <v>43283.347025462965</v>
      </c>
      <c r="BG4615" t="s">
        <v>83</v>
      </c>
      <c r="BH4615" t="s">
        <v>84</v>
      </c>
      <c r="BI4615" t="s">
        <v>85</v>
      </c>
    </row>
    <row r="4616" spans="1:61" x14ac:dyDescent="0.3">
      <c r="A4616" t="str">
        <f>"201112E0100"</f>
        <v>201112E0100</v>
      </c>
      <c r="B4616" s="2" t="s">
        <v>9341</v>
      </c>
      <c r="C4616">
        <v>20</v>
      </c>
      <c r="D4616" t="s">
        <v>79</v>
      </c>
      <c r="E4616">
        <v>22</v>
      </c>
      <c r="F4616" t="s">
        <v>9267</v>
      </c>
      <c r="G4616">
        <v>1112</v>
      </c>
      <c r="H4616">
        <v>1</v>
      </c>
      <c r="I4616" t="s">
        <v>145</v>
      </c>
      <c r="J4616">
        <v>0</v>
      </c>
      <c r="K4616">
        <v>2</v>
      </c>
      <c r="L4616">
        <v>2</v>
      </c>
      <c r="M4616">
        <v>102</v>
      </c>
      <c r="N4616">
        <v>364</v>
      </c>
      <c r="O4616">
        <v>18</v>
      </c>
      <c r="P4616">
        <v>364</v>
      </c>
      <c r="Q4616">
        <v>6</v>
      </c>
      <c r="R4616">
        <v>74</v>
      </c>
      <c r="S4616">
        <v>176</v>
      </c>
      <c r="T4616">
        <v>5</v>
      </c>
      <c r="U4616">
        <v>1</v>
      </c>
      <c r="V4616">
        <v>1</v>
      </c>
      <c r="W4616">
        <v>0</v>
      </c>
      <c r="X4616">
        <v>0</v>
      </c>
      <c r="Y4616">
        <v>85</v>
      </c>
      <c r="Z4616">
        <v>1</v>
      </c>
      <c r="AA4616">
        <v>0</v>
      </c>
      <c r="AC4616">
        <v>0</v>
      </c>
      <c r="AD4616">
        <v>0</v>
      </c>
      <c r="AE4616">
        <v>0</v>
      </c>
      <c r="AF4616">
        <v>1</v>
      </c>
      <c r="AG4616">
        <v>1</v>
      </c>
      <c r="AH4616">
        <v>0</v>
      </c>
      <c r="AI4616">
        <v>0</v>
      </c>
      <c r="AJ4616">
        <v>0</v>
      </c>
      <c r="AK4616">
        <v>0</v>
      </c>
      <c r="AL4616">
        <v>0</v>
      </c>
      <c r="AM4616">
        <v>0</v>
      </c>
      <c r="AN4616">
        <v>0</v>
      </c>
      <c r="AT4616">
        <v>0</v>
      </c>
      <c r="AU4616">
        <v>13</v>
      </c>
      <c r="AV4616">
        <v>364</v>
      </c>
      <c r="AW4616">
        <v>364</v>
      </c>
      <c r="AX4616">
        <v>444</v>
      </c>
      <c r="BA4616">
        <v>1</v>
      </c>
      <c r="BC4616" t="s">
        <v>9342</v>
      </c>
      <c r="BD4616" s="4">
        <v>43283.24722222222</v>
      </c>
      <c r="BE4616" s="4">
        <v>43283.273414351854</v>
      </c>
      <c r="BF4616" s="4">
        <v>43283.273414351854</v>
      </c>
      <c r="BG4616" t="s">
        <v>83</v>
      </c>
      <c r="BH4616" t="s">
        <v>84</v>
      </c>
      <c r="BI4616" t="s">
        <v>85</v>
      </c>
    </row>
    <row r="4617" spans="1:61" x14ac:dyDescent="0.3">
      <c r="A4617" t="str">
        <f>"201113B0100"</f>
        <v>201113B0100</v>
      </c>
      <c r="B4617" t="s">
        <v>9343</v>
      </c>
      <c r="C4617">
        <v>20</v>
      </c>
      <c r="D4617" t="s">
        <v>79</v>
      </c>
      <c r="E4617">
        <v>22</v>
      </c>
      <c r="F4617" t="s">
        <v>9267</v>
      </c>
      <c r="G4617">
        <v>1113</v>
      </c>
      <c r="H4617">
        <v>1</v>
      </c>
      <c r="I4617" t="s">
        <v>81</v>
      </c>
      <c r="J4617">
        <v>0</v>
      </c>
      <c r="K4617">
        <v>1</v>
      </c>
      <c r="L4617">
        <v>2</v>
      </c>
      <c r="M4617">
        <v>107</v>
      </c>
      <c r="N4617">
        <v>537</v>
      </c>
      <c r="O4617">
        <v>0</v>
      </c>
      <c r="P4617">
        <v>0</v>
      </c>
      <c r="Q4617">
        <v>0</v>
      </c>
      <c r="R4617">
        <v>177</v>
      </c>
      <c r="S4617">
        <v>200</v>
      </c>
      <c r="T4617">
        <v>18</v>
      </c>
      <c r="U4617">
        <v>1</v>
      </c>
      <c r="V4617">
        <v>2</v>
      </c>
      <c r="W4617">
        <v>1</v>
      </c>
      <c r="X4617">
        <v>1</v>
      </c>
      <c r="Y4617">
        <v>103</v>
      </c>
      <c r="Z4617">
        <v>2</v>
      </c>
      <c r="AA4617" t="s">
        <v>100</v>
      </c>
      <c r="AC4617" t="s">
        <v>100</v>
      </c>
      <c r="AD4617" t="s">
        <v>100</v>
      </c>
      <c r="AE4617" t="s">
        <v>100</v>
      </c>
      <c r="AF4617" t="s">
        <v>100</v>
      </c>
      <c r="AG4617" t="s">
        <v>100</v>
      </c>
      <c r="AH4617">
        <v>5</v>
      </c>
      <c r="AI4617" t="s">
        <v>100</v>
      </c>
      <c r="AJ4617" t="s">
        <v>100</v>
      </c>
      <c r="AK4617">
        <v>1</v>
      </c>
      <c r="AL4617" t="s">
        <v>100</v>
      </c>
      <c r="AM4617" t="s">
        <v>100</v>
      </c>
      <c r="AN4617" t="s">
        <v>100</v>
      </c>
      <c r="AT4617" t="s">
        <v>100</v>
      </c>
      <c r="AU4617">
        <v>26</v>
      </c>
      <c r="AV4617">
        <v>537</v>
      </c>
      <c r="AW4617">
        <v>537</v>
      </c>
      <c r="AX4617">
        <v>622</v>
      </c>
      <c r="AZ4617" t="s">
        <v>101</v>
      </c>
      <c r="BA4617">
        <v>1</v>
      </c>
      <c r="BC4617" t="s">
        <v>9344</v>
      </c>
      <c r="BD4617" s="4">
        <v>43283.325694444444</v>
      </c>
      <c r="BE4617" s="4">
        <v>43283.349085648151</v>
      </c>
      <c r="BF4617" s="4">
        <v>43283.349085648151</v>
      </c>
      <c r="BG4617" t="s">
        <v>83</v>
      </c>
      <c r="BH4617" t="s">
        <v>84</v>
      </c>
      <c r="BI4617" t="s">
        <v>85</v>
      </c>
    </row>
    <row r="4618" spans="1:61" x14ac:dyDescent="0.3">
      <c r="A4618" t="str">
        <f>"201113C0100"</f>
        <v>201113C0100</v>
      </c>
      <c r="B4618" t="s">
        <v>9345</v>
      </c>
      <c r="C4618">
        <v>20</v>
      </c>
      <c r="D4618" t="s">
        <v>79</v>
      </c>
      <c r="E4618">
        <v>22</v>
      </c>
      <c r="F4618" t="s">
        <v>9267</v>
      </c>
      <c r="G4618">
        <v>1113</v>
      </c>
      <c r="H4618">
        <v>1</v>
      </c>
      <c r="I4618" t="s">
        <v>89</v>
      </c>
      <c r="J4618">
        <v>0</v>
      </c>
      <c r="K4618">
        <v>1</v>
      </c>
      <c r="L4618">
        <v>2</v>
      </c>
      <c r="M4618">
        <v>131</v>
      </c>
      <c r="N4618">
        <v>512</v>
      </c>
      <c r="O4618">
        <v>0</v>
      </c>
      <c r="P4618">
        <v>512</v>
      </c>
      <c r="Q4618">
        <v>2</v>
      </c>
      <c r="R4618">
        <v>173</v>
      </c>
      <c r="S4618">
        <v>197</v>
      </c>
      <c r="T4618">
        <v>16</v>
      </c>
      <c r="U4618">
        <v>5</v>
      </c>
      <c r="V4618">
        <v>3</v>
      </c>
      <c r="W4618">
        <v>3</v>
      </c>
      <c r="X4618">
        <v>2</v>
      </c>
      <c r="Y4618">
        <v>86</v>
      </c>
      <c r="Z4618">
        <v>1</v>
      </c>
      <c r="AA4618">
        <v>0</v>
      </c>
      <c r="AC4618">
        <v>0</v>
      </c>
      <c r="AD4618">
        <v>1</v>
      </c>
      <c r="AE4618">
        <v>0</v>
      </c>
      <c r="AF4618">
        <v>0</v>
      </c>
      <c r="AG4618">
        <v>0</v>
      </c>
      <c r="AH4618">
        <v>5</v>
      </c>
      <c r="AI4618">
        <v>0</v>
      </c>
      <c r="AJ4618">
        <v>1</v>
      </c>
      <c r="AK4618">
        <v>0</v>
      </c>
      <c r="AL4618">
        <v>0</v>
      </c>
      <c r="AM4618">
        <v>0</v>
      </c>
      <c r="AN4618">
        <v>0</v>
      </c>
      <c r="AT4618">
        <v>0</v>
      </c>
      <c r="AU4618">
        <v>18</v>
      </c>
      <c r="AV4618">
        <v>513</v>
      </c>
      <c r="AW4618">
        <v>513</v>
      </c>
      <c r="AX4618">
        <v>621</v>
      </c>
      <c r="BA4618">
        <v>1</v>
      </c>
      <c r="BC4618" t="s">
        <v>9346</v>
      </c>
      <c r="BD4618" s="4">
        <v>43283.325694444444</v>
      </c>
      <c r="BE4618" s="4">
        <v>43283.353645833333</v>
      </c>
      <c r="BF4618" s="4">
        <v>43283.353645833333</v>
      </c>
      <c r="BG4618" t="s">
        <v>83</v>
      </c>
      <c r="BH4618" t="s">
        <v>84</v>
      </c>
      <c r="BI4618" t="s">
        <v>85</v>
      </c>
    </row>
    <row r="4619" spans="1:61" x14ac:dyDescent="0.3">
      <c r="A4619" t="str">
        <f>"201114B0100"</f>
        <v>201114B0100</v>
      </c>
      <c r="B4619" t="s">
        <v>9347</v>
      </c>
      <c r="C4619">
        <v>20</v>
      </c>
      <c r="D4619" t="s">
        <v>79</v>
      </c>
      <c r="E4619">
        <v>22</v>
      </c>
      <c r="F4619" t="s">
        <v>9267</v>
      </c>
      <c r="G4619">
        <v>1114</v>
      </c>
      <c r="H4619">
        <v>1</v>
      </c>
      <c r="I4619" t="s">
        <v>81</v>
      </c>
      <c r="J4619">
        <v>0</v>
      </c>
      <c r="K4619">
        <v>1</v>
      </c>
      <c r="L4619">
        <v>2</v>
      </c>
      <c r="M4619">
        <v>129</v>
      </c>
      <c r="N4619">
        <v>510</v>
      </c>
      <c r="O4619">
        <v>1</v>
      </c>
      <c r="P4619">
        <v>510</v>
      </c>
      <c r="Q4619">
        <v>1</v>
      </c>
      <c r="R4619">
        <v>189</v>
      </c>
      <c r="S4619">
        <v>187</v>
      </c>
      <c r="T4619">
        <v>22</v>
      </c>
      <c r="U4619">
        <v>2</v>
      </c>
      <c r="V4619">
        <v>2</v>
      </c>
      <c r="W4619">
        <v>0</v>
      </c>
      <c r="X4619">
        <v>3</v>
      </c>
      <c r="Y4619">
        <v>74</v>
      </c>
      <c r="Z4619">
        <v>5</v>
      </c>
      <c r="AA4619">
        <v>0</v>
      </c>
      <c r="AC4619">
        <v>0</v>
      </c>
      <c r="AD4619">
        <v>0</v>
      </c>
      <c r="AE4619">
        <v>0</v>
      </c>
      <c r="AF4619">
        <v>0</v>
      </c>
      <c r="AG4619">
        <v>0</v>
      </c>
      <c r="AH4619">
        <v>0</v>
      </c>
      <c r="AI4619">
        <v>0</v>
      </c>
      <c r="AJ4619">
        <v>0</v>
      </c>
      <c r="AK4619">
        <v>0</v>
      </c>
      <c r="AL4619">
        <v>0</v>
      </c>
      <c r="AM4619">
        <v>0</v>
      </c>
      <c r="AN4619">
        <v>0</v>
      </c>
      <c r="AT4619">
        <v>0</v>
      </c>
      <c r="AU4619">
        <v>23</v>
      </c>
      <c r="AV4619" t="s">
        <v>315</v>
      </c>
      <c r="AW4619">
        <v>508</v>
      </c>
      <c r="AX4619">
        <v>615</v>
      </c>
      <c r="BA4619">
        <v>1</v>
      </c>
      <c r="BC4619" t="s">
        <v>9348</v>
      </c>
      <c r="BD4619" s="4">
        <v>43283.325694444444</v>
      </c>
      <c r="BE4619" s="4">
        <v>43283.349178240744</v>
      </c>
      <c r="BF4619" s="4">
        <v>43283.349178240744</v>
      </c>
      <c r="BG4619" t="s">
        <v>83</v>
      </c>
      <c r="BH4619" t="s">
        <v>84</v>
      </c>
      <c r="BI4619" t="s">
        <v>85</v>
      </c>
    </row>
    <row r="4620" spans="1:61" x14ac:dyDescent="0.3">
      <c r="A4620" t="str">
        <f>"201114C0100"</f>
        <v>201114C0100</v>
      </c>
      <c r="B4620" t="s">
        <v>9349</v>
      </c>
      <c r="C4620">
        <v>20</v>
      </c>
      <c r="D4620" t="s">
        <v>79</v>
      </c>
      <c r="E4620">
        <v>22</v>
      </c>
      <c r="F4620" t="s">
        <v>9267</v>
      </c>
      <c r="G4620">
        <v>1114</v>
      </c>
      <c r="H4620">
        <v>1</v>
      </c>
      <c r="I4620" t="s">
        <v>89</v>
      </c>
      <c r="J4620">
        <v>0</v>
      </c>
      <c r="K4620">
        <v>1</v>
      </c>
      <c r="L4620">
        <v>2</v>
      </c>
      <c r="M4620">
        <v>115</v>
      </c>
      <c r="N4620">
        <v>521</v>
      </c>
      <c r="O4620">
        <v>2</v>
      </c>
      <c r="P4620">
        <v>521</v>
      </c>
      <c r="Q4620">
        <v>0</v>
      </c>
      <c r="R4620">
        <v>198</v>
      </c>
      <c r="S4620">
        <v>200</v>
      </c>
      <c r="T4620">
        <v>22</v>
      </c>
      <c r="U4620">
        <v>3</v>
      </c>
      <c r="V4620">
        <v>3</v>
      </c>
      <c r="W4620">
        <v>0</v>
      </c>
      <c r="X4620">
        <v>1</v>
      </c>
      <c r="Y4620">
        <v>70</v>
      </c>
      <c r="Z4620">
        <v>1</v>
      </c>
      <c r="AA4620">
        <v>0</v>
      </c>
      <c r="AC4620">
        <v>0</v>
      </c>
      <c r="AD4620">
        <v>1</v>
      </c>
      <c r="AE4620">
        <v>1</v>
      </c>
      <c r="AF4620">
        <v>0</v>
      </c>
      <c r="AG4620">
        <v>0</v>
      </c>
      <c r="AH4620">
        <v>3</v>
      </c>
      <c r="AI4620">
        <v>0</v>
      </c>
      <c r="AJ4620">
        <v>0</v>
      </c>
      <c r="AK4620">
        <v>0</v>
      </c>
      <c r="AL4620">
        <v>0</v>
      </c>
      <c r="AM4620">
        <v>0</v>
      </c>
      <c r="AN4620">
        <v>0</v>
      </c>
      <c r="AT4620">
        <v>0</v>
      </c>
      <c r="AU4620">
        <v>18</v>
      </c>
      <c r="AV4620">
        <v>521</v>
      </c>
      <c r="AW4620">
        <v>521</v>
      </c>
      <c r="AX4620">
        <v>615</v>
      </c>
      <c r="BA4620">
        <v>1</v>
      </c>
      <c r="BC4620" t="s">
        <v>9350</v>
      </c>
      <c r="BD4620" s="4">
        <v>43283.336111111108</v>
      </c>
      <c r="BE4620" s="4">
        <v>43283.353587962964</v>
      </c>
      <c r="BF4620" s="4">
        <v>43283.353587962964</v>
      </c>
      <c r="BG4620" t="s">
        <v>83</v>
      </c>
      <c r="BH4620" t="s">
        <v>84</v>
      </c>
      <c r="BI4620" t="s">
        <v>85</v>
      </c>
    </row>
    <row r="4621" spans="1:61" x14ac:dyDescent="0.3">
      <c r="A4621" t="str">
        <f>"201115B0100"</f>
        <v>201115B0100</v>
      </c>
      <c r="B4621" t="s">
        <v>9351</v>
      </c>
      <c r="C4621">
        <v>20</v>
      </c>
      <c r="D4621" t="s">
        <v>79</v>
      </c>
      <c r="E4621">
        <v>22</v>
      </c>
      <c r="F4621" t="s">
        <v>9267</v>
      </c>
      <c r="G4621">
        <v>1115</v>
      </c>
      <c r="H4621">
        <v>1</v>
      </c>
      <c r="I4621" t="s">
        <v>81</v>
      </c>
      <c r="J4621">
        <v>0</v>
      </c>
      <c r="K4621">
        <v>2</v>
      </c>
      <c r="L4621">
        <v>2</v>
      </c>
      <c r="M4621">
        <v>122</v>
      </c>
      <c r="N4621">
        <v>286</v>
      </c>
      <c r="O4621">
        <v>10</v>
      </c>
      <c r="P4621">
        <v>286</v>
      </c>
      <c r="Q4621">
        <v>0</v>
      </c>
      <c r="R4621">
        <v>113</v>
      </c>
      <c r="S4621">
        <v>97</v>
      </c>
      <c r="T4621">
        <v>9</v>
      </c>
      <c r="U4621">
        <v>2</v>
      </c>
      <c r="V4621">
        <v>0</v>
      </c>
      <c r="W4621">
        <v>1</v>
      </c>
      <c r="X4621">
        <v>0</v>
      </c>
      <c r="Y4621">
        <v>42</v>
      </c>
      <c r="Z4621">
        <v>5</v>
      </c>
      <c r="AA4621">
        <v>0</v>
      </c>
      <c r="AC4621">
        <v>0</v>
      </c>
      <c r="AD4621">
        <v>0</v>
      </c>
      <c r="AE4621">
        <v>0</v>
      </c>
      <c r="AF4621">
        <v>1</v>
      </c>
      <c r="AG4621">
        <v>2</v>
      </c>
      <c r="AH4621">
        <v>1</v>
      </c>
      <c r="AI4621">
        <v>0</v>
      </c>
      <c r="AJ4621">
        <v>0</v>
      </c>
      <c r="AK4621">
        <v>0</v>
      </c>
      <c r="AL4621">
        <v>0</v>
      </c>
      <c r="AM4621">
        <v>0</v>
      </c>
      <c r="AN4621">
        <v>0</v>
      </c>
      <c r="AT4621">
        <v>1</v>
      </c>
      <c r="AU4621">
        <v>12</v>
      </c>
      <c r="AV4621">
        <v>286</v>
      </c>
      <c r="AW4621">
        <v>286</v>
      </c>
      <c r="AX4621">
        <v>386</v>
      </c>
      <c r="BA4621">
        <v>1</v>
      </c>
      <c r="BC4621" t="s">
        <v>9352</v>
      </c>
      <c r="BD4621" s="4">
        <v>43283.244444444441</v>
      </c>
      <c r="BE4621" s="4">
        <v>43283.270057870373</v>
      </c>
      <c r="BF4621" s="4">
        <v>43283.270057870373</v>
      </c>
      <c r="BG4621" t="s">
        <v>83</v>
      </c>
      <c r="BH4621" t="s">
        <v>84</v>
      </c>
      <c r="BI4621" t="s">
        <v>85</v>
      </c>
    </row>
    <row r="4622" spans="1:61" x14ac:dyDescent="0.3">
      <c r="A4622" t="str">
        <f>"201115C0100"</f>
        <v>201115C0100</v>
      </c>
      <c r="B4622" t="s">
        <v>9353</v>
      </c>
      <c r="C4622">
        <v>20</v>
      </c>
      <c r="D4622" t="s">
        <v>79</v>
      </c>
      <c r="E4622">
        <v>22</v>
      </c>
      <c r="F4622" t="s">
        <v>9267</v>
      </c>
      <c r="G4622">
        <v>1115</v>
      </c>
      <c r="H4622">
        <v>1</v>
      </c>
      <c r="I4622" t="s">
        <v>89</v>
      </c>
      <c r="J4622">
        <v>0</v>
      </c>
      <c r="K4622">
        <v>2</v>
      </c>
      <c r="L4622">
        <v>2</v>
      </c>
      <c r="M4622">
        <v>103</v>
      </c>
      <c r="N4622">
        <v>304</v>
      </c>
      <c r="O4622">
        <v>1</v>
      </c>
      <c r="P4622">
        <v>304</v>
      </c>
      <c r="Q4622">
        <v>2</v>
      </c>
      <c r="R4622">
        <v>108</v>
      </c>
      <c r="S4622">
        <v>106</v>
      </c>
      <c r="T4622">
        <v>7</v>
      </c>
      <c r="U4622">
        <v>2</v>
      </c>
      <c r="V4622">
        <v>2</v>
      </c>
      <c r="W4622">
        <v>2</v>
      </c>
      <c r="X4622">
        <v>1</v>
      </c>
      <c r="Y4622">
        <v>58</v>
      </c>
      <c r="Z4622">
        <v>2</v>
      </c>
      <c r="AA4622">
        <v>0</v>
      </c>
      <c r="AC4622">
        <v>0</v>
      </c>
      <c r="AD4622">
        <v>0</v>
      </c>
      <c r="AE4622">
        <v>0</v>
      </c>
      <c r="AF4622">
        <v>0</v>
      </c>
      <c r="AG4622">
        <v>0</v>
      </c>
      <c r="AH4622">
        <v>2</v>
      </c>
      <c r="AI4622">
        <v>2</v>
      </c>
      <c r="AJ4622">
        <v>0</v>
      </c>
      <c r="AK4622">
        <v>0</v>
      </c>
      <c r="AL4622">
        <v>2</v>
      </c>
      <c r="AM4622">
        <v>0</v>
      </c>
      <c r="AN4622">
        <v>0</v>
      </c>
      <c r="AT4622">
        <v>0</v>
      </c>
      <c r="AU4622">
        <v>8</v>
      </c>
      <c r="AV4622">
        <v>304</v>
      </c>
      <c r="AW4622">
        <v>304</v>
      </c>
      <c r="AX4622">
        <v>386</v>
      </c>
      <c r="BA4622">
        <v>1</v>
      </c>
      <c r="BC4622" t="s">
        <v>9354</v>
      </c>
      <c r="BD4622" s="4">
        <v>43283.244444444441</v>
      </c>
      <c r="BE4622" s="4">
        <v>43283.283194444448</v>
      </c>
      <c r="BF4622" s="4">
        <v>43283.283194444448</v>
      </c>
      <c r="BG4622" t="s">
        <v>83</v>
      </c>
      <c r="BH4622" t="s">
        <v>84</v>
      </c>
      <c r="BI4622" t="s">
        <v>85</v>
      </c>
    </row>
    <row r="4623" spans="1:61" x14ac:dyDescent="0.3">
      <c r="A4623" t="str">
        <f>"201115E0100"</f>
        <v>201115E0100</v>
      </c>
      <c r="B4623" s="2" t="s">
        <v>9355</v>
      </c>
      <c r="C4623">
        <v>20</v>
      </c>
      <c r="D4623" t="s">
        <v>79</v>
      </c>
      <c r="E4623">
        <v>22</v>
      </c>
      <c r="F4623" t="s">
        <v>9267</v>
      </c>
      <c r="G4623">
        <v>1115</v>
      </c>
      <c r="H4623">
        <v>1</v>
      </c>
      <c r="I4623" t="s">
        <v>145</v>
      </c>
      <c r="J4623">
        <v>0</v>
      </c>
      <c r="K4623">
        <v>2</v>
      </c>
      <c r="L4623">
        <v>2</v>
      </c>
      <c r="M4623">
        <v>216</v>
      </c>
      <c r="N4623">
        <v>388</v>
      </c>
      <c r="O4623">
        <v>13</v>
      </c>
      <c r="P4623">
        <v>388</v>
      </c>
      <c r="Q4623">
        <v>0</v>
      </c>
      <c r="R4623">
        <v>68</v>
      </c>
      <c r="S4623">
        <v>186</v>
      </c>
      <c r="T4623">
        <v>4</v>
      </c>
      <c r="U4623">
        <v>8</v>
      </c>
      <c r="V4623">
        <v>3</v>
      </c>
      <c r="W4623">
        <v>3</v>
      </c>
      <c r="X4623">
        <v>3</v>
      </c>
      <c r="Y4623">
        <v>89</v>
      </c>
      <c r="Z4623">
        <v>0</v>
      </c>
      <c r="AA4623">
        <v>0</v>
      </c>
      <c r="AC4623">
        <v>1</v>
      </c>
      <c r="AD4623">
        <v>0</v>
      </c>
      <c r="AE4623">
        <v>0</v>
      </c>
      <c r="AF4623">
        <v>0</v>
      </c>
      <c r="AG4623">
        <v>0</v>
      </c>
      <c r="AH4623">
        <v>1</v>
      </c>
      <c r="AI4623">
        <v>0</v>
      </c>
      <c r="AJ4623">
        <v>0</v>
      </c>
      <c r="AK4623">
        <v>0</v>
      </c>
      <c r="AL4623">
        <v>0</v>
      </c>
      <c r="AM4623">
        <v>0</v>
      </c>
      <c r="AN4623">
        <v>3</v>
      </c>
      <c r="AT4623">
        <v>0</v>
      </c>
      <c r="AU4623">
        <v>19</v>
      </c>
      <c r="AV4623">
        <v>388</v>
      </c>
      <c r="AW4623">
        <v>388</v>
      </c>
      <c r="AX4623">
        <v>582</v>
      </c>
      <c r="BA4623">
        <v>1</v>
      </c>
      <c r="BC4623" t="s">
        <v>9356</v>
      </c>
      <c r="BD4623" s="4">
        <v>43283.248611111114</v>
      </c>
      <c r="BE4623" s="4">
        <v>43283.273587962962</v>
      </c>
      <c r="BF4623" s="4">
        <v>43283.273587962962</v>
      </c>
      <c r="BG4623" t="s">
        <v>83</v>
      </c>
      <c r="BH4623" t="s">
        <v>84</v>
      </c>
      <c r="BI4623" t="s">
        <v>85</v>
      </c>
    </row>
    <row r="4624" spans="1:61" x14ac:dyDescent="0.3">
      <c r="A4624" t="str">
        <f>"201115E0200"</f>
        <v>201115E0200</v>
      </c>
      <c r="B4624" s="2" t="s">
        <v>9357</v>
      </c>
      <c r="C4624">
        <v>20</v>
      </c>
      <c r="D4624" t="s">
        <v>79</v>
      </c>
      <c r="E4624">
        <v>22</v>
      </c>
      <c r="F4624" t="s">
        <v>9267</v>
      </c>
      <c r="G4624">
        <v>1115</v>
      </c>
      <c r="H4624">
        <v>2</v>
      </c>
      <c r="I4624" t="s">
        <v>145</v>
      </c>
      <c r="J4624">
        <v>0</v>
      </c>
      <c r="K4624">
        <v>2</v>
      </c>
      <c r="L4624">
        <v>2</v>
      </c>
      <c r="M4624">
        <v>102</v>
      </c>
      <c r="N4624">
        <v>200</v>
      </c>
      <c r="O4624">
        <v>0</v>
      </c>
      <c r="P4624">
        <v>200</v>
      </c>
      <c r="Q4624">
        <v>1</v>
      </c>
      <c r="R4624">
        <v>18</v>
      </c>
      <c r="S4624">
        <v>50</v>
      </c>
      <c r="T4624">
        <v>2</v>
      </c>
      <c r="U4624">
        <v>6</v>
      </c>
      <c r="V4624">
        <v>2</v>
      </c>
      <c r="W4624">
        <v>2</v>
      </c>
      <c r="X4624">
        <v>5</v>
      </c>
      <c r="Y4624">
        <v>97</v>
      </c>
      <c r="Z4624">
        <v>0</v>
      </c>
      <c r="AA4624">
        <v>0</v>
      </c>
      <c r="AC4624">
        <v>0</v>
      </c>
      <c r="AD4624">
        <v>1</v>
      </c>
      <c r="AE4624">
        <v>0</v>
      </c>
      <c r="AF4624">
        <v>1</v>
      </c>
      <c r="AG4624">
        <v>0</v>
      </c>
      <c r="AH4624">
        <v>0</v>
      </c>
      <c r="AI4624">
        <v>0</v>
      </c>
      <c r="AJ4624">
        <v>0</v>
      </c>
      <c r="AK4624">
        <v>1</v>
      </c>
      <c r="AL4624">
        <v>1</v>
      </c>
      <c r="AM4624">
        <v>1</v>
      </c>
      <c r="AN4624">
        <v>2</v>
      </c>
      <c r="AT4624">
        <v>0</v>
      </c>
      <c r="AU4624">
        <v>10</v>
      </c>
      <c r="AV4624">
        <v>200</v>
      </c>
      <c r="AW4624">
        <v>200</v>
      </c>
      <c r="AX4624">
        <v>280</v>
      </c>
      <c r="BA4624">
        <v>1</v>
      </c>
      <c r="BC4624" t="s">
        <v>9358</v>
      </c>
      <c r="BD4624" s="4">
        <v>43283.129861111112</v>
      </c>
      <c r="BE4624" s="4">
        <v>43283.139861111114</v>
      </c>
      <c r="BF4624" s="4">
        <v>43283.139861111114</v>
      </c>
      <c r="BG4624" t="s">
        <v>83</v>
      </c>
      <c r="BH4624" t="s">
        <v>84</v>
      </c>
      <c r="BI4624" t="s">
        <v>85</v>
      </c>
    </row>
    <row r="4625" spans="1:61" x14ac:dyDescent="0.3">
      <c r="A4625" t="str">
        <f>"201116B0100"</f>
        <v>201116B0100</v>
      </c>
      <c r="B4625" t="s">
        <v>9359</v>
      </c>
      <c r="C4625">
        <v>20</v>
      </c>
      <c r="D4625" t="s">
        <v>79</v>
      </c>
      <c r="E4625">
        <v>22</v>
      </c>
      <c r="F4625" t="s">
        <v>9267</v>
      </c>
      <c r="G4625">
        <v>1116</v>
      </c>
      <c r="H4625">
        <v>1</v>
      </c>
      <c r="I4625" t="s">
        <v>81</v>
      </c>
      <c r="J4625">
        <v>0</v>
      </c>
      <c r="K4625">
        <v>2</v>
      </c>
      <c r="L4625">
        <v>2</v>
      </c>
      <c r="M4625">
        <v>107</v>
      </c>
      <c r="N4625">
        <v>261</v>
      </c>
      <c r="O4625">
        <v>0</v>
      </c>
      <c r="P4625">
        <v>261</v>
      </c>
      <c r="Q4625">
        <v>0</v>
      </c>
      <c r="R4625">
        <v>125</v>
      </c>
      <c r="S4625">
        <v>71</v>
      </c>
      <c r="T4625">
        <v>3</v>
      </c>
      <c r="U4625">
        <v>5</v>
      </c>
      <c r="V4625">
        <v>0</v>
      </c>
      <c r="W4625">
        <v>0</v>
      </c>
      <c r="X4625">
        <v>1</v>
      </c>
      <c r="Y4625">
        <v>38</v>
      </c>
      <c r="Z4625">
        <v>3</v>
      </c>
      <c r="AA4625">
        <v>0</v>
      </c>
      <c r="AC4625">
        <v>0</v>
      </c>
      <c r="AD4625">
        <v>1</v>
      </c>
      <c r="AE4625">
        <v>0</v>
      </c>
      <c r="AF4625">
        <v>0</v>
      </c>
      <c r="AG4625">
        <v>5</v>
      </c>
      <c r="AH4625">
        <v>1</v>
      </c>
      <c r="AI4625">
        <v>0</v>
      </c>
      <c r="AJ4625">
        <v>0</v>
      </c>
      <c r="AK4625">
        <v>1</v>
      </c>
      <c r="AL4625">
        <v>0</v>
      </c>
      <c r="AM4625">
        <v>0</v>
      </c>
      <c r="AN4625">
        <v>0</v>
      </c>
      <c r="AT4625">
        <v>0</v>
      </c>
      <c r="AU4625">
        <v>7</v>
      </c>
      <c r="AV4625">
        <v>261</v>
      </c>
      <c r="AW4625">
        <v>261</v>
      </c>
      <c r="AX4625">
        <v>346</v>
      </c>
      <c r="BA4625">
        <v>1</v>
      </c>
      <c r="BC4625" t="s">
        <v>9360</v>
      </c>
      <c r="BD4625" s="4">
        <v>43283.24722222222</v>
      </c>
      <c r="BE4625" s="4">
        <v>43283.273263888892</v>
      </c>
      <c r="BF4625" s="4">
        <v>43283.273263888892</v>
      </c>
      <c r="BG4625" t="s">
        <v>83</v>
      </c>
      <c r="BH4625" t="s">
        <v>84</v>
      </c>
      <c r="BI4625" t="s">
        <v>85</v>
      </c>
    </row>
    <row r="4626" spans="1:61" x14ac:dyDescent="0.3">
      <c r="A4626" t="str">
        <f>"201116E0100"</f>
        <v>201116E0100</v>
      </c>
      <c r="B4626" s="2" t="s">
        <v>9361</v>
      </c>
      <c r="C4626">
        <v>20</v>
      </c>
      <c r="D4626" t="s">
        <v>79</v>
      </c>
      <c r="E4626">
        <v>22</v>
      </c>
      <c r="F4626" t="s">
        <v>9267</v>
      </c>
      <c r="G4626">
        <v>1116</v>
      </c>
      <c r="H4626">
        <v>1</v>
      </c>
      <c r="I4626" t="s">
        <v>145</v>
      </c>
      <c r="J4626">
        <v>0</v>
      </c>
      <c r="K4626">
        <v>2</v>
      </c>
      <c r="L4626">
        <v>2</v>
      </c>
      <c r="AX4626">
        <v>222</v>
      </c>
      <c r="AZ4626" t="s">
        <v>156</v>
      </c>
      <c r="BA4626">
        <v>0</v>
      </c>
      <c r="BC4626" t="s">
        <v>9362</v>
      </c>
      <c r="BD4626" s="4">
        <v>43283.736111111109</v>
      </c>
      <c r="BE4626" s="4">
        <v>43283.737569444442</v>
      </c>
      <c r="BF4626" s="4">
        <v>43283.737569444442</v>
      </c>
      <c r="BG4626" t="s">
        <v>83</v>
      </c>
      <c r="BH4626" t="s">
        <v>84</v>
      </c>
      <c r="BI4626" t="s">
        <v>85</v>
      </c>
    </row>
    <row r="4627" spans="1:61" x14ac:dyDescent="0.3">
      <c r="A4627" t="str">
        <f>"201238B0100"</f>
        <v>201238B0100</v>
      </c>
      <c r="B4627" t="s">
        <v>9363</v>
      </c>
      <c r="C4627">
        <v>20</v>
      </c>
      <c r="D4627" t="s">
        <v>79</v>
      </c>
      <c r="E4627">
        <v>22</v>
      </c>
      <c r="F4627" t="s">
        <v>9267</v>
      </c>
      <c r="G4627">
        <v>1238</v>
      </c>
      <c r="H4627">
        <v>1</v>
      </c>
      <c r="I4627" t="s">
        <v>81</v>
      </c>
      <c r="J4627">
        <v>0</v>
      </c>
      <c r="K4627">
        <v>1</v>
      </c>
      <c r="L4627">
        <v>2</v>
      </c>
      <c r="M4627">
        <v>152</v>
      </c>
      <c r="N4627">
        <v>564</v>
      </c>
      <c r="O4627">
        <v>0</v>
      </c>
      <c r="P4627">
        <v>0</v>
      </c>
      <c r="Q4627">
        <v>266</v>
      </c>
      <c r="R4627">
        <v>39</v>
      </c>
      <c r="S4627">
        <v>6</v>
      </c>
      <c r="T4627">
        <v>10</v>
      </c>
      <c r="U4627">
        <v>3</v>
      </c>
      <c r="V4627">
        <v>2</v>
      </c>
      <c r="W4627">
        <v>15</v>
      </c>
      <c r="X4627">
        <v>101</v>
      </c>
      <c r="Y4627">
        <v>71</v>
      </c>
      <c r="Z4627">
        <v>5</v>
      </c>
      <c r="AA4627">
        <v>0</v>
      </c>
      <c r="AC4627">
        <v>3</v>
      </c>
      <c r="AD4627">
        <v>0</v>
      </c>
      <c r="AE4627">
        <v>1</v>
      </c>
      <c r="AF4627">
        <v>0</v>
      </c>
      <c r="AG4627">
        <v>3</v>
      </c>
      <c r="AH4627">
        <v>0</v>
      </c>
      <c r="AI4627">
        <v>3</v>
      </c>
      <c r="AJ4627">
        <v>0</v>
      </c>
      <c r="AK4627">
        <v>2</v>
      </c>
      <c r="AL4627">
        <v>0</v>
      </c>
      <c r="AM4627">
        <v>0</v>
      </c>
      <c r="AN4627">
        <v>0</v>
      </c>
      <c r="AT4627">
        <v>0</v>
      </c>
      <c r="AU4627">
        <v>34</v>
      </c>
      <c r="AV4627">
        <v>564</v>
      </c>
      <c r="AW4627">
        <v>564</v>
      </c>
      <c r="AX4627">
        <v>694</v>
      </c>
      <c r="BA4627">
        <v>1</v>
      </c>
      <c r="BC4627" t="s">
        <v>9364</v>
      </c>
      <c r="BD4627" s="4">
        <v>43283.216666666667</v>
      </c>
      <c r="BE4627" s="4">
        <v>43283.239791666667</v>
      </c>
      <c r="BF4627" s="4">
        <v>43283.239791666667</v>
      </c>
      <c r="BG4627" t="s">
        <v>83</v>
      </c>
      <c r="BH4627" t="s">
        <v>84</v>
      </c>
      <c r="BI4627" t="s">
        <v>85</v>
      </c>
    </row>
    <row r="4628" spans="1:61" x14ac:dyDescent="0.3">
      <c r="A4628" t="str">
        <f>"201238C0100"</f>
        <v>201238C0100</v>
      </c>
      <c r="B4628" t="s">
        <v>9365</v>
      </c>
      <c r="C4628">
        <v>20</v>
      </c>
      <c r="D4628" t="s">
        <v>79</v>
      </c>
      <c r="E4628">
        <v>22</v>
      </c>
      <c r="F4628" t="s">
        <v>9267</v>
      </c>
      <c r="G4628">
        <v>1238</v>
      </c>
      <c r="H4628">
        <v>1</v>
      </c>
      <c r="I4628" t="s">
        <v>89</v>
      </c>
      <c r="J4628">
        <v>0</v>
      </c>
      <c r="K4628">
        <v>1</v>
      </c>
      <c r="L4628">
        <v>2</v>
      </c>
      <c r="M4628">
        <v>156</v>
      </c>
      <c r="N4628">
        <v>559</v>
      </c>
      <c r="O4628">
        <v>0</v>
      </c>
      <c r="P4628">
        <v>558</v>
      </c>
      <c r="Q4628">
        <v>223</v>
      </c>
      <c r="R4628">
        <v>57</v>
      </c>
      <c r="S4628">
        <v>4</v>
      </c>
      <c r="T4628">
        <v>7</v>
      </c>
      <c r="U4628">
        <v>5</v>
      </c>
      <c r="V4628">
        <v>3</v>
      </c>
      <c r="W4628">
        <v>16</v>
      </c>
      <c r="X4628">
        <v>106</v>
      </c>
      <c r="Y4628">
        <v>99</v>
      </c>
      <c r="Z4628">
        <v>5</v>
      </c>
      <c r="AA4628">
        <v>0</v>
      </c>
      <c r="AC4628">
        <v>1</v>
      </c>
      <c r="AD4628">
        <v>1</v>
      </c>
      <c r="AE4628">
        <v>0</v>
      </c>
      <c r="AF4628">
        <v>0</v>
      </c>
      <c r="AG4628">
        <v>1</v>
      </c>
      <c r="AH4628">
        <v>0</v>
      </c>
      <c r="AI4628">
        <v>3</v>
      </c>
      <c r="AJ4628">
        <v>0</v>
      </c>
      <c r="AK4628">
        <v>1</v>
      </c>
      <c r="AL4628">
        <v>1</v>
      </c>
      <c r="AM4628">
        <v>0</v>
      </c>
      <c r="AN4628">
        <v>0</v>
      </c>
      <c r="AT4628">
        <v>1</v>
      </c>
      <c r="AU4628">
        <v>24</v>
      </c>
      <c r="AV4628">
        <v>558</v>
      </c>
      <c r="AW4628">
        <v>558</v>
      </c>
      <c r="AX4628">
        <v>693</v>
      </c>
      <c r="BA4628">
        <v>1</v>
      </c>
      <c r="BC4628" t="s">
        <v>9366</v>
      </c>
      <c r="BD4628" s="4">
        <v>43283.215277777781</v>
      </c>
      <c r="BE4628" s="4">
        <v>43283.26630787037</v>
      </c>
      <c r="BF4628" s="4">
        <v>43283.26630787037</v>
      </c>
      <c r="BG4628" t="s">
        <v>83</v>
      </c>
      <c r="BH4628" t="s">
        <v>84</v>
      </c>
      <c r="BI4628" t="s">
        <v>85</v>
      </c>
    </row>
    <row r="4629" spans="1:61" x14ac:dyDescent="0.3">
      <c r="A4629" t="str">
        <f>"201239B0100"</f>
        <v>201239B0100</v>
      </c>
      <c r="B4629" t="s">
        <v>9367</v>
      </c>
      <c r="C4629">
        <v>20</v>
      </c>
      <c r="D4629" t="s">
        <v>79</v>
      </c>
      <c r="E4629">
        <v>22</v>
      </c>
      <c r="F4629" t="s">
        <v>9267</v>
      </c>
      <c r="G4629">
        <v>1239</v>
      </c>
      <c r="H4629">
        <v>1</v>
      </c>
      <c r="I4629" t="s">
        <v>81</v>
      </c>
      <c r="J4629">
        <v>0</v>
      </c>
      <c r="K4629">
        <v>2</v>
      </c>
      <c r="L4629">
        <v>2</v>
      </c>
      <c r="M4629">
        <v>122</v>
      </c>
      <c r="N4629">
        <v>543</v>
      </c>
      <c r="O4629">
        <v>0</v>
      </c>
      <c r="P4629">
        <v>543</v>
      </c>
      <c r="Q4629">
        <v>284</v>
      </c>
      <c r="R4629">
        <v>39</v>
      </c>
      <c r="S4629">
        <v>24</v>
      </c>
      <c r="T4629">
        <v>7</v>
      </c>
      <c r="U4629">
        <v>4</v>
      </c>
      <c r="V4629">
        <v>3</v>
      </c>
      <c r="W4629">
        <v>2</v>
      </c>
      <c r="X4629">
        <v>2</v>
      </c>
      <c r="Y4629">
        <v>41</v>
      </c>
      <c r="Z4629">
        <v>1</v>
      </c>
      <c r="AA4629">
        <v>0</v>
      </c>
      <c r="AC4629">
        <v>0</v>
      </c>
      <c r="AD4629">
        <v>0</v>
      </c>
      <c r="AE4629">
        <v>0</v>
      </c>
      <c r="AF4629">
        <v>3</v>
      </c>
      <c r="AG4629">
        <v>1</v>
      </c>
      <c r="AH4629">
        <v>2</v>
      </c>
      <c r="AI4629">
        <v>2</v>
      </c>
      <c r="AJ4629">
        <v>2</v>
      </c>
      <c r="AK4629">
        <v>0</v>
      </c>
      <c r="AL4629">
        <v>0</v>
      </c>
      <c r="AM4629">
        <v>0</v>
      </c>
      <c r="AN4629">
        <v>0</v>
      </c>
      <c r="AT4629">
        <v>0</v>
      </c>
      <c r="AU4629">
        <v>28</v>
      </c>
      <c r="AV4629">
        <v>543</v>
      </c>
      <c r="AW4629">
        <v>445</v>
      </c>
      <c r="AX4629">
        <v>644</v>
      </c>
      <c r="BA4629">
        <v>1</v>
      </c>
      <c r="BC4629" t="s">
        <v>9368</v>
      </c>
      <c r="BD4629" s="4">
        <v>43283.214583333334</v>
      </c>
      <c r="BE4629" s="4">
        <v>43283.249479166669</v>
      </c>
      <c r="BF4629" s="4">
        <v>43283.249479166669</v>
      </c>
      <c r="BG4629" t="s">
        <v>83</v>
      </c>
      <c r="BH4629" t="s">
        <v>84</v>
      </c>
      <c r="BI4629" t="s">
        <v>85</v>
      </c>
    </row>
    <row r="4630" spans="1:61" x14ac:dyDescent="0.3">
      <c r="A4630" t="str">
        <f>"201239C0100"</f>
        <v>201239C0100</v>
      </c>
      <c r="B4630" t="s">
        <v>9369</v>
      </c>
      <c r="C4630">
        <v>20</v>
      </c>
      <c r="D4630" t="s">
        <v>79</v>
      </c>
      <c r="E4630">
        <v>22</v>
      </c>
      <c r="F4630" t="s">
        <v>9267</v>
      </c>
      <c r="G4630">
        <v>1239</v>
      </c>
      <c r="H4630">
        <v>1</v>
      </c>
      <c r="I4630" t="s">
        <v>89</v>
      </c>
      <c r="J4630">
        <v>0</v>
      </c>
      <c r="K4630">
        <v>2</v>
      </c>
      <c r="L4630">
        <v>2</v>
      </c>
      <c r="M4630">
        <v>132</v>
      </c>
      <c r="N4630">
        <v>533</v>
      </c>
      <c r="O4630">
        <v>0</v>
      </c>
      <c r="P4630">
        <v>533</v>
      </c>
      <c r="Q4630">
        <v>271</v>
      </c>
      <c r="R4630">
        <v>39</v>
      </c>
      <c r="S4630">
        <v>13</v>
      </c>
      <c r="T4630">
        <v>2</v>
      </c>
      <c r="U4630">
        <v>2</v>
      </c>
      <c r="V4630">
        <v>2</v>
      </c>
      <c r="W4630">
        <v>4</v>
      </c>
      <c r="X4630">
        <v>104</v>
      </c>
      <c r="Y4630">
        <v>57</v>
      </c>
      <c r="Z4630">
        <v>2</v>
      </c>
      <c r="AA4630">
        <v>0</v>
      </c>
      <c r="AC4630">
        <v>4</v>
      </c>
      <c r="AD4630">
        <v>1</v>
      </c>
      <c r="AE4630">
        <v>0</v>
      </c>
      <c r="AF4630">
        <v>0</v>
      </c>
      <c r="AG4630">
        <v>3</v>
      </c>
      <c r="AH4630">
        <v>0</v>
      </c>
      <c r="AI4630">
        <v>2</v>
      </c>
      <c r="AJ4630">
        <v>0</v>
      </c>
      <c r="AK4630">
        <v>0</v>
      </c>
      <c r="AL4630">
        <v>0</v>
      </c>
      <c r="AM4630">
        <v>0</v>
      </c>
      <c r="AN4630">
        <v>0</v>
      </c>
      <c r="AT4630">
        <v>0</v>
      </c>
      <c r="AU4630">
        <v>26</v>
      </c>
      <c r="AV4630">
        <v>533</v>
      </c>
      <c r="AW4630">
        <v>532</v>
      </c>
      <c r="AX4630">
        <v>643</v>
      </c>
      <c r="BA4630">
        <v>1</v>
      </c>
      <c r="BC4630" t="s">
        <v>9370</v>
      </c>
      <c r="BD4630" s="4">
        <v>43283.214583333334</v>
      </c>
      <c r="BE4630" s="4">
        <v>43283.254224537035</v>
      </c>
      <c r="BF4630" s="4">
        <v>43283.254224537035</v>
      </c>
      <c r="BG4630" t="s">
        <v>83</v>
      </c>
      <c r="BH4630" t="s">
        <v>84</v>
      </c>
      <c r="BI4630" t="s">
        <v>85</v>
      </c>
    </row>
    <row r="4631" spans="1:61" x14ac:dyDescent="0.3">
      <c r="A4631" t="str">
        <f>"201240B0100"</f>
        <v>201240B0100</v>
      </c>
      <c r="B4631" t="s">
        <v>9371</v>
      </c>
      <c r="C4631">
        <v>20</v>
      </c>
      <c r="D4631" t="s">
        <v>79</v>
      </c>
      <c r="E4631">
        <v>22</v>
      </c>
      <c r="F4631" t="s">
        <v>9267</v>
      </c>
      <c r="G4631">
        <v>1240</v>
      </c>
      <c r="H4631">
        <v>1</v>
      </c>
      <c r="I4631" t="s">
        <v>81</v>
      </c>
      <c r="J4631">
        <v>0</v>
      </c>
      <c r="K4631">
        <v>2</v>
      </c>
      <c r="L4631">
        <v>2</v>
      </c>
      <c r="M4631">
        <v>140</v>
      </c>
      <c r="N4631">
        <v>509</v>
      </c>
      <c r="O4631">
        <v>0</v>
      </c>
      <c r="P4631">
        <v>509</v>
      </c>
      <c r="Q4631">
        <v>187</v>
      </c>
      <c r="R4631">
        <v>12</v>
      </c>
      <c r="S4631">
        <v>53</v>
      </c>
      <c r="T4631">
        <v>0</v>
      </c>
      <c r="U4631">
        <v>5</v>
      </c>
      <c r="V4631">
        <v>0</v>
      </c>
      <c r="W4631">
        <v>0</v>
      </c>
      <c r="X4631">
        <v>64</v>
      </c>
      <c r="Y4631">
        <v>169</v>
      </c>
      <c r="Z4631">
        <v>5</v>
      </c>
      <c r="AA4631">
        <v>0</v>
      </c>
      <c r="AC4631">
        <v>1</v>
      </c>
      <c r="AD4631">
        <v>1</v>
      </c>
      <c r="AE4631">
        <v>0</v>
      </c>
      <c r="AF4631">
        <v>0</v>
      </c>
      <c r="AG4631">
        <v>0</v>
      </c>
      <c r="AH4631">
        <v>0</v>
      </c>
      <c r="AI4631">
        <v>0</v>
      </c>
      <c r="AJ4631">
        <v>0</v>
      </c>
      <c r="AK4631">
        <v>2</v>
      </c>
      <c r="AL4631">
        <v>0</v>
      </c>
      <c r="AM4631">
        <v>0</v>
      </c>
      <c r="AN4631">
        <v>0</v>
      </c>
      <c r="AT4631">
        <v>0</v>
      </c>
      <c r="AU4631">
        <v>10</v>
      </c>
      <c r="AV4631">
        <v>509</v>
      </c>
      <c r="AW4631">
        <v>509</v>
      </c>
      <c r="AX4631">
        <v>627</v>
      </c>
      <c r="BA4631">
        <v>1</v>
      </c>
      <c r="BC4631" t="s">
        <v>9372</v>
      </c>
      <c r="BD4631" s="4">
        <v>43283.220833333333</v>
      </c>
      <c r="BE4631" s="4">
        <v>43283.259259259263</v>
      </c>
      <c r="BF4631" s="4">
        <v>43283.259259259263</v>
      </c>
      <c r="BG4631" t="s">
        <v>83</v>
      </c>
      <c r="BH4631" t="s">
        <v>84</v>
      </c>
      <c r="BI4631" t="s">
        <v>85</v>
      </c>
    </row>
    <row r="4632" spans="1:61" x14ac:dyDescent="0.3">
      <c r="A4632" t="str">
        <f>"201240C0100"</f>
        <v>201240C0100</v>
      </c>
      <c r="B4632" t="s">
        <v>9373</v>
      </c>
      <c r="C4632">
        <v>20</v>
      </c>
      <c r="D4632" t="s">
        <v>79</v>
      </c>
      <c r="E4632">
        <v>22</v>
      </c>
      <c r="F4632" t="s">
        <v>9267</v>
      </c>
      <c r="G4632">
        <v>1240</v>
      </c>
      <c r="H4632">
        <v>1</v>
      </c>
      <c r="I4632" t="s">
        <v>89</v>
      </c>
      <c r="J4632">
        <v>0</v>
      </c>
      <c r="K4632">
        <v>2</v>
      </c>
      <c r="L4632">
        <v>2</v>
      </c>
      <c r="M4632">
        <v>123</v>
      </c>
      <c r="N4632">
        <v>525</v>
      </c>
      <c r="O4632">
        <v>0</v>
      </c>
      <c r="P4632">
        <v>525</v>
      </c>
      <c r="Q4632">
        <v>209</v>
      </c>
      <c r="R4632">
        <v>15</v>
      </c>
      <c r="S4632">
        <v>65</v>
      </c>
      <c r="T4632">
        <v>2</v>
      </c>
      <c r="U4632">
        <v>2</v>
      </c>
      <c r="V4632">
        <v>1</v>
      </c>
      <c r="W4632">
        <v>2</v>
      </c>
      <c r="X4632">
        <v>89</v>
      </c>
      <c r="Y4632">
        <v>114</v>
      </c>
      <c r="Z4632">
        <v>5</v>
      </c>
      <c r="AA4632">
        <v>1</v>
      </c>
      <c r="AC4632">
        <v>3</v>
      </c>
      <c r="AD4632">
        <v>3</v>
      </c>
      <c r="AE4632">
        <v>0</v>
      </c>
      <c r="AF4632">
        <v>0</v>
      </c>
      <c r="AG4632">
        <v>1</v>
      </c>
      <c r="AH4632">
        <v>0</v>
      </c>
      <c r="AI4632">
        <v>2</v>
      </c>
      <c r="AJ4632">
        <v>0</v>
      </c>
      <c r="AK4632">
        <v>1</v>
      </c>
      <c r="AL4632">
        <v>0</v>
      </c>
      <c r="AM4632" t="s">
        <v>315</v>
      </c>
      <c r="AN4632">
        <v>0</v>
      </c>
      <c r="AT4632">
        <v>0</v>
      </c>
      <c r="AU4632">
        <v>10</v>
      </c>
      <c r="AV4632">
        <v>525</v>
      </c>
      <c r="AW4632">
        <v>525</v>
      </c>
      <c r="AX4632">
        <v>626</v>
      </c>
      <c r="AZ4632" t="s">
        <v>101</v>
      </c>
      <c r="BA4632">
        <v>1</v>
      </c>
      <c r="BC4632" t="s">
        <v>9374</v>
      </c>
      <c r="BD4632" s="4">
        <v>43283.220833333333</v>
      </c>
      <c r="BE4632" s="4">
        <v>43283.27140046296</v>
      </c>
      <c r="BF4632" s="4">
        <v>43283.27140046296</v>
      </c>
      <c r="BG4632" t="s">
        <v>83</v>
      </c>
      <c r="BH4632" t="s">
        <v>84</v>
      </c>
      <c r="BI4632" t="s">
        <v>85</v>
      </c>
    </row>
    <row r="4633" spans="1:61" x14ac:dyDescent="0.3">
      <c r="A4633" t="str">
        <f>"201409B0100"</f>
        <v>201409B0100</v>
      </c>
      <c r="B4633" t="s">
        <v>9375</v>
      </c>
      <c r="C4633">
        <v>20</v>
      </c>
      <c r="D4633" t="s">
        <v>79</v>
      </c>
      <c r="E4633">
        <v>22</v>
      </c>
      <c r="F4633" t="s">
        <v>9267</v>
      </c>
      <c r="G4633">
        <v>1409</v>
      </c>
      <c r="H4633">
        <v>1</v>
      </c>
      <c r="I4633" t="s">
        <v>81</v>
      </c>
      <c r="J4633">
        <v>0</v>
      </c>
      <c r="K4633">
        <v>1</v>
      </c>
      <c r="L4633">
        <v>2</v>
      </c>
      <c r="M4633">
        <v>99</v>
      </c>
      <c r="N4633">
        <v>445</v>
      </c>
      <c r="O4633">
        <v>1</v>
      </c>
      <c r="P4633">
        <v>445</v>
      </c>
      <c r="Q4633">
        <v>3</v>
      </c>
      <c r="R4633">
        <v>135</v>
      </c>
      <c r="S4633">
        <v>94</v>
      </c>
      <c r="T4633">
        <v>2</v>
      </c>
      <c r="U4633">
        <v>1</v>
      </c>
      <c r="V4633">
        <v>8</v>
      </c>
      <c r="W4633">
        <v>75</v>
      </c>
      <c r="X4633">
        <v>3</v>
      </c>
      <c r="Y4633">
        <v>74</v>
      </c>
      <c r="Z4633">
        <v>0</v>
      </c>
      <c r="AA4633">
        <v>17</v>
      </c>
      <c r="AC4633">
        <v>0</v>
      </c>
      <c r="AD4633">
        <v>0</v>
      </c>
      <c r="AE4633">
        <v>0</v>
      </c>
      <c r="AF4633">
        <v>0</v>
      </c>
      <c r="AG4633">
        <v>1</v>
      </c>
      <c r="AH4633">
        <v>1</v>
      </c>
      <c r="AI4633">
        <v>0</v>
      </c>
      <c r="AJ4633">
        <v>0</v>
      </c>
      <c r="AK4633">
        <v>0</v>
      </c>
      <c r="AL4633">
        <v>1</v>
      </c>
      <c r="AM4633">
        <v>0</v>
      </c>
      <c r="AN4633">
        <v>0</v>
      </c>
      <c r="AT4633">
        <v>0</v>
      </c>
      <c r="AU4633">
        <v>29</v>
      </c>
      <c r="AV4633">
        <v>444</v>
      </c>
      <c r="AW4633">
        <v>444</v>
      </c>
      <c r="AX4633">
        <v>522</v>
      </c>
      <c r="BA4633">
        <v>1</v>
      </c>
      <c r="BC4633" t="s">
        <v>9376</v>
      </c>
      <c r="BD4633" s="4">
        <v>43283.283333333333</v>
      </c>
      <c r="BE4633" s="4">
        <v>43283.310995370368</v>
      </c>
      <c r="BF4633" s="4">
        <v>43283.310995370368</v>
      </c>
      <c r="BG4633" t="s">
        <v>83</v>
      </c>
      <c r="BH4633" t="s">
        <v>84</v>
      </c>
      <c r="BI4633" t="s">
        <v>85</v>
      </c>
    </row>
    <row r="4634" spans="1:61" x14ac:dyDescent="0.3">
      <c r="A4634" t="str">
        <f>"201409C0100"</f>
        <v>201409C0100</v>
      </c>
      <c r="B4634" t="s">
        <v>9377</v>
      </c>
      <c r="C4634">
        <v>20</v>
      </c>
      <c r="D4634" t="s">
        <v>79</v>
      </c>
      <c r="E4634">
        <v>22</v>
      </c>
      <c r="F4634" t="s">
        <v>9267</v>
      </c>
      <c r="G4634">
        <v>1409</v>
      </c>
      <c r="H4634">
        <v>1</v>
      </c>
      <c r="I4634" t="s">
        <v>89</v>
      </c>
      <c r="J4634">
        <v>0</v>
      </c>
      <c r="K4634">
        <v>1</v>
      </c>
      <c r="L4634">
        <v>2</v>
      </c>
      <c r="M4634">
        <v>111</v>
      </c>
      <c r="N4634">
        <v>433</v>
      </c>
      <c r="O4634">
        <v>4</v>
      </c>
      <c r="P4634">
        <v>433</v>
      </c>
      <c r="Q4634">
        <v>5</v>
      </c>
      <c r="R4634">
        <v>82</v>
      </c>
      <c r="S4634">
        <v>102</v>
      </c>
      <c r="T4634">
        <v>4</v>
      </c>
      <c r="U4634">
        <v>6</v>
      </c>
      <c r="V4634">
        <v>1</v>
      </c>
      <c r="W4634">
        <v>81</v>
      </c>
      <c r="X4634">
        <v>1</v>
      </c>
      <c r="Y4634">
        <v>69</v>
      </c>
      <c r="Z4634">
        <v>1</v>
      </c>
      <c r="AA4634">
        <v>27</v>
      </c>
      <c r="AC4634">
        <v>2</v>
      </c>
      <c r="AD4634">
        <v>0</v>
      </c>
      <c r="AE4634">
        <v>1</v>
      </c>
      <c r="AF4634">
        <v>0</v>
      </c>
      <c r="AG4634">
        <v>4</v>
      </c>
      <c r="AH4634">
        <v>5</v>
      </c>
      <c r="AI4634">
        <v>0</v>
      </c>
      <c r="AJ4634">
        <v>0</v>
      </c>
      <c r="AK4634">
        <v>0</v>
      </c>
      <c r="AL4634">
        <v>0</v>
      </c>
      <c r="AM4634">
        <v>0</v>
      </c>
      <c r="AN4634">
        <v>0</v>
      </c>
      <c r="AT4634">
        <v>0</v>
      </c>
      <c r="AU4634">
        <v>42</v>
      </c>
      <c r="AV4634">
        <v>433</v>
      </c>
      <c r="AW4634">
        <v>433</v>
      </c>
      <c r="AX4634">
        <v>522</v>
      </c>
      <c r="BA4634">
        <v>1</v>
      </c>
      <c r="BC4634" t="s">
        <v>9378</v>
      </c>
      <c r="BD4634" s="4">
        <v>43283.281944444447</v>
      </c>
      <c r="BE4634" s="4">
        <v>43283.309965277775</v>
      </c>
      <c r="BF4634" s="4">
        <v>43283.309965277775</v>
      </c>
      <c r="BG4634" t="s">
        <v>83</v>
      </c>
      <c r="BH4634" t="s">
        <v>84</v>
      </c>
      <c r="BI4634" t="s">
        <v>85</v>
      </c>
    </row>
    <row r="4635" spans="1:61" x14ac:dyDescent="0.3">
      <c r="A4635" t="str">
        <f>"201409C0200"</f>
        <v>201409C0200</v>
      </c>
      <c r="B4635" t="s">
        <v>9379</v>
      </c>
      <c r="C4635">
        <v>20</v>
      </c>
      <c r="D4635" t="s">
        <v>79</v>
      </c>
      <c r="E4635">
        <v>22</v>
      </c>
      <c r="F4635" t="s">
        <v>9267</v>
      </c>
      <c r="G4635">
        <v>1409</v>
      </c>
      <c r="H4635">
        <v>2</v>
      </c>
      <c r="I4635" t="s">
        <v>89</v>
      </c>
      <c r="J4635">
        <v>0</v>
      </c>
      <c r="K4635">
        <v>1</v>
      </c>
      <c r="L4635">
        <v>2</v>
      </c>
      <c r="M4635">
        <v>97</v>
      </c>
      <c r="N4635">
        <v>446</v>
      </c>
      <c r="O4635">
        <v>2</v>
      </c>
      <c r="P4635">
        <v>446</v>
      </c>
      <c r="Q4635">
        <v>5</v>
      </c>
      <c r="R4635">
        <v>134</v>
      </c>
      <c r="S4635">
        <v>101</v>
      </c>
      <c r="T4635">
        <v>2</v>
      </c>
      <c r="U4635">
        <v>2</v>
      </c>
      <c r="V4635">
        <v>1</v>
      </c>
      <c r="W4635">
        <v>74</v>
      </c>
      <c r="X4635">
        <v>5</v>
      </c>
      <c r="Y4635">
        <v>58</v>
      </c>
      <c r="Z4635">
        <v>3</v>
      </c>
      <c r="AA4635">
        <v>21</v>
      </c>
      <c r="AC4635">
        <v>0</v>
      </c>
      <c r="AD4635">
        <v>2</v>
      </c>
      <c r="AE4635">
        <v>0</v>
      </c>
      <c r="AF4635">
        <v>0</v>
      </c>
      <c r="AG4635">
        <v>0</v>
      </c>
      <c r="AH4635">
        <v>2</v>
      </c>
      <c r="AI4635">
        <v>0</v>
      </c>
      <c r="AJ4635">
        <v>0</v>
      </c>
      <c r="AK4635">
        <v>2</v>
      </c>
      <c r="AL4635">
        <v>0</v>
      </c>
      <c r="AM4635">
        <v>0</v>
      </c>
      <c r="AN4635">
        <v>0</v>
      </c>
      <c r="AT4635">
        <v>0</v>
      </c>
      <c r="AU4635">
        <v>35</v>
      </c>
      <c r="AV4635">
        <v>447</v>
      </c>
      <c r="AW4635">
        <v>447</v>
      </c>
      <c r="AX4635">
        <v>521</v>
      </c>
      <c r="BA4635">
        <v>1</v>
      </c>
      <c r="BC4635" t="s">
        <v>9380</v>
      </c>
      <c r="BD4635" s="4">
        <v>43283.288194444445</v>
      </c>
      <c r="BE4635" s="4">
        <v>43283.315891203703</v>
      </c>
      <c r="BF4635" s="4">
        <v>43283.315891203703</v>
      </c>
      <c r="BG4635" t="s">
        <v>83</v>
      </c>
      <c r="BH4635" t="s">
        <v>84</v>
      </c>
      <c r="BI4635" t="s">
        <v>85</v>
      </c>
    </row>
    <row r="4636" spans="1:61" x14ac:dyDescent="0.3">
      <c r="A4636" t="str">
        <f>"201410B0100"</f>
        <v>201410B0100</v>
      </c>
      <c r="B4636" t="s">
        <v>9381</v>
      </c>
      <c r="C4636">
        <v>20</v>
      </c>
      <c r="D4636" t="s">
        <v>79</v>
      </c>
      <c r="E4636">
        <v>22</v>
      </c>
      <c r="F4636" t="s">
        <v>9267</v>
      </c>
      <c r="G4636">
        <v>1410</v>
      </c>
      <c r="H4636">
        <v>1</v>
      </c>
      <c r="I4636" t="s">
        <v>81</v>
      </c>
      <c r="J4636">
        <v>0</v>
      </c>
      <c r="K4636">
        <v>2</v>
      </c>
      <c r="L4636">
        <v>2</v>
      </c>
      <c r="M4636">
        <v>108</v>
      </c>
      <c r="N4636">
        <v>389</v>
      </c>
      <c r="O4636">
        <v>8</v>
      </c>
      <c r="P4636">
        <v>389</v>
      </c>
      <c r="Q4636">
        <v>6</v>
      </c>
      <c r="R4636">
        <v>161</v>
      </c>
      <c r="S4636">
        <v>61</v>
      </c>
      <c r="T4636">
        <v>3</v>
      </c>
      <c r="U4636">
        <v>5</v>
      </c>
      <c r="V4636">
        <v>1</v>
      </c>
      <c r="W4636">
        <v>37</v>
      </c>
      <c r="X4636">
        <v>4</v>
      </c>
      <c r="Y4636">
        <v>52</v>
      </c>
      <c r="Z4636">
        <v>1</v>
      </c>
      <c r="AA4636">
        <v>18</v>
      </c>
      <c r="AC4636" t="s">
        <v>100</v>
      </c>
      <c r="AD4636" t="s">
        <v>100</v>
      </c>
      <c r="AE4636" t="s">
        <v>100</v>
      </c>
      <c r="AF4636">
        <v>1</v>
      </c>
      <c r="AG4636" t="s">
        <v>100</v>
      </c>
      <c r="AH4636" t="s">
        <v>100</v>
      </c>
      <c r="AI4636" t="s">
        <v>100</v>
      </c>
      <c r="AJ4636" t="s">
        <v>100</v>
      </c>
      <c r="AK4636">
        <v>1</v>
      </c>
      <c r="AL4636" t="s">
        <v>100</v>
      </c>
      <c r="AM4636" t="s">
        <v>100</v>
      </c>
      <c r="AN4636" t="s">
        <v>100</v>
      </c>
      <c r="AT4636" t="s">
        <v>100</v>
      </c>
      <c r="AU4636">
        <v>38</v>
      </c>
      <c r="AV4636">
        <v>389</v>
      </c>
      <c r="AW4636">
        <v>389</v>
      </c>
      <c r="AX4636">
        <v>475</v>
      </c>
      <c r="AZ4636" t="s">
        <v>101</v>
      </c>
      <c r="BA4636">
        <v>1</v>
      </c>
      <c r="BC4636" t="s">
        <v>9382</v>
      </c>
      <c r="BD4636" s="4">
        <v>43283.302083333336</v>
      </c>
      <c r="BE4636" s="4">
        <v>43283.32880787037</v>
      </c>
      <c r="BF4636" s="4">
        <v>43283.32880787037</v>
      </c>
      <c r="BG4636" t="s">
        <v>83</v>
      </c>
      <c r="BH4636" t="s">
        <v>84</v>
      </c>
      <c r="BI4636" t="s">
        <v>85</v>
      </c>
    </row>
    <row r="4637" spans="1:61" x14ac:dyDescent="0.3">
      <c r="A4637" t="str">
        <f>"201410C0100"</f>
        <v>201410C0100</v>
      </c>
      <c r="B4637" t="s">
        <v>9383</v>
      </c>
      <c r="C4637">
        <v>20</v>
      </c>
      <c r="D4637" t="s">
        <v>79</v>
      </c>
      <c r="E4637">
        <v>22</v>
      </c>
      <c r="F4637" t="s">
        <v>9267</v>
      </c>
      <c r="G4637">
        <v>1410</v>
      </c>
      <c r="H4637">
        <v>1</v>
      </c>
      <c r="I4637" t="s">
        <v>89</v>
      </c>
      <c r="J4637">
        <v>0</v>
      </c>
      <c r="K4637">
        <v>2</v>
      </c>
      <c r="L4637">
        <v>2</v>
      </c>
      <c r="M4637">
        <v>140</v>
      </c>
      <c r="N4637">
        <v>356</v>
      </c>
      <c r="O4637">
        <v>6</v>
      </c>
      <c r="P4637">
        <v>356</v>
      </c>
      <c r="Q4637">
        <v>0</v>
      </c>
      <c r="R4637">
        <v>152</v>
      </c>
      <c r="S4637">
        <v>50</v>
      </c>
      <c r="T4637">
        <v>1</v>
      </c>
      <c r="U4637">
        <v>3</v>
      </c>
      <c r="V4637">
        <v>0</v>
      </c>
      <c r="W4637">
        <v>33</v>
      </c>
      <c r="X4637">
        <v>0</v>
      </c>
      <c r="Y4637">
        <v>50</v>
      </c>
      <c r="Z4637">
        <v>4</v>
      </c>
      <c r="AA4637">
        <v>34</v>
      </c>
      <c r="AC4637">
        <v>0</v>
      </c>
      <c r="AD4637">
        <v>1</v>
      </c>
      <c r="AE4637">
        <v>0</v>
      </c>
      <c r="AF4637">
        <v>0</v>
      </c>
      <c r="AG4637">
        <v>1</v>
      </c>
      <c r="AH4637">
        <v>0</v>
      </c>
      <c r="AI4637">
        <v>0</v>
      </c>
      <c r="AJ4637">
        <v>0</v>
      </c>
      <c r="AK4637">
        <v>0</v>
      </c>
      <c r="AL4637">
        <v>0</v>
      </c>
      <c r="AM4637">
        <v>0</v>
      </c>
      <c r="AN4637">
        <v>0</v>
      </c>
      <c r="AT4637">
        <v>0</v>
      </c>
      <c r="AU4637">
        <v>27</v>
      </c>
      <c r="AV4637">
        <v>356</v>
      </c>
      <c r="AW4637">
        <v>356</v>
      </c>
      <c r="AX4637">
        <v>474</v>
      </c>
      <c r="BA4637">
        <v>1</v>
      </c>
      <c r="BC4637" t="s">
        <v>9384</v>
      </c>
      <c r="BD4637" s="4">
        <v>43283.291666666664</v>
      </c>
      <c r="BE4637" s="4">
        <v>43283.317708333336</v>
      </c>
      <c r="BF4637" s="4">
        <v>43283.317708333336</v>
      </c>
      <c r="BG4637" t="s">
        <v>83</v>
      </c>
      <c r="BH4637" t="s">
        <v>84</v>
      </c>
      <c r="BI4637" t="s">
        <v>85</v>
      </c>
    </row>
    <row r="4638" spans="1:61" x14ac:dyDescent="0.3">
      <c r="A4638" t="str">
        <f>"201454B0100"</f>
        <v>201454B0100</v>
      </c>
      <c r="B4638" t="s">
        <v>9385</v>
      </c>
      <c r="C4638">
        <v>20</v>
      </c>
      <c r="D4638" t="s">
        <v>79</v>
      </c>
      <c r="E4638">
        <v>22</v>
      </c>
      <c r="F4638" t="s">
        <v>9267</v>
      </c>
      <c r="G4638">
        <v>1454</v>
      </c>
      <c r="H4638">
        <v>1</v>
      </c>
      <c r="I4638" t="s">
        <v>81</v>
      </c>
      <c r="J4638">
        <v>0</v>
      </c>
      <c r="K4638">
        <v>2</v>
      </c>
      <c r="L4638">
        <v>2</v>
      </c>
      <c r="M4638">
        <v>113</v>
      </c>
      <c r="N4638">
        <v>381</v>
      </c>
      <c r="O4638">
        <v>0</v>
      </c>
      <c r="P4638">
        <v>381</v>
      </c>
      <c r="Q4638">
        <v>3</v>
      </c>
      <c r="R4638">
        <v>5</v>
      </c>
      <c r="S4638">
        <v>164</v>
      </c>
      <c r="T4638">
        <v>3</v>
      </c>
      <c r="U4638">
        <v>1</v>
      </c>
      <c r="V4638" t="s">
        <v>100</v>
      </c>
      <c r="W4638">
        <v>4</v>
      </c>
      <c r="X4638">
        <v>142</v>
      </c>
      <c r="Y4638">
        <v>41</v>
      </c>
      <c r="Z4638" t="s">
        <v>100</v>
      </c>
      <c r="AA4638" t="s">
        <v>100</v>
      </c>
      <c r="AC4638" t="s">
        <v>100</v>
      </c>
      <c r="AD4638">
        <v>1</v>
      </c>
      <c r="AE4638" t="s">
        <v>100</v>
      </c>
      <c r="AF4638" t="s">
        <v>100</v>
      </c>
      <c r="AG4638" t="s">
        <v>100</v>
      </c>
      <c r="AH4638" t="s">
        <v>100</v>
      </c>
      <c r="AI4638" t="s">
        <v>100</v>
      </c>
      <c r="AJ4638">
        <v>1</v>
      </c>
      <c r="AK4638" t="s">
        <v>100</v>
      </c>
      <c r="AL4638" t="s">
        <v>100</v>
      </c>
      <c r="AM4638">
        <v>1</v>
      </c>
      <c r="AN4638">
        <v>1</v>
      </c>
      <c r="AT4638" t="s">
        <v>100</v>
      </c>
      <c r="AU4638">
        <v>14</v>
      </c>
      <c r="AV4638">
        <v>381</v>
      </c>
      <c r="AW4638">
        <v>381</v>
      </c>
      <c r="AX4638">
        <v>472</v>
      </c>
      <c r="AZ4638" t="s">
        <v>101</v>
      </c>
      <c r="BA4638">
        <v>1</v>
      </c>
      <c r="BC4638" s="2" t="s">
        <v>9386</v>
      </c>
      <c r="BD4638" s="4">
        <v>43283.302083333336</v>
      </c>
      <c r="BE4638" s="4">
        <v>43283.331111111111</v>
      </c>
      <c r="BF4638" s="4">
        <v>43283.331111111111</v>
      </c>
      <c r="BG4638" t="s">
        <v>83</v>
      </c>
      <c r="BH4638" t="s">
        <v>84</v>
      </c>
      <c r="BI4638" t="s">
        <v>85</v>
      </c>
    </row>
    <row r="4639" spans="1:61" x14ac:dyDescent="0.3">
      <c r="A4639" t="str">
        <f>"201454C0100"</f>
        <v>201454C0100</v>
      </c>
      <c r="B4639" t="s">
        <v>9387</v>
      </c>
      <c r="C4639">
        <v>20</v>
      </c>
      <c r="D4639" t="s">
        <v>79</v>
      </c>
      <c r="E4639">
        <v>22</v>
      </c>
      <c r="F4639" t="s">
        <v>9267</v>
      </c>
      <c r="G4639">
        <v>1454</v>
      </c>
      <c r="H4639">
        <v>1</v>
      </c>
      <c r="I4639" t="s">
        <v>89</v>
      </c>
      <c r="J4639">
        <v>0</v>
      </c>
      <c r="K4639">
        <v>2</v>
      </c>
      <c r="L4639">
        <v>2</v>
      </c>
      <c r="M4639">
        <v>123</v>
      </c>
      <c r="N4639">
        <v>383</v>
      </c>
      <c r="O4639">
        <v>7</v>
      </c>
      <c r="P4639" t="s">
        <v>100</v>
      </c>
      <c r="Q4639">
        <v>4</v>
      </c>
      <c r="R4639">
        <v>4</v>
      </c>
      <c r="S4639">
        <v>173</v>
      </c>
      <c r="T4639">
        <v>3</v>
      </c>
      <c r="U4639">
        <v>2</v>
      </c>
      <c r="V4639">
        <v>1</v>
      </c>
      <c r="W4639" t="s">
        <v>100</v>
      </c>
      <c r="X4639">
        <v>134</v>
      </c>
      <c r="Y4639">
        <v>43</v>
      </c>
      <c r="Z4639">
        <v>4</v>
      </c>
      <c r="AA4639" t="s">
        <v>100</v>
      </c>
      <c r="AC4639" t="s">
        <v>100</v>
      </c>
      <c r="AD4639" t="s">
        <v>100</v>
      </c>
      <c r="AE4639" t="s">
        <v>100</v>
      </c>
      <c r="AF4639" t="s">
        <v>100</v>
      </c>
      <c r="AG4639" t="s">
        <v>100</v>
      </c>
      <c r="AH4639" t="s">
        <v>100</v>
      </c>
      <c r="AI4639">
        <v>1</v>
      </c>
      <c r="AJ4639" t="s">
        <v>100</v>
      </c>
      <c r="AK4639" t="s">
        <v>100</v>
      </c>
      <c r="AL4639" t="s">
        <v>100</v>
      </c>
      <c r="AM4639" t="s">
        <v>100</v>
      </c>
      <c r="AN4639" t="s">
        <v>100</v>
      </c>
      <c r="AT4639" t="s">
        <v>100</v>
      </c>
      <c r="AU4639">
        <v>15</v>
      </c>
      <c r="AV4639">
        <v>384</v>
      </c>
      <c r="AW4639">
        <v>384</v>
      </c>
      <c r="AX4639">
        <v>471</v>
      </c>
      <c r="AZ4639" t="s">
        <v>101</v>
      </c>
      <c r="BA4639">
        <v>1</v>
      </c>
      <c r="BC4639" t="s">
        <v>9388</v>
      </c>
      <c r="BD4639" s="4">
        <v>43283.303472222222</v>
      </c>
      <c r="BE4639" s="4">
        <v>43283.332708333335</v>
      </c>
      <c r="BF4639" s="4">
        <v>43283.332708333335</v>
      </c>
      <c r="BG4639" t="s">
        <v>83</v>
      </c>
      <c r="BH4639" t="s">
        <v>84</v>
      </c>
      <c r="BI4639" t="s">
        <v>85</v>
      </c>
    </row>
    <row r="4640" spans="1:61" x14ac:dyDescent="0.3">
      <c r="A4640" t="str">
        <f>"201455B0100"</f>
        <v>201455B0100</v>
      </c>
      <c r="B4640" t="s">
        <v>9389</v>
      </c>
      <c r="C4640">
        <v>20</v>
      </c>
      <c r="D4640" t="s">
        <v>79</v>
      </c>
      <c r="E4640">
        <v>22</v>
      </c>
      <c r="F4640" t="s">
        <v>9267</v>
      </c>
      <c r="G4640">
        <v>1455</v>
      </c>
      <c r="H4640">
        <v>1</v>
      </c>
      <c r="I4640" t="s">
        <v>81</v>
      </c>
      <c r="J4640">
        <v>0</v>
      </c>
      <c r="K4640">
        <v>1</v>
      </c>
      <c r="L4640">
        <v>2</v>
      </c>
      <c r="M4640">
        <v>164</v>
      </c>
      <c r="N4640">
        <v>607</v>
      </c>
      <c r="O4640">
        <v>2</v>
      </c>
      <c r="P4640">
        <v>605</v>
      </c>
      <c r="Q4640">
        <v>4</v>
      </c>
      <c r="R4640">
        <v>20</v>
      </c>
      <c r="S4640">
        <v>251</v>
      </c>
      <c r="T4640">
        <v>2</v>
      </c>
      <c r="U4640">
        <v>2</v>
      </c>
      <c r="V4640">
        <v>0</v>
      </c>
      <c r="W4640">
        <v>0</v>
      </c>
      <c r="X4640">
        <v>230</v>
      </c>
      <c r="Y4640">
        <v>61</v>
      </c>
      <c r="Z4640">
        <v>0</v>
      </c>
      <c r="AA4640">
        <v>0</v>
      </c>
      <c r="AC4640">
        <v>0</v>
      </c>
      <c r="AD4640">
        <v>0</v>
      </c>
      <c r="AE4640">
        <v>0</v>
      </c>
      <c r="AF4640">
        <v>0</v>
      </c>
      <c r="AG4640">
        <v>1</v>
      </c>
      <c r="AH4640">
        <v>0</v>
      </c>
      <c r="AI4640">
        <v>2</v>
      </c>
      <c r="AJ4640">
        <v>1</v>
      </c>
      <c r="AK4640">
        <v>1</v>
      </c>
      <c r="AL4640">
        <v>1</v>
      </c>
      <c r="AM4640">
        <v>0</v>
      </c>
      <c r="AN4640">
        <v>0</v>
      </c>
      <c r="AT4640">
        <v>0</v>
      </c>
      <c r="AU4640">
        <v>14</v>
      </c>
      <c r="AV4640">
        <v>590</v>
      </c>
      <c r="AW4640">
        <v>590</v>
      </c>
      <c r="AX4640">
        <v>733</v>
      </c>
      <c r="BA4640">
        <v>1</v>
      </c>
      <c r="BC4640" t="s">
        <v>9390</v>
      </c>
      <c r="BD4640" s="4">
        <v>43283.306250000001</v>
      </c>
      <c r="BE4640" s="4">
        <v>43283.332673611112</v>
      </c>
      <c r="BF4640" s="4">
        <v>43283.332673611112</v>
      </c>
      <c r="BG4640" t="s">
        <v>83</v>
      </c>
      <c r="BH4640" t="s">
        <v>84</v>
      </c>
      <c r="BI4640" t="s">
        <v>85</v>
      </c>
    </row>
    <row r="4641" spans="1:61" x14ac:dyDescent="0.3">
      <c r="A4641" t="str">
        <f>"201455C0100"</f>
        <v>201455C0100</v>
      </c>
      <c r="B4641" t="s">
        <v>9391</v>
      </c>
      <c r="C4641">
        <v>20</v>
      </c>
      <c r="D4641" t="s">
        <v>79</v>
      </c>
      <c r="E4641">
        <v>22</v>
      </c>
      <c r="F4641" t="s">
        <v>9267</v>
      </c>
      <c r="G4641">
        <v>1455</v>
      </c>
      <c r="H4641">
        <v>1</v>
      </c>
      <c r="I4641" t="s">
        <v>89</v>
      </c>
      <c r="J4641">
        <v>0</v>
      </c>
      <c r="K4641">
        <v>1</v>
      </c>
      <c r="L4641">
        <v>2</v>
      </c>
      <c r="M4641">
        <v>185</v>
      </c>
      <c r="N4641">
        <v>571</v>
      </c>
      <c r="O4641">
        <v>0</v>
      </c>
      <c r="P4641">
        <v>0</v>
      </c>
      <c r="Q4641">
        <v>2</v>
      </c>
      <c r="R4641">
        <v>10</v>
      </c>
      <c r="S4641">
        <v>228</v>
      </c>
      <c r="T4641">
        <v>1</v>
      </c>
      <c r="U4641">
        <v>4</v>
      </c>
      <c r="V4641">
        <v>3</v>
      </c>
      <c r="W4641">
        <v>2</v>
      </c>
      <c r="X4641">
        <v>227</v>
      </c>
      <c r="Y4641">
        <v>69</v>
      </c>
      <c r="Z4641">
        <v>0</v>
      </c>
      <c r="AA4641">
        <v>0</v>
      </c>
      <c r="AC4641">
        <v>0</v>
      </c>
      <c r="AD4641">
        <v>0</v>
      </c>
      <c r="AE4641">
        <v>0</v>
      </c>
      <c r="AF4641">
        <v>0</v>
      </c>
      <c r="AG4641">
        <v>1</v>
      </c>
      <c r="AH4641">
        <v>0</v>
      </c>
      <c r="AI4641">
        <v>0</v>
      </c>
      <c r="AJ4641">
        <v>0</v>
      </c>
      <c r="AK4641">
        <v>0</v>
      </c>
      <c r="AL4641">
        <v>0</v>
      </c>
      <c r="AM4641">
        <v>0</v>
      </c>
      <c r="AN4641">
        <v>0</v>
      </c>
      <c r="AT4641">
        <v>0</v>
      </c>
      <c r="AU4641">
        <v>22</v>
      </c>
      <c r="AV4641">
        <v>567</v>
      </c>
      <c r="AW4641">
        <v>569</v>
      </c>
      <c r="AX4641">
        <v>733</v>
      </c>
      <c r="BA4641">
        <v>1</v>
      </c>
      <c r="BC4641" t="s">
        <v>9392</v>
      </c>
      <c r="BD4641" s="4">
        <v>43283.306250000001</v>
      </c>
      <c r="BE4641" s="4">
        <v>43283.33253472222</v>
      </c>
      <c r="BF4641" s="4">
        <v>43283.33253472222</v>
      </c>
      <c r="BG4641" t="s">
        <v>83</v>
      </c>
      <c r="BH4641" t="s">
        <v>84</v>
      </c>
      <c r="BI4641" t="s">
        <v>85</v>
      </c>
    </row>
    <row r="4642" spans="1:61" x14ac:dyDescent="0.3">
      <c r="A4642" t="str">
        <f>"201456B0100"</f>
        <v>201456B0100</v>
      </c>
      <c r="B4642" t="s">
        <v>9393</v>
      </c>
      <c r="C4642">
        <v>20</v>
      </c>
      <c r="D4642" t="s">
        <v>79</v>
      </c>
      <c r="E4642">
        <v>22</v>
      </c>
      <c r="F4642" t="s">
        <v>9267</v>
      </c>
      <c r="G4642">
        <v>1456</v>
      </c>
      <c r="H4642">
        <v>1</v>
      </c>
      <c r="I4642" t="s">
        <v>81</v>
      </c>
      <c r="J4642">
        <v>0</v>
      </c>
      <c r="K4642">
        <v>2</v>
      </c>
      <c r="L4642">
        <v>2</v>
      </c>
      <c r="AX4642">
        <v>309</v>
      </c>
      <c r="AZ4642" t="s">
        <v>156</v>
      </c>
      <c r="BA4642">
        <v>0</v>
      </c>
      <c r="BC4642" t="s">
        <v>9394</v>
      </c>
      <c r="BD4642" s="4">
        <v>43283.736111111109</v>
      </c>
      <c r="BE4642" s="4">
        <v>43283.737719907411</v>
      </c>
      <c r="BF4642" s="4">
        <v>43283.737719907411</v>
      </c>
      <c r="BG4642" t="s">
        <v>83</v>
      </c>
      <c r="BH4642" t="s">
        <v>84</v>
      </c>
      <c r="BI4642" t="s">
        <v>85</v>
      </c>
    </row>
    <row r="4643" spans="1:61" x14ac:dyDescent="0.3">
      <c r="A4643" t="str">
        <f>"201457B0100"</f>
        <v>201457B0100</v>
      </c>
      <c r="B4643" t="s">
        <v>9395</v>
      </c>
      <c r="C4643">
        <v>20</v>
      </c>
      <c r="D4643" t="s">
        <v>79</v>
      </c>
      <c r="E4643">
        <v>22</v>
      </c>
      <c r="F4643" t="s">
        <v>9267</v>
      </c>
      <c r="G4643">
        <v>1457</v>
      </c>
      <c r="H4643">
        <v>1</v>
      </c>
      <c r="I4643" t="s">
        <v>81</v>
      </c>
      <c r="J4643">
        <v>0</v>
      </c>
      <c r="K4643">
        <v>2</v>
      </c>
      <c r="L4643">
        <v>2</v>
      </c>
      <c r="M4643">
        <v>51</v>
      </c>
      <c r="N4643">
        <v>198</v>
      </c>
      <c r="O4643">
        <v>0</v>
      </c>
      <c r="P4643">
        <v>198</v>
      </c>
      <c r="Q4643" t="s">
        <v>100</v>
      </c>
      <c r="R4643">
        <v>1</v>
      </c>
      <c r="S4643">
        <v>109</v>
      </c>
      <c r="T4643">
        <v>1</v>
      </c>
      <c r="U4643" t="s">
        <v>100</v>
      </c>
      <c r="V4643" t="s">
        <v>100</v>
      </c>
      <c r="W4643" t="s">
        <v>100</v>
      </c>
      <c r="X4643">
        <v>44</v>
      </c>
      <c r="Y4643">
        <v>38</v>
      </c>
      <c r="Z4643">
        <v>1</v>
      </c>
      <c r="AA4643" t="s">
        <v>100</v>
      </c>
      <c r="AC4643" t="s">
        <v>100</v>
      </c>
      <c r="AD4643" t="s">
        <v>100</v>
      </c>
      <c r="AE4643" t="s">
        <v>100</v>
      </c>
      <c r="AF4643" t="s">
        <v>100</v>
      </c>
      <c r="AG4643" t="s">
        <v>100</v>
      </c>
      <c r="AH4643" t="s">
        <v>100</v>
      </c>
      <c r="AI4643" t="s">
        <v>100</v>
      </c>
      <c r="AJ4643" t="s">
        <v>100</v>
      </c>
      <c r="AK4643" t="s">
        <v>100</v>
      </c>
      <c r="AL4643" t="s">
        <v>100</v>
      </c>
      <c r="AM4643" t="s">
        <v>100</v>
      </c>
      <c r="AN4643" t="s">
        <v>100</v>
      </c>
      <c r="AT4643" t="s">
        <v>100</v>
      </c>
      <c r="AU4643">
        <v>4</v>
      </c>
      <c r="AV4643">
        <v>198</v>
      </c>
      <c r="AW4643">
        <v>198</v>
      </c>
      <c r="AX4643">
        <v>227</v>
      </c>
      <c r="AZ4643" t="s">
        <v>101</v>
      </c>
      <c r="BA4643">
        <v>1</v>
      </c>
      <c r="BC4643" t="s">
        <v>9396</v>
      </c>
      <c r="BD4643" s="4">
        <v>43283.307638888888</v>
      </c>
      <c r="BE4643" s="4">
        <v>43283.354814814818</v>
      </c>
      <c r="BF4643" s="4">
        <v>43283.354814814818</v>
      </c>
      <c r="BG4643" t="s">
        <v>83</v>
      </c>
      <c r="BH4643" t="s">
        <v>84</v>
      </c>
      <c r="BI4643" t="s">
        <v>85</v>
      </c>
    </row>
    <row r="4644" spans="1:61" x14ac:dyDescent="0.3">
      <c r="A4644" t="str">
        <f>"201485B0100"</f>
        <v>201485B0100</v>
      </c>
      <c r="B4644" t="s">
        <v>9397</v>
      </c>
      <c r="C4644">
        <v>20</v>
      </c>
      <c r="D4644" t="s">
        <v>79</v>
      </c>
      <c r="E4644">
        <v>22</v>
      </c>
      <c r="F4644" t="s">
        <v>9267</v>
      </c>
      <c r="G4644">
        <v>1485</v>
      </c>
      <c r="H4644">
        <v>1</v>
      </c>
      <c r="I4644" t="s">
        <v>81</v>
      </c>
      <c r="J4644">
        <v>0</v>
      </c>
      <c r="K4644">
        <v>1</v>
      </c>
      <c r="L4644">
        <v>2</v>
      </c>
      <c r="M4644">
        <v>148</v>
      </c>
      <c r="N4644">
        <v>471</v>
      </c>
      <c r="O4644">
        <v>0</v>
      </c>
      <c r="P4644">
        <v>461</v>
      </c>
      <c r="Q4644">
        <v>4</v>
      </c>
      <c r="R4644">
        <v>121</v>
      </c>
      <c r="S4644">
        <v>138</v>
      </c>
      <c r="T4644">
        <v>1</v>
      </c>
      <c r="U4644">
        <v>2</v>
      </c>
      <c r="V4644">
        <v>3</v>
      </c>
      <c r="W4644">
        <v>2</v>
      </c>
      <c r="X4644">
        <v>1</v>
      </c>
      <c r="Y4644">
        <v>162</v>
      </c>
      <c r="Z4644">
        <v>3</v>
      </c>
      <c r="AA4644">
        <v>2</v>
      </c>
      <c r="AC4644">
        <v>1</v>
      </c>
      <c r="AD4644">
        <v>0</v>
      </c>
      <c r="AE4644">
        <v>0</v>
      </c>
      <c r="AF4644">
        <v>0</v>
      </c>
      <c r="AG4644">
        <v>0</v>
      </c>
      <c r="AH4644">
        <v>0</v>
      </c>
      <c r="AI4644">
        <v>0</v>
      </c>
      <c r="AJ4644">
        <v>0</v>
      </c>
      <c r="AK4644">
        <v>0</v>
      </c>
      <c r="AL4644">
        <v>4</v>
      </c>
      <c r="AM4644">
        <v>1</v>
      </c>
      <c r="AN4644">
        <v>0</v>
      </c>
      <c r="AT4644">
        <v>1</v>
      </c>
      <c r="AU4644">
        <v>15</v>
      </c>
      <c r="AV4644">
        <v>461</v>
      </c>
      <c r="AW4644">
        <v>461</v>
      </c>
      <c r="AX4644">
        <v>587</v>
      </c>
      <c r="BA4644">
        <v>1</v>
      </c>
      <c r="BC4644" t="s">
        <v>9398</v>
      </c>
      <c r="BD4644" s="4">
        <v>43283.205555555556</v>
      </c>
      <c r="BE4644" s="4">
        <v>43283.241597222222</v>
      </c>
      <c r="BF4644" s="4">
        <v>43283.241597222222</v>
      </c>
      <c r="BG4644" t="s">
        <v>83</v>
      </c>
      <c r="BH4644" t="s">
        <v>84</v>
      </c>
      <c r="BI4644" t="s">
        <v>85</v>
      </c>
    </row>
    <row r="4645" spans="1:61" x14ac:dyDescent="0.3">
      <c r="A4645" t="str">
        <f>"201485C0100"</f>
        <v>201485C0100</v>
      </c>
      <c r="B4645" t="s">
        <v>9399</v>
      </c>
      <c r="C4645">
        <v>20</v>
      </c>
      <c r="D4645" t="s">
        <v>79</v>
      </c>
      <c r="E4645">
        <v>22</v>
      </c>
      <c r="F4645" t="s">
        <v>9267</v>
      </c>
      <c r="G4645">
        <v>1485</v>
      </c>
      <c r="H4645">
        <v>1</v>
      </c>
      <c r="I4645" t="s">
        <v>89</v>
      </c>
      <c r="J4645">
        <v>0</v>
      </c>
      <c r="K4645">
        <v>1</v>
      </c>
      <c r="L4645">
        <v>2</v>
      </c>
      <c r="M4645">
        <v>157</v>
      </c>
      <c r="N4645">
        <v>452</v>
      </c>
      <c r="O4645">
        <v>5</v>
      </c>
      <c r="P4645">
        <v>452</v>
      </c>
      <c r="Q4645">
        <v>5</v>
      </c>
      <c r="R4645">
        <v>128</v>
      </c>
      <c r="S4645">
        <v>122</v>
      </c>
      <c r="T4645">
        <v>2</v>
      </c>
      <c r="U4645">
        <v>6</v>
      </c>
      <c r="V4645">
        <v>1</v>
      </c>
      <c r="W4645">
        <v>0</v>
      </c>
      <c r="X4645">
        <v>2</v>
      </c>
      <c r="Y4645">
        <v>165</v>
      </c>
      <c r="Z4645">
        <v>3</v>
      </c>
      <c r="AA4645">
        <v>0</v>
      </c>
      <c r="AC4645">
        <v>0</v>
      </c>
      <c r="AD4645">
        <v>0</v>
      </c>
      <c r="AE4645">
        <v>0</v>
      </c>
      <c r="AF4645">
        <v>0</v>
      </c>
      <c r="AG4645">
        <v>0</v>
      </c>
      <c r="AH4645">
        <v>0</v>
      </c>
      <c r="AI4645">
        <v>0</v>
      </c>
      <c r="AJ4645">
        <v>0</v>
      </c>
      <c r="AK4645">
        <v>0</v>
      </c>
      <c r="AL4645">
        <v>0</v>
      </c>
      <c r="AM4645">
        <v>0</v>
      </c>
      <c r="AN4645">
        <v>1</v>
      </c>
      <c r="AT4645">
        <v>0</v>
      </c>
      <c r="AU4645">
        <v>17</v>
      </c>
      <c r="AV4645">
        <v>452</v>
      </c>
      <c r="AW4645">
        <v>452</v>
      </c>
      <c r="AX4645">
        <v>587</v>
      </c>
      <c r="BA4645">
        <v>1</v>
      </c>
      <c r="BC4645" t="s">
        <v>9400</v>
      </c>
      <c r="BD4645" s="4">
        <v>43283.206250000003</v>
      </c>
      <c r="BE4645" s="4">
        <v>43283.229108796295</v>
      </c>
      <c r="BF4645" s="4">
        <v>43283.229108796295</v>
      </c>
      <c r="BG4645" t="s">
        <v>83</v>
      </c>
      <c r="BH4645" t="s">
        <v>84</v>
      </c>
      <c r="BI4645" t="s">
        <v>85</v>
      </c>
    </row>
    <row r="4646" spans="1:61" x14ac:dyDescent="0.3">
      <c r="A4646" t="str">
        <f>"201486B0100"</f>
        <v>201486B0100</v>
      </c>
      <c r="B4646" t="s">
        <v>9401</v>
      </c>
      <c r="C4646">
        <v>20</v>
      </c>
      <c r="D4646" t="s">
        <v>79</v>
      </c>
      <c r="E4646">
        <v>22</v>
      </c>
      <c r="F4646" t="s">
        <v>9267</v>
      </c>
      <c r="G4646">
        <v>1486</v>
      </c>
      <c r="H4646">
        <v>1</v>
      </c>
      <c r="I4646" t="s">
        <v>81</v>
      </c>
      <c r="J4646">
        <v>0</v>
      </c>
      <c r="K4646">
        <v>1</v>
      </c>
      <c r="L4646">
        <v>2</v>
      </c>
      <c r="M4646">
        <v>147</v>
      </c>
      <c r="N4646">
        <v>445</v>
      </c>
      <c r="O4646">
        <v>0</v>
      </c>
      <c r="P4646">
        <v>445</v>
      </c>
      <c r="Q4646">
        <v>6</v>
      </c>
      <c r="R4646">
        <v>141</v>
      </c>
      <c r="S4646">
        <v>89</v>
      </c>
      <c r="T4646">
        <v>1</v>
      </c>
      <c r="U4646">
        <v>4</v>
      </c>
      <c r="V4646">
        <v>3</v>
      </c>
      <c r="W4646" t="s">
        <v>100</v>
      </c>
      <c r="X4646">
        <v>2</v>
      </c>
      <c r="Y4646">
        <v>171</v>
      </c>
      <c r="Z4646">
        <v>6</v>
      </c>
      <c r="AA4646" t="s">
        <v>100</v>
      </c>
      <c r="AC4646">
        <v>1</v>
      </c>
      <c r="AD4646" t="s">
        <v>100</v>
      </c>
      <c r="AE4646" t="s">
        <v>100</v>
      </c>
      <c r="AF4646" t="s">
        <v>100</v>
      </c>
      <c r="AG4646" t="s">
        <v>100</v>
      </c>
      <c r="AH4646">
        <v>1</v>
      </c>
      <c r="AI4646" t="s">
        <v>100</v>
      </c>
      <c r="AJ4646" t="s">
        <v>100</v>
      </c>
      <c r="AK4646">
        <v>1</v>
      </c>
      <c r="AL4646">
        <v>1</v>
      </c>
      <c r="AM4646" t="s">
        <v>100</v>
      </c>
      <c r="AN4646" t="s">
        <v>100</v>
      </c>
      <c r="AT4646" t="s">
        <v>100</v>
      </c>
      <c r="AU4646">
        <v>18</v>
      </c>
      <c r="AV4646">
        <v>145</v>
      </c>
      <c r="AW4646">
        <v>445</v>
      </c>
      <c r="AX4646">
        <v>570</v>
      </c>
      <c r="AZ4646" t="s">
        <v>101</v>
      </c>
      <c r="BA4646">
        <v>1</v>
      </c>
      <c r="BC4646" t="s">
        <v>9402</v>
      </c>
      <c r="BD4646" s="4">
        <v>43283.297222222223</v>
      </c>
      <c r="BE4646" s="4">
        <v>43283.3278587963</v>
      </c>
      <c r="BF4646" s="4">
        <v>43283.3278587963</v>
      </c>
      <c r="BG4646" t="s">
        <v>83</v>
      </c>
      <c r="BH4646" t="s">
        <v>84</v>
      </c>
      <c r="BI4646" t="s">
        <v>85</v>
      </c>
    </row>
    <row r="4647" spans="1:61" x14ac:dyDescent="0.3">
      <c r="A4647" t="str">
        <f>"201486C0100"</f>
        <v>201486C0100</v>
      </c>
      <c r="B4647" t="s">
        <v>9403</v>
      </c>
      <c r="C4647">
        <v>20</v>
      </c>
      <c r="D4647" t="s">
        <v>79</v>
      </c>
      <c r="E4647">
        <v>22</v>
      </c>
      <c r="F4647" t="s">
        <v>9267</v>
      </c>
      <c r="G4647">
        <v>1486</v>
      </c>
      <c r="H4647">
        <v>1</v>
      </c>
      <c r="I4647" t="s">
        <v>89</v>
      </c>
      <c r="J4647">
        <v>0</v>
      </c>
      <c r="K4647">
        <v>1</v>
      </c>
      <c r="L4647">
        <v>2</v>
      </c>
      <c r="M4647">
        <v>149</v>
      </c>
      <c r="N4647">
        <v>443</v>
      </c>
      <c r="O4647">
        <v>1</v>
      </c>
      <c r="P4647">
        <v>443</v>
      </c>
      <c r="Q4647">
        <v>7</v>
      </c>
      <c r="R4647">
        <v>107</v>
      </c>
      <c r="S4647">
        <v>134</v>
      </c>
      <c r="T4647">
        <v>1</v>
      </c>
      <c r="U4647">
        <v>5</v>
      </c>
      <c r="V4647">
        <v>2</v>
      </c>
      <c r="W4647">
        <v>0</v>
      </c>
      <c r="X4647">
        <v>5</v>
      </c>
      <c r="Y4647">
        <v>160</v>
      </c>
      <c r="Z4647">
        <v>1</v>
      </c>
      <c r="AA4647">
        <v>2</v>
      </c>
      <c r="AC4647">
        <v>1</v>
      </c>
      <c r="AD4647">
        <v>2</v>
      </c>
      <c r="AE4647">
        <v>0</v>
      </c>
      <c r="AF4647">
        <v>0</v>
      </c>
      <c r="AG4647">
        <v>0</v>
      </c>
      <c r="AH4647">
        <v>0</v>
      </c>
      <c r="AI4647">
        <v>0</v>
      </c>
      <c r="AJ4647">
        <v>0</v>
      </c>
      <c r="AK4647">
        <v>3</v>
      </c>
      <c r="AL4647">
        <v>0</v>
      </c>
      <c r="AM4647">
        <v>0</v>
      </c>
      <c r="AN4647">
        <v>0</v>
      </c>
      <c r="AT4647">
        <v>0</v>
      </c>
      <c r="AU4647">
        <v>13</v>
      </c>
      <c r="AV4647">
        <v>443</v>
      </c>
      <c r="AW4647">
        <v>443</v>
      </c>
      <c r="AX4647">
        <v>570</v>
      </c>
      <c r="BA4647">
        <v>1</v>
      </c>
      <c r="BC4647" t="s">
        <v>9404</v>
      </c>
      <c r="BD4647" s="4">
        <v>43283.220138888886</v>
      </c>
      <c r="BE4647" s="4">
        <v>43283.243680555555</v>
      </c>
      <c r="BF4647" s="4">
        <v>43283.243680555555</v>
      </c>
      <c r="BG4647" t="s">
        <v>83</v>
      </c>
      <c r="BH4647" t="s">
        <v>84</v>
      </c>
      <c r="BI4647" t="s">
        <v>85</v>
      </c>
    </row>
    <row r="4648" spans="1:61" x14ac:dyDescent="0.3">
      <c r="A4648" t="str">
        <f>"201487B0100"</f>
        <v>201487B0100</v>
      </c>
      <c r="B4648" t="s">
        <v>9405</v>
      </c>
      <c r="C4648">
        <v>20</v>
      </c>
      <c r="D4648" t="s">
        <v>79</v>
      </c>
      <c r="E4648">
        <v>22</v>
      </c>
      <c r="F4648" t="s">
        <v>9267</v>
      </c>
      <c r="G4648">
        <v>1487</v>
      </c>
      <c r="H4648">
        <v>1</v>
      </c>
      <c r="I4648" t="s">
        <v>81</v>
      </c>
      <c r="J4648">
        <v>0</v>
      </c>
      <c r="K4648">
        <v>2</v>
      </c>
      <c r="L4648">
        <v>2</v>
      </c>
      <c r="M4648">
        <v>133</v>
      </c>
      <c r="N4648">
        <v>415</v>
      </c>
      <c r="O4648">
        <v>0</v>
      </c>
      <c r="P4648">
        <v>414</v>
      </c>
      <c r="Q4648">
        <v>5</v>
      </c>
      <c r="R4648">
        <v>133</v>
      </c>
      <c r="S4648">
        <v>112</v>
      </c>
      <c r="T4648">
        <v>3</v>
      </c>
      <c r="U4648">
        <v>5</v>
      </c>
      <c r="V4648">
        <v>4</v>
      </c>
      <c r="W4648">
        <v>2</v>
      </c>
      <c r="X4648">
        <v>1</v>
      </c>
      <c r="Y4648">
        <v>134</v>
      </c>
      <c r="Z4648">
        <v>0</v>
      </c>
      <c r="AA4648">
        <v>1</v>
      </c>
      <c r="AC4648">
        <v>0</v>
      </c>
      <c r="AD4648">
        <v>0</v>
      </c>
      <c r="AE4648">
        <v>0</v>
      </c>
      <c r="AF4648">
        <v>0</v>
      </c>
      <c r="AG4648">
        <v>0</v>
      </c>
      <c r="AH4648">
        <v>0</v>
      </c>
      <c r="AI4648">
        <v>0</v>
      </c>
      <c r="AJ4648">
        <v>0</v>
      </c>
      <c r="AK4648">
        <v>1</v>
      </c>
      <c r="AL4648">
        <v>0</v>
      </c>
      <c r="AM4648">
        <v>0</v>
      </c>
      <c r="AN4648">
        <v>0</v>
      </c>
      <c r="AT4648">
        <v>0</v>
      </c>
      <c r="AU4648">
        <v>13</v>
      </c>
      <c r="AV4648">
        <v>414</v>
      </c>
      <c r="AW4648">
        <v>414</v>
      </c>
      <c r="AX4648">
        <v>526</v>
      </c>
      <c r="BA4648">
        <v>1</v>
      </c>
      <c r="BC4648" t="s">
        <v>9406</v>
      </c>
      <c r="BD4648" s="4">
        <v>43283.214583333334</v>
      </c>
      <c r="BE4648" s="4">
        <v>43283.251423611109</v>
      </c>
      <c r="BF4648" s="4">
        <v>43283.251423611109</v>
      </c>
      <c r="BG4648" t="s">
        <v>83</v>
      </c>
      <c r="BH4648" t="s">
        <v>84</v>
      </c>
      <c r="BI4648" t="s">
        <v>85</v>
      </c>
    </row>
    <row r="4649" spans="1:61" x14ac:dyDescent="0.3">
      <c r="A4649" t="str">
        <f>"201487C0100"</f>
        <v>201487C0100</v>
      </c>
      <c r="B4649" t="s">
        <v>9407</v>
      </c>
      <c r="C4649">
        <v>20</v>
      </c>
      <c r="D4649" t="s">
        <v>79</v>
      </c>
      <c r="E4649">
        <v>22</v>
      </c>
      <c r="F4649" t="s">
        <v>9267</v>
      </c>
      <c r="G4649">
        <v>1487</v>
      </c>
      <c r="H4649">
        <v>1</v>
      </c>
      <c r="I4649" t="s">
        <v>89</v>
      </c>
      <c r="J4649">
        <v>0</v>
      </c>
      <c r="K4649">
        <v>2</v>
      </c>
      <c r="L4649">
        <v>2</v>
      </c>
      <c r="M4649">
        <v>140</v>
      </c>
      <c r="N4649">
        <v>407</v>
      </c>
      <c r="O4649">
        <v>5</v>
      </c>
      <c r="P4649">
        <v>407</v>
      </c>
      <c r="Q4649">
        <v>6</v>
      </c>
      <c r="R4649">
        <v>126</v>
      </c>
      <c r="S4649">
        <v>92</v>
      </c>
      <c r="T4649">
        <v>3</v>
      </c>
      <c r="U4649">
        <v>3</v>
      </c>
      <c r="V4649">
        <v>4</v>
      </c>
      <c r="W4649">
        <v>3</v>
      </c>
      <c r="X4649">
        <v>3</v>
      </c>
      <c r="Y4649">
        <v>147</v>
      </c>
      <c r="Z4649">
        <v>2</v>
      </c>
      <c r="AA4649">
        <v>1</v>
      </c>
      <c r="AC4649" t="s">
        <v>100</v>
      </c>
      <c r="AD4649" t="s">
        <v>100</v>
      </c>
      <c r="AE4649" t="s">
        <v>100</v>
      </c>
      <c r="AF4649" t="s">
        <v>100</v>
      </c>
      <c r="AG4649" t="s">
        <v>100</v>
      </c>
      <c r="AH4649" t="s">
        <v>100</v>
      </c>
      <c r="AI4649" t="s">
        <v>100</v>
      </c>
      <c r="AJ4649" t="s">
        <v>100</v>
      </c>
      <c r="AK4649">
        <v>1</v>
      </c>
      <c r="AL4649" t="s">
        <v>100</v>
      </c>
      <c r="AM4649" t="s">
        <v>100</v>
      </c>
      <c r="AN4649" t="s">
        <v>100</v>
      </c>
      <c r="AT4649" t="s">
        <v>100</v>
      </c>
      <c r="AU4649">
        <v>16</v>
      </c>
      <c r="AV4649">
        <v>407</v>
      </c>
      <c r="AW4649">
        <v>407</v>
      </c>
      <c r="AX4649">
        <v>525</v>
      </c>
      <c r="AZ4649" t="s">
        <v>101</v>
      </c>
      <c r="BA4649">
        <v>1</v>
      </c>
      <c r="BC4649" t="s">
        <v>9408</v>
      </c>
      <c r="BD4649" s="4">
        <v>43283.215277777781</v>
      </c>
      <c r="BE4649" s="4">
        <v>43283.25472222222</v>
      </c>
      <c r="BF4649" s="4">
        <v>43283.25472222222</v>
      </c>
      <c r="BG4649" t="s">
        <v>83</v>
      </c>
      <c r="BH4649" t="s">
        <v>84</v>
      </c>
      <c r="BI4649" t="s">
        <v>85</v>
      </c>
    </row>
    <row r="4650" spans="1:61" x14ac:dyDescent="0.3">
      <c r="A4650" t="str">
        <f>"201488B0100"</f>
        <v>201488B0100</v>
      </c>
      <c r="B4650" t="s">
        <v>9409</v>
      </c>
      <c r="C4650">
        <v>20</v>
      </c>
      <c r="D4650" t="s">
        <v>79</v>
      </c>
      <c r="E4650">
        <v>22</v>
      </c>
      <c r="F4650" t="s">
        <v>9267</v>
      </c>
      <c r="G4650">
        <v>1488</v>
      </c>
      <c r="H4650">
        <v>1</v>
      </c>
      <c r="I4650" t="s">
        <v>81</v>
      </c>
      <c r="J4650">
        <v>0</v>
      </c>
      <c r="K4650">
        <v>2</v>
      </c>
      <c r="L4650">
        <v>2</v>
      </c>
      <c r="M4650">
        <v>137</v>
      </c>
      <c r="N4650">
        <v>403</v>
      </c>
      <c r="O4650">
        <v>0</v>
      </c>
      <c r="P4650">
        <v>403</v>
      </c>
      <c r="Q4650">
        <v>1</v>
      </c>
      <c r="R4650">
        <v>64</v>
      </c>
      <c r="S4650">
        <v>93</v>
      </c>
      <c r="T4650">
        <v>2</v>
      </c>
      <c r="U4650">
        <v>8</v>
      </c>
      <c r="V4650">
        <v>3</v>
      </c>
      <c r="W4650">
        <v>18</v>
      </c>
      <c r="X4650">
        <v>1</v>
      </c>
      <c r="Y4650">
        <v>167</v>
      </c>
      <c r="Z4650">
        <v>5</v>
      </c>
      <c r="AA4650" t="s">
        <v>100</v>
      </c>
      <c r="AC4650">
        <v>0</v>
      </c>
      <c r="AD4650">
        <v>2</v>
      </c>
      <c r="AE4650">
        <v>0</v>
      </c>
      <c r="AF4650">
        <v>0</v>
      </c>
      <c r="AG4650">
        <v>0</v>
      </c>
      <c r="AH4650">
        <v>0</v>
      </c>
      <c r="AI4650">
        <v>0</v>
      </c>
      <c r="AJ4650">
        <v>0</v>
      </c>
      <c r="AK4650">
        <v>0</v>
      </c>
      <c r="AL4650">
        <v>1</v>
      </c>
      <c r="AM4650">
        <v>0</v>
      </c>
      <c r="AN4650">
        <v>0</v>
      </c>
      <c r="AT4650">
        <v>0</v>
      </c>
      <c r="AU4650">
        <v>38</v>
      </c>
      <c r="AV4650">
        <v>403</v>
      </c>
      <c r="AW4650">
        <v>403</v>
      </c>
      <c r="AX4650">
        <v>518</v>
      </c>
      <c r="AZ4650" t="s">
        <v>101</v>
      </c>
      <c r="BA4650">
        <v>1</v>
      </c>
      <c r="BC4650" t="s">
        <v>9410</v>
      </c>
      <c r="BD4650" s="4">
        <v>43283.201388888891</v>
      </c>
      <c r="BE4650" s="4">
        <v>43283.224675925929</v>
      </c>
      <c r="BF4650" s="4">
        <v>43283.224675925929</v>
      </c>
      <c r="BG4650" t="s">
        <v>83</v>
      </c>
      <c r="BH4650" t="s">
        <v>84</v>
      </c>
      <c r="BI4650" t="s">
        <v>85</v>
      </c>
    </row>
    <row r="4651" spans="1:61" x14ac:dyDescent="0.3">
      <c r="A4651" t="str">
        <f>"201488E0100"</f>
        <v>201488E0100</v>
      </c>
      <c r="B4651" s="2" t="s">
        <v>9411</v>
      </c>
      <c r="C4651">
        <v>20</v>
      </c>
      <c r="D4651" t="s">
        <v>79</v>
      </c>
      <c r="E4651">
        <v>22</v>
      </c>
      <c r="F4651" t="s">
        <v>9267</v>
      </c>
      <c r="G4651">
        <v>1488</v>
      </c>
      <c r="H4651">
        <v>1</v>
      </c>
      <c r="I4651" t="s">
        <v>145</v>
      </c>
      <c r="J4651">
        <v>0</v>
      </c>
      <c r="K4651">
        <v>2</v>
      </c>
      <c r="L4651">
        <v>2</v>
      </c>
      <c r="M4651">
        <v>137</v>
      </c>
      <c r="N4651">
        <v>316</v>
      </c>
      <c r="O4651">
        <v>3</v>
      </c>
      <c r="P4651">
        <v>317</v>
      </c>
      <c r="Q4651">
        <v>2</v>
      </c>
      <c r="R4651">
        <v>94</v>
      </c>
      <c r="S4651">
        <v>85</v>
      </c>
      <c r="T4651">
        <v>1</v>
      </c>
      <c r="U4651">
        <v>3</v>
      </c>
      <c r="V4651">
        <v>6</v>
      </c>
      <c r="W4651">
        <v>3</v>
      </c>
      <c r="X4651">
        <v>2</v>
      </c>
      <c r="Y4651">
        <v>101</v>
      </c>
      <c r="Z4651">
        <v>5</v>
      </c>
      <c r="AA4651">
        <v>0</v>
      </c>
      <c r="AC4651">
        <v>0</v>
      </c>
      <c r="AD4651">
        <v>0</v>
      </c>
      <c r="AE4651">
        <v>0</v>
      </c>
      <c r="AF4651">
        <v>1</v>
      </c>
      <c r="AG4651">
        <v>0</v>
      </c>
      <c r="AH4651">
        <v>0</v>
      </c>
      <c r="AI4651">
        <v>0</v>
      </c>
      <c r="AJ4651">
        <v>0</v>
      </c>
      <c r="AK4651">
        <v>2</v>
      </c>
      <c r="AL4651">
        <v>3</v>
      </c>
      <c r="AM4651">
        <v>0</v>
      </c>
      <c r="AN4651">
        <v>1</v>
      </c>
      <c r="AT4651">
        <v>0</v>
      </c>
      <c r="AU4651">
        <v>8</v>
      </c>
      <c r="AV4651">
        <v>317</v>
      </c>
      <c r="AW4651">
        <v>317</v>
      </c>
      <c r="AX4651">
        <v>432</v>
      </c>
      <c r="BA4651">
        <v>1</v>
      </c>
      <c r="BC4651" t="s">
        <v>9412</v>
      </c>
      <c r="BD4651" s="4">
        <v>43283.267361111109</v>
      </c>
      <c r="BE4651" s="4">
        <v>43283.295289351852</v>
      </c>
      <c r="BF4651" s="4">
        <v>43283.295289351852</v>
      </c>
      <c r="BG4651" t="s">
        <v>83</v>
      </c>
      <c r="BH4651" t="s">
        <v>84</v>
      </c>
      <c r="BI4651" t="s">
        <v>85</v>
      </c>
    </row>
    <row r="4652" spans="1:61" x14ac:dyDescent="0.3">
      <c r="A4652" t="str">
        <f>"201489B0100"</f>
        <v>201489B0100</v>
      </c>
      <c r="B4652" t="s">
        <v>9413</v>
      </c>
      <c r="C4652">
        <v>20</v>
      </c>
      <c r="D4652" t="s">
        <v>79</v>
      </c>
      <c r="E4652">
        <v>22</v>
      </c>
      <c r="F4652" t="s">
        <v>9267</v>
      </c>
      <c r="G4652">
        <v>1489</v>
      </c>
      <c r="H4652">
        <v>1</v>
      </c>
      <c r="I4652" t="s">
        <v>81</v>
      </c>
      <c r="J4652">
        <v>0</v>
      </c>
      <c r="K4652">
        <v>2</v>
      </c>
      <c r="L4652">
        <v>2</v>
      </c>
      <c r="M4652">
        <v>278</v>
      </c>
      <c r="N4652">
        <v>480</v>
      </c>
      <c r="O4652">
        <v>0</v>
      </c>
      <c r="P4652">
        <v>480</v>
      </c>
      <c r="Q4652">
        <v>3</v>
      </c>
      <c r="R4652">
        <v>115</v>
      </c>
      <c r="S4652">
        <v>155</v>
      </c>
      <c r="T4652">
        <v>2</v>
      </c>
      <c r="U4652">
        <v>6</v>
      </c>
      <c r="V4652">
        <v>6</v>
      </c>
      <c r="W4652">
        <v>44</v>
      </c>
      <c r="X4652">
        <v>0</v>
      </c>
      <c r="Y4652">
        <v>115</v>
      </c>
      <c r="Z4652">
        <v>3</v>
      </c>
      <c r="AA4652">
        <v>0</v>
      </c>
      <c r="AC4652">
        <v>0</v>
      </c>
      <c r="AD4652">
        <v>0</v>
      </c>
      <c r="AE4652">
        <v>0</v>
      </c>
      <c r="AF4652">
        <v>0</v>
      </c>
      <c r="AG4652">
        <v>0</v>
      </c>
      <c r="AH4652">
        <v>0</v>
      </c>
      <c r="AI4652">
        <v>0</v>
      </c>
      <c r="AJ4652">
        <v>0</v>
      </c>
      <c r="AK4652">
        <v>0</v>
      </c>
      <c r="AL4652">
        <v>0</v>
      </c>
      <c r="AM4652">
        <v>0</v>
      </c>
      <c r="AN4652">
        <v>0</v>
      </c>
      <c r="AT4652">
        <v>0</v>
      </c>
      <c r="AU4652">
        <v>31</v>
      </c>
      <c r="AV4652">
        <v>480</v>
      </c>
      <c r="AW4652">
        <v>480</v>
      </c>
      <c r="AX4652">
        <v>737</v>
      </c>
      <c r="BA4652">
        <v>1</v>
      </c>
      <c r="BC4652" t="s">
        <v>9414</v>
      </c>
      <c r="BD4652" s="4">
        <v>43283.354166666664</v>
      </c>
      <c r="BE4652" s="4">
        <v>43283.366759259261</v>
      </c>
      <c r="BF4652" s="4">
        <v>43283.366759259261</v>
      </c>
      <c r="BG4652" t="s">
        <v>83</v>
      </c>
      <c r="BH4652" t="s">
        <v>84</v>
      </c>
      <c r="BI4652" t="s">
        <v>85</v>
      </c>
    </row>
    <row r="4653" spans="1:61" x14ac:dyDescent="0.3">
      <c r="A4653" t="str">
        <f>"201489C0100"</f>
        <v>201489C0100</v>
      </c>
      <c r="B4653" t="s">
        <v>9415</v>
      </c>
      <c r="C4653">
        <v>20</v>
      </c>
      <c r="D4653" t="s">
        <v>79</v>
      </c>
      <c r="E4653">
        <v>22</v>
      </c>
      <c r="F4653" t="s">
        <v>9267</v>
      </c>
      <c r="G4653">
        <v>1489</v>
      </c>
      <c r="H4653">
        <v>1</v>
      </c>
      <c r="I4653" t="s">
        <v>89</v>
      </c>
      <c r="J4653">
        <v>0</v>
      </c>
      <c r="K4653">
        <v>2</v>
      </c>
      <c r="L4653">
        <v>2</v>
      </c>
      <c r="M4653">
        <v>245</v>
      </c>
      <c r="N4653">
        <v>513</v>
      </c>
      <c r="O4653">
        <v>0</v>
      </c>
      <c r="P4653" t="s">
        <v>100</v>
      </c>
      <c r="Q4653">
        <v>4</v>
      </c>
      <c r="R4653">
        <v>143</v>
      </c>
      <c r="S4653">
        <v>152</v>
      </c>
      <c r="T4653">
        <v>4</v>
      </c>
      <c r="U4653">
        <v>6</v>
      </c>
      <c r="V4653">
        <v>2</v>
      </c>
      <c r="W4653">
        <v>26</v>
      </c>
      <c r="X4653">
        <v>3</v>
      </c>
      <c r="Y4653">
        <v>129</v>
      </c>
      <c r="Z4653">
        <v>3</v>
      </c>
      <c r="AA4653" t="s">
        <v>100</v>
      </c>
      <c r="AC4653" t="s">
        <v>100</v>
      </c>
      <c r="AD4653" t="s">
        <v>100</v>
      </c>
      <c r="AE4653">
        <v>1</v>
      </c>
      <c r="AF4653">
        <v>1</v>
      </c>
      <c r="AG4653" t="s">
        <v>100</v>
      </c>
      <c r="AH4653">
        <v>2</v>
      </c>
      <c r="AI4653" t="s">
        <v>100</v>
      </c>
      <c r="AJ4653">
        <v>1</v>
      </c>
      <c r="AK4653">
        <v>2</v>
      </c>
      <c r="AL4653" t="s">
        <v>100</v>
      </c>
      <c r="AM4653" t="s">
        <v>100</v>
      </c>
      <c r="AN4653">
        <v>1</v>
      </c>
      <c r="AT4653" t="s">
        <v>100</v>
      </c>
      <c r="AU4653">
        <v>35</v>
      </c>
      <c r="AV4653" t="s">
        <v>100</v>
      </c>
      <c r="AW4653">
        <v>515</v>
      </c>
      <c r="AX4653">
        <v>737</v>
      </c>
      <c r="AZ4653" t="s">
        <v>101</v>
      </c>
      <c r="BA4653">
        <v>1</v>
      </c>
      <c r="BC4653" t="s">
        <v>9416</v>
      </c>
      <c r="BD4653" s="4">
        <v>43283.302777777775</v>
      </c>
      <c r="BE4653" s="4">
        <v>43283.335057870368</v>
      </c>
      <c r="BF4653" s="4">
        <v>43283.335057870368</v>
      </c>
      <c r="BG4653" t="s">
        <v>83</v>
      </c>
      <c r="BH4653" t="s">
        <v>84</v>
      </c>
      <c r="BI4653" t="s">
        <v>85</v>
      </c>
    </row>
    <row r="4654" spans="1:61" x14ac:dyDescent="0.3">
      <c r="A4654" t="str">
        <f>"201490B0100"</f>
        <v>201490B0100</v>
      </c>
      <c r="B4654" t="s">
        <v>9417</v>
      </c>
      <c r="C4654">
        <v>20</v>
      </c>
      <c r="D4654" t="s">
        <v>79</v>
      </c>
      <c r="E4654">
        <v>22</v>
      </c>
      <c r="F4654" t="s">
        <v>9267</v>
      </c>
      <c r="G4654">
        <v>1490</v>
      </c>
      <c r="H4654">
        <v>1</v>
      </c>
      <c r="I4654" t="s">
        <v>81</v>
      </c>
      <c r="J4654">
        <v>0</v>
      </c>
      <c r="K4654">
        <v>2</v>
      </c>
      <c r="L4654">
        <v>2</v>
      </c>
      <c r="AX4654">
        <v>377</v>
      </c>
      <c r="AZ4654" t="s">
        <v>156</v>
      </c>
      <c r="BA4654">
        <v>0</v>
      </c>
      <c r="BC4654" t="s">
        <v>9418</v>
      </c>
      <c r="BD4654" s="4">
        <v>43283.736805555556</v>
      </c>
      <c r="BE4654" s="4">
        <v>43283.738333333335</v>
      </c>
      <c r="BF4654" s="4">
        <v>43283.738333333335</v>
      </c>
      <c r="BG4654" t="s">
        <v>83</v>
      </c>
      <c r="BH4654" t="s">
        <v>84</v>
      </c>
      <c r="BI4654" t="s">
        <v>85</v>
      </c>
    </row>
    <row r="4655" spans="1:61" x14ac:dyDescent="0.3">
      <c r="A4655" t="str">
        <f>"201490C0100"</f>
        <v>201490C0100</v>
      </c>
      <c r="B4655" t="s">
        <v>9419</v>
      </c>
      <c r="C4655">
        <v>20</v>
      </c>
      <c r="D4655" t="s">
        <v>79</v>
      </c>
      <c r="E4655">
        <v>22</v>
      </c>
      <c r="F4655" t="s">
        <v>9267</v>
      </c>
      <c r="G4655">
        <v>1490</v>
      </c>
      <c r="H4655">
        <v>1</v>
      </c>
      <c r="I4655" t="s">
        <v>89</v>
      </c>
      <c r="J4655">
        <v>0</v>
      </c>
      <c r="K4655">
        <v>2</v>
      </c>
      <c r="L4655">
        <v>2</v>
      </c>
      <c r="M4655">
        <v>106</v>
      </c>
      <c r="N4655">
        <v>293</v>
      </c>
      <c r="O4655">
        <v>1</v>
      </c>
      <c r="P4655">
        <v>315</v>
      </c>
      <c r="Q4655">
        <v>4</v>
      </c>
      <c r="R4655">
        <v>75</v>
      </c>
      <c r="S4655">
        <v>63</v>
      </c>
      <c r="T4655">
        <v>3</v>
      </c>
      <c r="U4655">
        <v>7</v>
      </c>
      <c r="V4655">
        <v>3</v>
      </c>
      <c r="W4655">
        <v>1</v>
      </c>
      <c r="X4655">
        <v>2</v>
      </c>
      <c r="Y4655">
        <v>118</v>
      </c>
      <c r="Z4655">
        <v>7</v>
      </c>
      <c r="AA4655">
        <v>0</v>
      </c>
      <c r="AC4655">
        <v>0</v>
      </c>
      <c r="AD4655">
        <v>0</v>
      </c>
      <c r="AE4655">
        <v>0</v>
      </c>
      <c r="AF4655">
        <v>2</v>
      </c>
      <c r="AG4655">
        <v>1</v>
      </c>
      <c r="AH4655">
        <v>0</v>
      </c>
      <c r="AI4655">
        <v>0</v>
      </c>
      <c r="AJ4655">
        <v>0</v>
      </c>
      <c r="AK4655">
        <v>2</v>
      </c>
      <c r="AL4655">
        <v>2</v>
      </c>
      <c r="AM4655">
        <v>0</v>
      </c>
      <c r="AN4655">
        <v>0</v>
      </c>
      <c r="AT4655">
        <v>0</v>
      </c>
      <c r="AU4655">
        <v>24</v>
      </c>
      <c r="AV4655">
        <v>315</v>
      </c>
      <c r="AW4655">
        <v>314</v>
      </c>
      <c r="AX4655">
        <v>377</v>
      </c>
      <c r="BA4655">
        <v>1</v>
      </c>
      <c r="BC4655" t="s">
        <v>9420</v>
      </c>
      <c r="BD4655" s="4">
        <v>43283.30972222222</v>
      </c>
      <c r="BE4655" s="4">
        <v>43283.335185185184</v>
      </c>
      <c r="BF4655" s="4">
        <v>43283.335185185184</v>
      </c>
      <c r="BG4655" t="s">
        <v>83</v>
      </c>
      <c r="BH4655" t="s">
        <v>84</v>
      </c>
      <c r="BI4655" t="s">
        <v>548</v>
      </c>
    </row>
    <row r="4656" spans="1:61" x14ac:dyDescent="0.3">
      <c r="A4656" t="str">
        <f>"201491B0100"</f>
        <v>201491B0100</v>
      </c>
      <c r="B4656" t="s">
        <v>9421</v>
      </c>
      <c r="C4656">
        <v>20</v>
      </c>
      <c r="D4656" t="s">
        <v>79</v>
      </c>
      <c r="E4656">
        <v>22</v>
      </c>
      <c r="F4656" t="s">
        <v>9267</v>
      </c>
      <c r="G4656">
        <v>1491</v>
      </c>
      <c r="H4656">
        <v>1</v>
      </c>
      <c r="I4656" t="s">
        <v>81</v>
      </c>
      <c r="J4656">
        <v>0</v>
      </c>
      <c r="K4656">
        <v>2</v>
      </c>
      <c r="L4656">
        <v>2</v>
      </c>
      <c r="M4656">
        <v>123</v>
      </c>
      <c r="N4656">
        <v>327</v>
      </c>
      <c r="O4656">
        <v>0</v>
      </c>
      <c r="P4656">
        <v>327</v>
      </c>
      <c r="Q4656">
        <v>1</v>
      </c>
      <c r="R4656">
        <v>89</v>
      </c>
      <c r="S4656">
        <v>86</v>
      </c>
      <c r="T4656">
        <v>1</v>
      </c>
      <c r="U4656">
        <v>4</v>
      </c>
      <c r="V4656">
        <v>1</v>
      </c>
      <c r="W4656">
        <v>0</v>
      </c>
      <c r="X4656">
        <v>1</v>
      </c>
      <c r="Y4656">
        <v>115</v>
      </c>
      <c r="Z4656">
        <v>5</v>
      </c>
      <c r="AA4656">
        <v>0</v>
      </c>
      <c r="AC4656">
        <v>0</v>
      </c>
      <c r="AD4656">
        <v>2</v>
      </c>
      <c r="AE4656">
        <v>0</v>
      </c>
      <c r="AF4656">
        <v>0</v>
      </c>
      <c r="AG4656">
        <v>2</v>
      </c>
      <c r="AH4656">
        <v>1</v>
      </c>
      <c r="AI4656">
        <v>0</v>
      </c>
      <c r="AJ4656">
        <v>0</v>
      </c>
      <c r="AK4656">
        <v>0</v>
      </c>
      <c r="AL4656">
        <v>1</v>
      </c>
      <c r="AM4656">
        <v>0</v>
      </c>
      <c r="AN4656">
        <v>2</v>
      </c>
      <c r="AT4656">
        <v>0</v>
      </c>
      <c r="AU4656">
        <v>16</v>
      </c>
      <c r="AV4656">
        <v>327</v>
      </c>
      <c r="AW4656">
        <v>327</v>
      </c>
      <c r="AX4656">
        <v>428</v>
      </c>
      <c r="BA4656">
        <v>1</v>
      </c>
      <c r="BC4656" t="s">
        <v>9422</v>
      </c>
      <c r="BD4656" s="4">
        <v>43283.21597222222</v>
      </c>
      <c r="BE4656" s="4">
        <v>43283.242071759261</v>
      </c>
      <c r="BF4656" s="4">
        <v>43283.242071759261</v>
      </c>
      <c r="BG4656" t="s">
        <v>83</v>
      </c>
      <c r="BH4656" t="s">
        <v>84</v>
      </c>
      <c r="BI4656" t="s">
        <v>85</v>
      </c>
    </row>
    <row r="4657" spans="1:61" x14ac:dyDescent="0.3">
      <c r="A4657" t="str">
        <f>"201491E0100"</f>
        <v>201491E0100</v>
      </c>
      <c r="B4657" s="2" t="s">
        <v>9423</v>
      </c>
      <c r="C4657">
        <v>20</v>
      </c>
      <c r="D4657" t="s">
        <v>79</v>
      </c>
      <c r="E4657">
        <v>22</v>
      </c>
      <c r="F4657" t="s">
        <v>9267</v>
      </c>
      <c r="G4657">
        <v>1491</v>
      </c>
      <c r="H4657">
        <v>1</v>
      </c>
      <c r="I4657" t="s">
        <v>145</v>
      </c>
      <c r="J4657">
        <v>0</v>
      </c>
      <c r="K4657">
        <v>2</v>
      </c>
      <c r="L4657">
        <v>2</v>
      </c>
      <c r="AX4657">
        <v>484</v>
      </c>
      <c r="AZ4657" t="s">
        <v>156</v>
      </c>
      <c r="BA4657">
        <v>0</v>
      </c>
      <c r="BC4657" t="s">
        <v>9424</v>
      </c>
      <c r="BD4657" s="4">
        <v>43283.736805555556</v>
      </c>
      <c r="BE4657" s="4">
        <v>43283.73914351852</v>
      </c>
      <c r="BF4657" s="4">
        <v>43283.73914351852</v>
      </c>
      <c r="BG4657" t="s">
        <v>83</v>
      </c>
      <c r="BH4657" t="s">
        <v>84</v>
      </c>
      <c r="BI4657" t="s">
        <v>85</v>
      </c>
    </row>
    <row r="4658" spans="1:61" x14ac:dyDescent="0.3">
      <c r="A4658" t="str">
        <f>"201609B0100"</f>
        <v>201609B0100</v>
      </c>
      <c r="B4658" t="s">
        <v>9425</v>
      </c>
      <c r="C4658">
        <v>20</v>
      </c>
      <c r="D4658" t="s">
        <v>79</v>
      </c>
      <c r="E4658">
        <v>22</v>
      </c>
      <c r="F4658" t="s">
        <v>9267</v>
      </c>
      <c r="G4658">
        <v>1609</v>
      </c>
      <c r="H4658">
        <v>1</v>
      </c>
      <c r="I4658" t="s">
        <v>81</v>
      </c>
      <c r="J4658">
        <v>0</v>
      </c>
      <c r="K4658">
        <v>1</v>
      </c>
      <c r="L4658">
        <v>2</v>
      </c>
      <c r="M4658">
        <v>124</v>
      </c>
      <c r="N4658">
        <v>399</v>
      </c>
      <c r="O4658">
        <v>0</v>
      </c>
      <c r="P4658">
        <v>399</v>
      </c>
      <c r="Q4658">
        <v>1</v>
      </c>
      <c r="R4658">
        <v>146</v>
      </c>
      <c r="S4658">
        <v>109</v>
      </c>
      <c r="T4658">
        <v>1</v>
      </c>
      <c r="U4658">
        <v>4</v>
      </c>
      <c r="V4658">
        <v>1</v>
      </c>
      <c r="W4658">
        <v>0</v>
      </c>
      <c r="X4658">
        <v>1</v>
      </c>
      <c r="Y4658">
        <v>102</v>
      </c>
      <c r="Z4658">
        <v>8</v>
      </c>
      <c r="AA4658">
        <v>0</v>
      </c>
      <c r="AC4658">
        <v>1</v>
      </c>
      <c r="AD4658">
        <v>0</v>
      </c>
      <c r="AE4658">
        <v>0</v>
      </c>
      <c r="AF4658">
        <v>0</v>
      </c>
      <c r="AG4658">
        <v>0</v>
      </c>
      <c r="AH4658">
        <v>0</v>
      </c>
      <c r="AI4658">
        <v>0</v>
      </c>
      <c r="AJ4658">
        <v>0</v>
      </c>
      <c r="AK4658">
        <v>2</v>
      </c>
      <c r="AL4658">
        <v>1</v>
      </c>
      <c r="AM4658">
        <v>0</v>
      </c>
      <c r="AN4658">
        <v>2</v>
      </c>
      <c r="AT4658">
        <v>0</v>
      </c>
      <c r="AU4658">
        <v>20</v>
      </c>
      <c r="AV4658">
        <v>399</v>
      </c>
      <c r="AW4658">
        <v>399</v>
      </c>
      <c r="AX4658">
        <v>501</v>
      </c>
      <c r="BA4658">
        <v>1</v>
      </c>
      <c r="BC4658" t="s">
        <v>9426</v>
      </c>
      <c r="BD4658" s="4">
        <v>43283.152777777781</v>
      </c>
      <c r="BE4658" s="4">
        <v>43283.168703703705</v>
      </c>
      <c r="BF4658" s="4">
        <v>43283.168703703705</v>
      </c>
      <c r="BG4658" t="s">
        <v>83</v>
      </c>
      <c r="BH4658" t="s">
        <v>84</v>
      </c>
      <c r="BI4658" t="s">
        <v>85</v>
      </c>
    </row>
    <row r="4659" spans="1:61" x14ac:dyDescent="0.3">
      <c r="A4659" t="str">
        <f>"201609C0100"</f>
        <v>201609C0100</v>
      </c>
      <c r="B4659" t="s">
        <v>9427</v>
      </c>
      <c r="C4659">
        <v>20</v>
      </c>
      <c r="D4659" t="s">
        <v>79</v>
      </c>
      <c r="E4659">
        <v>22</v>
      </c>
      <c r="F4659" t="s">
        <v>9267</v>
      </c>
      <c r="G4659">
        <v>1609</v>
      </c>
      <c r="H4659">
        <v>1</v>
      </c>
      <c r="I4659" t="s">
        <v>89</v>
      </c>
      <c r="J4659">
        <v>0</v>
      </c>
      <c r="K4659">
        <v>1</v>
      </c>
      <c r="L4659">
        <v>2</v>
      </c>
      <c r="M4659">
        <v>125</v>
      </c>
      <c r="N4659">
        <v>398</v>
      </c>
      <c r="O4659">
        <v>5</v>
      </c>
      <c r="P4659">
        <v>398</v>
      </c>
      <c r="Q4659">
        <v>3</v>
      </c>
      <c r="R4659">
        <v>167</v>
      </c>
      <c r="S4659">
        <v>120</v>
      </c>
      <c r="T4659">
        <v>0</v>
      </c>
      <c r="U4659">
        <v>4</v>
      </c>
      <c r="V4659">
        <v>0</v>
      </c>
      <c r="W4659">
        <v>3</v>
      </c>
      <c r="X4659">
        <v>1</v>
      </c>
      <c r="Y4659">
        <v>82</v>
      </c>
      <c r="Z4659">
        <v>2</v>
      </c>
      <c r="AA4659">
        <v>1</v>
      </c>
      <c r="AC4659">
        <v>0</v>
      </c>
      <c r="AD4659">
        <v>0</v>
      </c>
      <c r="AE4659">
        <v>0</v>
      </c>
      <c r="AF4659">
        <v>0</v>
      </c>
      <c r="AG4659">
        <v>1</v>
      </c>
      <c r="AH4659">
        <v>0</v>
      </c>
      <c r="AI4659">
        <v>0</v>
      </c>
      <c r="AJ4659">
        <v>0</v>
      </c>
      <c r="AK4659">
        <v>1</v>
      </c>
      <c r="AL4659">
        <v>0</v>
      </c>
      <c r="AM4659">
        <v>0</v>
      </c>
      <c r="AN4659">
        <v>0</v>
      </c>
      <c r="AT4659">
        <v>0</v>
      </c>
      <c r="AU4659">
        <v>12</v>
      </c>
      <c r="AV4659">
        <v>398</v>
      </c>
      <c r="AW4659">
        <v>397</v>
      </c>
      <c r="AX4659">
        <v>501</v>
      </c>
      <c r="BA4659">
        <v>1</v>
      </c>
      <c r="BC4659" t="s">
        <v>9428</v>
      </c>
      <c r="BD4659" s="4">
        <v>43283.150694444441</v>
      </c>
      <c r="BE4659" s="4">
        <v>43283.167291666665</v>
      </c>
      <c r="BF4659" s="4">
        <v>43283.167291666665</v>
      </c>
      <c r="BG4659" t="s">
        <v>83</v>
      </c>
      <c r="BH4659" t="s">
        <v>84</v>
      </c>
      <c r="BI4659" t="s">
        <v>85</v>
      </c>
    </row>
    <row r="4660" spans="1:61" x14ac:dyDescent="0.3">
      <c r="A4660" t="str">
        <f>"201610B0100"</f>
        <v>201610B0100</v>
      </c>
      <c r="B4660" t="s">
        <v>9429</v>
      </c>
      <c r="C4660">
        <v>20</v>
      </c>
      <c r="D4660" t="s">
        <v>79</v>
      </c>
      <c r="E4660">
        <v>22</v>
      </c>
      <c r="F4660" t="s">
        <v>9267</v>
      </c>
      <c r="G4660">
        <v>1610</v>
      </c>
      <c r="H4660">
        <v>1</v>
      </c>
      <c r="I4660" t="s">
        <v>81</v>
      </c>
      <c r="J4660">
        <v>0</v>
      </c>
      <c r="K4660">
        <v>2</v>
      </c>
      <c r="L4660">
        <v>2</v>
      </c>
      <c r="M4660">
        <v>123</v>
      </c>
      <c r="N4660">
        <v>281</v>
      </c>
      <c r="O4660">
        <v>3</v>
      </c>
      <c r="P4660">
        <v>281</v>
      </c>
      <c r="Q4660">
        <v>0</v>
      </c>
      <c r="R4660">
        <v>112</v>
      </c>
      <c r="S4660">
        <v>24</v>
      </c>
      <c r="T4660">
        <v>0</v>
      </c>
      <c r="U4660">
        <v>0</v>
      </c>
      <c r="V4660">
        <v>1</v>
      </c>
      <c r="W4660">
        <v>1</v>
      </c>
      <c r="X4660">
        <v>0</v>
      </c>
      <c r="Y4660">
        <v>133</v>
      </c>
      <c r="Z4660">
        <v>0</v>
      </c>
      <c r="AA4660">
        <v>0</v>
      </c>
      <c r="AC4660">
        <v>0</v>
      </c>
      <c r="AD4660">
        <v>0</v>
      </c>
      <c r="AE4660">
        <v>0</v>
      </c>
      <c r="AF4660">
        <v>0</v>
      </c>
      <c r="AG4660">
        <v>1</v>
      </c>
      <c r="AH4660">
        <v>1</v>
      </c>
      <c r="AI4660">
        <v>0</v>
      </c>
      <c r="AJ4660">
        <v>0</v>
      </c>
      <c r="AK4660">
        <v>2</v>
      </c>
      <c r="AL4660">
        <v>0</v>
      </c>
      <c r="AM4660">
        <v>0</v>
      </c>
      <c r="AN4660">
        <v>1</v>
      </c>
      <c r="AT4660">
        <v>0</v>
      </c>
      <c r="AU4660">
        <v>5</v>
      </c>
      <c r="AV4660">
        <v>281</v>
      </c>
      <c r="AW4660">
        <v>281</v>
      </c>
      <c r="AX4660">
        <v>382</v>
      </c>
      <c r="BA4660">
        <v>1</v>
      </c>
      <c r="BC4660" t="s">
        <v>9430</v>
      </c>
      <c r="BD4660" s="4">
        <v>43283.151388888888</v>
      </c>
      <c r="BE4660" s="4">
        <v>43283.16810185185</v>
      </c>
      <c r="BF4660" s="4">
        <v>43283.16810185185</v>
      </c>
      <c r="BG4660" t="s">
        <v>83</v>
      </c>
      <c r="BH4660" t="s">
        <v>84</v>
      </c>
      <c r="BI4660" t="s">
        <v>85</v>
      </c>
    </row>
    <row r="4661" spans="1:61" x14ac:dyDescent="0.3">
      <c r="A4661" t="str">
        <f>"201610C0100"</f>
        <v>201610C0100</v>
      </c>
      <c r="B4661" t="s">
        <v>9431</v>
      </c>
      <c r="C4661">
        <v>20</v>
      </c>
      <c r="D4661" t="s">
        <v>79</v>
      </c>
      <c r="E4661">
        <v>22</v>
      </c>
      <c r="F4661" t="s">
        <v>9267</v>
      </c>
      <c r="G4661">
        <v>1610</v>
      </c>
      <c r="H4661">
        <v>1</v>
      </c>
      <c r="I4661" t="s">
        <v>89</v>
      </c>
      <c r="J4661">
        <v>0</v>
      </c>
      <c r="K4661">
        <v>2</v>
      </c>
      <c r="L4661">
        <v>2</v>
      </c>
      <c r="M4661">
        <v>122</v>
      </c>
      <c r="N4661">
        <v>280</v>
      </c>
      <c r="O4661">
        <v>1</v>
      </c>
      <c r="P4661">
        <v>280</v>
      </c>
      <c r="Q4661">
        <v>0</v>
      </c>
      <c r="R4661">
        <v>102</v>
      </c>
      <c r="S4661">
        <v>22</v>
      </c>
      <c r="T4661">
        <v>0</v>
      </c>
      <c r="U4661">
        <v>1</v>
      </c>
      <c r="V4661">
        <v>1</v>
      </c>
      <c r="W4661">
        <v>1</v>
      </c>
      <c r="X4661">
        <v>1</v>
      </c>
      <c r="Y4661">
        <v>143</v>
      </c>
      <c r="Z4661">
        <v>0</v>
      </c>
      <c r="AA4661">
        <v>1</v>
      </c>
      <c r="AC4661">
        <v>0</v>
      </c>
      <c r="AD4661">
        <v>0</v>
      </c>
      <c r="AE4661">
        <v>0</v>
      </c>
      <c r="AF4661">
        <v>0</v>
      </c>
      <c r="AG4661">
        <v>0</v>
      </c>
      <c r="AH4661">
        <v>1</v>
      </c>
      <c r="AI4661">
        <v>0</v>
      </c>
      <c r="AJ4661">
        <v>0</v>
      </c>
      <c r="AK4661">
        <v>0</v>
      </c>
      <c r="AL4661">
        <v>1</v>
      </c>
      <c r="AM4661">
        <v>0</v>
      </c>
      <c r="AN4661">
        <v>0</v>
      </c>
      <c r="AT4661">
        <v>0</v>
      </c>
      <c r="AU4661">
        <v>6</v>
      </c>
      <c r="AV4661">
        <v>280</v>
      </c>
      <c r="AW4661">
        <v>280</v>
      </c>
      <c r="AX4661">
        <v>381</v>
      </c>
      <c r="BA4661">
        <v>1</v>
      </c>
      <c r="BC4661" t="s">
        <v>9432</v>
      </c>
      <c r="BD4661" s="4">
        <v>43283.15347222222</v>
      </c>
      <c r="BE4661" s="4">
        <v>43283.169976851852</v>
      </c>
      <c r="BF4661" s="4">
        <v>43283.169976851852</v>
      </c>
      <c r="BG4661" t="s">
        <v>83</v>
      </c>
      <c r="BH4661" t="s">
        <v>84</v>
      </c>
      <c r="BI4661" t="s">
        <v>85</v>
      </c>
    </row>
    <row r="4662" spans="1:61" x14ac:dyDescent="0.3">
      <c r="A4662" t="str">
        <f>"201611B0100"</f>
        <v>201611B0100</v>
      </c>
      <c r="B4662" t="s">
        <v>9433</v>
      </c>
      <c r="C4662">
        <v>20</v>
      </c>
      <c r="D4662" t="s">
        <v>79</v>
      </c>
      <c r="E4662">
        <v>22</v>
      </c>
      <c r="F4662" t="s">
        <v>9267</v>
      </c>
      <c r="G4662">
        <v>1611</v>
      </c>
      <c r="H4662">
        <v>1</v>
      </c>
      <c r="I4662" t="s">
        <v>81</v>
      </c>
      <c r="J4662">
        <v>0</v>
      </c>
      <c r="K4662">
        <v>2</v>
      </c>
      <c r="L4662">
        <v>2</v>
      </c>
      <c r="M4662">
        <v>115</v>
      </c>
      <c r="N4662">
        <v>260</v>
      </c>
      <c r="O4662">
        <v>0</v>
      </c>
      <c r="P4662">
        <v>260</v>
      </c>
      <c r="Q4662">
        <v>1</v>
      </c>
      <c r="R4662">
        <v>80</v>
      </c>
      <c r="S4662">
        <v>27</v>
      </c>
      <c r="T4662">
        <v>3</v>
      </c>
      <c r="U4662">
        <v>2</v>
      </c>
      <c r="V4662">
        <v>0</v>
      </c>
      <c r="W4662">
        <v>0</v>
      </c>
      <c r="X4662">
        <v>1</v>
      </c>
      <c r="Y4662">
        <v>135</v>
      </c>
      <c r="Z4662">
        <v>1</v>
      </c>
      <c r="AA4662">
        <v>0</v>
      </c>
      <c r="AC4662">
        <v>1</v>
      </c>
      <c r="AD4662">
        <v>0</v>
      </c>
      <c r="AE4662">
        <v>0</v>
      </c>
      <c r="AF4662">
        <v>0</v>
      </c>
      <c r="AG4662">
        <v>0</v>
      </c>
      <c r="AH4662">
        <v>0</v>
      </c>
      <c r="AI4662">
        <v>0</v>
      </c>
      <c r="AJ4662">
        <v>0</v>
      </c>
      <c r="AK4662">
        <v>2</v>
      </c>
      <c r="AL4662">
        <v>0</v>
      </c>
      <c r="AM4662">
        <v>1</v>
      </c>
      <c r="AN4662">
        <v>0</v>
      </c>
      <c r="AT4662">
        <v>0</v>
      </c>
      <c r="AU4662">
        <v>6</v>
      </c>
      <c r="AV4662">
        <v>260</v>
      </c>
      <c r="AW4662">
        <v>260</v>
      </c>
      <c r="AX4662">
        <v>353</v>
      </c>
      <c r="BA4662">
        <v>1</v>
      </c>
      <c r="BC4662" t="s">
        <v>9434</v>
      </c>
      <c r="BD4662" s="4">
        <v>43283.259027777778</v>
      </c>
      <c r="BE4662" s="4">
        <v>43283.288159722222</v>
      </c>
      <c r="BF4662" s="4">
        <v>43283.288159722222</v>
      </c>
      <c r="BG4662" t="s">
        <v>83</v>
      </c>
      <c r="BH4662" t="s">
        <v>84</v>
      </c>
      <c r="BI4662" t="s">
        <v>85</v>
      </c>
    </row>
    <row r="4663" spans="1:61" x14ac:dyDescent="0.3">
      <c r="A4663" t="str">
        <f>"201612B0100"</f>
        <v>201612B0100</v>
      </c>
      <c r="B4663" t="s">
        <v>9435</v>
      </c>
      <c r="C4663">
        <v>20</v>
      </c>
      <c r="D4663" t="s">
        <v>79</v>
      </c>
      <c r="E4663">
        <v>22</v>
      </c>
      <c r="F4663" t="s">
        <v>9267</v>
      </c>
      <c r="G4663">
        <v>1612</v>
      </c>
      <c r="H4663">
        <v>1</v>
      </c>
      <c r="I4663" t="s">
        <v>81</v>
      </c>
      <c r="J4663">
        <v>0</v>
      </c>
      <c r="K4663">
        <v>2</v>
      </c>
      <c r="L4663">
        <v>2</v>
      </c>
      <c r="M4663">
        <v>92</v>
      </c>
      <c r="N4663">
        <v>256</v>
      </c>
      <c r="O4663">
        <v>1</v>
      </c>
      <c r="P4663">
        <v>256</v>
      </c>
      <c r="Q4663">
        <v>1</v>
      </c>
      <c r="R4663">
        <v>125</v>
      </c>
      <c r="S4663">
        <v>61</v>
      </c>
      <c r="T4663">
        <v>1</v>
      </c>
      <c r="U4663">
        <v>3</v>
      </c>
      <c r="V4663">
        <v>0</v>
      </c>
      <c r="W4663">
        <v>0</v>
      </c>
      <c r="X4663">
        <v>0</v>
      </c>
      <c r="Y4663">
        <v>54</v>
      </c>
      <c r="Z4663">
        <v>1</v>
      </c>
      <c r="AA4663">
        <v>1</v>
      </c>
      <c r="AC4663">
        <v>0</v>
      </c>
      <c r="AD4663">
        <v>0</v>
      </c>
      <c r="AE4663">
        <v>0</v>
      </c>
      <c r="AF4663">
        <v>0</v>
      </c>
      <c r="AG4663">
        <v>1</v>
      </c>
      <c r="AH4663">
        <v>1</v>
      </c>
      <c r="AI4663">
        <v>0</v>
      </c>
      <c r="AJ4663">
        <v>0</v>
      </c>
      <c r="AK4663">
        <v>1</v>
      </c>
      <c r="AL4663">
        <v>0</v>
      </c>
      <c r="AM4663">
        <v>0</v>
      </c>
      <c r="AN4663">
        <v>0</v>
      </c>
      <c r="AT4663">
        <v>0</v>
      </c>
      <c r="AU4663">
        <v>6</v>
      </c>
      <c r="AV4663">
        <v>256</v>
      </c>
      <c r="AW4663">
        <v>256</v>
      </c>
      <c r="AX4663">
        <v>326</v>
      </c>
      <c r="BA4663">
        <v>1</v>
      </c>
      <c r="BC4663" t="s">
        <v>9436</v>
      </c>
      <c r="BD4663" s="4">
        <v>43283.263888888891</v>
      </c>
      <c r="BE4663" s="4">
        <v>43283.292071759257</v>
      </c>
      <c r="BF4663" s="4">
        <v>43283.292071759257</v>
      </c>
      <c r="BG4663" t="s">
        <v>83</v>
      </c>
      <c r="BH4663" t="s">
        <v>84</v>
      </c>
      <c r="BI4663" t="s">
        <v>85</v>
      </c>
    </row>
    <row r="4664" spans="1:61" x14ac:dyDescent="0.3">
      <c r="A4664" t="str">
        <f>"201612E0100"</f>
        <v>201612E0100</v>
      </c>
      <c r="B4664" s="2" t="s">
        <v>9437</v>
      </c>
      <c r="C4664">
        <v>20</v>
      </c>
      <c r="D4664" t="s">
        <v>79</v>
      </c>
      <c r="E4664">
        <v>22</v>
      </c>
      <c r="F4664" t="s">
        <v>9267</v>
      </c>
      <c r="G4664">
        <v>1612</v>
      </c>
      <c r="H4664">
        <v>1</v>
      </c>
      <c r="I4664" t="s">
        <v>145</v>
      </c>
      <c r="J4664">
        <v>0</v>
      </c>
      <c r="K4664">
        <v>2</v>
      </c>
      <c r="L4664">
        <v>2</v>
      </c>
      <c r="M4664">
        <v>161</v>
      </c>
      <c r="N4664">
        <v>395</v>
      </c>
      <c r="O4664">
        <v>10</v>
      </c>
      <c r="P4664">
        <v>395</v>
      </c>
      <c r="Q4664">
        <v>1</v>
      </c>
      <c r="R4664">
        <v>96</v>
      </c>
      <c r="S4664">
        <v>133</v>
      </c>
      <c r="T4664">
        <v>0</v>
      </c>
      <c r="U4664">
        <v>4</v>
      </c>
      <c r="V4664">
        <v>4</v>
      </c>
      <c r="W4664">
        <v>2</v>
      </c>
      <c r="X4664">
        <v>7</v>
      </c>
      <c r="Y4664">
        <v>135</v>
      </c>
      <c r="Z4664">
        <v>3</v>
      </c>
      <c r="AA4664">
        <v>0</v>
      </c>
      <c r="AC4664">
        <v>0</v>
      </c>
      <c r="AD4664">
        <v>0</v>
      </c>
      <c r="AE4664">
        <v>0</v>
      </c>
      <c r="AF4664">
        <v>0</v>
      </c>
      <c r="AG4664">
        <v>1</v>
      </c>
      <c r="AH4664">
        <v>0</v>
      </c>
      <c r="AI4664">
        <v>0</v>
      </c>
      <c r="AJ4664">
        <v>0</v>
      </c>
      <c r="AK4664">
        <v>2</v>
      </c>
      <c r="AL4664">
        <v>1</v>
      </c>
      <c r="AM4664">
        <v>0</v>
      </c>
      <c r="AN4664">
        <v>0</v>
      </c>
      <c r="AT4664">
        <v>0</v>
      </c>
      <c r="AU4664">
        <v>6</v>
      </c>
      <c r="AV4664">
        <v>395</v>
      </c>
      <c r="AW4664">
        <v>395</v>
      </c>
      <c r="AX4664">
        <v>534</v>
      </c>
      <c r="BA4664">
        <v>1</v>
      </c>
      <c r="BC4664" t="s">
        <v>9438</v>
      </c>
      <c r="BD4664" s="4">
        <v>43283.154166666667</v>
      </c>
      <c r="BE4664" s="4">
        <v>43283.172986111109</v>
      </c>
      <c r="BF4664" s="4">
        <v>43283.172986111109</v>
      </c>
      <c r="BG4664" t="s">
        <v>83</v>
      </c>
      <c r="BH4664" t="s">
        <v>84</v>
      </c>
      <c r="BI4664" t="s">
        <v>85</v>
      </c>
    </row>
    <row r="4665" spans="1:61" x14ac:dyDescent="0.3">
      <c r="A4665" t="str">
        <f>"201671B0100"</f>
        <v>201671B0100</v>
      </c>
      <c r="B4665" t="s">
        <v>9439</v>
      </c>
      <c r="C4665">
        <v>20</v>
      </c>
      <c r="D4665" t="s">
        <v>79</v>
      </c>
      <c r="E4665">
        <v>22</v>
      </c>
      <c r="F4665" t="s">
        <v>9267</v>
      </c>
      <c r="G4665">
        <v>1671</v>
      </c>
      <c r="H4665">
        <v>1</v>
      </c>
      <c r="I4665" t="s">
        <v>81</v>
      </c>
      <c r="J4665">
        <v>0</v>
      </c>
      <c r="K4665">
        <v>2</v>
      </c>
      <c r="L4665">
        <v>2</v>
      </c>
      <c r="M4665">
        <v>289</v>
      </c>
      <c r="N4665">
        <v>477</v>
      </c>
      <c r="O4665">
        <v>0</v>
      </c>
      <c r="P4665">
        <v>477</v>
      </c>
      <c r="Q4665">
        <v>11</v>
      </c>
      <c r="R4665">
        <v>131</v>
      </c>
      <c r="S4665">
        <v>68</v>
      </c>
      <c r="T4665">
        <v>6</v>
      </c>
      <c r="U4665">
        <v>17</v>
      </c>
      <c r="V4665">
        <v>4</v>
      </c>
      <c r="W4665">
        <v>0</v>
      </c>
      <c r="X4665">
        <v>6</v>
      </c>
      <c r="Y4665">
        <v>174</v>
      </c>
      <c r="Z4665">
        <v>7</v>
      </c>
      <c r="AA4665">
        <v>0</v>
      </c>
      <c r="AC4665">
        <v>0</v>
      </c>
      <c r="AD4665">
        <v>0</v>
      </c>
      <c r="AE4665">
        <v>1</v>
      </c>
      <c r="AF4665">
        <v>0</v>
      </c>
      <c r="AG4665">
        <v>1</v>
      </c>
      <c r="AH4665">
        <v>3</v>
      </c>
      <c r="AI4665">
        <v>0</v>
      </c>
      <c r="AJ4665">
        <v>0</v>
      </c>
      <c r="AK4665">
        <v>10</v>
      </c>
      <c r="AL4665">
        <v>0</v>
      </c>
      <c r="AM4665">
        <v>0</v>
      </c>
      <c r="AN4665">
        <v>0</v>
      </c>
      <c r="AT4665">
        <v>0</v>
      </c>
      <c r="AU4665">
        <v>38</v>
      </c>
      <c r="AV4665">
        <v>477</v>
      </c>
      <c r="AW4665">
        <v>477</v>
      </c>
      <c r="AX4665">
        <v>744</v>
      </c>
      <c r="BA4665">
        <v>1</v>
      </c>
      <c r="BC4665" t="s">
        <v>9440</v>
      </c>
      <c r="BD4665" s="4">
        <v>43283.325694444444</v>
      </c>
      <c r="BE4665" s="4">
        <v>43283.347500000003</v>
      </c>
      <c r="BF4665" s="4">
        <v>43283.347500000003</v>
      </c>
      <c r="BG4665" t="s">
        <v>83</v>
      </c>
      <c r="BH4665" t="s">
        <v>84</v>
      </c>
      <c r="BI4665" t="s">
        <v>85</v>
      </c>
    </row>
    <row r="4666" spans="1:61" x14ac:dyDescent="0.3">
      <c r="A4666" t="str">
        <f>"201671C0100"</f>
        <v>201671C0100</v>
      </c>
      <c r="B4666" t="s">
        <v>9441</v>
      </c>
      <c r="C4666">
        <v>20</v>
      </c>
      <c r="D4666" t="s">
        <v>79</v>
      </c>
      <c r="E4666">
        <v>22</v>
      </c>
      <c r="F4666" t="s">
        <v>9267</v>
      </c>
      <c r="G4666">
        <v>1671</v>
      </c>
      <c r="H4666">
        <v>1</v>
      </c>
      <c r="I4666" t="s">
        <v>89</v>
      </c>
      <c r="J4666">
        <v>0</v>
      </c>
      <c r="K4666">
        <v>2</v>
      </c>
      <c r="L4666">
        <v>2</v>
      </c>
      <c r="M4666">
        <v>298</v>
      </c>
      <c r="N4666">
        <v>467</v>
      </c>
      <c r="O4666">
        <v>0</v>
      </c>
      <c r="P4666">
        <v>467</v>
      </c>
      <c r="Q4666">
        <v>8</v>
      </c>
      <c r="R4666">
        <v>147</v>
      </c>
      <c r="S4666">
        <v>41</v>
      </c>
      <c r="T4666">
        <v>4</v>
      </c>
      <c r="U4666">
        <v>15</v>
      </c>
      <c r="V4666">
        <v>5</v>
      </c>
      <c r="W4666">
        <v>3</v>
      </c>
      <c r="X4666">
        <v>4</v>
      </c>
      <c r="Y4666">
        <v>191</v>
      </c>
      <c r="Z4666">
        <v>7</v>
      </c>
      <c r="AA4666">
        <v>1</v>
      </c>
      <c r="AC4666">
        <v>0</v>
      </c>
      <c r="AD4666">
        <v>0</v>
      </c>
      <c r="AE4666">
        <v>0</v>
      </c>
      <c r="AF4666">
        <v>0</v>
      </c>
      <c r="AG4666">
        <v>3</v>
      </c>
      <c r="AH4666">
        <v>4</v>
      </c>
      <c r="AI4666">
        <v>0</v>
      </c>
      <c r="AJ4666">
        <v>0</v>
      </c>
      <c r="AK4666">
        <v>5</v>
      </c>
      <c r="AL4666">
        <v>1</v>
      </c>
      <c r="AM4666">
        <v>0</v>
      </c>
      <c r="AN4666">
        <v>0</v>
      </c>
      <c r="AT4666">
        <v>0</v>
      </c>
      <c r="AU4666">
        <v>28</v>
      </c>
      <c r="AV4666">
        <v>467</v>
      </c>
      <c r="AW4666">
        <v>467</v>
      </c>
      <c r="AX4666">
        <v>743</v>
      </c>
      <c r="BA4666">
        <v>1</v>
      </c>
      <c r="BC4666" t="s">
        <v>9442</v>
      </c>
      <c r="BD4666" s="4">
        <v>43283.32708333333</v>
      </c>
      <c r="BE4666" s="4">
        <v>43283.348414351851</v>
      </c>
      <c r="BF4666" s="4">
        <v>43283.348414351851</v>
      </c>
      <c r="BG4666" t="s">
        <v>83</v>
      </c>
      <c r="BH4666" t="s">
        <v>84</v>
      </c>
      <c r="BI4666" t="s">
        <v>85</v>
      </c>
    </row>
    <row r="4667" spans="1:61" x14ac:dyDescent="0.3">
      <c r="A4667" t="str">
        <f>"201672B0100"</f>
        <v>201672B0100</v>
      </c>
      <c r="B4667" t="s">
        <v>9443</v>
      </c>
      <c r="C4667">
        <v>20</v>
      </c>
      <c r="D4667" t="s">
        <v>79</v>
      </c>
      <c r="E4667">
        <v>22</v>
      </c>
      <c r="F4667" t="s">
        <v>9267</v>
      </c>
      <c r="G4667">
        <v>1672</v>
      </c>
      <c r="H4667">
        <v>1</v>
      </c>
      <c r="I4667" t="s">
        <v>81</v>
      </c>
      <c r="J4667">
        <v>0</v>
      </c>
      <c r="K4667">
        <v>2</v>
      </c>
      <c r="L4667">
        <v>2</v>
      </c>
      <c r="M4667">
        <v>281</v>
      </c>
      <c r="N4667">
        <v>457</v>
      </c>
      <c r="O4667">
        <v>0</v>
      </c>
      <c r="P4667">
        <v>457</v>
      </c>
      <c r="Q4667">
        <v>10</v>
      </c>
      <c r="R4667">
        <v>144</v>
      </c>
      <c r="S4667">
        <v>44</v>
      </c>
      <c r="T4667">
        <v>5</v>
      </c>
      <c r="U4667">
        <v>8</v>
      </c>
      <c r="V4667">
        <v>4</v>
      </c>
      <c r="W4667">
        <v>4</v>
      </c>
      <c r="X4667">
        <v>7</v>
      </c>
      <c r="Y4667">
        <v>189</v>
      </c>
      <c r="Z4667">
        <v>4</v>
      </c>
      <c r="AA4667">
        <v>1</v>
      </c>
      <c r="AC4667">
        <v>0</v>
      </c>
      <c r="AD4667">
        <v>2</v>
      </c>
      <c r="AE4667">
        <v>0</v>
      </c>
      <c r="AF4667">
        <v>0</v>
      </c>
      <c r="AG4667">
        <v>1</v>
      </c>
      <c r="AH4667">
        <v>0</v>
      </c>
      <c r="AI4667">
        <v>0</v>
      </c>
      <c r="AJ4667">
        <v>0</v>
      </c>
      <c r="AK4667">
        <v>9</v>
      </c>
      <c r="AL4667">
        <v>1</v>
      </c>
      <c r="AM4667">
        <v>3</v>
      </c>
      <c r="AN4667">
        <v>3</v>
      </c>
      <c r="AT4667">
        <v>9</v>
      </c>
      <c r="AU4667">
        <v>10</v>
      </c>
      <c r="AV4667">
        <v>457</v>
      </c>
      <c r="AW4667">
        <v>458</v>
      </c>
      <c r="AX4667">
        <v>716</v>
      </c>
      <c r="BA4667">
        <v>1</v>
      </c>
      <c r="BC4667" t="s">
        <v>9444</v>
      </c>
      <c r="BD4667" s="4">
        <v>43283.342361111114</v>
      </c>
      <c r="BE4667" s="4">
        <v>43283.363252314812</v>
      </c>
      <c r="BF4667" s="4">
        <v>43283.363252314812</v>
      </c>
      <c r="BG4667" t="s">
        <v>83</v>
      </c>
      <c r="BH4667" t="s">
        <v>84</v>
      </c>
      <c r="BI4667" t="s">
        <v>85</v>
      </c>
    </row>
    <row r="4668" spans="1:61" x14ac:dyDescent="0.3">
      <c r="A4668" t="str">
        <f>"201672C0100"</f>
        <v>201672C0100</v>
      </c>
      <c r="B4668" t="s">
        <v>9445</v>
      </c>
      <c r="C4668">
        <v>20</v>
      </c>
      <c r="D4668" t="s">
        <v>79</v>
      </c>
      <c r="E4668">
        <v>22</v>
      </c>
      <c r="F4668" t="s">
        <v>9267</v>
      </c>
      <c r="G4668">
        <v>1672</v>
      </c>
      <c r="H4668">
        <v>1</v>
      </c>
      <c r="I4668" t="s">
        <v>89</v>
      </c>
      <c r="J4668">
        <v>0</v>
      </c>
      <c r="K4668">
        <v>2</v>
      </c>
      <c r="L4668">
        <v>2</v>
      </c>
      <c r="M4668">
        <v>260</v>
      </c>
      <c r="N4668" t="s">
        <v>315</v>
      </c>
      <c r="O4668">
        <v>0</v>
      </c>
      <c r="P4668">
        <v>477</v>
      </c>
      <c r="Q4668">
        <v>11</v>
      </c>
      <c r="R4668">
        <v>166</v>
      </c>
      <c r="S4668">
        <v>58</v>
      </c>
      <c r="T4668">
        <v>3</v>
      </c>
      <c r="U4668">
        <v>8</v>
      </c>
      <c r="V4668">
        <v>3</v>
      </c>
      <c r="W4668">
        <v>5</v>
      </c>
      <c r="X4668">
        <v>7</v>
      </c>
      <c r="Y4668">
        <v>177</v>
      </c>
      <c r="Z4668">
        <v>9</v>
      </c>
      <c r="AA4668">
        <v>0</v>
      </c>
      <c r="AC4668">
        <v>0</v>
      </c>
      <c r="AD4668">
        <v>0</v>
      </c>
      <c r="AE4668">
        <v>0</v>
      </c>
      <c r="AF4668">
        <v>0</v>
      </c>
      <c r="AG4668">
        <v>0</v>
      </c>
      <c r="AH4668">
        <v>1</v>
      </c>
      <c r="AI4668">
        <v>0</v>
      </c>
      <c r="AJ4668">
        <v>0</v>
      </c>
      <c r="AK4668">
        <v>4</v>
      </c>
      <c r="AL4668">
        <v>2</v>
      </c>
      <c r="AM4668">
        <v>0</v>
      </c>
      <c r="AN4668">
        <v>0</v>
      </c>
      <c r="AT4668">
        <v>0</v>
      </c>
      <c r="AU4668">
        <v>23</v>
      </c>
      <c r="AV4668">
        <v>477</v>
      </c>
      <c r="AW4668">
        <v>477</v>
      </c>
      <c r="AX4668">
        <v>715</v>
      </c>
      <c r="BA4668">
        <v>1</v>
      </c>
      <c r="BC4668" t="s">
        <v>9446</v>
      </c>
      <c r="BD4668" s="4">
        <v>43283.322222222225</v>
      </c>
      <c r="BE4668" s="4">
        <v>43283.342546296299</v>
      </c>
      <c r="BF4668" s="4">
        <v>43283.342546296299</v>
      </c>
      <c r="BG4668" t="s">
        <v>83</v>
      </c>
      <c r="BH4668" t="s">
        <v>84</v>
      </c>
      <c r="BI4668" t="s">
        <v>85</v>
      </c>
    </row>
    <row r="4669" spans="1:61" x14ac:dyDescent="0.3">
      <c r="A4669" t="str">
        <f>"201826B0100"</f>
        <v>201826B0100</v>
      </c>
      <c r="B4669" t="s">
        <v>9447</v>
      </c>
      <c r="C4669">
        <v>20</v>
      </c>
      <c r="D4669" t="s">
        <v>79</v>
      </c>
      <c r="E4669">
        <v>22</v>
      </c>
      <c r="F4669" t="s">
        <v>9267</v>
      </c>
      <c r="G4669">
        <v>1826</v>
      </c>
      <c r="H4669">
        <v>1</v>
      </c>
      <c r="I4669" t="s">
        <v>81</v>
      </c>
      <c r="J4669">
        <v>0</v>
      </c>
      <c r="K4669">
        <v>2</v>
      </c>
      <c r="L4669">
        <v>2</v>
      </c>
      <c r="M4669">
        <v>494</v>
      </c>
      <c r="N4669">
        <v>399</v>
      </c>
      <c r="O4669">
        <v>0</v>
      </c>
      <c r="P4669">
        <v>0</v>
      </c>
      <c r="Q4669">
        <v>19</v>
      </c>
      <c r="R4669">
        <v>12</v>
      </c>
      <c r="S4669">
        <v>32</v>
      </c>
      <c r="T4669">
        <v>161</v>
      </c>
      <c r="U4669">
        <v>1</v>
      </c>
      <c r="V4669">
        <v>81</v>
      </c>
      <c r="W4669">
        <v>0</v>
      </c>
      <c r="X4669">
        <v>3</v>
      </c>
      <c r="Y4669">
        <v>67</v>
      </c>
      <c r="Z4669">
        <v>2</v>
      </c>
      <c r="AA4669">
        <v>0</v>
      </c>
      <c r="AC4669">
        <v>0</v>
      </c>
      <c r="AD4669">
        <v>3</v>
      </c>
      <c r="AE4669">
        <v>0</v>
      </c>
      <c r="AF4669">
        <v>0</v>
      </c>
      <c r="AG4669">
        <v>1</v>
      </c>
      <c r="AH4669">
        <v>0</v>
      </c>
      <c r="AI4669">
        <v>4</v>
      </c>
      <c r="AJ4669">
        <v>0</v>
      </c>
      <c r="AK4669">
        <v>0</v>
      </c>
      <c r="AL4669">
        <v>0</v>
      </c>
      <c r="AM4669">
        <v>0</v>
      </c>
      <c r="AN4669">
        <v>0</v>
      </c>
      <c r="AT4669">
        <v>0</v>
      </c>
      <c r="AU4669" t="s">
        <v>100</v>
      </c>
      <c r="AV4669">
        <v>13</v>
      </c>
      <c r="AW4669">
        <v>386</v>
      </c>
      <c r="AX4669">
        <v>471</v>
      </c>
      <c r="AZ4669" t="s">
        <v>101</v>
      </c>
      <c r="BA4669">
        <v>1</v>
      </c>
      <c r="BC4669" t="s">
        <v>9448</v>
      </c>
      <c r="BD4669" s="4">
        <v>43283.122916666667</v>
      </c>
      <c r="BE4669" s="4">
        <v>43283.148587962962</v>
      </c>
      <c r="BF4669" s="4">
        <v>43283.148587962962</v>
      </c>
      <c r="BG4669" t="s">
        <v>83</v>
      </c>
      <c r="BH4669" t="s">
        <v>84</v>
      </c>
      <c r="BI4669" t="s">
        <v>85</v>
      </c>
    </row>
    <row r="4670" spans="1:61" x14ac:dyDescent="0.3">
      <c r="A4670" t="str">
        <f>"201826C0100"</f>
        <v>201826C0100</v>
      </c>
      <c r="B4670" t="s">
        <v>9449</v>
      </c>
      <c r="C4670">
        <v>20</v>
      </c>
      <c r="D4670" t="s">
        <v>79</v>
      </c>
      <c r="E4670">
        <v>22</v>
      </c>
      <c r="F4670" t="s">
        <v>9267</v>
      </c>
      <c r="G4670">
        <v>1826</v>
      </c>
      <c r="H4670">
        <v>1</v>
      </c>
      <c r="I4670" t="s">
        <v>89</v>
      </c>
      <c r="J4670">
        <v>0</v>
      </c>
      <c r="K4670">
        <v>2</v>
      </c>
      <c r="L4670">
        <v>2</v>
      </c>
      <c r="M4670">
        <v>109</v>
      </c>
      <c r="N4670">
        <v>383</v>
      </c>
      <c r="O4670">
        <v>0</v>
      </c>
      <c r="P4670">
        <v>485</v>
      </c>
      <c r="Q4670">
        <v>20</v>
      </c>
      <c r="R4670">
        <v>14</v>
      </c>
      <c r="S4670">
        <v>22</v>
      </c>
      <c r="T4670">
        <v>37</v>
      </c>
      <c r="U4670">
        <v>3</v>
      </c>
      <c r="V4670">
        <v>93</v>
      </c>
      <c r="W4670">
        <v>0</v>
      </c>
      <c r="X4670">
        <v>3</v>
      </c>
      <c r="Y4670">
        <v>53</v>
      </c>
      <c r="Z4670">
        <v>7</v>
      </c>
      <c r="AA4670">
        <v>0</v>
      </c>
      <c r="AC4670">
        <v>0</v>
      </c>
      <c r="AD4670">
        <v>6</v>
      </c>
      <c r="AE4670">
        <v>0</v>
      </c>
      <c r="AF4670">
        <v>0</v>
      </c>
      <c r="AG4670">
        <v>1</v>
      </c>
      <c r="AH4670">
        <v>0</v>
      </c>
      <c r="AI4670">
        <v>0</v>
      </c>
      <c r="AJ4670">
        <v>0</v>
      </c>
      <c r="AK4670">
        <v>2</v>
      </c>
      <c r="AL4670">
        <v>0</v>
      </c>
      <c r="AM4670">
        <v>0</v>
      </c>
      <c r="AN4670">
        <v>1</v>
      </c>
      <c r="AT4670">
        <v>0</v>
      </c>
      <c r="AU4670">
        <v>11</v>
      </c>
      <c r="AV4670">
        <v>485</v>
      </c>
      <c r="AW4670">
        <v>273</v>
      </c>
      <c r="AX4670">
        <v>470</v>
      </c>
      <c r="BA4670">
        <v>1</v>
      </c>
      <c r="BC4670" t="s">
        <v>9450</v>
      </c>
      <c r="BD4670" s="4">
        <v>43283.12222222222</v>
      </c>
      <c r="BE4670" s="4">
        <v>43283.129178240742</v>
      </c>
      <c r="BF4670" s="4">
        <v>43283.129178240742</v>
      </c>
      <c r="BG4670" t="s">
        <v>83</v>
      </c>
      <c r="BH4670" t="s">
        <v>84</v>
      </c>
      <c r="BI4670" t="s">
        <v>85</v>
      </c>
    </row>
    <row r="4671" spans="1:61" x14ac:dyDescent="0.3">
      <c r="A4671" t="str">
        <f>"201851B0100"</f>
        <v>201851B0100</v>
      </c>
      <c r="B4671" t="s">
        <v>9451</v>
      </c>
      <c r="C4671">
        <v>20</v>
      </c>
      <c r="D4671" t="s">
        <v>79</v>
      </c>
      <c r="E4671">
        <v>22</v>
      </c>
      <c r="F4671" t="s">
        <v>9267</v>
      </c>
      <c r="G4671">
        <v>1851</v>
      </c>
      <c r="H4671">
        <v>1</v>
      </c>
      <c r="I4671" t="s">
        <v>81</v>
      </c>
      <c r="J4671">
        <v>0</v>
      </c>
      <c r="K4671">
        <v>2</v>
      </c>
      <c r="L4671">
        <v>2</v>
      </c>
      <c r="M4671">
        <v>163</v>
      </c>
      <c r="N4671">
        <v>455</v>
      </c>
      <c r="O4671">
        <v>461</v>
      </c>
      <c r="P4671">
        <v>455</v>
      </c>
      <c r="Q4671">
        <v>4</v>
      </c>
      <c r="R4671">
        <v>75</v>
      </c>
      <c r="S4671">
        <v>175</v>
      </c>
      <c r="T4671">
        <v>38</v>
      </c>
      <c r="U4671">
        <v>4</v>
      </c>
      <c r="V4671">
        <v>2</v>
      </c>
      <c r="W4671">
        <v>5</v>
      </c>
      <c r="X4671">
        <v>2</v>
      </c>
      <c r="Y4671">
        <v>125</v>
      </c>
      <c r="Z4671">
        <v>2</v>
      </c>
      <c r="AA4671">
        <v>0</v>
      </c>
      <c r="AC4671">
        <v>1</v>
      </c>
      <c r="AD4671">
        <v>1</v>
      </c>
      <c r="AE4671">
        <v>0</v>
      </c>
      <c r="AF4671">
        <v>1</v>
      </c>
      <c r="AG4671">
        <v>0</v>
      </c>
      <c r="AH4671">
        <v>1</v>
      </c>
      <c r="AI4671">
        <v>1</v>
      </c>
      <c r="AJ4671">
        <v>0</v>
      </c>
      <c r="AK4671">
        <v>1</v>
      </c>
      <c r="AL4671">
        <v>1</v>
      </c>
      <c r="AM4671">
        <v>0</v>
      </c>
      <c r="AN4671">
        <v>0</v>
      </c>
      <c r="AT4671">
        <v>0</v>
      </c>
      <c r="AU4671">
        <v>21</v>
      </c>
      <c r="AV4671">
        <v>460</v>
      </c>
      <c r="AW4671">
        <v>460</v>
      </c>
      <c r="AX4671">
        <v>601</v>
      </c>
      <c r="BA4671">
        <v>1</v>
      </c>
      <c r="BC4671" t="s">
        <v>9452</v>
      </c>
      <c r="BD4671" s="4">
        <v>43283.307638888888</v>
      </c>
      <c r="BE4671" s="4">
        <v>43283.336770833332</v>
      </c>
      <c r="BF4671" s="4">
        <v>43283.336770833332</v>
      </c>
      <c r="BG4671" t="s">
        <v>83</v>
      </c>
      <c r="BH4671" t="s">
        <v>84</v>
      </c>
      <c r="BI4671" t="s">
        <v>85</v>
      </c>
    </row>
    <row r="4672" spans="1:61" x14ac:dyDescent="0.3">
      <c r="A4672" t="str">
        <f>"201851C0100"</f>
        <v>201851C0100</v>
      </c>
      <c r="B4672" t="s">
        <v>9453</v>
      </c>
      <c r="C4672">
        <v>20</v>
      </c>
      <c r="D4672" t="s">
        <v>79</v>
      </c>
      <c r="E4672">
        <v>22</v>
      </c>
      <c r="F4672" t="s">
        <v>9267</v>
      </c>
      <c r="G4672">
        <v>1851</v>
      </c>
      <c r="H4672">
        <v>1</v>
      </c>
      <c r="I4672" t="s">
        <v>89</v>
      </c>
      <c r="J4672">
        <v>0</v>
      </c>
      <c r="K4672">
        <v>2</v>
      </c>
      <c r="L4672">
        <v>2</v>
      </c>
      <c r="M4672">
        <v>156</v>
      </c>
      <c r="N4672">
        <v>466</v>
      </c>
      <c r="O4672">
        <v>3</v>
      </c>
      <c r="P4672">
        <v>466</v>
      </c>
      <c r="Q4672">
        <v>2</v>
      </c>
      <c r="R4672">
        <v>56</v>
      </c>
      <c r="S4672">
        <v>157</v>
      </c>
      <c r="T4672">
        <v>67</v>
      </c>
      <c r="U4672">
        <v>4</v>
      </c>
      <c r="V4672">
        <v>0</v>
      </c>
      <c r="W4672">
        <v>2</v>
      </c>
      <c r="X4672">
        <v>2</v>
      </c>
      <c r="Y4672">
        <v>147</v>
      </c>
      <c r="Z4672">
        <v>1</v>
      </c>
      <c r="AA4672">
        <v>1</v>
      </c>
      <c r="AC4672">
        <v>0</v>
      </c>
      <c r="AD4672">
        <v>0</v>
      </c>
      <c r="AE4672">
        <v>1</v>
      </c>
      <c r="AF4672">
        <v>0</v>
      </c>
      <c r="AG4672">
        <v>1</v>
      </c>
      <c r="AH4672">
        <v>2</v>
      </c>
      <c r="AI4672">
        <v>0</v>
      </c>
      <c r="AJ4672">
        <v>0</v>
      </c>
      <c r="AK4672">
        <v>0</v>
      </c>
      <c r="AL4672">
        <v>1</v>
      </c>
      <c r="AM4672">
        <v>0</v>
      </c>
      <c r="AN4672">
        <v>0</v>
      </c>
      <c r="AT4672">
        <v>0</v>
      </c>
      <c r="AU4672">
        <v>22</v>
      </c>
      <c r="AV4672">
        <v>466</v>
      </c>
      <c r="AW4672">
        <v>466</v>
      </c>
      <c r="AX4672">
        <v>600</v>
      </c>
      <c r="BA4672">
        <v>1</v>
      </c>
      <c r="BC4672" t="s">
        <v>9454</v>
      </c>
      <c r="BD4672" s="4">
        <v>43283.316666666666</v>
      </c>
      <c r="BE4672" s="4">
        <v>43283.359930555554</v>
      </c>
      <c r="BF4672" s="4">
        <v>43283.359930555554</v>
      </c>
      <c r="BG4672" t="s">
        <v>83</v>
      </c>
      <c r="BH4672" t="s">
        <v>84</v>
      </c>
      <c r="BI4672" t="s">
        <v>548</v>
      </c>
    </row>
    <row r="4673" spans="1:61" x14ac:dyDescent="0.3">
      <c r="A4673" t="str">
        <f>"201851C0200"</f>
        <v>201851C0200</v>
      </c>
      <c r="B4673" t="s">
        <v>9455</v>
      </c>
      <c r="C4673">
        <v>20</v>
      </c>
      <c r="D4673" t="s">
        <v>79</v>
      </c>
      <c r="E4673">
        <v>22</v>
      </c>
      <c r="F4673" t="s">
        <v>9267</v>
      </c>
      <c r="G4673">
        <v>1851</v>
      </c>
      <c r="H4673">
        <v>2</v>
      </c>
      <c r="I4673" t="s">
        <v>89</v>
      </c>
      <c r="J4673">
        <v>0</v>
      </c>
      <c r="K4673">
        <v>2</v>
      </c>
      <c r="L4673">
        <v>2</v>
      </c>
      <c r="M4673">
        <v>146</v>
      </c>
      <c r="N4673">
        <v>476</v>
      </c>
      <c r="O4673">
        <v>0</v>
      </c>
      <c r="P4673">
        <v>476</v>
      </c>
      <c r="Q4673">
        <v>7</v>
      </c>
      <c r="R4673">
        <v>81</v>
      </c>
      <c r="S4673">
        <v>162</v>
      </c>
      <c r="T4673">
        <v>54</v>
      </c>
      <c r="U4673">
        <v>8</v>
      </c>
      <c r="V4673">
        <v>2</v>
      </c>
      <c r="W4673">
        <v>2</v>
      </c>
      <c r="X4673">
        <v>2</v>
      </c>
      <c r="Y4673">
        <v>121</v>
      </c>
      <c r="Z4673">
        <v>1</v>
      </c>
      <c r="AA4673">
        <v>2</v>
      </c>
      <c r="AC4673" t="s">
        <v>100</v>
      </c>
      <c r="AD4673">
        <v>3</v>
      </c>
      <c r="AE4673" t="s">
        <v>100</v>
      </c>
      <c r="AF4673">
        <v>1</v>
      </c>
      <c r="AG4673">
        <v>1</v>
      </c>
      <c r="AH4673">
        <v>2</v>
      </c>
      <c r="AI4673" t="s">
        <v>100</v>
      </c>
      <c r="AJ4673">
        <v>1</v>
      </c>
      <c r="AK4673" t="s">
        <v>100</v>
      </c>
      <c r="AL4673" t="s">
        <v>100</v>
      </c>
      <c r="AM4673" t="s">
        <v>100</v>
      </c>
      <c r="AN4673" t="s">
        <v>100</v>
      </c>
      <c r="AT4673" t="s">
        <v>315</v>
      </c>
      <c r="AU4673">
        <v>26</v>
      </c>
      <c r="AV4673" t="s">
        <v>100</v>
      </c>
      <c r="AW4673">
        <v>476</v>
      </c>
      <c r="AX4673">
        <v>600</v>
      </c>
      <c r="AZ4673" t="s">
        <v>101</v>
      </c>
      <c r="BA4673">
        <v>1</v>
      </c>
      <c r="BC4673" t="s">
        <v>9456</v>
      </c>
      <c r="BD4673" s="4">
        <v>43283.62222222222</v>
      </c>
      <c r="BE4673" s="4">
        <v>43283.632523148146</v>
      </c>
      <c r="BF4673" s="4">
        <v>43283.632523148146</v>
      </c>
      <c r="BG4673" t="s">
        <v>83</v>
      </c>
      <c r="BH4673" t="s">
        <v>84</v>
      </c>
      <c r="BI4673" t="s">
        <v>85</v>
      </c>
    </row>
    <row r="4674" spans="1:61" x14ac:dyDescent="0.3">
      <c r="A4674" t="str">
        <f>"201851E0100"</f>
        <v>201851E0100</v>
      </c>
      <c r="B4674" s="2" t="s">
        <v>9457</v>
      </c>
      <c r="C4674">
        <v>20</v>
      </c>
      <c r="D4674" t="s">
        <v>79</v>
      </c>
      <c r="E4674">
        <v>22</v>
      </c>
      <c r="F4674" t="s">
        <v>9267</v>
      </c>
      <c r="G4674">
        <v>1851</v>
      </c>
      <c r="H4674">
        <v>1</v>
      </c>
      <c r="I4674" t="s">
        <v>145</v>
      </c>
      <c r="J4674">
        <v>0</v>
      </c>
      <c r="K4674">
        <v>2</v>
      </c>
      <c r="L4674">
        <v>2</v>
      </c>
      <c r="M4674">
        <v>76</v>
      </c>
      <c r="N4674">
        <v>186</v>
      </c>
      <c r="O4674">
        <v>11</v>
      </c>
      <c r="P4674" t="s">
        <v>100</v>
      </c>
      <c r="Q4674">
        <v>2</v>
      </c>
      <c r="R4674">
        <v>51</v>
      </c>
      <c r="S4674">
        <v>68</v>
      </c>
      <c r="T4674">
        <v>19</v>
      </c>
      <c r="U4674">
        <v>2</v>
      </c>
      <c r="V4674">
        <v>0</v>
      </c>
      <c r="W4674">
        <v>2</v>
      </c>
      <c r="X4674">
        <v>1</v>
      </c>
      <c r="Y4674">
        <v>29</v>
      </c>
      <c r="Z4674">
        <v>3</v>
      </c>
      <c r="AA4674">
        <v>0</v>
      </c>
      <c r="AC4674">
        <v>0</v>
      </c>
      <c r="AD4674">
        <v>0</v>
      </c>
      <c r="AE4674">
        <v>0</v>
      </c>
      <c r="AF4674">
        <v>0</v>
      </c>
      <c r="AG4674">
        <v>0</v>
      </c>
      <c r="AH4674">
        <v>0</v>
      </c>
      <c r="AI4674">
        <v>0</v>
      </c>
      <c r="AJ4674">
        <v>0</v>
      </c>
      <c r="AK4674">
        <v>0</v>
      </c>
      <c r="AL4674">
        <v>0</v>
      </c>
      <c r="AM4674">
        <v>0</v>
      </c>
      <c r="AN4674">
        <v>2</v>
      </c>
      <c r="AT4674">
        <v>0</v>
      </c>
      <c r="AU4674">
        <v>7</v>
      </c>
      <c r="AV4674">
        <v>186</v>
      </c>
      <c r="AW4674">
        <v>186</v>
      </c>
      <c r="AX4674">
        <v>240</v>
      </c>
      <c r="BA4674">
        <v>1</v>
      </c>
      <c r="BC4674" t="s">
        <v>9458</v>
      </c>
      <c r="BD4674" s="4">
        <v>43283.317361111112</v>
      </c>
      <c r="BE4674" s="4">
        <v>43283.343946759262</v>
      </c>
      <c r="BF4674" s="4">
        <v>43283.343946759262</v>
      </c>
      <c r="BG4674" t="s">
        <v>83</v>
      </c>
      <c r="BH4674" t="s">
        <v>84</v>
      </c>
      <c r="BI4674" t="s">
        <v>85</v>
      </c>
    </row>
    <row r="4675" spans="1:61" x14ac:dyDescent="0.3">
      <c r="A4675" t="str">
        <f>"201852B0100"</f>
        <v>201852B0100</v>
      </c>
      <c r="B4675" t="s">
        <v>9459</v>
      </c>
      <c r="C4675">
        <v>20</v>
      </c>
      <c r="D4675" t="s">
        <v>79</v>
      </c>
      <c r="E4675">
        <v>22</v>
      </c>
      <c r="F4675" t="s">
        <v>9267</v>
      </c>
      <c r="G4675">
        <v>1852</v>
      </c>
      <c r="H4675">
        <v>1</v>
      </c>
      <c r="I4675" t="s">
        <v>81</v>
      </c>
      <c r="J4675">
        <v>0</v>
      </c>
      <c r="K4675">
        <v>1</v>
      </c>
      <c r="L4675">
        <v>2</v>
      </c>
      <c r="M4675">
        <v>166</v>
      </c>
      <c r="N4675">
        <v>519</v>
      </c>
      <c r="O4675">
        <v>6</v>
      </c>
      <c r="P4675">
        <v>519</v>
      </c>
      <c r="Q4675">
        <v>8</v>
      </c>
      <c r="R4675">
        <v>70</v>
      </c>
      <c r="S4675">
        <v>210</v>
      </c>
      <c r="T4675">
        <v>50</v>
      </c>
      <c r="U4675">
        <v>10</v>
      </c>
      <c r="V4675">
        <v>2</v>
      </c>
      <c r="W4675">
        <v>11</v>
      </c>
      <c r="X4675">
        <v>2</v>
      </c>
      <c r="Y4675">
        <v>133</v>
      </c>
      <c r="Z4675">
        <v>0</v>
      </c>
      <c r="AA4675">
        <v>0</v>
      </c>
      <c r="AC4675">
        <v>1</v>
      </c>
      <c r="AD4675">
        <v>0</v>
      </c>
      <c r="AE4675">
        <v>0</v>
      </c>
      <c r="AF4675">
        <v>1</v>
      </c>
      <c r="AG4675">
        <v>0</v>
      </c>
      <c r="AH4675">
        <v>2</v>
      </c>
      <c r="AI4675">
        <v>0</v>
      </c>
      <c r="AJ4675">
        <v>1</v>
      </c>
      <c r="AK4675">
        <v>1</v>
      </c>
      <c r="AL4675">
        <v>3</v>
      </c>
      <c r="AM4675">
        <v>0</v>
      </c>
      <c r="AN4675">
        <v>0</v>
      </c>
      <c r="AT4675">
        <v>0</v>
      </c>
      <c r="AU4675">
        <v>14</v>
      </c>
      <c r="AV4675">
        <v>519</v>
      </c>
      <c r="AW4675">
        <v>519</v>
      </c>
      <c r="AX4675">
        <v>663</v>
      </c>
      <c r="BA4675">
        <v>1</v>
      </c>
      <c r="BC4675" t="s">
        <v>9460</v>
      </c>
      <c r="BD4675" s="4">
        <v>43283.316666666666</v>
      </c>
      <c r="BE4675" s="4">
        <v>43283.339942129627</v>
      </c>
      <c r="BF4675" s="4">
        <v>43283.339942129627</v>
      </c>
      <c r="BG4675" t="s">
        <v>83</v>
      </c>
      <c r="BH4675" t="s">
        <v>84</v>
      </c>
      <c r="BI4675" t="s">
        <v>85</v>
      </c>
    </row>
    <row r="4676" spans="1:61" x14ac:dyDescent="0.3">
      <c r="A4676" t="str">
        <f>"201852C0100"</f>
        <v>201852C0100</v>
      </c>
      <c r="B4676" t="s">
        <v>9461</v>
      </c>
      <c r="C4676">
        <v>20</v>
      </c>
      <c r="D4676" t="s">
        <v>79</v>
      </c>
      <c r="E4676">
        <v>22</v>
      </c>
      <c r="F4676" t="s">
        <v>9267</v>
      </c>
      <c r="G4676">
        <v>1852</v>
      </c>
      <c r="H4676">
        <v>1</v>
      </c>
      <c r="I4676" t="s">
        <v>89</v>
      </c>
      <c r="J4676">
        <v>0</v>
      </c>
      <c r="K4676">
        <v>1</v>
      </c>
      <c r="L4676">
        <v>2</v>
      </c>
      <c r="M4676">
        <v>158</v>
      </c>
      <c r="N4676">
        <v>685</v>
      </c>
      <c r="O4676">
        <v>5</v>
      </c>
      <c r="P4676" t="s">
        <v>315</v>
      </c>
      <c r="Q4676">
        <v>5</v>
      </c>
      <c r="R4676">
        <v>64</v>
      </c>
      <c r="S4676">
        <v>190</v>
      </c>
      <c r="T4676">
        <v>49</v>
      </c>
      <c r="U4676">
        <v>6</v>
      </c>
      <c r="V4676">
        <v>1</v>
      </c>
      <c r="W4676">
        <v>8</v>
      </c>
      <c r="X4676">
        <v>4</v>
      </c>
      <c r="Y4676">
        <v>149</v>
      </c>
      <c r="Z4676">
        <v>0</v>
      </c>
      <c r="AA4676">
        <v>0</v>
      </c>
      <c r="AC4676">
        <v>1</v>
      </c>
      <c r="AD4676">
        <v>1</v>
      </c>
      <c r="AE4676">
        <v>0</v>
      </c>
      <c r="AF4676">
        <v>0</v>
      </c>
      <c r="AG4676">
        <v>0</v>
      </c>
      <c r="AH4676">
        <v>2</v>
      </c>
      <c r="AI4676">
        <v>0</v>
      </c>
      <c r="AJ4676">
        <v>0</v>
      </c>
      <c r="AK4676">
        <v>0</v>
      </c>
      <c r="AL4676">
        <v>1</v>
      </c>
      <c r="AM4676">
        <v>0</v>
      </c>
      <c r="AN4676">
        <v>1</v>
      </c>
      <c r="AT4676">
        <v>0</v>
      </c>
      <c r="AU4676">
        <v>32</v>
      </c>
      <c r="AV4676" t="s">
        <v>100</v>
      </c>
      <c r="AW4676">
        <v>514</v>
      </c>
      <c r="AX4676">
        <v>663</v>
      </c>
      <c r="BA4676">
        <v>1</v>
      </c>
      <c r="BC4676" t="s">
        <v>9462</v>
      </c>
      <c r="BD4676" s="4">
        <v>43283.623611111114</v>
      </c>
      <c r="BE4676" s="4">
        <v>43283.626655092594</v>
      </c>
      <c r="BF4676" s="4">
        <v>43283.626655092594</v>
      </c>
      <c r="BG4676" t="s">
        <v>83</v>
      </c>
      <c r="BH4676" t="s">
        <v>84</v>
      </c>
      <c r="BI4676" t="s">
        <v>548</v>
      </c>
    </row>
    <row r="4677" spans="1:61" x14ac:dyDescent="0.3">
      <c r="A4677" t="str">
        <f>"201852C0200"</f>
        <v>201852C0200</v>
      </c>
      <c r="B4677" t="s">
        <v>9463</v>
      </c>
      <c r="C4677">
        <v>20</v>
      </c>
      <c r="D4677" t="s">
        <v>79</v>
      </c>
      <c r="E4677">
        <v>22</v>
      </c>
      <c r="F4677" t="s">
        <v>9267</v>
      </c>
      <c r="G4677">
        <v>1852</v>
      </c>
      <c r="H4677">
        <v>2</v>
      </c>
      <c r="I4677" t="s">
        <v>89</v>
      </c>
      <c r="J4677">
        <v>0</v>
      </c>
      <c r="K4677">
        <v>1</v>
      </c>
      <c r="L4677">
        <v>2</v>
      </c>
      <c r="M4677">
        <v>166</v>
      </c>
      <c r="N4677">
        <v>519</v>
      </c>
      <c r="O4677">
        <v>2</v>
      </c>
      <c r="P4677">
        <v>519</v>
      </c>
      <c r="Q4677">
        <v>3</v>
      </c>
      <c r="R4677">
        <v>93</v>
      </c>
      <c r="S4677">
        <v>178</v>
      </c>
      <c r="T4677">
        <v>44</v>
      </c>
      <c r="U4677">
        <v>5</v>
      </c>
      <c r="V4677">
        <v>3</v>
      </c>
      <c r="W4677">
        <v>14</v>
      </c>
      <c r="X4677">
        <v>2</v>
      </c>
      <c r="Y4677">
        <v>139</v>
      </c>
      <c r="Z4677">
        <v>5</v>
      </c>
      <c r="AA4677">
        <v>1</v>
      </c>
      <c r="AC4677">
        <v>1</v>
      </c>
      <c r="AD4677">
        <v>1</v>
      </c>
      <c r="AE4677">
        <v>0</v>
      </c>
      <c r="AF4677">
        <v>1</v>
      </c>
      <c r="AG4677">
        <v>1</v>
      </c>
      <c r="AH4677">
        <v>0</v>
      </c>
      <c r="AI4677">
        <v>0</v>
      </c>
      <c r="AJ4677">
        <v>0</v>
      </c>
      <c r="AK4677">
        <v>0</v>
      </c>
      <c r="AL4677">
        <v>1</v>
      </c>
      <c r="AM4677">
        <v>0</v>
      </c>
      <c r="AN4677">
        <v>0</v>
      </c>
      <c r="AT4677">
        <v>0</v>
      </c>
      <c r="AU4677">
        <v>26</v>
      </c>
      <c r="AV4677">
        <v>518</v>
      </c>
      <c r="AW4677">
        <v>518</v>
      </c>
      <c r="AX4677">
        <v>663</v>
      </c>
      <c r="BA4677">
        <v>1</v>
      </c>
      <c r="BC4677" t="s">
        <v>9464</v>
      </c>
      <c r="BD4677" s="4">
        <v>43283.319444444445</v>
      </c>
      <c r="BE4677" s="4">
        <v>43283.341307870367</v>
      </c>
      <c r="BF4677" s="4">
        <v>43283.341307870367</v>
      </c>
      <c r="BG4677" t="s">
        <v>83</v>
      </c>
      <c r="BH4677" t="s">
        <v>84</v>
      </c>
      <c r="BI4677" t="s">
        <v>85</v>
      </c>
    </row>
    <row r="4678" spans="1:61" x14ac:dyDescent="0.3">
      <c r="A4678" t="str">
        <f>"201853B0100"</f>
        <v>201853B0100</v>
      </c>
      <c r="B4678" t="s">
        <v>9465</v>
      </c>
      <c r="C4678">
        <v>20</v>
      </c>
      <c r="D4678" t="s">
        <v>79</v>
      </c>
      <c r="E4678">
        <v>22</v>
      </c>
      <c r="F4678" t="s">
        <v>9267</v>
      </c>
      <c r="G4678">
        <v>1853</v>
      </c>
      <c r="H4678">
        <v>1</v>
      </c>
      <c r="I4678" t="s">
        <v>81</v>
      </c>
      <c r="J4678">
        <v>0</v>
      </c>
      <c r="K4678">
        <v>2</v>
      </c>
      <c r="L4678">
        <v>2</v>
      </c>
      <c r="M4678">
        <v>116</v>
      </c>
      <c r="N4678">
        <v>315</v>
      </c>
      <c r="O4678">
        <v>2</v>
      </c>
      <c r="P4678">
        <v>315</v>
      </c>
      <c r="Q4678">
        <v>2</v>
      </c>
      <c r="R4678">
        <v>104</v>
      </c>
      <c r="S4678">
        <v>86</v>
      </c>
      <c r="T4678">
        <v>48</v>
      </c>
      <c r="U4678">
        <v>1</v>
      </c>
      <c r="V4678">
        <v>5</v>
      </c>
      <c r="W4678">
        <v>5</v>
      </c>
      <c r="X4678">
        <v>3</v>
      </c>
      <c r="Y4678">
        <v>39</v>
      </c>
      <c r="Z4678">
        <v>0</v>
      </c>
      <c r="AA4678">
        <v>0</v>
      </c>
      <c r="AC4678">
        <v>0</v>
      </c>
      <c r="AD4678">
        <v>0</v>
      </c>
      <c r="AE4678">
        <v>0</v>
      </c>
      <c r="AF4678">
        <v>0</v>
      </c>
      <c r="AG4678">
        <v>0</v>
      </c>
      <c r="AH4678">
        <v>0</v>
      </c>
      <c r="AI4678">
        <v>0</v>
      </c>
      <c r="AJ4678">
        <v>0</v>
      </c>
      <c r="AK4678">
        <v>0</v>
      </c>
      <c r="AL4678">
        <v>0</v>
      </c>
      <c r="AM4678">
        <v>0</v>
      </c>
      <c r="AN4678">
        <v>0</v>
      </c>
      <c r="AT4678">
        <v>0</v>
      </c>
      <c r="AU4678">
        <v>22</v>
      </c>
      <c r="AV4678">
        <v>315</v>
      </c>
      <c r="AW4678">
        <v>315</v>
      </c>
      <c r="AX4678">
        <v>409</v>
      </c>
      <c r="BA4678">
        <v>1</v>
      </c>
      <c r="BC4678" t="s">
        <v>9466</v>
      </c>
      <c r="BD4678" s="4">
        <v>43283.364583333336</v>
      </c>
      <c r="BE4678" s="4">
        <v>43283.375532407408</v>
      </c>
      <c r="BF4678" s="4">
        <v>43283.375532407408</v>
      </c>
      <c r="BG4678" t="s">
        <v>83</v>
      </c>
      <c r="BH4678" t="s">
        <v>84</v>
      </c>
      <c r="BI4678" t="s">
        <v>85</v>
      </c>
    </row>
    <row r="4679" spans="1:61" x14ac:dyDescent="0.3">
      <c r="A4679" t="str">
        <f>"201853E0100"</f>
        <v>201853E0100</v>
      </c>
      <c r="B4679" s="2" t="s">
        <v>9467</v>
      </c>
      <c r="C4679">
        <v>20</v>
      </c>
      <c r="D4679" t="s">
        <v>79</v>
      </c>
      <c r="E4679">
        <v>22</v>
      </c>
      <c r="F4679" t="s">
        <v>9267</v>
      </c>
      <c r="G4679">
        <v>1853</v>
      </c>
      <c r="H4679">
        <v>1</v>
      </c>
      <c r="I4679" t="s">
        <v>145</v>
      </c>
      <c r="J4679">
        <v>0</v>
      </c>
      <c r="K4679">
        <v>2</v>
      </c>
      <c r="L4679">
        <v>2</v>
      </c>
      <c r="M4679">
        <v>224</v>
      </c>
      <c r="N4679">
        <v>534</v>
      </c>
      <c r="O4679">
        <v>0</v>
      </c>
      <c r="P4679">
        <v>534</v>
      </c>
      <c r="Q4679">
        <v>4</v>
      </c>
      <c r="R4679">
        <v>98</v>
      </c>
      <c r="S4679">
        <v>133</v>
      </c>
      <c r="T4679">
        <v>117</v>
      </c>
      <c r="U4679">
        <v>9</v>
      </c>
      <c r="V4679">
        <v>8</v>
      </c>
      <c r="W4679">
        <v>24</v>
      </c>
      <c r="X4679">
        <v>6</v>
      </c>
      <c r="Y4679">
        <v>90</v>
      </c>
      <c r="Z4679">
        <v>3</v>
      </c>
      <c r="AA4679">
        <v>2</v>
      </c>
      <c r="AC4679">
        <v>0</v>
      </c>
      <c r="AD4679">
        <v>1</v>
      </c>
      <c r="AE4679">
        <v>0</v>
      </c>
      <c r="AF4679">
        <v>0</v>
      </c>
      <c r="AG4679">
        <v>2</v>
      </c>
      <c r="AH4679">
        <v>0</v>
      </c>
      <c r="AI4679">
        <v>0</v>
      </c>
      <c r="AJ4679">
        <v>1</v>
      </c>
      <c r="AK4679">
        <v>0</v>
      </c>
      <c r="AL4679">
        <v>1</v>
      </c>
      <c r="AM4679">
        <v>0</v>
      </c>
      <c r="AN4679">
        <v>0</v>
      </c>
      <c r="AT4679">
        <v>0</v>
      </c>
      <c r="AU4679">
        <v>34</v>
      </c>
      <c r="AV4679">
        <v>534</v>
      </c>
      <c r="AW4679">
        <v>533</v>
      </c>
      <c r="AX4679">
        <v>736</v>
      </c>
      <c r="BA4679">
        <v>1</v>
      </c>
      <c r="BC4679" t="s">
        <v>9468</v>
      </c>
      <c r="BD4679" s="4">
        <v>43283.359722222223</v>
      </c>
      <c r="BE4679" s="4">
        <v>43283.376122685186</v>
      </c>
      <c r="BF4679" s="4">
        <v>43283.376122685186</v>
      </c>
      <c r="BG4679" t="s">
        <v>83</v>
      </c>
      <c r="BH4679" t="s">
        <v>84</v>
      </c>
      <c r="BI4679" t="s">
        <v>85</v>
      </c>
    </row>
    <row r="4680" spans="1:61" x14ac:dyDescent="0.3">
      <c r="A4680" t="str">
        <f>"201854B0100"</f>
        <v>201854B0100</v>
      </c>
      <c r="B4680" t="s">
        <v>9469</v>
      </c>
      <c r="C4680">
        <v>20</v>
      </c>
      <c r="D4680" t="s">
        <v>79</v>
      </c>
      <c r="E4680">
        <v>22</v>
      </c>
      <c r="F4680" t="s">
        <v>9267</v>
      </c>
      <c r="G4680">
        <v>1854</v>
      </c>
      <c r="H4680">
        <v>1</v>
      </c>
      <c r="I4680" t="s">
        <v>81</v>
      </c>
      <c r="J4680">
        <v>0</v>
      </c>
      <c r="K4680">
        <v>2</v>
      </c>
      <c r="L4680">
        <v>2</v>
      </c>
      <c r="M4680">
        <v>208</v>
      </c>
      <c r="N4680">
        <v>354</v>
      </c>
      <c r="O4680">
        <v>3</v>
      </c>
      <c r="P4680">
        <v>354</v>
      </c>
      <c r="Q4680">
        <v>5</v>
      </c>
      <c r="R4680">
        <v>71</v>
      </c>
      <c r="S4680">
        <v>115</v>
      </c>
      <c r="T4680">
        <v>65</v>
      </c>
      <c r="U4680">
        <v>2</v>
      </c>
      <c r="V4680">
        <v>3</v>
      </c>
      <c r="W4680">
        <v>3</v>
      </c>
      <c r="X4680">
        <v>5</v>
      </c>
      <c r="Y4680">
        <v>55</v>
      </c>
      <c r="Z4680">
        <v>1</v>
      </c>
      <c r="AA4680">
        <v>0</v>
      </c>
      <c r="AC4680">
        <v>2</v>
      </c>
      <c r="AD4680">
        <v>1</v>
      </c>
      <c r="AE4680">
        <v>0</v>
      </c>
      <c r="AF4680">
        <v>1</v>
      </c>
      <c r="AG4680">
        <v>1</v>
      </c>
      <c r="AH4680">
        <v>1</v>
      </c>
      <c r="AI4680">
        <v>0</v>
      </c>
      <c r="AJ4680">
        <v>0</v>
      </c>
      <c r="AK4680">
        <v>1</v>
      </c>
      <c r="AL4680">
        <v>0</v>
      </c>
      <c r="AM4680">
        <v>0</v>
      </c>
      <c r="AN4680">
        <v>1</v>
      </c>
      <c r="AT4680">
        <v>0</v>
      </c>
      <c r="AU4680">
        <v>21</v>
      </c>
      <c r="AV4680">
        <v>354</v>
      </c>
      <c r="AW4680">
        <v>354</v>
      </c>
      <c r="AX4680">
        <v>540</v>
      </c>
      <c r="BA4680">
        <v>1</v>
      </c>
      <c r="BC4680" t="s">
        <v>9470</v>
      </c>
      <c r="BD4680" s="4">
        <v>43283.352777777778</v>
      </c>
      <c r="BE4680" s="4">
        <v>43283.366875</v>
      </c>
      <c r="BF4680" s="4">
        <v>43283.366875</v>
      </c>
      <c r="BG4680" t="s">
        <v>83</v>
      </c>
      <c r="BH4680" t="s">
        <v>84</v>
      </c>
      <c r="BI4680" t="s">
        <v>85</v>
      </c>
    </row>
    <row r="4681" spans="1:61" x14ac:dyDescent="0.3">
      <c r="A4681" t="str">
        <f>"201854C0100"</f>
        <v>201854C0100</v>
      </c>
      <c r="B4681" t="s">
        <v>9471</v>
      </c>
      <c r="C4681">
        <v>20</v>
      </c>
      <c r="D4681" t="s">
        <v>79</v>
      </c>
      <c r="E4681">
        <v>22</v>
      </c>
      <c r="F4681" t="s">
        <v>9267</v>
      </c>
      <c r="G4681">
        <v>1854</v>
      </c>
      <c r="H4681">
        <v>1</v>
      </c>
      <c r="I4681" t="s">
        <v>89</v>
      </c>
      <c r="J4681">
        <v>0</v>
      </c>
      <c r="K4681">
        <v>2</v>
      </c>
      <c r="L4681">
        <v>2</v>
      </c>
      <c r="M4681">
        <v>176</v>
      </c>
      <c r="N4681">
        <v>386</v>
      </c>
      <c r="O4681">
        <v>2</v>
      </c>
      <c r="P4681">
        <v>386</v>
      </c>
      <c r="Q4681">
        <v>8</v>
      </c>
      <c r="R4681">
        <v>109</v>
      </c>
      <c r="S4681">
        <v>106</v>
      </c>
      <c r="T4681">
        <v>64</v>
      </c>
      <c r="U4681">
        <v>6</v>
      </c>
      <c r="V4681">
        <v>1</v>
      </c>
      <c r="W4681">
        <v>2</v>
      </c>
      <c r="X4681">
        <v>0</v>
      </c>
      <c r="Y4681">
        <v>61</v>
      </c>
      <c r="Z4681">
        <v>3</v>
      </c>
      <c r="AA4681">
        <v>1</v>
      </c>
      <c r="AC4681">
        <v>0</v>
      </c>
      <c r="AD4681">
        <v>0</v>
      </c>
      <c r="AE4681">
        <v>0</v>
      </c>
      <c r="AF4681">
        <v>0</v>
      </c>
      <c r="AG4681">
        <v>0</v>
      </c>
      <c r="AH4681">
        <v>2</v>
      </c>
      <c r="AI4681">
        <v>0</v>
      </c>
      <c r="AJ4681">
        <v>0</v>
      </c>
      <c r="AK4681">
        <v>0</v>
      </c>
      <c r="AL4681">
        <v>0</v>
      </c>
      <c r="AM4681">
        <v>0</v>
      </c>
      <c r="AN4681">
        <v>0</v>
      </c>
      <c r="AT4681">
        <v>0</v>
      </c>
      <c r="AU4681">
        <v>22</v>
      </c>
      <c r="AV4681">
        <v>386</v>
      </c>
      <c r="AW4681">
        <v>385</v>
      </c>
      <c r="AX4681">
        <v>540</v>
      </c>
      <c r="BA4681">
        <v>1</v>
      </c>
      <c r="BC4681" t="s">
        <v>9472</v>
      </c>
      <c r="BD4681" s="4">
        <v>43283.355555555558</v>
      </c>
      <c r="BE4681" s="4">
        <v>43283.388877314814</v>
      </c>
      <c r="BF4681" s="4">
        <v>43283.388877314814</v>
      </c>
      <c r="BG4681" t="s">
        <v>83</v>
      </c>
      <c r="BH4681" t="s">
        <v>84</v>
      </c>
      <c r="BI4681" t="s">
        <v>85</v>
      </c>
    </row>
    <row r="4682" spans="1:61" x14ac:dyDescent="0.3">
      <c r="A4682" t="str">
        <f>"201854C0200"</f>
        <v>201854C0200</v>
      </c>
      <c r="B4682" t="s">
        <v>9473</v>
      </c>
      <c r="C4682">
        <v>20</v>
      </c>
      <c r="D4682" t="s">
        <v>79</v>
      </c>
      <c r="E4682">
        <v>22</v>
      </c>
      <c r="F4682" t="s">
        <v>9267</v>
      </c>
      <c r="G4682">
        <v>1854</v>
      </c>
      <c r="H4682">
        <v>2</v>
      </c>
      <c r="I4682" t="s">
        <v>89</v>
      </c>
      <c r="J4682">
        <v>0</v>
      </c>
      <c r="K4682">
        <v>2</v>
      </c>
      <c r="L4682">
        <v>2</v>
      </c>
      <c r="M4682">
        <v>167</v>
      </c>
      <c r="N4682">
        <v>394</v>
      </c>
      <c r="O4682">
        <v>0</v>
      </c>
      <c r="P4682">
        <v>394</v>
      </c>
      <c r="Q4682">
        <v>2</v>
      </c>
      <c r="R4682">
        <v>117</v>
      </c>
      <c r="S4682">
        <v>115</v>
      </c>
      <c r="T4682">
        <v>49</v>
      </c>
      <c r="U4682">
        <v>9</v>
      </c>
      <c r="V4682">
        <v>2</v>
      </c>
      <c r="W4682">
        <v>3</v>
      </c>
      <c r="X4682">
        <v>2</v>
      </c>
      <c r="Y4682">
        <v>65</v>
      </c>
      <c r="Z4682">
        <v>3</v>
      </c>
      <c r="AA4682">
        <v>0</v>
      </c>
      <c r="AC4682">
        <v>0</v>
      </c>
      <c r="AD4682">
        <v>1</v>
      </c>
      <c r="AE4682">
        <v>0</v>
      </c>
      <c r="AF4682">
        <v>1</v>
      </c>
      <c r="AG4682">
        <v>0</v>
      </c>
      <c r="AH4682">
        <v>3</v>
      </c>
      <c r="AI4682">
        <v>0</v>
      </c>
      <c r="AJ4682">
        <v>0</v>
      </c>
      <c r="AK4682">
        <v>1</v>
      </c>
      <c r="AL4682">
        <v>2</v>
      </c>
      <c r="AM4682">
        <v>0</v>
      </c>
      <c r="AN4682">
        <v>2</v>
      </c>
      <c r="AT4682">
        <v>0</v>
      </c>
      <c r="AU4682">
        <v>19</v>
      </c>
      <c r="AV4682">
        <v>394</v>
      </c>
      <c r="AW4682">
        <v>396</v>
      </c>
      <c r="AX4682">
        <v>539</v>
      </c>
      <c r="BA4682">
        <v>1</v>
      </c>
      <c r="BC4682" t="s">
        <v>9474</v>
      </c>
      <c r="BD4682" s="4">
        <v>43283.359027777777</v>
      </c>
      <c r="BE4682" s="4">
        <v>43283.392060185186</v>
      </c>
      <c r="BF4682" s="4">
        <v>43283.392060185186</v>
      </c>
      <c r="BG4682" t="s">
        <v>83</v>
      </c>
      <c r="BH4682" t="s">
        <v>84</v>
      </c>
      <c r="BI4682" t="s">
        <v>85</v>
      </c>
    </row>
    <row r="4683" spans="1:61" x14ac:dyDescent="0.3">
      <c r="A4683" t="str">
        <f>"201855B0100"</f>
        <v>201855B0100</v>
      </c>
      <c r="B4683" t="s">
        <v>9475</v>
      </c>
      <c r="C4683">
        <v>20</v>
      </c>
      <c r="D4683" t="s">
        <v>79</v>
      </c>
      <c r="E4683">
        <v>22</v>
      </c>
      <c r="F4683" t="s">
        <v>9267</v>
      </c>
      <c r="G4683">
        <v>1855</v>
      </c>
      <c r="H4683">
        <v>1</v>
      </c>
      <c r="I4683" t="s">
        <v>81</v>
      </c>
      <c r="J4683">
        <v>0</v>
      </c>
      <c r="K4683">
        <v>2</v>
      </c>
      <c r="L4683">
        <v>2</v>
      </c>
      <c r="M4683">
        <v>201</v>
      </c>
      <c r="N4683">
        <v>357</v>
      </c>
      <c r="O4683">
        <v>0</v>
      </c>
      <c r="P4683">
        <v>357</v>
      </c>
      <c r="Q4683">
        <v>5</v>
      </c>
      <c r="R4683">
        <v>54</v>
      </c>
      <c r="S4683">
        <v>112</v>
      </c>
      <c r="T4683">
        <v>16</v>
      </c>
      <c r="U4683">
        <v>6</v>
      </c>
      <c r="V4683">
        <v>6</v>
      </c>
      <c r="W4683">
        <v>4</v>
      </c>
      <c r="X4683">
        <v>2</v>
      </c>
      <c r="Y4683">
        <v>118</v>
      </c>
      <c r="Z4683">
        <v>4</v>
      </c>
      <c r="AA4683">
        <v>1</v>
      </c>
      <c r="AC4683">
        <v>1</v>
      </c>
      <c r="AD4683">
        <v>0</v>
      </c>
      <c r="AE4683">
        <v>0</v>
      </c>
      <c r="AF4683">
        <v>0</v>
      </c>
      <c r="AG4683">
        <v>0</v>
      </c>
      <c r="AH4683">
        <v>3</v>
      </c>
      <c r="AI4683">
        <v>0</v>
      </c>
      <c r="AJ4683">
        <v>1</v>
      </c>
      <c r="AK4683">
        <v>2</v>
      </c>
      <c r="AL4683">
        <v>1</v>
      </c>
      <c r="AM4683">
        <v>0</v>
      </c>
      <c r="AN4683">
        <v>1</v>
      </c>
      <c r="AT4683">
        <v>0</v>
      </c>
      <c r="AU4683">
        <v>19</v>
      </c>
      <c r="AV4683">
        <v>357</v>
      </c>
      <c r="AW4683">
        <v>356</v>
      </c>
      <c r="AX4683">
        <v>536</v>
      </c>
      <c r="BA4683">
        <v>1</v>
      </c>
      <c r="BC4683" t="s">
        <v>9476</v>
      </c>
      <c r="BD4683" s="4">
        <v>43283.205057870371</v>
      </c>
      <c r="BE4683" s="4">
        <v>43283.22084490741</v>
      </c>
      <c r="BF4683" s="4">
        <v>43283.22084490741</v>
      </c>
      <c r="BG4683" t="s">
        <v>373</v>
      </c>
      <c r="BH4683" t="s">
        <v>374</v>
      </c>
      <c r="BI4683" t="s">
        <v>85</v>
      </c>
    </row>
    <row r="4684" spans="1:61" x14ac:dyDescent="0.3">
      <c r="A4684" t="str">
        <f>"201855C0100"</f>
        <v>201855C0100</v>
      </c>
      <c r="B4684" t="s">
        <v>9477</v>
      </c>
      <c r="C4684">
        <v>20</v>
      </c>
      <c r="D4684" t="s">
        <v>79</v>
      </c>
      <c r="E4684">
        <v>22</v>
      </c>
      <c r="F4684" t="s">
        <v>9267</v>
      </c>
      <c r="G4684">
        <v>1855</v>
      </c>
      <c r="H4684">
        <v>1</v>
      </c>
      <c r="I4684" t="s">
        <v>89</v>
      </c>
      <c r="J4684">
        <v>0</v>
      </c>
      <c r="K4684">
        <v>2</v>
      </c>
      <c r="L4684">
        <v>2</v>
      </c>
      <c r="M4684">
        <v>195</v>
      </c>
      <c r="N4684">
        <v>362</v>
      </c>
      <c r="O4684">
        <v>0</v>
      </c>
      <c r="P4684">
        <v>360</v>
      </c>
      <c r="Q4684">
        <v>2</v>
      </c>
      <c r="R4684">
        <v>50</v>
      </c>
      <c r="S4684">
        <v>130</v>
      </c>
      <c r="T4684">
        <v>30</v>
      </c>
      <c r="U4684">
        <v>8</v>
      </c>
      <c r="V4684">
        <v>7</v>
      </c>
      <c r="W4684">
        <v>2</v>
      </c>
      <c r="X4684">
        <v>2</v>
      </c>
      <c r="Y4684">
        <v>102</v>
      </c>
      <c r="Z4684">
        <v>4</v>
      </c>
      <c r="AA4684">
        <v>0</v>
      </c>
      <c r="AC4684">
        <v>2</v>
      </c>
      <c r="AD4684">
        <v>1</v>
      </c>
      <c r="AE4684">
        <v>0</v>
      </c>
      <c r="AF4684">
        <v>0</v>
      </c>
      <c r="AG4684">
        <v>0</v>
      </c>
      <c r="AH4684">
        <v>0</v>
      </c>
      <c r="AI4684">
        <v>0</v>
      </c>
      <c r="AJ4684">
        <v>0</v>
      </c>
      <c r="AK4684">
        <v>1</v>
      </c>
      <c r="AL4684">
        <v>0</v>
      </c>
      <c r="AM4684">
        <v>0</v>
      </c>
      <c r="AN4684">
        <v>0</v>
      </c>
      <c r="AT4684">
        <v>0</v>
      </c>
      <c r="AU4684">
        <v>19</v>
      </c>
      <c r="AV4684">
        <v>360</v>
      </c>
      <c r="AW4684">
        <v>360</v>
      </c>
      <c r="AX4684">
        <v>535</v>
      </c>
      <c r="BA4684">
        <v>1</v>
      </c>
      <c r="BC4684" t="s">
        <v>9478</v>
      </c>
      <c r="BD4684" s="4">
        <v>43283.205011574071</v>
      </c>
      <c r="BE4684" s="4">
        <v>43283.220520833333</v>
      </c>
      <c r="BF4684" s="4">
        <v>43283.220520833333</v>
      </c>
      <c r="BG4684" t="s">
        <v>373</v>
      </c>
      <c r="BH4684" t="s">
        <v>374</v>
      </c>
      <c r="BI4684" t="s">
        <v>85</v>
      </c>
    </row>
    <row r="4685" spans="1:61" x14ac:dyDescent="0.3">
      <c r="A4685" t="str">
        <f>"201855E0100"</f>
        <v>201855E0100</v>
      </c>
      <c r="B4685" s="2" t="s">
        <v>9479</v>
      </c>
      <c r="C4685">
        <v>20</v>
      </c>
      <c r="D4685" t="s">
        <v>79</v>
      </c>
      <c r="E4685">
        <v>22</v>
      </c>
      <c r="F4685" t="s">
        <v>9267</v>
      </c>
      <c r="G4685">
        <v>1855</v>
      </c>
      <c r="H4685">
        <v>1</v>
      </c>
      <c r="I4685" t="s">
        <v>145</v>
      </c>
      <c r="J4685">
        <v>0</v>
      </c>
      <c r="K4685">
        <v>2</v>
      </c>
      <c r="L4685">
        <v>2</v>
      </c>
      <c r="M4685">
        <v>73</v>
      </c>
      <c r="N4685">
        <v>148</v>
      </c>
      <c r="O4685">
        <v>10</v>
      </c>
      <c r="P4685">
        <v>148</v>
      </c>
      <c r="Q4685">
        <v>0</v>
      </c>
      <c r="R4685">
        <v>46</v>
      </c>
      <c r="S4685">
        <v>23</v>
      </c>
      <c r="T4685">
        <v>32</v>
      </c>
      <c r="U4685">
        <v>4</v>
      </c>
      <c r="V4685">
        <v>3</v>
      </c>
      <c r="W4685">
        <v>4</v>
      </c>
      <c r="X4685">
        <v>2</v>
      </c>
      <c r="Y4685">
        <v>20</v>
      </c>
      <c r="Z4685">
        <v>2</v>
      </c>
      <c r="AA4685">
        <v>0</v>
      </c>
      <c r="AC4685">
        <v>0</v>
      </c>
      <c r="AD4685">
        <v>0</v>
      </c>
      <c r="AE4685">
        <v>0</v>
      </c>
      <c r="AF4685">
        <v>0</v>
      </c>
      <c r="AG4685">
        <v>0</v>
      </c>
      <c r="AH4685">
        <v>1</v>
      </c>
      <c r="AI4685">
        <v>0</v>
      </c>
      <c r="AJ4685">
        <v>0</v>
      </c>
      <c r="AK4685">
        <v>0</v>
      </c>
      <c r="AL4685">
        <v>0</v>
      </c>
      <c r="AM4685">
        <v>0</v>
      </c>
      <c r="AN4685">
        <v>0</v>
      </c>
      <c r="AT4685">
        <v>0</v>
      </c>
      <c r="AU4685">
        <v>11</v>
      </c>
      <c r="AV4685">
        <v>148</v>
      </c>
      <c r="AW4685">
        <v>148</v>
      </c>
      <c r="AX4685">
        <v>199</v>
      </c>
      <c r="BA4685">
        <v>1</v>
      </c>
      <c r="BC4685" t="s">
        <v>9480</v>
      </c>
      <c r="BD4685" s="4">
        <v>43283.355555555558</v>
      </c>
      <c r="BE4685" s="4">
        <v>43283.369155092594</v>
      </c>
      <c r="BF4685" s="4">
        <v>43283.369155092594</v>
      </c>
      <c r="BG4685" t="s">
        <v>83</v>
      </c>
      <c r="BH4685" t="s">
        <v>84</v>
      </c>
      <c r="BI4685" t="s">
        <v>85</v>
      </c>
    </row>
    <row r="4686" spans="1:61" x14ac:dyDescent="0.3">
      <c r="A4686" t="str">
        <f>"202005B0100"</f>
        <v>202005B0100</v>
      </c>
      <c r="B4686" t="s">
        <v>9481</v>
      </c>
      <c r="C4686">
        <v>20</v>
      </c>
      <c r="D4686" t="s">
        <v>79</v>
      </c>
      <c r="E4686">
        <v>22</v>
      </c>
      <c r="F4686" t="s">
        <v>9267</v>
      </c>
      <c r="G4686">
        <v>2005</v>
      </c>
      <c r="H4686">
        <v>1</v>
      </c>
      <c r="I4686" t="s">
        <v>81</v>
      </c>
      <c r="J4686">
        <v>0</v>
      </c>
      <c r="K4686">
        <v>2</v>
      </c>
      <c r="L4686">
        <v>2</v>
      </c>
      <c r="M4686">
        <v>223</v>
      </c>
      <c r="N4686">
        <v>427</v>
      </c>
      <c r="O4686">
        <v>0</v>
      </c>
      <c r="P4686">
        <v>427</v>
      </c>
      <c r="Q4686">
        <v>4</v>
      </c>
      <c r="R4686">
        <v>124</v>
      </c>
      <c r="S4686">
        <v>81</v>
      </c>
      <c r="T4686">
        <v>2</v>
      </c>
      <c r="U4686">
        <v>19</v>
      </c>
      <c r="V4686">
        <v>3</v>
      </c>
      <c r="W4686">
        <v>6</v>
      </c>
      <c r="X4686">
        <v>5</v>
      </c>
      <c r="Y4686">
        <v>137</v>
      </c>
      <c r="Z4686">
        <v>4</v>
      </c>
      <c r="AA4686">
        <v>2</v>
      </c>
      <c r="AC4686">
        <v>0</v>
      </c>
      <c r="AD4686">
        <v>1</v>
      </c>
      <c r="AE4686">
        <v>0</v>
      </c>
      <c r="AF4686">
        <v>1</v>
      </c>
      <c r="AG4686">
        <v>3</v>
      </c>
      <c r="AH4686">
        <v>1</v>
      </c>
      <c r="AI4686">
        <v>0</v>
      </c>
      <c r="AJ4686">
        <v>0</v>
      </c>
      <c r="AK4686">
        <v>4</v>
      </c>
      <c r="AL4686">
        <v>1</v>
      </c>
      <c r="AM4686">
        <v>0</v>
      </c>
      <c r="AN4686">
        <v>0</v>
      </c>
      <c r="AT4686">
        <v>0</v>
      </c>
      <c r="AU4686">
        <v>29</v>
      </c>
      <c r="AV4686">
        <v>427</v>
      </c>
      <c r="AW4686">
        <v>427</v>
      </c>
      <c r="AX4686">
        <v>628</v>
      </c>
      <c r="BA4686">
        <v>1</v>
      </c>
      <c r="BC4686" t="s">
        <v>9482</v>
      </c>
      <c r="BD4686" s="4">
        <v>43283.34097222222</v>
      </c>
      <c r="BE4686" s="4">
        <v>43283.356979166667</v>
      </c>
      <c r="BF4686" s="4">
        <v>43283.356979166667</v>
      </c>
      <c r="BG4686" t="s">
        <v>83</v>
      </c>
      <c r="BH4686" t="s">
        <v>84</v>
      </c>
      <c r="BI4686" t="s">
        <v>85</v>
      </c>
    </row>
    <row r="4687" spans="1:61" x14ac:dyDescent="0.3">
      <c r="A4687" t="str">
        <f>"202005C0100"</f>
        <v>202005C0100</v>
      </c>
      <c r="B4687" t="s">
        <v>9483</v>
      </c>
      <c r="C4687">
        <v>20</v>
      </c>
      <c r="D4687" t="s">
        <v>79</v>
      </c>
      <c r="E4687">
        <v>22</v>
      </c>
      <c r="F4687" t="s">
        <v>9267</v>
      </c>
      <c r="G4687">
        <v>2005</v>
      </c>
      <c r="H4687">
        <v>1</v>
      </c>
      <c r="I4687" t="s">
        <v>89</v>
      </c>
      <c r="J4687">
        <v>0</v>
      </c>
      <c r="K4687">
        <v>2</v>
      </c>
      <c r="L4687">
        <v>2</v>
      </c>
      <c r="M4687">
        <v>252</v>
      </c>
      <c r="N4687">
        <v>397</v>
      </c>
      <c r="O4687">
        <v>0</v>
      </c>
      <c r="P4687" t="s">
        <v>100</v>
      </c>
      <c r="Q4687">
        <v>9</v>
      </c>
      <c r="R4687">
        <v>108</v>
      </c>
      <c r="S4687">
        <v>111</v>
      </c>
      <c r="T4687">
        <v>6</v>
      </c>
      <c r="U4687">
        <v>16</v>
      </c>
      <c r="V4687">
        <v>4</v>
      </c>
      <c r="W4687">
        <v>2</v>
      </c>
      <c r="X4687">
        <v>5</v>
      </c>
      <c r="Y4687">
        <v>110</v>
      </c>
      <c r="Z4687">
        <v>4</v>
      </c>
      <c r="AA4687">
        <v>1</v>
      </c>
      <c r="AC4687">
        <v>1</v>
      </c>
      <c r="AD4687">
        <v>0</v>
      </c>
      <c r="AE4687">
        <v>0</v>
      </c>
      <c r="AF4687">
        <v>0</v>
      </c>
      <c r="AG4687">
        <v>3</v>
      </c>
      <c r="AH4687">
        <v>3</v>
      </c>
      <c r="AI4687">
        <v>0</v>
      </c>
      <c r="AJ4687">
        <v>0</v>
      </c>
      <c r="AK4687">
        <v>0</v>
      </c>
      <c r="AL4687">
        <v>1</v>
      </c>
      <c r="AM4687">
        <v>1</v>
      </c>
      <c r="AN4687">
        <v>0</v>
      </c>
      <c r="AT4687" t="s">
        <v>100</v>
      </c>
      <c r="AU4687">
        <v>22</v>
      </c>
      <c r="AV4687">
        <v>407</v>
      </c>
      <c r="AW4687">
        <v>407</v>
      </c>
      <c r="AX4687">
        <v>627</v>
      </c>
      <c r="AZ4687" t="s">
        <v>101</v>
      </c>
      <c r="BA4687">
        <v>1</v>
      </c>
      <c r="BC4687" t="s">
        <v>9484</v>
      </c>
      <c r="BD4687" s="4">
        <v>43283.338194444441</v>
      </c>
      <c r="BE4687" s="4">
        <v>43283.370995370373</v>
      </c>
      <c r="BF4687" s="4">
        <v>43283.370995370373</v>
      </c>
      <c r="BG4687" t="s">
        <v>83</v>
      </c>
      <c r="BH4687" t="s">
        <v>84</v>
      </c>
      <c r="BI4687" t="s">
        <v>85</v>
      </c>
    </row>
    <row r="4688" spans="1:61" x14ac:dyDescent="0.3">
      <c r="A4688" t="str">
        <f>"202005C0200"</f>
        <v>202005C0200</v>
      </c>
      <c r="B4688" t="s">
        <v>9485</v>
      </c>
      <c r="C4688">
        <v>20</v>
      </c>
      <c r="D4688" t="s">
        <v>79</v>
      </c>
      <c r="E4688">
        <v>22</v>
      </c>
      <c r="F4688" t="s">
        <v>9267</v>
      </c>
      <c r="G4688">
        <v>2005</v>
      </c>
      <c r="H4688">
        <v>2</v>
      </c>
      <c r="I4688" t="s">
        <v>89</v>
      </c>
      <c r="J4688">
        <v>0</v>
      </c>
      <c r="K4688">
        <v>2</v>
      </c>
      <c r="L4688">
        <v>2</v>
      </c>
      <c r="M4688">
        <v>272</v>
      </c>
      <c r="N4688">
        <v>381</v>
      </c>
      <c r="O4688">
        <v>0</v>
      </c>
      <c r="P4688">
        <v>375</v>
      </c>
      <c r="Q4688">
        <v>5</v>
      </c>
      <c r="R4688">
        <v>88</v>
      </c>
      <c r="S4688">
        <v>118</v>
      </c>
      <c r="T4688">
        <v>4</v>
      </c>
      <c r="U4688">
        <v>24</v>
      </c>
      <c r="V4688">
        <v>6</v>
      </c>
      <c r="W4688">
        <v>0</v>
      </c>
      <c r="X4688">
        <v>8</v>
      </c>
      <c r="Y4688">
        <v>78</v>
      </c>
      <c r="Z4688">
        <v>3</v>
      </c>
      <c r="AA4688">
        <v>0</v>
      </c>
      <c r="AC4688">
        <v>1</v>
      </c>
      <c r="AD4688">
        <v>0</v>
      </c>
      <c r="AE4688">
        <v>0</v>
      </c>
      <c r="AF4688">
        <v>0</v>
      </c>
      <c r="AG4688">
        <v>0</v>
      </c>
      <c r="AH4688">
        <v>6</v>
      </c>
      <c r="AI4688">
        <v>0</v>
      </c>
      <c r="AJ4688">
        <v>0</v>
      </c>
      <c r="AK4688">
        <v>1</v>
      </c>
      <c r="AL4688">
        <v>0</v>
      </c>
      <c r="AM4688">
        <v>0</v>
      </c>
      <c r="AN4688">
        <v>0</v>
      </c>
      <c r="AT4688">
        <v>31</v>
      </c>
      <c r="AU4688">
        <v>31</v>
      </c>
      <c r="AV4688">
        <v>375</v>
      </c>
      <c r="AW4688">
        <v>404</v>
      </c>
      <c r="AX4688">
        <v>627</v>
      </c>
      <c r="BA4688">
        <v>1</v>
      </c>
      <c r="BC4688" t="s">
        <v>9486</v>
      </c>
      <c r="BD4688" s="4">
        <v>43283.341666666667</v>
      </c>
      <c r="BE4688" s="4">
        <v>43283.358715277776</v>
      </c>
      <c r="BF4688" s="4">
        <v>43283.358715277776</v>
      </c>
      <c r="BG4688" t="s">
        <v>83</v>
      </c>
      <c r="BH4688" t="s">
        <v>84</v>
      </c>
      <c r="BI4688" t="s">
        <v>85</v>
      </c>
    </row>
    <row r="4689" spans="1:61" x14ac:dyDescent="0.3">
      <c r="A4689" t="str">
        <f>"202005C0300"</f>
        <v>202005C0300</v>
      </c>
      <c r="B4689" t="s">
        <v>9487</v>
      </c>
      <c r="C4689">
        <v>20</v>
      </c>
      <c r="D4689" t="s">
        <v>79</v>
      </c>
      <c r="E4689">
        <v>22</v>
      </c>
      <c r="F4689" t="s">
        <v>9267</v>
      </c>
      <c r="G4689">
        <v>2005</v>
      </c>
      <c r="H4689">
        <v>3</v>
      </c>
      <c r="I4689" t="s">
        <v>89</v>
      </c>
      <c r="J4689">
        <v>0</v>
      </c>
      <c r="K4689">
        <v>2</v>
      </c>
      <c r="L4689">
        <v>2</v>
      </c>
      <c r="M4689">
        <v>260</v>
      </c>
      <c r="N4689">
        <v>389</v>
      </c>
      <c r="O4689">
        <v>0</v>
      </c>
      <c r="P4689">
        <v>388</v>
      </c>
      <c r="Q4689">
        <v>7</v>
      </c>
      <c r="R4689">
        <v>84</v>
      </c>
      <c r="S4689">
        <v>110</v>
      </c>
      <c r="T4689">
        <v>6</v>
      </c>
      <c r="U4689">
        <v>20</v>
      </c>
      <c r="V4689">
        <v>5</v>
      </c>
      <c r="W4689">
        <v>1</v>
      </c>
      <c r="X4689">
        <v>4</v>
      </c>
      <c r="Y4689">
        <v>114</v>
      </c>
      <c r="Z4689">
        <v>4</v>
      </c>
      <c r="AA4689">
        <v>0</v>
      </c>
      <c r="AC4689">
        <v>0</v>
      </c>
      <c r="AD4689">
        <v>2</v>
      </c>
      <c r="AE4689">
        <v>0</v>
      </c>
      <c r="AF4689">
        <v>0</v>
      </c>
      <c r="AG4689">
        <v>2</v>
      </c>
      <c r="AH4689">
        <v>3</v>
      </c>
      <c r="AI4689">
        <v>0</v>
      </c>
      <c r="AJ4689">
        <v>0</v>
      </c>
      <c r="AK4689">
        <v>0</v>
      </c>
      <c r="AL4689">
        <v>0</v>
      </c>
      <c r="AM4689">
        <v>0</v>
      </c>
      <c r="AN4689">
        <v>1</v>
      </c>
      <c r="AT4689">
        <v>0</v>
      </c>
      <c r="AU4689">
        <v>25</v>
      </c>
      <c r="AV4689">
        <v>388</v>
      </c>
      <c r="AW4689">
        <v>388</v>
      </c>
      <c r="AX4689">
        <v>627</v>
      </c>
      <c r="BA4689">
        <v>1</v>
      </c>
      <c r="BC4689" t="s">
        <v>9488</v>
      </c>
      <c r="BD4689" s="4">
        <v>43283.345138888886</v>
      </c>
      <c r="BE4689" s="4">
        <v>43283.358611111114</v>
      </c>
      <c r="BF4689" s="4">
        <v>43283.358611111114</v>
      </c>
      <c r="BG4689" t="s">
        <v>83</v>
      </c>
      <c r="BH4689" t="s">
        <v>84</v>
      </c>
      <c r="BI4689" t="s">
        <v>85</v>
      </c>
    </row>
    <row r="4690" spans="1:61" x14ac:dyDescent="0.3">
      <c r="A4690" t="str">
        <f>"202006B0100"</f>
        <v>202006B0100</v>
      </c>
      <c r="B4690" t="s">
        <v>9489</v>
      </c>
      <c r="C4690">
        <v>20</v>
      </c>
      <c r="D4690" t="s">
        <v>79</v>
      </c>
      <c r="E4690">
        <v>22</v>
      </c>
      <c r="F4690" t="s">
        <v>9267</v>
      </c>
      <c r="G4690">
        <v>2006</v>
      </c>
      <c r="H4690">
        <v>1</v>
      </c>
      <c r="I4690" t="s">
        <v>81</v>
      </c>
      <c r="J4690">
        <v>0</v>
      </c>
      <c r="K4690">
        <v>2</v>
      </c>
      <c r="L4690">
        <v>2</v>
      </c>
      <c r="M4690">
        <v>115</v>
      </c>
      <c r="N4690">
        <v>183</v>
      </c>
      <c r="O4690">
        <v>0</v>
      </c>
      <c r="P4690">
        <v>183</v>
      </c>
      <c r="Q4690">
        <v>0</v>
      </c>
      <c r="R4690">
        <v>7</v>
      </c>
      <c r="S4690">
        <v>12</v>
      </c>
      <c r="T4690">
        <v>2</v>
      </c>
      <c r="U4690">
        <v>9</v>
      </c>
      <c r="V4690">
        <v>0</v>
      </c>
      <c r="W4690">
        <v>1</v>
      </c>
      <c r="X4690">
        <v>1</v>
      </c>
      <c r="Y4690">
        <v>140</v>
      </c>
      <c r="Z4690">
        <v>5</v>
      </c>
      <c r="AA4690">
        <v>0</v>
      </c>
      <c r="AC4690">
        <v>0</v>
      </c>
      <c r="AD4690">
        <v>0</v>
      </c>
      <c r="AE4690">
        <v>0</v>
      </c>
      <c r="AF4690">
        <v>0</v>
      </c>
      <c r="AG4690">
        <v>1</v>
      </c>
      <c r="AH4690">
        <v>0</v>
      </c>
      <c r="AI4690">
        <v>0</v>
      </c>
      <c r="AJ4690">
        <v>0</v>
      </c>
      <c r="AK4690">
        <v>1</v>
      </c>
      <c r="AL4690">
        <v>0</v>
      </c>
      <c r="AM4690">
        <v>0</v>
      </c>
      <c r="AN4690">
        <v>2</v>
      </c>
      <c r="AT4690">
        <v>0</v>
      </c>
      <c r="AU4690">
        <v>2</v>
      </c>
      <c r="AV4690">
        <v>183</v>
      </c>
      <c r="AW4690">
        <v>183</v>
      </c>
      <c r="AX4690">
        <v>276</v>
      </c>
      <c r="BA4690">
        <v>1</v>
      </c>
      <c r="BC4690" t="s">
        <v>9490</v>
      </c>
      <c r="BD4690" s="4">
        <v>43283.3</v>
      </c>
      <c r="BE4690" s="4">
        <v>43283.326828703706</v>
      </c>
      <c r="BF4690" s="4">
        <v>43283.326828703706</v>
      </c>
      <c r="BG4690" t="s">
        <v>83</v>
      </c>
      <c r="BH4690" t="s">
        <v>84</v>
      </c>
      <c r="BI4690" t="s">
        <v>85</v>
      </c>
    </row>
    <row r="4691" spans="1:61" x14ac:dyDescent="0.3">
      <c r="A4691" t="str">
        <f>"202007B0100"</f>
        <v>202007B0100</v>
      </c>
      <c r="B4691" t="s">
        <v>9491</v>
      </c>
      <c r="C4691">
        <v>20</v>
      </c>
      <c r="D4691" t="s">
        <v>79</v>
      </c>
      <c r="E4691">
        <v>22</v>
      </c>
      <c r="F4691" t="s">
        <v>9267</v>
      </c>
      <c r="G4691">
        <v>2007</v>
      </c>
      <c r="H4691">
        <v>1</v>
      </c>
      <c r="I4691" t="s">
        <v>81</v>
      </c>
      <c r="J4691">
        <v>0</v>
      </c>
      <c r="K4691">
        <v>2</v>
      </c>
      <c r="L4691">
        <v>2</v>
      </c>
      <c r="M4691">
        <v>278</v>
      </c>
      <c r="N4691">
        <v>337</v>
      </c>
      <c r="O4691">
        <v>15</v>
      </c>
      <c r="P4691">
        <v>337</v>
      </c>
      <c r="Q4691">
        <v>5</v>
      </c>
      <c r="R4691">
        <v>51</v>
      </c>
      <c r="S4691">
        <v>103</v>
      </c>
      <c r="T4691">
        <v>2</v>
      </c>
      <c r="U4691">
        <v>22</v>
      </c>
      <c r="V4691">
        <v>8</v>
      </c>
      <c r="W4691">
        <v>2</v>
      </c>
      <c r="X4691">
        <v>1</v>
      </c>
      <c r="Y4691">
        <v>107</v>
      </c>
      <c r="Z4691">
        <v>2</v>
      </c>
      <c r="AA4691">
        <v>0</v>
      </c>
      <c r="AC4691">
        <v>0</v>
      </c>
      <c r="AD4691">
        <v>2</v>
      </c>
      <c r="AE4691">
        <v>0</v>
      </c>
      <c r="AF4691">
        <v>1</v>
      </c>
      <c r="AG4691">
        <v>1</v>
      </c>
      <c r="AH4691">
        <v>0</v>
      </c>
      <c r="AI4691">
        <v>3</v>
      </c>
      <c r="AJ4691">
        <v>0</v>
      </c>
      <c r="AK4691">
        <v>3</v>
      </c>
      <c r="AL4691">
        <v>2</v>
      </c>
      <c r="AM4691">
        <v>0</v>
      </c>
      <c r="AN4691">
        <v>0</v>
      </c>
      <c r="AT4691">
        <v>10</v>
      </c>
      <c r="AU4691">
        <v>4</v>
      </c>
      <c r="AV4691">
        <v>337</v>
      </c>
      <c r="AW4691">
        <v>329</v>
      </c>
      <c r="AX4691">
        <v>593</v>
      </c>
      <c r="BA4691">
        <v>1</v>
      </c>
      <c r="BC4691" t="s">
        <v>9492</v>
      </c>
      <c r="BD4691" s="4">
        <v>43283.347222222219</v>
      </c>
      <c r="BE4691" s="4">
        <v>43283.370104166665</v>
      </c>
      <c r="BF4691" s="4">
        <v>43283.370104166665</v>
      </c>
      <c r="BG4691" t="s">
        <v>83</v>
      </c>
      <c r="BH4691" t="s">
        <v>84</v>
      </c>
      <c r="BI4691" t="s">
        <v>85</v>
      </c>
    </row>
    <row r="4692" spans="1:61" x14ac:dyDescent="0.3">
      <c r="A4692" t="str">
        <f>"202007C0100"</f>
        <v>202007C0100</v>
      </c>
      <c r="B4692" t="s">
        <v>9493</v>
      </c>
      <c r="C4692">
        <v>20</v>
      </c>
      <c r="D4692" t="s">
        <v>79</v>
      </c>
      <c r="E4692">
        <v>22</v>
      </c>
      <c r="F4692" t="s">
        <v>9267</v>
      </c>
      <c r="G4692">
        <v>2007</v>
      </c>
      <c r="H4692">
        <v>1</v>
      </c>
      <c r="I4692" t="s">
        <v>89</v>
      </c>
      <c r="J4692">
        <v>0</v>
      </c>
      <c r="K4692">
        <v>2</v>
      </c>
      <c r="L4692">
        <v>2</v>
      </c>
      <c r="M4692">
        <v>266</v>
      </c>
      <c r="N4692">
        <v>349</v>
      </c>
      <c r="O4692">
        <v>15</v>
      </c>
      <c r="P4692">
        <v>349</v>
      </c>
      <c r="Q4692">
        <v>6</v>
      </c>
      <c r="R4692">
        <v>51</v>
      </c>
      <c r="S4692">
        <v>100</v>
      </c>
      <c r="T4692">
        <v>4</v>
      </c>
      <c r="U4692">
        <v>19</v>
      </c>
      <c r="V4692">
        <v>9</v>
      </c>
      <c r="W4692">
        <v>2</v>
      </c>
      <c r="X4692">
        <v>2</v>
      </c>
      <c r="Y4692">
        <v>122</v>
      </c>
      <c r="Z4692">
        <v>2</v>
      </c>
      <c r="AA4692">
        <v>0</v>
      </c>
      <c r="AC4692">
        <v>0</v>
      </c>
      <c r="AD4692">
        <v>0</v>
      </c>
      <c r="AE4692">
        <v>0</v>
      </c>
      <c r="AF4692">
        <v>0</v>
      </c>
      <c r="AG4692">
        <v>0</v>
      </c>
      <c r="AH4692">
        <v>1</v>
      </c>
      <c r="AI4692">
        <v>0</v>
      </c>
      <c r="AJ4692">
        <v>0</v>
      </c>
      <c r="AK4692">
        <v>2</v>
      </c>
      <c r="AL4692">
        <v>0</v>
      </c>
      <c r="AM4692">
        <v>0</v>
      </c>
      <c r="AN4692">
        <v>0</v>
      </c>
      <c r="AT4692">
        <v>0</v>
      </c>
      <c r="AU4692">
        <v>29</v>
      </c>
      <c r="AV4692">
        <v>349</v>
      </c>
      <c r="AW4692">
        <v>349</v>
      </c>
      <c r="AX4692">
        <v>593</v>
      </c>
      <c r="BA4692">
        <v>1</v>
      </c>
      <c r="BC4692" t="s">
        <v>9494</v>
      </c>
      <c r="BD4692" s="4">
        <v>43283.341666666667</v>
      </c>
      <c r="BE4692" s="4">
        <v>43283.356770833336</v>
      </c>
      <c r="BF4692" s="4">
        <v>43283.356770833336</v>
      </c>
      <c r="BG4692" t="s">
        <v>83</v>
      </c>
      <c r="BH4692" t="s">
        <v>84</v>
      </c>
      <c r="BI4692" t="s">
        <v>85</v>
      </c>
    </row>
    <row r="4693" spans="1:61" x14ac:dyDescent="0.3">
      <c r="A4693" t="str">
        <f>"202008B0100"</f>
        <v>202008B0100</v>
      </c>
      <c r="B4693" t="s">
        <v>9495</v>
      </c>
      <c r="C4693">
        <v>20</v>
      </c>
      <c r="D4693" t="s">
        <v>79</v>
      </c>
      <c r="E4693">
        <v>22</v>
      </c>
      <c r="F4693" t="s">
        <v>9267</v>
      </c>
      <c r="G4693">
        <v>2008</v>
      </c>
      <c r="H4693">
        <v>1</v>
      </c>
      <c r="I4693" t="s">
        <v>81</v>
      </c>
      <c r="J4693">
        <v>0</v>
      </c>
      <c r="K4693">
        <v>2</v>
      </c>
      <c r="L4693">
        <v>2</v>
      </c>
      <c r="M4693">
        <v>187</v>
      </c>
      <c r="N4693">
        <v>232</v>
      </c>
      <c r="O4693">
        <v>0</v>
      </c>
      <c r="P4693">
        <v>232</v>
      </c>
      <c r="Q4693">
        <v>6</v>
      </c>
      <c r="R4693">
        <v>8</v>
      </c>
      <c r="S4693">
        <v>71</v>
      </c>
      <c r="T4693">
        <v>4</v>
      </c>
      <c r="U4693">
        <v>11</v>
      </c>
      <c r="V4693">
        <v>5</v>
      </c>
      <c r="W4693">
        <v>0</v>
      </c>
      <c r="X4693">
        <v>3</v>
      </c>
      <c r="Y4693">
        <v>103</v>
      </c>
      <c r="Z4693">
        <v>3</v>
      </c>
      <c r="AA4693">
        <v>0</v>
      </c>
      <c r="AC4693">
        <v>1</v>
      </c>
      <c r="AD4693">
        <v>0</v>
      </c>
      <c r="AE4693">
        <v>1</v>
      </c>
      <c r="AF4693">
        <v>0</v>
      </c>
      <c r="AG4693">
        <v>0</v>
      </c>
      <c r="AH4693">
        <v>0</v>
      </c>
      <c r="AI4693">
        <v>0</v>
      </c>
      <c r="AJ4693">
        <v>0</v>
      </c>
      <c r="AK4693">
        <v>2</v>
      </c>
      <c r="AL4693">
        <v>0</v>
      </c>
      <c r="AM4693">
        <v>0</v>
      </c>
      <c r="AN4693">
        <v>4</v>
      </c>
      <c r="AT4693">
        <v>0</v>
      </c>
      <c r="AU4693">
        <v>10</v>
      </c>
      <c r="AV4693">
        <v>232</v>
      </c>
      <c r="AW4693">
        <v>232</v>
      </c>
      <c r="AX4693">
        <v>397</v>
      </c>
      <c r="BA4693">
        <v>1</v>
      </c>
      <c r="BC4693" t="s">
        <v>9496</v>
      </c>
      <c r="BD4693" s="4">
        <v>43283.3</v>
      </c>
      <c r="BE4693" s="4">
        <v>43283.331631944442</v>
      </c>
      <c r="BF4693" s="4">
        <v>43283.331631944442</v>
      </c>
      <c r="BG4693" t="s">
        <v>83</v>
      </c>
      <c r="BH4693" t="s">
        <v>84</v>
      </c>
      <c r="BI4693" t="s">
        <v>85</v>
      </c>
    </row>
    <row r="4694" spans="1:61" x14ac:dyDescent="0.3">
      <c r="A4694" t="str">
        <f>"202009B0100"</f>
        <v>202009B0100</v>
      </c>
      <c r="B4694" t="s">
        <v>9497</v>
      </c>
      <c r="C4694">
        <v>20</v>
      </c>
      <c r="D4694" t="s">
        <v>79</v>
      </c>
      <c r="E4694">
        <v>22</v>
      </c>
      <c r="F4694" t="s">
        <v>9267</v>
      </c>
      <c r="G4694">
        <v>2009</v>
      </c>
      <c r="H4694">
        <v>1</v>
      </c>
      <c r="I4694" t="s">
        <v>81</v>
      </c>
      <c r="J4694">
        <v>0</v>
      </c>
      <c r="K4694">
        <v>2</v>
      </c>
      <c r="L4694">
        <v>2</v>
      </c>
      <c r="M4694">
        <v>252</v>
      </c>
      <c r="N4694">
        <v>46</v>
      </c>
      <c r="O4694">
        <v>0</v>
      </c>
      <c r="P4694">
        <v>272</v>
      </c>
      <c r="Q4694">
        <v>10</v>
      </c>
      <c r="R4694">
        <v>34</v>
      </c>
      <c r="S4694">
        <v>111</v>
      </c>
      <c r="T4694">
        <v>15</v>
      </c>
      <c r="U4694">
        <v>25</v>
      </c>
      <c r="V4694">
        <v>4</v>
      </c>
      <c r="W4694">
        <v>3</v>
      </c>
      <c r="X4694">
        <v>8</v>
      </c>
      <c r="Y4694">
        <v>104</v>
      </c>
      <c r="Z4694">
        <v>5</v>
      </c>
      <c r="AA4694">
        <v>0</v>
      </c>
      <c r="AC4694">
        <v>0</v>
      </c>
      <c r="AD4694">
        <v>0</v>
      </c>
      <c r="AE4694">
        <v>0</v>
      </c>
      <c r="AF4694">
        <v>1</v>
      </c>
      <c r="AG4694">
        <v>0</v>
      </c>
      <c r="AH4694">
        <v>1</v>
      </c>
      <c r="AI4694">
        <v>1</v>
      </c>
      <c r="AJ4694">
        <v>1</v>
      </c>
      <c r="AK4694">
        <v>1</v>
      </c>
      <c r="AL4694">
        <v>0</v>
      </c>
      <c r="AM4694">
        <v>0</v>
      </c>
      <c r="AN4694">
        <v>0</v>
      </c>
      <c r="AT4694">
        <v>0</v>
      </c>
      <c r="AU4694">
        <v>48</v>
      </c>
      <c r="AV4694">
        <v>360</v>
      </c>
      <c r="AW4694">
        <v>372</v>
      </c>
      <c r="AX4694">
        <v>680</v>
      </c>
      <c r="BA4694">
        <v>1</v>
      </c>
      <c r="BC4694" t="s">
        <v>9498</v>
      </c>
      <c r="BD4694" s="4">
        <v>43283.347222222219</v>
      </c>
      <c r="BE4694" s="4">
        <v>43283.383391203701</v>
      </c>
      <c r="BF4694" s="4">
        <v>43283.383391203701</v>
      </c>
      <c r="BG4694" t="s">
        <v>83</v>
      </c>
      <c r="BH4694" t="s">
        <v>84</v>
      </c>
      <c r="BI4694" t="s">
        <v>85</v>
      </c>
    </row>
    <row r="4695" spans="1:61" x14ac:dyDescent="0.3">
      <c r="A4695" t="str">
        <f>"202009C0100"</f>
        <v>202009C0100</v>
      </c>
      <c r="B4695" t="s">
        <v>9499</v>
      </c>
      <c r="C4695">
        <v>20</v>
      </c>
      <c r="D4695" t="s">
        <v>79</v>
      </c>
      <c r="E4695">
        <v>22</v>
      </c>
      <c r="F4695" t="s">
        <v>9267</v>
      </c>
      <c r="G4695">
        <v>2009</v>
      </c>
      <c r="H4695">
        <v>1</v>
      </c>
      <c r="I4695" t="s">
        <v>89</v>
      </c>
      <c r="J4695">
        <v>0</v>
      </c>
      <c r="K4695">
        <v>2</v>
      </c>
      <c r="L4695">
        <v>2</v>
      </c>
      <c r="M4695">
        <v>292</v>
      </c>
      <c r="N4695">
        <v>702</v>
      </c>
      <c r="O4695">
        <v>0</v>
      </c>
      <c r="P4695">
        <v>405</v>
      </c>
      <c r="Q4695">
        <v>6</v>
      </c>
      <c r="R4695">
        <v>136</v>
      </c>
      <c r="S4695">
        <v>129</v>
      </c>
      <c r="T4695">
        <v>5</v>
      </c>
      <c r="U4695">
        <v>14</v>
      </c>
      <c r="V4695">
        <v>3</v>
      </c>
      <c r="W4695">
        <v>1</v>
      </c>
      <c r="X4695">
        <v>2</v>
      </c>
      <c r="Y4695">
        <v>71</v>
      </c>
      <c r="Z4695">
        <v>0</v>
      </c>
      <c r="AA4695">
        <v>1</v>
      </c>
      <c r="AC4695">
        <v>0</v>
      </c>
      <c r="AD4695">
        <v>0</v>
      </c>
      <c r="AE4695">
        <v>0</v>
      </c>
      <c r="AF4695">
        <v>1</v>
      </c>
      <c r="AG4695">
        <v>1</v>
      </c>
      <c r="AH4695">
        <v>2</v>
      </c>
      <c r="AI4695">
        <v>0</v>
      </c>
      <c r="AJ4695">
        <v>0</v>
      </c>
      <c r="AK4695">
        <v>0</v>
      </c>
      <c r="AL4695">
        <v>0</v>
      </c>
      <c r="AM4695">
        <v>0</v>
      </c>
      <c r="AN4695">
        <v>0</v>
      </c>
      <c r="AT4695">
        <v>1</v>
      </c>
      <c r="AU4695">
        <v>32</v>
      </c>
      <c r="AV4695">
        <v>405</v>
      </c>
      <c r="AW4695">
        <v>405</v>
      </c>
      <c r="AX4695">
        <v>680</v>
      </c>
      <c r="BA4695">
        <v>1</v>
      </c>
      <c r="BC4695" t="s">
        <v>9500</v>
      </c>
      <c r="BD4695" s="4">
        <v>43283.347222222219</v>
      </c>
      <c r="BE4695" s="4">
        <v>43283.365833333337</v>
      </c>
      <c r="BF4695" s="4">
        <v>43283.365833333337</v>
      </c>
      <c r="BG4695" t="s">
        <v>83</v>
      </c>
      <c r="BH4695" t="s">
        <v>84</v>
      </c>
      <c r="BI4695" t="s">
        <v>85</v>
      </c>
    </row>
    <row r="4696" spans="1:61" x14ac:dyDescent="0.3">
      <c r="A4696" t="str">
        <f>"202010B0100"</f>
        <v>202010B0100</v>
      </c>
      <c r="B4696" t="s">
        <v>9501</v>
      </c>
      <c r="C4696">
        <v>20</v>
      </c>
      <c r="D4696" t="s">
        <v>79</v>
      </c>
      <c r="E4696">
        <v>22</v>
      </c>
      <c r="F4696" t="s">
        <v>9267</v>
      </c>
      <c r="G4696">
        <v>2010</v>
      </c>
      <c r="H4696">
        <v>1</v>
      </c>
      <c r="I4696" t="s">
        <v>81</v>
      </c>
      <c r="J4696">
        <v>0</v>
      </c>
      <c r="K4696">
        <v>2</v>
      </c>
      <c r="L4696">
        <v>2</v>
      </c>
      <c r="M4696">
        <v>191</v>
      </c>
      <c r="N4696">
        <v>251</v>
      </c>
      <c r="O4696">
        <v>0</v>
      </c>
      <c r="P4696">
        <v>251</v>
      </c>
      <c r="Q4696">
        <v>7</v>
      </c>
      <c r="R4696">
        <v>18</v>
      </c>
      <c r="S4696">
        <v>79</v>
      </c>
      <c r="T4696">
        <v>1</v>
      </c>
      <c r="U4696">
        <v>20</v>
      </c>
      <c r="V4696">
        <v>2</v>
      </c>
      <c r="W4696">
        <v>2</v>
      </c>
      <c r="X4696">
        <v>5</v>
      </c>
      <c r="Y4696">
        <v>102</v>
      </c>
      <c r="Z4696">
        <v>2</v>
      </c>
      <c r="AA4696">
        <v>0</v>
      </c>
      <c r="AC4696">
        <v>1</v>
      </c>
      <c r="AD4696">
        <v>2</v>
      </c>
      <c r="AE4696">
        <v>0</v>
      </c>
      <c r="AF4696">
        <v>0</v>
      </c>
      <c r="AG4696">
        <v>0</v>
      </c>
      <c r="AH4696">
        <v>1</v>
      </c>
      <c r="AI4696">
        <v>0</v>
      </c>
      <c r="AJ4696">
        <v>0</v>
      </c>
      <c r="AK4696">
        <v>2</v>
      </c>
      <c r="AL4696">
        <v>0</v>
      </c>
      <c r="AM4696">
        <v>0</v>
      </c>
      <c r="AN4696">
        <v>0</v>
      </c>
      <c r="AT4696">
        <v>0</v>
      </c>
      <c r="AU4696">
        <v>7</v>
      </c>
      <c r="AV4696">
        <v>251</v>
      </c>
      <c r="AW4696">
        <v>251</v>
      </c>
      <c r="AX4696">
        <v>420</v>
      </c>
      <c r="BA4696">
        <v>1</v>
      </c>
      <c r="BC4696" t="s">
        <v>9502</v>
      </c>
      <c r="BD4696" s="4">
        <v>43283.127083333333</v>
      </c>
      <c r="BE4696" s="4">
        <v>43283.136689814812</v>
      </c>
      <c r="BF4696" s="4">
        <v>43283.136689814812</v>
      </c>
      <c r="BG4696" t="s">
        <v>83</v>
      </c>
      <c r="BH4696" t="s">
        <v>84</v>
      </c>
      <c r="BI4696" t="s">
        <v>85</v>
      </c>
    </row>
    <row r="4697" spans="1:61" x14ac:dyDescent="0.3">
      <c r="A4697" t="str">
        <f>"202010E0100"</f>
        <v>202010E0100</v>
      </c>
      <c r="B4697" s="2" t="s">
        <v>9503</v>
      </c>
      <c r="C4697">
        <v>20</v>
      </c>
      <c r="D4697" t="s">
        <v>79</v>
      </c>
      <c r="E4697">
        <v>22</v>
      </c>
      <c r="F4697" t="s">
        <v>9267</v>
      </c>
      <c r="G4697">
        <v>2010</v>
      </c>
      <c r="H4697">
        <v>1</v>
      </c>
      <c r="I4697" t="s">
        <v>145</v>
      </c>
      <c r="J4697">
        <v>0</v>
      </c>
      <c r="K4697">
        <v>2</v>
      </c>
      <c r="L4697">
        <v>2</v>
      </c>
      <c r="M4697">
        <v>197</v>
      </c>
      <c r="N4697">
        <v>530</v>
      </c>
      <c r="O4697">
        <v>0</v>
      </c>
      <c r="P4697">
        <v>333</v>
      </c>
      <c r="Q4697">
        <v>3</v>
      </c>
      <c r="R4697">
        <v>6</v>
      </c>
      <c r="S4697">
        <v>15</v>
      </c>
      <c r="T4697">
        <v>0</v>
      </c>
      <c r="U4697">
        <v>42</v>
      </c>
      <c r="V4697">
        <v>7</v>
      </c>
      <c r="W4697">
        <v>3</v>
      </c>
      <c r="X4697">
        <v>4</v>
      </c>
      <c r="Y4697">
        <v>219</v>
      </c>
      <c r="Z4697">
        <v>5</v>
      </c>
      <c r="AA4697">
        <v>0</v>
      </c>
      <c r="AC4697">
        <v>1</v>
      </c>
      <c r="AD4697">
        <v>0</v>
      </c>
      <c r="AE4697">
        <v>0</v>
      </c>
      <c r="AF4697">
        <v>0</v>
      </c>
      <c r="AG4697">
        <v>0</v>
      </c>
      <c r="AH4697">
        <v>0</v>
      </c>
      <c r="AI4697">
        <v>0</v>
      </c>
      <c r="AJ4697">
        <v>0</v>
      </c>
      <c r="AK4697">
        <v>8</v>
      </c>
      <c r="AL4697">
        <v>5</v>
      </c>
      <c r="AM4697">
        <v>0</v>
      </c>
      <c r="AN4697">
        <v>1</v>
      </c>
      <c r="AT4697">
        <v>0</v>
      </c>
      <c r="AU4697">
        <v>15</v>
      </c>
      <c r="AV4697">
        <v>333</v>
      </c>
      <c r="AW4697">
        <v>334</v>
      </c>
      <c r="AX4697">
        <v>508</v>
      </c>
      <c r="BA4697">
        <v>1</v>
      </c>
      <c r="BC4697" t="s">
        <v>9504</v>
      </c>
      <c r="BD4697" s="4">
        <v>43283.432638888888</v>
      </c>
      <c r="BE4697" s="4">
        <v>43283.442106481481</v>
      </c>
      <c r="BF4697" s="4">
        <v>43283.442106481481</v>
      </c>
      <c r="BG4697" t="s">
        <v>83</v>
      </c>
      <c r="BH4697" t="s">
        <v>84</v>
      </c>
      <c r="BI4697" t="s">
        <v>85</v>
      </c>
    </row>
    <row r="4698" spans="1:61" x14ac:dyDescent="0.3">
      <c r="A4698" t="str">
        <f>"202010E0200"</f>
        <v>202010E0200</v>
      </c>
      <c r="B4698" s="2" t="s">
        <v>9505</v>
      </c>
      <c r="C4698">
        <v>20</v>
      </c>
      <c r="D4698" t="s">
        <v>79</v>
      </c>
      <c r="E4698">
        <v>22</v>
      </c>
      <c r="F4698" t="s">
        <v>9267</v>
      </c>
      <c r="G4698">
        <v>2010</v>
      </c>
      <c r="H4698">
        <v>2</v>
      </c>
      <c r="I4698" t="s">
        <v>145</v>
      </c>
      <c r="J4698">
        <v>0</v>
      </c>
      <c r="K4698">
        <v>2</v>
      </c>
      <c r="L4698">
        <v>2</v>
      </c>
      <c r="M4698">
        <v>194</v>
      </c>
      <c r="N4698">
        <v>320</v>
      </c>
      <c r="O4698">
        <v>0</v>
      </c>
      <c r="P4698">
        <v>320</v>
      </c>
      <c r="Q4698">
        <v>3</v>
      </c>
      <c r="R4698">
        <v>19</v>
      </c>
      <c r="S4698">
        <v>128</v>
      </c>
      <c r="T4698">
        <v>1</v>
      </c>
      <c r="U4698">
        <v>11</v>
      </c>
      <c r="V4698">
        <v>4</v>
      </c>
      <c r="W4698">
        <v>0</v>
      </c>
      <c r="X4698">
        <v>1</v>
      </c>
      <c r="Y4698">
        <v>134</v>
      </c>
      <c r="Z4698">
        <v>1</v>
      </c>
      <c r="AA4698">
        <v>0</v>
      </c>
      <c r="AC4698" t="s">
        <v>100</v>
      </c>
      <c r="AD4698" t="s">
        <v>100</v>
      </c>
      <c r="AE4698" t="s">
        <v>100</v>
      </c>
      <c r="AF4698" t="s">
        <v>100</v>
      </c>
      <c r="AG4698" t="s">
        <v>100</v>
      </c>
      <c r="AH4698" t="s">
        <v>100</v>
      </c>
      <c r="AI4698" t="s">
        <v>100</v>
      </c>
      <c r="AJ4698" t="s">
        <v>100</v>
      </c>
      <c r="AK4698" t="s">
        <v>100</v>
      </c>
      <c r="AL4698" t="s">
        <v>100</v>
      </c>
      <c r="AM4698" t="s">
        <v>100</v>
      </c>
      <c r="AN4698" t="s">
        <v>100</v>
      </c>
      <c r="AT4698" t="s">
        <v>100</v>
      </c>
      <c r="AU4698" t="s">
        <v>100</v>
      </c>
      <c r="AV4698">
        <v>320</v>
      </c>
      <c r="AW4698">
        <v>302</v>
      </c>
      <c r="AX4698">
        <v>492</v>
      </c>
      <c r="AZ4698" t="s">
        <v>101</v>
      </c>
      <c r="BA4698">
        <v>1</v>
      </c>
      <c r="BC4698" t="s">
        <v>9506</v>
      </c>
      <c r="BD4698" s="4">
        <v>43283.431944444441</v>
      </c>
      <c r="BE4698" s="4">
        <v>43283.443564814814</v>
      </c>
      <c r="BF4698" s="4">
        <v>43283.443564814814</v>
      </c>
      <c r="BG4698" t="s">
        <v>83</v>
      </c>
      <c r="BH4698" t="s">
        <v>84</v>
      </c>
      <c r="BI4698" t="s">
        <v>85</v>
      </c>
    </row>
    <row r="4699" spans="1:61" x14ac:dyDescent="0.3">
      <c r="A4699" t="str">
        <f>"202010E0300"</f>
        <v>202010E0300</v>
      </c>
      <c r="B4699" s="2" t="s">
        <v>9507</v>
      </c>
      <c r="C4699">
        <v>20</v>
      </c>
      <c r="D4699" t="s">
        <v>79</v>
      </c>
      <c r="E4699">
        <v>22</v>
      </c>
      <c r="F4699" t="s">
        <v>9267</v>
      </c>
      <c r="G4699">
        <v>2010</v>
      </c>
      <c r="H4699">
        <v>3</v>
      </c>
      <c r="I4699" t="s">
        <v>145</v>
      </c>
      <c r="J4699">
        <v>0</v>
      </c>
      <c r="K4699">
        <v>2</v>
      </c>
      <c r="L4699">
        <v>2</v>
      </c>
      <c r="M4699">
        <v>73</v>
      </c>
      <c r="N4699">
        <v>355</v>
      </c>
      <c r="O4699">
        <v>0</v>
      </c>
      <c r="P4699">
        <v>355</v>
      </c>
      <c r="Q4699">
        <v>0</v>
      </c>
      <c r="R4699">
        <v>3</v>
      </c>
      <c r="S4699">
        <v>167</v>
      </c>
      <c r="T4699">
        <v>0</v>
      </c>
      <c r="U4699">
        <v>12</v>
      </c>
      <c r="V4699">
        <v>2</v>
      </c>
      <c r="W4699">
        <v>2</v>
      </c>
      <c r="X4699">
        <v>4</v>
      </c>
      <c r="Y4699">
        <v>137</v>
      </c>
      <c r="Z4699">
        <v>5</v>
      </c>
      <c r="AA4699">
        <v>0</v>
      </c>
      <c r="AC4699" t="s">
        <v>100</v>
      </c>
      <c r="AD4699" t="s">
        <v>100</v>
      </c>
      <c r="AE4699" t="s">
        <v>100</v>
      </c>
      <c r="AF4699" t="s">
        <v>100</v>
      </c>
      <c r="AG4699" t="s">
        <v>100</v>
      </c>
      <c r="AH4699" t="s">
        <v>100</v>
      </c>
      <c r="AI4699" t="s">
        <v>100</v>
      </c>
      <c r="AJ4699" t="s">
        <v>100</v>
      </c>
      <c r="AK4699" t="s">
        <v>100</v>
      </c>
      <c r="AL4699" t="s">
        <v>100</v>
      </c>
      <c r="AM4699" t="s">
        <v>100</v>
      </c>
      <c r="AN4699" t="s">
        <v>100</v>
      </c>
      <c r="AT4699" t="s">
        <v>100</v>
      </c>
      <c r="AU4699">
        <v>23</v>
      </c>
      <c r="AV4699">
        <v>355</v>
      </c>
      <c r="AW4699">
        <v>355</v>
      </c>
      <c r="AX4699">
        <v>406</v>
      </c>
      <c r="AZ4699" t="s">
        <v>101</v>
      </c>
      <c r="BA4699">
        <v>1</v>
      </c>
      <c r="BC4699" t="s">
        <v>9508</v>
      </c>
      <c r="BD4699" s="4">
        <v>43283.431944444441</v>
      </c>
      <c r="BE4699" s="4">
        <v>43283.441307870373</v>
      </c>
      <c r="BF4699" s="4">
        <v>43283.441307870373</v>
      </c>
      <c r="BG4699" t="s">
        <v>83</v>
      </c>
      <c r="BH4699" t="s">
        <v>84</v>
      </c>
      <c r="BI4699" t="s">
        <v>85</v>
      </c>
    </row>
    <row r="4700" spans="1:61" x14ac:dyDescent="0.3">
      <c r="A4700" t="str">
        <f>"202011B0100"</f>
        <v>202011B0100</v>
      </c>
      <c r="B4700" t="s">
        <v>9509</v>
      </c>
      <c r="C4700">
        <v>20</v>
      </c>
      <c r="D4700" t="s">
        <v>79</v>
      </c>
      <c r="E4700">
        <v>22</v>
      </c>
      <c r="F4700" t="s">
        <v>9267</v>
      </c>
      <c r="G4700">
        <v>2011</v>
      </c>
      <c r="H4700">
        <v>1</v>
      </c>
      <c r="I4700" t="s">
        <v>81</v>
      </c>
      <c r="J4700">
        <v>0</v>
      </c>
      <c r="K4700">
        <v>2</v>
      </c>
      <c r="L4700">
        <v>2</v>
      </c>
      <c r="M4700">
        <v>48</v>
      </c>
      <c r="N4700">
        <v>117</v>
      </c>
      <c r="O4700">
        <v>4</v>
      </c>
      <c r="P4700">
        <v>117</v>
      </c>
      <c r="Q4700" t="s">
        <v>100</v>
      </c>
      <c r="R4700">
        <v>7</v>
      </c>
      <c r="S4700" t="s">
        <v>100</v>
      </c>
      <c r="T4700" t="s">
        <v>100</v>
      </c>
      <c r="U4700" t="s">
        <v>100</v>
      </c>
      <c r="V4700" t="s">
        <v>100</v>
      </c>
      <c r="W4700" t="s">
        <v>100</v>
      </c>
      <c r="X4700">
        <v>5</v>
      </c>
      <c r="Y4700">
        <v>102</v>
      </c>
      <c r="Z4700" t="s">
        <v>100</v>
      </c>
      <c r="AA4700" t="s">
        <v>100</v>
      </c>
      <c r="AC4700" t="s">
        <v>100</v>
      </c>
      <c r="AD4700" t="s">
        <v>100</v>
      </c>
      <c r="AE4700" t="s">
        <v>100</v>
      </c>
      <c r="AF4700" t="s">
        <v>100</v>
      </c>
      <c r="AG4700" t="s">
        <v>100</v>
      </c>
      <c r="AH4700" t="s">
        <v>100</v>
      </c>
      <c r="AI4700" t="s">
        <v>100</v>
      </c>
      <c r="AJ4700" t="s">
        <v>100</v>
      </c>
      <c r="AK4700" t="s">
        <v>100</v>
      </c>
      <c r="AL4700" t="s">
        <v>100</v>
      </c>
      <c r="AM4700" t="s">
        <v>100</v>
      </c>
      <c r="AN4700" t="s">
        <v>100</v>
      </c>
      <c r="AT4700" t="s">
        <v>100</v>
      </c>
      <c r="AU4700">
        <v>3</v>
      </c>
      <c r="AV4700" t="s">
        <v>100</v>
      </c>
      <c r="AW4700">
        <v>117</v>
      </c>
      <c r="AX4700">
        <v>143</v>
      </c>
      <c r="AZ4700" t="s">
        <v>101</v>
      </c>
      <c r="BA4700">
        <v>1</v>
      </c>
      <c r="BC4700" t="s">
        <v>9510</v>
      </c>
      <c r="BD4700" s="4">
        <v>43283.149305555555</v>
      </c>
      <c r="BE4700" s="4">
        <v>43283.163680555554</v>
      </c>
      <c r="BF4700" s="4">
        <v>43283.163680555554</v>
      </c>
      <c r="BG4700" t="s">
        <v>83</v>
      </c>
      <c r="BH4700" t="s">
        <v>84</v>
      </c>
      <c r="BI4700" t="s">
        <v>85</v>
      </c>
    </row>
    <row r="4701" spans="1:61" x14ac:dyDescent="0.3">
      <c r="A4701" t="str">
        <f>"202011E0100"</f>
        <v>202011E0100</v>
      </c>
      <c r="B4701" s="2" t="s">
        <v>9511</v>
      </c>
      <c r="C4701">
        <v>20</v>
      </c>
      <c r="D4701" t="s">
        <v>79</v>
      </c>
      <c r="E4701">
        <v>22</v>
      </c>
      <c r="F4701" t="s">
        <v>9267</v>
      </c>
      <c r="G4701">
        <v>2011</v>
      </c>
      <c r="H4701">
        <v>1</v>
      </c>
      <c r="I4701" t="s">
        <v>145</v>
      </c>
      <c r="J4701">
        <v>0</v>
      </c>
      <c r="K4701">
        <v>2</v>
      </c>
      <c r="L4701">
        <v>2</v>
      </c>
      <c r="M4701">
        <v>122</v>
      </c>
      <c r="N4701">
        <v>282</v>
      </c>
      <c r="O4701">
        <v>0</v>
      </c>
      <c r="P4701">
        <v>282</v>
      </c>
      <c r="Q4701">
        <v>3</v>
      </c>
      <c r="R4701">
        <v>26</v>
      </c>
      <c r="S4701">
        <v>24</v>
      </c>
      <c r="T4701">
        <v>2</v>
      </c>
      <c r="U4701">
        <v>15</v>
      </c>
      <c r="V4701">
        <v>5</v>
      </c>
      <c r="W4701">
        <v>4</v>
      </c>
      <c r="X4701">
        <v>6</v>
      </c>
      <c r="Y4701">
        <v>177</v>
      </c>
      <c r="Z4701">
        <v>8</v>
      </c>
      <c r="AA4701" t="s">
        <v>100</v>
      </c>
      <c r="AC4701" t="s">
        <v>100</v>
      </c>
      <c r="AD4701" t="s">
        <v>100</v>
      </c>
      <c r="AE4701" t="s">
        <v>100</v>
      </c>
      <c r="AF4701" t="s">
        <v>100</v>
      </c>
      <c r="AG4701" t="s">
        <v>100</v>
      </c>
      <c r="AH4701" t="s">
        <v>100</v>
      </c>
      <c r="AI4701" t="s">
        <v>100</v>
      </c>
      <c r="AJ4701" t="s">
        <v>100</v>
      </c>
      <c r="AK4701" t="s">
        <v>100</v>
      </c>
      <c r="AL4701" t="s">
        <v>100</v>
      </c>
      <c r="AM4701" t="s">
        <v>100</v>
      </c>
      <c r="AN4701" t="s">
        <v>100</v>
      </c>
      <c r="AT4701" t="s">
        <v>100</v>
      </c>
      <c r="AU4701">
        <v>12</v>
      </c>
      <c r="AV4701">
        <v>282</v>
      </c>
      <c r="AW4701">
        <v>282</v>
      </c>
      <c r="AX4701">
        <v>382</v>
      </c>
      <c r="AZ4701" t="s">
        <v>101</v>
      </c>
      <c r="BA4701">
        <v>1</v>
      </c>
      <c r="BC4701" t="s">
        <v>9512</v>
      </c>
      <c r="BD4701" s="4">
        <v>43283.152083333334</v>
      </c>
      <c r="BE4701" s="4">
        <v>43283.162199074075</v>
      </c>
      <c r="BF4701" s="4">
        <v>43283.162199074075</v>
      </c>
      <c r="BG4701" t="s">
        <v>83</v>
      </c>
      <c r="BH4701" t="s">
        <v>84</v>
      </c>
      <c r="BI4701" t="s">
        <v>85</v>
      </c>
    </row>
    <row r="4702" spans="1:61" x14ac:dyDescent="0.3">
      <c r="A4702" t="str">
        <f>"202012B0100"</f>
        <v>202012B0100</v>
      </c>
      <c r="B4702" t="s">
        <v>9513</v>
      </c>
      <c r="C4702">
        <v>20</v>
      </c>
      <c r="D4702" t="s">
        <v>79</v>
      </c>
      <c r="E4702">
        <v>22</v>
      </c>
      <c r="F4702" t="s">
        <v>9267</v>
      </c>
      <c r="G4702">
        <v>2012</v>
      </c>
      <c r="H4702">
        <v>1</v>
      </c>
      <c r="I4702" t="s">
        <v>81</v>
      </c>
      <c r="J4702">
        <v>0</v>
      </c>
      <c r="K4702">
        <v>1</v>
      </c>
      <c r="L4702">
        <v>2</v>
      </c>
      <c r="M4702">
        <v>113</v>
      </c>
      <c r="N4702">
        <v>467</v>
      </c>
      <c r="O4702">
        <v>2</v>
      </c>
      <c r="P4702">
        <v>467</v>
      </c>
      <c r="Q4702">
        <v>4</v>
      </c>
      <c r="R4702">
        <v>177</v>
      </c>
      <c r="S4702">
        <v>22</v>
      </c>
      <c r="T4702">
        <v>1</v>
      </c>
      <c r="U4702">
        <v>10</v>
      </c>
      <c r="V4702">
        <v>8</v>
      </c>
      <c r="W4702">
        <v>3</v>
      </c>
      <c r="X4702">
        <v>2</v>
      </c>
      <c r="Y4702">
        <v>217</v>
      </c>
      <c r="Z4702">
        <v>6</v>
      </c>
      <c r="AA4702">
        <v>0</v>
      </c>
      <c r="AC4702">
        <v>0</v>
      </c>
      <c r="AD4702">
        <v>0</v>
      </c>
      <c r="AE4702">
        <v>0</v>
      </c>
      <c r="AF4702">
        <v>0</v>
      </c>
      <c r="AG4702">
        <v>1</v>
      </c>
      <c r="AH4702">
        <v>1</v>
      </c>
      <c r="AI4702">
        <v>1</v>
      </c>
      <c r="AJ4702">
        <v>0</v>
      </c>
      <c r="AK4702">
        <v>2</v>
      </c>
      <c r="AL4702">
        <v>1</v>
      </c>
      <c r="AM4702">
        <v>0</v>
      </c>
      <c r="AN4702">
        <v>0</v>
      </c>
      <c r="AT4702" t="s">
        <v>100</v>
      </c>
      <c r="AU4702">
        <v>9</v>
      </c>
      <c r="AV4702">
        <v>469</v>
      </c>
      <c r="AW4702">
        <v>465</v>
      </c>
      <c r="AX4702">
        <v>558</v>
      </c>
      <c r="AZ4702" t="s">
        <v>101</v>
      </c>
      <c r="BA4702">
        <v>1</v>
      </c>
      <c r="BC4702" t="s">
        <v>9514</v>
      </c>
      <c r="BD4702" s="4">
        <v>43283.379861111112</v>
      </c>
      <c r="BE4702" s="4">
        <v>43283.386157407411</v>
      </c>
      <c r="BF4702" s="4">
        <v>43283.386157407411</v>
      </c>
      <c r="BG4702" t="s">
        <v>83</v>
      </c>
      <c r="BH4702" t="s">
        <v>84</v>
      </c>
      <c r="BI4702" t="s">
        <v>85</v>
      </c>
    </row>
    <row r="4703" spans="1:61" x14ac:dyDescent="0.3">
      <c r="A4703" t="str">
        <f>"202012C0100"</f>
        <v>202012C0100</v>
      </c>
      <c r="B4703" t="s">
        <v>9515</v>
      </c>
      <c r="C4703">
        <v>20</v>
      </c>
      <c r="D4703" t="s">
        <v>79</v>
      </c>
      <c r="E4703">
        <v>22</v>
      </c>
      <c r="F4703" t="s">
        <v>9267</v>
      </c>
      <c r="G4703">
        <v>2012</v>
      </c>
      <c r="H4703">
        <v>1</v>
      </c>
      <c r="I4703" t="s">
        <v>89</v>
      </c>
      <c r="J4703">
        <v>0</v>
      </c>
      <c r="K4703">
        <v>1</v>
      </c>
      <c r="L4703">
        <v>2</v>
      </c>
      <c r="M4703">
        <v>127</v>
      </c>
      <c r="N4703">
        <v>451</v>
      </c>
      <c r="O4703">
        <v>5</v>
      </c>
      <c r="P4703">
        <v>452</v>
      </c>
      <c r="Q4703">
        <v>3</v>
      </c>
      <c r="R4703">
        <v>182</v>
      </c>
      <c r="S4703">
        <v>27</v>
      </c>
      <c r="T4703">
        <v>2</v>
      </c>
      <c r="U4703">
        <v>9</v>
      </c>
      <c r="V4703">
        <v>6</v>
      </c>
      <c r="W4703">
        <v>3</v>
      </c>
      <c r="X4703">
        <v>2</v>
      </c>
      <c r="Y4703">
        <v>203</v>
      </c>
      <c r="Z4703">
        <v>6</v>
      </c>
      <c r="AA4703">
        <v>0</v>
      </c>
      <c r="AC4703">
        <v>0</v>
      </c>
      <c r="AD4703">
        <v>0</v>
      </c>
      <c r="AE4703">
        <v>0</v>
      </c>
      <c r="AF4703">
        <v>0</v>
      </c>
      <c r="AG4703">
        <v>0</v>
      </c>
      <c r="AH4703">
        <v>2</v>
      </c>
      <c r="AI4703">
        <v>0</v>
      </c>
      <c r="AJ4703">
        <v>0</v>
      </c>
      <c r="AK4703">
        <v>0</v>
      </c>
      <c r="AL4703">
        <v>2</v>
      </c>
      <c r="AM4703">
        <v>1</v>
      </c>
      <c r="AN4703">
        <v>0</v>
      </c>
      <c r="AT4703">
        <v>0</v>
      </c>
      <c r="AU4703">
        <v>4</v>
      </c>
      <c r="AV4703">
        <v>452</v>
      </c>
      <c r="AW4703">
        <v>452</v>
      </c>
      <c r="AX4703">
        <v>557</v>
      </c>
      <c r="BA4703">
        <v>1</v>
      </c>
      <c r="BC4703" t="s">
        <v>9516</v>
      </c>
      <c r="BD4703" s="4">
        <v>43283.379861111112</v>
      </c>
      <c r="BE4703" s="4">
        <v>43283.385185185187</v>
      </c>
      <c r="BF4703" s="4">
        <v>43283.385185185187</v>
      </c>
      <c r="BG4703" t="s">
        <v>83</v>
      </c>
      <c r="BH4703" t="s">
        <v>84</v>
      </c>
      <c r="BI4703" t="s">
        <v>85</v>
      </c>
    </row>
    <row r="4704" spans="1:61" x14ac:dyDescent="0.3">
      <c r="A4704" t="str">
        <f>"202013B0100"</f>
        <v>202013B0100</v>
      </c>
      <c r="B4704" t="s">
        <v>9517</v>
      </c>
      <c r="C4704">
        <v>20</v>
      </c>
      <c r="D4704" t="s">
        <v>79</v>
      </c>
      <c r="E4704">
        <v>22</v>
      </c>
      <c r="F4704" t="s">
        <v>9267</v>
      </c>
      <c r="G4704">
        <v>2013</v>
      </c>
      <c r="H4704">
        <v>1</v>
      </c>
      <c r="I4704" t="s">
        <v>81</v>
      </c>
      <c r="J4704">
        <v>0</v>
      </c>
      <c r="K4704">
        <v>1</v>
      </c>
      <c r="L4704">
        <v>2</v>
      </c>
      <c r="AX4704">
        <v>560</v>
      </c>
      <c r="AZ4704" t="s">
        <v>932</v>
      </c>
      <c r="BA4704">
        <v>0</v>
      </c>
      <c r="BC4704" t="s">
        <v>9518</v>
      </c>
      <c r="BD4704" s="4">
        <v>43283.737500000003</v>
      </c>
      <c r="BE4704" s="4">
        <v>43283.738541666666</v>
      </c>
      <c r="BF4704" s="4">
        <v>43283.738541666666</v>
      </c>
      <c r="BG4704" t="s">
        <v>83</v>
      </c>
      <c r="BH4704" t="s">
        <v>84</v>
      </c>
      <c r="BI4704" t="s">
        <v>85</v>
      </c>
    </row>
    <row r="4705" spans="1:61" x14ac:dyDescent="0.3">
      <c r="A4705" t="str">
        <f>"202013C0100"</f>
        <v>202013C0100</v>
      </c>
      <c r="B4705" t="s">
        <v>9519</v>
      </c>
      <c r="C4705">
        <v>20</v>
      </c>
      <c r="D4705" t="s">
        <v>79</v>
      </c>
      <c r="E4705">
        <v>22</v>
      </c>
      <c r="F4705" t="s">
        <v>9267</v>
      </c>
      <c r="G4705">
        <v>2013</v>
      </c>
      <c r="H4705">
        <v>1</v>
      </c>
      <c r="I4705" t="s">
        <v>89</v>
      </c>
      <c r="J4705">
        <v>0</v>
      </c>
      <c r="K4705">
        <v>1</v>
      </c>
      <c r="L4705">
        <v>2</v>
      </c>
      <c r="AX4705">
        <v>560</v>
      </c>
      <c r="AZ4705" t="s">
        <v>932</v>
      </c>
      <c r="BA4705">
        <v>0</v>
      </c>
      <c r="BC4705" t="s">
        <v>9520</v>
      </c>
      <c r="BD4705" s="4">
        <v>43283.737500000003</v>
      </c>
      <c r="BE4705" s="4">
        <v>43283.738738425927</v>
      </c>
      <c r="BF4705" s="4">
        <v>43283.738738425927</v>
      </c>
      <c r="BG4705" t="s">
        <v>83</v>
      </c>
      <c r="BH4705" t="s">
        <v>84</v>
      </c>
      <c r="BI4705" t="s">
        <v>85</v>
      </c>
    </row>
    <row r="4706" spans="1:61" x14ac:dyDescent="0.3">
      <c r="A4706" t="str">
        <f>"202013C0200"</f>
        <v>202013C0200</v>
      </c>
      <c r="B4706" t="s">
        <v>9521</v>
      </c>
      <c r="C4706">
        <v>20</v>
      </c>
      <c r="D4706" t="s">
        <v>79</v>
      </c>
      <c r="E4706">
        <v>22</v>
      </c>
      <c r="F4706" t="s">
        <v>9267</v>
      </c>
      <c r="G4706">
        <v>2013</v>
      </c>
      <c r="H4706">
        <v>2</v>
      </c>
      <c r="I4706" t="s">
        <v>89</v>
      </c>
      <c r="J4706">
        <v>0</v>
      </c>
      <c r="K4706">
        <v>1</v>
      </c>
      <c r="L4706">
        <v>2</v>
      </c>
      <c r="AX4706">
        <v>560</v>
      </c>
      <c r="AZ4706" t="s">
        <v>932</v>
      </c>
      <c r="BA4706">
        <v>0</v>
      </c>
      <c r="BC4706" t="s">
        <v>9522</v>
      </c>
      <c r="BD4706" s="4">
        <v>43283.737500000003</v>
      </c>
      <c r="BE4706" s="4">
        <v>43283.739490740743</v>
      </c>
      <c r="BF4706" s="4">
        <v>43283.739490740743</v>
      </c>
      <c r="BG4706" t="s">
        <v>83</v>
      </c>
      <c r="BH4706" t="s">
        <v>84</v>
      </c>
      <c r="BI4706" t="s">
        <v>85</v>
      </c>
    </row>
    <row r="4707" spans="1:61" x14ac:dyDescent="0.3">
      <c r="A4707" t="str">
        <f>"202014B0100"</f>
        <v>202014B0100</v>
      </c>
      <c r="B4707" t="s">
        <v>9523</v>
      </c>
      <c r="C4707">
        <v>20</v>
      </c>
      <c r="D4707" t="s">
        <v>79</v>
      </c>
      <c r="E4707">
        <v>22</v>
      </c>
      <c r="F4707" t="s">
        <v>9267</v>
      </c>
      <c r="G4707">
        <v>2014</v>
      </c>
      <c r="H4707">
        <v>1</v>
      </c>
      <c r="I4707" t="s">
        <v>81</v>
      </c>
      <c r="J4707">
        <v>0</v>
      </c>
      <c r="K4707">
        <v>1</v>
      </c>
      <c r="L4707">
        <v>2</v>
      </c>
      <c r="M4707">
        <v>146</v>
      </c>
      <c r="N4707">
        <v>467</v>
      </c>
      <c r="O4707">
        <v>0</v>
      </c>
      <c r="P4707">
        <v>470</v>
      </c>
      <c r="Q4707">
        <v>2</v>
      </c>
      <c r="R4707">
        <v>138</v>
      </c>
      <c r="S4707">
        <v>16</v>
      </c>
      <c r="T4707">
        <v>4</v>
      </c>
      <c r="U4707">
        <v>7</v>
      </c>
      <c r="V4707">
        <v>4</v>
      </c>
      <c r="W4707">
        <v>4</v>
      </c>
      <c r="X4707">
        <v>5</v>
      </c>
      <c r="Y4707">
        <v>268</v>
      </c>
      <c r="Z4707">
        <v>3</v>
      </c>
      <c r="AA4707">
        <v>0</v>
      </c>
      <c r="AC4707">
        <v>0</v>
      </c>
      <c r="AD4707">
        <v>0</v>
      </c>
      <c r="AE4707">
        <v>0</v>
      </c>
      <c r="AF4707">
        <v>0</v>
      </c>
      <c r="AG4707">
        <v>0</v>
      </c>
      <c r="AH4707">
        <v>1</v>
      </c>
      <c r="AI4707">
        <v>0</v>
      </c>
      <c r="AJ4707">
        <v>0</v>
      </c>
      <c r="AK4707">
        <v>2</v>
      </c>
      <c r="AL4707">
        <v>1</v>
      </c>
      <c r="AM4707">
        <v>0</v>
      </c>
      <c r="AN4707">
        <v>2</v>
      </c>
      <c r="AT4707">
        <v>0</v>
      </c>
      <c r="AU4707">
        <v>13</v>
      </c>
      <c r="AV4707" t="s">
        <v>100</v>
      </c>
      <c r="AW4707">
        <v>470</v>
      </c>
      <c r="AX4707">
        <v>594</v>
      </c>
      <c r="BA4707">
        <v>1</v>
      </c>
      <c r="BC4707" t="s">
        <v>9524</v>
      </c>
      <c r="BD4707" s="4">
        <v>43283.370833333334</v>
      </c>
      <c r="BE4707" s="4">
        <v>43283.378495370373</v>
      </c>
      <c r="BF4707" s="4">
        <v>43283.378495370373</v>
      </c>
      <c r="BG4707" t="s">
        <v>83</v>
      </c>
      <c r="BH4707" t="s">
        <v>84</v>
      </c>
      <c r="BI4707" t="s">
        <v>85</v>
      </c>
    </row>
    <row r="4708" spans="1:61" x14ac:dyDescent="0.3">
      <c r="A4708" t="str">
        <f>"202014C0100"</f>
        <v>202014C0100</v>
      </c>
      <c r="B4708" t="s">
        <v>9525</v>
      </c>
      <c r="C4708">
        <v>20</v>
      </c>
      <c r="D4708" t="s">
        <v>79</v>
      </c>
      <c r="E4708">
        <v>22</v>
      </c>
      <c r="F4708" t="s">
        <v>9267</v>
      </c>
      <c r="G4708">
        <v>2014</v>
      </c>
      <c r="H4708">
        <v>1</v>
      </c>
      <c r="I4708" t="s">
        <v>89</v>
      </c>
      <c r="J4708">
        <v>0</v>
      </c>
      <c r="K4708">
        <v>1</v>
      </c>
      <c r="L4708">
        <v>2</v>
      </c>
      <c r="M4708">
        <v>132</v>
      </c>
      <c r="N4708">
        <v>484</v>
      </c>
      <c r="O4708">
        <v>0</v>
      </c>
      <c r="P4708">
        <v>484</v>
      </c>
      <c r="Q4708">
        <v>3</v>
      </c>
      <c r="R4708">
        <v>133</v>
      </c>
      <c r="S4708">
        <v>17</v>
      </c>
      <c r="T4708">
        <v>1</v>
      </c>
      <c r="U4708">
        <v>15</v>
      </c>
      <c r="V4708">
        <v>5</v>
      </c>
      <c r="W4708">
        <v>2</v>
      </c>
      <c r="X4708">
        <v>1</v>
      </c>
      <c r="Y4708">
        <v>281</v>
      </c>
      <c r="Z4708">
        <v>6</v>
      </c>
      <c r="AA4708">
        <v>1</v>
      </c>
      <c r="AC4708">
        <v>0</v>
      </c>
      <c r="AD4708">
        <v>0</v>
      </c>
      <c r="AE4708">
        <v>0</v>
      </c>
      <c r="AF4708">
        <v>0</v>
      </c>
      <c r="AG4708">
        <v>1</v>
      </c>
      <c r="AH4708">
        <v>3</v>
      </c>
      <c r="AI4708">
        <v>0</v>
      </c>
      <c r="AJ4708">
        <v>0</v>
      </c>
      <c r="AK4708">
        <v>1</v>
      </c>
      <c r="AL4708">
        <v>3</v>
      </c>
      <c r="AM4708">
        <v>0</v>
      </c>
      <c r="AN4708">
        <v>3</v>
      </c>
      <c r="AT4708">
        <v>0</v>
      </c>
      <c r="AU4708">
        <v>8</v>
      </c>
      <c r="AV4708">
        <v>484</v>
      </c>
      <c r="AW4708">
        <v>484</v>
      </c>
      <c r="AX4708">
        <v>594</v>
      </c>
      <c r="BA4708">
        <v>1</v>
      </c>
      <c r="BC4708" t="s">
        <v>9526</v>
      </c>
      <c r="BD4708" s="4">
        <v>43283.371527777781</v>
      </c>
      <c r="BE4708" s="4">
        <v>43283.379282407404</v>
      </c>
      <c r="BF4708" s="4">
        <v>43283.379282407404</v>
      </c>
      <c r="BG4708" t="s">
        <v>83</v>
      </c>
      <c r="BH4708" t="s">
        <v>84</v>
      </c>
      <c r="BI4708" t="s">
        <v>85</v>
      </c>
    </row>
    <row r="4709" spans="1:61" x14ac:dyDescent="0.3">
      <c r="A4709" t="str">
        <f>"202015B0100"</f>
        <v>202015B0100</v>
      </c>
      <c r="B4709" t="s">
        <v>9527</v>
      </c>
      <c r="C4709">
        <v>20</v>
      </c>
      <c r="D4709" t="s">
        <v>79</v>
      </c>
      <c r="E4709">
        <v>22</v>
      </c>
      <c r="F4709" t="s">
        <v>9267</v>
      </c>
      <c r="G4709">
        <v>2015</v>
      </c>
      <c r="H4709">
        <v>1</v>
      </c>
      <c r="I4709" t="s">
        <v>81</v>
      </c>
      <c r="J4709">
        <v>0</v>
      </c>
      <c r="K4709">
        <v>1</v>
      </c>
      <c r="L4709">
        <v>2</v>
      </c>
      <c r="M4709">
        <v>178</v>
      </c>
      <c r="N4709">
        <v>511</v>
      </c>
      <c r="O4709">
        <v>0</v>
      </c>
      <c r="P4709">
        <v>511</v>
      </c>
      <c r="Q4709">
        <v>4</v>
      </c>
      <c r="R4709">
        <v>166</v>
      </c>
      <c r="S4709">
        <v>11</v>
      </c>
      <c r="T4709">
        <v>4</v>
      </c>
      <c r="U4709">
        <v>12</v>
      </c>
      <c r="V4709">
        <v>6</v>
      </c>
      <c r="W4709">
        <v>2</v>
      </c>
      <c r="X4709">
        <v>3</v>
      </c>
      <c r="Y4709">
        <v>279</v>
      </c>
      <c r="Z4709">
        <v>4</v>
      </c>
      <c r="AA4709">
        <v>1</v>
      </c>
      <c r="AC4709">
        <v>0</v>
      </c>
      <c r="AD4709">
        <v>0</v>
      </c>
      <c r="AE4709">
        <v>0</v>
      </c>
      <c r="AF4709">
        <v>0</v>
      </c>
      <c r="AG4709">
        <v>3</v>
      </c>
      <c r="AH4709">
        <v>2</v>
      </c>
      <c r="AI4709">
        <v>0</v>
      </c>
      <c r="AJ4709">
        <v>0</v>
      </c>
      <c r="AK4709">
        <v>1</v>
      </c>
      <c r="AL4709">
        <v>0</v>
      </c>
      <c r="AM4709">
        <v>0</v>
      </c>
      <c r="AN4709">
        <v>0</v>
      </c>
      <c r="AT4709">
        <v>0</v>
      </c>
      <c r="AU4709">
        <v>13</v>
      </c>
      <c r="AV4709">
        <v>511</v>
      </c>
      <c r="AW4709">
        <v>511</v>
      </c>
      <c r="AX4709">
        <v>667</v>
      </c>
      <c r="BA4709">
        <v>1</v>
      </c>
      <c r="BC4709" t="s">
        <v>9528</v>
      </c>
      <c r="BD4709" s="4">
        <v>43283.379861111112</v>
      </c>
      <c r="BE4709" s="4">
        <v>43283.385069444441</v>
      </c>
      <c r="BF4709" s="4">
        <v>43283.385069444441</v>
      </c>
      <c r="BG4709" t="s">
        <v>83</v>
      </c>
      <c r="BH4709" t="s">
        <v>84</v>
      </c>
      <c r="BI4709" t="s">
        <v>85</v>
      </c>
    </row>
    <row r="4710" spans="1:61" x14ac:dyDescent="0.3">
      <c r="A4710" t="str">
        <f>"202015C0100"</f>
        <v>202015C0100</v>
      </c>
      <c r="B4710" t="s">
        <v>9529</v>
      </c>
      <c r="C4710">
        <v>20</v>
      </c>
      <c r="D4710" t="s">
        <v>79</v>
      </c>
      <c r="E4710">
        <v>22</v>
      </c>
      <c r="F4710" t="s">
        <v>9267</v>
      </c>
      <c r="G4710">
        <v>2015</v>
      </c>
      <c r="H4710">
        <v>1</v>
      </c>
      <c r="I4710" t="s">
        <v>89</v>
      </c>
      <c r="J4710">
        <v>0</v>
      </c>
      <c r="K4710">
        <v>1</v>
      </c>
      <c r="L4710">
        <v>2</v>
      </c>
      <c r="M4710">
        <v>160</v>
      </c>
      <c r="N4710">
        <v>528</v>
      </c>
      <c r="O4710">
        <v>0</v>
      </c>
      <c r="P4710">
        <v>527</v>
      </c>
      <c r="Q4710">
        <v>5</v>
      </c>
      <c r="R4710">
        <v>197</v>
      </c>
      <c r="S4710">
        <v>19</v>
      </c>
      <c r="T4710">
        <v>96</v>
      </c>
      <c r="U4710">
        <v>14</v>
      </c>
      <c r="V4710">
        <v>3</v>
      </c>
      <c r="W4710">
        <v>3</v>
      </c>
      <c r="X4710">
        <v>3</v>
      </c>
      <c r="Y4710">
        <v>248</v>
      </c>
      <c r="Z4710">
        <v>4</v>
      </c>
      <c r="AA4710">
        <v>4</v>
      </c>
      <c r="AC4710">
        <v>0</v>
      </c>
      <c r="AD4710">
        <v>0</v>
      </c>
      <c r="AE4710">
        <v>0</v>
      </c>
      <c r="AF4710">
        <v>0</v>
      </c>
      <c r="AG4710">
        <v>1</v>
      </c>
      <c r="AH4710">
        <v>0</v>
      </c>
      <c r="AI4710">
        <v>0</v>
      </c>
      <c r="AJ4710">
        <v>0</v>
      </c>
      <c r="AK4710">
        <v>3</v>
      </c>
      <c r="AL4710">
        <v>1</v>
      </c>
      <c r="AM4710">
        <v>0</v>
      </c>
      <c r="AN4710">
        <v>1</v>
      </c>
      <c r="AT4710" t="s">
        <v>100</v>
      </c>
      <c r="AU4710">
        <v>18</v>
      </c>
      <c r="AV4710">
        <v>527</v>
      </c>
      <c r="AW4710">
        <v>620</v>
      </c>
      <c r="AX4710">
        <v>666</v>
      </c>
      <c r="AZ4710" t="s">
        <v>101</v>
      </c>
      <c r="BA4710">
        <v>1</v>
      </c>
      <c r="BC4710" t="s">
        <v>9530</v>
      </c>
      <c r="BD4710" s="4">
        <v>43283.379166666666</v>
      </c>
      <c r="BE4710" s="4">
        <v>43283.383692129632</v>
      </c>
      <c r="BF4710" s="4">
        <v>43283.383692129632</v>
      </c>
      <c r="BG4710" t="s">
        <v>83</v>
      </c>
      <c r="BH4710" t="s">
        <v>84</v>
      </c>
      <c r="BI4710" t="s">
        <v>85</v>
      </c>
    </row>
    <row r="4711" spans="1:61" x14ac:dyDescent="0.3">
      <c r="A4711" t="str">
        <f>"202016B0100"</f>
        <v>202016B0100</v>
      </c>
      <c r="B4711" t="s">
        <v>9531</v>
      </c>
      <c r="C4711">
        <v>20</v>
      </c>
      <c r="D4711" t="s">
        <v>79</v>
      </c>
      <c r="E4711">
        <v>22</v>
      </c>
      <c r="F4711" t="s">
        <v>9267</v>
      </c>
      <c r="G4711">
        <v>2016</v>
      </c>
      <c r="H4711">
        <v>1</v>
      </c>
      <c r="I4711" t="s">
        <v>81</v>
      </c>
      <c r="J4711">
        <v>0</v>
      </c>
      <c r="K4711">
        <v>1</v>
      </c>
      <c r="L4711">
        <v>2</v>
      </c>
      <c r="M4711">
        <v>127</v>
      </c>
      <c r="N4711">
        <v>342</v>
      </c>
      <c r="O4711">
        <v>2</v>
      </c>
      <c r="P4711">
        <v>394</v>
      </c>
      <c r="Q4711">
        <v>3</v>
      </c>
      <c r="R4711">
        <v>131</v>
      </c>
      <c r="S4711">
        <v>17</v>
      </c>
      <c r="T4711">
        <v>2</v>
      </c>
      <c r="U4711">
        <v>5</v>
      </c>
      <c r="V4711">
        <v>2</v>
      </c>
      <c r="W4711">
        <v>1</v>
      </c>
      <c r="X4711">
        <v>2</v>
      </c>
      <c r="Y4711">
        <v>208</v>
      </c>
      <c r="Z4711">
        <v>11</v>
      </c>
      <c r="AA4711">
        <v>0</v>
      </c>
      <c r="AC4711">
        <v>0</v>
      </c>
      <c r="AD4711">
        <v>1</v>
      </c>
      <c r="AE4711">
        <v>0</v>
      </c>
      <c r="AF4711">
        <v>0</v>
      </c>
      <c r="AG4711">
        <v>0</v>
      </c>
      <c r="AH4711">
        <v>1</v>
      </c>
      <c r="AI4711">
        <v>0</v>
      </c>
      <c r="AJ4711">
        <v>0</v>
      </c>
      <c r="AK4711">
        <v>0</v>
      </c>
      <c r="AL4711">
        <v>0</v>
      </c>
      <c r="AM4711">
        <v>0</v>
      </c>
      <c r="AN4711">
        <v>0</v>
      </c>
      <c r="AT4711">
        <v>0</v>
      </c>
      <c r="AU4711">
        <v>10</v>
      </c>
      <c r="AV4711">
        <v>394</v>
      </c>
      <c r="AW4711">
        <v>394</v>
      </c>
      <c r="AX4711">
        <v>499</v>
      </c>
      <c r="BA4711">
        <v>1</v>
      </c>
      <c r="BC4711" t="s">
        <v>9532</v>
      </c>
      <c r="BD4711" s="4">
        <v>43283.197916666664</v>
      </c>
      <c r="BE4711" s="4">
        <v>43283.214872685188</v>
      </c>
      <c r="BF4711" s="4">
        <v>43283.214872685188</v>
      </c>
      <c r="BG4711" t="s">
        <v>83</v>
      </c>
      <c r="BH4711" t="s">
        <v>84</v>
      </c>
      <c r="BI4711" t="s">
        <v>85</v>
      </c>
    </row>
    <row r="4712" spans="1:61" x14ac:dyDescent="0.3">
      <c r="A4712" t="str">
        <f>"202016C0100"</f>
        <v>202016C0100</v>
      </c>
      <c r="B4712" t="s">
        <v>9533</v>
      </c>
      <c r="C4712">
        <v>20</v>
      </c>
      <c r="D4712" t="s">
        <v>79</v>
      </c>
      <c r="E4712">
        <v>22</v>
      </c>
      <c r="F4712" t="s">
        <v>9267</v>
      </c>
      <c r="G4712">
        <v>2016</v>
      </c>
      <c r="H4712">
        <v>1</v>
      </c>
      <c r="I4712" t="s">
        <v>89</v>
      </c>
      <c r="J4712">
        <v>0</v>
      </c>
      <c r="K4712">
        <v>1</v>
      </c>
      <c r="L4712">
        <v>2</v>
      </c>
      <c r="M4712">
        <v>122</v>
      </c>
      <c r="N4712">
        <v>398</v>
      </c>
      <c r="O4712">
        <v>0</v>
      </c>
      <c r="P4712">
        <v>398</v>
      </c>
      <c r="Q4712">
        <v>5</v>
      </c>
      <c r="R4712">
        <v>127</v>
      </c>
      <c r="S4712">
        <v>16</v>
      </c>
      <c r="T4712">
        <v>0</v>
      </c>
      <c r="U4712">
        <v>8</v>
      </c>
      <c r="V4712">
        <v>3</v>
      </c>
      <c r="W4712">
        <v>5</v>
      </c>
      <c r="X4712">
        <v>4</v>
      </c>
      <c r="Y4712">
        <v>208</v>
      </c>
      <c r="Z4712">
        <v>5</v>
      </c>
      <c r="AA4712">
        <v>0</v>
      </c>
      <c r="AC4712">
        <v>0</v>
      </c>
      <c r="AD4712">
        <v>0</v>
      </c>
      <c r="AE4712">
        <v>0</v>
      </c>
      <c r="AF4712">
        <v>0</v>
      </c>
      <c r="AG4712">
        <v>1</v>
      </c>
      <c r="AH4712">
        <v>1</v>
      </c>
      <c r="AI4712">
        <v>3</v>
      </c>
      <c r="AJ4712">
        <v>0</v>
      </c>
      <c r="AK4712">
        <v>5</v>
      </c>
      <c r="AL4712">
        <v>0</v>
      </c>
      <c r="AM4712">
        <v>0</v>
      </c>
      <c r="AN4712">
        <v>0</v>
      </c>
      <c r="AT4712">
        <v>0</v>
      </c>
      <c r="AU4712">
        <v>7</v>
      </c>
      <c r="AV4712">
        <v>398</v>
      </c>
      <c r="AW4712">
        <v>398</v>
      </c>
      <c r="AX4712">
        <v>498</v>
      </c>
      <c r="BA4712">
        <v>1</v>
      </c>
      <c r="BC4712" t="s">
        <v>9534</v>
      </c>
      <c r="BD4712" s="4">
        <v>43283.199305555558</v>
      </c>
      <c r="BE4712" s="4">
        <v>43283.22078703704</v>
      </c>
      <c r="BF4712" s="4">
        <v>43283.22078703704</v>
      </c>
      <c r="BG4712" t="s">
        <v>83</v>
      </c>
      <c r="BH4712" t="s">
        <v>84</v>
      </c>
      <c r="BI4712" t="s">
        <v>85</v>
      </c>
    </row>
    <row r="4713" spans="1:61" x14ac:dyDescent="0.3">
      <c r="A4713" t="str">
        <f>"202017B0100"</f>
        <v>202017B0100</v>
      </c>
      <c r="B4713" t="s">
        <v>9535</v>
      </c>
      <c r="C4713">
        <v>20</v>
      </c>
      <c r="D4713" t="s">
        <v>79</v>
      </c>
      <c r="E4713">
        <v>22</v>
      </c>
      <c r="F4713" t="s">
        <v>9267</v>
      </c>
      <c r="G4713">
        <v>2017</v>
      </c>
      <c r="H4713">
        <v>1</v>
      </c>
      <c r="I4713" t="s">
        <v>81</v>
      </c>
      <c r="J4713">
        <v>0</v>
      </c>
      <c r="K4713">
        <v>1</v>
      </c>
      <c r="L4713">
        <v>2</v>
      </c>
      <c r="M4713">
        <v>157</v>
      </c>
      <c r="N4713">
        <v>531</v>
      </c>
      <c r="O4713">
        <v>3</v>
      </c>
      <c r="P4713">
        <v>528</v>
      </c>
      <c r="Q4713">
        <v>7</v>
      </c>
      <c r="R4713">
        <v>232</v>
      </c>
      <c r="S4713">
        <v>19</v>
      </c>
      <c r="T4713">
        <v>2</v>
      </c>
      <c r="U4713">
        <v>8</v>
      </c>
      <c r="V4713">
        <v>3</v>
      </c>
      <c r="W4713">
        <v>2</v>
      </c>
      <c r="X4713">
        <v>5</v>
      </c>
      <c r="Y4713">
        <v>215</v>
      </c>
      <c r="Z4713">
        <v>5</v>
      </c>
      <c r="AA4713">
        <v>1</v>
      </c>
      <c r="AC4713" t="s">
        <v>100</v>
      </c>
      <c r="AD4713" t="s">
        <v>100</v>
      </c>
      <c r="AE4713" t="s">
        <v>100</v>
      </c>
      <c r="AF4713" t="s">
        <v>100</v>
      </c>
      <c r="AG4713">
        <v>1</v>
      </c>
      <c r="AH4713">
        <v>5</v>
      </c>
      <c r="AI4713" t="s">
        <v>100</v>
      </c>
      <c r="AJ4713" t="s">
        <v>100</v>
      </c>
      <c r="AK4713">
        <v>2</v>
      </c>
      <c r="AL4713">
        <v>1</v>
      </c>
      <c r="AM4713" t="s">
        <v>100</v>
      </c>
      <c r="AN4713">
        <v>1</v>
      </c>
      <c r="AT4713" t="s">
        <v>100</v>
      </c>
      <c r="AU4713">
        <v>19</v>
      </c>
      <c r="AV4713">
        <v>528</v>
      </c>
      <c r="AW4713">
        <v>528</v>
      </c>
      <c r="AX4713">
        <v>666</v>
      </c>
      <c r="AZ4713" t="s">
        <v>101</v>
      </c>
      <c r="BA4713">
        <v>1</v>
      </c>
      <c r="BC4713" t="s">
        <v>9536</v>
      </c>
      <c r="BD4713" s="4">
        <v>43283.193749999999</v>
      </c>
      <c r="BE4713" s="4">
        <v>43283.210092592592</v>
      </c>
      <c r="BF4713" s="4">
        <v>43283.210092592592</v>
      </c>
      <c r="BG4713" t="s">
        <v>83</v>
      </c>
      <c r="BH4713" t="s">
        <v>84</v>
      </c>
      <c r="BI4713" t="s">
        <v>85</v>
      </c>
    </row>
    <row r="4714" spans="1:61" x14ac:dyDescent="0.3">
      <c r="A4714" t="str">
        <f>"202017C0100"</f>
        <v>202017C0100</v>
      </c>
      <c r="B4714" t="s">
        <v>9537</v>
      </c>
      <c r="C4714">
        <v>20</v>
      </c>
      <c r="D4714" t="s">
        <v>79</v>
      </c>
      <c r="E4714">
        <v>22</v>
      </c>
      <c r="F4714" t="s">
        <v>9267</v>
      </c>
      <c r="G4714">
        <v>2017</v>
      </c>
      <c r="H4714">
        <v>1</v>
      </c>
      <c r="I4714" t="s">
        <v>89</v>
      </c>
      <c r="J4714">
        <v>0</v>
      </c>
      <c r="K4714">
        <v>1</v>
      </c>
      <c r="L4714">
        <v>2</v>
      </c>
      <c r="M4714">
        <v>133</v>
      </c>
      <c r="N4714">
        <v>555</v>
      </c>
      <c r="O4714">
        <v>3</v>
      </c>
      <c r="P4714">
        <v>688</v>
      </c>
      <c r="Q4714">
        <v>4</v>
      </c>
      <c r="R4714">
        <v>248</v>
      </c>
      <c r="S4714">
        <v>23</v>
      </c>
      <c r="T4714">
        <v>2</v>
      </c>
      <c r="U4714">
        <v>8</v>
      </c>
      <c r="V4714">
        <v>4</v>
      </c>
      <c r="W4714">
        <v>1</v>
      </c>
      <c r="X4714">
        <v>2</v>
      </c>
      <c r="Y4714">
        <v>240</v>
      </c>
      <c r="Z4714">
        <v>3</v>
      </c>
      <c r="AA4714">
        <v>0</v>
      </c>
      <c r="AC4714">
        <v>0</v>
      </c>
      <c r="AD4714">
        <v>0</v>
      </c>
      <c r="AE4714">
        <v>0</v>
      </c>
      <c r="AF4714">
        <v>0</v>
      </c>
      <c r="AG4714">
        <v>0</v>
      </c>
      <c r="AH4714">
        <v>2</v>
      </c>
      <c r="AI4714">
        <v>1</v>
      </c>
      <c r="AJ4714">
        <v>0</v>
      </c>
      <c r="AK4714">
        <v>2</v>
      </c>
      <c r="AL4714">
        <v>1</v>
      </c>
      <c r="AM4714">
        <v>0</v>
      </c>
      <c r="AN4714">
        <v>0</v>
      </c>
      <c r="AT4714">
        <v>0</v>
      </c>
      <c r="AU4714">
        <v>15</v>
      </c>
      <c r="AV4714">
        <v>556</v>
      </c>
      <c r="AW4714">
        <v>556</v>
      </c>
      <c r="AX4714">
        <v>666</v>
      </c>
      <c r="BA4714">
        <v>1</v>
      </c>
      <c r="BC4714" t="s">
        <v>9538</v>
      </c>
      <c r="BD4714" s="4">
        <v>43283.193055555559</v>
      </c>
      <c r="BE4714" s="4">
        <v>43283.209502314814</v>
      </c>
      <c r="BF4714" s="4">
        <v>43283.209502314814</v>
      </c>
      <c r="BG4714" t="s">
        <v>83</v>
      </c>
      <c r="BH4714" t="s">
        <v>84</v>
      </c>
      <c r="BI4714" t="s">
        <v>85</v>
      </c>
    </row>
    <row r="4715" spans="1:61" x14ac:dyDescent="0.3">
      <c r="A4715" t="str">
        <f>"202018B0100"</f>
        <v>202018B0100</v>
      </c>
      <c r="B4715" t="s">
        <v>9539</v>
      </c>
      <c r="C4715">
        <v>20</v>
      </c>
      <c r="D4715" t="s">
        <v>79</v>
      </c>
      <c r="E4715">
        <v>22</v>
      </c>
      <c r="F4715" t="s">
        <v>9267</v>
      </c>
      <c r="G4715">
        <v>2018</v>
      </c>
      <c r="H4715">
        <v>1</v>
      </c>
      <c r="I4715" t="s">
        <v>81</v>
      </c>
      <c r="J4715">
        <v>0</v>
      </c>
      <c r="K4715">
        <v>2</v>
      </c>
      <c r="L4715">
        <v>2</v>
      </c>
      <c r="M4715">
        <v>204</v>
      </c>
      <c r="N4715">
        <v>563</v>
      </c>
      <c r="O4715">
        <v>0</v>
      </c>
      <c r="P4715">
        <v>558</v>
      </c>
      <c r="Q4715">
        <v>11</v>
      </c>
      <c r="R4715">
        <v>223</v>
      </c>
      <c r="S4715">
        <v>15</v>
      </c>
      <c r="T4715">
        <v>4</v>
      </c>
      <c r="U4715">
        <v>13</v>
      </c>
      <c r="V4715">
        <v>0</v>
      </c>
      <c r="W4715">
        <v>1</v>
      </c>
      <c r="X4715">
        <v>2</v>
      </c>
      <c r="Y4715">
        <v>249</v>
      </c>
      <c r="Z4715">
        <v>6</v>
      </c>
      <c r="AA4715">
        <v>0</v>
      </c>
      <c r="AC4715">
        <v>2</v>
      </c>
      <c r="AD4715">
        <v>0</v>
      </c>
      <c r="AE4715">
        <v>0</v>
      </c>
      <c r="AF4715">
        <v>0</v>
      </c>
      <c r="AG4715">
        <v>0</v>
      </c>
      <c r="AH4715">
        <v>0</v>
      </c>
      <c r="AI4715">
        <v>1</v>
      </c>
      <c r="AJ4715">
        <v>0</v>
      </c>
      <c r="AK4715">
        <v>5</v>
      </c>
      <c r="AL4715">
        <v>0</v>
      </c>
      <c r="AM4715">
        <v>0</v>
      </c>
      <c r="AN4715">
        <v>0</v>
      </c>
      <c r="AT4715">
        <v>0</v>
      </c>
      <c r="AU4715">
        <v>15</v>
      </c>
      <c r="AV4715">
        <v>555</v>
      </c>
      <c r="AW4715">
        <v>547</v>
      </c>
      <c r="AX4715">
        <v>743</v>
      </c>
      <c r="BA4715">
        <v>1</v>
      </c>
      <c r="BC4715" t="s">
        <v>9540</v>
      </c>
      <c r="BD4715" s="4">
        <v>43283.220833333333</v>
      </c>
      <c r="BE4715" s="4">
        <v>43283.243692129632</v>
      </c>
      <c r="BF4715" s="4">
        <v>43283.243692129632</v>
      </c>
      <c r="BG4715" t="s">
        <v>83</v>
      </c>
      <c r="BH4715" t="s">
        <v>84</v>
      </c>
      <c r="BI4715" t="s">
        <v>85</v>
      </c>
    </row>
    <row r="4716" spans="1:61" x14ac:dyDescent="0.3">
      <c r="A4716" t="str">
        <f>"202018E0100"</f>
        <v>202018E0100</v>
      </c>
      <c r="B4716" s="2" t="s">
        <v>9541</v>
      </c>
      <c r="C4716">
        <v>20</v>
      </c>
      <c r="D4716" t="s">
        <v>79</v>
      </c>
      <c r="E4716">
        <v>22</v>
      </c>
      <c r="F4716" t="s">
        <v>9267</v>
      </c>
      <c r="G4716">
        <v>2018</v>
      </c>
      <c r="H4716">
        <v>1</v>
      </c>
      <c r="I4716" t="s">
        <v>145</v>
      </c>
      <c r="J4716">
        <v>0</v>
      </c>
      <c r="K4716">
        <v>2</v>
      </c>
      <c r="L4716">
        <v>2</v>
      </c>
      <c r="M4716">
        <v>144</v>
      </c>
      <c r="N4716">
        <v>548</v>
      </c>
      <c r="O4716">
        <v>0</v>
      </c>
      <c r="P4716">
        <v>548</v>
      </c>
      <c r="Q4716">
        <v>4</v>
      </c>
      <c r="R4716">
        <v>307</v>
      </c>
      <c r="S4716">
        <v>2</v>
      </c>
      <c r="T4716">
        <v>0</v>
      </c>
      <c r="U4716">
        <v>6</v>
      </c>
      <c r="V4716">
        <v>4</v>
      </c>
      <c r="W4716">
        <v>4</v>
      </c>
      <c r="X4716">
        <v>1</v>
      </c>
      <c r="Y4716">
        <v>196</v>
      </c>
      <c r="Z4716">
        <v>4</v>
      </c>
      <c r="AA4716">
        <v>0</v>
      </c>
      <c r="AC4716">
        <v>0</v>
      </c>
      <c r="AD4716">
        <v>0</v>
      </c>
      <c r="AE4716">
        <v>0</v>
      </c>
      <c r="AF4716">
        <v>0</v>
      </c>
      <c r="AG4716">
        <v>1</v>
      </c>
      <c r="AH4716">
        <v>1</v>
      </c>
      <c r="AI4716">
        <v>1</v>
      </c>
      <c r="AJ4716">
        <v>0</v>
      </c>
      <c r="AK4716">
        <v>1</v>
      </c>
      <c r="AL4716">
        <v>2</v>
      </c>
      <c r="AM4716">
        <v>0</v>
      </c>
      <c r="AN4716">
        <v>1</v>
      </c>
      <c r="AT4716">
        <v>0</v>
      </c>
      <c r="AU4716">
        <v>13</v>
      </c>
      <c r="AV4716">
        <v>548</v>
      </c>
      <c r="AW4716">
        <v>548</v>
      </c>
      <c r="AX4716">
        <v>670</v>
      </c>
      <c r="BA4716">
        <v>1</v>
      </c>
      <c r="BC4716" t="s">
        <v>9542</v>
      </c>
      <c r="BD4716" s="4">
        <v>43283.228472222225</v>
      </c>
      <c r="BE4716" s="4">
        <v>43283.251898148148</v>
      </c>
      <c r="BF4716" s="4">
        <v>43283.251898148148</v>
      </c>
      <c r="BG4716" t="s">
        <v>83</v>
      </c>
      <c r="BH4716" t="s">
        <v>84</v>
      </c>
      <c r="BI4716" t="s">
        <v>85</v>
      </c>
    </row>
    <row r="4717" spans="1:61" x14ac:dyDescent="0.3">
      <c r="A4717" t="str">
        <f>"202019B0100"</f>
        <v>202019B0100</v>
      </c>
      <c r="B4717" t="s">
        <v>9543</v>
      </c>
      <c r="C4717">
        <v>20</v>
      </c>
      <c r="D4717" t="s">
        <v>79</v>
      </c>
      <c r="E4717">
        <v>22</v>
      </c>
      <c r="F4717" t="s">
        <v>9267</v>
      </c>
      <c r="G4717">
        <v>2019</v>
      </c>
      <c r="H4717">
        <v>1</v>
      </c>
      <c r="I4717" t="s">
        <v>81</v>
      </c>
      <c r="J4717">
        <v>0</v>
      </c>
      <c r="K4717">
        <v>2</v>
      </c>
      <c r="L4717">
        <v>2</v>
      </c>
      <c r="M4717">
        <v>146</v>
      </c>
      <c r="N4717">
        <v>472</v>
      </c>
      <c r="O4717">
        <v>0</v>
      </c>
      <c r="P4717">
        <v>472</v>
      </c>
      <c r="Q4717">
        <v>1</v>
      </c>
      <c r="R4717">
        <v>140</v>
      </c>
      <c r="S4717">
        <v>9</v>
      </c>
      <c r="T4717">
        <v>3</v>
      </c>
      <c r="U4717">
        <v>11</v>
      </c>
      <c r="V4717">
        <v>8</v>
      </c>
      <c r="W4717">
        <v>3</v>
      </c>
      <c r="X4717">
        <v>3</v>
      </c>
      <c r="Y4717">
        <v>268</v>
      </c>
      <c r="Z4717">
        <v>0</v>
      </c>
      <c r="AA4717">
        <v>1</v>
      </c>
      <c r="AC4717">
        <v>0</v>
      </c>
      <c r="AD4717">
        <v>0</v>
      </c>
      <c r="AE4717">
        <v>0</v>
      </c>
      <c r="AF4717">
        <v>0</v>
      </c>
      <c r="AG4717">
        <v>0</v>
      </c>
      <c r="AH4717">
        <v>0</v>
      </c>
      <c r="AI4717">
        <v>0</v>
      </c>
      <c r="AJ4717">
        <v>0</v>
      </c>
      <c r="AK4717">
        <v>0</v>
      </c>
      <c r="AL4717">
        <v>0</v>
      </c>
      <c r="AM4717">
        <v>6</v>
      </c>
      <c r="AN4717">
        <v>2</v>
      </c>
      <c r="AT4717">
        <v>0</v>
      </c>
      <c r="AU4717">
        <v>17</v>
      </c>
      <c r="AV4717">
        <v>472</v>
      </c>
      <c r="AW4717">
        <v>472</v>
      </c>
      <c r="AX4717">
        <v>596</v>
      </c>
      <c r="BA4717">
        <v>1</v>
      </c>
      <c r="BC4717" t="s">
        <v>9544</v>
      </c>
      <c r="BD4717" s="4">
        <v>43283.222222222219</v>
      </c>
      <c r="BE4717" s="4">
        <v>43283.245694444442</v>
      </c>
      <c r="BF4717" s="4">
        <v>43283.245694444442</v>
      </c>
      <c r="BG4717" t="s">
        <v>83</v>
      </c>
      <c r="BH4717" t="s">
        <v>84</v>
      </c>
      <c r="BI4717" t="s">
        <v>85</v>
      </c>
    </row>
    <row r="4718" spans="1:61" x14ac:dyDescent="0.3">
      <c r="A4718" t="str">
        <f>"202020B0100"</f>
        <v>202020B0100</v>
      </c>
      <c r="B4718" t="s">
        <v>9545</v>
      </c>
      <c r="C4718">
        <v>20</v>
      </c>
      <c r="D4718" t="s">
        <v>79</v>
      </c>
      <c r="E4718">
        <v>22</v>
      </c>
      <c r="F4718" t="s">
        <v>9267</v>
      </c>
      <c r="G4718">
        <v>2020</v>
      </c>
      <c r="H4718">
        <v>1</v>
      </c>
      <c r="I4718" t="s">
        <v>81</v>
      </c>
      <c r="J4718">
        <v>0</v>
      </c>
      <c r="K4718">
        <v>2</v>
      </c>
      <c r="L4718">
        <v>2</v>
      </c>
      <c r="M4718">
        <v>111</v>
      </c>
      <c r="N4718">
        <v>351</v>
      </c>
      <c r="O4718">
        <v>1</v>
      </c>
      <c r="P4718">
        <v>351</v>
      </c>
      <c r="Q4718">
        <v>2</v>
      </c>
      <c r="R4718">
        <v>155</v>
      </c>
      <c r="S4718">
        <v>4</v>
      </c>
      <c r="T4718">
        <v>2</v>
      </c>
      <c r="U4718">
        <v>3</v>
      </c>
      <c r="V4718">
        <v>4</v>
      </c>
      <c r="W4718">
        <v>0</v>
      </c>
      <c r="X4718">
        <v>2</v>
      </c>
      <c r="Y4718">
        <v>159</v>
      </c>
      <c r="Z4718">
        <v>5</v>
      </c>
      <c r="AA4718">
        <v>0</v>
      </c>
      <c r="AC4718">
        <v>0</v>
      </c>
      <c r="AD4718">
        <v>1</v>
      </c>
      <c r="AE4718">
        <v>0</v>
      </c>
      <c r="AF4718">
        <v>0</v>
      </c>
      <c r="AG4718">
        <v>1</v>
      </c>
      <c r="AH4718">
        <v>1</v>
      </c>
      <c r="AI4718">
        <v>0</v>
      </c>
      <c r="AJ4718">
        <v>0</v>
      </c>
      <c r="AK4718">
        <v>1</v>
      </c>
      <c r="AL4718">
        <v>1</v>
      </c>
      <c r="AM4718">
        <v>0</v>
      </c>
      <c r="AN4718">
        <v>0</v>
      </c>
      <c r="AT4718">
        <v>0</v>
      </c>
      <c r="AU4718">
        <v>10</v>
      </c>
      <c r="AV4718">
        <v>351</v>
      </c>
      <c r="AW4718">
        <v>351</v>
      </c>
      <c r="AX4718">
        <v>440</v>
      </c>
      <c r="BA4718">
        <v>1</v>
      </c>
      <c r="BC4718" t="s">
        <v>9546</v>
      </c>
      <c r="BD4718" s="4">
        <v>43283.300694444442</v>
      </c>
      <c r="BE4718" s="4">
        <v>43283.329918981479</v>
      </c>
      <c r="BF4718" s="4">
        <v>43283.329918981479</v>
      </c>
      <c r="BG4718" t="s">
        <v>83</v>
      </c>
      <c r="BH4718" t="s">
        <v>84</v>
      </c>
      <c r="BI4718" t="s">
        <v>85</v>
      </c>
    </row>
    <row r="4719" spans="1:61" x14ac:dyDescent="0.3">
      <c r="A4719" t="str">
        <f>"202021B0100"</f>
        <v>202021B0100</v>
      </c>
      <c r="B4719" t="s">
        <v>9547</v>
      </c>
      <c r="C4719">
        <v>20</v>
      </c>
      <c r="D4719" t="s">
        <v>79</v>
      </c>
      <c r="E4719">
        <v>22</v>
      </c>
      <c r="F4719" t="s">
        <v>9267</v>
      </c>
      <c r="G4719">
        <v>2021</v>
      </c>
      <c r="H4719">
        <v>1</v>
      </c>
      <c r="I4719" t="s">
        <v>81</v>
      </c>
      <c r="J4719">
        <v>0</v>
      </c>
      <c r="K4719">
        <v>2</v>
      </c>
      <c r="L4719">
        <v>2</v>
      </c>
      <c r="M4719">
        <v>67</v>
      </c>
      <c r="N4719">
        <v>175</v>
      </c>
      <c r="O4719">
        <v>3</v>
      </c>
      <c r="P4719">
        <v>175</v>
      </c>
      <c r="Q4719">
        <v>1</v>
      </c>
      <c r="R4719">
        <v>76</v>
      </c>
      <c r="S4719">
        <v>5</v>
      </c>
      <c r="T4719">
        <v>0</v>
      </c>
      <c r="U4719">
        <v>4</v>
      </c>
      <c r="V4719">
        <v>0</v>
      </c>
      <c r="W4719">
        <v>0</v>
      </c>
      <c r="X4719">
        <v>2</v>
      </c>
      <c r="Y4719">
        <v>74</v>
      </c>
      <c r="Z4719">
        <v>5</v>
      </c>
      <c r="AA4719">
        <v>0</v>
      </c>
      <c r="AC4719">
        <v>0</v>
      </c>
      <c r="AD4719">
        <v>0</v>
      </c>
      <c r="AE4719">
        <v>0</v>
      </c>
      <c r="AF4719">
        <v>0</v>
      </c>
      <c r="AG4719">
        <v>1</v>
      </c>
      <c r="AH4719">
        <v>0</v>
      </c>
      <c r="AI4719">
        <v>1</v>
      </c>
      <c r="AJ4719">
        <v>0</v>
      </c>
      <c r="AK4719">
        <v>0</v>
      </c>
      <c r="AL4719">
        <v>0</v>
      </c>
      <c r="AM4719">
        <v>0</v>
      </c>
      <c r="AN4719">
        <v>1</v>
      </c>
      <c r="AT4719">
        <v>0</v>
      </c>
      <c r="AU4719">
        <v>4</v>
      </c>
      <c r="AV4719">
        <v>175</v>
      </c>
      <c r="AW4719">
        <v>174</v>
      </c>
      <c r="AX4719">
        <v>221</v>
      </c>
      <c r="BA4719">
        <v>1</v>
      </c>
      <c r="BC4719" t="s">
        <v>9548</v>
      </c>
      <c r="BD4719" s="4">
        <v>43283.302777777775</v>
      </c>
      <c r="BE4719" s="4">
        <v>43283.33216435185</v>
      </c>
      <c r="BF4719" s="4">
        <v>43283.33216435185</v>
      </c>
      <c r="BG4719" t="s">
        <v>83</v>
      </c>
      <c r="BH4719" t="s">
        <v>84</v>
      </c>
      <c r="BI4719" t="s">
        <v>85</v>
      </c>
    </row>
    <row r="4720" spans="1:61" x14ac:dyDescent="0.3">
      <c r="A4720" t="str">
        <f>"202021E0100"</f>
        <v>202021E0100</v>
      </c>
      <c r="B4720" s="2" t="s">
        <v>9549</v>
      </c>
      <c r="C4720">
        <v>20</v>
      </c>
      <c r="D4720" t="s">
        <v>79</v>
      </c>
      <c r="E4720">
        <v>22</v>
      </c>
      <c r="F4720" t="s">
        <v>9267</v>
      </c>
      <c r="G4720">
        <v>2021</v>
      </c>
      <c r="H4720">
        <v>1</v>
      </c>
      <c r="I4720" t="s">
        <v>145</v>
      </c>
      <c r="J4720">
        <v>0</v>
      </c>
      <c r="K4720">
        <v>2</v>
      </c>
      <c r="L4720">
        <v>2</v>
      </c>
      <c r="M4720" t="s">
        <v>315</v>
      </c>
      <c r="N4720">
        <v>452</v>
      </c>
      <c r="O4720">
        <v>0</v>
      </c>
      <c r="P4720">
        <v>452</v>
      </c>
      <c r="Q4720">
        <v>4</v>
      </c>
      <c r="R4720">
        <v>230</v>
      </c>
      <c r="S4720">
        <v>8</v>
      </c>
      <c r="T4720">
        <v>3</v>
      </c>
      <c r="U4720">
        <v>7</v>
      </c>
      <c r="V4720">
        <v>5</v>
      </c>
      <c r="W4720">
        <v>1</v>
      </c>
      <c r="X4720">
        <v>2</v>
      </c>
      <c r="Y4720">
        <v>171</v>
      </c>
      <c r="Z4720">
        <v>5</v>
      </c>
      <c r="AA4720">
        <v>0</v>
      </c>
      <c r="AC4720">
        <v>0</v>
      </c>
      <c r="AD4720">
        <v>0</v>
      </c>
      <c r="AE4720">
        <v>0</v>
      </c>
      <c r="AF4720">
        <v>0</v>
      </c>
      <c r="AG4720">
        <v>3</v>
      </c>
      <c r="AH4720">
        <v>1</v>
      </c>
      <c r="AI4720">
        <v>0</v>
      </c>
      <c r="AJ4720">
        <v>0</v>
      </c>
      <c r="AK4720">
        <v>1</v>
      </c>
      <c r="AL4720">
        <v>0</v>
      </c>
      <c r="AM4720">
        <v>0</v>
      </c>
      <c r="AN4720">
        <v>0</v>
      </c>
      <c r="AT4720">
        <v>0</v>
      </c>
      <c r="AU4720">
        <v>11</v>
      </c>
      <c r="AV4720">
        <v>452</v>
      </c>
      <c r="AW4720">
        <v>452</v>
      </c>
      <c r="AX4720">
        <v>592</v>
      </c>
      <c r="BA4720">
        <v>1</v>
      </c>
      <c r="BC4720" t="s">
        <v>9550</v>
      </c>
      <c r="BD4720" s="4">
        <v>43283.304166666669</v>
      </c>
      <c r="BE4720" s="4">
        <v>43283.328657407408</v>
      </c>
      <c r="BF4720" s="4">
        <v>43283.328657407408</v>
      </c>
      <c r="BG4720" t="s">
        <v>83</v>
      </c>
      <c r="BH4720" t="s">
        <v>84</v>
      </c>
      <c r="BI4720" t="s">
        <v>85</v>
      </c>
    </row>
    <row r="4721" spans="1:61" x14ac:dyDescent="0.3">
      <c r="A4721" t="str">
        <f>"202022B0100"</f>
        <v>202022B0100</v>
      </c>
      <c r="B4721" t="s">
        <v>9551</v>
      </c>
      <c r="C4721">
        <v>20</v>
      </c>
      <c r="D4721" t="s">
        <v>79</v>
      </c>
      <c r="E4721">
        <v>22</v>
      </c>
      <c r="F4721" t="s">
        <v>9267</v>
      </c>
      <c r="G4721">
        <v>2022</v>
      </c>
      <c r="H4721">
        <v>1</v>
      </c>
      <c r="I4721" t="s">
        <v>81</v>
      </c>
      <c r="J4721">
        <v>0</v>
      </c>
      <c r="K4721">
        <v>2</v>
      </c>
      <c r="L4721">
        <v>2</v>
      </c>
      <c r="M4721">
        <v>149</v>
      </c>
      <c r="N4721">
        <v>396</v>
      </c>
      <c r="O4721">
        <v>3</v>
      </c>
      <c r="P4721" t="s">
        <v>100</v>
      </c>
      <c r="Q4721">
        <v>2</v>
      </c>
      <c r="R4721">
        <v>257</v>
      </c>
      <c r="S4721">
        <v>5</v>
      </c>
      <c r="T4721">
        <v>0</v>
      </c>
      <c r="U4721">
        <v>6</v>
      </c>
      <c r="V4721">
        <v>4</v>
      </c>
      <c r="W4721">
        <v>1</v>
      </c>
      <c r="X4721">
        <v>0</v>
      </c>
      <c r="Y4721">
        <v>97</v>
      </c>
      <c r="Z4721">
        <v>3</v>
      </c>
      <c r="AA4721">
        <v>1</v>
      </c>
      <c r="AC4721">
        <v>0</v>
      </c>
      <c r="AD4721">
        <v>0</v>
      </c>
      <c r="AE4721">
        <v>0</v>
      </c>
      <c r="AF4721">
        <v>0</v>
      </c>
      <c r="AG4721">
        <v>0</v>
      </c>
      <c r="AH4721">
        <v>0</v>
      </c>
      <c r="AI4721">
        <v>0</v>
      </c>
      <c r="AJ4721">
        <v>0</v>
      </c>
      <c r="AK4721">
        <v>0</v>
      </c>
      <c r="AL4721">
        <v>0</v>
      </c>
      <c r="AM4721">
        <v>0</v>
      </c>
      <c r="AN4721">
        <v>0</v>
      </c>
      <c r="AT4721">
        <v>0</v>
      </c>
      <c r="AU4721">
        <v>13</v>
      </c>
      <c r="AV4721">
        <v>396</v>
      </c>
      <c r="AW4721">
        <v>389</v>
      </c>
      <c r="AX4721">
        <v>523</v>
      </c>
      <c r="BA4721">
        <v>1</v>
      </c>
      <c r="BC4721" t="s">
        <v>9552</v>
      </c>
      <c r="BD4721" s="4">
        <v>43283.131944444445</v>
      </c>
      <c r="BE4721" s="4">
        <v>43283.137465277781</v>
      </c>
      <c r="BF4721" s="4">
        <v>43283.137465277781</v>
      </c>
      <c r="BG4721" t="s">
        <v>83</v>
      </c>
      <c r="BH4721" t="s">
        <v>84</v>
      </c>
      <c r="BI4721" t="s">
        <v>85</v>
      </c>
    </row>
    <row r="4722" spans="1:61" x14ac:dyDescent="0.3">
      <c r="A4722" t="str">
        <f>"202022E0100"</f>
        <v>202022E0100</v>
      </c>
      <c r="B4722" s="2" t="s">
        <v>9553</v>
      </c>
      <c r="C4722">
        <v>20</v>
      </c>
      <c r="D4722" t="s">
        <v>79</v>
      </c>
      <c r="E4722">
        <v>22</v>
      </c>
      <c r="F4722" t="s">
        <v>9267</v>
      </c>
      <c r="G4722">
        <v>2022</v>
      </c>
      <c r="H4722">
        <v>1</v>
      </c>
      <c r="I4722" t="s">
        <v>145</v>
      </c>
      <c r="J4722">
        <v>0</v>
      </c>
      <c r="K4722">
        <v>2</v>
      </c>
      <c r="L4722">
        <v>2</v>
      </c>
      <c r="M4722">
        <v>205</v>
      </c>
      <c r="N4722">
        <v>507</v>
      </c>
      <c r="O4722">
        <v>4</v>
      </c>
      <c r="P4722">
        <v>0</v>
      </c>
      <c r="Q4722">
        <v>9</v>
      </c>
      <c r="R4722">
        <v>244</v>
      </c>
      <c r="S4722">
        <v>20</v>
      </c>
      <c r="T4722">
        <v>3</v>
      </c>
      <c r="U4722">
        <v>10</v>
      </c>
      <c r="V4722">
        <v>6</v>
      </c>
      <c r="W4722">
        <v>2</v>
      </c>
      <c r="X4722">
        <v>1</v>
      </c>
      <c r="Y4722">
        <v>189</v>
      </c>
      <c r="Z4722">
        <v>5</v>
      </c>
      <c r="AA4722">
        <v>0</v>
      </c>
      <c r="AC4722">
        <v>0</v>
      </c>
      <c r="AD4722">
        <v>0</v>
      </c>
      <c r="AE4722">
        <v>0</v>
      </c>
      <c r="AF4722">
        <v>0</v>
      </c>
      <c r="AG4722">
        <v>0</v>
      </c>
      <c r="AH4722">
        <v>3</v>
      </c>
      <c r="AI4722">
        <v>0</v>
      </c>
      <c r="AJ4722">
        <v>0</v>
      </c>
      <c r="AK4722">
        <v>3</v>
      </c>
      <c r="AL4722">
        <v>1</v>
      </c>
      <c r="AM4722">
        <v>0</v>
      </c>
      <c r="AN4722">
        <v>0</v>
      </c>
      <c r="AT4722" t="s">
        <v>100</v>
      </c>
      <c r="AU4722">
        <v>12</v>
      </c>
      <c r="AV4722">
        <v>508</v>
      </c>
      <c r="AW4722">
        <v>508</v>
      </c>
      <c r="AX4722">
        <v>690</v>
      </c>
      <c r="AZ4722" t="s">
        <v>101</v>
      </c>
      <c r="BA4722">
        <v>1</v>
      </c>
      <c r="BC4722" t="s">
        <v>9554</v>
      </c>
      <c r="BD4722" s="4">
        <v>43283.17291666667</v>
      </c>
      <c r="BE4722" s="4">
        <v>43283.192361111112</v>
      </c>
      <c r="BF4722" s="4">
        <v>43283.192361111112</v>
      </c>
      <c r="BG4722" t="s">
        <v>83</v>
      </c>
      <c r="BH4722" t="s">
        <v>84</v>
      </c>
      <c r="BI4722" t="s">
        <v>85</v>
      </c>
    </row>
    <row r="4723" spans="1:61" x14ac:dyDescent="0.3">
      <c r="A4723" t="str">
        <f>"202023B0100"</f>
        <v>202023B0100</v>
      </c>
      <c r="B4723" t="s">
        <v>9555</v>
      </c>
      <c r="C4723">
        <v>20</v>
      </c>
      <c r="D4723" t="s">
        <v>79</v>
      </c>
      <c r="E4723">
        <v>22</v>
      </c>
      <c r="F4723" t="s">
        <v>9267</v>
      </c>
      <c r="G4723">
        <v>2023</v>
      </c>
      <c r="H4723">
        <v>1</v>
      </c>
      <c r="I4723" t="s">
        <v>81</v>
      </c>
      <c r="J4723">
        <v>0</v>
      </c>
      <c r="K4723">
        <v>2</v>
      </c>
      <c r="L4723">
        <v>2</v>
      </c>
      <c r="M4723">
        <v>161</v>
      </c>
      <c r="N4723">
        <v>494</v>
      </c>
      <c r="O4723">
        <v>3</v>
      </c>
      <c r="P4723">
        <v>494</v>
      </c>
      <c r="Q4723">
        <v>6</v>
      </c>
      <c r="R4723">
        <v>296</v>
      </c>
      <c r="S4723">
        <v>2</v>
      </c>
      <c r="T4723">
        <v>5</v>
      </c>
      <c r="U4723">
        <v>5</v>
      </c>
      <c r="V4723">
        <v>6</v>
      </c>
      <c r="W4723">
        <v>1</v>
      </c>
      <c r="X4723">
        <v>0</v>
      </c>
      <c r="Y4723">
        <v>140</v>
      </c>
      <c r="Z4723">
        <v>7</v>
      </c>
      <c r="AA4723">
        <v>1</v>
      </c>
      <c r="AC4723">
        <v>0</v>
      </c>
      <c r="AD4723">
        <v>1</v>
      </c>
      <c r="AE4723">
        <v>0</v>
      </c>
      <c r="AF4723">
        <v>0</v>
      </c>
      <c r="AG4723">
        <v>0</v>
      </c>
      <c r="AH4723">
        <v>1</v>
      </c>
      <c r="AI4723">
        <v>0</v>
      </c>
      <c r="AJ4723">
        <v>0</v>
      </c>
      <c r="AK4723">
        <v>7</v>
      </c>
      <c r="AL4723">
        <v>1</v>
      </c>
      <c r="AM4723">
        <v>0</v>
      </c>
      <c r="AN4723">
        <v>2</v>
      </c>
      <c r="AT4723">
        <v>0</v>
      </c>
      <c r="AU4723">
        <v>13</v>
      </c>
      <c r="AV4723">
        <v>494</v>
      </c>
      <c r="AW4723">
        <v>494</v>
      </c>
      <c r="AX4723">
        <v>633</v>
      </c>
      <c r="BA4723">
        <v>1</v>
      </c>
      <c r="BC4723" t="s">
        <v>9556</v>
      </c>
      <c r="BD4723" s="4">
        <v>43283.167361111111</v>
      </c>
      <c r="BE4723" s="4">
        <v>43283.18608796296</v>
      </c>
      <c r="BF4723" s="4">
        <v>43283.18608796296</v>
      </c>
      <c r="BG4723" t="s">
        <v>83</v>
      </c>
      <c r="BH4723" t="s">
        <v>84</v>
      </c>
      <c r="BI4723" t="s">
        <v>85</v>
      </c>
    </row>
    <row r="4724" spans="1:61" x14ac:dyDescent="0.3">
      <c r="A4724" t="str">
        <f>"202024B0100"</f>
        <v>202024B0100</v>
      </c>
      <c r="B4724" t="s">
        <v>9557</v>
      </c>
      <c r="C4724">
        <v>20</v>
      </c>
      <c r="D4724" t="s">
        <v>79</v>
      </c>
      <c r="E4724">
        <v>22</v>
      </c>
      <c r="F4724" t="s">
        <v>9267</v>
      </c>
      <c r="G4724">
        <v>2024</v>
      </c>
      <c r="H4724">
        <v>1</v>
      </c>
      <c r="I4724" t="s">
        <v>81</v>
      </c>
      <c r="J4724">
        <v>0</v>
      </c>
      <c r="K4724">
        <v>2</v>
      </c>
      <c r="L4724">
        <v>2</v>
      </c>
      <c r="M4724">
        <v>92</v>
      </c>
      <c r="N4724">
        <v>331</v>
      </c>
      <c r="O4724">
        <v>2</v>
      </c>
      <c r="P4724">
        <v>320</v>
      </c>
      <c r="Q4724">
        <v>5</v>
      </c>
      <c r="R4724">
        <v>230</v>
      </c>
      <c r="S4724">
        <v>4</v>
      </c>
      <c r="T4724" t="s">
        <v>100</v>
      </c>
      <c r="U4724" t="s">
        <v>100</v>
      </c>
      <c r="V4724" t="s">
        <v>100</v>
      </c>
      <c r="W4724" t="s">
        <v>100</v>
      </c>
      <c r="X4724" t="s">
        <v>100</v>
      </c>
      <c r="Y4724">
        <v>71</v>
      </c>
      <c r="Z4724" t="s">
        <v>100</v>
      </c>
      <c r="AA4724" t="s">
        <v>100</v>
      </c>
      <c r="AC4724" t="s">
        <v>100</v>
      </c>
      <c r="AD4724" t="s">
        <v>100</v>
      </c>
      <c r="AE4724" t="s">
        <v>100</v>
      </c>
      <c r="AF4724" t="s">
        <v>100</v>
      </c>
      <c r="AG4724" t="s">
        <v>100</v>
      </c>
      <c r="AH4724" t="s">
        <v>100</v>
      </c>
      <c r="AI4724" t="s">
        <v>100</v>
      </c>
      <c r="AJ4724" t="s">
        <v>100</v>
      </c>
      <c r="AK4724" t="s">
        <v>100</v>
      </c>
      <c r="AL4724" t="s">
        <v>100</v>
      </c>
      <c r="AM4724" t="s">
        <v>100</v>
      </c>
      <c r="AN4724" t="s">
        <v>100</v>
      </c>
      <c r="AT4724" t="s">
        <v>100</v>
      </c>
      <c r="AU4724">
        <v>10</v>
      </c>
      <c r="AV4724">
        <v>320</v>
      </c>
      <c r="AW4724">
        <v>320</v>
      </c>
      <c r="AX4724">
        <v>390</v>
      </c>
      <c r="AZ4724" t="s">
        <v>101</v>
      </c>
      <c r="BA4724">
        <v>1</v>
      </c>
      <c r="BC4724" t="s">
        <v>9558</v>
      </c>
      <c r="BD4724" s="4">
        <v>43283.273611111108</v>
      </c>
      <c r="BE4724" s="4">
        <v>43283.300127314818</v>
      </c>
      <c r="BF4724" s="4">
        <v>43283.300127314818</v>
      </c>
      <c r="BG4724" t="s">
        <v>83</v>
      </c>
      <c r="BH4724" t="s">
        <v>84</v>
      </c>
      <c r="BI4724" t="s">
        <v>548</v>
      </c>
    </row>
    <row r="4725" spans="1:61" x14ac:dyDescent="0.3">
      <c r="A4725" t="str">
        <f>"202024C0100"</f>
        <v>202024C0100</v>
      </c>
      <c r="B4725" t="s">
        <v>9559</v>
      </c>
      <c r="C4725">
        <v>20</v>
      </c>
      <c r="D4725" t="s">
        <v>79</v>
      </c>
      <c r="E4725">
        <v>22</v>
      </c>
      <c r="F4725" t="s">
        <v>9267</v>
      </c>
      <c r="G4725">
        <v>2024</v>
      </c>
      <c r="H4725">
        <v>1</v>
      </c>
      <c r="I4725" t="s">
        <v>89</v>
      </c>
      <c r="J4725">
        <v>0</v>
      </c>
      <c r="K4725">
        <v>2</v>
      </c>
      <c r="L4725">
        <v>2</v>
      </c>
      <c r="M4725">
        <v>99</v>
      </c>
      <c r="N4725">
        <v>315</v>
      </c>
      <c r="O4725">
        <v>4</v>
      </c>
      <c r="P4725">
        <v>313</v>
      </c>
      <c r="Q4725">
        <v>5</v>
      </c>
      <c r="R4725">
        <v>173</v>
      </c>
      <c r="S4725">
        <v>10</v>
      </c>
      <c r="T4725">
        <v>1</v>
      </c>
      <c r="U4725">
        <v>8</v>
      </c>
      <c r="V4725">
        <v>3</v>
      </c>
      <c r="W4725">
        <v>1</v>
      </c>
      <c r="X4725">
        <v>1</v>
      </c>
      <c r="Y4725">
        <v>93</v>
      </c>
      <c r="Z4725">
        <v>2</v>
      </c>
      <c r="AA4725" t="s">
        <v>100</v>
      </c>
      <c r="AC4725" t="s">
        <v>100</v>
      </c>
      <c r="AD4725" t="s">
        <v>100</v>
      </c>
      <c r="AE4725" t="s">
        <v>100</v>
      </c>
      <c r="AF4725">
        <v>1</v>
      </c>
      <c r="AG4725">
        <v>2</v>
      </c>
      <c r="AH4725" t="s">
        <v>100</v>
      </c>
      <c r="AI4725" t="s">
        <v>100</v>
      </c>
      <c r="AJ4725" t="s">
        <v>100</v>
      </c>
      <c r="AK4725">
        <v>1</v>
      </c>
      <c r="AL4725" t="s">
        <v>100</v>
      </c>
      <c r="AM4725" t="s">
        <v>100</v>
      </c>
      <c r="AN4725" t="s">
        <v>100</v>
      </c>
      <c r="AT4725" t="s">
        <v>100</v>
      </c>
      <c r="AU4725" t="s">
        <v>100</v>
      </c>
      <c r="AV4725">
        <v>313</v>
      </c>
      <c r="AW4725">
        <v>301</v>
      </c>
      <c r="AX4725">
        <v>390</v>
      </c>
      <c r="AZ4725" t="s">
        <v>101</v>
      </c>
      <c r="BA4725">
        <v>1</v>
      </c>
      <c r="BC4725" t="s">
        <v>9560</v>
      </c>
      <c r="BD4725" s="4">
        <v>43283.166666666664</v>
      </c>
      <c r="BE4725" s="4">
        <v>43283.1878125</v>
      </c>
      <c r="BF4725" s="4">
        <v>43283.1878125</v>
      </c>
      <c r="BG4725" t="s">
        <v>83</v>
      </c>
      <c r="BH4725" t="s">
        <v>84</v>
      </c>
      <c r="BI4725" t="s">
        <v>85</v>
      </c>
    </row>
    <row r="4726" spans="1:61" x14ac:dyDescent="0.3">
      <c r="A4726" t="str">
        <f>"202062B0100"</f>
        <v>202062B0100</v>
      </c>
      <c r="B4726" t="s">
        <v>9561</v>
      </c>
      <c r="C4726">
        <v>20</v>
      </c>
      <c r="D4726" t="s">
        <v>79</v>
      </c>
      <c r="E4726">
        <v>22</v>
      </c>
      <c r="F4726" t="s">
        <v>9267</v>
      </c>
      <c r="G4726">
        <v>2062</v>
      </c>
      <c r="H4726">
        <v>1</v>
      </c>
      <c r="I4726" t="s">
        <v>81</v>
      </c>
      <c r="J4726">
        <v>0</v>
      </c>
      <c r="K4726">
        <v>1</v>
      </c>
      <c r="L4726">
        <v>2</v>
      </c>
      <c r="M4726">
        <v>130</v>
      </c>
      <c r="N4726">
        <v>404</v>
      </c>
      <c r="O4726">
        <v>0</v>
      </c>
      <c r="P4726">
        <v>400</v>
      </c>
      <c r="Q4726">
        <v>0</v>
      </c>
      <c r="R4726">
        <v>190</v>
      </c>
      <c r="S4726">
        <v>24</v>
      </c>
      <c r="T4726">
        <v>5</v>
      </c>
      <c r="U4726">
        <v>2</v>
      </c>
      <c r="V4726">
        <v>2</v>
      </c>
      <c r="W4726">
        <v>0</v>
      </c>
      <c r="X4726">
        <v>1</v>
      </c>
      <c r="Y4726">
        <v>171</v>
      </c>
      <c r="Z4726">
        <v>1</v>
      </c>
      <c r="AA4726">
        <v>0</v>
      </c>
      <c r="AC4726">
        <v>0</v>
      </c>
      <c r="AD4726">
        <v>0</v>
      </c>
      <c r="AE4726">
        <v>0</v>
      </c>
      <c r="AF4726">
        <v>0</v>
      </c>
      <c r="AG4726">
        <v>2</v>
      </c>
      <c r="AH4726">
        <v>2</v>
      </c>
      <c r="AI4726">
        <v>0</v>
      </c>
      <c r="AJ4726">
        <v>0</v>
      </c>
      <c r="AK4726">
        <v>1</v>
      </c>
      <c r="AL4726">
        <v>0</v>
      </c>
      <c r="AM4726">
        <v>0</v>
      </c>
      <c r="AN4726">
        <v>0</v>
      </c>
      <c r="AT4726">
        <v>0</v>
      </c>
      <c r="AU4726">
        <v>3</v>
      </c>
      <c r="AV4726" t="s">
        <v>100</v>
      </c>
      <c r="AW4726">
        <v>404</v>
      </c>
      <c r="AX4726">
        <v>520</v>
      </c>
      <c r="BA4726">
        <v>1</v>
      </c>
      <c r="BC4726" t="s">
        <v>9562</v>
      </c>
      <c r="BD4726" s="4">
        <v>43283.279861111114</v>
      </c>
      <c r="BE4726" s="4">
        <v>43283.307152777779</v>
      </c>
      <c r="BF4726" s="4">
        <v>43283.307152777779</v>
      </c>
      <c r="BG4726" t="s">
        <v>83</v>
      </c>
      <c r="BH4726" t="s">
        <v>84</v>
      </c>
      <c r="BI4726" t="s">
        <v>85</v>
      </c>
    </row>
    <row r="4727" spans="1:61" x14ac:dyDescent="0.3">
      <c r="A4727" t="str">
        <f>"202062C0100"</f>
        <v>202062C0100</v>
      </c>
      <c r="B4727" t="s">
        <v>9563</v>
      </c>
      <c r="C4727">
        <v>20</v>
      </c>
      <c r="D4727" t="s">
        <v>79</v>
      </c>
      <c r="E4727">
        <v>22</v>
      </c>
      <c r="F4727" t="s">
        <v>9267</v>
      </c>
      <c r="G4727">
        <v>2062</v>
      </c>
      <c r="H4727">
        <v>1</v>
      </c>
      <c r="I4727" t="s">
        <v>89</v>
      </c>
      <c r="J4727">
        <v>0</v>
      </c>
      <c r="K4727">
        <v>1</v>
      </c>
      <c r="L4727">
        <v>2</v>
      </c>
      <c r="M4727">
        <v>126</v>
      </c>
      <c r="N4727">
        <v>542</v>
      </c>
      <c r="O4727">
        <v>0</v>
      </c>
      <c r="P4727">
        <v>416</v>
      </c>
      <c r="Q4727">
        <v>3</v>
      </c>
      <c r="R4727">
        <v>175</v>
      </c>
      <c r="S4727">
        <v>14</v>
      </c>
      <c r="T4727">
        <v>4</v>
      </c>
      <c r="U4727">
        <v>3</v>
      </c>
      <c r="V4727">
        <v>1</v>
      </c>
      <c r="W4727">
        <v>0</v>
      </c>
      <c r="X4727">
        <v>0</v>
      </c>
      <c r="Y4727">
        <v>214</v>
      </c>
      <c r="Z4727">
        <v>0</v>
      </c>
      <c r="AA4727">
        <v>0</v>
      </c>
      <c r="AC4727">
        <v>0</v>
      </c>
      <c r="AD4727">
        <v>0</v>
      </c>
      <c r="AE4727">
        <v>0</v>
      </c>
      <c r="AF4727">
        <v>0</v>
      </c>
      <c r="AG4727">
        <v>0</v>
      </c>
      <c r="AH4727">
        <v>0</v>
      </c>
      <c r="AI4727">
        <v>0</v>
      </c>
      <c r="AJ4727">
        <v>0</v>
      </c>
      <c r="AK4727">
        <v>0</v>
      </c>
      <c r="AL4727">
        <v>0</v>
      </c>
      <c r="AM4727">
        <v>0</v>
      </c>
      <c r="AN4727">
        <v>0</v>
      </c>
      <c r="AT4727">
        <v>0</v>
      </c>
      <c r="AU4727">
        <v>2</v>
      </c>
      <c r="AV4727">
        <v>416</v>
      </c>
      <c r="AW4727">
        <v>416</v>
      </c>
      <c r="AX4727">
        <v>520</v>
      </c>
      <c r="BA4727">
        <v>1</v>
      </c>
      <c r="BC4727" t="s">
        <v>9564</v>
      </c>
      <c r="BD4727" s="4">
        <v>43283.21597222222</v>
      </c>
      <c r="BE4727" s="4">
        <v>43283.2578587963</v>
      </c>
      <c r="BF4727" s="4">
        <v>43283.2578587963</v>
      </c>
      <c r="BG4727" t="s">
        <v>83</v>
      </c>
      <c r="BH4727" t="s">
        <v>84</v>
      </c>
      <c r="BI4727" t="s">
        <v>85</v>
      </c>
    </row>
    <row r="4728" spans="1:61" x14ac:dyDescent="0.3">
      <c r="A4728" t="str">
        <f>"202062C0200"</f>
        <v>202062C0200</v>
      </c>
      <c r="B4728" t="s">
        <v>9565</v>
      </c>
      <c r="C4728">
        <v>20</v>
      </c>
      <c r="D4728" t="s">
        <v>79</v>
      </c>
      <c r="E4728">
        <v>22</v>
      </c>
      <c r="F4728" t="s">
        <v>9267</v>
      </c>
      <c r="G4728">
        <v>2062</v>
      </c>
      <c r="H4728">
        <v>2</v>
      </c>
      <c r="I4728" t="s">
        <v>89</v>
      </c>
      <c r="J4728">
        <v>0</v>
      </c>
      <c r="K4728">
        <v>1</v>
      </c>
      <c r="L4728">
        <v>2</v>
      </c>
      <c r="M4728">
        <v>122</v>
      </c>
      <c r="N4728" t="s">
        <v>315</v>
      </c>
      <c r="O4728">
        <v>0</v>
      </c>
      <c r="P4728">
        <v>420</v>
      </c>
      <c r="Q4728">
        <v>0</v>
      </c>
      <c r="R4728">
        <v>205</v>
      </c>
      <c r="S4728">
        <v>29</v>
      </c>
      <c r="T4728">
        <v>0</v>
      </c>
      <c r="U4728">
        <v>0</v>
      </c>
      <c r="V4728">
        <v>0</v>
      </c>
      <c r="W4728">
        <v>1</v>
      </c>
      <c r="X4728">
        <v>0</v>
      </c>
      <c r="Y4728">
        <v>182</v>
      </c>
      <c r="Z4728">
        <v>0</v>
      </c>
      <c r="AA4728">
        <v>0</v>
      </c>
      <c r="AC4728">
        <v>0</v>
      </c>
      <c r="AD4728">
        <v>0</v>
      </c>
      <c r="AE4728">
        <v>0</v>
      </c>
      <c r="AF4728">
        <v>0</v>
      </c>
      <c r="AG4728">
        <v>0</v>
      </c>
      <c r="AH4728">
        <v>0</v>
      </c>
      <c r="AI4728">
        <v>0</v>
      </c>
      <c r="AJ4728">
        <v>0</v>
      </c>
      <c r="AK4728">
        <v>0</v>
      </c>
      <c r="AL4728">
        <v>0</v>
      </c>
      <c r="AM4728">
        <v>0</v>
      </c>
      <c r="AN4728">
        <v>0</v>
      </c>
      <c r="AT4728">
        <v>0</v>
      </c>
      <c r="AU4728">
        <v>1</v>
      </c>
      <c r="AV4728">
        <v>420</v>
      </c>
      <c r="AW4728">
        <v>418</v>
      </c>
      <c r="AX4728">
        <v>520</v>
      </c>
      <c r="BA4728">
        <v>1</v>
      </c>
      <c r="BC4728" t="s">
        <v>9566</v>
      </c>
      <c r="BD4728" s="4">
        <v>43283.210416666669</v>
      </c>
      <c r="BE4728" s="4">
        <v>43283.235833333332</v>
      </c>
      <c r="BF4728" s="4">
        <v>43283.235833333332</v>
      </c>
      <c r="BG4728" t="s">
        <v>83</v>
      </c>
      <c r="BH4728" t="s">
        <v>84</v>
      </c>
      <c r="BI4728" t="s">
        <v>85</v>
      </c>
    </row>
    <row r="4729" spans="1:61" x14ac:dyDescent="0.3">
      <c r="A4729" t="str">
        <f>"202063B0100"</f>
        <v>202063B0100</v>
      </c>
      <c r="B4729" t="s">
        <v>9567</v>
      </c>
      <c r="C4729">
        <v>20</v>
      </c>
      <c r="D4729" t="s">
        <v>79</v>
      </c>
      <c r="E4729">
        <v>22</v>
      </c>
      <c r="F4729" t="s">
        <v>9267</v>
      </c>
      <c r="G4729">
        <v>2063</v>
      </c>
      <c r="H4729">
        <v>1</v>
      </c>
      <c r="I4729" t="s">
        <v>81</v>
      </c>
      <c r="J4729">
        <v>0</v>
      </c>
      <c r="K4729">
        <v>2</v>
      </c>
      <c r="L4729">
        <v>2</v>
      </c>
      <c r="M4729">
        <v>106</v>
      </c>
      <c r="N4729">
        <v>455</v>
      </c>
      <c r="O4729">
        <v>0</v>
      </c>
      <c r="P4729">
        <v>349</v>
      </c>
      <c r="Q4729">
        <v>2</v>
      </c>
      <c r="R4729">
        <v>187</v>
      </c>
      <c r="S4729">
        <v>6</v>
      </c>
      <c r="T4729">
        <v>6</v>
      </c>
      <c r="U4729">
        <v>3</v>
      </c>
      <c r="V4729">
        <v>5</v>
      </c>
      <c r="W4729">
        <v>0</v>
      </c>
      <c r="X4729">
        <v>1</v>
      </c>
      <c r="Y4729">
        <v>130</v>
      </c>
      <c r="Z4729">
        <v>0</v>
      </c>
      <c r="AA4729">
        <v>0</v>
      </c>
      <c r="AC4729">
        <v>0</v>
      </c>
      <c r="AD4729">
        <v>0</v>
      </c>
      <c r="AE4729">
        <v>0</v>
      </c>
      <c r="AF4729">
        <v>0</v>
      </c>
      <c r="AG4729">
        <v>0</v>
      </c>
      <c r="AH4729">
        <v>2</v>
      </c>
      <c r="AI4729">
        <v>1</v>
      </c>
      <c r="AJ4729">
        <v>0</v>
      </c>
      <c r="AK4729">
        <v>0</v>
      </c>
      <c r="AL4729">
        <v>0</v>
      </c>
      <c r="AM4729">
        <v>0</v>
      </c>
      <c r="AN4729">
        <v>0</v>
      </c>
      <c r="AT4729">
        <v>0</v>
      </c>
      <c r="AU4729">
        <v>0</v>
      </c>
      <c r="AV4729">
        <v>349</v>
      </c>
      <c r="AW4729">
        <v>343</v>
      </c>
      <c r="AX4729">
        <v>433</v>
      </c>
      <c r="BA4729">
        <v>1</v>
      </c>
      <c r="BC4729" t="s">
        <v>9568</v>
      </c>
      <c r="BD4729" s="4">
        <v>43283.211805555555</v>
      </c>
      <c r="BE4729" s="4">
        <v>43283.238692129627</v>
      </c>
      <c r="BF4729" s="4">
        <v>43283.238692129627</v>
      </c>
      <c r="BG4729" t="s">
        <v>83</v>
      </c>
      <c r="BH4729" t="s">
        <v>84</v>
      </c>
      <c r="BI4729" t="s">
        <v>85</v>
      </c>
    </row>
    <row r="4730" spans="1:61" x14ac:dyDescent="0.3">
      <c r="A4730" t="str">
        <f>"202064B0100"</f>
        <v>202064B0100</v>
      </c>
      <c r="B4730" t="s">
        <v>9569</v>
      </c>
      <c r="C4730">
        <v>20</v>
      </c>
      <c r="D4730" t="s">
        <v>79</v>
      </c>
      <c r="E4730">
        <v>22</v>
      </c>
      <c r="F4730" t="s">
        <v>9267</v>
      </c>
      <c r="G4730">
        <v>2064</v>
      </c>
      <c r="H4730">
        <v>1</v>
      </c>
      <c r="I4730" t="s">
        <v>81</v>
      </c>
      <c r="J4730">
        <v>0</v>
      </c>
      <c r="K4730">
        <v>2</v>
      </c>
      <c r="L4730">
        <v>2</v>
      </c>
      <c r="M4730">
        <v>221</v>
      </c>
      <c r="N4730">
        <v>0</v>
      </c>
      <c r="O4730">
        <v>468</v>
      </c>
      <c r="P4730">
        <v>0</v>
      </c>
      <c r="Q4730">
        <v>3</v>
      </c>
      <c r="R4730">
        <v>209</v>
      </c>
      <c r="S4730">
        <v>32</v>
      </c>
      <c r="T4730">
        <v>4</v>
      </c>
      <c r="U4730">
        <v>6</v>
      </c>
      <c r="V4730">
        <v>7</v>
      </c>
      <c r="W4730">
        <v>0</v>
      </c>
      <c r="X4730">
        <v>0</v>
      </c>
      <c r="Y4730">
        <v>191</v>
      </c>
      <c r="Z4730">
        <v>1</v>
      </c>
      <c r="AA4730">
        <v>0</v>
      </c>
      <c r="AC4730">
        <v>1</v>
      </c>
      <c r="AD4730">
        <v>0</v>
      </c>
      <c r="AE4730">
        <v>0</v>
      </c>
      <c r="AF4730">
        <v>0</v>
      </c>
      <c r="AG4730">
        <v>0</v>
      </c>
      <c r="AH4730">
        <v>0</v>
      </c>
      <c r="AI4730">
        <v>0</v>
      </c>
      <c r="AJ4730">
        <v>0</v>
      </c>
      <c r="AK4730">
        <v>2</v>
      </c>
      <c r="AL4730">
        <v>0</v>
      </c>
      <c r="AM4730">
        <v>0</v>
      </c>
      <c r="AN4730">
        <v>0</v>
      </c>
      <c r="AT4730">
        <v>1</v>
      </c>
      <c r="AU4730">
        <v>9</v>
      </c>
      <c r="AV4730">
        <v>468</v>
      </c>
      <c r="AW4730">
        <v>466</v>
      </c>
      <c r="AX4730">
        <v>667</v>
      </c>
      <c r="BA4730">
        <v>1</v>
      </c>
      <c r="BC4730" t="s">
        <v>9570</v>
      </c>
      <c r="BD4730" s="4">
        <v>43283.17083333333</v>
      </c>
      <c r="BE4730" s="4">
        <v>43283.190115740741</v>
      </c>
      <c r="BF4730" s="4">
        <v>43283.190115740741</v>
      </c>
      <c r="BG4730" t="s">
        <v>83</v>
      </c>
      <c r="BH4730" t="s">
        <v>84</v>
      </c>
      <c r="BI4730" t="s">
        <v>85</v>
      </c>
    </row>
    <row r="4731" spans="1:61" x14ac:dyDescent="0.3">
      <c r="A4731" t="str">
        <f>"202088B0100"</f>
        <v>202088B0100</v>
      </c>
      <c r="B4731" t="s">
        <v>9571</v>
      </c>
      <c r="C4731">
        <v>20</v>
      </c>
      <c r="D4731" t="s">
        <v>79</v>
      </c>
      <c r="E4731">
        <v>22</v>
      </c>
      <c r="F4731" t="s">
        <v>9267</v>
      </c>
      <c r="G4731">
        <v>2088</v>
      </c>
      <c r="H4731">
        <v>1</v>
      </c>
      <c r="I4731" t="s">
        <v>81</v>
      </c>
      <c r="J4731">
        <v>0</v>
      </c>
      <c r="K4731">
        <v>1</v>
      </c>
      <c r="L4731">
        <v>2</v>
      </c>
      <c r="M4731">
        <v>218</v>
      </c>
      <c r="N4731">
        <v>381</v>
      </c>
      <c r="O4731">
        <v>0</v>
      </c>
      <c r="P4731">
        <v>380</v>
      </c>
      <c r="Q4731">
        <v>11</v>
      </c>
      <c r="R4731">
        <v>81</v>
      </c>
      <c r="S4731">
        <v>111</v>
      </c>
      <c r="T4731">
        <v>2</v>
      </c>
      <c r="U4731">
        <v>9</v>
      </c>
      <c r="V4731">
        <v>3</v>
      </c>
      <c r="W4731">
        <v>4</v>
      </c>
      <c r="X4731">
        <v>2</v>
      </c>
      <c r="Y4731">
        <v>141</v>
      </c>
      <c r="Z4731">
        <v>1</v>
      </c>
      <c r="AA4731" t="s">
        <v>100</v>
      </c>
      <c r="AC4731">
        <v>1</v>
      </c>
      <c r="AD4731" t="s">
        <v>100</v>
      </c>
      <c r="AE4731" t="s">
        <v>100</v>
      </c>
      <c r="AF4731">
        <v>1</v>
      </c>
      <c r="AG4731">
        <v>2</v>
      </c>
      <c r="AH4731">
        <v>1</v>
      </c>
      <c r="AI4731" t="s">
        <v>100</v>
      </c>
      <c r="AJ4731" t="s">
        <v>100</v>
      </c>
      <c r="AK4731">
        <v>1</v>
      </c>
      <c r="AL4731" t="s">
        <v>100</v>
      </c>
      <c r="AM4731" t="s">
        <v>100</v>
      </c>
      <c r="AN4731" t="s">
        <v>100</v>
      </c>
      <c r="AT4731" t="s">
        <v>100</v>
      </c>
      <c r="AU4731">
        <v>9</v>
      </c>
      <c r="AV4731">
        <v>380</v>
      </c>
      <c r="AW4731">
        <v>380</v>
      </c>
      <c r="AX4731">
        <v>577</v>
      </c>
      <c r="AZ4731" t="s">
        <v>101</v>
      </c>
      <c r="BA4731">
        <v>1</v>
      </c>
      <c r="BC4731" t="s">
        <v>9572</v>
      </c>
      <c r="BD4731" s="4">
        <v>43283.149305555555</v>
      </c>
      <c r="BE4731" s="4">
        <v>43283.16233796296</v>
      </c>
      <c r="BF4731" s="4">
        <v>43283.16233796296</v>
      </c>
      <c r="BG4731" t="s">
        <v>83</v>
      </c>
      <c r="BH4731" t="s">
        <v>84</v>
      </c>
      <c r="BI4731" t="s">
        <v>548</v>
      </c>
    </row>
    <row r="4732" spans="1:61" x14ac:dyDescent="0.3">
      <c r="A4732" t="str">
        <f>"202088C0100"</f>
        <v>202088C0100</v>
      </c>
      <c r="B4732" t="s">
        <v>9573</v>
      </c>
      <c r="C4732">
        <v>20</v>
      </c>
      <c r="D4732" t="s">
        <v>79</v>
      </c>
      <c r="E4732">
        <v>22</v>
      </c>
      <c r="F4732" t="s">
        <v>9267</v>
      </c>
      <c r="G4732">
        <v>2088</v>
      </c>
      <c r="H4732">
        <v>1</v>
      </c>
      <c r="I4732" t="s">
        <v>89</v>
      </c>
      <c r="J4732">
        <v>0</v>
      </c>
      <c r="K4732">
        <v>1</v>
      </c>
      <c r="L4732">
        <v>2</v>
      </c>
      <c r="M4732">
        <v>202</v>
      </c>
      <c r="N4732">
        <v>397</v>
      </c>
      <c r="O4732">
        <v>3</v>
      </c>
      <c r="P4732">
        <v>397</v>
      </c>
      <c r="Q4732">
        <v>2</v>
      </c>
      <c r="R4732">
        <v>65</v>
      </c>
      <c r="S4732">
        <v>117</v>
      </c>
      <c r="T4732">
        <v>3</v>
      </c>
      <c r="U4732">
        <v>6</v>
      </c>
      <c r="V4732">
        <v>6</v>
      </c>
      <c r="W4732">
        <v>5</v>
      </c>
      <c r="X4732">
        <v>1</v>
      </c>
      <c r="Y4732">
        <v>169</v>
      </c>
      <c r="Z4732">
        <v>4</v>
      </c>
      <c r="AA4732">
        <v>1</v>
      </c>
      <c r="AC4732">
        <v>2</v>
      </c>
      <c r="AD4732">
        <v>0</v>
      </c>
      <c r="AE4732">
        <v>0</v>
      </c>
      <c r="AF4732">
        <v>1</v>
      </c>
      <c r="AG4732">
        <v>1</v>
      </c>
      <c r="AH4732">
        <v>0</v>
      </c>
      <c r="AI4732">
        <v>0</v>
      </c>
      <c r="AJ4732">
        <v>0</v>
      </c>
      <c r="AK4732">
        <v>1</v>
      </c>
      <c r="AL4732">
        <v>0</v>
      </c>
      <c r="AM4732">
        <v>0</v>
      </c>
      <c r="AN4732">
        <v>1</v>
      </c>
      <c r="AT4732">
        <v>0</v>
      </c>
      <c r="AU4732">
        <v>12</v>
      </c>
      <c r="AV4732">
        <v>397</v>
      </c>
      <c r="AW4732">
        <v>397</v>
      </c>
      <c r="AX4732">
        <v>577</v>
      </c>
      <c r="BA4732">
        <v>1</v>
      </c>
      <c r="BC4732" t="s">
        <v>9574</v>
      </c>
      <c r="BD4732" s="4">
        <v>43283.144444444442</v>
      </c>
      <c r="BE4732" s="4">
        <v>43283.167500000003</v>
      </c>
      <c r="BF4732" s="4">
        <v>43283.167500000003</v>
      </c>
      <c r="BG4732" t="s">
        <v>83</v>
      </c>
      <c r="BH4732" t="s">
        <v>84</v>
      </c>
      <c r="BI4732" t="s">
        <v>85</v>
      </c>
    </row>
    <row r="4733" spans="1:61" x14ac:dyDescent="0.3">
      <c r="A4733" t="str">
        <f>"202088C0200"</f>
        <v>202088C0200</v>
      </c>
      <c r="B4733" t="s">
        <v>9575</v>
      </c>
      <c r="C4733">
        <v>20</v>
      </c>
      <c r="D4733" t="s">
        <v>79</v>
      </c>
      <c r="E4733">
        <v>22</v>
      </c>
      <c r="F4733" t="s">
        <v>9267</v>
      </c>
      <c r="G4733">
        <v>2088</v>
      </c>
      <c r="H4733">
        <v>2</v>
      </c>
      <c r="I4733" t="s">
        <v>89</v>
      </c>
      <c r="J4733">
        <v>0</v>
      </c>
      <c r="K4733">
        <v>1</v>
      </c>
      <c r="L4733">
        <v>2</v>
      </c>
      <c r="M4733">
        <v>204</v>
      </c>
      <c r="N4733">
        <v>395</v>
      </c>
      <c r="O4733">
        <v>11</v>
      </c>
      <c r="P4733">
        <v>395</v>
      </c>
      <c r="Q4733">
        <v>9</v>
      </c>
      <c r="R4733">
        <v>70</v>
      </c>
      <c r="S4733">
        <v>88</v>
      </c>
      <c r="T4733">
        <v>4</v>
      </c>
      <c r="U4733">
        <v>6</v>
      </c>
      <c r="V4733">
        <v>1</v>
      </c>
      <c r="W4733">
        <v>11</v>
      </c>
      <c r="X4733">
        <v>2</v>
      </c>
      <c r="Y4733">
        <v>186</v>
      </c>
      <c r="Z4733">
        <v>2</v>
      </c>
      <c r="AA4733">
        <v>0</v>
      </c>
      <c r="AC4733">
        <v>1</v>
      </c>
      <c r="AD4733">
        <v>1</v>
      </c>
      <c r="AE4733">
        <v>0</v>
      </c>
      <c r="AF4733">
        <v>0</v>
      </c>
      <c r="AG4733">
        <v>3</v>
      </c>
      <c r="AH4733">
        <v>0</v>
      </c>
      <c r="AI4733">
        <v>1</v>
      </c>
      <c r="AJ4733">
        <v>0</v>
      </c>
      <c r="AK4733">
        <v>0</v>
      </c>
      <c r="AL4733">
        <v>2</v>
      </c>
      <c r="AM4733">
        <v>0</v>
      </c>
      <c r="AN4733">
        <v>0</v>
      </c>
      <c r="AT4733">
        <v>0</v>
      </c>
      <c r="AU4733">
        <v>8</v>
      </c>
      <c r="AV4733">
        <v>95</v>
      </c>
      <c r="AW4733">
        <v>395</v>
      </c>
      <c r="AX4733">
        <v>577</v>
      </c>
      <c r="BA4733">
        <v>1</v>
      </c>
      <c r="BC4733" t="s">
        <v>9576</v>
      </c>
      <c r="BD4733" s="4">
        <v>43283.136805555558</v>
      </c>
      <c r="BE4733" s="4">
        <v>43283.14466435185</v>
      </c>
      <c r="BF4733" s="4">
        <v>43283.14466435185</v>
      </c>
      <c r="BG4733" t="s">
        <v>83</v>
      </c>
      <c r="BH4733" t="s">
        <v>84</v>
      </c>
      <c r="BI4733" t="s">
        <v>85</v>
      </c>
    </row>
    <row r="4734" spans="1:61" x14ac:dyDescent="0.3">
      <c r="A4734" t="str">
        <f>"202088S0100"</f>
        <v>202088S0100</v>
      </c>
      <c r="B4734" t="s">
        <v>9577</v>
      </c>
      <c r="C4734">
        <v>20</v>
      </c>
      <c r="D4734" t="s">
        <v>79</v>
      </c>
      <c r="E4734">
        <v>22</v>
      </c>
      <c r="F4734" t="s">
        <v>9267</v>
      </c>
      <c r="G4734">
        <v>2088</v>
      </c>
      <c r="H4734">
        <v>1</v>
      </c>
      <c r="I4734" t="s">
        <v>104</v>
      </c>
      <c r="J4734">
        <v>0</v>
      </c>
      <c r="K4734">
        <v>1</v>
      </c>
      <c r="L4734">
        <v>3</v>
      </c>
      <c r="AX4734">
        <v>0</v>
      </c>
      <c r="AZ4734" t="s">
        <v>932</v>
      </c>
      <c r="BA4734">
        <v>0</v>
      </c>
      <c r="BC4734" t="s">
        <v>9578</v>
      </c>
      <c r="BD4734" s="4">
        <v>43283.796527777777</v>
      </c>
      <c r="BE4734" s="4">
        <v>43283.800474537034</v>
      </c>
      <c r="BF4734" s="4">
        <v>43283.800474537034</v>
      </c>
      <c r="BG4734" t="s">
        <v>83</v>
      </c>
      <c r="BH4734" t="s">
        <v>84</v>
      </c>
      <c r="BI4734" t="s">
        <v>85</v>
      </c>
    </row>
    <row r="4735" spans="1:61" x14ac:dyDescent="0.3">
      <c r="A4735" t="str">
        <f>"202089B0100"</f>
        <v>202089B0100</v>
      </c>
      <c r="B4735" t="s">
        <v>9579</v>
      </c>
      <c r="C4735">
        <v>20</v>
      </c>
      <c r="D4735" t="s">
        <v>79</v>
      </c>
      <c r="E4735">
        <v>22</v>
      </c>
      <c r="F4735" t="s">
        <v>9267</v>
      </c>
      <c r="G4735">
        <v>2089</v>
      </c>
      <c r="H4735">
        <v>1</v>
      </c>
      <c r="I4735" t="s">
        <v>81</v>
      </c>
      <c r="J4735">
        <v>0</v>
      </c>
      <c r="K4735">
        <v>1</v>
      </c>
      <c r="L4735">
        <v>2</v>
      </c>
      <c r="M4735">
        <v>193</v>
      </c>
      <c r="N4735">
        <v>402</v>
      </c>
      <c r="O4735">
        <v>2</v>
      </c>
      <c r="P4735" t="s">
        <v>100</v>
      </c>
      <c r="Q4735">
        <v>6</v>
      </c>
      <c r="R4735">
        <v>84</v>
      </c>
      <c r="S4735">
        <v>94</v>
      </c>
      <c r="T4735">
        <v>5</v>
      </c>
      <c r="U4735">
        <v>13</v>
      </c>
      <c r="V4735">
        <v>0</v>
      </c>
      <c r="W4735">
        <v>6</v>
      </c>
      <c r="X4735">
        <v>5</v>
      </c>
      <c r="Y4735">
        <v>147</v>
      </c>
      <c r="Z4735">
        <v>2</v>
      </c>
      <c r="AA4735">
        <v>0</v>
      </c>
      <c r="AC4735">
        <v>0</v>
      </c>
      <c r="AD4735" t="s">
        <v>100</v>
      </c>
      <c r="AE4735" t="s">
        <v>100</v>
      </c>
      <c r="AF4735" t="s">
        <v>100</v>
      </c>
      <c r="AG4735">
        <v>3</v>
      </c>
      <c r="AH4735" t="s">
        <v>100</v>
      </c>
      <c r="AI4735" t="s">
        <v>100</v>
      </c>
      <c r="AJ4735" t="s">
        <v>100</v>
      </c>
      <c r="AK4735">
        <v>4</v>
      </c>
      <c r="AL4735">
        <v>5</v>
      </c>
      <c r="AM4735" t="s">
        <v>100</v>
      </c>
      <c r="AN4735" t="s">
        <v>100</v>
      </c>
      <c r="AT4735" t="s">
        <v>100</v>
      </c>
      <c r="AU4735">
        <v>18</v>
      </c>
      <c r="AV4735">
        <v>393</v>
      </c>
      <c r="AW4735">
        <v>392</v>
      </c>
      <c r="AX4735">
        <v>573</v>
      </c>
      <c r="AZ4735" t="s">
        <v>101</v>
      </c>
      <c r="BA4735">
        <v>1</v>
      </c>
      <c r="BC4735" t="s">
        <v>9580</v>
      </c>
      <c r="BD4735" s="4">
        <v>43283.095138888886</v>
      </c>
      <c r="BE4735" s="4">
        <v>43283.100243055553</v>
      </c>
      <c r="BF4735" s="4">
        <v>43283.100243055553</v>
      </c>
      <c r="BG4735" t="s">
        <v>83</v>
      </c>
      <c r="BH4735" t="s">
        <v>84</v>
      </c>
      <c r="BI4735" t="s">
        <v>85</v>
      </c>
    </row>
    <row r="4736" spans="1:61" x14ac:dyDescent="0.3">
      <c r="A4736" t="str">
        <f>"202089C0100"</f>
        <v>202089C0100</v>
      </c>
      <c r="B4736" t="s">
        <v>9581</v>
      </c>
      <c r="C4736">
        <v>20</v>
      </c>
      <c r="D4736" t="s">
        <v>79</v>
      </c>
      <c r="E4736">
        <v>22</v>
      </c>
      <c r="F4736" t="s">
        <v>9267</v>
      </c>
      <c r="G4736">
        <v>2089</v>
      </c>
      <c r="H4736">
        <v>1</v>
      </c>
      <c r="I4736" t="s">
        <v>89</v>
      </c>
      <c r="J4736">
        <v>0</v>
      </c>
      <c r="K4736">
        <v>1</v>
      </c>
      <c r="L4736">
        <v>2</v>
      </c>
      <c r="M4736">
        <v>202</v>
      </c>
      <c r="N4736">
        <v>392</v>
      </c>
      <c r="O4736">
        <v>6</v>
      </c>
      <c r="P4736">
        <v>392</v>
      </c>
      <c r="Q4736">
        <v>5</v>
      </c>
      <c r="R4736">
        <v>96</v>
      </c>
      <c r="S4736">
        <v>94</v>
      </c>
      <c r="T4736">
        <v>4</v>
      </c>
      <c r="U4736">
        <v>9</v>
      </c>
      <c r="V4736">
        <v>4</v>
      </c>
      <c r="W4736">
        <v>5</v>
      </c>
      <c r="X4736">
        <v>1</v>
      </c>
      <c r="Y4736">
        <v>151</v>
      </c>
      <c r="Z4736">
        <v>5</v>
      </c>
      <c r="AA4736">
        <v>1</v>
      </c>
      <c r="AC4736">
        <v>2</v>
      </c>
      <c r="AD4736">
        <v>0</v>
      </c>
      <c r="AE4736">
        <v>0</v>
      </c>
      <c r="AF4736">
        <v>0</v>
      </c>
      <c r="AG4736">
        <v>3</v>
      </c>
      <c r="AH4736">
        <v>0</v>
      </c>
      <c r="AI4736">
        <v>1</v>
      </c>
      <c r="AJ4736">
        <v>0</v>
      </c>
      <c r="AK4736">
        <v>8</v>
      </c>
      <c r="AL4736">
        <v>1</v>
      </c>
      <c r="AM4736">
        <v>0</v>
      </c>
      <c r="AN4736">
        <v>0</v>
      </c>
      <c r="AT4736">
        <v>0</v>
      </c>
      <c r="AU4736">
        <v>2</v>
      </c>
      <c r="AV4736">
        <v>392</v>
      </c>
      <c r="AW4736">
        <v>392</v>
      </c>
      <c r="AX4736">
        <v>572</v>
      </c>
      <c r="BA4736">
        <v>1</v>
      </c>
      <c r="BC4736" t="s">
        <v>9582</v>
      </c>
      <c r="BD4736" s="4">
        <v>43283.098611111112</v>
      </c>
      <c r="BE4736" s="4">
        <v>43283.103946759256</v>
      </c>
      <c r="BF4736" s="4">
        <v>43283.103946759256</v>
      </c>
      <c r="BG4736" t="s">
        <v>83</v>
      </c>
      <c r="BH4736" t="s">
        <v>84</v>
      </c>
      <c r="BI4736" t="s">
        <v>85</v>
      </c>
    </row>
    <row r="4737" spans="1:61" x14ac:dyDescent="0.3">
      <c r="A4737" t="str">
        <f>"202089C0200"</f>
        <v>202089C0200</v>
      </c>
      <c r="B4737" t="s">
        <v>9583</v>
      </c>
      <c r="C4737">
        <v>20</v>
      </c>
      <c r="D4737" t="s">
        <v>79</v>
      </c>
      <c r="E4737">
        <v>22</v>
      </c>
      <c r="F4737" t="s">
        <v>9267</v>
      </c>
      <c r="G4737">
        <v>2089</v>
      </c>
      <c r="H4737">
        <v>2</v>
      </c>
      <c r="I4737" t="s">
        <v>89</v>
      </c>
      <c r="J4737">
        <v>0</v>
      </c>
      <c r="K4737">
        <v>1</v>
      </c>
      <c r="L4737">
        <v>2</v>
      </c>
      <c r="M4737">
        <v>183</v>
      </c>
      <c r="N4737">
        <v>411</v>
      </c>
      <c r="O4737">
        <v>0</v>
      </c>
      <c r="P4737">
        <v>411</v>
      </c>
      <c r="Q4737">
        <v>11</v>
      </c>
      <c r="R4737">
        <v>65</v>
      </c>
      <c r="S4737">
        <v>110</v>
      </c>
      <c r="T4737">
        <v>5</v>
      </c>
      <c r="U4737">
        <v>18</v>
      </c>
      <c r="V4737">
        <v>8</v>
      </c>
      <c r="W4737">
        <v>3</v>
      </c>
      <c r="X4737">
        <v>3</v>
      </c>
      <c r="Y4737">
        <v>163</v>
      </c>
      <c r="Z4737">
        <v>2</v>
      </c>
      <c r="AA4737">
        <v>0</v>
      </c>
      <c r="AC4737">
        <v>2</v>
      </c>
      <c r="AD4737">
        <v>2</v>
      </c>
      <c r="AE4737">
        <v>0</v>
      </c>
      <c r="AF4737">
        <v>0</v>
      </c>
      <c r="AG4737">
        <v>2</v>
      </c>
      <c r="AH4737">
        <v>0</v>
      </c>
      <c r="AI4737">
        <v>0</v>
      </c>
      <c r="AJ4737">
        <v>0</v>
      </c>
      <c r="AK4737">
        <v>2</v>
      </c>
      <c r="AL4737">
        <v>1</v>
      </c>
      <c r="AM4737">
        <v>0</v>
      </c>
      <c r="AN4737">
        <v>0</v>
      </c>
      <c r="AT4737">
        <v>0</v>
      </c>
      <c r="AU4737">
        <v>14</v>
      </c>
      <c r="AV4737">
        <v>411</v>
      </c>
      <c r="AW4737">
        <v>411</v>
      </c>
      <c r="AX4737">
        <v>572</v>
      </c>
      <c r="BA4737">
        <v>1</v>
      </c>
      <c r="BC4737" t="s">
        <v>9584</v>
      </c>
      <c r="BD4737" s="4">
        <v>43283.094444444447</v>
      </c>
      <c r="BE4737" s="4">
        <v>43283.101701388892</v>
      </c>
      <c r="BF4737" s="4">
        <v>43283.101701388892</v>
      </c>
      <c r="BG4737" t="s">
        <v>83</v>
      </c>
      <c r="BH4737" t="s">
        <v>84</v>
      </c>
      <c r="BI4737" t="s">
        <v>85</v>
      </c>
    </row>
    <row r="4738" spans="1:61" x14ac:dyDescent="0.3">
      <c r="A4738" t="str">
        <f>"202090B0100"</f>
        <v>202090B0100</v>
      </c>
      <c r="B4738" t="s">
        <v>9585</v>
      </c>
      <c r="C4738">
        <v>20</v>
      </c>
      <c r="D4738" t="s">
        <v>79</v>
      </c>
      <c r="E4738">
        <v>22</v>
      </c>
      <c r="F4738" t="s">
        <v>9267</v>
      </c>
      <c r="G4738">
        <v>2090</v>
      </c>
      <c r="H4738">
        <v>1</v>
      </c>
      <c r="I4738" t="s">
        <v>81</v>
      </c>
      <c r="J4738">
        <v>0</v>
      </c>
      <c r="K4738">
        <v>1</v>
      </c>
      <c r="L4738">
        <v>2</v>
      </c>
      <c r="M4738">
        <v>192</v>
      </c>
      <c r="N4738">
        <v>382</v>
      </c>
      <c r="O4738">
        <v>0</v>
      </c>
      <c r="P4738">
        <v>382</v>
      </c>
      <c r="Q4738">
        <v>11</v>
      </c>
      <c r="R4738">
        <v>86</v>
      </c>
      <c r="S4738">
        <v>81</v>
      </c>
      <c r="T4738">
        <v>1</v>
      </c>
      <c r="U4738">
        <v>11</v>
      </c>
      <c r="V4738">
        <v>2</v>
      </c>
      <c r="W4738">
        <v>3</v>
      </c>
      <c r="X4738">
        <v>4</v>
      </c>
      <c r="Y4738">
        <v>157</v>
      </c>
      <c r="Z4738">
        <v>1</v>
      </c>
      <c r="AA4738">
        <v>2</v>
      </c>
      <c r="AC4738">
        <v>1</v>
      </c>
      <c r="AD4738">
        <v>2</v>
      </c>
      <c r="AE4738">
        <v>0</v>
      </c>
      <c r="AF4738">
        <v>0</v>
      </c>
      <c r="AG4738">
        <v>4</v>
      </c>
      <c r="AH4738">
        <v>0</v>
      </c>
      <c r="AI4738">
        <v>0</v>
      </c>
      <c r="AJ4738">
        <v>0</v>
      </c>
      <c r="AK4738">
        <v>3</v>
      </c>
      <c r="AL4738">
        <v>0</v>
      </c>
      <c r="AM4738">
        <v>0</v>
      </c>
      <c r="AN4738">
        <v>1</v>
      </c>
      <c r="AT4738">
        <v>0</v>
      </c>
      <c r="AU4738">
        <v>12</v>
      </c>
      <c r="AV4738">
        <v>382</v>
      </c>
      <c r="AW4738">
        <v>382</v>
      </c>
      <c r="AX4738">
        <v>552</v>
      </c>
      <c r="BA4738">
        <v>1</v>
      </c>
      <c r="BC4738" t="s">
        <v>9586</v>
      </c>
      <c r="BD4738" s="4">
        <v>43283.159722222219</v>
      </c>
      <c r="BE4738" s="4">
        <v>43283.175925925927</v>
      </c>
      <c r="BF4738" s="4">
        <v>43283.175925925927</v>
      </c>
      <c r="BG4738" t="s">
        <v>83</v>
      </c>
      <c r="BH4738" t="s">
        <v>84</v>
      </c>
      <c r="BI4738" t="s">
        <v>85</v>
      </c>
    </row>
    <row r="4739" spans="1:61" x14ac:dyDescent="0.3">
      <c r="A4739" t="str">
        <f>"202090C0100"</f>
        <v>202090C0100</v>
      </c>
      <c r="B4739" t="s">
        <v>9587</v>
      </c>
      <c r="C4739">
        <v>20</v>
      </c>
      <c r="D4739" t="s">
        <v>79</v>
      </c>
      <c r="E4739">
        <v>22</v>
      </c>
      <c r="F4739" t="s">
        <v>9267</v>
      </c>
      <c r="G4739">
        <v>2090</v>
      </c>
      <c r="H4739">
        <v>1</v>
      </c>
      <c r="I4739" t="s">
        <v>89</v>
      </c>
      <c r="J4739">
        <v>0</v>
      </c>
      <c r="K4739">
        <v>1</v>
      </c>
      <c r="L4739">
        <v>2</v>
      </c>
      <c r="M4739">
        <v>207</v>
      </c>
      <c r="N4739">
        <v>367</v>
      </c>
      <c r="O4739">
        <v>0</v>
      </c>
      <c r="P4739">
        <v>366</v>
      </c>
      <c r="Q4739">
        <v>9</v>
      </c>
      <c r="R4739">
        <v>75</v>
      </c>
      <c r="S4739">
        <v>90</v>
      </c>
      <c r="T4739">
        <v>2</v>
      </c>
      <c r="U4739">
        <v>6</v>
      </c>
      <c r="V4739">
        <v>4</v>
      </c>
      <c r="W4739">
        <v>4</v>
      </c>
      <c r="X4739">
        <v>7</v>
      </c>
      <c r="Y4739">
        <v>144</v>
      </c>
      <c r="Z4739">
        <v>2</v>
      </c>
      <c r="AA4739">
        <v>0</v>
      </c>
      <c r="AC4739">
        <v>2</v>
      </c>
      <c r="AD4739">
        <v>1</v>
      </c>
      <c r="AE4739">
        <v>0</v>
      </c>
      <c r="AF4739">
        <v>0</v>
      </c>
      <c r="AG4739">
        <v>0</v>
      </c>
      <c r="AH4739">
        <v>4</v>
      </c>
      <c r="AI4739">
        <v>1</v>
      </c>
      <c r="AJ4739">
        <v>0</v>
      </c>
      <c r="AK4739">
        <v>0</v>
      </c>
      <c r="AL4739">
        <v>1</v>
      </c>
      <c r="AM4739">
        <v>0</v>
      </c>
      <c r="AN4739">
        <v>0</v>
      </c>
      <c r="AT4739">
        <v>0</v>
      </c>
      <c r="AU4739">
        <v>12</v>
      </c>
      <c r="AV4739">
        <v>366</v>
      </c>
      <c r="AW4739">
        <v>364</v>
      </c>
      <c r="AX4739">
        <v>551</v>
      </c>
      <c r="BA4739">
        <v>1</v>
      </c>
      <c r="BC4739" t="s">
        <v>9588</v>
      </c>
      <c r="BD4739" s="4">
        <v>43283.161111111112</v>
      </c>
      <c r="BE4739" s="4">
        <v>43283.176458333335</v>
      </c>
      <c r="BF4739" s="4">
        <v>43283.176458333335</v>
      </c>
      <c r="BG4739" t="s">
        <v>83</v>
      </c>
      <c r="BH4739" t="s">
        <v>84</v>
      </c>
      <c r="BI4739" t="s">
        <v>85</v>
      </c>
    </row>
    <row r="4740" spans="1:61" x14ac:dyDescent="0.3">
      <c r="A4740" t="str">
        <f>"202091B0100"</f>
        <v>202091B0100</v>
      </c>
      <c r="B4740" t="s">
        <v>9589</v>
      </c>
      <c r="C4740">
        <v>20</v>
      </c>
      <c r="D4740" t="s">
        <v>79</v>
      </c>
      <c r="E4740">
        <v>22</v>
      </c>
      <c r="F4740" t="s">
        <v>9267</v>
      </c>
      <c r="G4740">
        <v>2091</v>
      </c>
      <c r="H4740">
        <v>1</v>
      </c>
      <c r="I4740" t="s">
        <v>81</v>
      </c>
      <c r="J4740">
        <v>0</v>
      </c>
      <c r="K4740">
        <v>1</v>
      </c>
      <c r="L4740">
        <v>2</v>
      </c>
      <c r="M4740" t="s">
        <v>100</v>
      </c>
      <c r="N4740" t="s">
        <v>100</v>
      </c>
      <c r="O4740">
        <v>0</v>
      </c>
      <c r="P4740">
        <v>356</v>
      </c>
      <c r="Q4740">
        <v>4</v>
      </c>
      <c r="R4740">
        <v>71</v>
      </c>
      <c r="S4740">
        <v>121</v>
      </c>
      <c r="T4740">
        <v>0</v>
      </c>
      <c r="U4740">
        <v>6</v>
      </c>
      <c r="V4740">
        <v>5</v>
      </c>
      <c r="W4740">
        <v>4</v>
      </c>
      <c r="X4740">
        <v>1</v>
      </c>
      <c r="Y4740">
        <v>122</v>
      </c>
      <c r="Z4740">
        <v>1</v>
      </c>
      <c r="AA4740">
        <v>0</v>
      </c>
      <c r="AC4740">
        <v>1</v>
      </c>
      <c r="AD4740">
        <v>1</v>
      </c>
      <c r="AE4740">
        <v>0</v>
      </c>
      <c r="AF4740">
        <v>1</v>
      </c>
      <c r="AG4740">
        <v>0</v>
      </c>
      <c r="AH4740">
        <v>1</v>
      </c>
      <c r="AI4740">
        <v>0</v>
      </c>
      <c r="AJ4740">
        <v>0</v>
      </c>
      <c r="AK4740">
        <v>3</v>
      </c>
      <c r="AL4740">
        <v>1</v>
      </c>
      <c r="AM4740">
        <v>0</v>
      </c>
      <c r="AN4740">
        <v>1</v>
      </c>
      <c r="AT4740">
        <v>0</v>
      </c>
      <c r="AU4740">
        <v>12</v>
      </c>
      <c r="AV4740">
        <v>356</v>
      </c>
      <c r="AW4740">
        <v>356</v>
      </c>
      <c r="AX4740">
        <v>540</v>
      </c>
      <c r="BA4740">
        <v>1</v>
      </c>
      <c r="BC4740" t="s">
        <v>9590</v>
      </c>
      <c r="BD4740" s="4">
        <v>43283.245833333334</v>
      </c>
      <c r="BE4740" s="4">
        <v>43283.269768518519</v>
      </c>
      <c r="BF4740" s="4">
        <v>43283.269768518519</v>
      </c>
      <c r="BG4740" t="s">
        <v>83</v>
      </c>
      <c r="BH4740" t="s">
        <v>84</v>
      </c>
      <c r="BI4740" t="s">
        <v>85</v>
      </c>
    </row>
    <row r="4741" spans="1:61" x14ac:dyDescent="0.3">
      <c r="A4741" t="str">
        <f>"202091C0100"</f>
        <v>202091C0100</v>
      </c>
      <c r="B4741" t="s">
        <v>9591</v>
      </c>
      <c r="C4741">
        <v>20</v>
      </c>
      <c r="D4741" t="s">
        <v>79</v>
      </c>
      <c r="E4741">
        <v>22</v>
      </c>
      <c r="F4741" t="s">
        <v>9267</v>
      </c>
      <c r="G4741">
        <v>2091</v>
      </c>
      <c r="H4741">
        <v>1</v>
      </c>
      <c r="I4741" t="s">
        <v>89</v>
      </c>
      <c r="J4741">
        <v>0</v>
      </c>
      <c r="K4741">
        <v>1</v>
      </c>
      <c r="L4741">
        <v>2</v>
      </c>
      <c r="M4741">
        <v>203</v>
      </c>
      <c r="N4741">
        <v>358</v>
      </c>
      <c r="O4741">
        <v>3</v>
      </c>
      <c r="P4741">
        <v>359</v>
      </c>
      <c r="Q4741">
        <v>1</v>
      </c>
      <c r="R4741">
        <v>53</v>
      </c>
      <c r="S4741">
        <v>139</v>
      </c>
      <c r="T4741">
        <v>0</v>
      </c>
      <c r="U4741">
        <v>7</v>
      </c>
      <c r="V4741">
        <v>3</v>
      </c>
      <c r="W4741">
        <v>3</v>
      </c>
      <c r="X4741">
        <v>3</v>
      </c>
      <c r="Y4741">
        <v>130</v>
      </c>
      <c r="Z4741">
        <v>1</v>
      </c>
      <c r="AA4741">
        <v>0</v>
      </c>
      <c r="AC4741">
        <v>1</v>
      </c>
      <c r="AD4741">
        <v>0</v>
      </c>
      <c r="AE4741">
        <v>0</v>
      </c>
      <c r="AF4741">
        <v>0</v>
      </c>
      <c r="AG4741">
        <v>0</v>
      </c>
      <c r="AH4741">
        <v>1</v>
      </c>
      <c r="AI4741">
        <v>0</v>
      </c>
      <c r="AJ4741">
        <v>0</v>
      </c>
      <c r="AK4741">
        <v>0</v>
      </c>
      <c r="AL4741">
        <v>0</v>
      </c>
      <c r="AM4741">
        <v>0</v>
      </c>
      <c r="AN4741">
        <v>1</v>
      </c>
      <c r="AT4741">
        <v>0</v>
      </c>
      <c r="AU4741">
        <v>16</v>
      </c>
      <c r="AV4741">
        <v>359</v>
      </c>
      <c r="AW4741">
        <v>359</v>
      </c>
      <c r="AX4741">
        <v>539</v>
      </c>
      <c r="BA4741">
        <v>1</v>
      </c>
      <c r="BC4741" t="s">
        <v>9592</v>
      </c>
      <c r="BD4741" s="4">
        <v>43283.248611111114</v>
      </c>
      <c r="BE4741" s="4">
        <v>43283.286597222221</v>
      </c>
      <c r="BF4741" s="4">
        <v>43283.286597222221</v>
      </c>
      <c r="BG4741" t="s">
        <v>83</v>
      </c>
      <c r="BH4741" t="s">
        <v>84</v>
      </c>
      <c r="BI4741" t="s">
        <v>85</v>
      </c>
    </row>
    <row r="4742" spans="1:61" x14ac:dyDescent="0.3">
      <c r="A4742" t="str">
        <f>"202091C0200"</f>
        <v>202091C0200</v>
      </c>
      <c r="B4742" t="s">
        <v>9593</v>
      </c>
      <c r="C4742">
        <v>20</v>
      </c>
      <c r="D4742" t="s">
        <v>79</v>
      </c>
      <c r="E4742">
        <v>22</v>
      </c>
      <c r="F4742" t="s">
        <v>9267</v>
      </c>
      <c r="G4742">
        <v>2091</v>
      </c>
      <c r="H4742">
        <v>2</v>
      </c>
      <c r="I4742" t="s">
        <v>89</v>
      </c>
      <c r="J4742">
        <v>0</v>
      </c>
      <c r="K4742">
        <v>1</v>
      </c>
      <c r="L4742">
        <v>2</v>
      </c>
      <c r="M4742">
        <v>208</v>
      </c>
      <c r="N4742">
        <v>353</v>
      </c>
      <c r="O4742">
        <v>3</v>
      </c>
      <c r="P4742">
        <v>354</v>
      </c>
      <c r="Q4742">
        <v>3</v>
      </c>
      <c r="R4742">
        <v>58</v>
      </c>
      <c r="S4742">
        <v>114</v>
      </c>
      <c r="T4742">
        <v>2</v>
      </c>
      <c r="U4742">
        <v>14</v>
      </c>
      <c r="V4742">
        <v>4</v>
      </c>
      <c r="W4742">
        <v>7</v>
      </c>
      <c r="X4742">
        <v>3</v>
      </c>
      <c r="Y4742">
        <v>133</v>
      </c>
      <c r="Z4742">
        <v>1</v>
      </c>
      <c r="AA4742">
        <v>0</v>
      </c>
      <c r="AC4742">
        <v>1</v>
      </c>
      <c r="AD4742">
        <v>2</v>
      </c>
      <c r="AE4742">
        <v>0</v>
      </c>
      <c r="AF4742">
        <v>0</v>
      </c>
      <c r="AG4742">
        <v>1</v>
      </c>
      <c r="AH4742">
        <v>1</v>
      </c>
      <c r="AI4742">
        <v>0</v>
      </c>
      <c r="AJ4742">
        <v>0</v>
      </c>
      <c r="AK4742">
        <v>2</v>
      </c>
      <c r="AL4742">
        <v>0</v>
      </c>
      <c r="AM4742">
        <v>0</v>
      </c>
      <c r="AN4742">
        <v>0</v>
      </c>
      <c r="AT4742">
        <v>0</v>
      </c>
      <c r="AU4742">
        <v>8</v>
      </c>
      <c r="AV4742">
        <v>354</v>
      </c>
      <c r="AW4742">
        <v>354</v>
      </c>
      <c r="AX4742">
        <v>539</v>
      </c>
      <c r="BA4742">
        <v>1</v>
      </c>
      <c r="BC4742" t="s">
        <v>9594</v>
      </c>
      <c r="BD4742" s="4">
        <v>43283.253472222219</v>
      </c>
      <c r="BE4742" s="4">
        <v>43283.279062499998</v>
      </c>
      <c r="BF4742" s="4">
        <v>43283.279062499998</v>
      </c>
      <c r="BG4742" t="s">
        <v>83</v>
      </c>
      <c r="BH4742" t="s">
        <v>84</v>
      </c>
      <c r="BI4742" t="s">
        <v>85</v>
      </c>
    </row>
    <row r="4743" spans="1:61" x14ac:dyDescent="0.3">
      <c r="A4743" t="str">
        <f>"202092B0100"</f>
        <v>202092B0100</v>
      </c>
      <c r="B4743" t="s">
        <v>9595</v>
      </c>
      <c r="C4743">
        <v>20</v>
      </c>
      <c r="D4743" t="s">
        <v>79</v>
      </c>
      <c r="E4743">
        <v>22</v>
      </c>
      <c r="F4743" t="s">
        <v>9267</v>
      </c>
      <c r="G4743">
        <v>2092</v>
      </c>
      <c r="H4743">
        <v>1</v>
      </c>
      <c r="I4743" t="s">
        <v>81</v>
      </c>
      <c r="J4743">
        <v>0</v>
      </c>
      <c r="K4743">
        <v>1</v>
      </c>
      <c r="L4743">
        <v>2</v>
      </c>
      <c r="M4743">
        <v>166</v>
      </c>
      <c r="N4743">
        <v>403</v>
      </c>
      <c r="O4743">
        <v>6</v>
      </c>
      <c r="P4743">
        <v>403</v>
      </c>
      <c r="Q4743">
        <v>12</v>
      </c>
      <c r="R4743">
        <v>102</v>
      </c>
      <c r="S4743">
        <v>112</v>
      </c>
      <c r="T4743">
        <v>2</v>
      </c>
      <c r="U4743">
        <v>8</v>
      </c>
      <c r="V4743">
        <v>4</v>
      </c>
      <c r="W4743">
        <v>2</v>
      </c>
      <c r="X4743">
        <v>2</v>
      </c>
      <c r="Y4743">
        <v>131</v>
      </c>
      <c r="Z4743">
        <v>5</v>
      </c>
      <c r="AA4743">
        <v>3</v>
      </c>
      <c r="AC4743">
        <v>3</v>
      </c>
      <c r="AD4743">
        <v>1</v>
      </c>
      <c r="AE4743">
        <v>0</v>
      </c>
      <c r="AF4743">
        <v>0</v>
      </c>
      <c r="AG4743">
        <v>0</v>
      </c>
      <c r="AH4743">
        <v>1</v>
      </c>
      <c r="AI4743">
        <v>0</v>
      </c>
      <c r="AJ4743">
        <v>0</v>
      </c>
      <c r="AK4743">
        <v>1</v>
      </c>
      <c r="AL4743">
        <v>1</v>
      </c>
      <c r="AM4743">
        <v>0</v>
      </c>
      <c r="AN4743">
        <v>1</v>
      </c>
      <c r="AT4743">
        <v>0</v>
      </c>
      <c r="AU4743">
        <v>12</v>
      </c>
      <c r="AV4743">
        <v>403</v>
      </c>
      <c r="AW4743">
        <v>403</v>
      </c>
      <c r="AX4743">
        <v>547</v>
      </c>
      <c r="BA4743">
        <v>1</v>
      </c>
      <c r="BC4743" t="s">
        <v>9596</v>
      </c>
      <c r="BD4743" s="4">
        <v>43283.162499999999</v>
      </c>
      <c r="BE4743" s="4">
        <v>43283.179201388892</v>
      </c>
      <c r="BF4743" s="4">
        <v>43283.179201388892</v>
      </c>
      <c r="BG4743" t="s">
        <v>83</v>
      </c>
      <c r="BH4743" t="s">
        <v>84</v>
      </c>
      <c r="BI4743" t="s">
        <v>85</v>
      </c>
    </row>
    <row r="4744" spans="1:61" x14ac:dyDescent="0.3">
      <c r="A4744" t="str">
        <f>"202092C0100"</f>
        <v>202092C0100</v>
      </c>
      <c r="B4744" t="s">
        <v>9597</v>
      </c>
      <c r="C4744">
        <v>20</v>
      </c>
      <c r="D4744" t="s">
        <v>79</v>
      </c>
      <c r="E4744">
        <v>22</v>
      </c>
      <c r="F4744" t="s">
        <v>9267</v>
      </c>
      <c r="G4744">
        <v>2092</v>
      </c>
      <c r="H4744">
        <v>1</v>
      </c>
      <c r="I4744" t="s">
        <v>89</v>
      </c>
      <c r="J4744">
        <v>0</v>
      </c>
      <c r="K4744">
        <v>1</v>
      </c>
      <c r="L4744">
        <v>2</v>
      </c>
      <c r="M4744">
        <v>186</v>
      </c>
      <c r="N4744" t="s">
        <v>100</v>
      </c>
      <c r="O4744">
        <v>384</v>
      </c>
      <c r="P4744">
        <v>384</v>
      </c>
      <c r="Q4744">
        <v>10</v>
      </c>
      <c r="R4744">
        <v>71</v>
      </c>
      <c r="S4744">
        <v>111</v>
      </c>
      <c r="T4744">
        <v>6</v>
      </c>
      <c r="U4744">
        <v>4</v>
      </c>
      <c r="V4744">
        <v>2</v>
      </c>
      <c r="W4744">
        <v>3</v>
      </c>
      <c r="X4744">
        <v>5</v>
      </c>
      <c r="Y4744">
        <v>142</v>
      </c>
      <c r="Z4744">
        <v>4</v>
      </c>
      <c r="AA4744" t="s">
        <v>100</v>
      </c>
      <c r="AC4744">
        <v>2</v>
      </c>
      <c r="AD4744">
        <v>1</v>
      </c>
      <c r="AE4744">
        <v>1</v>
      </c>
      <c r="AF4744" t="s">
        <v>100</v>
      </c>
      <c r="AG4744">
        <v>3</v>
      </c>
      <c r="AH4744">
        <v>1</v>
      </c>
      <c r="AI4744">
        <v>1</v>
      </c>
      <c r="AJ4744" t="s">
        <v>100</v>
      </c>
      <c r="AK4744" t="s">
        <v>100</v>
      </c>
      <c r="AL4744">
        <v>3</v>
      </c>
      <c r="AM4744">
        <v>0</v>
      </c>
      <c r="AN4744" t="s">
        <v>100</v>
      </c>
      <c r="AT4744">
        <v>1</v>
      </c>
      <c r="AU4744">
        <v>13</v>
      </c>
      <c r="AV4744">
        <v>383</v>
      </c>
      <c r="AW4744">
        <v>384</v>
      </c>
      <c r="AX4744">
        <v>547</v>
      </c>
      <c r="AZ4744" t="s">
        <v>101</v>
      </c>
      <c r="BA4744">
        <v>1</v>
      </c>
      <c r="BC4744" t="s">
        <v>9598</v>
      </c>
      <c r="BD4744" s="4">
        <v>43283.164583333331</v>
      </c>
      <c r="BE4744" s="4">
        <v>43283.187824074077</v>
      </c>
      <c r="BF4744" s="4">
        <v>43283.187824074077</v>
      </c>
      <c r="BG4744" t="s">
        <v>83</v>
      </c>
      <c r="BH4744" t="s">
        <v>84</v>
      </c>
      <c r="BI4744" t="s">
        <v>85</v>
      </c>
    </row>
    <row r="4745" spans="1:61" x14ac:dyDescent="0.3">
      <c r="A4745" t="str">
        <f>"202092C0200"</f>
        <v>202092C0200</v>
      </c>
      <c r="B4745" t="s">
        <v>9599</v>
      </c>
      <c r="C4745">
        <v>20</v>
      </c>
      <c r="D4745" t="s">
        <v>79</v>
      </c>
      <c r="E4745">
        <v>22</v>
      </c>
      <c r="F4745" t="s">
        <v>9267</v>
      </c>
      <c r="G4745">
        <v>2092</v>
      </c>
      <c r="H4745">
        <v>2</v>
      </c>
      <c r="I4745" t="s">
        <v>89</v>
      </c>
      <c r="J4745">
        <v>0</v>
      </c>
      <c r="K4745">
        <v>1</v>
      </c>
      <c r="L4745">
        <v>2</v>
      </c>
      <c r="M4745">
        <v>182</v>
      </c>
      <c r="N4745">
        <v>383</v>
      </c>
      <c r="O4745">
        <v>5</v>
      </c>
      <c r="P4745">
        <v>386</v>
      </c>
      <c r="Q4745">
        <v>7</v>
      </c>
      <c r="R4745">
        <v>90</v>
      </c>
      <c r="S4745">
        <v>100</v>
      </c>
      <c r="T4745" t="s">
        <v>100</v>
      </c>
      <c r="U4745">
        <v>9</v>
      </c>
      <c r="V4745">
        <v>4</v>
      </c>
      <c r="W4745">
        <v>10</v>
      </c>
      <c r="X4745">
        <v>4</v>
      </c>
      <c r="Y4745">
        <v>148</v>
      </c>
      <c r="Z4745">
        <v>1</v>
      </c>
      <c r="AA4745" t="s">
        <v>100</v>
      </c>
      <c r="AC4745">
        <v>1</v>
      </c>
      <c r="AD4745" t="s">
        <v>100</v>
      </c>
      <c r="AE4745" t="s">
        <v>100</v>
      </c>
      <c r="AF4745">
        <v>1</v>
      </c>
      <c r="AG4745" t="s">
        <v>100</v>
      </c>
      <c r="AH4745" t="s">
        <v>100</v>
      </c>
      <c r="AI4745" t="s">
        <v>100</v>
      </c>
      <c r="AJ4745" t="s">
        <v>100</v>
      </c>
      <c r="AK4745">
        <v>3</v>
      </c>
      <c r="AL4745" t="s">
        <v>100</v>
      </c>
      <c r="AM4745" t="s">
        <v>100</v>
      </c>
      <c r="AN4745">
        <v>1</v>
      </c>
      <c r="AT4745" t="s">
        <v>100</v>
      </c>
      <c r="AU4745">
        <v>7</v>
      </c>
      <c r="AV4745">
        <v>386</v>
      </c>
      <c r="AW4745">
        <v>386</v>
      </c>
      <c r="AX4745">
        <v>547</v>
      </c>
      <c r="AZ4745" t="s">
        <v>101</v>
      </c>
      <c r="BA4745">
        <v>1</v>
      </c>
      <c r="BC4745" t="s">
        <v>9600</v>
      </c>
      <c r="BD4745" s="4">
        <v>43283.165277777778</v>
      </c>
      <c r="BE4745" s="4">
        <v>43283.18582175926</v>
      </c>
      <c r="BF4745" s="4">
        <v>43283.18582175926</v>
      </c>
      <c r="BG4745" t="s">
        <v>83</v>
      </c>
      <c r="BH4745" t="s">
        <v>84</v>
      </c>
      <c r="BI4745" t="s">
        <v>85</v>
      </c>
    </row>
    <row r="4746" spans="1:61" x14ac:dyDescent="0.3">
      <c r="A4746" t="str">
        <f>"202093B0100"</f>
        <v>202093B0100</v>
      </c>
      <c r="B4746" t="s">
        <v>9601</v>
      </c>
      <c r="C4746">
        <v>20</v>
      </c>
      <c r="D4746" t="s">
        <v>79</v>
      </c>
      <c r="E4746">
        <v>22</v>
      </c>
      <c r="F4746" t="s">
        <v>9267</v>
      </c>
      <c r="G4746">
        <v>2093</v>
      </c>
      <c r="H4746">
        <v>1</v>
      </c>
      <c r="I4746" t="s">
        <v>81</v>
      </c>
      <c r="J4746">
        <v>0</v>
      </c>
      <c r="K4746">
        <v>1</v>
      </c>
      <c r="L4746">
        <v>2</v>
      </c>
      <c r="AX4746">
        <v>717</v>
      </c>
      <c r="AZ4746" t="s">
        <v>156</v>
      </c>
      <c r="BA4746">
        <v>0</v>
      </c>
      <c r="BC4746" t="s">
        <v>9602</v>
      </c>
      <c r="BD4746" s="4">
        <v>43283.737500000003</v>
      </c>
      <c r="BE4746" s="4">
        <v>43283.739293981482</v>
      </c>
      <c r="BF4746" s="4">
        <v>43283.739293981482</v>
      </c>
      <c r="BG4746" t="s">
        <v>83</v>
      </c>
      <c r="BH4746" t="s">
        <v>84</v>
      </c>
      <c r="BI4746" t="s">
        <v>85</v>
      </c>
    </row>
    <row r="4747" spans="1:61" x14ac:dyDescent="0.3">
      <c r="A4747" t="str">
        <f>"202093C0100"</f>
        <v>202093C0100</v>
      </c>
      <c r="B4747" t="s">
        <v>9603</v>
      </c>
      <c r="C4747">
        <v>20</v>
      </c>
      <c r="D4747" t="s">
        <v>79</v>
      </c>
      <c r="E4747">
        <v>22</v>
      </c>
      <c r="F4747" t="s">
        <v>9267</v>
      </c>
      <c r="G4747">
        <v>2093</v>
      </c>
      <c r="H4747">
        <v>1</v>
      </c>
      <c r="I4747" t="s">
        <v>89</v>
      </c>
      <c r="J4747">
        <v>0</v>
      </c>
      <c r="K4747">
        <v>1</v>
      </c>
      <c r="L4747">
        <v>2</v>
      </c>
      <c r="M4747">
        <v>198</v>
      </c>
      <c r="N4747">
        <v>540</v>
      </c>
      <c r="O4747">
        <v>5</v>
      </c>
      <c r="P4747">
        <v>549</v>
      </c>
      <c r="Q4747">
        <v>13</v>
      </c>
      <c r="R4747">
        <v>131</v>
      </c>
      <c r="S4747">
        <v>125</v>
      </c>
      <c r="T4747">
        <v>7</v>
      </c>
      <c r="U4747">
        <v>15</v>
      </c>
      <c r="V4747">
        <v>6</v>
      </c>
      <c r="W4747">
        <v>7</v>
      </c>
      <c r="X4747">
        <v>7</v>
      </c>
      <c r="Y4747">
        <v>210</v>
      </c>
      <c r="Z4747">
        <v>0</v>
      </c>
      <c r="AA4747">
        <v>0</v>
      </c>
      <c r="AC4747">
        <v>0</v>
      </c>
      <c r="AD4747">
        <v>1</v>
      </c>
      <c r="AE4747">
        <v>0</v>
      </c>
      <c r="AF4747">
        <v>0</v>
      </c>
      <c r="AG4747">
        <v>0</v>
      </c>
      <c r="AH4747">
        <v>0</v>
      </c>
      <c r="AI4747">
        <v>0</v>
      </c>
      <c r="AJ4747">
        <v>0</v>
      </c>
      <c r="AK4747">
        <v>4</v>
      </c>
      <c r="AL4747">
        <v>0</v>
      </c>
      <c r="AM4747">
        <v>0</v>
      </c>
      <c r="AN4747">
        <v>0</v>
      </c>
      <c r="AT4747">
        <v>0</v>
      </c>
      <c r="AU4747">
        <v>12</v>
      </c>
      <c r="AV4747">
        <v>538</v>
      </c>
      <c r="AW4747">
        <v>538</v>
      </c>
      <c r="AX4747">
        <v>716</v>
      </c>
      <c r="BA4747">
        <v>1</v>
      </c>
      <c r="BC4747" t="s">
        <v>9604</v>
      </c>
      <c r="BD4747" s="4">
        <v>43283.15902777778</v>
      </c>
      <c r="BE4747" s="4">
        <v>43283.17633101852</v>
      </c>
      <c r="BF4747" s="4">
        <v>43283.17633101852</v>
      </c>
      <c r="BG4747" t="s">
        <v>83</v>
      </c>
      <c r="BH4747" t="s">
        <v>84</v>
      </c>
      <c r="BI4747" t="s">
        <v>85</v>
      </c>
    </row>
    <row r="4748" spans="1:61" x14ac:dyDescent="0.3">
      <c r="A4748" t="str">
        <f>"202094B0100"</f>
        <v>202094B0100</v>
      </c>
      <c r="B4748" t="s">
        <v>9605</v>
      </c>
      <c r="C4748">
        <v>20</v>
      </c>
      <c r="D4748" t="s">
        <v>79</v>
      </c>
      <c r="E4748">
        <v>22</v>
      </c>
      <c r="F4748" t="s">
        <v>9267</v>
      </c>
      <c r="G4748">
        <v>2094</v>
      </c>
      <c r="H4748">
        <v>1</v>
      </c>
      <c r="I4748" t="s">
        <v>81</v>
      </c>
      <c r="J4748">
        <v>0</v>
      </c>
      <c r="K4748">
        <v>1</v>
      </c>
      <c r="L4748">
        <v>2</v>
      </c>
      <c r="M4748">
        <v>234</v>
      </c>
      <c r="N4748">
        <v>391</v>
      </c>
      <c r="O4748">
        <v>9</v>
      </c>
      <c r="P4748">
        <v>392</v>
      </c>
      <c r="Q4748">
        <v>8</v>
      </c>
      <c r="R4748">
        <v>64</v>
      </c>
      <c r="S4748">
        <v>103</v>
      </c>
      <c r="T4748">
        <v>2</v>
      </c>
      <c r="U4748">
        <v>12</v>
      </c>
      <c r="V4748">
        <v>3</v>
      </c>
      <c r="W4748">
        <v>5</v>
      </c>
      <c r="X4748">
        <v>6</v>
      </c>
      <c r="Y4748">
        <v>156</v>
      </c>
      <c r="Z4748">
        <v>5</v>
      </c>
      <c r="AA4748">
        <v>1</v>
      </c>
      <c r="AC4748">
        <v>2</v>
      </c>
      <c r="AD4748">
        <v>0</v>
      </c>
      <c r="AE4748">
        <v>0</v>
      </c>
      <c r="AF4748">
        <v>1</v>
      </c>
      <c r="AG4748">
        <v>1</v>
      </c>
      <c r="AH4748">
        <v>1</v>
      </c>
      <c r="AI4748">
        <v>0</v>
      </c>
      <c r="AJ4748">
        <v>0</v>
      </c>
      <c r="AK4748">
        <v>4</v>
      </c>
      <c r="AL4748">
        <v>4</v>
      </c>
      <c r="AM4748">
        <v>0</v>
      </c>
      <c r="AN4748">
        <v>1</v>
      </c>
      <c r="AT4748">
        <v>0</v>
      </c>
      <c r="AU4748">
        <v>13</v>
      </c>
      <c r="AV4748">
        <v>392</v>
      </c>
      <c r="AW4748">
        <v>392</v>
      </c>
      <c r="AX4748">
        <v>603</v>
      </c>
      <c r="BA4748">
        <v>1</v>
      </c>
      <c r="BC4748" t="s">
        <v>9606</v>
      </c>
      <c r="BD4748" s="4">
        <v>43283.044444444444</v>
      </c>
      <c r="BE4748" s="4">
        <v>43283.055694444447</v>
      </c>
      <c r="BF4748" s="4">
        <v>43283.055694444447</v>
      </c>
      <c r="BG4748" t="s">
        <v>83</v>
      </c>
      <c r="BH4748" t="s">
        <v>84</v>
      </c>
      <c r="BI4748" t="s">
        <v>85</v>
      </c>
    </row>
    <row r="4749" spans="1:61" x14ac:dyDescent="0.3">
      <c r="A4749" t="str">
        <f>"202094C0100"</f>
        <v>202094C0100</v>
      </c>
      <c r="B4749" t="s">
        <v>9607</v>
      </c>
      <c r="C4749">
        <v>20</v>
      </c>
      <c r="D4749" t="s">
        <v>79</v>
      </c>
      <c r="E4749">
        <v>22</v>
      </c>
      <c r="F4749" t="s">
        <v>9267</v>
      </c>
      <c r="G4749">
        <v>2094</v>
      </c>
      <c r="H4749">
        <v>1</v>
      </c>
      <c r="I4749" t="s">
        <v>89</v>
      </c>
      <c r="J4749">
        <v>0</v>
      </c>
      <c r="K4749">
        <v>1</v>
      </c>
      <c r="L4749">
        <v>2</v>
      </c>
      <c r="M4749">
        <v>216</v>
      </c>
      <c r="N4749">
        <v>411</v>
      </c>
      <c r="O4749">
        <v>8</v>
      </c>
      <c r="P4749">
        <v>412</v>
      </c>
      <c r="Q4749">
        <v>7</v>
      </c>
      <c r="R4749">
        <v>80</v>
      </c>
      <c r="S4749">
        <v>113</v>
      </c>
      <c r="T4749">
        <v>4</v>
      </c>
      <c r="U4749">
        <v>11</v>
      </c>
      <c r="V4749">
        <v>3</v>
      </c>
      <c r="W4749">
        <v>1</v>
      </c>
      <c r="X4749">
        <v>0</v>
      </c>
      <c r="Y4749">
        <v>171</v>
      </c>
      <c r="Z4749">
        <v>2</v>
      </c>
      <c r="AA4749">
        <v>0</v>
      </c>
      <c r="AC4749">
        <v>5</v>
      </c>
      <c r="AD4749">
        <v>2</v>
      </c>
      <c r="AE4749">
        <v>2</v>
      </c>
      <c r="AF4749">
        <v>0</v>
      </c>
      <c r="AG4749">
        <v>1</v>
      </c>
      <c r="AH4749">
        <v>2</v>
      </c>
      <c r="AI4749">
        <v>1</v>
      </c>
      <c r="AJ4749">
        <v>1</v>
      </c>
      <c r="AK4749">
        <v>2</v>
      </c>
      <c r="AL4749">
        <v>0</v>
      </c>
      <c r="AM4749">
        <v>1</v>
      </c>
      <c r="AN4749">
        <v>0</v>
      </c>
      <c r="AT4749" t="s">
        <v>315</v>
      </c>
      <c r="AU4749">
        <v>3</v>
      </c>
      <c r="AV4749">
        <v>412</v>
      </c>
      <c r="AW4749">
        <v>412</v>
      </c>
      <c r="AX4749">
        <v>602</v>
      </c>
      <c r="AZ4749" t="s">
        <v>101</v>
      </c>
      <c r="BA4749">
        <v>1</v>
      </c>
      <c r="BC4749" t="s">
        <v>9608</v>
      </c>
      <c r="BD4749" s="4">
        <v>43283.045138888891</v>
      </c>
      <c r="BE4749" s="4">
        <v>43283.059803240743</v>
      </c>
      <c r="BF4749" s="4">
        <v>43283.059803240743</v>
      </c>
      <c r="BG4749" t="s">
        <v>83</v>
      </c>
      <c r="BH4749" t="s">
        <v>84</v>
      </c>
      <c r="BI4749" t="s">
        <v>85</v>
      </c>
    </row>
    <row r="4750" spans="1:61" x14ac:dyDescent="0.3">
      <c r="A4750" t="str">
        <f>"202094C0200"</f>
        <v>202094C0200</v>
      </c>
      <c r="B4750" t="s">
        <v>9609</v>
      </c>
      <c r="C4750">
        <v>20</v>
      </c>
      <c r="D4750" t="s">
        <v>79</v>
      </c>
      <c r="E4750">
        <v>22</v>
      </c>
      <c r="F4750" t="s">
        <v>9267</v>
      </c>
      <c r="G4750">
        <v>2094</v>
      </c>
      <c r="H4750">
        <v>2</v>
      </c>
      <c r="I4750" t="s">
        <v>89</v>
      </c>
      <c r="J4750">
        <v>0</v>
      </c>
      <c r="K4750">
        <v>1</v>
      </c>
      <c r="L4750">
        <v>2</v>
      </c>
      <c r="M4750">
        <v>239</v>
      </c>
      <c r="N4750">
        <v>385</v>
      </c>
      <c r="O4750">
        <v>7</v>
      </c>
      <c r="P4750">
        <v>388</v>
      </c>
      <c r="Q4750">
        <v>7</v>
      </c>
      <c r="R4750">
        <v>70</v>
      </c>
      <c r="S4750">
        <v>101</v>
      </c>
      <c r="T4750">
        <v>2</v>
      </c>
      <c r="U4750">
        <v>8</v>
      </c>
      <c r="V4750">
        <v>2</v>
      </c>
      <c r="W4750">
        <v>6</v>
      </c>
      <c r="X4750">
        <v>0</v>
      </c>
      <c r="Y4750">
        <v>161</v>
      </c>
      <c r="Z4750">
        <v>5</v>
      </c>
      <c r="AA4750">
        <v>0</v>
      </c>
      <c r="AC4750">
        <v>2</v>
      </c>
      <c r="AD4750">
        <v>2</v>
      </c>
      <c r="AE4750">
        <v>0</v>
      </c>
      <c r="AF4750">
        <v>0</v>
      </c>
      <c r="AG4750">
        <v>2</v>
      </c>
      <c r="AH4750">
        <v>0</v>
      </c>
      <c r="AI4750">
        <v>0</v>
      </c>
      <c r="AJ4750">
        <v>0</v>
      </c>
      <c r="AK4750">
        <v>7</v>
      </c>
      <c r="AL4750">
        <v>2</v>
      </c>
      <c r="AM4750">
        <v>1</v>
      </c>
      <c r="AN4750">
        <v>1</v>
      </c>
      <c r="AT4750">
        <v>0</v>
      </c>
      <c r="AU4750">
        <v>9</v>
      </c>
      <c r="AV4750">
        <v>388</v>
      </c>
      <c r="AW4750">
        <v>388</v>
      </c>
      <c r="AX4750">
        <v>602</v>
      </c>
      <c r="BA4750">
        <v>1</v>
      </c>
      <c r="BC4750" t="s">
        <v>9610</v>
      </c>
      <c r="BD4750" s="4">
        <v>43283.04583333333</v>
      </c>
      <c r="BE4750" s="4">
        <v>43283.055277777778</v>
      </c>
      <c r="BF4750" s="4">
        <v>43283.055277777778</v>
      </c>
      <c r="BG4750" t="s">
        <v>83</v>
      </c>
      <c r="BH4750" t="s">
        <v>84</v>
      </c>
      <c r="BI4750" t="s">
        <v>85</v>
      </c>
    </row>
    <row r="4751" spans="1:61" x14ac:dyDescent="0.3">
      <c r="A4751" t="str">
        <f>"202095B0100"</f>
        <v>202095B0100</v>
      </c>
      <c r="B4751" t="s">
        <v>9611</v>
      </c>
      <c r="C4751">
        <v>20</v>
      </c>
      <c r="D4751" t="s">
        <v>79</v>
      </c>
      <c r="E4751">
        <v>22</v>
      </c>
      <c r="F4751" t="s">
        <v>9267</v>
      </c>
      <c r="G4751">
        <v>2095</v>
      </c>
      <c r="H4751">
        <v>1</v>
      </c>
      <c r="I4751" t="s">
        <v>81</v>
      </c>
      <c r="J4751">
        <v>0</v>
      </c>
      <c r="K4751">
        <v>1</v>
      </c>
      <c r="L4751">
        <v>2</v>
      </c>
      <c r="M4751">
        <v>241</v>
      </c>
      <c r="N4751">
        <v>407</v>
      </c>
      <c r="O4751">
        <v>6</v>
      </c>
      <c r="P4751">
        <v>408</v>
      </c>
      <c r="Q4751">
        <v>3</v>
      </c>
      <c r="R4751">
        <v>96</v>
      </c>
      <c r="S4751">
        <v>104</v>
      </c>
      <c r="T4751">
        <v>4</v>
      </c>
      <c r="U4751">
        <v>9</v>
      </c>
      <c r="V4751">
        <v>7</v>
      </c>
      <c r="W4751">
        <v>4</v>
      </c>
      <c r="X4751">
        <v>2</v>
      </c>
      <c r="Y4751">
        <v>150</v>
      </c>
      <c r="Z4751">
        <v>2</v>
      </c>
      <c r="AA4751">
        <v>1</v>
      </c>
      <c r="AC4751">
        <v>2</v>
      </c>
      <c r="AD4751">
        <v>4</v>
      </c>
      <c r="AE4751">
        <v>0</v>
      </c>
      <c r="AF4751">
        <v>0</v>
      </c>
      <c r="AG4751">
        <v>1</v>
      </c>
      <c r="AH4751">
        <v>0</v>
      </c>
      <c r="AI4751">
        <v>0</v>
      </c>
      <c r="AJ4751">
        <v>0</v>
      </c>
      <c r="AK4751">
        <v>4</v>
      </c>
      <c r="AL4751">
        <v>3</v>
      </c>
      <c r="AM4751">
        <v>1</v>
      </c>
      <c r="AN4751">
        <v>1</v>
      </c>
      <c r="AT4751">
        <v>1</v>
      </c>
      <c r="AU4751">
        <v>9</v>
      </c>
      <c r="AV4751">
        <v>408</v>
      </c>
      <c r="AW4751">
        <v>408</v>
      </c>
      <c r="AX4751">
        <v>629</v>
      </c>
      <c r="BA4751">
        <v>1</v>
      </c>
      <c r="BC4751" t="s">
        <v>9612</v>
      </c>
      <c r="BD4751" s="4">
        <v>43283.118055555555</v>
      </c>
      <c r="BE4751" s="4">
        <v>43283.123240740744</v>
      </c>
      <c r="BF4751" s="4">
        <v>43283.123240740744</v>
      </c>
      <c r="BG4751" t="s">
        <v>83</v>
      </c>
      <c r="BH4751" t="s">
        <v>84</v>
      </c>
      <c r="BI4751" t="s">
        <v>85</v>
      </c>
    </row>
    <row r="4752" spans="1:61" x14ac:dyDescent="0.3">
      <c r="A4752" t="str">
        <f>"202095C0100"</f>
        <v>202095C0100</v>
      </c>
      <c r="B4752" t="s">
        <v>9613</v>
      </c>
      <c r="C4752">
        <v>20</v>
      </c>
      <c r="D4752" t="s">
        <v>79</v>
      </c>
      <c r="E4752">
        <v>22</v>
      </c>
      <c r="F4752" t="s">
        <v>9267</v>
      </c>
      <c r="G4752">
        <v>2095</v>
      </c>
      <c r="H4752">
        <v>1</v>
      </c>
      <c r="I4752" t="s">
        <v>89</v>
      </c>
      <c r="J4752">
        <v>0</v>
      </c>
      <c r="K4752">
        <v>1</v>
      </c>
      <c r="L4752">
        <v>2</v>
      </c>
      <c r="M4752">
        <v>200</v>
      </c>
      <c r="N4752">
        <v>448</v>
      </c>
      <c r="O4752">
        <v>9</v>
      </c>
      <c r="P4752">
        <v>447</v>
      </c>
      <c r="Q4752">
        <v>6</v>
      </c>
      <c r="R4752">
        <v>129</v>
      </c>
      <c r="S4752">
        <v>94</v>
      </c>
      <c r="T4752">
        <v>5</v>
      </c>
      <c r="U4752">
        <v>14</v>
      </c>
      <c r="V4752">
        <v>5</v>
      </c>
      <c r="W4752">
        <v>3</v>
      </c>
      <c r="X4752">
        <v>6</v>
      </c>
      <c r="Y4752">
        <v>161</v>
      </c>
      <c r="Z4752">
        <v>2</v>
      </c>
      <c r="AA4752">
        <v>1</v>
      </c>
      <c r="AC4752">
        <v>3</v>
      </c>
      <c r="AD4752">
        <v>1</v>
      </c>
      <c r="AE4752">
        <v>0</v>
      </c>
      <c r="AF4752">
        <v>1</v>
      </c>
      <c r="AG4752">
        <v>3</v>
      </c>
      <c r="AH4752">
        <v>2</v>
      </c>
      <c r="AI4752">
        <v>0</v>
      </c>
      <c r="AJ4752">
        <v>0</v>
      </c>
      <c r="AK4752">
        <v>0</v>
      </c>
      <c r="AL4752">
        <v>0</v>
      </c>
      <c r="AM4752">
        <v>0</v>
      </c>
      <c r="AN4752">
        <v>0</v>
      </c>
      <c r="AT4752" t="s">
        <v>100</v>
      </c>
      <c r="AU4752">
        <v>11</v>
      </c>
      <c r="AV4752">
        <v>447</v>
      </c>
      <c r="AW4752">
        <v>447</v>
      </c>
      <c r="AX4752">
        <v>628</v>
      </c>
      <c r="AZ4752" t="s">
        <v>101</v>
      </c>
      <c r="BA4752">
        <v>1</v>
      </c>
      <c r="BC4752" t="s">
        <v>9614</v>
      </c>
      <c r="BD4752" s="4">
        <v>43283.120138888888</v>
      </c>
      <c r="BE4752" s="4">
        <v>43283.128807870373</v>
      </c>
      <c r="BF4752" s="4">
        <v>43283.128807870373</v>
      </c>
      <c r="BG4752" t="s">
        <v>83</v>
      </c>
      <c r="BH4752" t="s">
        <v>84</v>
      </c>
      <c r="BI4752" t="s">
        <v>85</v>
      </c>
    </row>
    <row r="4753" spans="1:61" x14ac:dyDescent="0.3">
      <c r="A4753" t="str">
        <f>"202096B0100"</f>
        <v>202096B0100</v>
      </c>
      <c r="B4753" t="s">
        <v>9615</v>
      </c>
      <c r="C4753">
        <v>20</v>
      </c>
      <c r="D4753" t="s">
        <v>79</v>
      </c>
      <c r="E4753">
        <v>22</v>
      </c>
      <c r="F4753" t="s">
        <v>9267</v>
      </c>
      <c r="G4753">
        <v>2096</v>
      </c>
      <c r="H4753">
        <v>1</v>
      </c>
      <c r="I4753" t="s">
        <v>81</v>
      </c>
      <c r="J4753">
        <v>0</v>
      </c>
      <c r="K4753">
        <v>1</v>
      </c>
      <c r="L4753">
        <v>2</v>
      </c>
      <c r="M4753">
        <v>247</v>
      </c>
      <c r="N4753">
        <v>491</v>
      </c>
      <c r="O4753">
        <v>11</v>
      </c>
      <c r="P4753">
        <v>491</v>
      </c>
      <c r="Q4753">
        <v>8</v>
      </c>
      <c r="R4753">
        <v>118</v>
      </c>
      <c r="S4753">
        <v>82</v>
      </c>
      <c r="T4753">
        <v>2</v>
      </c>
      <c r="U4753">
        <v>4</v>
      </c>
      <c r="V4753">
        <v>2</v>
      </c>
      <c r="W4753">
        <v>1</v>
      </c>
      <c r="X4753">
        <v>6</v>
      </c>
      <c r="Y4753">
        <v>234</v>
      </c>
      <c r="Z4753">
        <v>3</v>
      </c>
      <c r="AA4753">
        <v>1</v>
      </c>
      <c r="AC4753">
        <v>0</v>
      </c>
      <c r="AD4753">
        <v>0</v>
      </c>
      <c r="AE4753">
        <v>0</v>
      </c>
      <c r="AF4753">
        <v>0</v>
      </c>
      <c r="AG4753">
        <v>6</v>
      </c>
      <c r="AH4753">
        <v>1</v>
      </c>
      <c r="AI4753">
        <v>1</v>
      </c>
      <c r="AJ4753">
        <v>0</v>
      </c>
      <c r="AK4753">
        <v>8</v>
      </c>
      <c r="AL4753">
        <v>0</v>
      </c>
      <c r="AM4753">
        <v>0</v>
      </c>
      <c r="AN4753">
        <v>1</v>
      </c>
      <c r="AT4753">
        <v>0</v>
      </c>
      <c r="AU4753">
        <v>13</v>
      </c>
      <c r="AV4753">
        <v>491</v>
      </c>
      <c r="AW4753">
        <v>491</v>
      </c>
      <c r="AX4753">
        <v>716</v>
      </c>
      <c r="BA4753">
        <v>1</v>
      </c>
      <c r="BC4753" t="s">
        <v>9616</v>
      </c>
      <c r="BD4753" s="4">
        <v>43283.116666666669</v>
      </c>
      <c r="BE4753" s="4">
        <v>43283.12332175926</v>
      </c>
      <c r="BF4753" s="4">
        <v>43283.12332175926</v>
      </c>
      <c r="BG4753" t="s">
        <v>83</v>
      </c>
      <c r="BH4753" t="s">
        <v>84</v>
      </c>
      <c r="BI4753" t="s">
        <v>85</v>
      </c>
    </row>
    <row r="4754" spans="1:61" x14ac:dyDescent="0.3">
      <c r="A4754" t="str">
        <f>"202096C0100"</f>
        <v>202096C0100</v>
      </c>
      <c r="B4754" t="s">
        <v>9617</v>
      </c>
      <c r="C4754">
        <v>20</v>
      </c>
      <c r="D4754" t="s">
        <v>79</v>
      </c>
      <c r="E4754">
        <v>22</v>
      </c>
      <c r="F4754" t="s">
        <v>9267</v>
      </c>
      <c r="G4754">
        <v>2096</v>
      </c>
      <c r="H4754">
        <v>1</v>
      </c>
      <c r="I4754" t="s">
        <v>89</v>
      </c>
      <c r="J4754">
        <v>0</v>
      </c>
      <c r="K4754">
        <v>1</v>
      </c>
      <c r="L4754">
        <v>2</v>
      </c>
      <c r="M4754">
        <v>252</v>
      </c>
      <c r="N4754">
        <v>485</v>
      </c>
      <c r="O4754">
        <v>8</v>
      </c>
      <c r="P4754" t="s">
        <v>100</v>
      </c>
      <c r="Q4754">
        <v>3</v>
      </c>
      <c r="R4754">
        <v>100</v>
      </c>
      <c r="S4754">
        <v>88</v>
      </c>
      <c r="T4754">
        <v>4</v>
      </c>
      <c r="U4754">
        <v>15</v>
      </c>
      <c r="V4754">
        <v>5</v>
      </c>
      <c r="W4754">
        <v>3</v>
      </c>
      <c r="X4754">
        <v>10</v>
      </c>
      <c r="Y4754">
        <v>221</v>
      </c>
      <c r="Z4754">
        <v>3</v>
      </c>
      <c r="AA4754">
        <v>0</v>
      </c>
      <c r="AC4754">
        <v>0</v>
      </c>
      <c r="AD4754">
        <v>1</v>
      </c>
      <c r="AE4754">
        <v>1</v>
      </c>
      <c r="AF4754">
        <v>0</v>
      </c>
      <c r="AG4754">
        <v>2</v>
      </c>
      <c r="AH4754">
        <v>2</v>
      </c>
      <c r="AI4754">
        <v>1</v>
      </c>
      <c r="AJ4754">
        <v>0</v>
      </c>
      <c r="AK4754">
        <v>4</v>
      </c>
      <c r="AL4754">
        <v>3</v>
      </c>
      <c r="AM4754">
        <v>0</v>
      </c>
      <c r="AN4754">
        <v>1</v>
      </c>
      <c r="AT4754">
        <v>0</v>
      </c>
      <c r="AU4754">
        <v>18</v>
      </c>
      <c r="AV4754">
        <v>485</v>
      </c>
      <c r="AW4754">
        <v>485</v>
      </c>
      <c r="AX4754">
        <v>716</v>
      </c>
      <c r="BA4754">
        <v>1</v>
      </c>
      <c r="BC4754" t="s">
        <v>9618</v>
      </c>
      <c r="BD4754" s="4">
        <v>43283.121527777781</v>
      </c>
      <c r="BE4754" s="4">
        <v>43283.150370370371</v>
      </c>
      <c r="BF4754" s="4">
        <v>43283.150370370371</v>
      </c>
      <c r="BG4754" t="s">
        <v>83</v>
      </c>
      <c r="BH4754" t="s">
        <v>84</v>
      </c>
      <c r="BI4754" t="s">
        <v>85</v>
      </c>
    </row>
    <row r="4755" spans="1:61" x14ac:dyDescent="0.3">
      <c r="A4755" t="str">
        <f>"202097B0100"</f>
        <v>202097B0100</v>
      </c>
      <c r="B4755" t="s">
        <v>9619</v>
      </c>
      <c r="C4755">
        <v>20</v>
      </c>
      <c r="D4755" t="s">
        <v>79</v>
      </c>
      <c r="E4755">
        <v>22</v>
      </c>
      <c r="F4755" t="s">
        <v>9267</v>
      </c>
      <c r="G4755">
        <v>2097</v>
      </c>
      <c r="H4755">
        <v>1</v>
      </c>
      <c r="I4755" t="s">
        <v>81</v>
      </c>
      <c r="J4755">
        <v>0</v>
      </c>
      <c r="K4755">
        <v>1</v>
      </c>
      <c r="L4755">
        <v>2</v>
      </c>
      <c r="M4755" t="s">
        <v>100</v>
      </c>
      <c r="N4755" t="s">
        <v>100</v>
      </c>
      <c r="O4755" t="s">
        <v>100</v>
      </c>
      <c r="P4755" t="s">
        <v>100</v>
      </c>
      <c r="Q4755">
        <v>11</v>
      </c>
      <c r="R4755">
        <v>102</v>
      </c>
      <c r="S4755">
        <v>118</v>
      </c>
      <c r="T4755">
        <v>2</v>
      </c>
      <c r="U4755">
        <v>16</v>
      </c>
      <c r="V4755">
        <v>6</v>
      </c>
      <c r="W4755">
        <v>10</v>
      </c>
      <c r="X4755">
        <v>4</v>
      </c>
      <c r="Y4755">
        <v>159</v>
      </c>
      <c r="Z4755">
        <v>1</v>
      </c>
      <c r="AA4755">
        <v>1</v>
      </c>
      <c r="AC4755">
        <v>2</v>
      </c>
      <c r="AD4755">
        <v>0</v>
      </c>
      <c r="AE4755">
        <v>0</v>
      </c>
      <c r="AF4755">
        <v>0</v>
      </c>
      <c r="AG4755">
        <v>0</v>
      </c>
      <c r="AH4755">
        <v>2</v>
      </c>
      <c r="AI4755">
        <v>0</v>
      </c>
      <c r="AJ4755">
        <v>0</v>
      </c>
      <c r="AK4755">
        <v>1</v>
      </c>
      <c r="AL4755">
        <v>0</v>
      </c>
      <c r="AM4755">
        <v>0</v>
      </c>
      <c r="AN4755">
        <v>0</v>
      </c>
      <c r="AT4755">
        <v>0</v>
      </c>
      <c r="AU4755">
        <v>7</v>
      </c>
      <c r="AV4755">
        <v>442</v>
      </c>
      <c r="AW4755">
        <v>442</v>
      </c>
      <c r="AX4755">
        <v>690</v>
      </c>
      <c r="BA4755">
        <v>1</v>
      </c>
      <c r="BC4755" t="s">
        <v>9620</v>
      </c>
      <c r="BD4755" s="4">
        <v>43283.249305555553</v>
      </c>
      <c r="BE4755" s="4">
        <v>43283.27621527778</v>
      </c>
      <c r="BF4755" s="4">
        <v>43283.27621527778</v>
      </c>
      <c r="BG4755" t="s">
        <v>83</v>
      </c>
      <c r="BH4755" t="s">
        <v>84</v>
      </c>
      <c r="BI4755" t="s">
        <v>85</v>
      </c>
    </row>
    <row r="4756" spans="1:61" x14ac:dyDescent="0.3">
      <c r="A4756" t="str">
        <f>"202097C0100"</f>
        <v>202097C0100</v>
      </c>
      <c r="B4756" t="s">
        <v>9621</v>
      </c>
      <c r="C4756">
        <v>20</v>
      </c>
      <c r="D4756" t="s">
        <v>79</v>
      </c>
      <c r="E4756">
        <v>22</v>
      </c>
      <c r="F4756" t="s">
        <v>9267</v>
      </c>
      <c r="G4756">
        <v>2097</v>
      </c>
      <c r="H4756">
        <v>1</v>
      </c>
      <c r="I4756" t="s">
        <v>89</v>
      </c>
      <c r="J4756">
        <v>0</v>
      </c>
      <c r="K4756">
        <v>1</v>
      </c>
      <c r="L4756">
        <v>2</v>
      </c>
      <c r="M4756">
        <v>250</v>
      </c>
      <c r="N4756">
        <v>460</v>
      </c>
      <c r="O4756">
        <v>5</v>
      </c>
      <c r="P4756">
        <v>459</v>
      </c>
      <c r="Q4756">
        <v>2</v>
      </c>
      <c r="R4756">
        <v>96</v>
      </c>
      <c r="S4756">
        <v>98</v>
      </c>
      <c r="T4756">
        <v>1</v>
      </c>
      <c r="U4756">
        <v>18</v>
      </c>
      <c r="V4756">
        <v>5</v>
      </c>
      <c r="W4756">
        <v>7</v>
      </c>
      <c r="X4756">
        <v>8</v>
      </c>
      <c r="Y4756">
        <v>202</v>
      </c>
      <c r="Z4756">
        <v>1</v>
      </c>
      <c r="AA4756" t="s">
        <v>100</v>
      </c>
      <c r="AC4756">
        <v>2</v>
      </c>
      <c r="AD4756">
        <v>1</v>
      </c>
      <c r="AE4756" t="s">
        <v>100</v>
      </c>
      <c r="AF4756" t="s">
        <v>100</v>
      </c>
      <c r="AG4756">
        <v>1</v>
      </c>
      <c r="AH4756">
        <v>1</v>
      </c>
      <c r="AI4756" t="s">
        <v>100</v>
      </c>
      <c r="AJ4756" t="s">
        <v>100</v>
      </c>
      <c r="AK4756">
        <v>1</v>
      </c>
      <c r="AL4756" t="s">
        <v>100</v>
      </c>
      <c r="AM4756" t="s">
        <v>100</v>
      </c>
      <c r="AN4756" t="s">
        <v>100</v>
      </c>
      <c r="AT4756" t="s">
        <v>100</v>
      </c>
      <c r="AU4756">
        <v>15</v>
      </c>
      <c r="AV4756">
        <v>459</v>
      </c>
      <c r="AW4756">
        <v>459</v>
      </c>
      <c r="AX4756">
        <v>689</v>
      </c>
      <c r="AZ4756" t="s">
        <v>101</v>
      </c>
      <c r="BA4756">
        <v>1</v>
      </c>
      <c r="BC4756" t="s">
        <v>9622</v>
      </c>
      <c r="BD4756" s="4">
        <v>43283.255555555559</v>
      </c>
      <c r="BE4756" s="4">
        <v>43283.295312499999</v>
      </c>
      <c r="BF4756" s="4">
        <v>43283.295312499999</v>
      </c>
      <c r="BG4756" t="s">
        <v>83</v>
      </c>
      <c r="BH4756" t="s">
        <v>84</v>
      </c>
      <c r="BI4756" t="s">
        <v>85</v>
      </c>
    </row>
    <row r="4757" spans="1:61" x14ac:dyDescent="0.3">
      <c r="A4757" t="str">
        <f>"202097C0200"</f>
        <v>202097C0200</v>
      </c>
      <c r="B4757" t="s">
        <v>9623</v>
      </c>
      <c r="C4757">
        <v>20</v>
      </c>
      <c r="D4757" t="s">
        <v>79</v>
      </c>
      <c r="E4757">
        <v>22</v>
      </c>
      <c r="F4757" t="s">
        <v>9267</v>
      </c>
      <c r="G4757">
        <v>2097</v>
      </c>
      <c r="H4757">
        <v>2</v>
      </c>
      <c r="I4757" t="s">
        <v>89</v>
      </c>
      <c r="J4757">
        <v>0</v>
      </c>
      <c r="K4757">
        <v>1</v>
      </c>
      <c r="L4757">
        <v>2</v>
      </c>
      <c r="M4757">
        <v>257</v>
      </c>
      <c r="N4757">
        <v>454</v>
      </c>
      <c r="O4757">
        <v>2</v>
      </c>
      <c r="P4757">
        <v>454</v>
      </c>
      <c r="Q4757">
        <v>10</v>
      </c>
      <c r="R4757">
        <v>81</v>
      </c>
      <c r="S4757">
        <v>113</v>
      </c>
      <c r="T4757">
        <v>5</v>
      </c>
      <c r="U4757">
        <v>10</v>
      </c>
      <c r="V4757">
        <v>5</v>
      </c>
      <c r="W4757">
        <v>6</v>
      </c>
      <c r="X4757">
        <v>5</v>
      </c>
      <c r="Y4757">
        <v>193</v>
      </c>
      <c r="Z4757">
        <v>0</v>
      </c>
      <c r="AA4757">
        <v>0</v>
      </c>
      <c r="AC4757">
        <v>0</v>
      </c>
      <c r="AD4757">
        <v>1</v>
      </c>
      <c r="AE4757">
        <v>0</v>
      </c>
      <c r="AF4757">
        <v>0</v>
      </c>
      <c r="AG4757">
        <v>1</v>
      </c>
      <c r="AH4757">
        <v>1</v>
      </c>
      <c r="AI4757">
        <v>0</v>
      </c>
      <c r="AJ4757">
        <v>4</v>
      </c>
      <c r="AK4757">
        <v>2</v>
      </c>
      <c r="AL4757">
        <v>0</v>
      </c>
      <c r="AM4757">
        <v>0</v>
      </c>
      <c r="AN4757">
        <v>0</v>
      </c>
      <c r="AT4757">
        <v>0</v>
      </c>
      <c r="AU4757">
        <v>17</v>
      </c>
      <c r="AV4757">
        <v>454</v>
      </c>
      <c r="AW4757">
        <v>454</v>
      </c>
      <c r="AX4757">
        <v>689</v>
      </c>
      <c r="BA4757">
        <v>1</v>
      </c>
      <c r="BC4757" t="s">
        <v>9624</v>
      </c>
      <c r="BD4757" s="4">
        <v>43283.255555555559</v>
      </c>
      <c r="BE4757" s="4">
        <v>43283.282638888886</v>
      </c>
      <c r="BF4757" s="4">
        <v>43283.282638888886</v>
      </c>
      <c r="BG4757" t="s">
        <v>83</v>
      </c>
      <c r="BH4757" t="s">
        <v>84</v>
      </c>
      <c r="BI4757" t="s">
        <v>85</v>
      </c>
    </row>
    <row r="4758" spans="1:61" x14ac:dyDescent="0.3">
      <c r="A4758" t="str">
        <f>"202098B0100"</f>
        <v>202098B0100</v>
      </c>
      <c r="B4758" t="s">
        <v>9625</v>
      </c>
      <c r="C4758">
        <v>20</v>
      </c>
      <c r="D4758" t="s">
        <v>79</v>
      </c>
      <c r="E4758">
        <v>22</v>
      </c>
      <c r="F4758" t="s">
        <v>9267</v>
      </c>
      <c r="G4758">
        <v>2098</v>
      </c>
      <c r="H4758">
        <v>1</v>
      </c>
      <c r="I4758" t="s">
        <v>81</v>
      </c>
      <c r="J4758">
        <v>0</v>
      </c>
      <c r="K4758">
        <v>1</v>
      </c>
      <c r="L4758">
        <v>2</v>
      </c>
      <c r="M4758">
        <v>207</v>
      </c>
      <c r="N4758">
        <v>435</v>
      </c>
      <c r="O4758">
        <v>8</v>
      </c>
      <c r="P4758">
        <v>429</v>
      </c>
      <c r="Q4758">
        <v>6</v>
      </c>
      <c r="R4758">
        <v>79</v>
      </c>
      <c r="S4758">
        <v>86</v>
      </c>
      <c r="T4758">
        <v>0</v>
      </c>
      <c r="U4758">
        <v>18</v>
      </c>
      <c r="V4758">
        <v>0</v>
      </c>
      <c r="W4758">
        <v>4</v>
      </c>
      <c r="X4758">
        <v>12</v>
      </c>
      <c r="Y4758">
        <v>190</v>
      </c>
      <c r="Z4758">
        <v>0</v>
      </c>
      <c r="AA4758">
        <v>0</v>
      </c>
      <c r="AC4758">
        <v>0</v>
      </c>
      <c r="AD4758">
        <v>0</v>
      </c>
      <c r="AE4758">
        <v>0</v>
      </c>
      <c r="AF4758">
        <v>1</v>
      </c>
      <c r="AG4758">
        <v>0</v>
      </c>
      <c r="AH4758">
        <v>3</v>
      </c>
      <c r="AI4758">
        <v>0</v>
      </c>
      <c r="AJ4758">
        <v>0</v>
      </c>
      <c r="AK4758">
        <v>2</v>
      </c>
      <c r="AL4758">
        <v>2</v>
      </c>
      <c r="AM4758">
        <v>0</v>
      </c>
      <c r="AN4758">
        <v>0</v>
      </c>
      <c r="AT4758">
        <v>0</v>
      </c>
      <c r="AU4758">
        <v>26</v>
      </c>
      <c r="AV4758">
        <v>429</v>
      </c>
      <c r="AW4758">
        <v>429</v>
      </c>
      <c r="AX4758">
        <v>620</v>
      </c>
      <c r="BA4758">
        <v>1</v>
      </c>
      <c r="BC4758" t="s">
        <v>9626</v>
      </c>
      <c r="BD4758" s="4">
        <v>43283.64166666667</v>
      </c>
      <c r="BE4758" s="4">
        <v>43283.644780092596</v>
      </c>
      <c r="BF4758" s="4">
        <v>43283.644780092596</v>
      </c>
      <c r="BG4758" t="s">
        <v>83</v>
      </c>
      <c r="BH4758" t="s">
        <v>84</v>
      </c>
      <c r="BI4758" t="s">
        <v>85</v>
      </c>
    </row>
    <row r="4759" spans="1:61" x14ac:dyDescent="0.3">
      <c r="A4759" t="str">
        <f>"202098C0100"</f>
        <v>202098C0100</v>
      </c>
      <c r="B4759" t="s">
        <v>9627</v>
      </c>
      <c r="C4759">
        <v>20</v>
      </c>
      <c r="D4759" t="s">
        <v>79</v>
      </c>
      <c r="E4759">
        <v>22</v>
      </c>
      <c r="F4759" t="s">
        <v>9267</v>
      </c>
      <c r="G4759">
        <v>2098</v>
      </c>
      <c r="H4759">
        <v>1</v>
      </c>
      <c r="I4759" t="s">
        <v>89</v>
      </c>
      <c r="J4759">
        <v>0</v>
      </c>
      <c r="K4759">
        <v>1</v>
      </c>
      <c r="L4759">
        <v>2</v>
      </c>
      <c r="M4759">
        <v>218</v>
      </c>
      <c r="N4759">
        <v>424</v>
      </c>
      <c r="O4759">
        <v>8</v>
      </c>
      <c r="P4759">
        <v>424</v>
      </c>
      <c r="Q4759">
        <v>8</v>
      </c>
      <c r="R4759">
        <v>67</v>
      </c>
      <c r="S4759">
        <v>105</v>
      </c>
      <c r="T4759">
        <v>2</v>
      </c>
      <c r="U4759">
        <v>18</v>
      </c>
      <c r="V4759">
        <v>3</v>
      </c>
      <c r="W4759">
        <v>3</v>
      </c>
      <c r="X4759">
        <v>4</v>
      </c>
      <c r="Y4759">
        <v>184</v>
      </c>
      <c r="Z4759">
        <v>2</v>
      </c>
      <c r="AA4759">
        <v>1</v>
      </c>
      <c r="AC4759">
        <v>1</v>
      </c>
      <c r="AD4759">
        <v>1</v>
      </c>
      <c r="AE4759">
        <v>0</v>
      </c>
      <c r="AF4759">
        <v>0</v>
      </c>
      <c r="AG4759">
        <v>1</v>
      </c>
      <c r="AH4759">
        <v>0</v>
      </c>
      <c r="AI4759">
        <v>0</v>
      </c>
      <c r="AJ4759">
        <v>1</v>
      </c>
      <c r="AK4759">
        <v>1</v>
      </c>
      <c r="AL4759">
        <v>0</v>
      </c>
      <c r="AM4759">
        <v>0</v>
      </c>
      <c r="AN4759">
        <v>0</v>
      </c>
      <c r="AT4759">
        <v>0</v>
      </c>
      <c r="AU4759">
        <v>22</v>
      </c>
      <c r="AV4759">
        <v>424</v>
      </c>
      <c r="AW4759">
        <v>424</v>
      </c>
      <c r="AX4759">
        <v>620</v>
      </c>
      <c r="BA4759">
        <v>1</v>
      </c>
      <c r="BC4759" t="s">
        <v>9628</v>
      </c>
      <c r="BD4759" s="4">
        <v>43283.326388888891</v>
      </c>
      <c r="BE4759" s="4">
        <v>43283.350428240738</v>
      </c>
      <c r="BF4759" s="4">
        <v>43283.350428240738</v>
      </c>
      <c r="BG4759" t="s">
        <v>83</v>
      </c>
      <c r="BH4759" t="s">
        <v>84</v>
      </c>
      <c r="BI4759" t="s">
        <v>85</v>
      </c>
    </row>
    <row r="4760" spans="1:61" x14ac:dyDescent="0.3">
      <c r="A4760" t="str">
        <f>"202098C0200"</f>
        <v>202098C0200</v>
      </c>
      <c r="B4760" t="s">
        <v>9629</v>
      </c>
      <c r="C4760">
        <v>20</v>
      </c>
      <c r="D4760" t="s">
        <v>79</v>
      </c>
      <c r="E4760">
        <v>22</v>
      </c>
      <c r="F4760" t="s">
        <v>9267</v>
      </c>
      <c r="G4760">
        <v>2098</v>
      </c>
      <c r="H4760">
        <v>2</v>
      </c>
      <c r="I4760" t="s">
        <v>89</v>
      </c>
      <c r="J4760">
        <v>0</v>
      </c>
      <c r="K4760">
        <v>1</v>
      </c>
      <c r="L4760">
        <v>2</v>
      </c>
      <c r="M4760">
        <v>224</v>
      </c>
      <c r="N4760">
        <v>417</v>
      </c>
      <c r="O4760">
        <v>10</v>
      </c>
      <c r="P4760">
        <v>424</v>
      </c>
      <c r="Q4760">
        <v>7</v>
      </c>
      <c r="R4760">
        <v>70</v>
      </c>
      <c r="S4760">
        <v>90</v>
      </c>
      <c r="T4760">
        <v>5</v>
      </c>
      <c r="U4760">
        <v>5</v>
      </c>
      <c r="V4760">
        <v>5</v>
      </c>
      <c r="W4760">
        <v>3</v>
      </c>
      <c r="X4760">
        <v>3</v>
      </c>
      <c r="Y4760">
        <v>193</v>
      </c>
      <c r="Z4760">
        <v>2</v>
      </c>
      <c r="AA4760">
        <v>0</v>
      </c>
      <c r="AC4760">
        <v>0</v>
      </c>
      <c r="AD4760">
        <v>1</v>
      </c>
      <c r="AE4760">
        <v>0</v>
      </c>
      <c r="AF4760">
        <v>3</v>
      </c>
      <c r="AG4760">
        <v>2</v>
      </c>
      <c r="AH4760">
        <v>0</v>
      </c>
      <c r="AI4760">
        <v>0</v>
      </c>
      <c r="AJ4760">
        <v>0</v>
      </c>
      <c r="AK4760">
        <v>0</v>
      </c>
      <c r="AL4760">
        <v>1</v>
      </c>
      <c r="AM4760">
        <v>0</v>
      </c>
      <c r="AN4760">
        <v>2</v>
      </c>
      <c r="AT4760" t="s">
        <v>100</v>
      </c>
      <c r="AU4760">
        <v>18</v>
      </c>
      <c r="AV4760">
        <v>424</v>
      </c>
      <c r="AW4760">
        <v>410</v>
      </c>
      <c r="AX4760">
        <v>620</v>
      </c>
      <c r="AZ4760" t="s">
        <v>101</v>
      </c>
      <c r="BA4760">
        <v>1</v>
      </c>
      <c r="BC4760" t="s">
        <v>9630</v>
      </c>
      <c r="BD4760" s="4">
        <v>43283.343055555553</v>
      </c>
      <c r="BE4760" s="4">
        <v>43283.372650462959</v>
      </c>
      <c r="BF4760" s="4">
        <v>43283.372650462959</v>
      </c>
      <c r="BG4760" t="s">
        <v>83</v>
      </c>
      <c r="BH4760" t="s">
        <v>84</v>
      </c>
      <c r="BI4760" t="s">
        <v>85</v>
      </c>
    </row>
    <row r="4761" spans="1:61" x14ac:dyDescent="0.3">
      <c r="A4761" t="str">
        <f>"202098C0300"</f>
        <v>202098C0300</v>
      </c>
      <c r="B4761" t="s">
        <v>9631</v>
      </c>
      <c r="C4761">
        <v>20</v>
      </c>
      <c r="D4761" t="s">
        <v>79</v>
      </c>
      <c r="E4761">
        <v>22</v>
      </c>
      <c r="F4761" t="s">
        <v>9267</v>
      </c>
      <c r="G4761">
        <v>2098</v>
      </c>
      <c r="H4761">
        <v>3</v>
      </c>
      <c r="I4761" t="s">
        <v>89</v>
      </c>
      <c r="J4761">
        <v>0</v>
      </c>
      <c r="K4761">
        <v>1</v>
      </c>
      <c r="L4761">
        <v>2</v>
      </c>
      <c r="M4761">
        <v>231</v>
      </c>
      <c r="N4761">
        <v>412</v>
      </c>
      <c r="O4761">
        <v>8</v>
      </c>
      <c r="P4761">
        <v>408</v>
      </c>
      <c r="Q4761">
        <v>8</v>
      </c>
      <c r="R4761">
        <v>70</v>
      </c>
      <c r="S4761">
        <v>83</v>
      </c>
      <c r="T4761">
        <v>1</v>
      </c>
      <c r="U4761">
        <v>10</v>
      </c>
      <c r="V4761">
        <v>3</v>
      </c>
      <c r="W4761">
        <v>9</v>
      </c>
      <c r="X4761">
        <v>5</v>
      </c>
      <c r="Y4761">
        <v>186</v>
      </c>
      <c r="Z4761">
        <v>4</v>
      </c>
      <c r="AA4761">
        <v>0</v>
      </c>
      <c r="AC4761">
        <v>2</v>
      </c>
      <c r="AD4761">
        <v>3</v>
      </c>
      <c r="AE4761">
        <v>0</v>
      </c>
      <c r="AF4761">
        <v>0</v>
      </c>
      <c r="AG4761">
        <v>1</v>
      </c>
      <c r="AH4761">
        <v>0</v>
      </c>
      <c r="AI4761">
        <v>0</v>
      </c>
      <c r="AJ4761">
        <v>2</v>
      </c>
      <c r="AK4761">
        <v>3</v>
      </c>
      <c r="AL4761">
        <v>2</v>
      </c>
      <c r="AM4761">
        <v>0</v>
      </c>
      <c r="AN4761">
        <v>1</v>
      </c>
      <c r="AT4761">
        <v>0</v>
      </c>
      <c r="AU4761">
        <v>15</v>
      </c>
      <c r="AV4761">
        <v>408</v>
      </c>
      <c r="AW4761">
        <v>408</v>
      </c>
      <c r="AX4761">
        <v>619</v>
      </c>
      <c r="BA4761">
        <v>1</v>
      </c>
      <c r="BC4761" t="s">
        <v>9632</v>
      </c>
      <c r="BD4761" s="4">
        <v>43283.349305555559</v>
      </c>
      <c r="BE4761" s="4">
        <v>43283.36142361111</v>
      </c>
      <c r="BF4761" s="4">
        <v>43283.36142361111</v>
      </c>
      <c r="BG4761" t="s">
        <v>83</v>
      </c>
      <c r="BH4761" t="s">
        <v>84</v>
      </c>
      <c r="BI4761" t="s">
        <v>548</v>
      </c>
    </row>
    <row r="4762" spans="1:61" x14ac:dyDescent="0.3">
      <c r="A4762" t="str">
        <f>"202099B0100"</f>
        <v>202099B0100</v>
      </c>
      <c r="B4762" t="s">
        <v>9633</v>
      </c>
      <c r="C4762">
        <v>20</v>
      </c>
      <c r="D4762" t="s">
        <v>79</v>
      </c>
      <c r="E4762">
        <v>22</v>
      </c>
      <c r="F4762" t="s">
        <v>9267</v>
      </c>
      <c r="G4762">
        <v>2099</v>
      </c>
      <c r="H4762">
        <v>1</v>
      </c>
      <c r="I4762" t="s">
        <v>81</v>
      </c>
      <c r="J4762">
        <v>0</v>
      </c>
      <c r="K4762">
        <v>2</v>
      </c>
      <c r="L4762">
        <v>2</v>
      </c>
      <c r="M4762">
        <v>222</v>
      </c>
      <c r="N4762">
        <v>392</v>
      </c>
      <c r="O4762">
        <v>0</v>
      </c>
      <c r="P4762">
        <v>392</v>
      </c>
      <c r="Q4762">
        <v>2</v>
      </c>
      <c r="R4762">
        <v>99</v>
      </c>
      <c r="S4762">
        <v>88</v>
      </c>
      <c r="T4762">
        <v>2</v>
      </c>
      <c r="U4762">
        <v>7</v>
      </c>
      <c r="V4762">
        <v>8</v>
      </c>
      <c r="W4762">
        <v>3</v>
      </c>
      <c r="X4762">
        <v>4</v>
      </c>
      <c r="Y4762">
        <v>155</v>
      </c>
      <c r="Z4762">
        <v>1</v>
      </c>
      <c r="AA4762">
        <v>3</v>
      </c>
      <c r="AC4762">
        <v>2</v>
      </c>
      <c r="AD4762">
        <v>0</v>
      </c>
      <c r="AE4762">
        <v>0</v>
      </c>
      <c r="AF4762">
        <v>0</v>
      </c>
      <c r="AG4762">
        <v>0</v>
      </c>
      <c r="AH4762">
        <v>2</v>
      </c>
      <c r="AI4762">
        <v>0</v>
      </c>
      <c r="AJ4762">
        <v>0</v>
      </c>
      <c r="AK4762">
        <v>6</v>
      </c>
      <c r="AL4762">
        <v>1</v>
      </c>
      <c r="AM4762">
        <v>0</v>
      </c>
      <c r="AN4762">
        <v>0</v>
      </c>
      <c r="AT4762">
        <v>0</v>
      </c>
      <c r="AU4762">
        <v>9</v>
      </c>
      <c r="AV4762">
        <v>392</v>
      </c>
      <c r="AW4762">
        <v>392</v>
      </c>
      <c r="AX4762">
        <v>593</v>
      </c>
      <c r="BA4762">
        <v>1</v>
      </c>
      <c r="BC4762" t="s">
        <v>9634</v>
      </c>
      <c r="BD4762" s="4">
        <v>43283.126388888886</v>
      </c>
      <c r="BE4762" s="4">
        <v>43283.135983796295</v>
      </c>
      <c r="BF4762" s="4">
        <v>43283.135983796295</v>
      </c>
      <c r="BG4762" t="s">
        <v>83</v>
      </c>
      <c r="BH4762" t="s">
        <v>84</v>
      </c>
      <c r="BI4762" t="s">
        <v>85</v>
      </c>
    </row>
    <row r="4763" spans="1:61" x14ac:dyDescent="0.3">
      <c r="A4763" t="str">
        <f>"202099C0100"</f>
        <v>202099C0100</v>
      </c>
      <c r="B4763" t="s">
        <v>9635</v>
      </c>
      <c r="C4763">
        <v>20</v>
      </c>
      <c r="D4763" t="s">
        <v>79</v>
      </c>
      <c r="E4763">
        <v>22</v>
      </c>
      <c r="F4763" t="s">
        <v>9267</v>
      </c>
      <c r="G4763">
        <v>2099</v>
      </c>
      <c r="H4763">
        <v>1</v>
      </c>
      <c r="I4763" t="s">
        <v>89</v>
      </c>
      <c r="J4763">
        <v>0</v>
      </c>
      <c r="K4763">
        <v>2</v>
      </c>
      <c r="L4763">
        <v>2</v>
      </c>
      <c r="M4763">
        <v>211</v>
      </c>
      <c r="N4763">
        <v>403</v>
      </c>
      <c r="O4763">
        <v>2</v>
      </c>
      <c r="P4763">
        <v>403</v>
      </c>
      <c r="Q4763">
        <v>5</v>
      </c>
      <c r="R4763">
        <v>93</v>
      </c>
      <c r="S4763">
        <v>104</v>
      </c>
      <c r="T4763">
        <v>4</v>
      </c>
      <c r="U4763">
        <v>8</v>
      </c>
      <c r="V4763">
        <v>6</v>
      </c>
      <c r="W4763">
        <v>2</v>
      </c>
      <c r="X4763">
        <v>0</v>
      </c>
      <c r="Y4763">
        <v>153</v>
      </c>
      <c r="Z4763">
        <v>2</v>
      </c>
      <c r="AA4763">
        <v>1</v>
      </c>
      <c r="AC4763">
        <v>1</v>
      </c>
      <c r="AD4763">
        <v>3</v>
      </c>
      <c r="AE4763">
        <v>0</v>
      </c>
      <c r="AF4763">
        <v>0</v>
      </c>
      <c r="AG4763">
        <v>2</v>
      </c>
      <c r="AH4763">
        <v>0</v>
      </c>
      <c r="AI4763">
        <v>0</v>
      </c>
      <c r="AJ4763">
        <v>1</v>
      </c>
      <c r="AK4763">
        <v>4</v>
      </c>
      <c r="AL4763">
        <v>2</v>
      </c>
      <c r="AM4763">
        <v>0</v>
      </c>
      <c r="AN4763">
        <v>1</v>
      </c>
      <c r="AT4763">
        <v>0</v>
      </c>
      <c r="AU4763">
        <v>11</v>
      </c>
      <c r="AV4763">
        <v>403</v>
      </c>
      <c r="AW4763">
        <v>403</v>
      </c>
      <c r="AX4763">
        <v>592</v>
      </c>
      <c r="BA4763">
        <v>1</v>
      </c>
      <c r="BC4763" t="s">
        <v>9636</v>
      </c>
      <c r="BD4763" s="4">
        <v>43283.125</v>
      </c>
      <c r="BE4763" s="4">
        <v>43283.133761574078</v>
      </c>
      <c r="BF4763" s="4">
        <v>43283.133761574078</v>
      </c>
      <c r="BG4763" t="s">
        <v>83</v>
      </c>
      <c r="BH4763" t="s">
        <v>84</v>
      </c>
      <c r="BI4763" t="s">
        <v>85</v>
      </c>
    </row>
    <row r="4764" spans="1:61" x14ac:dyDescent="0.3">
      <c r="A4764" t="str">
        <f>"202099C0200"</f>
        <v>202099C0200</v>
      </c>
      <c r="B4764" t="s">
        <v>9637</v>
      </c>
      <c r="C4764">
        <v>20</v>
      </c>
      <c r="D4764" t="s">
        <v>79</v>
      </c>
      <c r="E4764">
        <v>22</v>
      </c>
      <c r="F4764" t="s">
        <v>9267</v>
      </c>
      <c r="G4764">
        <v>2099</v>
      </c>
      <c r="H4764">
        <v>2</v>
      </c>
      <c r="I4764" t="s">
        <v>89</v>
      </c>
      <c r="J4764">
        <v>0</v>
      </c>
      <c r="K4764">
        <v>2</v>
      </c>
      <c r="L4764">
        <v>2</v>
      </c>
      <c r="M4764">
        <v>210</v>
      </c>
      <c r="N4764">
        <v>410</v>
      </c>
      <c r="O4764">
        <v>6</v>
      </c>
      <c r="P4764">
        <v>400</v>
      </c>
      <c r="Q4764">
        <v>4</v>
      </c>
      <c r="R4764">
        <v>91</v>
      </c>
      <c r="S4764">
        <v>97</v>
      </c>
      <c r="T4764">
        <v>6</v>
      </c>
      <c r="U4764">
        <v>11</v>
      </c>
      <c r="V4764">
        <v>1</v>
      </c>
      <c r="W4764">
        <v>7</v>
      </c>
      <c r="X4764">
        <v>6</v>
      </c>
      <c r="Y4764">
        <v>156</v>
      </c>
      <c r="Z4764">
        <v>2</v>
      </c>
      <c r="AA4764">
        <v>0</v>
      </c>
      <c r="AC4764">
        <v>1</v>
      </c>
      <c r="AD4764">
        <v>0</v>
      </c>
      <c r="AE4764">
        <v>0</v>
      </c>
      <c r="AF4764">
        <v>0</v>
      </c>
      <c r="AG4764">
        <v>1</v>
      </c>
      <c r="AH4764">
        <v>2</v>
      </c>
      <c r="AI4764">
        <v>0</v>
      </c>
      <c r="AJ4764">
        <v>0</v>
      </c>
      <c r="AK4764">
        <v>1</v>
      </c>
      <c r="AL4764">
        <v>0</v>
      </c>
      <c r="AM4764">
        <v>0</v>
      </c>
      <c r="AN4764">
        <v>0</v>
      </c>
      <c r="AT4764">
        <v>0</v>
      </c>
      <c r="AU4764">
        <v>13</v>
      </c>
      <c r="AV4764">
        <v>400</v>
      </c>
      <c r="AW4764">
        <v>399</v>
      </c>
      <c r="AX4764">
        <v>592</v>
      </c>
      <c r="BA4764">
        <v>1</v>
      </c>
      <c r="BC4764" t="s">
        <v>9638</v>
      </c>
      <c r="BD4764" s="4">
        <v>43283.12777777778</v>
      </c>
      <c r="BE4764" s="4">
        <v>43283.138518518521</v>
      </c>
      <c r="BF4764" s="4">
        <v>43283.138518518521</v>
      </c>
      <c r="BG4764" t="s">
        <v>83</v>
      </c>
      <c r="BH4764" t="s">
        <v>84</v>
      </c>
      <c r="BI4764" t="s">
        <v>85</v>
      </c>
    </row>
    <row r="4765" spans="1:61" x14ac:dyDescent="0.3">
      <c r="A4765" t="str">
        <f>"202099C0300"</f>
        <v>202099C0300</v>
      </c>
      <c r="B4765" t="s">
        <v>9639</v>
      </c>
      <c r="C4765">
        <v>20</v>
      </c>
      <c r="D4765" t="s">
        <v>79</v>
      </c>
      <c r="E4765">
        <v>22</v>
      </c>
      <c r="F4765" t="s">
        <v>9267</v>
      </c>
      <c r="G4765">
        <v>2099</v>
      </c>
      <c r="H4765">
        <v>3</v>
      </c>
      <c r="I4765" t="s">
        <v>89</v>
      </c>
      <c r="J4765">
        <v>0</v>
      </c>
      <c r="K4765">
        <v>2</v>
      </c>
      <c r="L4765">
        <v>2</v>
      </c>
      <c r="M4765">
        <v>216</v>
      </c>
      <c r="N4765">
        <v>400</v>
      </c>
      <c r="O4765">
        <v>1</v>
      </c>
      <c r="P4765">
        <v>0</v>
      </c>
      <c r="Q4765">
        <v>3</v>
      </c>
      <c r="R4765">
        <v>91</v>
      </c>
      <c r="S4765">
        <v>109</v>
      </c>
      <c r="T4765">
        <v>3</v>
      </c>
      <c r="U4765">
        <v>9</v>
      </c>
      <c r="V4765">
        <v>5</v>
      </c>
      <c r="W4765">
        <v>6</v>
      </c>
      <c r="X4765">
        <v>3</v>
      </c>
      <c r="Y4765">
        <v>150</v>
      </c>
      <c r="Z4765">
        <v>2</v>
      </c>
      <c r="AA4765">
        <v>0</v>
      </c>
      <c r="AC4765">
        <v>3</v>
      </c>
      <c r="AD4765">
        <v>0</v>
      </c>
      <c r="AE4765">
        <v>0</v>
      </c>
      <c r="AF4765">
        <v>0</v>
      </c>
      <c r="AG4765">
        <v>3</v>
      </c>
      <c r="AH4765">
        <v>2</v>
      </c>
      <c r="AI4765">
        <v>1</v>
      </c>
      <c r="AJ4765">
        <v>0</v>
      </c>
      <c r="AK4765">
        <v>1</v>
      </c>
      <c r="AL4765">
        <v>1</v>
      </c>
      <c r="AM4765">
        <v>0</v>
      </c>
      <c r="AN4765">
        <v>0</v>
      </c>
      <c r="AT4765">
        <v>0</v>
      </c>
      <c r="AU4765">
        <v>8</v>
      </c>
      <c r="AV4765">
        <v>400</v>
      </c>
      <c r="AW4765">
        <v>400</v>
      </c>
      <c r="AX4765">
        <v>592</v>
      </c>
      <c r="BA4765">
        <v>1</v>
      </c>
      <c r="BC4765" t="s">
        <v>9640</v>
      </c>
      <c r="BD4765" s="4">
        <v>43283.128472222219</v>
      </c>
      <c r="BE4765" s="4">
        <v>43283.139282407406</v>
      </c>
      <c r="BF4765" s="4">
        <v>43283.139282407406</v>
      </c>
      <c r="BG4765" t="s">
        <v>83</v>
      </c>
      <c r="BH4765" t="s">
        <v>84</v>
      </c>
      <c r="BI4765" t="s">
        <v>85</v>
      </c>
    </row>
    <row r="4766" spans="1:61" x14ac:dyDescent="0.3">
      <c r="A4766" t="str">
        <f>"202100B0100"</f>
        <v>202100B0100</v>
      </c>
      <c r="B4766" t="s">
        <v>9641</v>
      </c>
      <c r="C4766">
        <v>20</v>
      </c>
      <c r="D4766" t="s">
        <v>79</v>
      </c>
      <c r="E4766">
        <v>22</v>
      </c>
      <c r="F4766" t="s">
        <v>9267</v>
      </c>
      <c r="G4766">
        <v>2100</v>
      </c>
      <c r="H4766">
        <v>1</v>
      </c>
      <c r="I4766" t="s">
        <v>81</v>
      </c>
      <c r="J4766">
        <v>0</v>
      </c>
      <c r="K4766">
        <v>2</v>
      </c>
      <c r="L4766">
        <v>2</v>
      </c>
      <c r="M4766">
        <v>293</v>
      </c>
      <c r="N4766">
        <v>486</v>
      </c>
      <c r="O4766">
        <v>2</v>
      </c>
      <c r="P4766">
        <v>484</v>
      </c>
      <c r="Q4766">
        <v>8</v>
      </c>
      <c r="R4766">
        <v>101</v>
      </c>
      <c r="S4766">
        <v>155</v>
      </c>
      <c r="T4766">
        <v>4</v>
      </c>
      <c r="U4766">
        <v>5</v>
      </c>
      <c r="V4766">
        <v>4</v>
      </c>
      <c r="W4766">
        <v>8</v>
      </c>
      <c r="X4766">
        <v>1</v>
      </c>
      <c r="Y4766">
        <v>166</v>
      </c>
      <c r="Z4766">
        <v>1</v>
      </c>
      <c r="AA4766">
        <v>0</v>
      </c>
      <c r="AC4766">
        <v>2</v>
      </c>
      <c r="AD4766">
        <v>6</v>
      </c>
      <c r="AE4766">
        <v>0</v>
      </c>
      <c r="AF4766">
        <v>0</v>
      </c>
      <c r="AG4766">
        <v>0</v>
      </c>
      <c r="AH4766">
        <v>0</v>
      </c>
      <c r="AI4766">
        <v>0</v>
      </c>
      <c r="AJ4766">
        <v>0</v>
      </c>
      <c r="AK4766">
        <v>2</v>
      </c>
      <c r="AL4766">
        <v>0</v>
      </c>
      <c r="AM4766">
        <v>0</v>
      </c>
      <c r="AN4766">
        <v>0</v>
      </c>
      <c r="AT4766">
        <v>2</v>
      </c>
      <c r="AU4766">
        <v>19</v>
      </c>
      <c r="AV4766">
        <v>484</v>
      </c>
      <c r="AW4766">
        <v>484</v>
      </c>
      <c r="AX4766">
        <v>747</v>
      </c>
      <c r="BA4766">
        <v>1</v>
      </c>
      <c r="BC4766" t="s">
        <v>9642</v>
      </c>
      <c r="BD4766" s="4">
        <v>43283.636111111111</v>
      </c>
      <c r="BE4766" s="4">
        <v>43283.644131944442</v>
      </c>
      <c r="BF4766" s="4">
        <v>43283.644131944442</v>
      </c>
      <c r="BG4766" t="s">
        <v>83</v>
      </c>
      <c r="BH4766" t="s">
        <v>84</v>
      </c>
      <c r="BI4766" t="s">
        <v>85</v>
      </c>
    </row>
    <row r="4767" spans="1:61" x14ac:dyDescent="0.3">
      <c r="A4767" t="str">
        <f>"202100C0100"</f>
        <v>202100C0100</v>
      </c>
      <c r="B4767" t="s">
        <v>9643</v>
      </c>
      <c r="C4767">
        <v>20</v>
      </c>
      <c r="D4767" t="s">
        <v>79</v>
      </c>
      <c r="E4767">
        <v>22</v>
      </c>
      <c r="F4767" t="s">
        <v>9267</v>
      </c>
      <c r="G4767">
        <v>2100</v>
      </c>
      <c r="H4767">
        <v>1</v>
      </c>
      <c r="I4767" t="s">
        <v>89</v>
      </c>
      <c r="J4767">
        <v>0</v>
      </c>
      <c r="K4767">
        <v>2</v>
      </c>
      <c r="L4767">
        <v>2</v>
      </c>
      <c r="M4767">
        <v>405</v>
      </c>
      <c r="N4767" t="s">
        <v>100</v>
      </c>
      <c r="O4767">
        <v>0</v>
      </c>
      <c r="P4767" t="s">
        <v>100</v>
      </c>
      <c r="Q4767">
        <v>2</v>
      </c>
      <c r="R4767">
        <v>81</v>
      </c>
      <c r="S4767">
        <v>157</v>
      </c>
      <c r="T4767">
        <v>3</v>
      </c>
      <c r="U4767">
        <v>14</v>
      </c>
      <c r="V4767">
        <v>7</v>
      </c>
      <c r="W4767">
        <v>2</v>
      </c>
      <c r="X4767">
        <v>2</v>
      </c>
      <c r="Y4767">
        <v>160</v>
      </c>
      <c r="Z4767">
        <v>2</v>
      </c>
      <c r="AA4767">
        <v>0</v>
      </c>
      <c r="AC4767">
        <v>3</v>
      </c>
      <c r="AD4767">
        <v>2</v>
      </c>
      <c r="AE4767">
        <v>0</v>
      </c>
      <c r="AF4767">
        <v>0</v>
      </c>
      <c r="AG4767">
        <v>4</v>
      </c>
      <c r="AH4767">
        <v>3</v>
      </c>
      <c r="AI4767">
        <v>0</v>
      </c>
      <c r="AJ4767">
        <v>0</v>
      </c>
      <c r="AK4767">
        <v>3</v>
      </c>
      <c r="AL4767">
        <v>0</v>
      </c>
      <c r="AM4767">
        <v>0</v>
      </c>
      <c r="AN4767">
        <v>0</v>
      </c>
      <c r="AT4767" t="s">
        <v>100</v>
      </c>
      <c r="AU4767" t="s">
        <v>100</v>
      </c>
      <c r="AV4767" t="s">
        <v>100</v>
      </c>
      <c r="AW4767">
        <v>445</v>
      </c>
      <c r="AX4767">
        <v>747</v>
      </c>
      <c r="AZ4767" t="s">
        <v>101</v>
      </c>
      <c r="BA4767">
        <v>1</v>
      </c>
      <c r="BC4767" t="s">
        <v>9644</v>
      </c>
      <c r="BD4767" s="4">
        <v>43283.294444444444</v>
      </c>
      <c r="BE4767" s="4">
        <v>43283.323819444442</v>
      </c>
      <c r="BF4767" s="4">
        <v>43283.323819444442</v>
      </c>
      <c r="BG4767" t="s">
        <v>83</v>
      </c>
      <c r="BH4767" t="s">
        <v>84</v>
      </c>
      <c r="BI4767" t="s">
        <v>85</v>
      </c>
    </row>
    <row r="4768" spans="1:61" x14ac:dyDescent="0.3">
      <c r="A4768" t="str">
        <f>"202100C0200"</f>
        <v>202100C0200</v>
      </c>
      <c r="B4768" t="s">
        <v>9645</v>
      </c>
      <c r="C4768">
        <v>20</v>
      </c>
      <c r="D4768" t="s">
        <v>79</v>
      </c>
      <c r="E4768">
        <v>22</v>
      </c>
      <c r="F4768" t="s">
        <v>9267</v>
      </c>
      <c r="G4768">
        <v>2100</v>
      </c>
      <c r="H4768">
        <v>2</v>
      </c>
      <c r="I4768" t="s">
        <v>89</v>
      </c>
      <c r="J4768">
        <v>0</v>
      </c>
      <c r="K4768">
        <v>2</v>
      </c>
      <c r="L4768">
        <v>2</v>
      </c>
      <c r="M4768">
        <v>284</v>
      </c>
      <c r="N4768">
        <v>485</v>
      </c>
      <c r="O4768">
        <v>4</v>
      </c>
      <c r="P4768">
        <v>487</v>
      </c>
      <c r="Q4768">
        <v>14</v>
      </c>
      <c r="R4768">
        <v>89</v>
      </c>
      <c r="S4768">
        <v>135</v>
      </c>
      <c r="T4768">
        <v>3</v>
      </c>
      <c r="U4768">
        <v>19</v>
      </c>
      <c r="V4768">
        <v>1</v>
      </c>
      <c r="W4768">
        <v>1</v>
      </c>
      <c r="X4768">
        <v>8</v>
      </c>
      <c r="Y4768">
        <v>181</v>
      </c>
      <c r="Z4768">
        <v>3</v>
      </c>
      <c r="AA4768">
        <v>0</v>
      </c>
      <c r="AC4768">
        <v>1</v>
      </c>
      <c r="AD4768">
        <v>1</v>
      </c>
      <c r="AE4768">
        <v>0</v>
      </c>
      <c r="AF4768">
        <v>0</v>
      </c>
      <c r="AG4768">
        <v>1</v>
      </c>
      <c r="AH4768">
        <v>1</v>
      </c>
      <c r="AI4768">
        <v>1</v>
      </c>
      <c r="AJ4768">
        <v>0</v>
      </c>
      <c r="AK4768">
        <v>4</v>
      </c>
      <c r="AL4768">
        <v>1</v>
      </c>
      <c r="AM4768">
        <v>2</v>
      </c>
      <c r="AN4768">
        <v>1</v>
      </c>
      <c r="AT4768">
        <v>0</v>
      </c>
      <c r="AU4768">
        <v>20</v>
      </c>
      <c r="AV4768">
        <v>487</v>
      </c>
      <c r="AW4768">
        <v>487</v>
      </c>
      <c r="AX4768">
        <v>747</v>
      </c>
      <c r="BA4768">
        <v>1</v>
      </c>
      <c r="BC4768" t="s">
        <v>9646</v>
      </c>
      <c r="BD4768" s="4">
        <v>43283.293749999997</v>
      </c>
      <c r="BE4768" s="4">
        <v>43283.320590277777</v>
      </c>
      <c r="BF4768" s="4">
        <v>43283.320590277777</v>
      </c>
      <c r="BG4768" t="s">
        <v>83</v>
      </c>
      <c r="BH4768" t="s">
        <v>84</v>
      </c>
      <c r="BI4768" t="s">
        <v>85</v>
      </c>
    </row>
    <row r="4769" spans="1:61" x14ac:dyDescent="0.3">
      <c r="A4769" t="str">
        <f>"202100C0300"</f>
        <v>202100C0300</v>
      </c>
      <c r="B4769" t="s">
        <v>9647</v>
      </c>
      <c r="C4769">
        <v>20</v>
      </c>
      <c r="D4769" t="s">
        <v>79</v>
      </c>
      <c r="E4769">
        <v>22</v>
      </c>
      <c r="F4769" t="s">
        <v>9267</v>
      </c>
      <c r="G4769">
        <v>2100</v>
      </c>
      <c r="H4769">
        <v>3</v>
      </c>
      <c r="I4769" t="s">
        <v>89</v>
      </c>
      <c r="J4769">
        <v>0</v>
      </c>
      <c r="K4769">
        <v>2</v>
      </c>
      <c r="L4769">
        <v>2</v>
      </c>
      <c r="M4769">
        <v>308</v>
      </c>
      <c r="N4769">
        <v>461</v>
      </c>
      <c r="O4769">
        <v>4</v>
      </c>
      <c r="P4769">
        <v>462</v>
      </c>
      <c r="Q4769">
        <v>5</v>
      </c>
      <c r="R4769">
        <v>94</v>
      </c>
      <c r="S4769">
        <v>143</v>
      </c>
      <c r="T4769">
        <v>8</v>
      </c>
      <c r="U4769">
        <v>5</v>
      </c>
      <c r="V4769">
        <v>4</v>
      </c>
      <c r="W4769">
        <v>5</v>
      </c>
      <c r="X4769">
        <v>1</v>
      </c>
      <c r="Y4769">
        <v>171</v>
      </c>
      <c r="Z4769">
        <v>1</v>
      </c>
      <c r="AA4769">
        <v>0</v>
      </c>
      <c r="AC4769">
        <v>1</v>
      </c>
      <c r="AD4769">
        <v>2</v>
      </c>
      <c r="AE4769">
        <v>0</v>
      </c>
      <c r="AF4769">
        <v>1</v>
      </c>
      <c r="AG4769">
        <v>1</v>
      </c>
      <c r="AH4769">
        <v>1</v>
      </c>
      <c r="AI4769">
        <v>0</v>
      </c>
      <c r="AJ4769">
        <v>0</v>
      </c>
      <c r="AK4769">
        <v>3</v>
      </c>
      <c r="AL4769">
        <v>1</v>
      </c>
      <c r="AM4769">
        <v>0</v>
      </c>
      <c r="AN4769">
        <v>0</v>
      </c>
      <c r="AT4769">
        <v>0</v>
      </c>
      <c r="AU4769">
        <v>15</v>
      </c>
      <c r="AV4769">
        <v>462</v>
      </c>
      <c r="AW4769">
        <v>462</v>
      </c>
      <c r="AX4769">
        <v>747</v>
      </c>
      <c r="BA4769">
        <v>1</v>
      </c>
      <c r="BC4769" t="s">
        <v>9648</v>
      </c>
      <c r="BD4769" s="4">
        <v>43283.300694444442</v>
      </c>
      <c r="BE4769" s="4">
        <v>43283.33222222222</v>
      </c>
      <c r="BF4769" s="4">
        <v>43283.33222222222</v>
      </c>
      <c r="BG4769" t="s">
        <v>83</v>
      </c>
      <c r="BH4769" t="s">
        <v>84</v>
      </c>
      <c r="BI4769" t="s">
        <v>85</v>
      </c>
    </row>
    <row r="4770" spans="1:61" x14ac:dyDescent="0.3">
      <c r="A4770" t="str">
        <f>"202100C0400"</f>
        <v>202100C0400</v>
      </c>
      <c r="B4770" t="s">
        <v>9649</v>
      </c>
      <c r="C4770">
        <v>20</v>
      </c>
      <c r="D4770" t="s">
        <v>79</v>
      </c>
      <c r="E4770">
        <v>22</v>
      </c>
      <c r="F4770" t="s">
        <v>9267</v>
      </c>
      <c r="G4770">
        <v>2100</v>
      </c>
      <c r="H4770">
        <v>4</v>
      </c>
      <c r="I4770" t="s">
        <v>89</v>
      </c>
      <c r="J4770">
        <v>0</v>
      </c>
      <c r="K4770">
        <v>2</v>
      </c>
      <c r="L4770">
        <v>2</v>
      </c>
      <c r="M4770">
        <v>291</v>
      </c>
      <c r="N4770">
        <v>478</v>
      </c>
      <c r="O4770">
        <v>6</v>
      </c>
      <c r="P4770">
        <v>475</v>
      </c>
      <c r="Q4770">
        <v>8</v>
      </c>
      <c r="R4770">
        <v>113</v>
      </c>
      <c r="S4770">
        <v>124</v>
      </c>
      <c r="T4770">
        <v>2</v>
      </c>
      <c r="U4770">
        <v>8</v>
      </c>
      <c r="V4770">
        <v>3</v>
      </c>
      <c r="W4770">
        <v>3</v>
      </c>
      <c r="X4770">
        <v>5</v>
      </c>
      <c r="Y4770">
        <v>157</v>
      </c>
      <c r="Z4770">
        <v>2</v>
      </c>
      <c r="AA4770">
        <v>3</v>
      </c>
      <c r="AC4770">
        <v>3</v>
      </c>
      <c r="AD4770">
        <v>0</v>
      </c>
      <c r="AE4770">
        <v>0</v>
      </c>
      <c r="AF4770">
        <v>1</v>
      </c>
      <c r="AG4770">
        <v>3</v>
      </c>
      <c r="AH4770">
        <v>1</v>
      </c>
      <c r="AI4770">
        <v>0</v>
      </c>
      <c r="AJ4770">
        <v>0</v>
      </c>
      <c r="AK4770">
        <v>0</v>
      </c>
      <c r="AL4770">
        <v>2</v>
      </c>
      <c r="AM4770">
        <v>1</v>
      </c>
      <c r="AN4770">
        <v>2</v>
      </c>
      <c r="AT4770">
        <v>0</v>
      </c>
      <c r="AU4770">
        <v>34</v>
      </c>
      <c r="AV4770">
        <v>475</v>
      </c>
      <c r="AW4770">
        <v>475</v>
      </c>
      <c r="AX4770">
        <v>747</v>
      </c>
      <c r="BA4770">
        <v>1</v>
      </c>
      <c r="BC4770" t="s">
        <v>9650</v>
      </c>
      <c r="BD4770" s="4">
        <v>43283.299305555556</v>
      </c>
      <c r="BE4770" s="4">
        <v>43283.328113425923</v>
      </c>
      <c r="BF4770" s="4">
        <v>43283.328113425923</v>
      </c>
      <c r="BG4770" t="s">
        <v>83</v>
      </c>
      <c r="BH4770" t="s">
        <v>84</v>
      </c>
      <c r="BI4770" t="s">
        <v>85</v>
      </c>
    </row>
    <row r="4771" spans="1:61" x14ac:dyDescent="0.3">
      <c r="A4771" t="str">
        <f>"202101B0100"</f>
        <v>202101B0100</v>
      </c>
      <c r="B4771" t="s">
        <v>9651</v>
      </c>
      <c r="C4771">
        <v>20</v>
      </c>
      <c r="D4771" t="s">
        <v>79</v>
      </c>
      <c r="E4771">
        <v>22</v>
      </c>
      <c r="F4771" t="s">
        <v>9267</v>
      </c>
      <c r="G4771">
        <v>2101</v>
      </c>
      <c r="H4771">
        <v>1</v>
      </c>
      <c r="I4771" t="s">
        <v>81</v>
      </c>
      <c r="J4771">
        <v>0</v>
      </c>
      <c r="K4771">
        <v>2</v>
      </c>
      <c r="L4771">
        <v>2</v>
      </c>
      <c r="M4771">
        <v>169</v>
      </c>
      <c r="N4771">
        <v>278</v>
      </c>
      <c r="O4771">
        <v>0</v>
      </c>
      <c r="P4771">
        <v>283</v>
      </c>
      <c r="Q4771">
        <v>7</v>
      </c>
      <c r="R4771">
        <v>74</v>
      </c>
      <c r="S4771">
        <v>84</v>
      </c>
      <c r="T4771">
        <v>6</v>
      </c>
      <c r="U4771">
        <v>5</v>
      </c>
      <c r="V4771">
        <v>5</v>
      </c>
      <c r="W4771">
        <v>2</v>
      </c>
      <c r="X4771">
        <v>6</v>
      </c>
      <c r="Y4771">
        <v>66</v>
      </c>
      <c r="Z4771">
        <v>5</v>
      </c>
      <c r="AA4771">
        <v>1</v>
      </c>
      <c r="AC4771">
        <v>1</v>
      </c>
      <c r="AD4771">
        <v>0</v>
      </c>
      <c r="AE4771">
        <v>0</v>
      </c>
      <c r="AF4771">
        <v>0</v>
      </c>
      <c r="AG4771">
        <v>0</v>
      </c>
      <c r="AH4771">
        <v>1</v>
      </c>
      <c r="AI4771">
        <v>0</v>
      </c>
      <c r="AJ4771">
        <v>0</v>
      </c>
      <c r="AK4771">
        <v>1</v>
      </c>
      <c r="AL4771">
        <v>1</v>
      </c>
      <c r="AM4771">
        <v>0</v>
      </c>
      <c r="AN4771">
        <v>1</v>
      </c>
      <c r="AT4771">
        <v>0</v>
      </c>
      <c r="AU4771">
        <v>14</v>
      </c>
      <c r="AV4771">
        <v>283</v>
      </c>
      <c r="AW4771">
        <v>280</v>
      </c>
      <c r="AX4771">
        <v>426</v>
      </c>
      <c r="BA4771">
        <v>1</v>
      </c>
      <c r="BC4771" t="s">
        <v>9652</v>
      </c>
      <c r="BD4771" s="4">
        <v>43283.347916666666</v>
      </c>
      <c r="BE4771" s="4">
        <v>43283.360763888886</v>
      </c>
      <c r="BF4771" s="4">
        <v>43283.360763888886</v>
      </c>
      <c r="BG4771" t="s">
        <v>83</v>
      </c>
      <c r="BH4771" t="s">
        <v>84</v>
      </c>
      <c r="BI4771" t="s">
        <v>85</v>
      </c>
    </row>
    <row r="4772" spans="1:61" x14ac:dyDescent="0.3">
      <c r="A4772" t="str">
        <f>"202101C0100"</f>
        <v>202101C0100</v>
      </c>
      <c r="B4772" t="s">
        <v>9653</v>
      </c>
      <c r="C4772">
        <v>20</v>
      </c>
      <c r="D4772" t="s">
        <v>79</v>
      </c>
      <c r="E4772">
        <v>22</v>
      </c>
      <c r="F4772" t="s">
        <v>9267</v>
      </c>
      <c r="G4772">
        <v>2101</v>
      </c>
      <c r="H4772">
        <v>1</v>
      </c>
      <c r="I4772" t="s">
        <v>89</v>
      </c>
      <c r="J4772">
        <v>0</v>
      </c>
      <c r="K4772">
        <v>2</v>
      </c>
      <c r="L4772">
        <v>2</v>
      </c>
      <c r="M4772">
        <v>170</v>
      </c>
      <c r="N4772" t="s">
        <v>100</v>
      </c>
      <c r="O4772">
        <v>0</v>
      </c>
      <c r="P4772">
        <v>275</v>
      </c>
      <c r="Q4772">
        <v>14</v>
      </c>
      <c r="R4772">
        <v>64</v>
      </c>
      <c r="S4772">
        <v>88</v>
      </c>
      <c r="T4772">
        <v>5</v>
      </c>
      <c r="U4772">
        <v>6</v>
      </c>
      <c r="V4772">
        <v>3</v>
      </c>
      <c r="W4772">
        <v>1</v>
      </c>
      <c r="X4772">
        <v>2</v>
      </c>
      <c r="Y4772">
        <v>69</v>
      </c>
      <c r="Z4772">
        <v>3</v>
      </c>
      <c r="AA4772">
        <v>1</v>
      </c>
      <c r="AC4772">
        <v>0</v>
      </c>
      <c r="AD4772">
        <v>1</v>
      </c>
      <c r="AE4772">
        <v>0</v>
      </c>
      <c r="AF4772">
        <v>0</v>
      </c>
      <c r="AG4772">
        <v>1</v>
      </c>
      <c r="AH4772">
        <v>1</v>
      </c>
      <c r="AI4772">
        <v>1</v>
      </c>
      <c r="AJ4772">
        <v>0</v>
      </c>
      <c r="AK4772">
        <v>0</v>
      </c>
      <c r="AL4772">
        <v>1</v>
      </c>
      <c r="AM4772">
        <v>0</v>
      </c>
      <c r="AN4772">
        <v>0</v>
      </c>
      <c r="AT4772">
        <v>0</v>
      </c>
      <c r="AU4772">
        <v>14</v>
      </c>
      <c r="AV4772">
        <v>275</v>
      </c>
      <c r="AW4772">
        <v>275</v>
      </c>
      <c r="AX4772">
        <v>426</v>
      </c>
      <c r="BA4772">
        <v>1</v>
      </c>
      <c r="BC4772" t="s">
        <v>9654</v>
      </c>
      <c r="BD4772" s="4">
        <v>43283.338888888888</v>
      </c>
      <c r="BE4772" s="4">
        <v>43283.362280092595</v>
      </c>
      <c r="BF4772" s="4">
        <v>43283.362280092595</v>
      </c>
      <c r="BG4772" t="s">
        <v>83</v>
      </c>
      <c r="BH4772" t="s">
        <v>84</v>
      </c>
      <c r="BI4772" t="s">
        <v>85</v>
      </c>
    </row>
    <row r="4773" spans="1:61" x14ac:dyDescent="0.3">
      <c r="A4773" t="str">
        <f>"202102B0100"</f>
        <v>202102B0100</v>
      </c>
      <c r="B4773" t="s">
        <v>9655</v>
      </c>
      <c r="C4773">
        <v>20</v>
      </c>
      <c r="D4773" t="s">
        <v>79</v>
      </c>
      <c r="E4773">
        <v>22</v>
      </c>
      <c r="F4773" t="s">
        <v>9267</v>
      </c>
      <c r="G4773">
        <v>2102</v>
      </c>
      <c r="H4773">
        <v>1</v>
      </c>
      <c r="I4773" t="s">
        <v>81</v>
      </c>
      <c r="J4773">
        <v>0</v>
      </c>
      <c r="K4773">
        <v>2</v>
      </c>
      <c r="L4773">
        <v>2</v>
      </c>
      <c r="AX4773">
        <v>417</v>
      </c>
      <c r="AZ4773" t="s">
        <v>156</v>
      </c>
      <c r="BA4773">
        <v>0</v>
      </c>
      <c r="BC4773" t="s">
        <v>9656</v>
      </c>
      <c r="BD4773" s="4">
        <v>43283.738194444442</v>
      </c>
      <c r="BE4773" s="4">
        <v>43283.742476851854</v>
      </c>
      <c r="BF4773" s="4">
        <v>43283.742476851854</v>
      </c>
      <c r="BG4773" t="s">
        <v>83</v>
      </c>
      <c r="BH4773" t="s">
        <v>84</v>
      </c>
      <c r="BI4773" t="s">
        <v>85</v>
      </c>
    </row>
    <row r="4774" spans="1:61" x14ac:dyDescent="0.3">
      <c r="A4774" t="str">
        <f>"202102C0100"</f>
        <v>202102C0100</v>
      </c>
      <c r="B4774" t="s">
        <v>9657</v>
      </c>
      <c r="C4774">
        <v>20</v>
      </c>
      <c r="D4774" t="s">
        <v>79</v>
      </c>
      <c r="E4774">
        <v>22</v>
      </c>
      <c r="F4774" t="s">
        <v>9267</v>
      </c>
      <c r="G4774">
        <v>2102</v>
      </c>
      <c r="H4774">
        <v>1</v>
      </c>
      <c r="I4774" t="s">
        <v>89</v>
      </c>
      <c r="J4774">
        <v>0</v>
      </c>
      <c r="K4774">
        <v>2</v>
      </c>
      <c r="L4774">
        <v>2</v>
      </c>
      <c r="AX4774">
        <v>417</v>
      </c>
      <c r="AZ4774" t="s">
        <v>156</v>
      </c>
      <c r="BA4774">
        <v>0</v>
      </c>
      <c r="BC4774" t="s">
        <v>9658</v>
      </c>
      <c r="BD4774" s="4">
        <v>43283.738194444442</v>
      </c>
      <c r="BE4774" s="4">
        <v>43283.742048611108</v>
      </c>
      <c r="BF4774" s="4">
        <v>43283.742048611108</v>
      </c>
      <c r="BG4774" t="s">
        <v>83</v>
      </c>
      <c r="BH4774" t="s">
        <v>84</v>
      </c>
      <c r="BI4774" t="s">
        <v>85</v>
      </c>
    </row>
    <row r="4775" spans="1:61" x14ac:dyDescent="0.3">
      <c r="A4775" t="str">
        <f>"202103B0100"</f>
        <v>202103B0100</v>
      </c>
      <c r="B4775" t="s">
        <v>9659</v>
      </c>
      <c r="C4775">
        <v>20</v>
      </c>
      <c r="D4775" t="s">
        <v>79</v>
      </c>
      <c r="E4775">
        <v>22</v>
      </c>
      <c r="F4775" t="s">
        <v>9267</v>
      </c>
      <c r="G4775">
        <v>2103</v>
      </c>
      <c r="H4775">
        <v>1</v>
      </c>
      <c r="I4775" t="s">
        <v>81</v>
      </c>
      <c r="J4775">
        <v>0</v>
      </c>
      <c r="K4775">
        <v>2</v>
      </c>
      <c r="L4775">
        <v>2</v>
      </c>
      <c r="M4775">
        <v>228</v>
      </c>
      <c r="N4775">
        <v>524</v>
      </c>
      <c r="O4775">
        <v>0</v>
      </c>
      <c r="P4775">
        <v>525</v>
      </c>
      <c r="Q4775">
        <v>3</v>
      </c>
      <c r="R4775">
        <v>242</v>
      </c>
      <c r="S4775">
        <v>138</v>
      </c>
      <c r="T4775">
        <v>5</v>
      </c>
      <c r="U4775">
        <v>6</v>
      </c>
      <c r="V4775">
        <v>2</v>
      </c>
      <c r="W4775">
        <v>3</v>
      </c>
      <c r="X4775">
        <v>2</v>
      </c>
      <c r="Y4775">
        <v>65</v>
      </c>
      <c r="Z4775">
        <v>6</v>
      </c>
      <c r="AA4775">
        <v>0</v>
      </c>
      <c r="AC4775">
        <v>3</v>
      </c>
      <c r="AD4775">
        <v>1</v>
      </c>
      <c r="AE4775">
        <v>0</v>
      </c>
      <c r="AF4775">
        <v>1</v>
      </c>
      <c r="AG4775">
        <v>1</v>
      </c>
      <c r="AH4775">
        <v>2</v>
      </c>
      <c r="AI4775">
        <v>0</v>
      </c>
      <c r="AJ4775">
        <v>0</v>
      </c>
      <c r="AK4775">
        <v>3</v>
      </c>
      <c r="AL4775">
        <v>2</v>
      </c>
      <c r="AM4775">
        <v>0</v>
      </c>
      <c r="AN4775">
        <v>2</v>
      </c>
      <c r="AT4775">
        <v>2</v>
      </c>
      <c r="AU4775">
        <v>36</v>
      </c>
      <c r="AV4775">
        <v>525</v>
      </c>
      <c r="AW4775">
        <v>525</v>
      </c>
      <c r="AX4775">
        <v>731</v>
      </c>
      <c r="BA4775">
        <v>1</v>
      </c>
      <c r="BC4775" t="s">
        <v>9660</v>
      </c>
      <c r="BD4775" s="4">
        <v>43283.120138888888</v>
      </c>
      <c r="BE4775" s="4">
        <v>43283.129826388889</v>
      </c>
      <c r="BF4775" s="4">
        <v>43283.129826388889</v>
      </c>
      <c r="BG4775" t="s">
        <v>83</v>
      </c>
      <c r="BH4775" t="s">
        <v>84</v>
      </c>
      <c r="BI4775" t="s">
        <v>85</v>
      </c>
    </row>
    <row r="4776" spans="1:61" x14ac:dyDescent="0.3">
      <c r="A4776" t="str">
        <f>"202103E0100"</f>
        <v>202103E0100</v>
      </c>
      <c r="B4776" s="2" t="s">
        <v>9661</v>
      </c>
      <c r="C4776">
        <v>20</v>
      </c>
      <c r="D4776" t="s">
        <v>79</v>
      </c>
      <c r="E4776">
        <v>22</v>
      </c>
      <c r="F4776" t="s">
        <v>9267</v>
      </c>
      <c r="G4776">
        <v>2103</v>
      </c>
      <c r="H4776">
        <v>1</v>
      </c>
      <c r="I4776" t="s">
        <v>145</v>
      </c>
      <c r="J4776">
        <v>0</v>
      </c>
      <c r="K4776">
        <v>2</v>
      </c>
      <c r="L4776">
        <v>2</v>
      </c>
      <c r="M4776">
        <v>217</v>
      </c>
      <c r="N4776">
        <v>454</v>
      </c>
      <c r="O4776">
        <v>2</v>
      </c>
      <c r="P4776">
        <v>454</v>
      </c>
      <c r="Q4776">
        <v>8</v>
      </c>
      <c r="R4776">
        <v>146</v>
      </c>
      <c r="S4776">
        <v>125</v>
      </c>
      <c r="T4776">
        <v>5</v>
      </c>
      <c r="U4776">
        <v>9</v>
      </c>
      <c r="V4776">
        <v>4</v>
      </c>
      <c r="W4776">
        <v>4</v>
      </c>
      <c r="X4776">
        <v>7</v>
      </c>
      <c r="Y4776">
        <v>102</v>
      </c>
      <c r="Z4776">
        <v>5</v>
      </c>
      <c r="AA4776">
        <v>3</v>
      </c>
      <c r="AC4776">
        <v>4</v>
      </c>
      <c r="AD4776">
        <v>2</v>
      </c>
      <c r="AE4776">
        <v>0</v>
      </c>
      <c r="AF4776">
        <v>4</v>
      </c>
      <c r="AG4776">
        <v>0</v>
      </c>
      <c r="AH4776">
        <v>3</v>
      </c>
      <c r="AI4776">
        <v>0</v>
      </c>
      <c r="AJ4776">
        <v>0</v>
      </c>
      <c r="AK4776">
        <v>5</v>
      </c>
      <c r="AL4776">
        <v>1</v>
      </c>
      <c r="AM4776">
        <v>0</v>
      </c>
      <c r="AN4776">
        <v>0</v>
      </c>
      <c r="AT4776">
        <v>0</v>
      </c>
      <c r="AU4776">
        <v>17</v>
      </c>
      <c r="AV4776">
        <v>454</v>
      </c>
      <c r="AW4776">
        <v>454</v>
      </c>
      <c r="AX4776">
        <v>649</v>
      </c>
      <c r="BA4776">
        <v>1</v>
      </c>
      <c r="BC4776" t="s">
        <v>9662</v>
      </c>
      <c r="BD4776" s="4">
        <v>43283.287499999999</v>
      </c>
      <c r="BE4776" s="4">
        <v>43283.316412037035</v>
      </c>
      <c r="BF4776" s="4">
        <v>43283.316412037035</v>
      </c>
      <c r="BG4776" t="s">
        <v>83</v>
      </c>
      <c r="BH4776" t="s">
        <v>84</v>
      </c>
      <c r="BI4776" t="s">
        <v>85</v>
      </c>
    </row>
    <row r="4777" spans="1:61" x14ac:dyDescent="0.3">
      <c r="A4777" t="str">
        <f>"202104B0100"</f>
        <v>202104B0100</v>
      </c>
      <c r="B4777" t="s">
        <v>9663</v>
      </c>
      <c r="C4777">
        <v>20</v>
      </c>
      <c r="D4777" t="s">
        <v>79</v>
      </c>
      <c r="E4777">
        <v>22</v>
      </c>
      <c r="F4777" t="s">
        <v>9267</v>
      </c>
      <c r="G4777">
        <v>2104</v>
      </c>
      <c r="H4777">
        <v>1</v>
      </c>
      <c r="I4777" t="s">
        <v>81</v>
      </c>
      <c r="J4777">
        <v>0</v>
      </c>
      <c r="K4777">
        <v>2</v>
      </c>
      <c r="L4777">
        <v>2</v>
      </c>
      <c r="M4777">
        <v>271</v>
      </c>
      <c r="N4777">
        <v>462</v>
      </c>
      <c r="O4777">
        <v>0</v>
      </c>
      <c r="P4777">
        <v>462</v>
      </c>
      <c r="Q4777">
        <v>13</v>
      </c>
      <c r="R4777">
        <v>116</v>
      </c>
      <c r="S4777">
        <v>118</v>
      </c>
      <c r="T4777">
        <v>0</v>
      </c>
      <c r="U4777">
        <v>9</v>
      </c>
      <c r="V4777">
        <v>3</v>
      </c>
      <c r="W4777">
        <v>2</v>
      </c>
      <c r="X4777">
        <v>4</v>
      </c>
      <c r="Y4777">
        <v>148</v>
      </c>
      <c r="Z4777">
        <v>13</v>
      </c>
      <c r="AA4777">
        <v>0</v>
      </c>
      <c r="AC4777">
        <v>1</v>
      </c>
      <c r="AD4777">
        <v>3</v>
      </c>
      <c r="AE4777">
        <v>2</v>
      </c>
      <c r="AF4777">
        <v>2</v>
      </c>
      <c r="AG4777">
        <v>0</v>
      </c>
      <c r="AH4777">
        <v>1</v>
      </c>
      <c r="AI4777">
        <v>1</v>
      </c>
      <c r="AJ4777">
        <v>0</v>
      </c>
      <c r="AK4777">
        <v>2</v>
      </c>
      <c r="AL4777">
        <v>0</v>
      </c>
      <c r="AM4777">
        <v>0</v>
      </c>
      <c r="AN4777">
        <v>1</v>
      </c>
      <c r="AT4777">
        <v>0</v>
      </c>
      <c r="AU4777">
        <v>23</v>
      </c>
      <c r="AV4777">
        <v>462</v>
      </c>
      <c r="AW4777">
        <v>462</v>
      </c>
      <c r="AX4777">
        <v>711</v>
      </c>
      <c r="BA4777">
        <v>1</v>
      </c>
      <c r="BC4777" t="s">
        <v>9664</v>
      </c>
      <c r="BD4777" s="4">
        <v>43283.145833333336</v>
      </c>
      <c r="BE4777" s="4">
        <v>43283.157997685186</v>
      </c>
      <c r="BF4777" s="4">
        <v>43283.157997685186</v>
      </c>
      <c r="BG4777" t="s">
        <v>83</v>
      </c>
      <c r="BH4777" t="s">
        <v>84</v>
      </c>
      <c r="BI4777" t="s">
        <v>85</v>
      </c>
    </row>
    <row r="4778" spans="1:61" x14ac:dyDescent="0.3">
      <c r="A4778" t="str">
        <f>"202104C0100"</f>
        <v>202104C0100</v>
      </c>
      <c r="B4778" t="s">
        <v>9665</v>
      </c>
      <c r="C4778">
        <v>20</v>
      </c>
      <c r="D4778" t="s">
        <v>79</v>
      </c>
      <c r="E4778">
        <v>22</v>
      </c>
      <c r="F4778" t="s">
        <v>9267</v>
      </c>
      <c r="G4778">
        <v>2104</v>
      </c>
      <c r="H4778">
        <v>1</v>
      </c>
      <c r="I4778" t="s">
        <v>89</v>
      </c>
      <c r="J4778">
        <v>0</v>
      </c>
      <c r="K4778">
        <v>2</v>
      </c>
      <c r="L4778">
        <v>2</v>
      </c>
      <c r="M4778">
        <v>235</v>
      </c>
      <c r="N4778">
        <v>499</v>
      </c>
      <c r="O4778">
        <v>0</v>
      </c>
      <c r="P4778">
        <v>499</v>
      </c>
      <c r="Q4778">
        <v>13</v>
      </c>
      <c r="R4778">
        <v>146</v>
      </c>
      <c r="S4778">
        <v>116</v>
      </c>
      <c r="T4778">
        <v>5</v>
      </c>
      <c r="U4778">
        <v>7</v>
      </c>
      <c r="V4778">
        <v>6</v>
      </c>
      <c r="W4778">
        <v>2</v>
      </c>
      <c r="X4778">
        <v>4</v>
      </c>
      <c r="Y4778">
        <v>145</v>
      </c>
      <c r="Z4778">
        <v>8</v>
      </c>
      <c r="AA4778">
        <v>0</v>
      </c>
      <c r="AC4778">
        <v>5</v>
      </c>
      <c r="AD4778">
        <v>0</v>
      </c>
      <c r="AE4778">
        <v>0</v>
      </c>
      <c r="AF4778">
        <v>0</v>
      </c>
      <c r="AG4778">
        <v>2</v>
      </c>
      <c r="AH4778">
        <v>1</v>
      </c>
      <c r="AI4778">
        <v>0</v>
      </c>
      <c r="AJ4778">
        <v>0</v>
      </c>
      <c r="AK4778">
        <v>4</v>
      </c>
      <c r="AL4778">
        <v>0</v>
      </c>
      <c r="AM4778">
        <v>1</v>
      </c>
      <c r="AN4778">
        <v>1</v>
      </c>
      <c r="AT4778">
        <v>0</v>
      </c>
      <c r="AU4778">
        <v>33</v>
      </c>
      <c r="AV4778">
        <v>499</v>
      </c>
      <c r="AW4778">
        <v>499</v>
      </c>
      <c r="AX4778">
        <v>711</v>
      </c>
      <c r="BA4778">
        <v>1</v>
      </c>
      <c r="BC4778" t="s">
        <v>9666</v>
      </c>
      <c r="BD4778" s="4">
        <v>43283.145138888889</v>
      </c>
      <c r="BE4778" s="4">
        <v>43283.154224537036</v>
      </c>
      <c r="BF4778" s="4">
        <v>43283.154224537036</v>
      </c>
      <c r="BG4778" t="s">
        <v>83</v>
      </c>
      <c r="BH4778" t="s">
        <v>84</v>
      </c>
      <c r="BI4778" t="s">
        <v>85</v>
      </c>
    </row>
    <row r="4779" spans="1:61" x14ac:dyDescent="0.3">
      <c r="A4779" t="str">
        <f>"202105B0100"</f>
        <v>202105B0100</v>
      </c>
      <c r="B4779" t="s">
        <v>9667</v>
      </c>
      <c r="C4779">
        <v>20</v>
      </c>
      <c r="D4779" t="s">
        <v>79</v>
      </c>
      <c r="E4779">
        <v>22</v>
      </c>
      <c r="F4779" t="s">
        <v>9267</v>
      </c>
      <c r="G4779">
        <v>2105</v>
      </c>
      <c r="H4779">
        <v>1</v>
      </c>
      <c r="I4779" t="s">
        <v>81</v>
      </c>
      <c r="J4779">
        <v>0</v>
      </c>
      <c r="K4779">
        <v>2</v>
      </c>
      <c r="L4779">
        <v>2</v>
      </c>
      <c r="M4779">
        <v>235</v>
      </c>
      <c r="N4779">
        <v>433</v>
      </c>
      <c r="O4779">
        <v>0</v>
      </c>
      <c r="P4779">
        <v>433</v>
      </c>
      <c r="Q4779">
        <v>0</v>
      </c>
      <c r="R4779">
        <v>85</v>
      </c>
      <c r="S4779">
        <v>50</v>
      </c>
      <c r="T4779">
        <v>1</v>
      </c>
      <c r="U4779">
        <v>20</v>
      </c>
      <c r="V4779">
        <v>5</v>
      </c>
      <c r="W4779">
        <v>3</v>
      </c>
      <c r="X4779">
        <v>3</v>
      </c>
      <c r="Y4779">
        <v>231</v>
      </c>
      <c r="Z4779">
        <v>3</v>
      </c>
      <c r="AA4779">
        <v>2</v>
      </c>
      <c r="AC4779">
        <v>0</v>
      </c>
      <c r="AD4779">
        <v>1</v>
      </c>
      <c r="AE4779">
        <v>0</v>
      </c>
      <c r="AF4779">
        <v>0</v>
      </c>
      <c r="AG4779">
        <v>1</v>
      </c>
      <c r="AH4779">
        <v>0</v>
      </c>
      <c r="AI4779">
        <v>0</v>
      </c>
      <c r="AJ4779">
        <v>0</v>
      </c>
      <c r="AK4779">
        <v>4</v>
      </c>
      <c r="AL4779">
        <v>4</v>
      </c>
      <c r="AM4779">
        <v>0</v>
      </c>
      <c r="AN4779">
        <v>1</v>
      </c>
      <c r="AT4779">
        <v>0</v>
      </c>
      <c r="AU4779">
        <v>19</v>
      </c>
      <c r="AV4779">
        <v>433</v>
      </c>
      <c r="AW4779">
        <v>433</v>
      </c>
      <c r="AX4779">
        <v>647</v>
      </c>
      <c r="BA4779">
        <v>1</v>
      </c>
      <c r="BC4779" t="s">
        <v>9668</v>
      </c>
      <c r="BD4779" s="4">
        <v>43283.161805555559</v>
      </c>
      <c r="BE4779" s="4">
        <v>43283.17900462963</v>
      </c>
      <c r="BF4779" s="4">
        <v>43283.17900462963</v>
      </c>
      <c r="BG4779" t="s">
        <v>83</v>
      </c>
      <c r="BH4779" t="s">
        <v>84</v>
      </c>
      <c r="BI4779" t="s">
        <v>85</v>
      </c>
    </row>
    <row r="4780" spans="1:61" x14ac:dyDescent="0.3">
      <c r="A4780" t="str">
        <f>"202105C0100"</f>
        <v>202105C0100</v>
      </c>
      <c r="B4780" t="s">
        <v>9669</v>
      </c>
      <c r="C4780">
        <v>20</v>
      </c>
      <c r="D4780" t="s">
        <v>79</v>
      </c>
      <c r="E4780">
        <v>22</v>
      </c>
      <c r="F4780" t="s">
        <v>9267</v>
      </c>
      <c r="G4780">
        <v>2105</v>
      </c>
      <c r="H4780">
        <v>1</v>
      </c>
      <c r="I4780" t="s">
        <v>89</v>
      </c>
      <c r="J4780">
        <v>0</v>
      </c>
      <c r="K4780">
        <v>2</v>
      </c>
      <c r="L4780">
        <v>2</v>
      </c>
      <c r="M4780">
        <v>220</v>
      </c>
      <c r="N4780">
        <v>448</v>
      </c>
      <c r="O4780">
        <v>0</v>
      </c>
      <c r="P4780">
        <v>449</v>
      </c>
      <c r="Q4780">
        <v>8</v>
      </c>
      <c r="R4780">
        <v>99</v>
      </c>
      <c r="S4780">
        <v>58</v>
      </c>
      <c r="T4780">
        <v>1</v>
      </c>
      <c r="U4780">
        <v>8</v>
      </c>
      <c r="V4780">
        <v>4</v>
      </c>
      <c r="W4780">
        <v>1</v>
      </c>
      <c r="X4780">
        <v>2</v>
      </c>
      <c r="Y4780">
        <v>235</v>
      </c>
      <c r="Z4780">
        <v>7</v>
      </c>
      <c r="AA4780">
        <v>2</v>
      </c>
      <c r="AC4780">
        <v>0</v>
      </c>
      <c r="AD4780">
        <v>0</v>
      </c>
      <c r="AE4780">
        <v>0</v>
      </c>
      <c r="AF4780">
        <v>0</v>
      </c>
      <c r="AG4780">
        <v>0</v>
      </c>
      <c r="AH4780">
        <v>0</v>
      </c>
      <c r="AI4780">
        <v>0</v>
      </c>
      <c r="AJ4780">
        <v>0</v>
      </c>
      <c r="AK4780">
        <v>5</v>
      </c>
      <c r="AL4780">
        <v>2</v>
      </c>
      <c r="AM4780">
        <v>0</v>
      </c>
      <c r="AN4780">
        <v>0</v>
      </c>
      <c r="AT4780">
        <v>0</v>
      </c>
      <c r="AU4780">
        <v>18</v>
      </c>
      <c r="AV4780">
        <v>449</v>
      </c>
      <c r="AW4780">
        <v>450</v>
      </c>
      <c r="AX4780">
        <v>646</v>
      </c>
      <c r="BA4780">
        <v>1</v>
      </c>
      <c r="BC4780" t="s">
        <v>9670</v>
      </c>
      <c r="BD4780" s="4">
        <v>43283.164583333331</v>
      </c>
      <c r="BE4780" s="4">
        <v>43283.180497685185</v>
      </c>
      <c r="BF4780" s="4">
        <v>43283.180497685185</v>
      </c>
      <c r="BG4780" t="s">
        <v>83</v>
      </c>
      <c r="BH4780" t="s">
        <v>84</v>
      </c>
      <c r="BI4780" t="s">
        <v>85</v>
      </c>
    </row>
    <row r="4781" spans="1:61" x14ac:dyDescent="0.3">
      <c r="A4781" t="str">
        <f>"202106B0100"</f>
        <v>202106B0100</v>
      </c>
      <c r="B4781" t="s">
        <v>9671</v>
      </c>
      <c r="C4781">
        <v>20</v>
      </c>
      <c r="D4781" t="s">
        <v>79</v>
      </c>
      <c r="E4781">
        <v>22</v>
      </c>
      <c r="F4781" t="s">
        <v>9267</v>
      </c>
      <c r="G4781">
        <v>2106</v>
      </c>
      <c r="H4781">
        <v>1</v>
      </c>
      <c r="I4781" t="s">
        <v>81</v>
      </c>
      <c r="J4781">
        <v>0</v>
      </c>
      <c r="K4781">
        <v>2</v>
      </c>
      <c r="L4781">
        <v>2</v>
      </c>
      <c r="M4781">
        <v>187</v>
      </c>
      <c r="N4781">
        <v>460</v>
      </c>
      <c r="O4781">
        <v>1</v>
      </c>
      <c r="P4781">
        <v>460</v>
      </c>
      <c r="Q4781">
        <v>7</v>
      </c>
      <c r="R4781">
        <v>182</v>
      </c>
      <c r="S4781">
        <v>150</v>
      </c>
      <c r="T4781">
        <v>2</v>
      </c>
      <c r="U4781">
        <v>7</v>
      </c>
      <c r="V4781">
        <v>3</v>
      </c>
      <c r="W4781">
        <v>2</v>
      </c>
      <c r="X4781">
        <v>3</v>
      </c>
      <c r="Y4781">
        <v>72</v>
      </c>
      <c r="Z4781">
        <v>2</v>
      </c>
      <c r="AA4781">
        <v>0</v>
      </c>
      <c r="AC4781">
        <v>1</v>
      </c>
      <c r="AD4781">
        <v>0</v>
      </c>
      <c r="AE4781">
        <v>0</v>
      </c>
      <c r="AF4781">
        <v>1</v>
      </c>
      <c r="AG4781">
        <v>3</v>
      </c>
      <c r="AH4781">
        <v>3</v>
      </c>
      <c r="AI4781">
        <v>0</v>
      </c>
      <c r="AJ4781">
        <v>0</v>
      </c>
      <c r="AK4781">
        <v>1</v>
      </c>
      <c r="AL4781">
        <v>0</v>
      </c>
      <c r="AM4781">
        <v>0</v>
      </c>
      <c r="AN4781">
        <v>0</v>
      </c>
      <c r="AT4781">
        <v>0</v>
      </c>
      <c r="AU4781">
        <v>21</v>
      </c>
      <c r="AV4781">
        <v>460</v>
      </c>
      <c r="AW4781">
        <v>460</v>
      </c>
      <c r="AX4781">
        <v>625</v>
      </c>
      <c r="BA4781">
        <v>1</v>
      </c>
      <c r="BC4781" t="s">
        <v>9672</v>
      </c>
      <c r="BD4781" s="4">
        <v>43283.179166666669</v>
      </c>
      <c r="BE4781" s="4">
        <v>43283.211284722223</v>
      </c>
      <c r="BF4781" s="4">
        <v>43283.211284722223</v>
      </c>
      <c r="BG4781" t="s">
        <v>83</v>
      </c>
      <c r="BH4781" t="s">
        <v>84</v>
      </c>
      <c r="BI4781" t="s">
        <v>85</v>
      </c>
    </row>
    <row r="4782" spans="1:61" x14ac:dyDescent="0.3">
      <c r="A4782" t="str">
        <f>"202106C0100"</f>
        <v>202106C0100</v>
      </c>
      <c r="B4782" t="s">
        <v>9673</v>
      </c>
      <c r="C4782">
        <v>20</v>
      </c>
      <c r="D4782" t="s">
        <v>79</v>
      </c>
      <c r="E4782">
        <v>22</v>
      </c>
      <c r="F4782" t="s">
        <v>9267</v>
      </c>
      <c r="G4782">
        <v>2106</v>
      </c>
      <c r="H4782">
        <v>1</v>
      </c>
      <c r="I4782" t="s">
        <v>89</v>
      </c>
      <c r="J4782">
        <v>0</v>
      </c>
      <c r="K4782">
        <v>2</v>
      </c>
      <c r="L4782">
        <v>2</v>
      </c>
      <c r="M4782">
        <v>209</v>
      </c>
      <c r="N4782">
        <v>647</v>
      </c>
      <c r="O4782">
        <v>0</v>
      </c>
      <c r="P4782" t="s">
        <v>100</v>
      </c>
      <c r="Q4782">
        <v>7</v>
      </c>
      <c r="R4782">
        <v>170</v>
      </c>
      <c r="S4782">
        <v>125</v>
      </c>
      <c r="T4782">
        <v>3</v>
      </c>
      <c r="U4782">
        <v>6</v>
      </c>
      <c r="V4782">
        <v>4</v>
      </c>
      <c r="W4782">
        <v>1</v>
      </c>
      <c r="X4782">
        <v>2</v>
      </c>
      <c r="Y4782">
        <v>82</v>
      </c>
      <c r="Z4782">
        <v>2</v>
      </c>
      <c r="AA4782">
        <v>0</v>
      </c>
      <c r="AC4782">
        <v>3</v>
      </c>
      <c r="AD4782">
        <v>1</v>
      </c>
      <c r="AE4782">
        <v>1</v>
      </c>
      <c r="AF4782">
        <v>2</v>
      </c>
      <c r="AG4782">
        <v>2</v>
      </c>
      <c r="AH4782">
        <v>7</v>
      </c>
      <c r="AI4782">
        <v>0</v>
      </c>
      <c r="AJ4782">
        <v>0</v>
      </c>
      <c r="AK4782">
        <v>1</v>
      </c>
      <c r="AL4782">
        <v>0</v>
      </c>
      <c r="AM4782">
        <v>0</v>
      </c>
      <c r="AN4782">
        <v>1</v>
      </c>
      <c r="AT4782">
        <v>0</v>
      </c>
      <c r="AU4782">
        <v>18</v>
      </c>
      <c r="AV4782" t="s">
        <v>100</v>
      </c>
      <c r="AW4782">
        <v>438</v>
      </c>
      <c r="AX4782">
        <v>625</v>
      </c>
      <c r="BA4782">
        <v>1</v>
      </c>
      <c r="BC4782" t="s">
        <v>9674</v>
      </c>
      <c r="BD4782" s="4">
        <v>43283.182638888888</v>
      </c>
      <c r="BE4782" s="4">
        <v>43283.206307870372</v>
      </c>
      <c r="BF4782" s="4">
        <v>43283.206307870372</v>
      </c>
      <c r="BG4782" t="s">
        <v>83</v>
      </c>
      <c r="BH4782" t="s">
        <v>84</v>
      </c>
      <c r="BI4782" t="s">
        <v>85</v>
      </c>
    </row>
    <row r="4783" spans="1:61" x14ac:dyDescent="0.3">
      <c r="A4783" t="str">
        <f>"202106E0100"</f>
        <v>202106E0100</v>
      </c>
      <c r="B4783" s="2" t="s">
        <v>9675</v>
      </c>
      <c r="C4783">
        <v>20</v>
      </c>
      <c r="D4783" t="s">
        <v>79</v>
      </c>
      <c r="E4783">
        <v>22</v>
      </c>
      <c r="F4783" t="s">
        <v>9267</v>
      </c>
      <c r="G4783">
        <v>2106</v>
      </c>
      <c r="H4783">
        <v>1</v>
      </c>
      <c r="I4783" t="s">
        <v>145</v>
      </c>
      <c r="J4783">
        <v>0</v>
      </c>
      <c r="K4783">
        <v>2</v>
      </c>
      <c r="L4783">
        <v>2</v>
      </c>
      <c r="M4783">
        <v>46</v>
      </c>
      <c r="N4783">
        <v>129</v>
      </c>
      <c r="O4783">
        <v>3</v>
      </c>
      <c r="P4783">
        <v>0</v>
      </c>
      <c r="Q4783">
        <v>7</v>
      </c>
      <c r="R4783">
        <v>44</v>
      </c>
      <c r="S4783">
        <v>37</v>
      </c>
      <c r="T4783">
        <v>3</v>
      </c>
      <c r="U4783">
        <v>3</v>
      </c>
      <c r="V4783">
        <v>0</v>
      </c>
      <c r="W4783">
        <v>0</v>
      </c>
      <c r="X4783">
        <v>7</v>
      </c>
      <c r="Y4783">
        <v>11</v>
      </c>
      <c r="Z4783">
        <v>0</v>
      </c>
      <c r="AA4783">
        <v>0</v>
      </c>
      <c r="AC4783">
        <v>1</v>
      </c>
      <c r="AD4783">
        <v>0</v>
      </c>
      <c r="AE4783">
        <v>0</v>
      </c>
      <c r="AF4783">
        <v>0</v>
      </c>
      <c r="AG4783">
        <v>1</v>
      </c>
      <c r="AH4783">
        <v>3</v>
      </c>
      <c r="AI4783">
        <v>0</v>
      </c>
      <c r="AJ4783">
        <v>0</v>
      </c>
      <c r="AK4783">
        <v>0</v>
      </c>
      <c r="AL4783">
        <v>1</v>
      </c>
      <c r="AM4783">
        <v>0</v>
      </c>
      <c r="AN4783">
        <v>0</v>
      </c>
      <c r="AT4783">
        <v>0</v>
      </c>
      <c r="AU4783">
        <v>11</v>
      </c>
      <c r="AV4783">
        <v>129</v>
      </c>
      <c r="AW4783">
        <v>129</v>
      </c>
      <c r="AX4783">
        <v>153</v>
      </c>
      <c r="BA4783">
        <v>1</v>
      </c>
      <c r="BC4783" t="s">
        <v>9676</v>
      </c>
      <c r="BD4783" s="4">
        <v>43283.291666666664</v>
      </c>
      <c r="BE4783" s="4">
        <v>43283.317199074074</v>
      </c>
      <c r="BF4783" s="4">
        <v>43283.317199074074</v>
      </c>
      <c r="BG4783" t="s">
        <v>83</v>
      </c>
      <c r="BH4783" t="s">
        <v>84</v>
      </c>
      <c r="BI4783" t="s">
        <v>85</v>
      </c>
    </row>
    <row r="4784" spans="1:61" x14ac:dyDescent="0.3">
      <c r="A4784" t="str">
        <f>"202107B0100"</f>
        <v>202107B0100</v>
      </c>
      <c r="B4784" t="s">
        <v>9677</v>
      </c>
      <c r="C4784">
        <v>20</v>
      </c>
      <c r="D4784" t="s">
        <v>79</v>
      </c>
      <c r="E4784">
        <v>22</v>
      </c>
      <c r="F4784" t="s">
        <v>9267</v>
      </c>
      <c r="G4784">
        <v>2107</v>
      </c>
      <c r="H4784">
        <v>1</v>
      </c>
      <c r="I4784" t="s">
        <v>81</v>
      </c>
      <c r="J4784">
        <v>0</v>
      </c>
      <c r="K4784">
        <v>2</v>
      </c>
      <c r="L4784">
        <v>2</v>
      </c>
      <c r="M4784">
        <v>158</v>
      </c>
      <c r="N4784">
        <v>287</v>
      </c>
      <c r="O4784">
        <v>0</v>
      </c>
      <c r="P4784">
        <v>287</v>
      </c>
      <c r="Q4784">
        <v>6</v>
      </c>
      <c r="R4784">
        <v>57</v>
      </c>
      <c r="S4784">
        <v>117</v>
      </c>
      <c r="T4784">
        <v>5</v>
      </c>
      <c r="U4784">
        <v>10</v>
      </c>
      <c r="V4784">
        <v>5</v>
      </c>
      <c r="W4784">
        <v>3</v>
      </c>
      <c r="X4784">
        <v>2</v>
      </c>
      <c r="Y4784">
        <v>55</v>
      </c>
      <c r="Z4784">
        <v>1</v>
      </c>
      <c r="AA4784" t="s">
        <v>100</v>
      </c>
      <c r="AC4784">
        <v>0</v>
      </c>
      <c r="AD4784">
        <v>1</v>
      </c>
      <c r="AE4784">
        <v>0</v>
      </c>
      <c r="AF4784">
        <v>0</v>
      </c>
      <c r="AG4784">
        <v>0</v>
      </c>
      <c r="AH4784">
        <v>1</v>
      </c>
      <c r="AI4784">
        <v>0</v>
      </c>
      <c r="AJ4784">
        <v>0</v>
      </c>
      <c r="AK4784">
        <v>0</v>
      </c>
      <c r="AL4784">
        <v>1</v>
      </c>
      <c r="AM4784">
        <v>2</v>
      </c>
      <c r="AN4784">
        <v>0</v>
      </c>
      <c r="AT4784">
        <v>0</v>
      </c>
      <c r="AU4784">
        <v>21</v>
      </c>
      <c r="AV4784">
        <v>287</v>
      </c>
      <c r="AW4784">
        <v>287</v>
      </c>
      <c r="AX4784">
        <v>423</v>
      </c>
      <c r="AZ4784" t="s">
        <v>101</v>
      </c>
      <c r="BA4784">
        <v>1</v>
      </c>
      <c r="BC4784" t="s">
        <v>9678</v>
      </c>
      <c r="BD4784" s="4">
        <v>43283.18472222222</v>
      </c>
      <c r="BE4784" s="4">
        <v>43283.205520833333</v>
      </c>
      <c r="BF4784" s="4">
        <v>43283.205520833333</v>
      </c>
      <c r="BG4784" t="s">
        <v>83</v>
      </c>
      <c r="BH4784" t="s">
        <v>84</v>
      </c>
      <c r="BI4784" t="s">
        <v>85</v>
      </c>
    </row>
    <row r="4785" spans="1:61" x14ac:dyDescent="0.3">
      <c r="A4785" t="str">
        <f>"202107C0100"</f>
        <v>202107C0100</v>
      </c>
      <c r="B4785" t="s">
        <v>9679</v>
      </c>
      <c r="C4785">
        <v>20</v>
      </c>
      <c r="D4785" t="s">
        <v>79</v>
      </c>
      <c r="E4785">
        <v>22</v>
      </c>
      <c r="F4785" t="s">
        <v>9267</v>
      </c>
      <c r="G4785">
        <v>2107</v>
      </c>
      <c r="H4785">
        <v>1</v>
      </c>
      <c r="I4785" t="s">
        <v>89</v>
      </c>
      <c r="J4785">
        <v>0</v>
      </c>
      <c r="K4785">
        <v>2</v>
      </c>
      <c r="L4785">
        <v>2</v>
      </c>
      <c r="M4785" t="s">
        <v>315</v>
      </c>
      <c r="N4785">
        <v>300</v>
      </c>
      <c r="O4785">
        <v>0</v>
      </c>
      <c r="P4785">
        <v>300</v>
      </c>
      <c r="Q4785">
        <v>2</v>
      </c>
      <c r="R4785">
        <v>60</v>
      </c>
      <c r="S4785">
        <v>118</v>
      </c>
      <c r="T4785">
        <v>3</v>
      </c>
      <c r="U4785">
        <v>6</v>
      </c>
      <c r="V4785">
        <v>5</v>
      </c>
      <c r="W4785">
        <v>0</v>
      </c>
      <c r="X4785">
        <v>2</v>
      </c>
      <c r="Y4785">
        <v>70</v>
      </c>
      <c r="Z4785">
        <v>1</v>
      </c>
      <c r="AA4785">
        <v>0</v>
      </c>
      <c r="AC4785">
        <v>1</v>
      </c>
      <c r="AD4785">
        <v>1</v>
      </c>
      <c r="AE4785">
        <v>1</v>
      </c>
      <c r="AF4785">
        <v>0</v>
      </c>
      <c r="AG4785">
        <v>0</v>
      </c>
      <c r="AH4785">
        <v>1</v>
      </c>
      <c r="AI4785">
        <v>0</v>
      </c>
      <c r="AJ4785">
        <v>0</v>
      </c>
      <c r="AK4785">
        <v>1</v>
      </c>
      <c r="AL4785">
        <v>0</v>
      </c>
      <c r="AM4785">
        <v>0</v>
      </c>
      <c r="AN4785">
        <v>0</v>
      </c>
      <c r="AT4785">
        <v>0</v>
      </c>
      <c r="AU4785">
        <v>25</v>
      </c>
      <c r="AV4785">
        <v>300</v>
      </c>
      <c r="AW4785">
        <v>297</v>
      </c>
      <c r="AX4785">
        <v>422</v>
      </c>
      <c r="BA4785">
        <v>1</v>
      </c>
      <c r="BC4785" t="s">
        <v>9680</v>
      </c>
      <c r="BD4785" s="4">
        <v>43283.188194444447</v>
      </c>
      <c r="BE4785" s="4">
        <v>43283.208124999997</v>
      </c>
      <c r="BF4785" s="4">
        <v>43283.208124999997</v>
      </c>
      <c r="BG4785" t="s">
        <v>83</v>
      </c>
      <c r="BH4785" t="s">
        <v>84</v>
      </c>
      <c r="BI4785" t="s">
        <v>85</v>
      </c>
    </row>
    <row r="4786" spans="1:61" x14ac:dyDescent="0.3">
      <c r="A4786" t="str">
        <f>"202107E0100"</f>
        <v>202107E0100</v>
      </c>
      <c r="B4786" s="2" t="s">
        <v>9681</v>
      </c>
      <c r="C4786">
        <v>20</v>
      </c>
      <c r="D4786" t="s">
        <v>79</v>
      </c>
      <c r="E4786">
        <v>22</v>
      </c>
      <c r="F4786" t="s">
        <v>9267</v>
      </c>
      <c r="G4786">
        <v>2107</v>
      </c>
      <c r="H4786">
        <v>1</v>
      </c>
      <c r="I4786" t="s">
        <v>145</v>
      </c>
      <c r="J4786">
        <v>0</v>
      </c>
      <c r="K4786">
        <v>2</v>
      </c>
      <c r="L4786">
        <v>2</v>
      </c>
      <c r="M4786">
        <v>52</v>
      </c>
      <c r="N4786">
        <v>127</v>
      </c>
      <c r="O4786">
        <v>0</v>
      </c>
      <c r="P4786">
        <v>127</v>
      </c>
      <c r="Q4786">
        <v>1</v>
      </c>
      <c r="R4786">
        <v>24</v>
      </c>
      <c r="S4786">
        <v>46</v>
      </c>
      <c r="T4786">
        <v>0</v>
      </c>
      <c r="U4786">
        <v>7</v>
      </c>
      <c r="V4786">
        <v>1</v>
      </c>
      <c r="W4786">
        <v>1</v>
      </c>
      <c r="X4786">
        <v>2</v>
      </c>
      <c r="Y4786">
        <v>38</v>
      </c>
      <c r="Z4786">
        <v>0</v>
      </c>
      <c r="AA4786">
        <v>0</v>
      </c>
      <c r="AC4786">
        <v>0</v>
      </c>
      <c r="AD4786">
        <v>0</v>
      </c>
      <c r="AE4786">
        <v>0</v>
      </c>
      <c r="AF4786">
        <v>0</v>
      </c>
      <c r="AG4786">
        <v>1</v>
      </c>
      <c r="AH4786">
        <v>1</v>
      </c>
      <c r="AI4786">
        <v>0</v>
      </c>
      <c r="AJ4786">
        <v>0</v>
      </c>
      <c r="AK4786">
        <v>1</v>
      </c>
      <c r="AL4786">
        <v>0</v>
      </c>
      <c r="AM4786">
        <v>0</v>
      </c>
      <c r="AN4786">
        <v>0</v>
      </c>
      <c r="AT4786">
        <v>0</v>
      </c>
      <c r="AU4786">
        <v>4</v>
      </c>
      <c r="AV4786">
        <v>127</v>
      </c>
      <c r="AW4786">
        <v>127</v>
      </c>
      <c r="AX4786">
        <v>157</v>
      </c>
      <c r="BA4786">
        <v>1</v>
      </c>
      <c r="BC4786" t="s">
        <v>9682</v>
      </c>
      <c r="BD4786" s="4">
        <v>43283.311111111114</v>
      </c>
      <c r="BE4786" s="4">
        <v>43283.338171296295</v>
      </c>
      <c r="BF4786" s="4">
        <v>43283.338171296295</v>
      </c>
      <c r="BG4786" t="s">
        <v>83</v>
      </c>
      <c r="BH4786" t="s">
        <v>84</v>
      </c>
      <c r="BI4786" t="s">
        <v>548</v>
      </c>
    </row>
    <row r="4787" spans="1:61" x14ac:dyDescent="0.3">
      <c r="A4787" t="str">
        <f>"202108B0100"</f>
        <v>202108B0100</v>
      </c>
      <c r="B4787" t="s">
        <v>9683</v>
      </c>
      <c r="C4787">
        <v>20</v>
      </c>
      <c r="D4787" t="s">
        <v>79</v>
      </c>
      <c r="E4787">
        <v>22</v>
      </c>
      <c r="F4787" t="s">
        <v>9267</v>
      </c>
      <c r="G4787">
        <v>2108</v>
      </c>
      <c r="H4787">
        <v>1</v>
      </c>
      <c r="I4787" t="s">
        <v>81</v>
      </c>
      <c r="J4787">
        <v>0</v>
      </c>
      <c r="K4787">
        <v>2</v>
      </c>
      <c r="L4787">
        <v>2</v>
      </c>
      <c r="M4787">
        <v>206</v>
      </c>
      <c r="N4787">
        <v>492</v>
      </c>
      <c r="O4787">
        <v>0</v>
      </c>
      <c r="P4787" t="s">
        <v>100</v>
      </c>
      <c r="Q4787">
        <v>8</v>
      </c>
      <c r="R4787">
        <v>144</v>
      </c>
      <c r="S4787">
        <v>134</v>
      </c>
      <c r="T4787">
        <v>1</v>
      </c>
      <c r="U4787">
        <v>16</v>
      </c>
      <c r="V4787">
        <v>0</v>
      </c>
      <c r="W4787">
        <v>9</v>
      </c>
      <c r="X4787">
        <v>5</v>
      </c>
      <c r="Y4787">
        <v>132</v>
      </c>
      <c r="Z4787">
        <v>9</v>
      </c>
      <c r="AA4787">
        <v>0</v>
      </c>
      <c r="AC4787">
        <v>0</v>
      </c>
      <c r="AD4787">
        <v>2</v>
      </c>
      <c r="AE4787">
        <v>0</v>
      </c>
      <c r="AF4787">
        <v>2</v>
      </c>
      <c r="AG4787">
        <v>0</v>
      </c>
      <c r="AH4787">
        <v>1</v>
      </c>
      <c r="AI4787">
        <v>2</v>
      </c>
      <c r="AJ4787">
        <v>0</v>
      </c>
      <c r="AK4787">
        <v>1</v>
      </c>
      <c r="AL4787">
        <v>1</v>
      </c>
      <c r="AM4787">
        <v>0</v>
      </c>
      <c r="AN4787">
        <v>2</v>
      </c>
      <c r="AT4787">
        <v>0</v>
      </c>
      <c r="AU4787">
        <v>23</v>
      </c>
      <c r="AV4787">
        <v>492</v>
      </c>
      <c r="AW4787">
        <v>492</v>
      </c>
      <c r="AX4787">
        <v>677</v>
      </c>
      <c r="BA4787">
        <v>1</v>
      </c>
      <c r="BC4787" t="s">
        <v>9684</v>
      </c>
      <c r="BD4787" s="4">
        <v>43283.336805555555</v>
      </c>
      <c r="BE4787" s="4">
        <v>43283.355138888888</v>
      </c>
      <c r="BF4787" s="4">
        <v>43283.355138888888</v>
      </c>
      <c r="BG4787" t="s">
        <v>83</v>
      </c>
      <c r="BH4787" t="s">
        <v>84</v>
      </c>
      <c r="BI4787" t="s">
        <v>85</v>
      </c>
    </row>
    <row r="4788" spans="1:61" x14ac:dyDescent="0.3">
      <c r="A4788" t="str">
        <f>"202108C0100"</f>
        <v>202108C0100</v>
      </c>
      <c r="B4788" t="s">
        <v>9685</v>
      </c>
      <c r="C4788">
        <v>20</v>
      </c>
      <c r="D4788" t="s">
        <v>79</v>
      </c>
      <c r="E4788">
        <v>22</v>
      </c>
      <c r="F4788" t="s">
        <v>9267</v>
      </c>
      <c r="G4788">
        <v>2108</v>
      </c>
      <c r="H4788">
        <v>1</v>
      </c>
      <c r="I4788" t="s">
        <v>89</v>
      </c>
      <c r="J4788">
        <v>0</v>
      </c>
      <c r="K4788">
        <v>2</v>
      </c>
      <c r="L4788">
        <v>2</v>
      </c>
      <c r="M4788">
        <v>184</v>
      </c>
      <c r="N4788">
        <v>514</v>
      </c>
      <c r="O4788">
        <v>0</v>
      </c>
      <c r="P4788">
        <v>514</v>
      </c>
      <c r="Q4788">
        <v>7</v>
      </c>
      <c r="R4788">
        <v>141</v>
      </c>
      <c r="S4788">
        <v>134</v>
      </c>
      <c r="T4788">
        <v>4</v>
      </c>
      <c r="U4788">
        <v>28</v>
      </c>
      <c r="V4788">
        <v>7</v>
      </c>
      <c r="W4788">
        <v>4</v>
      </c>
      <c r="X4788">
        <v>2</v>
      </c>
      <c r="Y4788">
        <v>144</v>
      </c>
      <c r="Z4788">
        <v>7</v>
      </c>
      <c r="AA4788">
        <v>2</v>
      </c>
      <c r="AC4788">
        <v>2</v>
      </c>
      <c r="AD4788" t="s">
        <v>100</v>
      </c>
      <c r="AE4788" t="s">
        <v>100</v>
      </c>
      <c r="AF4788">
        <v>2</v>
      </c>
      <c r="AG4788">
        <v>1</v>
      </c>
      <c r="AH4788">
        <v>1</v>
      </c>
      <c r="AI4788" t="s">
        <v>100</v>
      </c>
      <c r="AJ4788" t="s">
        <v>100</v>
      </c>
      <c r="AK4788">
        <v>3</v>
      </c>
      <c r="AL4788">
        <v>1</v>
      </c>
      <c r="AM4788" t="s">
        <v>100</v>
      </c>
      <c r="AN4788" t="s">
        <v>100</v>
      </c>
      <c r="AT4788" t="s">
        <v>100</v>
      </c>
      <c r="AU4788">
        <v>30</v>
      </c>
      <c r="AV4788" t="s">
        <v>315</v>
      </c>
      <c r="AW4788">
        <v>520</v>
      </c>
      <c r="AX4788">
        <v>676</v>
      </c>
      <c r="AZ4788" t="s">
        <v>101</v>
      </c>
      <c r="BA4788">
        <v>1</v>
      </c>
      <c r="BC4788" t="s">
        <v>9686</v>
      </c>
      <c r="BD4788" s="4">
        <v>43283.338194444441</v>
      </c>
      <c r="BE4788" s="4">
        <v>43283.355486111112</v>
      </c>
      <c r="BF4788" s="4">
        <v>43283.355486111112</v>
      </c>
      <c r="BG4788" t="s">
        <v>83</v>
      </c>
      <c r="BH4788" t="s">
        <v>84</v>
      </c>
      <c r="BI4788" t="s">
        <v>85</v>
      </c>
    </row>
    <row r="4789" spans="1:61" x14ac:dyDescent="0.3">
      <c r="A4789" t="str">
        <f>"202109B0100"</f>
        <v>202109B0100</v>
      </c>
      <c r="B4789" t="s">
        <v>9687</v>
      </c>
      <c r="C4789">
        <v>20</v>
      </c>
      <c r="D4789" t="s">
        <v>79</v>
      </c>
      <c r="E4789">
        <v>22</v>
      </c>
      <c r="F4789" t="s">
        <v>9267</v>
      </c>
      <c r="G4789">
        <v>2109</v>
      </c>
      <c r="H4789">
        <v>1</v>
      </c>
      <c r="I4789" t="s">
        <v>81</v>
      </c>
      <c r="J4789">
        <v>0</v>
      </c>
      <c r="K4789">
        <v>2</v>
      </c>
      <c r="L4789">
        <v>2</v>
      </c>
      <c r="M4789">
        <v>168</v>
      </c>
      <c r="N4789">
        <v>421</v>
      </c>
      <c r="O4789">
        <v>1</v>
      </c>
      <c r="P4789">
        <v>421</v>
      </c>
      <c r="Q4789">
        <v>0</v>
      </c>
      <c r="R4789">
        <v>98</v>
      </c>
      <c r="S4789">
        <v>115</v>
      </c>
      <c r="T4789">
        <v>0</v>
      </c>
      <c r="U4789">
        <v>74</v>
      </c>
      <c r="V4789">
        <v>6</v>
      </c>
      <c r="W4789">
        <v>2</v>
      </c>
      <c r="X4789">
        <v>3</v>
      </c>
      <c r="Y4789">
        <v>97</v>
      </c>
      <c r="Z4789">
        <v>3</v>
      </c>
      <c r="AA4789">
        <v>0</v>
      </c>
      <c r="AC4789">
        <v>0</v>
      </c>
      <c r="AD4789">
        <v>0</v>
      </c>
      <c r="AE4789">
        <v>0</v>
      </c>
      <c r="AF4789">
        <v>0</v>
      </c>
      <c r="AG4789">
        <v>1</v>
      </c>
      <c r="AH4789">
        <v>0</v>
      </c>
      <c r="AI4789">
        <v>0</v>
      </c>
      <c r="AJ4789">
        <v>0</v>
      </c>
      <c r="AK4789">
        <v>0</v>
      </c>
      <c r="AL4789">
        <v>4</v>
      </c>
      <c r="AM4789">
        <v>0</v>
      </c>
      <c r="AN4789">
        <v>0</v>
      </c>
      <c r="AT4789" t="s">
        <v>100</v>
      </c>
      <c r="AU4789">
        <v>18</v>
      </c>
      <c r="AV4789">
        <v>421</v>
      </c>
      <c r="AW4789">
        <v>421</v>
      </c>
      <c r="AX4789">
        <v>567</v>
      </c>
      <c r="AZ4789" t="s">
        <v>101</v>
      </c>
      <c r="BA4789">
        <v>1</v>
      </c>
      <c r="BC4789" s="2" t="s">
        <v>9688</v>
      </c>
      <c r="BD4789" s="4">
        <v>43283.338194444441</v>
      </c>
      <c r="BE4789" s="4">
        <v>43283.360300925924</v>
      </c>
      <c r="BF4789" s="4">
        <v>43283.360300925924</v>
      </c>
      <c r="BG4789" t="s">
        <v>83</v>
      </c>
      <c r="BH4789" t="s">
        <v>84</v>
      </c>
      <c r="BI4789" t="s">
        <v>85</v>
      </c>
    </row>
    <row r="4790" spans="1:61" x14ac:dyDescent="0.3">
      <c r="A4790" t="str">
        <f>"202109E0100"</f>
        <v>202109E0100</v>
      </c>
      <c r="B4790" s="2" t="s">
        <v>9689</v>
      </c>
      <c r="C4790">
        <v>20</v>
      </c>
      <c r="D4790" t="s">
        <v>79</v>
      </c>
      <c r="E4790">
        <v>22</v>
      </c>
      <c r="F4790" t="s">
        <v>9267</v>
      </c>
      <c r="G4790">
        <v>2109</v>
      </c>
      <c r="H4790">
        <v>1</v>
      </c>
      <c r="I4790" t="s">
        <v>145</v>
      </c>
      <c r="J4790">
        <v>0</v>
      </c>
      <c r="K4790">
        <v>2</v>
      </c>
      <c r="L4790">
        <v>2</v>
      </c>
      <c r="M4790">
        <v>174</v>
      </c>
      <c r="N4790">
        <v>374</v>
      </c>
      <c r="O4790">
        <v>0</v>
      </c>
      <c r="P4790" t="s">
        <v>100</v>
      </c>
      <c r="Q4790">
        <v>2</v>
      </c>
      <c r="R4790">
        <v>61</v>
      </c>
      <c r="S4790">
        <v>90</v>
      </c>
      <c r="T4790">
        <v>1</v>
      </c>
      <c r="U4790">
        <v>21</v>
      </c>
      <c r="V4790">
        <v>4</v>
      </c>
      <c r="W4790">
        <v>2</v>
      </c>
      <c r="X4790">
        <v>9</v>
      </c>
      <c r="Y4790">
        <v>147</v>
      </c>
      <c r="Z4790">
        <v>6</v>
      </c>
      <c r="AA4790">
        <v>0</v>
      </c>
      <c r="AC4790">
        <v>4</v>
      </c>
      <c r="AD4790">
        <v>1</v>
      </c>
      <c r="AE4790">
        <v>0</v>
      </c>
      <c r="AF4790">
        <v>1</v>
      </c>
      <c r="AG4790">
        <v>0</v>
      </c>
      <c r="AH4790">
        <v>0</v>
      </c>
      <c r="AI4790">
        <v>0</v>
      </c>
      <c r="AJ4790">
        <v>0</v>
      </c>
      <c r="AK4790">
        <v>4</v>
      </c>
      <c r="AL4790">
        <v>2</v>
      </c>
      <c r="AM4790">
        <v>0</v>
      </c>
      <c r="AN4790">
        <v>0</v>
      </c>
      <c r="AT4790">
        <v>18</v>
      </c>
      <c r="AU4790" t="s">
        <v>100</v>
      </c>
      <c r="AV4790">
        <v>374</v>
      </c>
      <c r="AW4790">
        <v>373</v>
      </c>
      <c r="AX4790">
        <v>526</v>
      </c>
      <c r="AZ4790" t="s">
        <v>101</v>
      </c>
      <c r="BA4790">
        <v>1</v>
      </c>
      <c r="BC4790" t="s">
        <v>9690</v>
      </c>
      <c r="BD4790" s="4">
        <v>43283.336111111108</v>
      </c>
      <c r="BE4790" s="4">
        <v>43283.354039351849</v>
      </c>
      <c r="BF4790" s="4">
        <v>43283.354039351849</v>
      </c>
      <c r="BG4790" t="s">
        <v>83</v>
      </c>
      <c r="BH4790" t="s">
        <v>84</v>
      </c>
      <c r="BI4790" t="s">
        <v>85</v>
      </c>
    </row>
    <row r="4791" spans="1:61" x14ac:dyDescent="0.3">
      <c r="A4791" t="str">
        <f>"202110B0100"</f>
        <v>202110B0100</v>
      </c>
      <c r="B4791" t="s">
        <v>9691</v>
      </c>
      <c r="C4791">
        <v>20</v>
      </c>
      <c r="D4791" t="s">
        <v>79</v>
      </c>
      <c r="E4791">
        <v>22</v>
      </c>
      <c r="F4791" t="s">
        <v>9267</v>
      </c>
      <c r="G4791">
        <v>2110</v>
      </c>
      <c r="H4791">
        <v>1</v>
      </c>
      <c r="I4791" t="s">
        <v>81</v>
      </c>
      <c r="J4791">
        <v>0</v>
      </c>
      <c r="K4791">
        <v>2</v>
      </c>
      <c r="L4791">
        <v>2</v>
      </c>
      <c r="M4791">
        <v>244</v>
      </c>
      <c r="N4791">
        <v>496</v>
      </c>
      <c r="O4791">
        <v>3</v>
      </c>
      <c r="P4791">
        <v>496</v>
      </c>
      <c r="Q4791">
        <v>2</v>
      </c>
      <c r="R4791">
        <v>95</v>
      </c>
      <c r="S4791">
        <v>151</v>
      </c>
      <c r="T4791">
        <v>6</v>
      </c>
      <c r="U4791">
        <v>20</v>
      </c>
      <c r="V4791">
        <v>10</v>
      </c>
      <c r="W4791">
        <v>2</v>
      </c>
      <c r="X4791">
        <v>2</v>
      </c>
      <c r="Y4791">
        <v>156</v>
      </c>
      <c r="Z4791">
        <v>4</v>
      </c>
      <c r="AA4791">
        <v>0</v>
      </c>
      <c r="AC4791">
        <v>0</v>
      </c>
      <c r="AD4791">
        <v>1</v>
      </c>
      <c r="AE4791">
        <v>0</v>
      </c>
      <c r="AF4791">
        <v>1</v>
      </c>
      <c r="AG4791">
        <v>1</v>
      </c>
      <c r="AH4791">
        <v>0</v>
      </c>
      <c r="AI4791">
        <v>0</v>
      </c>
      <c r="AJ4791">
        <v>1</v>
      </c>
      <c r="AK4791">
        <v>4</v>
      </c>
      <c r="AL4791">
        <v>3</v>
      </c>
      <c r="AM4791">
        <v>0</v>
      </c>
      <c r="AN4791">
        <v>2</v>
      </c>
      <c r="AT4791">
        <v>0</v>
      </c>
      <c r="AU4791">
        <v>35</v>
      </c>
      <c r="AV4791">
        <v>496</v>
      </c>
      <c r="AW4791">
        <v>496</v>
      </c>
      <c r="AX4791">
        <v>719</v>
      </c>
      <c r="BA4791">
        <v>1</v>
      </c>
      <c r="BC4791" t="s">
        <v>9692</v>
      </c>
      <c r="BD4791" s="4">
        <v>43283.220138888886</v>
      </c>
      <c r="BE4791" s="4">
        <v>43283.258333333331</v>
      </c>
      <c r="BF4791" s="4">
        <v>43283.258333333331</v>
      </c>
      <c r="BG4791" t="s">
        <v>83</v>
      </c>
      <c r="BH4791" t="s">
        <v>84</v>
      </c>
      <c r="BI4791" t="s">
        <v>85</v>
      </c>
    </row>
    <row r="4792" spans="1:61" x14ac:dyDescent="0.3">
      <c r="A4792" t="str">
        <f>"202110E0100"</f>
        <v>202110E0100</v>
      </c>
      <c r="B4792" s="2" t="s">
        <v>9693</v>
      </c>
      <c r="C4792">
        <v>20</v>
      </c>
      <c r="D4792" t="s">
        <v>79</v>
      </c>
      <c r="E4792">
        <v>22</v>
      </c>
      <c r="F4792" t="s">
        <v>9267</v>
      </c>
      <c r="G4792">
        <v>2110</v>
      </c>
      <c r="H4792">
        <v>1</v>
      </c>
      <c r="I4792" t="s">
        <v>145</v>
      </c>
      <c r="J4792">
        <v>0</v>
      </c>
      <c r="K4792">
        <v>2</v>
      </c>
      <c r="L4792">
        <v>2</v>
      </c>
      <c r="M4792">
        <v>122</v>
      </c>
      <c r="N4792">
        <v>281</v>
      </c>
      <c r="O4792">
        <v>2</v>
      </c>
      <c r="P4792">
        <v>281</v>
      </c>
      <c r="Q4792">
        <v>1</v>
      </c>
      <c r="R4792">
        <v>74</v>
      </c>
      <c r="S4792">
        <v>20</v>
      </c>
      <c r="T4792">
        <v>1</v>
      </c>
      <c r="U4792">
        <v>11</v>
      </c>
      <c r="V4792">
        <v>4</v>
      </c>
      <c r="W4792">
        <v>6</v>
      </c>
      <c r="X4792">
        <v>2</v>
      </c>
      <c r="Y4792">
        <v>143</v>
      </c>
      <c r="Z4792">
        <v>6</v>
      </c>
      <c r="AA4792">
        <v>0</v>
      </c>
      <c r="AC4792">
        <v>0</v>
      </c>
      <c r="AD4792">
        <v>0</v>
      </c>
      <c r="AE4792">
        <v>0</v>
      </c>
      <c r="AF4792">
        <v>0</v>
      </c>
      <c r="AG4792">
        <v>0</v>
      </c>
      <c r="AH4792">
        <v>0</v>
      </c>
      <c r="AI4792">
        <v>0</v>
      </c>
      <c r="AJ4792">
        <v>0</v>
      </c>
      <c r="AK4792">
        <v>3</v>
      </c>
      <c r="AL4792">
        <v>1</v>
      </c>
      <c r="AM4792">
        <v>0</v>
      </c>
      <c r="AN4792">
        <v>0</v>
      </c>
      <c r="AT4792">
        <v>0</v>
      </c>
      <c r="AU4792">
        <v>8</v>
      </c>
      <c r="AV4792">
        <v>280</v>
      </c>
      <c r="AW4792">
        <v>280</v>
      </c>
      <c r="AX4792">
        <v>380</v>
      </c>
      <c r="BA4792">
        <v>1</v>
      </c>
      <c r="BC4792" t="s">
        <v>9694</v>
      </c>
      <c r="BD4792" s="4">
        <v>43283.227083333331</v>
      </c>
      <c r="BE4792" s="4">
        <v>43283.26221064815</v>
      </c>
      <c r="BF4792" s="4">
        <v>43283.26221064815</v>
      </c>
      <c r="BG4792" t="s">
        <v>83</v>
      </c>
      <c r="BH4792" t="s">
        <v>84</v>
      </c>
      <c r="BI4792" t="s">
        <v>85</v>
      </c>
    </row>
    <row r="4793" spans="1:61" x14ac:dyDescent="0.3">
      <c r="A4793" t="str">
        <f>"202111B0100"</f>
        <v>202111B0100</v>
      </c>
      <c r="B4793" t="s">
        <v>9695</v>
      </c>
      <c r="C4793">
        <v>20</v>
      </c>
      <c r="D4793" t="s">
        <v>79</v>
      </c>
      <c r="E4793">
        <v>22</v>
      </c>
      <c r="F4793" t="s">
        <v>9267</v>
      </c>
      <c r="G4793">
        <v>2111</v>
      </c>
      <c r="H4793">
        <v>1</v>
      </c>
      <c r="I4793" t="s">
        <v>81</v>
      </c>
      <c r="J4793">
        <v>0</v>
      </c>
      <c r="K4793">
        <v>2</v>
      </c>
      <c r="L4793">
        <v>2</v>
      </c>
      <c r="M4793">
        <v>202</v>
      </c>
      <c r="N4793">
        <v>364</v>
      </c>
      <c r="O4793">
        <v>0</v>
      </c>
      <c r="P4793">
        <v>364</v>
      </c>
      <c r="Q4793">
        <v>3</v>
      </c>
      <c r="R4793">
        <v>94</v>
      </c>
      <c r="S4793">
        <v>74</v>
      </c>
      <c r="T4793">
        <v>4</v>
      </c>
      <c r="U4793">
        <v>9</v>
      </c>
      <c r="V4793">
        <v>8</v>
      </c>
      <c r="W4793">
        <v>13</v>
      </c>
      <c r="X4793">
        <v>2</v>
      </c>
      <c r="Y4793">
        <v>130</v>
      </c>
      <c r="Z4793">
        <v>2</v>
      </c>
      <c r="AA4793">
        <v>0</v>
      </c>
      <c r="AC4793">
        <v>1</v>
      </c>
      <c r="AD4793">
        <v>1</v>
      </c>
      <c r="AE4793">
        <v>0</v>
      </c>
      <c r="AF4793">
        <v>0</v>
      </c>
      <c r="AG4793">
        <v>1</v>
      </c>
      <c r="AH4793">
        <v>4</v>
      </c>
      <c r="AI4793">
        <v>0</v>
      </c>
      <c r="AJ4793">
        <v>0</v>
      </c>
      <c r="AK4793">
        <v>1</v>
      </c>
      <c r="AL4793">
        <v>0</v>
      </c>
      <c r="AM4793">
        <v>0</v>
      </c>
      <c r="AN4793">
        <v>0</v>
      </c>
      <c r="AT4793">
        <v>0</v>
      </c>
      <c r="AU4793">
        <v>17</v>
      </c>
      <c r="AV4793">
        <v>364</v>
      </c>
      <c r="AW4793">
        <v>364</v>
      </c>
      <c r="AX4793">
        <v>544</v>
      </c>
      <c r="BA4793">
        <v>1</v>
      </c>
      <c r="BC4793" t="s">
        <v>9696</v>
      </c>
      <c r="BD4793" s="4">
        <v>43283.234722222223</v>
      </c>
      <c r="BE4793" s="4">
        <v>43283.260393518518</v>
      </c>
      <c r="BF4793" s="4">
        <v>43283.260393518518</v>
      </c>
      <c r="BG4793" t="s">
        <v>83</v>
      </c>
      <c r="BH4793" t="s">
        <v>84</v>
      </c>
      <c r="BI4793" t="s">
        <v>85</v>
      </c>
    </row>
    <row r="4794" spans="1:61" x14ac:dyDescent="0.3">
      <c r="A4794" t="str">
        <f>"202111C0100"</f>
        <v>202111C0100</v>
      </c>
      <c r="B4794" t="s">
        <v>9697</v>
      </c>
      <c r="C4794">
        <v>20</v>
      </c>
      <c r="D4794" t="s">
        <v>79</v>
      </c>
      <c r="E4794">
        <v>22</v>
      </c>
      <c r="F4794" t="s">
        <v>9267</v>
      </c>
      <c r="G4794">
        <v>2111</v>
      </c>
      <c r="H4794">
        <v>1</v>
      </c>
      <c r="I4794" t="s">
        <v>89</v>
      </c>
      <c r="J4794">
        <v>0</v>
      </c>
      <c r="K4794">
        <v>2</v>
      </c>
      <c r="L4794">
        <v>2</v>
      </c>
      <c r="M4794">
        <v>217</v>
      </c>
      <c r="N4794">
        <v>348</v>
      </c>
      <c r="O4794">
        <v>0</v>
      </c>
      <c r="P4794">
        <v>348</v>
      </c>
      <c r="Q4794">
        <v>4</v>
      </c>
      <c r="R4794">
        <v>106</v>
      </c>
      <c r="S4794">
        <v>61</v>
      </c>
      <c r="T4794">
        <v>5</v>
      </c>
      <c r="U4794">
        <v>10</v>
      </c>
      <c r="V4794">
        <v>4</v>
      </c>
      <c r="W4794">
        <v>5</v>
      </c>
      <c r="X4794">
        <v>3</v>
      </c>
      <c r="Y4794">
        <v>123</v>
      </c>
      <c r="Z4794">
        <v>4</v>
      </c>
      <c r="AA4794">
        <v>0</v>
      </c>
      <c r="AC4794">
        <v>0</v>
      </c>
      <c r="AD4794">
        <v>0</v>
      </c>
      <c r="AE4794">
        <v>0</v>
      </c>
      <c r="AF4794">
        <v>0</v>
      </c>
      <c r="AG4794">
        <v>2</v>
      </c>
      <c r="AH4794">
        <v>1</v>
      </c>
      <c r="AI4794">
        <v>1</v>
      </c>
      <c r="AJ4794">
        <v>0</v>
      </c>
      <c r="AK4794">
        <v>1</v>
      </c>
      <c r="AL4794">
        <v>0</v>
      </c>
      <c r="AM4794">
        <v>0</v>
      </c>
      <c r="AN4794">
        <v>2</v>
      </c>
      <c r="AT4794">
        <v>0</v>
      </c>
      <c r="AU4794">
        <v>16</v>
      </c>
      <c r="AV4794">
        <v>348</v>
      </c>
      <c r="AW4794">
        <v>348</v>
      </c>
      <c r="AX4794">
        <v>543</v>
      </c>
      <c r="BA4794">
        <v>1</v>
      </c>
      <c r="BC4794" t="s">
        <v>9698</v>
      </c>
      <c r="BD4794" s="4">
        <v>43283.229861111111</v>
      </c>
      <c r="BE4794" s="4">
        <v>43283.253807870373</v>
      </c>
      <c r="BF4794" s="4">
        <v>43283.253807870373</v>
      </c>
      <c r="BG4794" t="s">
        <v>83</v>
      </c>
      <c r="BH4794" t="s">
        <v>84</v>
      </c>
      <c r="BI4794" t="s">
        <v>85</v>
      </c>
    </row>
    <row r="4795" spans="1:61" x14ac:dyDescent="0.3">
      <c r="A4795" t="str">
        <f>"202111C0200"</f>
        <v>202111C0200</v>
      </c>
      <c r="B4795" t="s">
        <v>9699</v>
      </c>
      <c r="C4795">
        <v>20</v>
      </c>
      <c r="D4795" t="s">
        <v>79</v>
      </c>
      <c r="E4795">
        <v>22</v>
      </c>
      <c r="F4795" t="s">
        <v>9267</v>
      </c>
      <c r="G4795">
        <v>2111</v>
      </c>
      <c r="H4795">
        <v>2</v>
      </c>
      <c r="I4795" t="s">
        <v>89</v>
      </c>
      <c r="J4795">
        <v>0</v>
      </c>
      <c r="K4795">
        <v>2</v>
      </c>
      <c r="L4795">
        <v>2</v>
      </c>
      <c r="M4795">
        <v>181</v>
      </c>
      <c r="N4795">
        <v>384</v>
      </c>
      <c r="O4795">
        <v>0</v>
      </c>
      <c r="P4795" t="s">
        <v>100</v>
      </c>
      <c r="Q4795">
        <v>7</v>
      </c>
      <c r="R4795">
        <v>122</v>
      </c>
      <c r="S4795">
        <v>62</v>
      </c>
      <c r="T4795">
        <v>5</v>
      </c>
      <c r="U4795">
        <v>5</v>
      </c>
      <c r="V4795">
        <v>6</v>
      </c>
      <c r="W4795">
        <v>9</v>
      </c>
      <c r="X4795">
        <v>3</v>
      </c>
      <c r="Y4795">
        <v>134</v>
      </c>
      <c r="Z4795">
        <v>4</v>
      </c>
      <c r="AA4795">
        <v>0</v>
      </c>
      <c r="AC4795">
        <v>0</v>
      </c>
      <c r="AD4795">
        <v>1</v>
      </c>
      <c r="AE4795">
        <v>0</v>
      </c>
      <c r="AF4795">
        <v>1</v>
      </c>
      <c r="AG4795">
        <v>0</v>
      </c>
      <c r="AH4795">
        <v>3</v>
      </c>
      <c r="AI4795">
        <v>0</v>
      </c>
      <c r="AJ4795">
        <v>0</v>
      </c>
      <c r="AK4795">
        <v>1</v>
      </c>
      <c r="AL4795">
        <v>2</v>
      </c>
      <c r="AM4795">
        <v>0</v>
      </c>
      <c r="AN4795">
        <v>0</v>
      </c>
      <c r="AT4795">
        <v>0</v>
      </c>
      <c r="AU4795">
        <v>20</v>
      </c>
      <c r="AV4795">
        <v>384</v>
      </c>
      <c r="AW4795">
        <v>385</v>
      </c>
      <c r="AX4795">
        <v>543</v>
      </c>
      <c r="BA4795">
        <v>1</v>
      </c>
      <c r="BC4795" t="s">
        <v>9700</v>
      </c>
      <c r="BD4795" s="4">
        <v>43283.253472222219</v>
      </c>
      <c r="BE4795" s="4">
        <v>43283.292719907404</v>
      </c>
      <c r="BF4795" s="4">
        <v>43283.292719907404</v>
      </c>
      <c r="BG4795" t="s">
        <v>83</v>
      </c>
      <c r="BH4795" t="s">
        <v>84</v>
      </c>
      <c r="BI4795" t="s">
        <v>85</v>
      </c>
    </row>
    <row r="4796" spans="1:61" x14ac:dyDescent="0.3">
      <c r="A4796" t="str">
        <f>"202123B0100"</f>
        <v>202123B0100</v>
      </c>
      <c r="B4796" t="s">
        <v>9701</v>
      </c>
      <c r="C4796">
        <v>20</v>
      </c>
      <c r="D4796" t="s">
        <v>79</v>
      </c>
      <c r="E4796">
        <v>22</v>
      </c>
      <c r="F4796" t="s">
        <v>9267</v>
      </c>
      <c r="G4796">
        <v>2123</v>
      </c>
      <c r="H4796">
        <v>1</v>
      </c>
      <c r="I4796" t="s">
        <v>81</v>
      </c>
      <c r="J4796">
        <v>0</v>
      </c>
      <c r="K4796">
        <v>2</v>
      </c>
      <c r="L4796">
        <v>2</v>
      </c>
      <c r="AX4796">
        <v>563</v>
      </c>
      <c r="AZ4796" t="s">
        <v>156</v>
      </c>
      <c r="BA4796">
        <v>0</v>
      </c>
      <c r="BC4796" t="s">
        <v>9702</v>
      </c>
      <c r="BD4796" s="4">
        <v>43283.738194444442</v>
      </c>
      <c r="BE4796" s="4">
        <v>43283.742268518516</v>
      </c>
      <c r="BF4796" s="4">
        <v>43283.742268518516</v>
      </c>
      <c r="BG4796" t="s">
        <v>83</v>
      </c>
      <c r="BH4796" t="s">
        <v>84</v>
      </c>
      <c r="BI4796" t="s">
        <v>85</v>
      </c>
    </row>
    <row r="4797" spans="1:61" x14ac:dyDescent="0.3">
      <c r="A4797" t="str">
        <f>"202123C0100"</f>
        <v>202123C0100</v>
      </c>
      <c r="B4797" t="s">
        <v>9703</v>
      </c>
      <c r="C4797">
        <v>20</v>
      </c>
      <c r="D4797" t="s">
        <v>79</v>
      </c>
      <c r="E4797">
        <v>22</v>
      </c>
      <c r="F4797" t="s">
        <v>9267</v>
      </c>
      <c r="G4797">
        <v>2123</v>
      </c>
      <c r="H4797">
        <v>1</v>
      </c>
      <c r="I4797" t="s">
        <v>89</v>
      </c>
      <c r="J4797">
        <v>0</v>
      </c>
      <c r="K4797">
        <v>2</v>
      </c>
      <c r="L4797">
        <v>2</v>
      </c>
      <c r="AX4797">
        <v>562</v>
      </c>
      <c r="AZ4797" t="s">
        <v>156</v>
      </c>
      <c r="BA4797">
        <v>0</v>
      </c>
      <c r="BC4797" t="s">
        <v>9704</v>
      </c>
      <c r="BD4797" s="4">
        <v>43283.738888888889</v>
      </c>
      <c r="BE4797" s="4">
        <v>43283.743414351855</v>
      </c>
      <c r="BF4797" s="4">
        <v>43283.743414351855</v>
      </c>
      <c r="BG4797" t="s">
        <v>83</v>
      </c>
      <c r="BH4797" t="s">
        <v>84</v>
      </c>
      <c r="BI4797" t="s">
        <v>85</v>
      </c>
    </row>
    <row r="4798" spans="1:61" x14ac:dyDescent="0.3">
      <c r="A4798" t="str">
        <f>"202124B0100"</f>
        <v>202124B0100</v>
      </c>
      <c r="B4798" t="s">
        <v>9705</v>
      </c>
      <c r="C4798">
        <v>20</v>
      </c>
      <c r="D4798" t="s">
        <v>79</v>
      </c>
      <c r="E4798">
        <v>22</v>
      </c>
      <c r="F4798" t="s">
        <v>9267</v>
      </c>
      <c r="G4798">
        <v>2124</v>
      </c>
      <c r="H4798">
        <v>1</v>
      </c>
      <c r="I4798" t="s">
        <v>81</v>
      </c>
      <c r="J4798">
        <v>0</v>
      </c>
      <c r="K4798">
        <v>2</v>
      </c>
      <c r="L4798">
        <v>2</v>
      </c>
      <c r="AX4798">
        <v>738</v>
      </c>
      <c r="AZ4798" t="s">
        <v>156</v>
      </c>
      <c r="BA4798">
        <v>0</v>
      </c>
      <c r="BC4798" t="s">
        <v>9706</v>
      </c>
      <c r="BD4798" s="4">
        <v>43283.738888888889</v>
      </c>
      <c r="BE4798" s="4">
        <v>43283.743587962963</v>
      </c>
      <c r="BF4798" s="4">
        <v>43283.743587962963</v>
      </c>
      <c r="BG4798" t="s">
        <v>83</v>
      </c>
      <c r="BH4798" t="s">
        <v>84</v>
      </c>
      <c r="BI4798" t="s">
        <v>85</v>
      </c>
    </row>
    <row r="4799" spans="1:61" x14ac:dyDescent="0.3">
      <c r="A4799" t="str">
        <f>"202124E0100"</f>
        <v>202124E0100</v>
      </c>
      <c r="B4799" s="2" t="s">
        <v>9707</v>
      </c>
      <c r="C4799">
        <v>20</v>
      </c>
      <c r="D4799" t="s">
        <v>79</v>
      </c>
      <c r="E4799">
        <v>22</v>
      </c>
      <c r="F4799" t="s">
        <v>9267</v>
      </c>
      <c r="G4799">
        <v>2124</v>
      </c>
      <c r="H4799">
        <v>1</v>
      </c>
      <c r="I4799" t="s">
        <v>145</v>
      </c>
      <c r="J4799">
        <v>0</v>
      </c>
      <c r="K4799">
        <v>2</v>
      </c>
      <c r="L4799">
        <v>2</v>
      </c>
      <c r="M4799">
        <v>54</v>
      </c>
      <c r="N4799">
        <v>137</v>
      </c>
      <c r="O4799">
        <v>4</v>
      </c>
      <c r="P4799" t="s">
        <v>100</v>
      </c>
      <c r="Q4799">
        <v>3</v>
      </c>
      <c r="R4799">
        <v>60</v>
      </c>
      <c r="S4799">
        <v>5</v>
      </c>
      <c r="T4799">
        <v>1</v>
      </c>
      <c r="U4799">
        <v>5</v>
      </c>
      <c r="V4799">
        <v>0</v>
      </c>
      <c r="W4799">
        <v>0</v>
      </c>
      <c r="X4799">
        <v>44</v>
      </c>
      <c r="Y4799">
        <v>8</v>
      </c>
      <c r="Z4799">
        <v>0</v>
      </c>
      <c r="AA4799">
        <v>0</v>
      </c>
      <c r="AC4799">
        <v>0</v>
      </c>
      <c r="AD4799">
        <v>0</v>
      </c>
      <c r="AE4799">
        <v>0</v>
      </c>
      <c r="AF4799">
        <v>0</v>
      </c>
      <c r="AG4799">
        <v>0</v>
      </c>
      <c r="AH4799">
        <v>1</v>
      </c>
      <c r="AI4799">
        <v>0</v>
      </c>
      <c r="AJ4799">
        <v>1</v>
      </c>
      <c r="AK4799">
        <v>0</v>
      </c>
      <c r="AL4799">
        <v>0</v>
      </c>
      <c r="AM4799">
        <v>0</v>
      </c>
      <c r="AN4799">
        <v>0</v>
      </c>
      <c r="AT4799">
        <v>0</v>
      </c>
      <c r="AU4799">
        <v>9</v>
      </c>
      <c r="AV4799">
        <v>137</v>
      </c>
      <c r="AW4799">
        <v>137</v>
      </c>
      <c r="AX4799">
        <v>169</v>
      </c>
      <c r="BA4799">
        <v>1</v>
      </c>
      <c r="BC4799" t="s">
        <v>9708</v>
      </c>
      <c r="BD4799" s="4">
        <v>43283.287499999999</v>
      </c>
      <c r="BE4799" s="4">
        <v>43283.33079861111</v>
      </c>
      <c r="BF4799" s="4">
        <v>43283.33079861111</v>
      </c>
      <c r="BG4799" t="s">
        <v>83</v>
      </c>
      <c r="BH4799" t="s">
        <v>84</v>
      </c>
      <c r="BI4799" t="s">
        <v>85</v>
      </c>
    </row>
    <row r="4800" spans="1:61" x14ac:dyDescent="0.3">
      <c r="A4800" t="str">
        <f>"202124E0200"</f>
        <v>202124E0200</v>
      </c>
      <c r="B4800" s="2" t="s">
        <v>9709</v>
      </c>
      <c r="C4800">
        <v>20</v>
      </c>
      <c r="D4800" t="s">
        <v>79</v>
      </c>
      <c r="E4800">
        <v>22</v>
      </c>
      <c r="F4800" t="s">
        <v>9267</v>
      </c>
      <c r="G4800">
        <v>2124</v>
      </c>
      <c r="H4800">
        <v>2</v>
      </c>
      <c r="I4800" t="s">
        <v>145</v>
      </c>
      <c r="J4800">
        <v>0</v>
      </c>
      <c r="K4800">
        <v>2</v>
      </c>
      <c r="L4800">
        <v>2</v>
      </c>
      <c r="M4800">
        <v>61</v>
      </c>
      <c r="N4800">
        <v>208</v>
      </c>
      <c r="O4800">
        <v>4</v>
      </c>
      <c r="P4800">
        <v>147</v>
      </c>
      <c r="Q4800">
        <v>4</v>
      </c>
      <c r="R4800">
        <v>54</v>
      </c>
      <c r="S4800">
        <v>3</v>
      </c>
      <c r="T4800">
        <v>1</v>
      </c>
      <c r="U4800">
        <v>30</v>
      </c>
      <c r="V4800">
        <v>3</v>
      </c>
      <c r="W4800">
        <v>0</v>
      </c>
      <c r="X4800">
        <v>20</v>
      </c>
      <c r="Y4800">
        <v>5</v>
      </c>
      <c r="Z4800">
        <v>2</v>
      </c>
      <c r="AA4800">
        <v>0</v>
      </c>
      <c r="AC4800">
        <v>1</v>
      </c>
      <c r="AD4800">
        <v>0</v>
      </c>
      <c r="AE4800">
        <v>0</v>
      </c>
      <c r="AF4800">
        <v>0</v>
      </c>
      <c r="AG4800">
        <v>0</v>
      </c>
      <c r="AH4800">
        <v>1</v>
      </c>
      <c r="AI4800">
        <v>1</v>
      </c>
      <c r="AJ4800">
        <v>0</v>
      </c>
      <c r="AK4800">
        <v>14</v>
      </c>
      <c r="AL4800">
        <v>1</v>
      </c>
      <c r="AM4800">
        <v>2</v>
      </c>
      <c r="AN4800">
        <v>0</v>
      </c>
      <c r="AT4800">
        <v>0</v>
      </c>
      <c r="AU4800">
        <v>5</v>
      </c>
      <c r="AV4800">
        <v>147</v>
      </c>
      <c r="AW4800">
        <v>147</v>
      </c>
      <c r="AX4800">
        <v>186</v>
      </c>
      <c r="BA4800">
        <v>1</v>
      </c>
      <c r="BC4800" t="s">
        <v>9710</v>
      </c>
      <c r="BD4800" s="4">
        <v>43283.281944444447</v>
      </c>
      <c r="BE4800" s="4">
        <v>43283.311192129629</v>
      </c>
      <c r="BF4800" s="4">
        <v>43283.311192129629</v>
      </c>
      <c r="BG4800" t="s">
        <v>83</v>
      </c>
      <c r="BH4800" t="s">
        <v>84</v>
      </c>
      <c r="BI4800" t="s">
        <v>85</v>
      </c>
    </row>
    <row r="4801" spans="1:61" x14ac:dyDescent="0.3">
      <c r="A4801" t="str">
        <f>"202173B0100"</f>
        <v>202173B0100</v>
      </c>
      <c r="B4801" t="s">
        <v>9711</v>
      </c>
      <c r="C4801">
        <v>20</v>
      </c>
      <c r="D4801" t="s">
        <v>79</v>
      </c>
      <c r="E4801">
        <v>22</v>
      </c>
      <c r="F4801" t="s">
        <v>9267</v>
      </c>
      <c r="G4801">
        <v>2173</v>
      </c>
      <c r="H4801">
        <v>1</v>
      </c>
      <c r="I4801" t="s">
        <v>81</v>
      </c>
      <c r="J4801">
        <v>0</v>
      </c>
      <c r="K4801">
        <v>2</v>
      </c>
      <c r="L4801">
        <v>2</v>
      </c>
      <c r="M4801">
        <v>208</v>
      </c>
      <c r="N4801">
        <v>425</v>
      </c>
      <c r="O4801">
        <v>0</v>
      </c>
      <c r="P4801">
        <v>425</v>
      </c>
      <c r="Q4801">
        <v>10</v>
      </c>
      <c r="R4801">
        <v>133</v>
      </c>
      <c r="S4801">
        <v>120</v>
      </c>
      <c r="T4801">
        <v>2</v>
      </c>
      <c r="U4801">
        <v>12</v>
      </c>
      <c r="V4801">
        <v>2</v>
      </c>
      <c r="W4801">
        <v>8</v>
      </c>
      <c r="X4801">
        <v>7</v>
      </c>
      <c r="Y4801">
        <v>85</v>
      </c>
      <c r="Z4801">
        <v>3</v>
      </c>
      <c r="AA4801">
        <v>11</v>
      </c>
      <c r="AC4801">
        <v>0</v>
      </c>
      <c r="AD4801">
        <v>0</v>
      </c>
      <c r="AE4801">
        <v>0</v>
      </c>
      <c r="AF4801">
        <v>0</v>
      </c>
      <c r="AG4801">
        <v>0</v>
      </c>
      <c r="AH4801">
        <v>0</v>
      </c>
      <c r="AI4801">
        <v>0</v>
      </c>
      <c r="AJ4801">
        <v>0</v>
      </c>
      <c r="AK4801">
        <v>0</v>
      </c>
      <c r="AL4801">
        <v>0</v>
      </c>
      <c r="AM4801">
        <v>0</v>
      </c>
      <c r="AN4801">
        <v>0</v>
      </c>
      <c r="AT4801">
        <v>0</v>
      </c>
      <c r="AU4801">
        <v>32</v>
      </c>
      <c r="AV4801">
        <v>345</v>
      </c>
      <c r="AW4801">
        <v>425</v>
      </c>
      <c r="AX4801">
        <v>611</v>
      </c>
      <c r="BA4801">
        <v>1</v>
      </c>
      <c r="BC4801" t="s">
        <v>9712</v>
      </c>
      <c r="BD4801" s="4">
        <v>43283.351388888892</v>
      </c>
      <c r="BE4801" s="4">
        <v>43283.364814814813</v>
      </c>
      <c r="BF4801" s="4">
        <v>43283.364814814813</v>
      </c>
      <c r="BG4801" t="s">
        <v>83</v>
      </c>
      <c r="BH4801" t="s">
        <v>84</v>
      </c>
      <c r="BI4801" t="s">
        <v>85</v>
      </c>
    </row>
    <row r="4802" spans="1:61" x14ac:dyDescent="0.3">
      <c r="A4802" t="str">
        <f>"202173C0100"</f>
        <v>202173C0100</v>
      </c>
      <c r="B4802" t="s">
        <v>9713</v>
      </c>
      <c r="C4802">
        <v>20</v>
      </c>
      <c r="D4802" t="s">
        <v>79</v>
      </c>
      <c r="E4802">
        <v>22</v>
      </c>
      <c r="F4802" t="s">
        <v>9267</v>
      </c>
      <c r="G4802">
        <v>2173</v>
      </c>
      <c r="H4802">
        <v>1</v>
      </c>
      <c r="I4802" t="s">
        <v>89</v>
      </c>
      <c r="J4802">
        <v>0</v>
      </c>
      <c r="K4802">
        <v>2</v>
      </c>
      <c r="L4802">
        <v>2</v>
      </c>
      <c r="M4802">
        <v>196</v>
      </c>
      <c r="N4802">
        <v>437</v>
      </c>
      <c r="O4802">
        <v>0</v>
      </c>
      <c r="P4802">
        <v>0</v>
      </c>
      <c r="Q4802">
        <v>16</v>
      </c>
      <c r="R4802">
        <v>117</v>
      </c>
      <c r="S4802">
        <v>116</v>
      </c>
      <c r="T4802">
        <v>2</v>
      </c>
      <c r="U4802">
        <v>6</v>
      </c>
      <c r="V4802">
        <v>1</v>
      </c>
      <c r="W4802">
        <v>3</v>
      </c>
      <c r="X4802">
        <v>4</v>
      </c>
      <c r="Y4802">
        <v>109</v>
      </c>
      <c r="Z4802">
        <v>4</v>
      </c>
      <c r="AA4802">
        <v>27</v>
      </c>
      <c r="AC4802">
        <v>0</v>
      </c>
      <c r="AD4802">
        <v>0</v>
      </c>
      <c r="AE4802">
        <v>0</v>
      </c>
      <c r="AF4802">
        <v>1</v>
      </c>
      <c r="AG4802">
        <v>2</v>
      </c>
      <c r="AH4802">
        <v>0</v>
      </c>
      <c r="AI4802">
        <v>0</v>
      </c>
      <c r="AJ4802">
        <v>0</v>
      </c>
      <c r="AK4802">
        <v>1</v>
      </c>
      <c r="AL4802">
        <v>0</v>
      </c>
      <c r="AM4802">
        <v>0</v>
      </c>
      <c r="AN4802">
        <v>0</v>
      </c>
      <c r="AT4802" t="s">
        <v>100</v>
      </c>
      <c r="AU4802" t="s">
        <v>100</v>
      </c>
      <c r="AV4802">
        <v>437</v>
      </c>
      <c r="AW4802">
        <v>409</v>
      </c>
      <c r="AX4802">
        <v>611</v>
      </c>
      <c r="AZ4802" t="s">
        <v>101</v>
      </c>
      <c r="BA4802">
        <v>1</v>
      </c>
      <c r="BC4802" t="s">
        <v>9714</v>
      </c>
      <c r="BD4802" s="4">
        <v>43283.353472222225</v>
      </c>
      <c r="BE4802" s="4">
        <v>43283.368564814817</v>
      </c>
      <c r="BF4802" s="4">
        <v>43283.368564814817</v>
      </c>
      <c r="BG4802" t="s">
        <v>83</v>
      </c>
      <c r="BH4802" t="s">
        <v>84</v>
      </c>
      <c r="BI4802" t="s">
        <v>85</v>
      </c>
    </row>
    <row r="4803" spans="1:61" x14ac:dyDescent="0.3">
      <c r="A4803" t="str">
        <f>"202174B0100"</f>
        <v>202174B0100</v>
      </c>
      <c r="B4803" t="s">
        <v>9715</v>
      </c>
      <c r="C4803">
        <v>20</v>
      </c>
      <c r="D4803" t="s">
        <v>79</v>
      </c>
      <c r="E4803">
        <v>22</v>
      </c>
      <c r="F4803" t="s">
        <v>9267</v>
      </c>
      <c r="G4803">
        <v>2174</v>
      </c>
      <c r="H4803">
        <v>1</v>
      </c>
      <c r="I4803" t="s">
        <v>81</v>
      </c>
      <c r="J4803">
        <v>0</v>
      </c>
      <c r="K4803">
        <v>2</v>
      </c>
      <c r="L4803">
        <v>2</v>
      </c>
      <c r="M4803">
        <v>263</v>
      </c>
      <c r="N4803" t="s">
        <v>315</v>
      </c>
      <c r="O4803">
        <v>0</v>
      </c>
      <c r="P4803" t="s">
        <v>315</v>
      </c>
      <c r="Q4803" t="s">
        <v>315</v>
      </c>
      <c r="R4803" t="s">
        <v>315</v>
      </c>
      <c r="S4803">
        <v>85</v>
      </c>
      <c r="T4803">
        <v>0</v>
      </c>
      <c r="U4803" t="s">
        <v>315</v>
      </c>
      <c r="V4803">
        <v>0</v>
      </c>
      <c r="W4803">
        <v>10</v>
      </c>
      <c r="X4803">
        <v>6</v>
      </c>
      <c r="Y4803">
        <v>91</v>
      </c>
      <c r="Z4803">
        <v>4</v>
      </c>
      <c r="AA4803">
        <v>17</v>
      </c>
      <c r="AC4803">
        <v>1</v>
      </c>
      <c r="AD4803" t="s">
        <v>315</v>
      </c>
      <c r="AE4803">
        <v>0</v>
      </c>
      <c r="AF4803">
        <v>0</v>
      </c>
      <c r="AG4803">
        <v>0</v>
      </c>
      <c r="AH4803">
        <v>3</v>
      </c>
      <c r="AI4803">
        <v>0</v>
      </c>
      <c r="AJ4803">
        <v>0</v>
      </c>
      <c r="AK4803">
        <v>1</v>
      </c>
      <c r="AL4803">
        <v>3</v>
      </c>
      <c r="AM4803">
        <v>1</v>
      </c>
      <c r="AN4803">
        <v>0</v>
      </c>
      <c r="AT4803">
        <v>0</v>
      </c>
      <c r="AU4803">
        <v>40</v>
      </c>
      <c r="AV4803">
        <v>504</v>
      </c>
      <c r="AW4803">
        <v>262</v>
      </c>
      <c r="AX4803">
        <v>745</v>
      </c>
      <c r="AZ4803" t="s">
        <v>101</v>
      </c>
      <c r="BA4803">
        <v>1</v>
      </c>
      <c r="BC4803" t="s">
        <v>9716</v>
      </c>
      <c r="BD4803" s="4">
        <v>43283.351388888892</v>
      </c>
      <c r="BE4803" s="4">
        <v>43283.384259259263</v>
      </c>
      <c r="BF4803" s="4">
        <v>43283.384259259263</v>
      </c>
      <c r="BG4803" t="s">
        <v>83</v>
      </c>
      <c r="BH4803" t="s">
        <v>84</v>
      </c>
      <c r="BI4803" t="s">
        <v>85</v>
      </c>
    </row>
    <row r="4804" spans="1:61" x14ac:dyDescent="0.3">
      <c r="A4804" t="str">
        <f>"202174E0100"</f>
        <v>202174E0100</v>
      </c>
      <c r="B4804" s="2" t="s">
        <v>9717</v>
      </c>
      <c r="C4804">
        <v>20</v>
      </c>
      <c r="D4804" t="s">
        <v>79</v>
      </c>
      <c r="E4804">
        <v>22</v>
      </c>
      <c r="F4804" t="s">
        <v>9267</v>
      </c>
      <c r="G4804">
        <v>2174</v>
      </c>
      <c r="H4804">
        <v>1</v>
      </c>
      <c r="I4804" t="s">
        <v>145</v>
      </c>
      <c r="J4804">
        <v>0</v>
      </c>
      <c r="K4804">
        <v>2</v>
      </c>
      <c r="L4804">
        <v>2</v>
      </c>
      <c r="M4804">
        <v>99</v>
      </c>
      <c r="N4804">
        <v>249</v>
      </c>
      <c r="O4804">
        <v>1</v>
      </c>
      <c r="P4804">
        <v>249</v>
      </c>
      <c r="Q4804">
        <v>0</v>
      </c>
      <c r="R4804">
        <v>91</v>
      </c>
      <c r="S4804">
        <v>54</v>
      </c>
      <c r="T4804">
        <v>3</v>
      </c>
      <c r="U4804">
        <v>5</v>
      </c>
      <c r="V4804">
        <v>3</v>
      </c>
      <c r="W4804">
        <v>12</v>
      </c>
      <c r="X4804">
        <v>1</v>
      </c>
      <c r="Y4804">
        <v>41</v>
      </c>
      <c r="Z4804">
        <v>1</v>
      </c>
      <c r="AA4804">
        <v>7</v>
      </c>
      <c r="AC4804">
        <v>0</v>
      </c>
      <c r="AD4804">
        <v>0</v>
      </c>
      <c r="AE4804">
        <v>0</v>
      </c>
      <c r="AF4804">
        <v>0</v>
      </c>
      <c r="AG4804">
        <v>2</v>
      </c>
      <c r="AH4804">
        <v>0</v>
      </c>
      <c r="AI4804">
        <v>0</v>
      </c>
      <c r="AJ4804">
        <v>0</v>
      </c>
      <c r="AK4804">
        <v>1</v>
      </c>
      <c r="AL4804">
        <v>0</v>
      </c>
      <c r="AM4804">
        <v>0</v>
      </c>
      <c r="AN4804">
        <v>1</v>
      </c>
      <c r="AT4804">
        <v>0</v>
      </c>
      <c r="AU4804">
        <v>27</v>
      </c>
      <c r="AV4804">
        <v>249</v>
      </c>
      <c r="AW4804">
        <v>249</v>
      </c>
      <c r="AX4804">
        <v>330</v>
      </c>
      <c r="BA4804">
        <v>1</v>
      </c>
      <c r="BC4804" t="s">
        <v>9718</v>
      </c>
      <c r="BD4804" s="4">
        <v>43283.351388888892</v>
      </c>
      <c r="BE4804" s="4">
        <v>43283.383900462963</v>
      </c>
      <c r="BF4804" s="4">
        <v>43283.383900462963</v>
      </c>
      <c r="BG4804" t="s">
        <v>83</v>
      </c>
      <c r="BH4804" t="s">
        <v>84</v>
      </c>
      <c r="BI4804" t="s">
        <v>85</v>
      </c>
    </row>
    <row r="4805" spans="1:61" x14ac:dyDescent="0.3">
      <c r="A4805" t="str">
        <f>"201170B0100"</f>
        <v>201170B0100</v>
      </c>
      <c r="B4805" t="s">
        <v>9719</v>
      </c>
      <c r="C4805">
        <v>20</v>
      </c>
      <c r="D4805" t="s">
        <v>79</v>
      </c>
      <c r="E4805">
        <v>23</v>
      </c>
      <c r="F4805" t="s">
        <v>9720</v>
      </c>
      <c r="G4805">
        <v>1170</v>
      </c>
      <c r="H4805">
        <v>1</v>
      </c>
      <c r="I4805" t="s">
        <v>81</v>
      </c>
      <c r="J4805">
        <v>0</v>
      </c>
      <c r="K4805">
        <v>2</v>
      </c>
      <c r="L4805">
        <v>2</v>
      </c>
      <c r="M4805">
        <v>326</v>
      </c>
      <c r="N4805">
        <v>446</v>
      </c>
      <c r="O4805">
        <v>1</v>
      </c>
      <c r="P4805">
        <v>446</v>
      </c>
      <c r="Q4805">
        <v>6</v>
      </c>
      <c r="R4805">
        <v>87</v>
      </c>
      <c r="S4805">
        <v>8</v>
      </c>
      <c r="T4805">
        <v>5</v>
      </c>
      <c r="U4805">
        <v>20</v>
      </c>
      <c r="V4805">
        <v>5</v>
      </c>
      <c r="W4805">
        <v>4</v>
      </c>
      <c r="X4805">
        <v>7</v>
      </c>
      <c r="Y4805">
        <v>265</v>
      </c>
      <c r="Z4805">
        <v>9</v>
      </c>
      <c r="AA4805">
        <v>0</v>
      </c>
      <c r="AB4805">
        <v>1</v>
      </c>
      <c r="AC4805">
        <v>0</v>
      </c>
      <c r="AD4805">
        <v>1</v>
      </c>
      <c r="AE4805">
        <v>0</v>
      </c>
      <c r="AF4805">
        <v>0</v>
      </c>
      <c r="AG4805">
        <v>1</v>
      </c>
      <c r="AH4805">
        <v>4</v>
      </c>
      <c r="AI4805">
        <v>0</v>
      </c>
      <c r="AJ4805">
        <v>0</v>
      </c>
      <c r="AK4805">
        <v>3</v>
      </c>
      <c r="AL4805">
        <v>0</v>
      </c>
      <c r="AM4805">
        <v>0</v>
      </c>
      <c r="AN4805">
        <v>2</v>
      </c>
      <c r="AT4805">
        <v>0</v>
      </c>
      <c r="AU4805">
        <v>18</v>
      </c>
      <c r="AV4805">
        <v>446</v>
      </c>
      <c r="AW4805">
        <v>446</v>
      </c>
      <c r="AX4805">
        <v>750</v>
      </c>
      <c r="BA4805">
        <v>1</v>
      </c>
      <c r="BC4805" t="s">
        <v>9721</v>
      </c>
      <c r="BD4805" s="4">
        <v>43283.35665509259</v>
      </c>
      <c r="BE4805" s="4">
        <v>43283.370347222219</v>
      </c>
      <c r="BF4805" s="4">
        <v>43283.370347222219</v>
      </c>
      <c r="BG4805" t="s">
        <v>83</v>
      </c>
      <c r="BH4805" t="s">
        <v>84</v>
      </c>
      <c r="BI4805" t="s">
        <v>85</v>
      </c>
    </row>
    <row r="4806" spans="1:61" x14ac:dyDescent="0.3">
      <c r="A4806" t="str">
        <f>"201170C0100"</f>
        <v>201170C0100</v>
      </c>
      <c r="B4806" t="s">
        <v>9722</v>
      </c>
      <c r="C4806">
        <v>20</v>
      </c>
      <c r="D4806" t="s">
        <v>79</v>
      </c>
      <c r="E4806">
        <v>23</v>
      </c>
      <c r="F4806" t="s">
        <v>9720</v>
      </c>
      <c r="G4806">
        <v>1170</v>
      </c>
      <c r="H4806">
        <v>1</v>
      </c>
      <c r="I4806" t="s">
        <v>89</v>
      </c>
      <c r="J4806">
        <v>0</v>
      </c>
      <c r="K4806">
        <v>2</v>
      </c>
      <c r="L4806">
        <v>2</v>
      </c>
      <c r="M4806">
        <v>313</v>
      </c>
      <c r="N4806">
        <v>458</v>
      </c>
      <c r="O4806">
        <v>0</v>
      </c>
      <c r="P4806">
        <v>458</v>
      </c>
      <c r="Q4806">
        <v>6</v>
      </c>
      <c r="R4806">
        <v>84</v>
      </c>
      <c r="S4806">
        <v>11</v>
      </c>
      <c r="T4806">
        <v>5</v>
      </c>
      <c r="U4806">
        <v>14</v>
      </c>
      <c r="V4806">
        <v>7</v>
      </c>
      <c r="W4806">
        <v>1</v>
      </c>
      <c r="X4806">
        <v>0</v>
      </c>
      <c r="Y4806">
        <v>300</v>
      </c>
      <c r="Z4806">
        <v>6</v>
      </c>
      <c r="AA4806">
        <v>0</v>
      </c>
      <c r="AB4806">
        <v>0</v>
      </c>
      <c r="AC4806">
        <v>0</v>
      </c>
      <c r="AD4806">
        <v>0</v>
      </c>
      <c r="AE4806">
        <v>0</v>
      </c>
      <c r="AF4806">
        <v>0</v>
      </c>
      <c r="AG4806">
        <v>3</v>
      </c>
      <c r="AH4806">
        <v>0</v>
      </c>
      <c r="AI4806">
        <v>0</v>
      </c>
      <c r="AJ4806">
        <v>0</v>
      </c>
      <c r="AK4806">
        <v>5</v>
      </c>
      <c r="AL4806">
        <v>0</v>
      </c>
      <c r="AM4806">
        <v>0</v>
      </c>
      <c r="AN4806">
        <v>0</v>
      </c>
      <c r="AT4806">
        <v>0</v>
      </c>
      <c r="AU4806">
        <v>16</v>
      </c>
      <c r="AV4806">
        <v>458</v>
      </c>
      <c r="AW4806">
        <v>458</v>
      </c>
      <c r="AX4806">
        <v>749</v>
      </c>
      <c r="BA4806">
        <v>1</v>
      </c>
      <c r="BC4806" t="s">
        <v>9723</v>
      </c>
      <c r="BD4806" s="4">
        <v>43283.357083333336</v>
      </c>
      <c r="BE4806" s="4">
        <v>43283.36818287037</v>
      </c>
      <c r="BF4806" s="4">
        <v>43283.36818287037</v>
      </c>
      <c r="BG4806" t="s">
        <v>83</v>
      </c>
      <c r="BH4806" t="s">
        <v>84</v>
      </c>
      <c r="BI4806" t="s">
        <v>85</v>
      </c>
    </row>
    <row r="4807" spans="1:61" x14ac:dyDescent="0.3">
      <c r="A4807" t="str">
        <f>"201170E0100"</f>
        <v>201170E0100</v>
      </c>
      <c r="B4807" s="2" t="s">
        <v>9724</v>
      </c>
      <c r="C4807">
        <v>20</v>
      </c>
      <c r="D4807" t="s">
        <v>79</v>
      </c>
      <c r="E4807">
        <v>23</v>
      </c>
      <c r="F4807" t="s">
        <v>9720</v>
      </c>
      <c r="G4807">
        <v>1170</v>
      </c>
      <c r="H4807">
        <v>1</v>
      </c>
      <c r="I4807" t="s">
        <v>145</v>
      </c>
      <c r="J4807">
        <v>0</v>
      </c>
      <c r="K4807">
        <v>2</v>
      </c>
      <c r="L4807">
        <v>2</v>
      </c>
      <c r="M4807">
        <v>149</v>
      </c>
      <c r="N4807">
        <v>225</v>
      </c>
      <c r="O4807">
        <v>4</v>
      </c>
      <c r="P4807">
        <v>225</v>
      </c>
      <c r="Q4807">
        <v>3</v>
      </c>
      <c r="R4807">
        <v>25</v>
      </c>
      <c r="S4807">
        <v>4</v>
      </c>
      <c r="T4807" t="s">
        <v>100</v>
      </c>
      <c r="U4807">
        <v>13</v>
      </c>
      <c r="V4807">
        <v>3</v>
      </c>
      <c r="W4807">
        <v>2</v>
      </c>
      <c r="X4807">
        <v>1</v>
      </c>
      <c r="Y4807">
        <v>140</v>
      </c>
      <c r="Z4807">
        <v>7</v>
      </c>
      <c r="AA4807">
        <v>1</v>
      </c>
      <c r="AB4807">
        <v>3</v>
      </c>
      <c r="AC4807">
        <v>1</v>
      </c>
      <c r="AD4807" t="s">
        <v>100</v>
      </c>
      <c r="AE4807" t="s">
        <v>100</v>
      </c>
      <c r="AF4807" t="s">
        <v>100</v>
      </c>
      <c r="AG4807" t="s">
        <v>100</v>
      </c>
      <c r="AH4807">
        <v>3</v>
      </c>
      <c r="AI4807" t="s">
        <v>100</v>
      </c>
      <c r="AJ4807" t="s">
        <v>100</v>
      </c>
      <c r="AK4807">
        <v>2</v>
      </c>
      <c r="AL4807">
        <v>2</v>
      </c>
      <c r="AM4807" t="s">
        <v>100</v>
      </c>
      <c r="AN4807">
        <v>1</v>
      </c>
      <c r="AT4807" t="s">
        <v>100</v>
      </c>
      <c r="AU4807">
        <v>14</v>
      </c>
      <c r="AV4807" t="s">
        <v>315</v>
      </c>
      <c r="AW4807">
        <v>225</v>
      </c>
      <c r="AX4807">
        <v>352</v>
      </c>
      <c r="AZ4807" t="s">
        <v>101</v>
      </c>
      <c r="BA4807">
        <v>1</v>
      </c>
      <c r="BC4807" t="s">
        <v>9725</v>
      </c>
      <c r="BD4807" s="4">
        <v>43283.591400462959</v>
      </c>
      <c r="BE4807" s="4">
        <v>43283.598819444444</v>
      </c>
      <c r="BF4807" s="4">
        <v>43283.598819444444</v>
      </c>
      <c r="BG4807" t="s">
        <v>83</v>
      </c>
      <c r="BH4807" t="s">
        <v>84</v>
      </c>
      <c r="BI4807" t="s">
        <v>85</v>
      </c>
    </row>
    <row r="4808" spans="1:61" x14ac:dyDescent="0.3">
      <c r="A4808" t="str">
        <f>"201171B0100"</f>
        <v>201171B0100</v>
      </c>
      <c r="B4808" t="s">
        <v>9726</v>
      </c>
      <c r="C4808">
        <v>20</v>
      </c>
      <c r="D4808" t="s">
        <v>79</v>
      </c>
      <c r="E4808">
        <v>23</v>
      </c>
      <c r="F4808" t="s">
        <v>9720</v>
      </c>
      <c r="G4808">
        <v>1171</v>
      </c>
      <c r="H4808">
        <v>1</v>
      </c>
      <c r="I4808" t="s">
        <v>81</v>
      </c>
      <c r="J4808">
        <v>0</v>
      </c>
      <c r="K4808">
        <v>2</v>
      </c>
      <c r="L4808">
        <v>2</v>
      </c>
      <c r="M4808">
        <v>272</v>
      </c>
      <c r="N4808">
        <v>352</v>
      </c>
      <c r="O4808">
        <v>0</v>
      </c>
      <c r="P4808">
        <v>352</v>
      </c>
      <c r="Q4808">
        <v>11</v>
      </c>
      <c r="R4808">
        <v>128</v>
      </c>
      <c r="S4808">
        <v>6</v>
      </c>
      <c r="T4808">
        <v>6</v>
      </c>
      <c r="U4808">
        <v>20</v>
      </c>
      <c r="V4808">
        <v>2</v>
      </c>
      <c r="W4808">
        <v>8</v>
      </c>
      <c r="X4808">
        <v>2</v>
      </c>
      <c r="Y4808">
        <v>142</v>
      </c>
      <c r="Z4808">
        <v>10</v>
      </c>
      <c r="AA4808">
        <v>0</v>
      </c>
      <c r="AB4808">
        <v>3</v>
      </c>
      <c r="AC4808">
        <v>0</v>
      </c>
      <c r="AD4808">
        <v>0</v>
      </c>
      <c r="AE4808">
        <v>0</v>
      </c>
      <c r="AF4808">
        <v>0</v>
      </c>
      <c r="AG4808">
        <v>0</v>
      </c>
      <c r="AH4808">
        <v>1</v>
      </c>
      <c r="AI4808">
        <v>1</v>
      </c>
      <c r="AJ4808">
        <v>0</v>
      </c>
      <c r="AK4808">
        <v>1</v>
      </c>
      <c r="AL4808">
        <v>1</v>
      </c>
      <c r="AM4808">
        <v>0</v>
      </c>
      <c r="AN4808">
        <v>0</v>
      </c>
      <c r="AT4808">
        <v>0</v>
      </c>
      <c r="AU4808">
        <v>10</v>
      </c>
      <c r="AV4808" t="s">
        <v>100</v>
      </c>
      <c r="AW4808">
        <v>352</v>
      </c>
      <c r="AX4808">
        <v>602</v>
      </c>
      <c r="BA4808">
        <v>1</v>
      </c>
      <c r="BC4808" t="s">
        <v>9727</v>
      </c>
      <c r="BD4808" s="4">
        <v>43283.353622685187</v>
      </c>
      <c r="BE4808" s="4">
        <v>43283.368796296294</v>
      </c>
      <c r="BF4808" s="4">
        <v>43283.368796296294</v>
      </c>
      <c r="BG4808" t="s">
        <v>83</v>
      </c>
      <c r="BH4808" t="s">
        <v>84</v>
      </c>
      <c r="BI4808" t="s">
        <v>85</v>
      </c>
    </row>
    <row r="4809" spans="1:61" x14ac:dyDescent="0.3">
      <c r="A4809" t="str">
        <f>"201171E0100"</f>
        <v>201171E0100</v>
      </c>
      <c r="B4809" s="2" t="s">
        <v>9728</v>
      </c>
      <c r="C4809">
        <v>20</v>
      </c>
      <c r="D4809" t="s">
        <v>79</v>
      </c>
      <c r="E4809">
        <v>23</v>
      </c>
      <c r="F4809" t="s">
        <v>9720</v>
      </c>
      <c r="G4809">
        <v>1171</v>
      </c>
      <c r="H4809">
        <v>1</v>
      </c>
      <c r="I4809" t="s">
        <v>145</v>
      </c>
      <c r="J4809">
        <v>0</v>
      </c>
      <c r="K4809">
        <v>2</v>
      </c>
      <c r="L4809">
        <v>2</v>
      </c>
      <c r="M4809">
        <v>251</v>
      </c>
      <c r="N4809">
        <v>385</v>
      </c>
      <c r="O4809">
        <v>3</v>
      </c>
      <c r="P4809">
        <v>385</v>
      </c>
      <c r="Q4809">
        <v>26</v>
      </c>
      <c r="R4809">
        <v>117</v>
      </c>
      <c r="S4809">
        <v>12</v>
      </c>
      <c r="T4809">
        <v>4</v>
      </c>
      <c r="U4809">
        <v>25</v>
      </c>
      <c r="V4809">
        <v>7</v>
      </c>
      <c r="W4809">
        <v>3</v>
      </c>
      <c r="X4809">
        <v>5</v>
      </c>
      <c r="Y4809">
        <v>167</v>
      </c>
      <c r="Z4809">
        <v>1</v>
      </c>
      <c r="AA4809">
        <v>0</v>
      </c>
      <c r="AB4809">
        <v>3</v>
      </c>
      <c r="AC4809">
        <v>0</v>
      </c>
      <c r="AD4809">
        <v>0</v>
      </c>
      <c r="AE4809">
        <v>0</v>
      </c>
      <c r="AF4809">
        <v>0</v>
      </c>
      <c r="AG4809">
        <v>0</v>
      </c>
      <c r="AH4809">
        <v>1</v>
      </c>
      <c r="AI4809">
        <v>0</v>
      </c>
      <c r="AJ4809">
        <v>0</v>
      </c>
      <c r="AK4809">
        <v>0</v>
      </c>
      <c r="AL4809">
        <v>3</v>
      </c>
      <c r="AM4809">
        <v>0</v>
      </c>
      <c r="AN4809">
        <v>0</v>
      </c>
      <c r="AT4809">
        <v>0</v>
      </c>
      <c r="AU4809">
        <v>11</v>
      </c>
      <c r="AV4809">
        <v>385</v>
      </c>
      <c r="AW4809">
        <v>385</v>
      </c>
      <c r="AX4809">
        <v>614</v>
      </c>
      <c r="BA4809">
        <v>1</v>
      </c>
      <c r="BC4809" s="2" t="s">
        <v>9729</v>
      </c>
      <c r="BD4809" s="4">
        <v>43283.356157407405</v>
      </c>
      <c r="BE4809" s="4">
        <v>43283.367650462962</v>
      </c>
      <c r="BF4809" s="4">
        <v>43283.367650462962</v>
      </c>
      <c r="BG4809" t="s">
        <v>83</v>
      </c>
      <c r="BH4809" t="s">
        <v>84</v>
      </c>
      <c r="BI4809" t="s">
        <v>85</v>
      </c>
    </row>
    <row r="4810" spans="1:61" x14ac:dyDescent="0.3">
      <c r="A4810" t="str">
        <f>"201215B0100"</f>
        <v>201215B0100</v>
      </c>
      <c r="B4810" t="s">
        <v>9730</v>
      </c>
      <c r="C4810">
        <v>20</v>
      </c>
      <c r="D4810" t="s">
        <v>79</v>
      </c>
      <c r="E4810">
        <v>23</v>
      </c>
      <c r="F4810" t="s">
        <v>9720</v>
      </c>
      <c r="G4810">
        <v>1215</v>
      </c>
      <c r="H4810">
        <v>1</v>
      </c>
      <c r="I4810" t="s">
        <v>81</v>
      </c>
      <c r="J4810">
        <v>0</v>
      </c>
      <c r="K4810">
        <v>2</v>
      </c>
      <c r="L4810">
        <v>2</v>
      </c>
      <c r="AX4810">
        <v>604</v>
      </c>
      <c r="AZ4810" t="s">
        <v>156</v>
      </c>
      <c r="BA4810">
        <v>0</v>
      </c>
      <c r="BC4810" t="s">
        <v>9731</v>
      </c>
      <c r="BD4810" s="4">
        <v>43283.674699074072</v>
      </c>
      <c r="BE4810" s="4">
        <v>43283.679479166669</v>
      </c>
      <c r="BF4810" s="4">
        <v>43283.679479166669</v>
      </c>
      <c r="BG4810" t="s">
        <v>83</v>
      </c>
      <c r="BH4810" t="s">
        <v>84</v>
      </c>
      <c r="BI4810" t="s">
        <v>85</v>
      </c>
    </row>
    <row r="4811" spans="1:61" x14ac:dyDescent="0.3">
      <c r="A4811" t="str">
        <f>"201215C0100"</f>
        <v>201215C0100</v>
      </c>
      <c r="B4811" t="s">
        <v>9732</v>
      </c>
      <c r="C4811">
        <v>20</v>
      </c>
      <c r="D4811" t="s">
        <v>79</v>
      </c>
      <c r="E4811">
        <v>23</v>
      </c>
      <c r="F4811" t="s">
        <v>9720</v>
      </c>
      <c r="G4811">
        <v>1215</v>
      </c>
      <c r="H4811">
        <v>1</v>
      </c>
      <c r="I4811" t="s">
        <v>89</v>
      </c>
      <c r="J4811">
        <v>0</v>
      </c>
      <c r="K4811">
        <v>2</v>
      </c>
      <c r="L4811">
        <v>2</v>
      </c>
      <c r="AX4811">
        <v>603</v>
      </c>
      <c r="AZ4811" t="s">
        <v>156</v>
      </c>
      <c r="BA4811">
        <v>0</v>
      </c>
      <c r="BC4811" t="s">
        <v>9733</v>
      </c>
      <c r="BD4811" s="4">
        <v>43283.675219907411</v>
      </c>
      <c r="BE4811" s="4">
        <v>43283.679976851854</v>
      </c>
      <c r="BF4811" s="4">
        <v>43283.679976851854</v>
      </c>
      <c r="BG4811" t="s">
        <v>83</v>
      </c>
      <c r="BH4811" t="s">
        <v>84</v>
      </c>
      <c r="BI4811" t="s">
        <v>85</v>
      </c>
    </row>
    <row r="4812" spans="1:61" x14ac:dyDescent="0.3">
      <c r="A4812" t="str">
        <f>"201215C0200"</f>
        <v>201215C0200</v>
      </c>
      <c r="B4812" t="s">
        <v>9734</v>
      </c>
      <c r="C4812">
        <v>20</v>
      </c>
      <c r="D4812" t="s">
        <v>79</v>
      </c>
      <c r="E4812">
        <v>23</v>
      </c>
      <c r="F4812" t="s">
        <v>9720</v>
      </c>
      <c r="G4812">
        <v>1215</v>
      </c>
      <c r="H4812">
        <v>2</v>
      </c>
      <c r="I4812" t="s">
        <v>89</v>
      </c>
      <c r="J4812">
        <v>0</v>
      </c>
      <c r="K4812">
        <v>2</v>
      </c>
      <c r="L4812">
        <v>2</v>
      </c>
      <c r="AX4812">
        <v>603</v>
      </c>
      <c r="AZ4812" t="s">
        <v>156</v>
      </c>
      <c r="BA4812">
        <v>0</v>
      </c>
      <c r="BC4812" t="s">
        <v>9735</v>
      </c>
      <c r="BD4812" s="4">
        <v>43283.675706018519</v>
      </c>
      <c r="BE4812" s="4">
        <v>43283.680231481485</v>
      </c>
      <c r="BF4812" s="4">
        <v>43283.680231481485</v>
      </c>
      <c r="BG4812" t="s">
        <v>83</v>
      </c>
      <c r="BH4812" t="s">
        <v>84</v>
      </c>
      <c r="BI4812" t="s">
        <v>85</v>
      </c>
    </row>
    <row r="4813" spans="1:61" x14ac:dyDescent="0.3">
      <c r="A4813" t="str">
        <f>"201216B0100"</f>
        <v>201216B0100</v>
      </c>
      <c r="B4813" t="s">
        <v>9736</v>
      </c>
      <c r="C4813">
        <v>20</v>
      </c>
      <c r="D4813" t="s">
        <v>79</v>
      </c>
      <c r="E4813">
        <v>23</v>
      </c>
      <c r="F4813" t="s">
        <v>9720</v>
      </c>
      <c r="G4813">
        <v>1216</v>
      </c>
      <c r="H4813">
        <v>1</v>
      </c>
      <c r="I4813" t="s">
        <v>81</v>
      </c>
      <c r="J4813">
        <v>0</v>
      </c>
      <c r="K4813">
        <v>2</v>
      </c>
      <c r="L4813">
        <v>2</v>
      </c>
      <c r="M4813">
        <v>217</v>
      </c>
      <c r="N4813">
        <v>306</v>
      </c>
      <c r="O4813">
        <v>0</v>
      </c>
      <c r="P4813">
        <v>306</v>
      </c>
      <c r="Q4813">
        <v>3</v>
      </c>
      <c r="R4813">
        <v>37</v>
      </c>
      <c r="S4813">
        <v>9</v>
      </c>
      <c r="T4813">
        <v>4</v>
      </c>
      <c r="U4813">
        <v>13</v>
      </c>
      <c r="V4813">
        <v>10</v>
      </c>
      <c r="W4813">
        <v>4</v>
      </c>
      <c r="X4813">
        <v>5</v>
      </c>
      <c r="Y4813">
        <v>202</v>
      </c>
      <c r="Z4813">
        <v>2</v>
      </c>
      <c r="AA4813">
        <v>3</v>
      </c>
      <c r="AB4813">
        <v>0</v>
      </c>
      <c r="AC4813">
        <v>1</v>
      </c>
      <c r="AD4813">
        <v>0</v>
      </c>
      <c r="AE4813">
        <v>0</v>
      </c>
      <c r="AF4813">
        <v>0</v>
      </c>
      <c r="AG4813">
        <v>0</v>
      </c>
      <c r="AH4813">
        <v>1</v>
      </c>
      <c r="AI4813">
        <v>0</v>
      </c>
      <c r="AJ4813">
        <v>0</v>
      </c>
      <c r="AK4813">
        <v>1</v>
      </c>
      <c r="AL4813">
        <v>1</v>
      </c>
      <c r="AM4813">
        <v>0</v>
      </c>
      <c r="AN4813">
        <v>1</v>
      </c>
      <c r="AT4813">
        <v>0</v>
      </c>
      <c r="AU4813">
        <v>9</v>
      </c>
      <c r="AV4813">
        <v>306</v>
      </c>
      <c r="AW4813">
        <v>306</v>
      </c>
      <c r="AX4813">
        <v>501</v>
      </c>
      <c r="BA4813">
        <v>1</v>
      </c>
      <c r="BC4813" t="s">
        <v>9737</v>
      </c>
      <c r="BD4813" s="4">
        <v>43283.462870370371</v>
      </c>
      <c r="BE4813" s="4">
        <v>43283.465879629628</v>
      </c>
      <c r="BF4813" s="4">
        <v>43283.465879629628</v>
      </c>
      <c r="BG4813" t="s">
        <v>83</v>
      </c>
      <c r="BH4813" t="s">
        <v>84</v>
      </c>
      <c r="BI4813" t="s">
        <v>85</v>
      </c>
    </row>
    <row r="4814" spans="1:61" x14ac:dyDescent="0.3">
      <c r="A4814" t="str">
        <f>"201216C0100"</f>
        <v>201216C0100</v>
      </c>
      <c r="B4814" t="s">
        <v>9738</v>
      </c>
      <c r="C4814">
        <v>20</v>
      </c>
      <c r="D4814" t="s">
        <v>79</v>
      </c>
      <c r="E4814">
        <v>23</v>
      </c>
      <c r="F4814" t="s">
        <v>9720</v>
      </c>
      <c r="G4814">
        <v>1216</v>
      </c>
      <c r="H4814">
        <v>1</v>
      </c>
      <c r="I4814" t="s">
        <v>89</v>
      </c>
      <c r="J4814">
        <v>0</v>
      </c>
      <c r="K4814">
        <v>2</v>
      </c>
      <c r="L4814">
        <v>2</v>
      </c>
      <c r="M4814">
        <v>245</v>
      </c>
      <c r="N4814">
        <v>278</v>
      </c>
      <c r="O4814">
        <v>0</v>
      </c>
      <c r="P4814">
        <v>278</v>
      </c>
      <c r="Q4814">
        <v>7</v>
      </c>
      <c r="R4814">
        <v>55</v>
      </c>
      <c r="S4814">
        <v>7</v>
      </c>
      <c r="T4814">
        <v>4</v>
      </c>
      <c r="U4814">
        <v>17</v>
      </c>
      <c r="V4814">
        <v>0</v>
      </c>
      <c r="W4814">
        <v>4</v>
      </c>
      <c r="X4814">
        <v>1</v>
      </c>
      <c r="Y4814">
        <v>158</v>
      </c>
      <c r="Z4814">
        <v>2</v>
      </c>
      <c r="AA4814">
        <v>1</v>
      </c>
      <c r="AB4814">
        <v>0</v>
      </c>
      <c r="AC4814">
        <v>0</v>
      </c>
      <c r="AD4814">
        <v>0</v>
      </c>
      <c r="AE4814">
        <v>0</v>
      </c>
      <c r="AF4814">
        <v>0</v>
      </c>
      <c r="AG4814">
        <v>1</v>
      </c>
      <c r="AH4814">
        <v>2</v>
      </c>
      <c r="AI4814">
        <v>0</v>
      </c>
      <c r="AJ4814">
        <v>0</v>
      </c>
      <c r="AK4814">
        <v>5</v>
      </c>
      <c r="AL4814">
        <v>1</v>
      </c>
      <c r="AM4814">
        <v>0</v>
      </c>
      <c r="AN4814">
        <v>0</v>
      </c>
      <c r="AT4814">
        <v>0</v>
      </c>
      <c r="AU4814">
        <v>13</v>
      </c>
      <c r="AV4814">
        <v>278</v>
      </c>
      <c r="AW4814">
        <v>278</v>
      </c>
      <c r="AX4814">
        <v>501</v>
      </c>
      <c r="BA4814">
        <v>1</v>
      </c>
      <c r="BC4814" t="s">
        <v>9739</v>
      </c>
      <c r="BD4814" s="4">
        <v>43283.465509259258</v>
      </c>
      <c r="BE4814" s="4">
        <v>43283.471215277779</v>
      </c>
      <c r="BF4814" s="4">
        <v>43283.471215277779</v>
      </c>
      <c r="BG4814" t="s">
        <v>83</v>
      </c>
      <c r="BH4814" t="s">
        <v>84</v>
      </c>
      <c r="BI4814" t="s">
        <v>85</v>
      </c>
    </row>
    <row r="4815" spans="1:61" x14ac:dyDescent="0.3">
      <c r="A4815" t="str">
        <f>"201363B0100"</f>
        <v>201363B0100</v>
      </c>
      <c r="B4815" t="s">
        <v>9740</v>
      </c>
      <c r="C4815">
        <v>20</v>
      </c>
      <c r="D4815" t="s">
        <v>79</v>
      </c>
      <c r="E4815">
        <v>23</v>
      </c>
      <c r="F4815" t="s">
        <v>9720</v>
      </c>
      <c r="G4815">
        <v>1363</v>
      </c>
      <c r="H4815">
        <v>1</v>
      </c>
      <c r="I4815" t="s">
        <v>81</v>
      </c>
      <c r="J4815">
        <v>0</v>
      </c>
      <c r="K4815">
        <v>2</v>
      </c>
      <c r="L4815">
        <v>2</v>
      </c>
      <c r="AX4815">
        <v>545</v>
      </c>
      <c r="AZ4815" t="s">
        <v>156</v>
      </c>
      <c r="BA4815">
        <v>0</v>
      </c>
      <c r="BC4815" t="s">
        <v>9741</v>
      </c>
      <c r="BD4815" s="4">
        <v>43283.676192129627</v>
      </c>
      <c r="BE4815" s="4">
        <v>43283.680092592593</v>
      </c>
      <c r="BF4815" s="4">
        <v>43283.680092592593</v>
      </c>
      <c r="BG4815" t="s">
        <v>83</v>
      </c>
      <c r="BH4815" t="s">
        <v>84</v>
      </c>
      <c r="BI4815" t="s">
        <v>85</v>
      </c>
    </row>
    <row r="4816" spans="1:61" x14ac:dyDescent="0.3">
      <c r="A4816" t="str">
        <f>"201363C0100"</f>
        <v>201363C0100</v>
      </c>
      <c r="B4816" t="s">
        <v>9742</v>
      </c>
      <c r="C4816">
        <v>20</v>
      </c>
      <c r="D4816" t="s">
        <v>79</v>
      </c>
      <c r="E4816">
        <v>23</v>
      </c>
      <c r="F4816" t="s">
        <v>9720</v>
      </c>
      <c r="G4816">
        <v>1363</v>
      </c>
      <c r="H4816">
        <v>1</v>
      </c>
      <c r="I4816" t="s">
        <v>89</v>
      </c>
      <c r="J4816">
        <v>0</v>
      </c>
      <c r="K4816">
        <v>2</v>
      </c>
      <c r="L4816">
        <v>2</v>
      </c>
      <c r="AX4816">
        <v>545</v>
      </c>
      <c r="AZ4816" t="s">
        <v>156</v>
      </c>
      <c r="BA4816">
        <v>0</v>
      </c>
      <c r="BC4816" t="s">
        <v>9743</v>
      </c>
      <c r="BD4816" s="4">
        <v>43283.676631944443</v>
      </c>
      <c r="BE4816" s="4">
        <v>43283.680405092593</v>
      </c>
      <c r="BF4816" s="4">
        <v>43283.680405092593</v>
      </c>
      <c r="BG4816" t="s">
        <v>83</v>
      </c>
      <c r="BH4816" t="s">
        <v>84</v>
      </c>
      <c r="BI4816" t="s">
        <v>85</v>
      </c>
    </row>
    <row r="4817" spans="1:61" x14ac:dyDescent="0.3">
      <c r="A4817" t="str">
        <f>"201363C0200"</f>
        <v>201363C0200</v>
      </c>
      <c r="B4817" t="s">
        <v>9744</v>
      </c>
      <c r="C4817">
        <v>20</v>
      </c>
      <c r="D4817" t="s">
        <v>79</v>
      </c>
      <c r="E4817">
        <v>23</v>
      </c>
      <c r="F4817" t="s">
        <v>9720</v>
      </c>
      <c r="G4817">
        <v>1363</v>
      </c>
      <c r="H4817">
        <v>2</v>
      </c>
      <c r="I4817" t="s">
        <v>89</v>
      </c>
      <c r="J4817">
        <v>0</v>
      </c>
      <c r="K4817">
        <v>2</v>
      </c>
      <c r="L4817">
        <v>2</v>
      </c>
      <c r="AX4817">
        <v>545</v>
      </c>
      <c r="AZ4817" t="s">
        <v>156</v>
      </c>
      <c r="BA4817">
        <v>0</v>
      </c>
      <c r="BC4817" t="s">
        <v>9745</v>
      </c>
      <c r="BD4817" s="4">
        <v>43283.677222222221</v>
      </c>
      <c r="BE4817" s="4">
        <v>43283.680763888886</v>
      </c>
      <c r="BF4817" s="4">
        <v>43283.680763888886</v>
      </c>
      <c r="BG4817" t="s">
        <v>83</v>
      </c>
      <c r="BH4817" t="s">
        <v>84</v>
      </c>
      <c r="BI4817" t="s">
        <v>85</v>
      </c>
    </row>
    <row r="4818" spans="1:61" x14ac:dyDescent="0.3">
      <c r="A4818" t="str">
        <f>"201364B0100"</f>
        <v>201364B0100</v>
      </c>
      <c r="B4818" t="s">
        <v>9746</v>
      </c>
      <c r="C4818">
        <v>20</v>
      </c>
      <c r="D4818" t="s">
        <v>79</v>
      </c>
      <c r="E4818">
        <v>23</v>
      </c>
      <c r="F4818" t="s">
        <v>9720</v>
      </c>
      <c r="G4818">
        <v>1364</v>
      </c>
      <c r="H4818">
        <v>1</v>
      </c>
      <c r="I4818" t="s">
        <v>81</v>
      </c>
      <c r="J4818">
        <v>0</v>
      </c>
      <c r="K4818">
        <v>2</v>
      </c>
      <c r="L4818">
        <v>2</v>
      </c>
      <c r="AX4818">
        <v>603</v>
      </c>
      <c r="AZ4818" t="s">
        <v>156</v>
      </c>
      <c r="BA4818">
        <v>0</v>
      </c>
      <c r="BC4818" t="s">
        <v>9747</v>
      </c>
      <c r="BD4818" s="4">
        <v>43283.677812499998</v>
      </c>
      <c r="BE4818" s="4">
        <v>43283.681203703702</v>
      </c>
      <c r="BF4818" s="4">
        <v>43283.681203703702</v>
      </c>
      <c r="BG4818" t="s">
        <v>83</v>
      </c>
      <c r="BH4818" t="s">
        <v>84</v>
      </c>
      <c r="BI4818" t="s">
        <v>85</v>
      </c>
    </row>
    <row r="4819" spans="1:61" x14ac:dyDescent="0.3">
      <c r="A4819" t="str">
        <f>"201364C0100"</f>
        <v>201364C0100</v>
      </c>
      <c r="B4819" t="s">
        <v>9748</v>
      </c>
      <c r="C4819">
        <v>20</v>
      </c>
      <c r="D4819" t="s">
        <v>79</v>
      </c>
      <c r="E4819">
        <v>23</v>
      </c>
      <c r="F4819" t="s">
        <v>9720</v>
      </c>
      <c r="G4819">
        <v>1364</v>
      </c>
      <c r="H4819">
        <v>1</v>
      </c>
      <c r="I4819" t="s">
        <v>89</v>
      </c>
      <c r="J4819">
        <v>0</v>
      </c>
      <c r="K4819">
        <v>2</v>
      </c>
      <c r="L4819">
        <v>2</v>
      </c>
      <c r="AX4819">
        <v>603</v>
      </c>
      <c r="AZ4819" t="s">
        <v>156</v>
      </c>
      <c r="BA4819">
        <v>0</v>
      </c>
      <c r="BC4819" t="s">
        <v>9749</v>
      </c>
      <c r="BD4819" s="4">
        <v>43283.678344907406</v>
      </c>
      <c r="BE4819" s="4">
        <v>43283.680983796294</v>
      </c>
      <c r="BF4819" s="4">
        <v>43283.680983796294</v>
      </c>
      <c r="BG4819" t="s">
        <v>83</v>
      </c>
      <c r="BH4819" t="s">
        <v>84</v>
      </c>
      <c r="BI4819" t="s">
        <v>85</v>
      </c>
    </row>
    <row r="4820" spans="1:61" x14ac:dyDescent="0.3">
      <c r="A4820" t="str">
        <f>"201364C0200"</f>
        <v>201364C0200</v>
      </c>
      <c r="B4820" t="s">
        <v>9750</v>
      </c>
      <c r="C4820">
        <v>20</v>
      </c>
      <c r="D4820" t="s">
        <v>79</v>
      </c>
      <c r="E4820">
        <v>23</v>
      </c>
      <c r="F4820" t="s">
        <v>9720</v>
      </c>
      <c r="G4820">
        <v>1364</v>
      </c>
      <c r="H4820">
        <v>2</v>
      </c>
      <c r="I4820" t="s">
        <v>89</v>
      </c>
      <c r="J4820">
        <v>0</v>
      </c>
      <c r="K4820">
        <v>2</v>
      </c>
      <c r="L4820">
        <v>2</v>
      </c>
      <c r="AX4820">
        <v>603</v>
      </c>
      <c r="AZ4820" t="s">
        <v>156</v>
      </c>
      <c r="BA4820">
        <v>0</v>
      </c>
      <c r="BC4820" t="s">
        <v>9751</v>
      </c>
      <c r="BD4820" s="4">
        <v>43283.678796296299</v>
      </c>
      <c r="BE4820" s="4">
        <v>43283.682592592595</v>
      </c>
      <c r="BF4820" s="4">
        <v>43283.682592592595</v>
      </c>
      <c r="BG4820" t="s">
        <v>83</v>
      </c>
      <c r="BH4820" t="s">
        <v>84</v>
      </c>
      <c r="BI4820" t="s">
        <v>85</v>
      </c>
    </row>
    <row r="4821" spans="1:61" x14ac:dyDescent="0.3">
      <c r="A4821" t="str">
        <f>"201364C0300"</f>
        <v>201364C0300</v>
      </c>
      <c r="B4821" t="s">
        <v>9752</v>
      </c>
      <c r="C4821">
        <v>20</v>
      </c>
      <c r="D4821" t="s">
        <v>79</v>
      </c>
      <c r="E4821">
        <v>23</v>
      </c>
      <c r="F4821" t="s">
        <v>9720</v>
      </c>
      <c r="G4821">
        <v>1364</v>
      </c>
      <c r="H4821">
        <v>3</v>
      </c>
      <c r="I4821" t="s">
        <v>89</v>
      </c>
      <c r="J4821">
        <v>0</v>
      </c>
      <c r="K4821">
        <v>2</v>
      </c>
      <c r="L4821">
        <v>2</v>
      </c>
      <c r="AX4821">
        <v>603</v>
      </c>
      <c r="AZ4821" t="s">
        <v>156</v>
      </c>
      <c r="BA4821">
        <v>0</v>
      </c>
      <c r="BC4821" t="s">
        <v>9753</v>
      </c>
      <c r="BD4821" s="4">
        <v>43283.679189814815</v>
      </c>
      <c r="BE4821" s="4">
        <v>43283.682372685187</v>
      </c>
      <c r="BF4821" s="4">
        <v>43283.682372685187</v>
      </c>
      <c r="BG4821" t="s">
        <v>83</v>
      </c>
      <c r="BH4821" t="s">
        <v>84</v>
      </c>
      <c r="BI4821" t="s">
        <v>85</v>
      </c>
    </row>
    <row r="4822" spans="1:61" x14ac:dyDescent="0.3">
      <c r="A4822" t="str">
        <f>"201498B0100"</f>
        <v>201498B0100</v>
      </c>
      <c r="B4822" t="s">
        <v>9754</v>
      </c>
      <c r="C4822">
        <v>20</v>
      </c>
      <c r="D4822" t="s">
        <v>79</v>
      </c>
      <c r="E4822">
        <v>23</v>
      </c>
      <c r="F4822" t="s">
        <v>9720</v>
      </c>
      <c r="G4822">
        <v>1498</v>
      </c>
      <c r="H4822">
        <v>1</v>
      </c>
      <c r="I4822" t="s">
        <v>81</v>
      </c>
      <c r="J4822">
        <v>0</v>
      </c>
      <c r="K4822">
        <v>2</v>
      </c>
      <c r="L4822">
        <v>2</v>
      </c>
      <c r="M4822">
        <v>173</v>
      </c>
      <c r="N4822">
        <v>544</v>
      </c>
      <c r="O4822">
        <v>1</v>
      </c>
      <c r="P4822">
        <v>544</v>
      </c>
      <c r="Q4822">
        <v>8</v>
      </c>
      <c r="R4822">
        <v>232</v>
      </c>
      <c r="S4822">
        <v>12</v>
      </c>
      <c r="T4822">
        <v>6</v>
      </c>
      <c r="U4822">
        <v>15</v>
      </c>
      <c r="V4822">
        <v>2</v>
      </c>
      <c r="W4822">
        <v>4</v>
      </c>
      <c r="X4822">
        <v>0</v>
      </c>
      <c r="Y4822">
        <v>226</v>
      </c>
      <c r="Z4822">
        <v>5</v>
      </c>
      <c r="AA4822">
        <v>3</v>
      </c>
      <c r="AB4822">
        <v>1</v>
      </c>
      <c r="AC4822">
        <v>0</v>
      </c>
      <c r="AD4822">
        <v>0</v>
      </c>
      <c r="AE4822">
        <v>0</v>
      </c>
      <c r="AF4822">
        <v>0</v>
      </c>
      <c r="AG4822">
        <v>14</v>
      </c>
      <c r="AH4822">
        <v>0</v>
      </c>
      <c r="AI4822">
        <v>0</v>
      </c>
      <c r="AJ4822">
        <v>2</v>
      </c>
      <c r="AK4822">
        <v>0</v>
      </c>
      <c r="AL4822">
        <v>0</v>
      </c>
      <c r="AM4822">
        <v>0</v>
      </c>
      <c r="AN4822">
        <v>0</v>
      </c>
      <c r="AT4822">
        <v>0</v>
      </c>
      <c r="AU4822">
        <v>11</v>
      </c>
      <c r="AV4822">
        <v>541</v>
      </c>
      <c r="AW4822">
        <v>541</v>
      </c>
      <c r="AX4822">
        <v>693</v>
      </c>
      <c r="BA4822">
        <v>1</v>
      </c>
      <c r="BC4822" t="s">
        <v>9755</v>
      </c>
      <c r="BD4822" s="4">
        <v>43283.116863425923</v>
      </c>
      <c r="BE4822" s="4">
        <v>43283.127199074072</v>
      </c>
      <c r="BF4822" s="4">
        <v>43283.127199074072</v>
      </c>
      <c r="BG4822" t="s">
        <v>83</v>
      </c>
      <c r="BH4822" t="s">
        <v>84</v>
      </c>
      <c r="BI4822" t="s">
        <v>85</v>
      </c>
    </row>
    <row r="4823" spans="1:61" x14ac:dyDescent="0.3">
      <c r="A4823" t="str">
        <f>"201498C0100"</f>
        <v>201498C0100</v>
      </c>
      <c r="B4823" t="s">
        <v>9756</v>
      </c>
      <c r="C4823">
        <v>20</v>
      </c>
      <c r="D4823" t="s">
        <v>79</v>
      </c>
      <c r="E4823">
        <v>23</v>
      </c>
      <c r="F4823" t="s">
        <v>9720</v>
      </c>
      <c r="G4823">
        <v>1498</v>
      </c>
      <c r="H4823">
        <v>1</v>
      </c>
      <c r="I4823" t="s">
        <v>89</v>
      </c>
      <c r="J4823">
        <v>0</v>
      </c>
      <c r="K4823">
        <v>2</v>
      </c>
      <c r="L4823">
        <v>2</v>
      </c>
      <c r="M4823">
        <v>207</v>
      </c>
      <c r="N4823">
        <v>507</v>
      </c>
      <c r="O4823">
        <v>3</v>
      </c>
      <c r="P4823">
        <v>507</v>
      </c>
      <c r="Q4823">
        <v>10</v>
      </c>
      <c r="R4823">
        <v>227</v>
      </c>
      <c r="S4823">
        <v>14</v>
      </c>
      <c r="T4823">
        <v>9</v>
      </c>
      <c r="U4823">
        <v>14</v>
      </c>
      <c r="V4823">
        <v>5</v>
      </c>
      <c r="W4823">
        <v>0</v>
      </c>
      <c r="X4823">
        <v>2</v>
      </c>
      <c r="Y4823">
        <v>194</v>
      </c>
      <c r="Z4823">
        <v>4</v>
      </c>
      <c r="AA4823">
        <v>2</v>
      </c>
      <c r="AB4823">
        <v>1</v>
      </c>
      <c r="AC4823">
        <v>1</v>
      </c>
      <c r="AD4823">
        <v>0</v>
      </c>
      <c r="AE4823">
        <v>0</v>
      </c>
      <c r="AF4823">
        <v>0</v>
      </c>
      <c r="AG4823">
        <v>2</v>
      </c>
      <c r="AH4823">
        <v>9</v>
      </c>
      <c r="AI4823">
        <v>0</v>
      </c>
      <c r="AJ4823">
        <v>0</v>
      </c>
      <c r="AK4823">
        <v>2</v>
      </c>
      <c r="AL4823">
        <v>0</v>
      </c>
      <c r="AM4823">
        <v>0</v>
      </c>
      <c r="AN4823">
        <v>1</v>
      </c>
      <c r="AT4823">
        <v>0</v>
      </c>
      <c r="AU4823">
        <v>9</v>
      </c>
      <c r="AV4823">
        <v>506</v>
      </c>
      <c r="AW4823">
        <v>506</v>
      </c>
      <c r="AX4823">
        <v>692</v>
      </c>
      <c r="BA4823">
        <v>1</v>
      </c>
      <c r="BC4823" t="s">
        <v>9757</v>
      </c>
      <c r="BD4823" s="4">
        <v>43283.05400462963</v>
      </c>
      <c r="BE4823" s="4">
        <v>43283.059664351851</v>
      </c>
      <c r="BF4823" s="4">
        <v>43283.059664351851</v>
      </c>
      <c r="BG4823" t="s">
        <v>83</v>
      </c>
      <c r="BH4823" t="s">
        <v>84</v>
      </c>
      <c r="BI4823" t="s">
        <v>85</v>
      </c>
    </row>
    <row r="4824" spans="1:61" x14ac:dyDescent="0.3">
      <c r="A4824" t="str">
        <f>"201498C0200"</f>
        <v>201498C0200</v>
      </c>
      <c r="B4824" t="s">
        <v>9758</v>
      </c>
      <c r="C4824">
        <v>20</v>
      </c>
      <c r="D4824" t="s">
        <v>79</v>
      </c>
      <c r="E4824">
        <v>23</v>
      </c>
      <c r="F4824" t="s">
        <v>9720</v>
      </c>
      <c r="G4824">
        <v>1498</v>
      </c>
      <c r="H4824">
        <v>2</v>
      </c>
      <c r="I4824" t="s">
        <v>89</v>
      </c>
      <c r="J4824">
        <v>0</v>
      </c>
      <c r="K4824">
        <v>2</v>
      </c>
      <c r="L4824">
        <v>2</v>
      </c>
      <c r="M4824">
        <v>207</v>
      </c>
      <c r="N4824">
        <v>506</v>
      </c>
      <c r="O4824">
        <v>3</v>
      </c>
      <c r="P4824">
        <v>506</v>
      </c>
      <c r="Q4824">
        <v>14</v>
      </c>
      <c r="R4824">
        <v>218</v>
      </c>
      <c r="S4824">
        <v>17</v>
      </c>
      <c r="T4824">
        <v>6</v>
      </c>
      <c r="U4824">
        <v>21</v>
      </c>
      <c r="V4824">
        <v>5</v>
      </c>
      <c r="W4824">
        <v>0</v>
      </c>
      <c r="X4824">
        <v>1</v>
      </c>
      <c r="Y4824">
        <v>177</v>
      </c>
      <c r="Z4824">
        <v>4</v>
      </c>
      <c r="AA4824">
        <v>2</v>
      </c>
      <c r="AB4824">
        <v>3</v>
      </c>
      <c r="AC4824">
        <v>1</v>
      </c>
      <c r="AD4824">
        <v>0</v>
      </c>
      <c r="AE4824">
        <v>0</v>
      </c>
      <c r="AF4824">
        <v>1</v>
      </c>
      <c r="AG4824">
        <v>1</v>
      </c>
      <c r="AH4824">
        <v>7</v>
      </c>
      <c r="AI4824">
        <v>0</v>
      </c>
      <c r="AJ4824">
        <v>0</v>
      </c>
      <c r="AK4824">
        <v>2</v>
      </c>
      <c r="AL4824">
        <v>0</v>
      </c>
      <c r="AM4824">
        <v>0</v>
      </c>
      <c r="AN4824">
        <v>0</v>
      </c>
      <c r="AT4824">
        <v>0</v>
      </c>
      <c r="AU4824">
        <v>26</v>
      </c>
      <c r="AV4824">
        <v>506</v>
      </c>
      <c r="AW4824">
        <v>506</v>
      </c>
      <c r="AX4824">
        <v>692</v>
      </c>
      <c r="BA4824">
        <v>1</v>
      </c>
      <c r="BC4824" t="s">
        <v>9759</v>
      </c>
      <c r="BD4824" s="4">
        <v>43283.110034722224</v>
      </c>
      <c r="BE4824" s="4">
        <v>43283.113900462966</v>
      </c>
      <c r="BF4824" s="4">
        <v>43283.113900462966</v>
      </c>
      <c r="BG4824" t="s">
        <v>83</v>
      </c>
      <c r="BH4824" t="s">
        <v>84</v>
      </c>
      <c r="BI4824" t="s">
        <v>85</v>
      </c>
    </row>
    <row r="4825" spans="1:61" x14ac:dyDescent="0.3">
      <c r="A4825" t="str">
        <f>"201498C0300"</f>
        <v>201498C0300</v>
      </c>
      <c r="B4825" t="s">
        <v>9760</v>
      </c>
      <c r="C4825">
        <v>20</v>
      </c>
      <c r="D4825" t="s">
        <v>79</v>
      </c>
      <c r="E4825">
        <v>23</v>
      </c>
      <c r="F4825" t="s">
        <v>9720</v>
      </c>
      <c r="G4825">
        <v>1498</v>
      </c>
      <c r="H4825">
        <v>3</v>
      </c>
      <c r="I4825" t="s">
        <v>89</v>
      </c>
      <c r="J4825">
        <v>0</v>
      </c>
      <c r="K4825">
        <v>2</v>
      </c>
      <c r="L4825">
        <v>2</v>
      </c>
      <c r="M4825">
        <v>181</v>
      </c>
      <c r="N4825">
        <v>532</v>
      </c>
      <c r="O4825">
        <v>5</v>
      </c>
      <c r="P4825">
        <v>532</v>
      </c>
      <c r="Q4825">
        <v>8</v>
      </c>
      <c r="R4825">
        <v>264</v>
      </c>
      <c r="S4825">
        <v>11</v>
      </c>
      <c r="T4825">
        <v>9</v>
      </c>
      <c r="U4825">
        <v>15</v>
      </c>
      <c r="V4825">
        <v>3</v>
      </c>
      <c r="W4825">
        <v>0</v>
      </c>
      <c r="X4825">
        <v>4</v>
      </c>
      <c r="Y4825">
        <v>168</v>
      </c>
      <c r="Z4825">
        <v>4</v>
      </c>
      <c r="AA4825">
        <v>1</v>
      </c>
      <c r="AB4825">
        <v>0</v>
      </c>
      <c r="AC4825">
        <v>2</v>
      </c>
      <c r="AD4825">
        <v>1</v>
      </c>
      <c r="AE4825">
        <v>0</v>
      </c>
      <c r="AF4825">
        <v>0</v>
      </c>
      <c r="AG4825">
        <v>4</v>
      </c>
      <c r="AH4825">
        <v>8</v>
      </c>
      <c r="AI4825">
        <v>0</v>
      </c>
      <c r="AJ4825">
        <v>0</v>
      </c>
      <c r="AK4825">
        <v>2</v>
      </c>
      <c r="AL4825">
        <v>2</v>
      </c>
      <c r="AM4825">
        <v>0</v>
      </c>
      <c r="AN4825">
        <v>2</v>
      </c>
      <c r="AT4825">
        <v>0</v>
      </c>
      <c r="AU4825">
        <v>24</v>
      </c>
      <c r="AV4825">
        <v>532</v>
      </c>
      <c r="AW4825">
        <v>532</v>
      </c>
      <c r="AX4825">
        <v>692</v>
      </c>
      <c r="BA4825">
        <v>1</v>
      </c>
      <c r="BC4825" t="s">
        <v>9761</v>
      </c>
      <c r="BD4825" s="4">
        <v>43283.107719907406</v>
      </c>
      <c r="BE4825" s="4">
        <v>43283.112118055556</v>
      </c>
      <c r="BF4825" s="4">
        <v>43283.112118055556</v>
      </c>
      <c r="BG4825" t="s">
        <v>83</v>
      </c>
      <c r="BH4825" t="s">
        <v>84</v>
      </c>
      <c r="BI4825" t="s">
        <v>85</v>
      </c>
    </row>
    <row r="4826" spans="1:61" x14ac:dyDescent="0.3">
      <c r="A4826" t="str">
        <f>"201499B0100"</f>
        <v>201499B0100</v>
      </c>
      <c r="B4826" t="s">
        <v>9762</v>
      </c>
      <c r="C4826">
        <v>20</v>
      </c>
      <c r="D4826" t="s">
        <v>79</v>
      </c>
      <c r="E4826">
        <v>23</v>
      </c>
      <c r="F4826" t="s">
        <v>9720</v>
      </c>
      <c r="G4826">
        <v>1499</v>
      </c>
      <c r="H4826">
        <v>1</v>
      </c>
      <c r="I4826" t="s">
        <v>81</v>
      </c>
      <c r="J4826">
        <v>0</v>
      </c>
      <c r="K4826">
        <v>2</v>
      </c>
      <c r="L4826">
        <v>2</v>
      </c>
      <c r="M4826">
        <v>194</v>
      </c>
      <c r="N4826">
        <v>408</v>
      </c>
      <c r="O4826">
        <v>8</v>
      </c>
      <c r="P4826">
        <v>408</v>
      </c>
      <c r="Q4826">
        <v>8</v>
      </c>
      <c r="R4826">
        <v>193</v>
      </c>
      <c r="S4826">
        <v>3</v>
      </c>
      <c r="T4826">
        <v>6</v>
      </c>
      <c r="U4826">
        <v>15</v>
      </c>
      <c r="V4826">
        <v>5</v>
      </c>
      <c r="W4826">
        <v>2</v>
      </c>
      <c r="X4826">
        <v>0</v>
      </c>
      <c r="Y4826">
        <v>137</v>
      </c>
      <c r="Z4826">
        <v>5</v>
      </c>
      <c r="AA4826">
        <v>0</v>
      </c>
      <c r="AB4826">
        <v>1</v>
      </c>
      <c r="AC4826">
        <v>0</v>
      </c>
      <c r="AD4826">
        <v>0</v>
      </c>
      <c r="AE4826">
        <v>0</v>
      </c>
      <c r="AF4826">
        <v>0</v>
      </c>
      <c r="AG4826">
        <v>0</v>
      </c>
      <c r="AH4826">
        <v>6</v>
      </c>
      <c r="AI4826">
        <v>0</v>
      </c>
      <c r="AJ4826">
        <v>0</v>
      </c>
      <c r="AK4826">
        <v>2</v>
      </c>
      <c r="AL4826">
        <v>2</v>
      </c>
      <c r="AM4826">
        <v>0</v>
      </c>
      <c r="AN4826">
        <v>2</v>
      </c>
      <c r="AT4826">
        <v>0</v>
      </c>
      <c r="AU4826">
        <v>16</v>
      </c>
      <c r="AV4826">
        <v>403</v>
      </c>
      <c r="AW4826">
        <v>403</v>
      </c>
      <c r="AX4826">
        <v>573</v>
      </c>
      <c r="BA4826">
        <v>1</v>
      </c>
      <c r="BC4826" t="s">
        <v>9763</v>
      </c>
      <c r="BD4826" s="4">
        <v>43283.41783564815</v>
      </c>
      <c r="BE4826" s="4">
        <v>43283.421122685184</v>
      </c>
      <c r="BF4826" s="4">
        <v>43283.421122685184</v>
      </c>
      <c r="BG4826" t="s">
        <v>83</v>
      </c>
      <c r="BH4826" t="s">
        <v>84</v>
      </c>
      <c r="BI4826" t="s">
        <v>85</v>
      </c>
    </row>
    <row r="4827" spans="1:61" x14ac:dyDescent="0.3">
      <c r="A4827" t="str">
        <f>"201499C0100"</f>
        <v>201499C0100</v>
      </c>
      <c r="B4827" t="s">
        <v>9764</v>
      </c>
      <c r="C4827">
        <v>20</v>
      </c>
      <c r="D4827" t="s">
        <v>79</v>
      </c>
      <c r="E4827">
        <v>23</v>
      </c>
      <c r="F4827" t="s">
        <v>9720</v>
      </c>
      <c r="G4827">
        <v>1499</v>
      </c>
      <c r="H4827">
        <v>1</v>
      </c>
      <c r="I4827" t="s">
        <v>89</v>
      </c>
      <c r="J4827">
        <v>0</v>
      </c>
      <c r="K4827">
        <v>2</v>
      </c>
      <c r="L4827">
        <v>2</v>
      </c>
      <c r="M4827">
        <v>214</v>
      </c>
      <c r="N4827">
        <v>380</v>
      </c>
      <c r="O4827">
        <v>4</v>
      </c>
      <c r="P4827">
        <v>380</v>
      </c>
      <c r="Q4827">
        <v>8</v>
      </c>
      <c r="R4827">
        <v>178</v>
      </c>
      <c r="S4827">
        <v>9</v>
      </c>
      <c r="T4827">
        <v>2</v>
      </c>
      <c r="U4827">
        <v>13</v>
      </c>
      <c r="V4827">
        <v>11</v>
      </c>
      <c r="W4827">
        <v>2</v>
      </c>
      <c r="X4827">
        <v>6</v>
      </c>
      <c r="Y4827">
        <v>117</v>
      </c>
      <c r="Z4827">
        <v>2</v>
      </c>
      <c r="AA4827">
        <v>3</v>
      </c>
      <c r="AB4827">
        <v>0</v>
      </c>
      <c r="AC4827">
        <v>1</v>
      </c>
      <c r="AD4827">
        <v>1</v>
      </c>
      <c r="AE4827">
        <v>0</v>
      </c>
      <c r="AF4827">
        <v>0</v>
      </c>
      <c r="AG4827">
        <v>1</v>
      </c>
      <c r="AH4827">
        <v>1</v>
      </c>
      <c r="AI4827">
        <v>0</v>
      </c>
      <c r="AJ4827">
        <v>0</v>
      </c>
      <c r="AK4827">
        <v>3</v>
      </c>
      <c r="AL4827">
        <v>0</v>
      </c>
      <c r="AM4827">
        <v>0</v>
      </c>
      <c r="AN4827">
        <v>0</v>
      </c>
      <c r="AT4827">
        <v>0</v>
      </c>
      <c r="AU4827">
        <v>22</v>
      </c>
      <c r="AV4827">
        <v>380</v>
      </c>
      <c r="AW4827">
        <v>380</v>
      </c>
      <c r="AX4827">
        <v>572</v>
      </c>
      <c r="BA4827">
        <v>1</v>
      </c>
      <c r="BC4827" t="s">
        <v>9765</v>
      </c>
      <c r="BD4827" s="4">
        <v>43283.411458333336</v>
      </c>
      <c r="BE4827" s="4">
        <v>43283.416018518517</v>
      </c>
      <c r="BF4827" s="4">
        <v>43283.416018518517</v>
      </c>
      <c r="BG4827" t="s">
        <v>83</v>
      </c>
      <c r="BH4827" t="s">
        <v>84</v>
      </c>
      <c r="BI4827" t="s">
        <v>85</v>
      </c>
    </row>
    <row r="4828" spans="1:61" x14ac:dyDescent="0.3">
      <c r="A4828" t="str">
        <f>"201499C0200"</f>
        <v>201499C0200</v>
      </c>
      <c r="B4828" t="s">
        <v>9766</v>
      </c>
      <c r="C4828">
        <v>20</v>
      </c>
      <c r="D4828" t="s">
        <v>79</v>
      </c>
      <c r="E4828">
        <v>23</v>
      </c>
      <c r="F4828" t="s">
        <v>9720</v>
      </c>
      <c r="G4828">
        <v>1499</v>
      </c>
      <c r="H4828">
        <v>2</v>
      </c>
      <c r="I4828" t="s">
        <v>89</v>
      </c>
      <c r="J4828">
        <v>0</v>
      </c>
      <c r="K4828">
        <v>2</v>
      </c>
      <c r="L4828">
        <v>2</v>
      </c>
      <c r="M4828">
        <v>216</v>
      </c>
      <c r="N4828">
        <v>379</v>
      </c>
      <c r="O4828">
        <v>7</v>
      </c>
      <c r="P4828">
        <v>372</v>
      </c>
      <c r="Q4828">
        <v>8</v>
      </c>
      <c r="R4828">
        <v>179</v>
      </c>
      <c r="S4828">
        <v>13</v>
      </c>
      <c r="T4828">
        <v>5</v>
      </c>
      <c r="U4828">
        <v>15</v>
      </c>
      <c r="V4828">
        <v>12</v>
      </c>
      <c r="W4828">
        <v>0</v>
      </c>
      <c r="X4828">
        <v>2</v>
      </c>
      <c r="Y4828">
        <v>101</v>
      </c>
      <c r="Z4828">
        <v>7</v>
      </c>
      <c r="AA4828">
        <v>0</v>
      </c>
      <c r="AB4828">
        <v>1</v>
      </c>
      <c r="AC4828">
        <v>0</v>
      </c>
      <c r="AD4828">
        <v>0</v>
      </c>
      <c r="AE4828">
        <v>0</v>
      </c>
      <c r="AF4828">
        <v>0</v>
      </c>
      <c r="AG4828">
        <v>1</v>
      </c>
      <c r="AH4828">
        <v>14</v>
      </c>
      <c r="AI4828">
        <v>0</v>
      </c>
      <c r="AJ4828">
        <v>0</v>
      </c>
      <c r="AK4828">
        <v>2</v>
      </c>
      <c r="AL4828">
        <v>0</v>
      </c>
      <c r="AM4828">
        <v>0</v>
      </c>
      <c r="AN4828">
        <v>0</v>
      </c>
      <c r="AT4828">
        <v>0</v>
      </c>
      <c r="AU4828">
        <v>12</v>
      </c>
      <c r="AV4828">
        <v>372</v>
      </c>
      <c r="AW4828">
        <v>372</v>
      </c>
      <c r="AX4828">
        <v>572</v>
      </c>
      <c r="BA4828">
        <v>1</v>
      </c>
      <c r="BC4828" t="s">
        <v>9767</v>
      </c>
      <c r="BD4828" s="4">
        <v>43283.418888888889</v>
      </c>
      <c r="BE4828" s="4">
        <v>43283.423229166663</v>
      </c>
      <c r="BF4828" s="4">
        <v>43283.423229166663</v>
      </c>
      <c r="BG4828" t="s">
        <v>83</v>
      </c>
      <c r="BH4828" t="s">
        <v>84</v>
      </c>
      <c r="BI4828" t="s">
        <v>85</v>
      </c>
    </row>
    <row r="4829" spans="1:61" x14ac:dyDescent="0.3">
      <c r="A4829" t="str">
        <f>"201499E0100"</f>
        <v>201499E0100</v>
      </c>
      <c r="B4829" s="2" t="s">
        <v>9768</v>
      </c>
      <c r="C4829">
        <v>20</v>
      </c>
      <c r="D4829" t="s">
        <v>79</v>
      </c>
      <c r="E4829">
        <v>23</v>
      </c>
      <c r="F4829" t="s">
        <v>9720</v>
      </c>
      <c r="G4829">
        <v>1499</v>
      </c>
      <c r="H4829">
        <v>1</v>
      </c>
      <c r="I4829" t="s">
        <v>145</v>
      </c>
      <c r="J4829">
        <v>0</v>
      </c>
      <c r="K4829">
        <v>2</v>
      </c>
      <c r="L4829">
        <v>2</v>
      </c>
      <c r="AX4829">
        <v>533</v>
      </c>
      <c r="AZ4829" t="s">
        <v>156</v>
      </c>
      <c r="BA4829">
        <v>0</v>
      </c>
      <c r="BC4829" t="s">
        <v>9769</v>
      </c>
      <c r="BD4829" s="4">
        <v>43283.744062500002</v>
      </c>
      <c r="BE4829" s="4">
        <v>43283.746423611112</v>
      </c>
      <c r="BF4829" s="4">
        <v>43283.746423611112</v>
      </c>
      <c r="BG4829" t="s">
        <v>83</v>
      </c>
      <c r="BH4829" t="s">
        <v>84</v>
      </c>
      <c r="BI4829" t="s">
        <v>85</v>
      </c>
    </row>
    <row r="4830" spans="1:61" x14ac:dyDescent="0.3">
      <c r="A4830" t="str">
        <f>"201499E0200"</f>
        <v>201499E0200</v>
      </c>
      <c r="B4830" s="2" t="s">
        <v>9770</v>
      </c>
      <c r="C4830">
        <v>20</v>
      </c>
      <c r="D4830" t="s">
        <v>79</v>
      </c>
      <c r="E4830">
        <v>23</v>
      </c>
      <c r="F4830" t="s">
        <v>9720</v>
      </c>
      <c r="G4830">
        <v>1499</v>
      </c>
      <c r="H4830">
        <v>2</v>
      </c>
      <c r="I4830" t="s">
        <v>145</v>
      </c>
      <c r="J4830">
        <v>0</v>
      </c>
      <c r="K4830">
        <v>2</v>
      </c>
      <c r="L4830">
        <v>2</v>
      </c>
      <c r="M4830">
        <v>121</v>
      </c>
      <c r="N4830">
        <v>209</v>
      </c>
      <c r="O4830">
        <v>0</v>
      </c>
      <c r="P4830">
        <v>209</v>
      </c>
      <c r="Q4830">
        <v>5</v>
      </c>
      <c r="R4830">
        <v>119</v>
      </c>
      <c r="S4830">
        <v>3</v>
      </c>
      <c r="T4830">
        <v>5</v>
      </c>
      <c r="U4830">
        <v>12</v>
      </c>
      <c r="V4830">
        <v>4</v>
      </c>
      <c r="W4830">
        <v>2</v>
      </c>
      <c r="X4830">
        <v>0</v>
      </c>
      <c r="Y4830">
        <v>41</v>
      </c>
      <c r="Z4830">
        <v>3</v>
      </c>
      <c r="AA4830">
        <v>1</v>
      </c>
      <c r="AB4830">
        <v>0</v>
      </c>
      <c r="AC4830">
        <v>1</v>
      </c>
      <c r="AD4830">
        <v>0</v>
      </c>
      <c r="AE4830">
        <v>0</v>
      </c>
      <c r="AF4830">
        <v>0</v>
      </c>
      <c r="AG4830">
        <v>0</v>
      </c>
      <c r="AH4830">
        <v>4</v>
      </c>
      <c r="AI4830">
        <v>0</v>
      </c>
      <c r="AJ4830">
        <v>0</v>
      </c>
      <c r="AK4830">
        <v>1</v>
      </c>
      <c r="AL4830">
        <v>0</v>
      </c>
      <c r="AM4830">
        <v>0</v>
      </c>
      <c r="AN4830">
        <v>1</v>
      </c>
      <c r="AT4830">
        <v>0</v>
      </c>
      <c r="AU4830">
        <v>7</v>
      </c>
      <c r="AV4830">
        <v>209</v>
      </c>
      <c r="AW4830">
        <v>209</v>
      </c>
      <c r="AX4830">
        <v>308</v>
      </c>
      <c r="BA4830">
        <v>1</v>
      </c>
      <c r="BC4830" t="s">
        <v>9771</v>
      </c>
      <c r="BD4830" s="4">
        <v>43283.170023148145</v>
      </c>
      <c r="BE4830" s="4">
        <v>43283.182615740741</v>
      </c>
      <c r="BF4830" s="4">
        <v>43283.182615740741</v>
      </c>
      <c r="BG4830" t="s">
        <v>373</v>
      </c>
      <c r="BH4830" t="s">
        <v>374</v>
      </c>
      <c r="BI4830" t="s">
        <v>85</v>
      </c>
    </row>
    <row r="4831" spans="1:61" x14ac:dyDescent="0.3">
      <c r="A4831" t="str">
        <f>"201499E0300"</f>
        <v>201499E0300</v>
      </c>
      <c r="B4831" s="2" t="s">
        <v>9772</v>
      </c>
      <c r="C4831">
        <v>20</v>
      </c>
      <c r="D4831" t="s">
        <v>79</v>
      </c>
      <c r="E4831">
        <v>23</v>
      </c>
      <c r="F4831" t="s">
        <v>9720</v>
      </c>
      <c r="G4831">
        <v>1499</v>
      </c>
      <c r="H4831">
        <v>3</v>
      </c>
      <c r="I4831" t="s">
        <v>145</v>
      </c>
      <c r="J4831">
        <v>0</v>
      </c>
      <c r="K4831">
        <v>2</v>
      </c>
      <c r="L4831">
        <v>2</v>
      </c>
      <c r="M4831">
        <v>82</v>
      </c>
      <c r="N4831">
        <v>201</v>
      </c>
      <c r="O4831">
        <v>5</v>
      </c>
      <c r="P4831">
        <v>201</v>
      </c>
      <c r="Q4831">
        <v>4</v>
      </c>
      <c r="R4831">
        <v>76</v>
      </c>
      <c r="S4831">
        <v>4</v>
      </c>
      <c r="T4831">
        <v>4</v>
      </c>
      <c r="U4831">
        <v>15</v>
      </c>
      <c r="V4831">
        <v>3</v>
      </c>
      <c r="W4831">
        <v>0</v>
      </c>
      <c r="X4831">
        <v>3</v>
      </c>
      <c r="Y4831">
        <v>77</v>
      </c>
      <c r="Z4831">
        <v>4</v>
      </c>
      <c r="AA4831">
        <v>0</v>
      </c>
      <c r="AB4831">
        <v>0</v>
      </c>
      <c r="AC4831">
        <v>0</v>
      </c>
      <c r="AD4831">
        <v>0</v>
      </c>
      <c r="AE4831">
        <v>0</v>
      </c>
      <c r="AF4831">
        <v>0</v>
      </c>
      <c r="AG4831">
        <v>0</v>
      </c>
      <c r="AH4831">
        <v>2</v>
      </c>
      <c r="AI4831">
        <v>0</v>
      </c>
      <c r="AJ4831">
        <v>0</v>
      </c>
      <c r="AK4831">
        <v>1</v>
      </c>
      <c r="AL4831">
        <v>0</v>
      </c>
      <c r="AM4831">
        <v>0</v>
      </c>
      <c r="AN4831">
        <v>0</v>
      </c>
      <c r="AT4831">
        <v>0</v>
      </c>
      <c r="AU4831">
        <v>8</v>
      </c>
      <c r="AV4831">
        <v>201</v>
      </c>
      <c r="AW4831">
        <v>201</v>
      </c>
      <c r="AX4831">
        <v>261</v>
      </c>
      <c r="BA4831">
        <v>1</v>
      </c>
      <c r="BC4831" t="s">
        <v>9773</v>
      </c>
      <c r="BD4831" s="4">
        <v>43283.563321759262</v>
      </c>
      <c r="BE4831" s="4">
        <v>43283.568842592591</v>
      </c>
      <c r="BF4831" s="4">
        <v>43283.568842592591</v>
      </c>
      <c r="BG4831" t="s">
        <v>83</v>
      </c>
      <c r="BH4831" t="s">
        <v>84</v>
      </c>
      <c r="BI4831" t="s">
        <v>85</v>
      </c>
    </row>
    <row r="4832" spans="1:61" x14ac:dyDescent="0.3">
      <c r="A4832" t="str">
        <f>"201500B0100"</f>
        <v>201500B0100</v>
      </c>
      <c r="B4832" t="s">
        <v>9774</v>
      </c>
      <c r="C4832">
        <v>20</v>
      </c>
      <c r="D4832" t="s">
        <v>79</v>
      </c>
      <c r="E4832">
        <v>23</v>
      </c>
      <c r="F4832" t="s">
        <v>9720</v>
      </c>
      <c r="G4832">
        <v>1500</v>
      </c>
      <c r="H4832">
        <v>1</v>
      </c>
      <c r="I4832" t="s">
        <v>81</v>
      </c>
      <c r="J4832">
        <v>0</v>
      </c>
      <c r="K4832">
        <v>1</v>
      </c>
      <c r="L4832">
        <v>2</v>
      </c>
      <c r="AX4832">
        <v>713</v>
      </c>
      <c r="AZ4832" t="s">
        <v>156</v>
      </c>
      <c r="BA4832">
        <v>0</v>
      </c>
      <c r="BC4832" t="s">
        <v>9775</v>
      </c>
      <c r="BD4832" s="4">
        <v>43283.670752314814</v>
      </c>
      <c r="BE4832" s="4">
        <v>43283.673645833333</v>
      </c>
      <c r="BF4832" s="4">
        <v>43283.673645833333</v>
      </c>
      <c r="BG4832" t="s">
        <v>83</v>
      </c>
      <c r="BH4832" t="s">
        <v>84</v>
      </c>
      <c r="BI4832" t="s">
        <v>85</v>
      </c>
    </row>
    <row r="4833" spans="1:61" x14ac:dyDescent="0.3">
      <c r="A4833" t="str">
        <f>"201500C0100"</f>
        <v>201500C0100</v>
      </c>
      <c r="B4833" t="s">
        <v>9776</v>
      </c>
      <c r="C4833">
        <v>20</v>
      </c>
      <c r="D4833" t="s">
        <v>79</v>
      </c>
      <c r="E4833">
        <v>23</v>
      </c>
      <c r="F4833" t="s">
        <v>9720</v>
      </c>
      <c r="G4833">
        <v>1500</v>
      </c>
      <c r="H4833">
        <v>1</v>
      </c>
      <c r="I4833" t="s">
        <v>89</v>
      </c>
      <c r="J4833">
        <v>0</v>
      </c>
      <c r="K4833">
        <v>1</v>
      </c>
      <c r="L4833">
        <v>2</v>
      </c>
      <c r="M4833">
        <v>215</v>
      </c>
      <c r="N4833">
        <v>520</v>
      </c>
      <c r="O4833">
        <v>7</v>
      </c>
      <c r="P4833" t="s">
        <v>100</v>
      </c>
      <c r="Q4833">
        <v>11</v>
      </c>
      <c r="R4833">
        <v>141</v>
      </c>
      <c r="S4833">
        <v>11</v>
      </c>
      <c r="T4833">
        <v>8</v>
      </c>
      <c r="U4833">
        <v>19</v>
      </c>
      <c r="V4833">
        <v>13</v>
      </c>
      <c r="W4833">
        <v>3</v>
      </c>
      <c r="X4833">
        <v>1</v>
      </c>
      <c r="Y4833">
        <v>275</v>
      </c>
      <c r="Z4833">
        <v>6</v>
      </c>
      <c r="AA4833">
        <v>0</v>
      </c>
      <c r="AB4833">
        <v>1</v>
      </c>
      <c r="AC4833">
        <v>0</v>
      </c>
      <c r="AD4833">
        <v>0</v>
      </c>
      <c r="AE4833">
        <v>0</v>
      </c>
      <c r="AF4833">
        <v>0</v>
      </c>
      <c r="AG4833">
        <v>2</v>
      </c>
      <c r="AH4833">
        <v>5</v>
      </c>
      <c r="AI4833">
        <v>2</v>
      </c>
      <c r="AJ4833">
        <v>0</v>
      </c>
      <c r="AK4833">
        <v>3</v>
      </c>
      <c r="AL4833">
        <v>3</v>
      </c>
      <c r="AM4833">
        <v>1</v>
      </c>
      <c r="AN4833">
        <v>0</v>
      </c>
      <c r="AT4833" t="s">
        <v>100</v>
      </c>
      <c r="AU4833" t="s">
        <v>100</v>
      </c>
      <c r="AV4833" t="s">
        <v>100</v>
      </c>
      <c r="AW4833">
        <v>505</v>
      </c>
      <c r="AX4833">
        <v>713</v>
      </c>
      <c r="AZ4833" t="s">
        <v>101</v>
      </c>
      <c r="BA4833">
        <v>1</v>
      </c>
      <c r="BC4833" t="s">
        <v>9777</v>
      </c>
      <c r="BD4833" s="4">
        <v>43283.427025462966</v>
      </c>
      <c r="BE4833" s="4">
        <v>43283.431759259256</v>
      </c>
      <c r="BF4833" s="4">
        <v>43283.431759259256</v>
      </c>
      <c r="BG4833" t="s">
        <v>83</v>
      </c>
      <c r="BH4833" t="s">
        <v>84</v>
      </c>
      <c r="BI4833" t="s">
        <v>85</v>
      </c>
    </row>
    <row r="4834" spans="1:61" x14ac:dyDescent="0.3">
      <c r="A4834" t="str">
        <f>"201500C0200"</f>
        <v>201500C0200</v>
      </c>
      <c r="B4834" t="s">
        <v>9778</v>
      </c>
      <c r="C4834">
        <v>20</v>
      </c>
      <c r="D4834" t="s">
        <v>79</v>
      </c>
      <c r="E4834">
        <v>23</v>
      </c>
      <c r="F4834" t="s">
        <v>9720</v>
      </c>
      <c r="G4834">
        <v>1500</v>
      </c>
      <c r="H4834">
        <v>2</v>
      </c>
      <c r="I4834" t="s">
        <v>89</v>
      </c>
      <c r="J4834">
        <v>0</v>
      </c>
      <c r="K4834">
        <v>1</v>
      </c>
      <c r="L4834">
        <v>2</v>
      </c>
      <c r="M4834">
        <v>196</v>
      </c>
      <c r="N4834">
        <v>537</v>
      </c>
      <c r="O4834">
        <v>6</v>
      </c>
      <c r="P4834">
        <v>539</v>
      </c>
      <c r="Q4834">
        <v>9</v>
      </c>
      <c r="R4834">
        <v>135</v>
      </c>
      <c r="S4834">
        <v>9</v>
      </c>
      <c r="T4834">
        <v>5</v>
      </c>
      <c r="U4834">
        <v>25</v>
      </c>
      <c r="V4834">
        <v>13</v>
      </c>
      <c r="W4834">
        <v>3</v>
      </c>
      <c r="X4834">
        <v>8</v>
      </c>
      <c r="Y4834">
        <v>306</v>
      </c>
      <c r="Z4834">
        <v>7</v>
      </c>
      <c r="AA4834">
        <v>1</v>
      </c>
      <c r="AB4834">
        <v>1</v>
      </c>
      <c r="AC4834">
        <v>0</v>
      </c>
      <c r="AD4834">
        <v>0</v>
      </c>
      <c r="AE4834">
        <v>0</v>
      </c>
      <c r="AF4834">
        <v>0</v>
      </c>
      <c r="AG4834">
        <v>1</v>
      </c>
      <c r="AH4834">
        <v>4</v>
      </c>
      <c r="AI4834">
        <v>0</v>
      </c>
      <c r="AJ4834">
        <v>0</v>
      </c>
      <c r="AK4834">
        <v>5</v>
      </c>
      <c r="AL4834">
        <v>1</v>
      </c>
      <c r="AM4834">
        <v>0</v>
      </c>
      <c r="AN4834">
        <v>0</v>
      </c>
      <c r="AT4834">
        <v>0</v>
      </c>
      <c r="AU4834">
        <v>16</v>
      </c>
      <c r="AV4834">
        <v>539</v>
      </c>
      <c r="AW4834">
        <v>549</v>
      </c>
      <c r="AX4834">
        <v>713</v>
      </c>
      <c r="BA4834">
        <v>1</v>
      </c>
      <c r="BC4834" t="s">
        <v>9779</v>
      </c>
      <c r="BD4834" s="4">
        <v>43283.421053240738</v>
      </c>
      <c r="BE4834" s="4">
        <v>43283.428553240738</v>
      </c>
      <c r="BF4834" s="4">
        <v>43283.428553240738</v>
      </c>
      <c r="BG4834" t="s">
        <v>83</v>
      </c>
      <c r="BH4834" t="s">
        <v>84</v>
      </c>
      <c r="BI4834" t="s">
        <v>85</v>
      </c>
    </row>
    <row r="4835" spans="1:61" x14ac:dyDescent="0.3">
      <c r="A4835" t="str">
        <f>"201501B0100"</f>
        <v>201501B0100</v>
      </c>
      <c r="B4835" t="s">
        <v>9780</v>
      </c>
      <c r="C4835">
        <v>20</v>
      </c>
      <c r="D4835" t="s">
        <v>79</v>
      </c>
      <c r="E4835">
        <v>23</v>
      </c>
      <c r="F4835" t="s">
        <v>9720</v>
      </c>
      <c r="G4835">
        <v>1501</v>
      </c>
      <c r="H4835">
        <v>1</v>
      </c>
      <c r="I4835" t="s">
        <v>81</v>
      </c>
      <c r="J4835">
        <v>0</v>
      </c>
      <c r="K4835">
        <v>2</v>
      </c>
      <c r="L4835">
        <v>2</v>
      </c>
      <c r="AX4835">
        <v>674</v>
      </c>
      <c r="AZ4835" t="s">
        <v>156</v>
      </c>
      <c r="BA4835">
        <v>0</v>
      </c>
      <c r="BC4835" t="s">
        <v>9781</v>
      </c>
      <c r="BD4835" s="4">
        <v>43283.672280092593</v>
      </c>
      <c r="BE4835" s="4">
        <v>43283.673877314817</v>
      </c>
      <c r="BF4835" s="4">
        <v>43283.673877314817</v>
      </c>
      <c r="BG4835" t="s">
        <v>83</v>
      </c>
      <c r="BH4835" t="s">
        <v>84</v>
      </c>
      <c r="BI4835" t="s">
        <v>85</v>
      </c>
    </row>
    <row r="4836" spans="1:61" x14ac:dyDescent="0.3">
      <c r="A4836" t="str">
        <f>"201501C0100"</f>
        <v>201501C0100</v>
      </c>
      <c r="B4836" t="s">
        <v>9782</v>
      </c>
      <c r="C4836">
        <v>20</v>
      </c>
      <c r="D4836" t="s">
        <v>79</v>
      </c>
      <c r="E4836">
        <v>23</v>
      </c>
      <c r="F4836" t="s">
        <v>9720</v>
      </c>
      <c r="G4836">
        <v>1501</v>
      </c>
      <c r="H4836">
        <v>1</v>
      </c>
      <c r="I4836" t="s">
        <v>89</v>
      </c>
      <c r="J4836">
        <v>0</v>
      </c>
      <c r="K4836">
        <v>2</v>
      </c>
      <c r="L4836">
        <v>2</v>
      </c>
      <c r="M4836">
        <v>183</v>
      </c>
      <c r="N4836">
        <v>527</v>
      </c>
      <c r="O4836">
        <v>14</v>
      </c>
      <c r="P4836">
        <v>507</v>
      </c>
      <c r="Q4836">
        <v>14</v>
      </c>
      <c r="R4836">
        <v>137</v>
      </c>
      <c r="S4836">
        <v>10</v>
      </c>
      <c r="T4836">
        <v>11</v>
      </c>
      <c r="U4836">
        <v>23</v>
      </c>
      <c r="V4836">
        <v>11</v>
      </c>
      <c r="W4836">
        <v>1</v>
      </c>
      <c r="X4836">
        <v>5</v>
      </c>
      <c r="Y4836">
        <v>242</v>
      </c>
      <c r="Z4836">
        <v>6</v>
      </c>
      <c r="AA4836">
        <v>2</v>
      </c>
      <c r="AB4836">
        <v>1</v>
      </c>
      <c r="AC4836">
        <v>1</v>
      </c>
      <c r="AD4836">
        <v>0</v>
      </c>
      <c r="AE4836">
        <v>0</v>
      </c>
      <c r="AF4836">
        <v>0</v>
      </c>
      <c r="AG4836">
        <v>1</v>
      </c>
      <c r="AH4836">
        <v>5</v>
      </c>
      <c r="AI4836">
        <v>0</v>
      </c>
      <c r="AJ4836">
        <v>0</v>
      </c>
      <c r="AK4836">
        <v>8</v>
      </c>
      <c r="AL4836">
        <v>2</v>
      </c>
      <c r="AM4836">
        <v>1</v>
      </c>
      <c r="AN4836">
        <v>1</v>
      </c>
      <c r="AT4836">
        <v>0</v>
      </c>
      <c r="AU4836">
        <v>25</v>
      </c>
      <c r="AV4836">
        <v>507</v>
      </c>
      <c r="AW4836">
        <v>507</v>
      </c>
      <c r="AX4836">
        <v>674</v>
      </c>
      <c r="BA4836">
        <v>1</v>
      </c>
      <c r="BC4836" t="s">
        <v>9783</v>
      </c>
      <c r="BD4836" s="4">
        <v>43283.41946759259</v>
      </c>
      <c r="BE4836" s="4">
        <v>43283.42291666667</v>
      </c>
      <c r="BF4836" s="4">
        <v>43283.42291666667</v>
      </c>
      <c r="BG4836" t="s">
        <v>83</v>
      </c>
      <c r="BH4836" t="s">
        <v>84</v>
      </c>
      <c r="BI4836" t="s">
        <v>85</v>
      </c>
    </row>
    <row r="4837" spans="1:61" x14ac:dyDescent="0.3">
      <c r="A4837" t="str">
        <f>"201501E0100"</f>
        <v>201501E0100</v>
      </c>
      <c r="B4837" s="2" t="s">
        <v>9784</v>
      </c>
      <c r="C4837">
        <v>20</v>
      </c>
      <c r="D4837" t="s">
        <v>79</v>
      </c>
      <c r="E4837">
        <v>23</v>
      </c>
      <c r="F4837" t="s">
        <v>9720</v>
      </c>
      <c r="G4837">
        <v>1501</v>
      </c>
      <c r="H4837">
        <v>1</v>
      </c>
      <c r="I4837" t="s">
        <v>145</v>
      </c>
      <c r="J4837">
        <v>0</v>
      </c>
      <c r="K4837">
        <v>2</v>
      </c>
      <c r="L4837">
        <v>2</v>
      </c>
      <c r="M4837">
        <v>118</v>
      </c>
      <c r="N4837">
        <v>381</v>
      </c>
      <c r="O4837">
        <v>8</v>
      </c>
      <c r="P4837">
        <v>7</v>
      </c>
      <c r="Q4837">
        <v>11</v>
      </c>
      <c r="R4837">
        <v>95</v>
      </c>
      <c r="S4837">
        <v>7</v>
      </c>
      <c r="T4837">
        <v>7</v>
      </c>
      <c r="U4837">
        <v>26</v>
      </c>
      <c r="V4837">
        <v>1</v>
      </c>
      <c r="W4837">
        <v>3</v>
      </c>
      <c r="X4837">
        <v>1</v>
      </c>
      <c r="Y4837">
        <v>199</v>
      </c>
      <c r="Z4837">
        <v>5</v>
      </c>
      <c r="AA4837">
        <v>2</v>
      </c>
      <c r="AB4837">
        <v>1</v>
      </c>
      <c r="AC4837">
        <v>0</v>
      </c>
      <c r="AD4837">
        <v>0</v>
      </c>
      <c r="AE4837">
        <v>0</v>
      </c>
      <c r="AF4837">
        <v>0</v>
      </c>
      <c r="AG4837">
        <v>1</v>
      </c>
      <c r="AH4837">
        <v>2</v>
      </c>
      <c r="AI4837">
        <v>1</v>
      </c>
      <c r="AJ4837">
        <v>0</v>
      </c>
      <c r="AK4837">
        <v>4</v>
      </c>
      <c r="AL4837">
        <v>0</v>
      </c>
      <c r="AM4837">
        <v>0</v>
      </c>
      <c r="AN4837">
        <v>1</v>
      </c>
      <c r="AT4837">
        <v>0</v>
      </c>
      <c r="AU4837">
        <v>14</v>
      </c>
      <c r="AV4837">
        <v>381</v>
      </c>
      <c r="AW4837">
        <v>381</v>
      </c>
      <c r="AX4837">
        <v>477</v>
      </c>
      <c r="BA4837">
        <v>1</v>
      </c>
      <c r="BC4837" t="s">
        <v>9785</v>
      </c>
      <c r="BD4837" s="4">
        <v>43283.41684027778</v>
      </c>
      <c r="BE4837" s="4">
        <v>43283.425000000003</v>
      </c>
      <c r="BF4837" s="4">
        <v>43283.425000000003</v>
      </c>
      <c r="BG4837" t="s">
        <v>83</v>
      </c>
      <c r="BH4837" t="s">
        <v>84</v>
      </c>
      <c r="BI4837" t="s">
        <v>85</v>
      </c>
    </row>
    <row r="4838" spans="1:61" x14ac:dyDescent="0.3">
      <c r="A4838" t="str">
        <f>"201502B0100"</f>
        <v>201502B0100</v>
      </c>
      <c r="B4838" t="s">
        <v>9786</v>
      </c>
      <c r="C4838">
        <v>20</v>
      </c>
      <c r="D4838" t="s">
        <v>79</v>
      </c>
      <c r="E4838">
        <v>23</v>
      </c>
      <c r="F4838" t="s">
        <v>9720</v>
      </c>
      <c r="G4838">
        <v>1502</v>
      </c>
      <c r="H4838">
        <v>1</v>
      </c>
      <c r="I4838" t="s">
        <v>81</v>
      </c>
      <c r="J4838">
        <v>0</v>
      </c>
      <c r="K4838">
        <v>2</v>
      </c>
      <c r="L4838">
        <v>2</v>
      </c>
      <c r="M4838">
        <v>188</v>
      </c>
      <c r="N4838">
        <v>364</v>
      </c>
      <c r="O4838">
        <v>7</v>
      </c>
      <c r="P4838">
        <v>364</v>
      </c>
      <c r="Q4838">
        <v>13</v>
      </c>
      <c r="R4838">
        <v>94</v>
      </c>
      <c r="S4838">
        <v>8</v>
      </c>
      <c r="T4838">
        <v>3</v>
      </c>
      <c r="U4838">
        <v>8</v>
      </c>
      <c r="V4838">
        <v>10</v>
      </c>
      <c r="W4838">
        <v>1</v>
      </c>
      <c r="X4838">
        <v>2</v>
      </c>
      <c r="Y4838">
        <v>190</v>
      </c>
      <c r="Z4838">
        <v>9</v>
      </c>
      <c r="AA4838">
        <v>1</v>
      </c>
      <c r="AB4838">
        <v>1</v>
      </c>
      <c r="AC4838">
        <v>0</v>
      </c>
      <c r="AD4838">
        <v>0</v>
      </c>
      <c r="AE4838">
        <v>0</v>
      </c>
      <c r="AF4838">
        <v>0</v>
      </c>
      <c r="AG4838">
        <v>1</v>
      </c>
      <c r="AH4838">
        <v>3</v>
      </c>
      <c r="AI4838">
        <v>0</v>
      </c>
      <c r="AJ4838">
        <v>0</v>
      </c>
      <c r="AK4838">
        <v>6</v>
      </c>
      <c r="AL4838">
        <v>2</v>
      </c>
      <c r="AM4838">
        <v>2</v>
      </c>
      <c r="AN4838">
        <v>0</v>
      </c>
      <c r="AT4838">
        <v>0</v>
      </c>
      <c r="AU4838">
        <v>10</v>
      </c>
      <c r="AV4838">
        <v>364</v>
      </c>
      <c r="AW4838">
        <v>364</v>
      </c>
      <c r="AX4838">
        <v>530</v>
      </c>
      <c r="BA4838">
        <v>1</v>
      </c>
      <c r="BC4838" t="s">
        <v>9787</v>
      </c>
      <c r="BD4838" s="4">
        <v>43283.421770833331</v>
      </c>
      <c r="BE4838" s="4">
        <v>43283.42864583333</v>
      </c>
      <c r="BF4838" s="4">
        <v>43283.42864583333</v>
      </c>
      <c r="BG4838" t="s">
        <v>83</v>
      </c>
      <c r="BH4838" t="s">
        <v>84</v>
      </c>
      <c r="BI4838" t="s">
        <v>85</v>
      </c>
    </row>
    <row r="4839" spans="1:61" x14ac:dyDescent="0.3">
      <c r="A4839" t="str">
        <f>"201502C0100"</f>
        <v>201502C0100</v>
      </c>
      <c r="B4839" t="s">
        <v>9788</v>
      </c>
      <c r="C4839">
        <v>20</v>
      </c>
      <c r="D4839" t="s">
        <v>79</v>
      </c>
      <c r="E4839">
        <v>23</v>
      </c>
      <c r="F4839" t="s">
        <v>9720</v>
      </c>
      <c r="G4839">
        <v>1502</v>
      </c>
      <c r="H4839">
        <v>1</v>
      </c>
      <c r="I4839" t="s">
        <v>89</v>
      </c>
      <c r="J4839">
        <v>0</v>
      </c>
      <c r="K4839">
        <v>2</v>
      </c>
      <c r="L4839">
        <v>2</v>
      </c>
      <c r="M4839">
        <v>177</v>
      </c>
      <c r="N4839">
        <v>373</v>
      </c>
      <c r="O4839">
        <v>6</v>
      </c>
      <c r="P4839">
        <v>374</v>
      </c>
      <c r="Q4839">
        <v>9</v>
      </c>
      <c r="R4839">
        <v>89</v>
      </c>
      <c r="S4839">
        <v>3</v>
      </c>
      <c r="T4839">
        <v>13</v>
      </c>
      <c r="U4839">
        <v>13</v>
      </c>
      <c r="V4839">
        <v>6</v>
      </c>
      <c r="W4839">
        <v>1</v>
      </c>
      <c r="X4839">
        <v>0</v>
      </c>
      <c r="Y4839">
        <v>211</v>
      </c>
      <c r="Z4839">
        <v>3</v>
      </c>
      <c r="AA4839">
        <v>2</v>
      </c>
      <c r="AB4839">
        <v>0</v>
      </c>
      <c r="AC4839">
        <v>0</v>
      </c>
      <c r="AD4839">
        <v>0</v>
      </c>
      <c r="AE4839">
        <v>0</v>
      </c>
      <c r="AF4839">
        <v>0</v>
      </c>
      <c r="AG4839">
        <v>0</v>
      </c>
      <c r="AH4839">
        <v>4</v>
      </c>
      <c r="AI4839">
        <v>0</v>
      </c>
      <c r="AJ4839">
        <v>0</v>
      </c>
      <c r="AK4839">
        <v>5</v>
      </c>
      <c r="AL4839">
        <v>1</v>
      </c>
      <c r="AM4839">
        <v>0</v>
      </c>
      <c r="AN4839">
        <v>1</v>
      </c>
      <c r="AT4839">
        <v>0</v>
      </c>
      <c r="AU4839">
        <v>13</v>
      </c>
      <c r="AV4839">
        <v>374</v>
      </c>
      <c r="AW4839">
        <v>374</v>
      </c>
      <c r="AX4839">
        <v>529</v>
      </c>
      <c r="BA4839">
        <v>1</v>
      </c>
      <c r="BC4839" t="s">
        <v>9789</v>
      </c>
      <c r="BD4839" s="4">
        <v>43283.424224537041</v>
      </c>
      <c r="BE4839" s="4">
        <v>43283.427800925929</v>
      </c>
      <c r="BF4839" s="4">
        <v>43283.427800925929</v>
      </c>
      <c r="BG4839" t="s">
        <v>83</v>
      </c>
      <c r="BH4839" t="s">
        <v>84</v>
      </c>
      <c r="BI4839" t="s">
        <v>85</v>
      </c>
    </row>
    <row r="4840" spans="1:61" x14ac:dyDescent="0.3">
      <c r="A4840" t="str">
        <f>"201502C0200"</f>
        <v>201502C0200</v>
      </c>
      <c r="B4840" t="s">
        <v>9790</v>
      </c>
      <c r="C4840">
        <v>20</v>
      </c>
      <c r="D4840" t="s">
        <v>79</v>
      </c>
      <c r="E4840">
        <v>23</v>
      </c>
      <c r="F4840" t="s">
        <v>9720</v>
      </c>
      <c r="G4840">
        <v>1502</v>
      </c>
      <c r="H4840">
        <v>2</v>
      </c>
      <c r="I4840" t="s">
        <v>89</v>
      </c>
      <c r="J4840">
        <v>0</v>
      </c>
      <c r="K4840">
        <v>2</v>
      </c>
      <c r="L4840">
        <v>2</v>
      </c>
      <c r="M4840">
        <v>154</v>
      </c>
      <c r="N4840">
        <v>322</v>
      </c>
      <c r="O4840">
        <v>7</v>
      </c>
      <c r="P4840">
        <v>338</v>
      </c>
      <c r="Q4840">
        <v>10</v>
      </c>
      <c r="R4840">
        <v>90</v>
      </c>
      <c r="S4840">
        <v>10</v>
      </c>
      <c r="T4840">
        <v>5</v>
      </c>
      <c r="U4840">
        <v>16</v>
      </c>
      <c r="V4840">
        <v>8</v>
      </c>
      <c r="W4840">
        <v>2</v>
      </c>
      <c r="X4840">
        <v>2</v>
      </c>
      <c r="Y4840">
        <v>208</v>
      </c>
      <c r="Z4840">
        <v>4</v>
      </c>
      <c r="AA4840">
        <v>0</v>
      </c>
      <c r="AB4840">
        <v>3</v>
      </c>
      <c r="AC4840">
        <v>0</v>
      </c>
      <c r="AD4840">
        <v>0</v>
      </c>
      <c r="AE4840">
        <v>0</v>
      </c>
      <c r="AF4840">
        <v>2</v>
      </c>
      <c r="AG4840">
        <v>5</v>
      </c>
      <c r="AH4840">
        <v>0</v>
      </c>
      <c r="AI4840">
        <v>1</v>
      </c>
      <c r="AJ4840">
        <v>4</v>
      </c>
      <c r="AK4840">
        <v>3</v>
      </c>
      <c r="AL4840">
        <v>0</v>
      </c>
      <c r="AM4840">
        <v>2</v>
      </c>
      <c r="AN4840">
        <v>2</v>
      </c>
      <c r="AT4840">
        <v>0</v>
      </c>
      <c r="AU4840">
        <v>19</v>
      </c>
      <c r="AV4840">
        <v>338</v>
      </c>
      <c r="AW4840">
        <v>396</v>
      </c>
      <c r="AX4840">
        <v>529</v>
      </c>
      <c r="BA4840">
        <v>1</v>
      </c>
      <c r="BC4840" t="s">
        <v>9791</v>
      </c>
      <c r="BD4840" s="4">
        <v>43283.419988425929</v>
      </c>
      <c r="BE4840" s="4">
        <v>43283.427465277775</v>
      </c>
      <c r="BF4840" s="4">
        <v>43283.427465277775</v>
      </c>
      <c r="BG4840" t="s">
        <v>83</v>
      </c>
      <c r="BH4840" t="s">
        <v>84</v>
      </c>
      <c r="BI4840" t="s">
        <v>85</v>
      </c>
    </row>
    <row r="4841" spans="1:61" x14ac:dyDescent="0.3">
      <c r="A4841" t="str">
        <f>"201503B0100"</f>
        <v>201503B0100</v>
      </c>
      <c r="B4841" t="s">
        <v>9792</v>
      </c>
      <c r="C4841">
        <v>20</v>
      </c>
      <c r="D4841" t="s">
        <v>79</v>
      </c>
      <c r="E4841">
        <v>23</v>
      </c>
      <c r="F4841" t="s">
        <v>9720</v>
      </c>
      <c r="G4841">
        <v>1503</v>
      </c>
      <c r="H4841">
        <v>1</v>
      </c>
      <c r="I4841" t="s">
        <v>81</v>
      </c>
      <c r="J4841">
        <v>0</v>
      </c>
      <c r="K4841">
        <v>1</v>
      </c>
      <c r="L4841">
        <v>2</v>
      </c>
      <c r="M4841">
        <v>279</v>
      </c>
      <c r="N4841">
        <v>406</v>
      </c>
      <c r="O4841">
        <v>8</v>
      </c>
      <c r="P4841">
        <v>687</v>
      </c>
      <c r="Q4841">
        <v>7</v>
      </c>
      <c r="R4841">
        <v>79</v>
      </c>
      <c r="S4841">
        <v>6</v>
      </c>
      <c r="T4841">
        <v>1</v>
      </c>
      <c r="U4841">
        <v>11</v>
      </c>
      <c r="V4841">
        <v>10</v>
      </c>
      <c r="W4841">
        <v>1</v>
      </c>
      <c r="X4841">
        <v>2</v>
      </c>
      <c r="Y4841">
        <v>260</v>
      </c>
      <c r="Z4841">
        <v>8</v>
      </c>
      <c r="AA4841">
        <v>0</v>
      </c>
      <c r="AB4841">
        <v>1</v>
      </c>
      <c r="AC4841">
        <v>0</v>
      </c>
      <c r="AD4841">
        <v>0</v>
      </c>
      <c r="AE4841">
        <v>0</v>
      </c>
      <c r="AF4841">
        <v>0</v>
      </c>
      <c r="AG4841">
        <v>0</v>
      </c>
      <c r="AH4841">
        <v>0</v>
      </c>
      <c r="AI4841">
        <v>0</v>
      </c>
      <c r="AJ4841">
        <v>0</v>
      </c>
      <c r="AK4841">
        <v>5</v>
      </c>
      <c r="AL4841">
        <v>0</v>
      </c>
      <c r="AM4841">
        <v>0</v>
      </c>
      <c r="AN4841">
        <v>3</v>
      </c>
      <c r="AT4841">
        <v>0</v>
      </c>
      <c r="AU4841">
        <v>12</v>
      </c>
      <c r="AV4841" t="s">
        <v>100</v>
      </c>
      <c r="AW4841">
        <v>406</v>
      </c>
      <c r="AX4841">
        <v>665</v>
      </c>
      <c r="BA4841">
        <v>1</v>
      </c>
      <c r="BC4841" t="s">
        <v>9793</v>
      </c>
      <c r="BD4841" s="4">
        <v>43283.198958333334</v>
      </c>
      <c r="BE4841" s="4">
        <v>43283.219328703701</v>
      </c>
      <c r="BF4841" s="4">
        <v>43283.219328703701</v>
      </c>
      <c r="BG4841" t="s">
        <v>83</v>
      </c>
      <c r="BH4841" t="s">
        <v>84</v>
      </c>
      <c r="BI4841" t="s">
        <v>85</v>
      </c>
    </row>
    <row r="4842" spans="1:61" x14ac:dyDescent="0.3">
      <c r="A4842" t="str">
        <f>"201503C0100"</f>
        <v>201503C0100</v>
      </c>
      <c r="B4842" t="s">
        <v>9794</v>
      </c>
      <c r="C4842">
        <v>20</v>
      </c>
      <c r="D4842" t="s">
        <v>79</v>
      </c>
      <c r="E4842">
        <v>23</v>
      </c>
      <c r="F4842" t="s">
        <v>9720</v>
      </c>
      <c r="G4842">
        <v>1503</v>
      </c>
      <c r="H4842">
        <v>1</v>
      </c>
      <c r="I4842" t="s">
        <v>89</v>
      </c>
      <c r="J4842">
        <v>0</v>
      </c>
      <c r="K4842">
        <v>1</v>
      </c>
      <c r="L4842">
        <v>2</v>
      </c>
      <c r="M4842">
        <v>267</v>
      </c>
      <c r="N4842">
        <v>421</v>
      </c>
      <c r="O4842">
        <v>13</v>
      </c>
      <c r="P4842">
        <v>421</v>
      </c>
      <c r="Q4842">
        <v>13</v>
      </c>
      <c r="R4842">
        <v>95</v>
      </c>
      <c r="S4842">
        <v>8</v>
      </c>
      <c r="T4842">
        <v>7</v>
      </c>
      <c r="U4842">
        <v>6</v>
      </c>
      <c r="V4842">
        <v>11</v>
      </c>
      <c r="W4842">
        <v>0</v>
      </c>
      <c r="X4842">
        <v>1</v>
      </c>
      <c r="Y4842">
        <v>239</v>
      </c>
      <c r="Z4842">
        <v>10</v>
      </c>
      <c r="AA4842">
        <v>2</v>
      </c>
      <c r="AB4842">
        <v>4</v>
      </c>
      <c r="AC4842">
        <v>1</v>
      </c>
      <c r="AD4842">
        <v>0</v>
      </c>
      <c r="AE4842">
        <v>0</v>
      </c>
      <c r="AF4842">
        <v>0</v>
      </c>
      <c r="AG4842">
        <v>1</v>
      </c>
      <c r="AH4842">
        <v>3</v>
      </c>
      <c r="AI4842">
        <v>0</v>
      </c>
      <c r="AJ4842">
        <v>0</v>
      </c>
      <c r="AK4842">
        <v>3</v>
      </c>
      <c r="AL4842">
        <v>3</v>
      </c>
      <c r="AM4842">
        <v>0</v>
      </c>
      <c r="AN4842">
        <v>0</v>
      </c>
      <c r="AT4842">
        <v>0</v>
      </c>
      <c r="AU4842">
        <v>14</v>
      </c>
      <c r="AV4842">
        <v>421</v>
      </c>
      <c r="AW4842">
        <v>421</v>
      </c>
      <c r="AX4842">
        <v>665</v>
      </c>
      <c r="BA4842">
        <v>1</v>
      </c>
      <c r="BC4842" t="s">
        <v>9795</v>
      </c>
      <c r="BD4842" s="4">
        <v>43283.202662037038</v>
      </c>
      <c r="BE4842" s="4">
        <v>43283.218182870369</v>
      </c>
      <c r="BF4842" s="4">
        <v>43283.218182870369</v>
      </c>
      <c r="BG4842" t="s">
        <v>83</v>
      </c>
      <c r="BH4842" t="s">
        <v>84</v>
      </c>
      <c r="BI4842" t="s">
        <v>85</v>
      </c>
    </row>
    <row r="4843" spans="1:61" x14ac:dyDescent="0.3">
      <c r="A4843" t="str">
        <f>"201503C0200"</f>
        <v>201503C0200</v>
      </c>
      <c r="B4843" t="s">
        <v>9796</v>
      </c>
      <c r="C4843">
        <v>20</v>
      </c>
      <c r="D4843" t="s">
        <v>79</v>
      </c>
      <c r="E4843">
        <v>23</v>
      </c>
      <c r="F4843" t="s">
        <v>9720</v>
      </c>
      <c r="G4843">
        <v>1503</v>
      </c>
      <c r="H4843">
        <v>2</v>
      </c>
      <c r="I4843" t="s">
        <v>89</v>
      </c>
      <c r="J4843">
        <v>0</v>
      </c>
      <c r="K4843">
        <v>1</v>
      </c>
      <c r="L4843">
        <v>2</v>
      </c>
      <c r="M4843">
        <v>274</v>
      </c>
      <c r="N4843">
        <v>413</v>
      </c>
      <c r="O4843">
        <v>14</v>
      </c>
      <c r="P4843">
        <v>413</v>
      </c>
      <c r="Q4843">
        <v>12</v>
      </c>
      <c r="R4843">
        <v>76</v>
      </c>
      <c r="S4843">
        <v>9</v>
      </c>
      <c r="T4843">
        <v>6</v>
      </c>
      <c r="U4843">
        <v>17</v>
      </c>
      <c r="V4843">
        <v>17</v>
      </c>
      <c r="W4843">
        <v>3</v>
      </c>
      <c r="X4843">
        <v>3</v>
      </c>
      <c r="Y4843">
        <v>234</v>
      </c>
      <c r="Z4843">
        <v>12</v>
      </c>
      <c r="AA4843">
        <v>1</v>
      </c>
      <c r="AB4843">
        <v>4</v>
      </c>
      <c r="AC4843">
        <v>0</v>
      </c>
      <c r="AD4843">
        <v>0</v>
      </c>
      <c r="AE4843">
        <v>0</v>
      </c>
      <c r="AF4843">
        <v>0</v>
      </c>
      <c r="AG4843">
        <v>2</v>
      </c>
      <c r="AH4843">
        <v>2</v>
      </c>
      <c r="AI4843">
        <v>0</v>
      </c>
      <c r="AJ4843">
        <v>1</v>
      </c>
      <c r="AK4843">
        <v>4</v>
      </c>
      <c r="AL4843">
        <v>0</v>
      </c>
      <c r="AM4843">
        <v>0</v>
      </c>
      <c r="AN4843">
        <v>2</v>
      </c>
      <c r="AT4843">
        <v>0</v>
      </c>
      <c r="AU4843">
        <v>8</v>
      </c>
      <c r="AV4843">
        <v>413</v>
      </c>
      <c r="AW4843">
        <v>413</v>
      </c>
      <c r="AX4843">
        <v>665</v>
      </c>
      <c r="BA4843">
        <v>1</v>
      </c>
      <c r="BC4843" t="s">
        <v>9797</v>
      </c>
      <c r="BD4843" s="4">
        <v>43283.196631944447</v>
      </c>
      <c r="BE4843" s="4">
        <v>43283.212847222225</v>
      </c>
      <c r="BF4843" s="4">
        <v>43283.212847222225</v>
      </c>
      <c r="BG4843" t="s">
        <v>83</v>
      </c>
      <c r="BH4843" t="s">
        <v>84</v>
      </c>
      <c r="BI4843" t="s">
        <v>85</v>
      </c>
    </row>
    <row r="4844" spans="1:61" x14ac:dyDescent="0.3">
      <c r="A4844" t="str">
        <f>"201503C0300"</f>
        <v>201503C0300</v>
      </c>
      <c r="B4844" t="s">
        <v>9798</v>
      </c>
      <c r="C4844">
        <v>20</v>
      </c>
      <c r="D4844" t="s">
        <v>79</v>
      </c>
      <c r="E4844">
        <v>23</v>
      </c>
      <c r="F4844" t="s">
        <v>9720</v>
      </c>
      <c r="G4844">
        <v>1503</v>
      </c>
      <c r="H4844">
        <v>3</v>
      </c>
      <c r="I4844" t="s">
        <v>89</v>
      </c>
      <c r="J4844">
        <v>0</v>
      </c>
      <c r="K4844">
        <v>1</v>
      </c>
      <c r="L4844">
        <v>2</v>
      </c>
      <c r="M4844">
        <v>283</v>
      </c>
      <c r="N4844">
        <v>404</v>
      </c>
      <c r="O4844">
        <v>12</v>
      </c>
      <c r="P4844">
        <v>404</v>
      </c>
      <c r="Q4844">
        <v>15</v>
      </c>
      <c r="R4844">
        <v>71</v>
      </c>
      <c r="S4844">
        <v>6</v>
      </c>
      <c r="T4844">
        <v>3</v>
      </c>
      <c r="U4844">
        <v>12</v>
      </c>
      <c r="V4844">
        <v>6</v>
      </c>
      <c r="W4844">
        <v>0</v>
      </c>
      <c r="X4844">
        <v>2</v>
      </c>
      <c r="Y4844">
        <v>244</v>
      </c>
      <c r="Z4844">
        <v>11</v>
      </c>
      <c r="AA4844">
        <v>3</v>
      </c>
      <c r="AB4844">
        <v>3</v>
      </c>
      <c r="AC4844">
        <v>0</v>
      </c>
      <c r="AD4844">
        <v>0</v>
      </c>
      <c r="AE4844">
        <v>0</v>
      </c>
      <c r="AF4844">
        <v>1</v>
      </c>
      <c r="AG4844">
        <v>2</v>
      </c>
      <c r="AH4844">
        <v>2</v>
      </c>
      <c r="AI4844">
        <v>0</v>
      </c>
      <c r="AJ4844">
        <v>0</v>
      </c>
      <c r="AK4844">
        <v>7</v>
      </c>
      <c r="AL4844">
        <v>0</v>
      </c>
      <c r="AM4844">
        <v>0</v>
      </c>
      <c r="AN4844">
        <v>0</v>
      </c>
      <c r="AT4844">
        <v>0</v>
      </c>
      <c r="AU4844">
        <v>16</v>
      </c>
      <c r="AV4844">
        <v>404</v>
      </c>
      <c r="AW4844">
        <v>404</v>
      </c>
      <c r="AX4844">
        <v>665</v>
      </c>
      <c r="BA4844">
        <v>1</v>
      </c>
      <c r="BC4844" t="s">
        <v>9799</v>
      </c>
      <c r="BD4844" s="4">
        <v>43283.200555555559</v>
      </c>
      <c r="BE4844" s="4">
        <v>43283.215925925928</v>
      </c>
      <c r="BF4844" s="4">
        <v>43283.215925925928</v>
      </c>
      <c r="BG4844" t="s">
        <v>83</v>
      </c>
      <c r="BH4844" t="s">
        <v>84</v>
      </c>
      <c r="BI4844" t="s">
        <v>85</v>
      </c>
    </row>
    <row r="4845" spans="1:61" x14ac:dyDescent="0.3">
      <c r="A4845" t="str">
        <f>"201503C0400"</f>
        <v>201503C0400</v>
      </c>
      <c r="B4845" t="s">
        <v>9800</v>
      </c>
      <c r="C4845">
        <v>20</v>
      </c>
      <c r="D4845" t="s">
        <v>79</v>
      </c>
      <c r="E4845">
        <v>23</v>
      </c>
      <c r="F4845" t="s">
        <v>9720</v>
      </c>
      <c r="G4845">
        <v>1503</v>
      </c>
      <c r="H4845">
        <v>4</v>
      </c>
      <c r="I4845" t="s">
        <v>89</v>
      </c>
      <c r="J4845">
        <v>0</v>
      </c>
      <c r="K4845">
        <v>1</v>
      </c>
      <c r="L4845">
        <v>2</v>
      </c>
      <c r="M4845">
        <v>272</v>
      </c>
      <c r="N4845">
        <v>415</v>
      </c>
      <c r="O4845">
        <v>9</v>
      </c>
      <c r="P4845">
        <v>414</v>
      </c>
      <c r="Q4845">
        <v>12</v>
      </c>
      <c r="R4845">
        <v>80</v>
      </c>
      <c r="S4845">
        <v>6</v>
      </c>
      <c r="T4845">
        <v>4</v>
      </c>
      <c r="U4845">
        <v>12</v>
      </c>
      <c r="V4845">
        <v>16</v>
      </c>
      <c r="W4845">
        <v>2</v>
      </c>
      <c r="X4845">
        <v>2</v>
      </c>
      <c r="Y4845">
        <v>239</v>
      </c>
      <c r="Z4845">
        <v>13</v>
      </c>
      <c r="AA4845">
        <v>0</v>
      </c>
      <c r="AB4845">
        <v>0</v>
      </c>
      <c r="AC4845">
        <v>1</v>
      </c>
      <c r="AD4845">
        <v>0</v>
      </c>
      <c r="AE4845">
        <v>0</v>
      </c>
      <c r="AF4845">
        <v>0</v>
      </c>
      <c r="AG4845">
        <v>3</v>
      </c>
      <c r="AH4845">
        <v>1</v>
      </c>
      <c r="AI4845">
        <v>0</v>
      </c>
      <c r="AJ4845">
        <v>0</v>
      </c>
      <c r="AK4845">
        <v>4</v>
      </c>
      <c r="AL4845">
        <v>4</v>
      </c>
      <c r="AM4845">
        <v>0</v>
      </c>
      <c r="AN4845">
        <v>1</v>
      </c>
      <c r="AT4845">
        <v>0</v>
      </c>
      <c r="AU4845">
        <v>14</v>
      </c>
      <c r="AV4845">
        <v>414</v>
      </c>
      <c r="AW4845">
        <v>414</v>
      </c>
      <c r="AX4845">
        <v>665</v>
      </c>
      <c r="BA4845">
        <v>1</v>
      </c>
      <c r="BC4845" t="s">
        <v>9801</v>
      </c>
      <c r="BD4845" s="4">
        <v>43283.203564814816</v>
      </c>
      <c r="BE4845" s="4">
        <v>43283.219305555554</v>
      </c>
      <c r="BF4845" s="4">
        <v>43283.219305555554</v>
      </c>
      <c r="BG4845" t="s">
        <v>83</v>
      </c>
      <c r="BH4845" t="s">
        <v>84</v>
      </c>
      <c r="BI4845" t="s">
        <v>85</v>
      </c>
    </row>
    <row r="4846" spans="1:61" x14ac:dyDescent="0.3">
      <c r="A4846" t="str">
        <f>"201503C0500"</f>
        <v>201503C0500</v>
      </c>
      <c r="B4846" t="s">
        <v>9802</v>
      </c>
      <c r="C4846">
        <v>20</v>
      </c>
      <c r="D4846" t="s">
        <v>79</v>
      </c>
      <c r="E4846">
        <v>23</v>
      </c>
      <c r="F4846" t="s">
        <v>9720</v>
      </c>
      <c r="G4846">
        <v>1503</v>
      </c>
      <c r="H4846">
        <v>5</v>
      </c>
      <c r="I4846" t="s">
        <v>89</v>
      </c>
      <c r="J4846">
        <v>0</v>
      </c>
      <c r="K4846">
        <v>1</v>
      </c>
      <c r="L4846">
        <v>2</v>
      </c>
      <c r="M4846">
        <v>265</v>
      </c>
      <c r="N4846">
        <v>411</v>
      </c>
      <c r="O4846">
        <v>11</v>
      </c>
      <c r="P4846">
        <v>422</v>
      </c>
      <c r="Q4846">
        <v>15</v>
      </c>
      <c r="R4846">
        <v>82</v>
      </c>
      <c r="S4846">
        <v>11</v>
      </c>
      <c r="T4846">
        <v>9</v>
      </c>
      <c r="U4846">
        <v>6</v>
      </c>
      <c r="V4846">
        <v>7</v>
      </c>
      <c r="W4846">
        <v>2</v>
      </c>
      <c r="X4846">
        <v>2</v>
      </c>
      <c r="Y4846">
        <v>248</v>
      </c>
      <c r="Z4846">
        <v>18</v>
      </c>
      <c r="AA4846">
        <v>2</v>
      </c>
      <c r="AB4846">
        <v>0</v>
      </c>
      <c r="AC4846">
        <v>0</v>
      </c>
      <c r="AD4846">
        <v>0</v>
      </c>
      <c r="AE4846">
        <v>0</v>
      </c>
      <c r="AF4846">
        <v>0</v>
      </c>
      <c r="AG4846">
        <v>0</v>
      </c>
      <c r="AH4846">
        <v>4</v>
      </c>
      <c r="AI4846">
        <v>0</v>
      </c>
      <c r="AJ4846">
        <v>0</v>
      </c>
      <c r="AK4846">
        <v>4</v>
      </c>
      <c r="AL4846">
        <v>0</v>
      </c>
      <c r="AM4846">
        <v>1</v>
      </c>
      <c r="AN4846">
        <v>0</v>
      </c>
      <c r="AT4846">
        <v>0</v>
      </c>
      <c r="AU4846">
        <v>9</v>
      </c>
      <c r="AV4846">
        <v>422</v>
      </c>
      <c r="AW4846">
        <v>420</v>
      </c>
      <c r="AX4846">
        <v>664</v>
      </c>
      <c r="BA4846">
        <v>1</v>
      </c>
      <c r="BC4846" t="s">
        <v>9803</v>
      </c>
      <c r="BD4846" s="4">
        <v>43283.209178240744</v>
      </c>
      <c r="BE4846" s="4">
        <v>43283.229849537034</v>
      </c>
      <c r="BF4846" s="4">
        <v>43283.229849537034</v>
      </c>
      <c r="BG4846" t="s">
        <v>83</v>
      </c>
      <c r="BH4846" t="s">
        <v>84</v>
      </c>
      <c r="BI4846" t="s">
        <v>85</v>
      </c>
    </row>
    <row r="4847" spans="1:61" x14ac:dyDescent="0.3">
      <c r="A4847" t="str">
        <f>"201503C0600"</f>
        <v>201503C0600</v>
      </c>
      <c r="B4847" t="s">
        <v>9804</v>
      </c>
      <c r="C4847">
        <v>20</v>
      </c>
      <c r="D4847" t="s">
        <v>79</v>
      </c>
      <c r="E4847">
        <v>23</v>
      </c>
      <c r="F4847" t="s">
        <v>9720</v>
      </c>
      <c r="G4847">
        <v>1503</v>
      </c>
      <c r="H4847">
        <v>6</v>
      </c>
      <c r="I4847" t="s">
        <v>89</v>
      </c>
      <c r="J4847">
        <v>0</v>
      </c>
      <c r="K4847">
        <v>1</v>
      </c>
      <c r="L4847">
        <v>2</v>
      </c>
      <c r="M4847">
        <v>308</v>
      </c>
      <c r="N4847">
        <v>379</v>
      </c>
      <c r="O4847">
        <v>7</v>
      </c>
      <c r="P4847">
        <v>0</v>
      </c>
      <c r="Q4847">
        <v>11</v>
      </c>
      <c r="R4847">
        <v>69</v>
      </c>
      <c r="S4847">
        <v>10</v>
      </c>
      <c r="T4847">
        <v>6</v>
      </c>
      <c r="U4847">
        <v>15</v>
      </c>
      <c r="V4847">
        <v>12</v>
      </c>
      <c r="W4847">
        <v>4</v>
      </c>
      <c r="X4847">
        <v>1</v>
      </c>
      <c r="Y4847">
        <v>202</v>
      </c>
      <c r="Z4847">
        <v>11</v>
      </c>
      <c r="AA4847">
        <v>0</v>
      </c>
      <c r="AB4847">
        <v>0</v>
      </c>
      <c r="AC4847">
        <v>1</v>
      </c>
      <c r="AD4847">
        <v>0</v>
      </c>
      <c r="AE4847">
        <v>0</v>
      </c>
      <c r="AF4847">
        <v>0</v>
      </c>
      <c r="AG4847">
        <v>0</v>
      </c>
      <c r="AH4847">
        <v>2</v>
      </c>
      <c r="AI4847">
        <v>0</v>
      </c>
      <c r="AJ4847">
        <v>0</v>
      </c>
      <c r="AK4847">
        <v>10</v>
      </c>
      <c r="AL4847">
        <v>1</v>
      </c>
      <c r="AM4847">
        <v>0</v>
      </c>
      <c r="AN4847">
        <v>3</v>
      </c>
      <c r="AT4847">
        <v>0</v>
      </c>
      <c r="AU4847">
        <v>19</v>
      </c>
      <c r="AV4847">
        <v>377</v>
      </c>
      <c r="AW4847">
        <v>377</v>
      </c>
      <c r="AX4847">
        <v>664</v>
      </c>
      <c r="BA4847">
        <v>1</v>
      </c>
      <c r="BC4847" t="s">
        <v>9805</v>
      </c>
      <c r="BD4847" s="4">
        <v>43283.211782407408</v>
      </c>
      <c r="BE4847" s="4">
        <v>43283.232476851852</v>
      </c>
      <c r="BF4847" s="4">
        <v>43283.232476851852</v>
      </c>
      <c r="BG4847" t="s">
        <v>83</v>
      </c>
      <c r="BH4847" t="s">
        <v>84</v>
      </c>
      <c r="BI4847" t="s">
        <v>85</v>
      </c>
    </row>
    <row r="4848" spans="1:61" x14ac:dyDescent="0.3">
      <c r="A4848" t="str">
        <f>"201503E0100"</f>
        <v>201503E0100</v>
      </c>
      <c r="B4848" s="2" t="s">
        <v>9806</v>
      </c>
      <c r="C4848">
        <v>20</v>
      </c>
      <c r="D4848" t="s">
        <v>79</v>
      </c>
      <c r="E4848">
        <v>23</v>
      </c>
      <c r="F4848" t="s">
        <v>9720</v>
      </c>
      <c r="G4848">
        <v>1503</v>
      </c>
      <c r="H4848">
        <v>1</v>
      </c>
      <c r="I4848" t="s">
        <v>145</v>
      </c>
      <c r="J4848">
        <v>0</v>
      </c>
      <c r="K4848">
        <v>1</v>
      </c>
      <c r="L4848">
        <v>2</v>
      </c>
      <c r="AX4848">
        <v>676</v>
      </c>
      <c r="AZ4848" t="s">
        <v>156</v>
      </c>
      <c r="BA4848">
        <v>0</v>
      </c>
      <c r="BC4848" t="s">
        <v>9807</v>
      </c>
      <c r="BD4848" s="4">
        <v>43283.673101851855</v>
      </c>
      <c r="BE4848" s="4">
        <v>43283.675381944442</v>
      </c>
      <c r="BF4848" s="4">
        <v>43283.675381944442</v>
      </c>
      <c r="BG4848" t="s">
        <v>83</v>
      </c>
      <c r="BH4848" t="s">
        <v>84</v>
      </c>
      <c r="BI4848" t="s">
        <v>85</v>
      </c>
    </row>
    <row r="4849" spans="1:61" x14ac:dyDescent="0.3">
      <c r="A4849" t="str">
        <f>"201503E0101"</f>
        <v>201503E0101</v>
      </c>
      <c r="B4849" s="2" t="s">
        <v>9808</v>
      </c>
      <c r="C4849">
        <v>20</v>
      </c>
      <c r="D4849" t="s">
        <v>79</v>
      </c>
      <c r="E4849">
        <v>23</v>
      </c>
      <c r="F4849" t="s">
        <v>9720</v>
      </c>
      <c r="G4849">
        <v>1503</v>
      </c>
      <c r="H4849">
        <v>1</v>
      </c>
      <c r="I4849" t="s">
        <v>145</v>
      </c>
      <c r="J4849">
        <v>1</v>
      </c>
      <c r="K4849">
        <v>1</v>
      </c>
      <c r="L4849">
        <v>2</v>
      </c>
      <c r="M4849">
        <v>292</v>
      </c>
      <c r="N4849">
        <v>413</v>
      </c>
      <c r="O4849">
        <v>8</v>
      </c>
      <c r="P4849">
        <v>405</v>
      </c>
      <c r="Q4849">
        <v>6</v>
      </c>
      <c r="R4849">
        <v>84</v>
      </c>
      <c r="S4849">
        <v>9</v>
      </c>
      <c r="T4849">
        <v>4</v>
      </c>
      <c r="U4849">
        <v>16</v>
      </c>
      <c r="V4849">
        <v>6</v>
      </c>
      <c r="W4849">
        <v>2</v>
      </c>
      <c r="X4849">
        <v>1</v>
      </c>
      <c r="Y4849">
        <v>243</v>
      </c>
      <c r="Z4849">
        <v>12</v>
      </c>
      <c r="AA4849">
        <v>1</v>
      </c>
      <c r="AB4849">
        <v>1</v>
      </c>
      <c r="AC4849">
        <v>0</v>
      </c>
      <c r="AD4849">
        <v>0</v>
      </c>
      <c r="AE4849">
        <v>0</v>
      </c>
      <c r="AF4849">
        <v>0</v>
      </c>
      <c r="AG4849">
        <v>0</v>
      </c>
      <c r="AH4849">
        <v>0</v>
      </c>
      <c r="AI4849">
        <v>0</v>
      </c>
      <c r="AJ4849">
        <v>0</v>
      </c>
      <c r="AK4849">
        <v>5</v>
      </c>
      <c r="AL4849">
        <v>3</v>
      </c>
      <c r="AM4849">
        <v>0</v>
      </c>
      <c r="AN4849">
        <v>2</v>
      </c>
      <c r="AT4849" t="s">
        <v>100</v>
      </c>
      <c r="AU4849">
        <v>10</v>
      </c>
      <c r="AV4849">
        <v>405</v>
      </c>
      <c r="AW4849">
        <v>405</v>
      </c>
      <c r="AX4849">
        <v>676</v>
      </c>
      <c r="AZ4849" t="s">
        <v>101</v>
      </c>
      <c r="BA4849">
        <v>1</v>
      </c>
      <c r="BC4849" t="s">
        <v>9809</v>
      </c>
      <c r="BD4849" s="4">
        <v>43283.236215277779</v>
      </c>
      <c r="BE4849" s="4">
        <v>43283.259201388886</v>
      </c>
      <c r="BF4849" s="4">
        <v>43283.259201388886</v>
      </c>
      <c r="BG4849" t="s">
        <v>83</v>
      </c>
      <c r="BH4849" t="s">
        <v>84</v>
      </c>
      <c r="BI4849" t="s">
        <v>85</v>
      </c>
    </row>
    <row r="4850" spans="1:61" x14ac:dyDescent="0.3">
      <c r="A4850" t="str">
        <f>"201503E0102"</f>
        <v>201503E0102</v>
      </c>
      <c r="B4850" s="2" t="s">
        <v>9810</v>
      </c>
      <c r="C4850">
        <v>20</v>
      </c>
      <c r="D4850" t="s">
        <v>79</v>
      </c>
      <c r="E4850">
        <v>23</v>
      </c>
      <c r="F4850" t="s">
        <v>9720</v>
      </c>
      <c r="G4850">
        <v>1503</v>
      </c>
      <c r="H4850">
        <v>1</v>
      </c>
      <c r="I4850" t="s">
        <v>145</v>
      </c>
      <c r="J4850">
        <v>2</v>
      </c>
      <c r="K4850">
        <v>1</v>
      </c>
      <c r="L4850">
        <v>2</v>
      </c>
      <c r="M4850">
        <v>271</v>
      </c>
      <c r="N4850">
        <v>427</v>
      </c>
      <c r="O4850">
        <v>11</v>
      </c>
      <c r="P4850">
        <v>427</v>
      </c>
      <c r="Q4850">
        <v>11</v>
      </c>
      <c r="R4850">
        <v>66</v>
      </c>
      <c r="S4850">
        <v>6</v>
      </c>
      <c r="T4850">
        <v>6</v>
      </c>
      <c r="U4850">
        <v>20</v>
      </c>
      <c r="V4850">
        <v>13</v>
      </c>
      <c r="W4850">
        <v>5</v>
      </c>
      <c r="X4850">
        <v>3</v>
      </c>
      <c r="Y4850">
        <v>246</v>
      </c>
      <c r="Z4850">
        <v>15</v>
      </c>
      <c r="AA4850">
        <v>0</v>
      </c>
      <c r="AB4850">
        <v>0</v>
      </c>
      <c r="AC4850">
        <v>0</v>
      </c>
      <c r="AD4850">
        <v>1</v>
      </c>
      <c r="AE4850">
        <v>0</v>
      </c>
      <c r="AF4850">
        <v>0</v>
      </c>
      <c r="AG4850">
        <v>1</v>
      </c>
      <c r="AH4850">
        <v>2</v>
      </c>
      <c r="AI4850">
        <v>0</v>
      </c>
      <c r="AJ4850">
        <v>0</v>
      </c>
      <c r="AK4850">
        <v>5</v>
      </c>
      <c r="AL4850">
        <v>0</v>
      </c>
      <c r="AM4850">
        <v>0</v>
      </c>
      <c r="AN4850">
        <v>2</v>
      </c>
      <c r="AT4850">
        <v>0</v>
      </c>
      <c r="AU4850">
        <v>25</v>
      </c>
      <c r="AV4850">
        <v>240</v>
      </c>
      <c r="AW4850">
        <v>427</v>
      </c>
      <c r="AX4850">
        <v>676</v>
      </c>
      <c r="BA4850">
        <v>1</v>
      </c>
      <c r="BC4850" t="s">
        <v>9811</v>
      </c>
      <c r="BD4850" s="4">
        <v>43283.24077546296</v>
      </c>
      <c r="BE4850" s="4">
        <v>43283.266944444447</v>
      </c>
      <c r="BF4850" s="4">
        <v>43283.266944444447</v>
      </c>
      <c r="BG4850" t="s">
        <v>83</v>
      </c>
      <c r="BH4850" t="s">
        <v>84</v>
      </c>
      <c r="BI4850" t="s">
        <v>85</v>
      </c>
    </row>
    <row r="4851" spans="1:61" x14ac:dyDescent="0.3">
      <c r="A4851" t="str">
        <f>"201503E0103"</f>
        <v>201503E0103</v>
      </c>
      <c r="B4851" s="2" t="s">
        <v>9812</v>
      </c>
      <c r="C4851">
        <v>20</v>
      </c>
      <c r="D4851" t="s">
        <v>79</v>
      </c>
      <c r="E4851">
        <v>23</v>
      </c>
      <c r="F4851" t="s">
        <v>9720</v>
      </c>
      <c r="G4851">
        <v>1503</v>
      </c>
      <c r="H4851">
        <v>1</v>
      </c>
      <c r="I4851" t="s">
        <v>145</v>
      </c>
      <c r="J4851">
        <v>3</v>
      </c>
      <c r="K4851">
        <v>1</v>
      </c>
      <c r="L4851">
        <v>2</v>
      </c>
      <c r="M4851">
        <v>304</v>
      </c>
      <c r="N4851">
        <v>398</v>
      </c>
      <c r="O4851">
        <v>7</v>
      </c>
      <c r="P4851">
        <v>386</v>
      </c>
      <c r="Q4851">
        <v>17</v>
      </c>
      <c r="R4851">
        <v>69</v>
      </c>
      <c r="S4851">
        <v>7</v>
      </c>
      <c r="T4851">
        <v>5</v>
      </c>
      <c r="U4851">
        <v>17</v>
      </c>
      <c r="V4851">
        <v>10</v>
      </c>
      <c r="W4851">
        <v>3</v>
      </c>
      <c r="X4851">
        <v>4</v>
      </c>
      <c r="Y4851">
        <v>222</v>
      </c>
      <c r="Z4851">
        <v>6</v>
      </c>
      <c r="AA4851">
        <v>0</v>
      </c>
      <c r="AB4851">
        <v>0</v>
      </c>
      <c r="AC4851">
        <v>0</v>
      </c>
      <c r="AD4851">
        <v>0</v>
      </c>
      <c r="AE4851">
        <v>0</v>
      </c>
      <c r="AF4851">
        <v>0</v>
      </c>
      <c r="AG4851">
        <v>2</v>
      </c>
      <c r="AH4851">
        <v>2</v>
      </c>
      <c r="AI4851">
        <v>1</v>
      </c>
      <c r="AJ4851">
        <v>0</v>
      </c>
      <c r="AK4851">
        <v>5</v>
      </c>
      <c r="AL4851">
        <v>2</v>
      </c>
      <c r="AM4851">
        <v>1</v>
      </c>
      <c r="AN4851">
        <v>4</v>
      </c>
      <c r="AT4851">
        <v>0</v>
      </c>
      <c r="AU4851">
        <v>9</v>
      </c>
      <c r="AV4851">
        <v>386</v>
      </c>
      <c r="AW4851">
        <v>386</v>
      </c>
      <c r="AX4851">
        <v>676</v>
      </c>
      <c r="BA4851">
        <v>1</v>
      </c>
      <c r="BC4851" t="s">
        <v>9813</v>
      </c>
      <c r="BD4851" s="4">
        <v>43283.237268518518</v>
      </c>
      <c r="BE4851" s="4">
        <v>43283.25984953704</v>
      </c>
      <c r="BF4851" s="4">
        <v>43283.25984953704</v>
      </c>
      <c r="BG4851" t="s">
        <v>83</v>
      </c>
      <c r="BH4851" t="s">
        <v>84</v>
      </c>
      <c r="BI4851" t="s">
        <v>85</v>
      </c>
    </row>
    <row r="4852" spans="1:61" x14ac:dyDescent="0.3">
      <c r="A4852" t="str">
        <f>"201503E0104"</f>
        <v>201503E0104</v>
      </c>
      <c r="B4852" s="2" t="s">
        <v>9814</v>
      </c>
      <c r="C4852">
        <v>20</v>
      </c>
      <c r="D4852" t="s">
        <v>79</v>
      </c>
      <c r="E4852">
        <v>23</v>
      </c>
      <c r="F4852" t="s">
        <v>9720</v>
      </c>
      <c r="G4852">
        <v>1503</v>
      </c>
      <c r="H4852">
        <v>1</v>
      </c>
      <c r="I4852" t="s">
        <v>145</v>
      </c>
      <c r="J4852">
        <v>4</v>
      </c>
      <c r="K4852">
        <v>1</v>
      </c>
      <c r="L4852">
        <v>2</v>
      </c>
      <c r="M4852">
        <v>265</v>
      </c>
      <c r="N4852">
        <v>433</v>
      </c>
      <c r="O4852">
        <v>10</v>
      </c>
      <c r="P4852">
        <v>433</v>
      </c>
      <c r="Q4852">
        <v>11</v>
      </c>
      <c r="R4852">
        <v>82</v>
      </c>
      <c r="S4852">
        <v>7</v>
      </c>
      <c r="T4852">
        <v>19</v>
      </c>
      <c r="U4852">
        <v>2</v>
      </c>
      <c r="V4852">
        <v>2</v>
      </c>
      <c r="W4852">
        <v>1</v>
      </c>
      <c r="X4852">
        <v>259</v>
      </c>
      <c r="Y4852">
        <v>8</v>
      </c>
      <c r="Z4852">
        <v>1</v>
      </c>
      <c r="AA4852">
        <v>1</v>
      </c>
      <c r="AB4852">
        <v>0</v>
      </c>
      <c r="AC4852">
        <v>0</v>
      </c>
      <c r="AD4852">
        <v>0</v>
      </c>
      <c r="AE4852">
        <v>0</v>
      </c>
      <c r="AF4852">
        <v>0</v>
      </c>
      <c r="AG4852">
        <v>1</v>
      </c>
      <c r="AH4852">
        <v>7</v>
      </c>
      <c r="AI4852">
        <v>0</v>
      </c>
      <c r="AJ4852">
        <v>0</v>
      </c>
      <c r="AK4852">
        <v>0</v>
      </c>
      <c r="AL4852">
        <v>1</v>
      </c>
      <c r="AM4852">
        <v>0</v>
      </c>
      <c r="AN4852">
        <v>2</v>
      </c>
      <c r="AT4852">
        <v>0</v>
      </c>
      <c r="AU4852">
        <v>24</v>
      </c>
      <c r="AV4852">
        <v>433</v>
      </c>
      <c r="AW4852">
        <v>428</v>
      </c>
      <c r="AX4852">
        <v>675</v>
      </c>
      <c r="BA4852">
        <v>1</v>
      </c>
      <c r="BC4852" t="s">
        <v>9815</v>
      </c>
      <c r="BD4852" s="4">
        <v>43283.241446759261</v>
      </c>
      <c r="BE4852" s="4">
        <v>43283.273726851854</v>
      </c>
      <c r="BF4852" s="4">
        <v>43283.273726851854</v>
      </c>
      <c r="BG4852" t="s">
        <v>83</v>
      </c>
      <c r="BH4852" t="s">
        <v>84</v>
      </c>
      <c r="BI4852" t="s">
        <v>85</v>
      </c>
    </row>
    <row r="4853" spans="1:61" x14ac:dyDescent="0.3">
      <c r="A4853" t="str">
        <f>"201503E0105"</f>
        <v>201503E0105</v>
      </c>
      <c r="B4853" s="2" t="s">
        <v>9816</v>
      </c>
      <c r="C4853">
        <v>20</v>
      </c>
      <c r="D4853" t="s">
        <v>79</v>
      </c>
      <c r="E4853">
        <v>23</v>
      </c>
      <c r="F4853" t="s">
        <v>9720</v>
      </c>
      <c r="G4853">
        <v>1503</v>
      </c>
      <c r="H4853">
        <v>1</v>
      </c>
      <c r="I4853" t="s">
        <v>145</v>
      </c>
      <c r="J4853">
        <v>5</v>
      </c>
      <c r="K4853">
        <v>1</v>
      </c>
      <c r="L4853">
        <v>2</v>
      </c>
      <c r="M4853">
        <v>306</v>
      </c>
      <c r="N4853">
        <v>390</v>
      </c>
      <c r="O4853">
        <v>6</v>
      </c>
      <c r="P4853">
        <v>393</v>
      </c>
      <c r="Q4853">
        <v>6</v>
      </c>
      <c r="R4853">
        <v>64</v>
      </c>
      <c r="S4853">
        <v>6</v>
      </c>
      <c r="T4853">
        <v>3</v>
      </c>
      <c r="U4853">
        <v>22</v>
      </c>
      <c r="V4853">
        <v>5</v>
      </c>
      <c r="W4853">
        <v>1</v>
      </c>
      <c r="X4853">
        <v>2</v>
      </c>
      <c r="Y4853">
        <v>242</v>
      </c>
      <c r="Z4853">
        <v>13</v>
      </c>
      <c r="AA4853">
        <v>1</v>
      </c>
      <c r="AB4853">
        <v>3</v>
      </c>
      <c r="AC4853">
        <v>1</v>
      </c>
      <c r="AD4853">
        <v>1</v>
      </c>
      <c r="AE4853">
        <v>0</v>
      </c>
      <c r="AF4853">
        <v>1</v>
      </c>
      <c r="AG4853">
        <v>1</v>
      </c>
      <c r="AH4853">
        <v>4</v>
      </c>
      <c r="AI4853">
        <v>0</v>
      </c>
      <c r="AJ4853">
        <v>0</v>
      </c>
      <c r="AK4853">
        <v>4</v>
      </c>
      <c r="AL4853">
        <v>2</v>
      </c>
      <c r="AM4853">
        <v>0</v>
      </c>
      <c r="AN4853">
        <v>2</v>
      </c>
      <c r="AT4853">
        <v>0</v>
      </c>
      <c r="AU4853">
        <v>9</v>
      </c>
      <c r="AV4853">
        <v>393</v>
      </c>
      <c r="AW4853">
        <v>393</v>
      </c>
      <c r="AX4853">
        <v>675</v>
      </c>
      <c r="BA4853">
        <v>1</v>
      </c>
      <c r="BC4853" t="s">
        <v>9817</v>
      </c>
      <c r="BD4853" s="4">
        <v>43283.242071759261</v>
      </c>
      <c r="BE4853" s="4">
        <v>43283.268182870372</v>
      </c>
      <c r="BF4853" s="4">
        <v>43283.268182870372</v>
      </c>
      <c r="BG4853" t="s">
        <v>83</v>
      </c>
      <c r="BH4853" t="s">
        <v>84</v>
      </c>
      <c r="BI4853" t="s">
        <v>85</v>
      </c>
    </row>
    <row r="4854" spans="1:61" x14ac:dyDescent="0.3">
      <c r="A4854" t="str">
        <f>"201503E0106"</f>
        <v>201503E0106</v>
      </c>
      <c r="B4854" s="2" t="s">
        <v>9818</v>
      </c>
      <c r="C4854">
        <v>20</v>
      </c>
      <c r="D4854" t="s">
        <v>79</v>
      </c>
      <c r="E4854">
        <v>23</v>
      </c>
      <c r="F4854" t="s">
        <v>9720</v>
      </c>
      <c r="G4854">
        <v>1503</v>
      </c>
      <c r="H4854">
        <v>1</v>
      </c>
      <c r="I4854" t="s">
        <v>145</v>
      </c>
      <c r="J4854">
        <v>6</v>
      </c>
      <c r="K4854">
        <v>1</v>
      </c>
      <c r="L4854">
        <v>2</v>
      </c>
      <c r="M4854">
        <v>306</v>
      </c>
      <c r="N4854">
        <v>391</v>
      </c>
      <c r="O4854">
        <v>8</v>
      </c>
      <c r="P4854">
        <v>391</v>
      </c>
      <c r="Q4854">
        <v>9</v>
      </c>
      <c r="R4854">
        <v>68</v>
      </c>
      <c r="S4854">
        <v>2</v>
      </c>
      <c r="T4854">
        <v>6</v>
      </c>
      <c r="U4854">
        <v>15</v>
      </c>
      <c r="V4854">
        <v>2</v>
      </c>
      <c r="W4854">
        <v>4</v>
      </c>
      <c r="X4854">
        <v>1</v>
      </c>
      <c r="Y4854">
        <v>240</v>
      </c>
      <c r="Z4854">
        <v>10</v>
      </c>
      <c r="AA4854">
        <v>5</v>
      </c>
      <c r="AB4854">
        <v>0</v>
      </c>
      <c r="AC4854">
        <v>0</v>
      </c>
      <c r="AD4854">
        <v>0</v>
      </c>
      <c r="AE4854">
        <v>1</v>
      </c>
      <c r="AF4854">
        <v>0</v>
      </c>
      <c r="AG4854">
        <v>2</v>
      </c>
      <c r="AH4854">
        <v>3</v>
      </c>
      <c r="AI4854">
        <v>0</v>
      </c>
      <c r="AJ4854">
        <v>0</v>
      </c>
      <c r="AK4854">
        <v>5</v>
      </c>
      <c r="AL4854">
        <v>2</v>
      </c>
      <c r="AM4854">
        <v>1</v>
      </c>
      <c r="AN4854">
        <v>0</v>
      </c>
      <c r="AT4854">
        <v>0</v>
      </c>
      <c r="AU4854">
        <v>15</v>
      </c>
      <c r="AV4854">
        <v>391</v>
      </c>
      <c r="AW4854">
        <v>391</v>
      </c>
      <c r="AX4854">
        <v>675</v>
      </c>
      <c r="BA4854">
        <v>1</v>
      </c>
      <c r="BC4854" t="s">
        <v>9819</v>
      </c>
      <c r="BD4854" s="4">
        <v>43283.256516203706</v>
      </c>
      <c r="BE4854" s="4">
        <v>43283.28261574074</v>
      </c>
      <c r="BF4854" s="4">
        <v>43283.28261574074</v>
      </c>
      <c r="BG4854" t="s">
        <v>83</v>
      </c>
      <c r="BH4854" t="s">
        <v>84</v>
      </c>
      <c r="BI4854" t="s">
        <v>85</v>
      </c>
    </row>
    <row r="4855" spans="1:61" x14ac:dyDescent="0.3">
      <c r="A4855" t="str">
        <f>"201503E0200"</f>
        <v>201503E0200</v>
      </c>
      <c r="B4855" s="2" t="s">
        <v>9820</v>
      </c>
      <c r="C4855">
        <v>20</v>
      </c>
      <c r="D4855" t="s">
        <v>79</v>
      </c>
      <c r="E4855">
        <v>23</v>
      </c>
      <c r="F4855" t="s">
        <v>9720</v>
      </c>
      <c r="G4855">
        <v>1503</v>
      </c>
      <c r="H4855">
        <v>2</v>
      </c>
      <c r="I4855" t="s">
        <v>145</v>
      </c>
      <c r="J4855">
        <v>0</v>
      </c>
      <c r="K4855">
        <v>2</v>
      </c>
      <c r="L4855">
        <v>2</v>
      </c>
      <c r="M4855">
        <v>175</v>
      </c>
      <c r="N4855">
        <v>254</v>
      </c>
      <c r="O4855">
        <v>7</v>
      </c>
      <c r="P4855" t="s">
        <v>315</v>
      </c>
      <c r="Q4855">
        <v>16</v>
      </c>
      <c r="R4855">
        <v>69</v>
      </c>
      <c r="S4855">
        <v>5</v>
      </c>
      <c r="T4855">
        <v>7</v>
      </c>
      <c r="U4855">
        <v>14</v>
      </c>
      <c r="V4855">
        <v>14</v>
      </c>
      <c r="W4855">
        <v>0</v>
      </c>
      <c r="X4855">
        <v>2</v>
      </c>
      <c r="Y4855">
        <v>102</v>
      </c>
      <c r="Z4855">
        <v>7</v>
      </c>
      <c r="AA4855">
        <v>0</v>
      </c>
      <c r="AB4855">
        <v>1</v>
      </c>
      <c r="AC4855">
        <v>2</v>
      </c>
      <c r="AD4855">
        <v>0</v>
      </c>
      <c r="AE4855">
        <v>0</v>
      </c>
      <c r="AF4855">
        <v>0</v>
      </c>
      <c r="AG4855">
        <v>2</v>
      </c>
      <c r="AH4855">
        <v>6</v>
      </c>
      <c r="AI4855">
        <v>6</v>
      </c>
      <c r="AJ4855">
        <v>6</v>
      </c>
      <c r="AK4855">
        <v>9</v>
      </c>
      <c r="AL4855">
        <v>9</v>
      </c>
      <c r="AM4855">
        <v>0</v>
      </c>
      <c r="AN4855">
        <v>0</v>
      </c>
      <c r="AT4855">
        <v>0</v>
      </c>
      <c r="AU4855">
        <v>8</v>
      </c>
      <c r="AV4855">
        <v>264</v>
      </c>
      <c r="AW4855">
        <v>285</v>
      </c>
      <c r="AX4855">
        <v>417</v>
      </c>
      <c r="BA4855">
        <v>1</v>
      </c>
      <c r="BC4855" t="s">
        <v>9821</v>
      </c>
      <c r="BD4855" s="4">
        <v>43283.560682870368</v>
      </c>
      <c r="BE4855" s="4">
        <v>43283.567835648151</v>
      </c>
      <c r="BF4855" s="4">
        <v>43283.567835648151</v>
      </c>
      <c r="BG4855" t="s">
        <v>83</v>
      </c>
      <c r="BH4855" t="s">
        <v>84</v>
      </c>
      <c r="BI4855" t="s">
        <v>85</v>
      </c>
    </row>
    <row r="4856" spans="1:61" x14ac:dyDescent="0.3">
      <c r="A4856" t="str">
        <f>"201504B0100"</f>
        <v>201504B0100</v>
      </c>
      <c r="B4856" t="s">
        <v>9822</v>
      </c>
      <c r="C4856">
        <v>20</v>
      </c>
      <c r="D4856" t="s">
        <v>79</v>
      </c>
      <c r="E4856">
        <v>23</v>
      </c>
      <c r="F4856" t="s">
        <v>9720</v>
      </c>
      <c r="G4856">
        <v>1504</v>
      </c>
      <c r="H4856">
        <v>1</v>
      </c>
      <c r="I4856" t="s">
        <v>81</v>
      </c>
      <c r="J4856">
        <v>0</v>
      </c>
      <c r="K4856">
        <v>1</v>
      </c>
      <c r="L4856">
        <v>2</v>
      </c>
      <c r="M4856">
        <v>150</v>
      </c>
      <c r="N4856">
        <v>277</v>
      </c>
      <c r="O4856">
        <v>13</v>
      </c>
      <c r="P4856" t="s">
        <v>100</v>
      </c>
      <c r="Q4856">
        <v>21</v>
      </c>
      <c r="R4856">
        <v>51</v>
      </c>
      <c r="S4856">
        <v>5</v>
      </c>
      <c r="T4856">
        <v>5</v>
      </c>
      <c r="U4856">
        <v>7</v>
      </c>
      <c r="V4856">
        <v>14</v>
      </c>
      <c r="W4856">
        <v>0</v>
      </c>
      <c r="X4856">
        <v>3</v>
      </c>
      <c r="Y4856">
        <v>138</v>
      </c>
      <c r="Z4856">
        <v>6</v>
      </c>
      <c r="AA4856">
        <v>0</v>
      </c>
      <c r="AB4856">
        <v>3</v>
      </c>
      <c r="AC4856">
        <v>1</v>
      </c>
      <c r="AD4856">
        <v>1</v>
      </c>
      <c r="AE4856">
        <v>0</v>
      </c>
      <c r="AF4856">
        <v>1</v>
      </c>
      <c r="AG4856">
        <v>1</v>
      </c>
      <c r="AH4856">
        <v>0</v>
      </c>
      <c r="AI4856">
        <v>0</v>
      </c>
      <c r="AJ4856">
        <v>0</v>
      </c>
      <c r="AK4856">
        <v>3</v>
      </c>
      <c r="AL4856">
        <v>1</v>
      </c>
      <c r="AM4856">
        <v>0</v>
      </c>
      <c r="AN4856">
        <v>1</v>
      </c>
      <c r="AT4856">
        <v>0</v>
      </c>
      <c r="AU4856">
        <v>14</v>
      </c>
      <c r="AV4856">
        <v>276</v>
      </c>
      <c r="AW4856">
        <v>276</v>
      </c>
      <c r="AX4856">
        <v>405</v>
      </c>
      <c r="BA4856">
        <v>1</v>
      </c>
      <c r="BC4856" t="s">
        <v>9823</v>
      </c>
      <c r="BD4856" s="4">
        <v>43283.279803240737</v>
      </c>
      <c r="BE4856" s="4">
        <v>43283.309062499997</v>
      </c>
      <c r="BF4856" s="4">
        <v>43283.309062499997</v>
      </c>
      <c r="BG4856" t="s">
        <v>83</v>
      </c>
      <c r="BH4856" t="s">
        <v>84</v>
      </c>
      <c r="BI4856" t="s">
        <v>85</v>
      </c>
    </row>
    <row r="4857" spans="1:61" x14ac:dyDescent="0.3">
      <c r="A4857" t="str">
        <f>"201504C0100"</f>
        <v>201504C0100</v>
      </c>
      <c r="B4857" t="s">
        <v>9824</v>
      </c>
      <c r="C4857">
        <v>20</v>
      </c>
      <c r="D4857" t="s">
        <v>79</v>
      </c>
      <c r="E4857">
        <v>23</v>
      </c>
      <c r="F4857" t="s">
        <v>9720</v>
      </c>
      <c r="G4857">
        <v>1504</v>
      </c>
      <c r="H4857">
        <v>1</v>
      </c>
      <c r="I4857" t="s">
        <v>89</v>
      </c>
      <c r="J4857">
        <v>0</v>
      </c>
      <c r="K4857">
        <v>1</v>
      </c>
      <c r="L4857">
        <v>2</v>
      </c>
      <c r="M4857">
        <v>160</v>
      </c>
      <c r="N4857">
        <v>267</v>
      </c>
      <c r="O4857">
        <v>13</v>
      </c>
      <c r="P4857">
        <v>267</v>
      </c>
      <c r="Q4857">
        <v>26</v>
      </c>
      <c r="R4857">
        <v>62</v>
      </c>
      <c r="S4857">
        <v>9</v>
      </c>
      <c r="T4857">
        <v>2</v>
      </c>
      <c r="U4857">
        <v>5</v>
      </c>
      <c r="V4857">
        <v>9</v>
      </c>
      <c r="W4857">
        <v>2</v>
      </c>
      <c r="X4857">
        <v>6</v>
      </c>
      <c r="Y4857">
        <v>121</v>
      </c>
      <c r="Z4857">
        <v>2</v>
      </c>
      <c r="AA4857">
        <v>0</v>
      </c>
      <c r="AB4857">
        <v>1</v>
      </c>
      <c r="AC4857">
        <v>0</v>
      </c>
      <c r="AD4857">
        <v>0</v>
      </c>
      <c r="AE4857">
        <v>0</v>
      </c>
      <c r="AF4857">
        <v>0</v>
      </c>
      <c r="AG4857">
        <v>0</v>
      </c>
      <c r="AH4857">
        <v>4</v>
      </c>
      <c r="AI4857">
        <v>0</v>
      </c>
      <c r="AJ4857">
        <v>0</v>
      </c>
      <c r="AK4857">
        <v>8</v>
      </c>
      <c r="AL4857">
        <v>2</v>
      </c>
      <c r="AM4857">
        <v>0</v>
      </c>
      <c r="AN4857">
        <v>2</v>
      </c>
      <c r="AT4857">
        <v>0</v>
      </c>
      <c r="AU4857">
        <v>6</v>
      </c>
      <c r="AV4857">
        <v>267</v>
      </c>
      <c r="AW4857">
        <v>267</v>
      </c>
      <c r="AX4857">
        <v>405</v>
      </c>
      <c r="BA4857">
        <v>1</v>
      </c>
      <c r="BC4857" t="s">
        <v>9825</v>
      </c>
      <c r="BD4857" s="4">
        <v>43283.358032407406</v>
      </c>
      <c r="BE4857" s="4">
        <v>43283.368993055556</v>
      </c>
      <c r="BF4857" s="4">
        <v>43283.368993055556</v>
      </c>
      <c r="BG4857" t="s">
        <v>83</v>
      </c>
      <c r="BH4857" t="s">
        <v>84</v>
      </c>
      <c r="BI4857" t="s">
        <v>85</v>
      </c>
    </row>
    <row r="4858" spans="1:61" x14ac:dyDescent="0.3">
      <c r="A4858" t="str">
        <f>"201505B0100"</f>
        <v>201505B0100</v>
      </c>
      <c r="B4858" t="s">
        <v>9826</v>
      </c>
      <c r="C4858">
        <v>20</v>
      </c>
      <c r="D4858" t="s">
        <v>79</v>
      </c>
      <c r="E4858">
        <v>23</v>
      </c>
      <c r="F4858" t="s">
        <v>9720</v>
      </c>
      <c r="G4858">
        <v>1505</v>
      </c>
      <c r="H4858">
        <v>1</v>
      </c>
      <c r="I4858" t="s">
        <v>81</v>
      </c>
      <c r="J4858">
        <v>0</v>
      </c>
      <c r="K4858">
        <v>1</v>
      </c>
      <c r="L4858">
        <v>2</v>
      </c>
      <c r="M4858">
        <v>274</v>
      </c>
      <c r="N4858">
        <v>467</v>
      </c>
      <c r="O4858">
        <v>6</v>
      </c>
      <c r="P4858">
        <v>466</v>
      </c>
      <c r="Q4858">
        <v>19</v>
      </c>
      <c r="R4858">
        <v>93</v>
      </c>
      <c r="S4858">
        <v>11</v>
      </c>
      <c r="T4858">
        <v>8</v>
      </c>
      <c r="U4858">
        <v>17</v>
      </c>
      <c r="V4858">
        <v>6</v>
      </c>
      <c r="W4858">
        <v>1</v>
      </c>
      <c r="X4858">
        <v>5</v>
      </c>
      <c r="Y4858">
        <v>260</v>
      </c>
      <c r="Z4858">
        <v>8</v>
      </c>
      <c r="AA4858">
        <v>4</v>
      </c>
      <c r="AB4858">
        <v>3</v>
      </c>
      <c r="AC4858">
        <v>0</v>
      </c>
      <c r="AD4858">
        <v>0</v>
      </c>
      <c r="AE4858">
        <v>0</v>
      </c>
      <c r="AF4858">
        <v>0</v>
      </c>
      <c r="AG4858">
        <v>1</v>
      </c>
      <c r="AH4858">
        <v>2</v>
      </c>
      <c r="AI4858">
        <v>1</v>
      </c>
      <c r="AJ4858">
        <v>0</v>
      </c>
      <c r="AK4858">
        <v>8</v>
      </c>
      <c r="AL4858">
        <v>1</v>
      </c>
      <c r="AM4858">
        <v>1</v>
      </c>
      <c r="AN4858">
        <v>3</v>
      </c>
      <c r="AT4858">
        <v>0</v>
      </c>
      <c r="AU4858">
        <v>14</v>
      </c>
      <c r="AV4858">
        <v>466</v>
      </c>
      <c r="AW4858">
        <v>466</v>
      </c>
      <c r="AX4858">
        <v>719</v>
      </c>
      <c r="BA4858">
        <v>1</v>
      </c>
      <c r="BC4858" t="s">
        <v>9827</v>
      </c>
      <c r="BD4858" s="4">
        <v>43283.274027777778</v>
      </c>
      <c r="BE4858" s="4">
        <v>43283.300578703704</v>
      </c>
      <c r="BF4858" s="4">
        <v>43283.300578703704</v>
      </c>
      <c r="BG4858" t="s">
        <v>83</v>
      </c>
      <c r="BH4858" t="s">
        <v>84</v>
      </c>
      <c r="BI4858" t="s">
        <v>85</v>
      </c>
    </row>
    <row r="4859" spans="1:61" x14ac:dyDescent="0.3">
      <c r="A4859" t="str">
        <f>"201505C0100"</f>
        <v>201505C0100</v>
      </c>
      <c r="B4859" t="s">
        <v>9828</v>
      </c>
      <c r="C4859">
        <v>20</v>
      </c>
      <c r="D4859" t="s">
        <v>79</v>
      </c>
      <c r="E4859">
        <v>23</v>
      </c>
      <c r="F4859" t="s">
        <v>9720</v>
      </c>
      <c r="G4859">
        <v>1505</v>
      </c>
      <c r="H4859">
        <v>1</v>
      </c>
      <c r="I4859" t="s">
        <v>89</v>
      </c>
      <c r="J4859">
        <v>0</v>
      </c>
      <c r="K4859">
        <v>1</v>
      </c>
      <c r="L4859">
        <v>2</v>
      </c>
      <c r="M4859">
        <v>292</v>
      </c>
      <c r="N4859">
        <v>444</v>
      </c>
      <c r="O4859">
        <v>6</v>
      </c>
      <c r="P4859">
        <v>449</v>
      </c>
      <c r="Q4859">
        <v>10</v>
      </c>
      <c r="R4859">
        <v>97</v>
      </c>
      <c r="S4859">
        <v>6</v>
      </c>
      <c r="T4859">
        <v>6</v>
      </c>
      <c r="U4859">
        <v>13</v>
      </c>
      <c r="V4859">
        <v>11</v>
      </c>
      <c r="W4859">
        <v>0</v>
      </c>
      <c r="X4859">
        <v>6</v>
      </c>
      <c r="Y4859">
        <v>270</v>
      </c>
      <c r="Z4859">
        <v>10</v>
      </c>
      <c r="AA4859">
        <v>1</v>
      </c>
      <c r="AB4859">
        <v>3</v>
      </c>
      <c r="AC4859">
        <v>0</v>
      </c>
      <c r="AD4859">
        <v>0</v>
      </c>
      <c r="AE4859">
        <v>0</v>
      </c>
      <c r="AF4859">
        <v>0</v>
      </c>
      <c r="AG4859">
        <v>2</v>
      </c>
      <c r="AH4859">
        <v>4</v>
      </c>
      <c r="AI4859">
        <v>0</v>
      </c>
      <c r="AJ4859">
        <v>0</v>
      </c>
      <c r="AK4859">
        <v>4</v>
      </c>
      <c r="AL4859">
        <v>1</v>
      </c>
      <c r="AM4859">
        <v>0</v>
      </c>
      <c r="AN4859">
        <v>0</v>
      </c>
      <c r="AT4859">
        <v>0</v>
      </c>
      <c r="AU4859">
        <v>5</v>
      </c>
      <c r="AV4859">
        <v>449</v>
      </c>
      <c r="AW4859">
        <v>449</v>
      </c>
      <c r="AX4859">
        <v>719</v>
      </c>
      <c r="BA4859">
        <v>1</v>
      </c>
      <c r="BC4859" t="s">
        <v>9829</v>
      </c>
      <c r="BD4859" s="4">
        <v>43283.27784722222</v>
      </c>
      <c r="BE4859" s="4">
        <v>43283.306180555555</v>
      </c>
      <c r="BF4859" s="4">
        <v>43283.306180555555</v>
      </c>
      <c r="BG4859" t="s">
        <v>83</v>
      </c>
      <c r="BH4859" t="s">
        <v>84</v>
      </c>
      <c r="BI4859" t="s">
        <v>85</v>
      </c>
    </row>
    <row r="4860" spans="1:61" x14ac:dyDescent="0.3">
      <c r="A4860" t="str">
        <f>"201505C0200"</f>
        <v>201505C0200</v>
      </c>
      <c r="B4860" t="s">
        <v>9830</v>
      </c>
      <c r="C4860">
        <v>20</v>
      </c>
      <c r="D4860" t="s">
        <v>79</v>
      </c>
      <c r="E4860">
        <v>23</v>
      </c>
      <c r="F4860" t="s">
        <v>9720</v>
      </c>
      <c r="G4860">
        <v>1505</v>
      </c>
      <c r="H4860">
        <v>2</v>
      </c>
      <c r="I4860" t="s">
        <v>89</v>
      </c>
      <c r="J4860">
        <v>0</v>
      </c>
      <c r="K4860">
        <v>1</v>
      </c>
      <c r="L4860">
        <v>2</v>
      </c>
      <c r="M4860">
        <v>280</v>
      </c>
      <c r="N4860">
        <v>461</v>
      </c>
      <c r="O4860">
        <v>7</v>
      </c>
      <c r="P4860">
        <v>462</v>
      </c>
      <c r="Q4860">
        <v>10</v>
      </c>
      <c r="R4860">
        <v>112</v>
      </c>
      <c r="S4860">
        <v>3</v>
      </c>
      <c r="T4860">
        <v>3</v>
      </c>
      <c r="U4860">
        <v>18</v>
      </c>
      <c r="V4860">
        <v>8</v>
      </c>
      <c r="W4860">
        <v>2</v>
      </c>
      <c r="X4860">
        <v>2</v>
      </c>
      <c r="Y4860">
        <v>257</v>
      </c>
      <c r="Z4860">
        <v>14</v>
      </c>
      <c r="AA4860">
        <v>3</v>
      </c>
      <c r="AB4860">
        <v>5</v>
      </c>
      <c r="AC4860">
        <v>1</v>
      </c>
      <c r="AD4860">
        <v>0</v>
      </c>
      <c r="AE4860">
        <v>0</v>
      </c>
      <c r="AF4860">
        <v>0</v>
      </c>
      <c r="AG4860">
        <v>3</v>
      </c>
      <c r="AH4860">
        <v>4</v>
      </c>
      <c r="AI4860">
        <v>0</v>
      </c>
      <c r="AJ4860">
        <v>0</v>
      </c>
      <c r="AK4860">
        <v>4</v>
      </c>
      <c r="AL4860">
        <v>1</v>
      </c>
      <c r="AM4860">
        <v>0</v>
      </c>
      <c r="AN4860">
        <v>1</v>
      </c>
      <c r="AT4860">
        <v>1</v>
      </c>
      <c r="AU4860">
        <v>10</v>
      </c>
      <c r="AV4860">
        <v>462</v>
      </c>
      <c r="AW4860">
        <v>462</v>
      </c>
      <c r="AX4860">
        <v>719</v>
      </c>
      <c r="BA4860">
        <v>1</v>
      </c>
      <c r="BC4860" t="s">
        <v>9831</v>
      </c>
      <c r="BD4860" s="4">
        <v>43283.273472222223</v>
      </c>
      <c r="BE4860" s="4">
        <v>43283.302071759259</v>
      </c>
      <c r="BF4860" s="4">
        <v>43283.302071759259</v>
      </c>
      <c r="BG4860" t="s">
        <v>83</v>
      </c>
      <c r="BH4860" t="s">
        <v>84</v>
      </c>
      <c r="BI4860" t="s">
        <v>85</v>
      </c>
    </row>
    <row r="4861" spans="1:61" x14ac:dyDescent="0.3">
      <c r="A4861" t="str">
        <f>"201505C0300"</f>
        <v>201505C0300</v>
      </c>
      <c r="B4861" t="s">
        <v>9832</v>
      </c>
      <c r="C4861">
        <v>20</v>
      </c>
      <c r="D4861" t="s">
        <v>79</v>
      </c>
      <c r="E4861">
        <v>23</v>
      </c>
      <c r="F4861" t="s">
        <v>9720</v>
      </c>
      <c r="G4861">
        <v>1505</v>
      </c>
      <c r="H4861">
        <v>3</v>
      </c>
      <c r="I4861" t="s">
        <v>89</v>
      </c>
      <c r="J4861">
        <v>0</v>
      </c>
      <c r="K4861">
        <v>1</v>
      </c>
      <c r="L4861">
        <v>2</v>
      </c>
      <c r="M4861">
        <v>304</v>
      </c>
      <c r="N4861">
        <v>437</v>
      </c>
      <c r="O4861">
        <v>9</v>
      </c>
      <c r="P4861">
        <v>436</v>
      </c>
      <c r="Q4861">
        <v>13</v>
      </c>
      <c r="R4861">
        <v>82</v>
      </c>
      <c r="S4861">
        <v>5</v>
      </c>
      <c r="T4861">
        <v>6</v>
      </c>
      <c r="U4861">
        <v>21</v>
      </c>
      <c r="V4861">
        <v>6</v>
      </c>
      <c r="W4861">
        <v>3</v>
      </c>
      <c r="X4861">
        <v>6</v>
      </c>
      <c r="Y4861">
        <v>256</v>
      </c>
      <c r="Z4861">
        <v>13</v>
      </c>
      <c r="AA4861">
        <v>1</v>
      </c>
      <c r="AB4861">
        <v>3</v>
      </c>
      <c r="AC4861">
        <v>1</v>
      </c>
      <c r="AD4861">
        <v>0</v>
      </c>
      <c r="AE4861">
        <v>1</v>
      </c>
      <c r="AF4861">
        <v>0</v>
      </c>
      <c r="AG4861">
        <v>1</v>
      </c>
      <c r="AH4861">
        <v>2</v>
      </c>
      <c r="AI4861">
        <v>0</v>
      </c>
      <c r="AJ4861">
        <v>0</v>
      </c>
      <c r="AK4861">
        <v>5</v>
      </c>
      <c r="AL4861">
        <v>0</v>
      </c>
      <c r="AM4861">
        <v>0</v>
      </c>
      <c r="AN4861">
        <v>0</v>
      </c>
      <c r="AT4861">
        <v>0</v>
      </c>
      <c r="AU4861">
        <v>11</v>
      </c>
      <c r="AV4861">
        <v>436</v>
      </c>
      <c r="AW4861">
        <v>436</v>
      </c>
      <c r="AX4861">
        <v>719</v>
      </c>
      <c r="BA4861">
        <v>1</v>
      </c>
      <c r="BC4861" t="s">
        <v>9833</v>
      </c>
      <c r="BD4861" s="4">
        <v>43283.275370370371</v>
      </c>
      <c r="BE4861" s="4">
        <v>43283.30400462963</v>
      </c>
      <c r="BF4861" s="4">
        <v>43283.30400462963</v>
      </c>
      <c r="BG4861" t="s">
        <v>83</v>
      </c>
      <c r="BH4861" t="s">
        <v>84</v>
      </c>
      <c r="BI4861" t="s">
        <v>85</v>
      </c>
    </row>
    <row r="4862" spans="1:61" x14ac:dyDescent="0.3">
      <c r="A4862" t="str">
        <f>"201505C0400"</f>
        <v>201505C0400</v>
      </c>
      <c r="B4862" t="s">
        <v>9834</v>
      </c>
      <c r="C4862">
        <v>20</v>
      </c>
      <c r="D4862" t="s">
        <v>79</v>
      </c>
      <c r="E4862">
        <v>23</v>
      </c>
      <c r="F4862" t="s">
        <v>9720</v>
      </c>
      <c r="G4862">
        <v>1505</v>
      </c>
      <c r="H4862">
        <v>4</v>
      </c>
      <c r="I4862" t="s">
        <v>89</v>
      </c>
      <c r="J4862">
        <v>0</v>
      </c>
      <c r="K4862">
        <v>1</v>
      </c>
      <c r="L4862">
        <v>2</v>
      </c>
      <c r="M4862">
        <v>267</v>
      </c>
      <c r="N4862">
        <v>473</v>
      </c>
      <c r="O4862">
        <v>7</v>
      </c>
      <c r="P4862">
        <v>473</v>
      </c>
      <c r="Q4862">
        <v>12</v>
      </c>
      <c r="R4862">
        <v>78</v>
      </c>
      <c r="S4862">
        <v>13</v>
      </c>
      <c r="T4862">
        <v>6</v>
      </c>
      <c r="U4862">
        <v>19</v>
      </c>
      <c r="V4862">
        <v>20</v>
      </c>
      <c r="W4862">
        <v>2</v>
      </c>
      <c r="X4862">
        <v>3</v>
      </c>
      <c r="Y4862">
        <v>280</v>
      </c>
      <c r="Z4862">
        <v>13</v>
      </c>
      <c r="AA4862">
        <v>3</v>
      </c>
      <c r="AB4862">
        <v>1</v>
      </c>
      <c r="AC4862">
        <v>0</v>
      </c>
      <c r="AD4862">
        <v>0</v>
      </c>
      <c r="AE4862">
        <v>0</v>
      </c>
      <c r="AF4862">
        <v>0</v>
      </c>
      <c r="AG4862">
        <v>1</v>
      </c>
      <c r="AH4862">
        <v>0</v>
      </c>
      <c r="AI4862">
        <v>0</v>
      </c>
      <c r="AJ4862">
        <v>0</v>
      </c>
      <c r="AK4862">
        <v>12</v>
      </c>
      <c r="AL4862">
        <v>0</v>
      </c>
      <c r="AM4862">
        <v>0</v>
      </c>
      <c r="AN4862">
        <v>0</v>
      </c>
      <c r="AT4862">
        <v>0</v>
      </c>
      <c r="AU4862">
        <v>10</v>
      </c>
      <c r="AV4862">
        <v>473</v>
      </c>
      <c r="AW4862">
        <v>473</v>
      </c>
      <c r="AX4862">
        <v>719</v>
      </c>
      <c r="BA4862">
        <v>1</v>
      </c>
      <c r="BC4862" t="s">
        <v>9835</v>
      </c>
      <c r="BD4862" s="4">
        <v>43283.278460648151</v>
      </c>
      <c r="BE4862" s="4">
        <v>43283.307766203703</v>
      </c>
      <c r="BF4862" s="4">
        <v>43283.307766203703</v>
      </c>
      <c r="BG4862" t="s">
        <v>83</v>
      </c>
      <c r="BH4862" t="s">
        <v>84</v>
      </c>
      <c r="BI4862" t="s">
        <v>85</v>
      </c>
    </row>
    <row r="4863" spans="1:61" x14ac:dyDescent="0.3">
      <c r="A4863" t="str">
        <f>"201506B0100"</f>
        <v>201506B0100</v>
      </c>
      <c r="B4863" t="s">
        <v>9836</v>
      </c>
      <c r="C4863">
        <v>20</v>
      </c>
      <c r="D4863" t="s">
        <v>79</v>
      </c>
      <c r="E4863">
        <v>23</v>
      </c>
      <c r="F4863" t="s">
        <v>9720</v>
      </c>
      <c r="G4863">
        <v>1506</v>
      </c>
      <c r="H4863">
        <v>1</v>
      </c>
      <c r="I4863" t="s">
        <v>81</v>
      </c>
      <c r="J4863">
        <v>0</v>
      </c>
      <c r="K4863">
        <v>1</v>
      </c>
      <c r="L4863">
        <v>2</v>
      </c>
      <c r="M4863">
        <v>296</v>
      </c>
      <c r="N4863">
        <v>730</v>
      </c>
      <c r="O4863" t="s">
        <v>100</v>
      </c>
      <c r="P4863">
        <v>434</v>
      </c>
      <c r="Q4863">
        <v>16</v>
      </c>
      <c r="R4863">
        <v>100</v>
      </c>
      <c r="S4863">
        <v>6</v>
      </c>
      <c r="T4863">
        <v>3</v>
      </c>
      <c r="U4863">
        <v>16</v>
      </c>
      <c r="V4863">
        <v>14</v>
      </c>
      <c r="W4863">
        <v>3</v>
      </c>
      <c r="X4863">
        <v>5</v>
      </c>
      <c r="Y4863">
        <v>233</v>
      </c>
      <c r="Z4863">
        <v>9</v>
      </c>
      <c r="AA4863">
        <v>0</v>
      </c>
      <c r="AB4863">
        <v>5</v>
      </c>
      <c r="AC4863" t="s">
        <v>100</v>
      </c>
      <c r="AD4863" t="s">
        <v>100</v>
      </c>
      <c r="AE4863" t="s">
        <v>100</v>
      </c>
      <c r="AF4863" t="s">
        <v>100</v>
      </c>
      <c r="AG4863">
        <v>2</v>
      </c>
      <c r="AH4863">
        <v>3</v>
      </c>
      <c r="AI4863" t="s">
        <v>100</v>
      </c>
      <c r="AJ4863" t="s">
        <v>100</v>
      </c>
      <c r="AK4863" t="s">
        <v>100</v>
      </c>
      <c r="AL4863">
        <v>0</v>
      </c>
      <c r="AM4863">
        <v>1</v>
      </c>
      <c r="AN4863">
        <v>2</v>
      </c>
      <c r="AT4863" t="s">
        <v>100</v>
      </c>
      <c r="AU4863">
        <v>13</v>
      </c>
      <c r="AV4863">
        <v>435</v>
      </c>
      <c r="AW4863">
        <v>431</v>
      </c>
      <c r="AX4863">
        <v>709</v>
      </c>
      <c r="AZ4863" t="s">
        <v>101</v>
      </c>
      <c r="BA4863">
        <v>1</v>
      </c>
      <c r="BC4863" t="s">
        <v>9837</v>
      </c>
      <c r="BD4863" s="4">
        <v>43283.214884259258</v>
      </c>
      <c r="BE4863" s="4">
        <v>43283.245868055557</v>
      </c>
      <c r="BF4863" s="4">
        <v>43283.245868055557</v>
      </c>
      <c r="BG4863" t="s">
        <v>83</v>
      </c>
      <c r="BH4863" t="s">
        <v>84</v>
      </c>
      <c r="BI4863" t="s">
        <v>85</v>
      </c>
    </row>
    <row r="4864" spans="1:61" x14ac:dyDescent="0.3">
      <c r="A4864" t="str">
        <f>"201506C0100"</f>
        <v>201506C0100</v>
      </c>
      <c r="B4864" t="s">
        <v>9838</v>
      </c>
      <c r="C4864">
        <v>20</v>
      </c>
      <c r="D4864" t="s">
        <v>79</v>
      </c>
      <c r="E4864">
        <v>23</v>
      </c>
      <c r="F4864" t="s">
        <v>9720</v>
      </c>
      <c r="G4864">
        <v>1506</v>
      </c>
      <c r="H4864">
        <v>1</v>
      </c>
      <c r="I4864" t="s">
        <v>89</v>
      </c>
      <c r="J4864">
        <v>0</v>
      </c>
      <c r="K4864">
        <v>1</v>
      </c>
      <c r="L4864">
        <v>2</v>
      </c>
      <c r="M4864">
        <v>278</v>
      </c>
      <c r="N4864">
        <v>453</v>
      </c>
      <c r="O4864">
        <v>5</v>
      </c>
      <c r="P4864">
        <v>452</v>
      </c>
      <c r="Q4864">
        <v>18</v>
      </c>
      <c r="R4864">
        <v>107</v>
      </c>
      <c r="S4864">
        <v>3</v>
      </c>
      <c r="T4864">
        <v>7</v>
      </c>
      <c r="U4864">
        <v>18</v>
      </c>
      <c r="V4864">
        <v>14</v>
      </c>
      <c r="W4864">
        <v>6</v>
      </c>
      <c r="X4864">
        <v>3</v>
      </c>
      <c r="Y4864">
        <v>229</v>
      </c>
      <c r="Z4864">
        <v>13</v>
      </c>
      <c r="AA4864">
        <v>1</v>
      </c>
      <c r="AB4864">
        <v>2</v>
      </c>
      <c r="AC4864">
        <v>1</v>
      </c>
      <c r="AD4864">
        <v>0</v>
      </c>
      <c r="AE4864">
        <v>0</v>
      </c>
      <c r="AF4864">
        <v>0</v>
      </c>
      <c r="AG4864">
        <v>1</v>
      </c>
      <c r="AH4864">
        <v>2</v>
      </c>
      <c r="AI4864">
        <v>0</v>
      </c>
      <c r="AJ4864">
        <v>0</v>
      </c>
      <c r="AK4864">
        <v>12</v>
      </c>
      <c r="AL4864">
        <v>1</v>
      </c>
      <c r="AM4864">
        <v>1</v>
      </c>
      <c r="AN4864">
        <v>2</v>
      </c>
      <c r="AT4864">
        <v>0</v>
      </c>
      <c r="AU4864">
        <v>11</v>
      </c>
      <c r="AV4864">
        <v>452</v>
      </c>
      <c r="AW4864">
        <v>452</v>
      </c>
      <c r="AX4864">
        <v>709</v>
      </c>
      <c r="BA4864">
        <v>1</v>
      </c>
      <c r="BC4864" t="s">
        <v>9839</v>
      </c>
      <c r="BD4864" s="4">
        <v>43283.232418981483</v>
      </c>
      <c r="BE4864" s="4">
        <v>43283.25576388889</v>
      </c>
      <c r="BF4864" s="4">
        <v>43283.25576388889</v>
      </c>
      <c r="BG4864" t="s">
        <v>83</v>
      </c>
      <c r="BH4864" t="s">
        <v>84</v>
      </c>
      <c r="BI4864" t="s">
        <v>85</v>
      </c>
    </row>
    <row r="4865" spans="1:61" x14ac:dyDescent="0.3">
      <c r="A4865" t="str">
        <f>"201506C0200"</f>
        <v>201506C0200</v>
      </c>
      <c r="B4865" t="s">
        <v>9840</v>
      </c>
      <c r="C4865">
        <v>20</v>
      </c>
      <c r="D4865" t="s">
        <v>79</v>
      </c>
      <c r="E4865">
        <v>23</v>
      </c>
      <c r="F4865" t="s">
        <v>9720</v>
      </c>
      <c r="G4865">
        <v>1506</v>
      </c>
      <c r="H4865">
        <v>2</v>
      </c>
      <c r="I4865" t="s">
        <v>89</v>
      </c>
      <c r="J4865">
        <v>0</v>
      </c>
      <c r="K4865">
        <v>1</v>
      </c>
      <c r="L4865">
        <v>2</v>
      </c>
      <c r="M4865">
        <v>256</v>
      </c>
      <c r="N4865">
        <v>475</v>
      </c>
      <c r="O4865">
        <v>0</v>
      </c>
      <c r="P4865">
        <v>475</v>
      </c>
      <c r="Q4865">
        <v>14</v>
      </c>
      <c r="R4865">
        <v>115</v>
      </c>
      <c r="S4865">
        <v>10</v>
      </c>
      <c r="T4865">
        <v>9</v>
      </c>
      <c r="U4865">
        <v>14</v>
      </c>
      <c r="V4865">
        <v>14</v>
      </c>
      <c r="W4865">
        <v>1</v>
      </c>
      <c r="X4865">
        <v>3</v>
      </c>
      <c r="Y4865">
        <v>229</v>
      </c>
      <c r="Z4865">
        <v>13</v>
      </c>
      <c r="AA4865">
        <v>1</v>
      </c>
      <c r="AB4865">
        <v>0</v>
      </c>
      <c r="AC4865">
        <v>1</v>
      </c>
      <c r="AD4865">
        <v>0</v>
      </c>
      <c r="AE4865">
        <v>0</v>
      </c>
      <c r="AF4865">
        <v>1</v>
      </c>
      <c r="AG4865">
        <v>1</v>
      </c>
      <c r="AH4865">
        <v>6</v>
      </c>
      <c r="AI4865">
        <v>0</v>
      </c>
      <c r="AJ4865">
        <v>0</v>
      </c>
      <c r="AK4865">
        <v>8</v>
      </c>
      <c r="AL4865">
        <v>1</v>
      </c>
      <c r="AM4865">
        <v>0</v>
      </c>
      <c r="AN4865">
        <v>0</v>
      </c>
      <c r="AT4865">
        <v>0</v>
      </c>
      <c r="AU4865">
        <v>17</v>
      </c>
      <c r="AV4865">
        <v>475</v>
      </c>
      <c r="AW4865">
        <v>458</v>
      </c>
      <c r="AX4865">
        <v>709</v>
      </c>
      <c r="BA4865">
        <v>1</v>
      </c>
      <c r="BC4865" t="s">
        <v>9841</v>
      </c>
      <c r="BD4865" s="4">
        <v>43283.23296296296</v>
      </c>
      <c r="BE4865" s="4">
        <v>43283.254502314812</v>
      </c>
      <c r="BF4865" s="4">
        <v>43283.254502314812</v>
      </c>
      <c r="BG4865" t="s">
        <v>83</v>
      </c>
      <c r="BH4865" t="s">
        <v>84</v>
      </c>
      <c r="BI4865" t="s">
        <v>85</v>
      </c>
    </row>
    <row r="4866" spans="1:61" x14ac:dyDescent="0.3">
      <c r="A4866" t="str">
        <f>"201506S0100"</f>
        <v>201506S0100</v>
      </c>
      <c r="B4866" t="s">
        <v>9842</v>
      </c>
      <c r="C4866">
        <v>20</v>
      </c>
      <c r="D4866" t="s">
        <v>79</v>
      </c>
      <c r="E4866">
        <v>23</v>
      </c>
      <c r="F4866" t="s">
        <v>9720</v>
      </c>
      <c r="G4866">
        <v>1506</v>
      </c>
      <c r="H4866">
        <v>1</v>
      </c>
      <c r="I4866" t="s">
        <v>104</v>
      </c>
      <c r="J4866">
        <v>0</v>
      </c>
      <c r="K4866">
        <v>1</v>
      </c>
      <c r="L4866">
        <v>3</v>
      </c>
      <c r="M4866">
        <v>370</v>
      </c>
      <c r="N4866">
        <v>48</v>
      </c>
      <c r="O4866">
        <v>0</v>
      </c>
      <c r="P4866">
        <v>48</v>
      </c>
      <c r="Q4866">
        <v>0</v>
      </c>
      <c r="R4866">
        <v>4</v>
      </c>
      <c r="S4866">
        <v>0</v>
      </c>
      <c r="T4866">
        <v>0</v>
      </c>
      <c r="U4866">
        <v>0</v>
      </c>
      <c r="V4866">
        <v>2</v>
      </c>
      <c r="W4866">
        <v>1</v>
      </c>
      <c r="X4866">
        <v>0</v>
      </c>
      <c r="Y4866">
        <v>27</v>
      </c>
      <c r="Z4866">
        <v>3</v>
      </c>
      <c r="AA4866">
        <v>0</v>
      </c>
      <c r="AB4866">
        <v>0</v>
      </c>
      <c r="AC4866">
        <v>0</v>
      </c>
      <c r="AD4866">
        <v>0</v>
      </c>
      <c r="AE4866">
        <v>0</v>
      </c>
      <c r="AF4866">
        <v>0</v>
      </c>
      <c r="AG4866">
        <v>0</v>
      </c>
      <c r="AH4866">
        <v>1</v>
      </c>
      <c r="AI4866">
        <v>1</v>
      </c>
      <c r="AJ4866">
        <v>0</v>
      </c>
      <c r="AK4866">
        <v>4</v>
      </c>
      <c r="AL4866">
        <v>1</v>
      </c>
      <c r="AM4866">
        <v>0</v>
      </c>
      <c r="AN4866">
        <v>1</v>
      </c>
      <c r="AT4866">
        <v>0</v>
      </c>
      <c r="AU4866">
        <v>3</v>
      </c>
      <c r="AV4866">
        <v>48</v>
      </c>
      <c r="AW4866">
        <v>48</v>
      </c>
      <c r="AX4866">
        <v>0</v>
      </c>
      <c r="BA4866">
        <v>1</v>
      </c>
      <c r="BC4866" t="s">
        <v>9843</v>
      </c>
      <c r="BD4866" s="4">
        <v>43283.283101851855</v>
      </c>
      <c r="BE4866" s="4">
        <v>43283.311053240737</v>
      </c>
      <c r="BF4866" s="4">
        <v>43283.311053240737</v>
      </c>
      <c r="BG4866" t="s">
        <v>83</v>
      </c>
      <c r="BH4866" t="s">
        <v>84</v>
      </c>
      <c r="BI4866" t="s">
        <v>85</v>
      </c>
    </row>
    <row r="4867" spans="1:61" x14ac:dyDescent="0.3">
      <c r="A4867" t="str">
        <f>"201507B0100"</f>
        <v>201507B0100</v>
      </c>
      <c r="B4867" t="s">
        <v>9844</v>
      </c>
      <c r="C4867">
        <v>20</v>
      </c>
      <c r="D4867" t="s">
        <v>79</v>
      </c>
      <c r="E4867">
        <v>23</v>
      </c>
      <c r="F4867" t="s">
        <v>9720</v>
      </c>
      <c r="G4867">
        <v>1507</v>
      </c>
      <c r="H4867">
        <v>1</v>
      </c>
      <c r="I4867" t="s">
        <v>81</v>
      </c>
      <c r="J4867">
        <v>0</v>
      </c>
      <c r="K4867">
        <v>1</v>
      </c>
      <c r="L4867">
        <v>2</v>
      </c>
      <c r="M4867" t="s">
        <v>100</v>
      </c>
      <c r="N4867" t="s">
        <v>315</v>
      </c>
      <c r="O4867">
        <v>3</v>
      </c>
      <c r="P4867">
        <v>0</v>
      </c>
      <c r="Q4867">
        <v>20</v>
      </c>
      <c r="R4867">
        <v>125</v>
      </c>
      <c r="S4867">
        <v>4</v>
      </c>
      <c r="T4867">
        <v>11</v>
      </c>
      <c r="U4867">
        <v>27</v>
      </c>
      <c r="V4867">
        <v>15</v>
      </c>
      <c r="W4867">
        <v>0</v>
      </c>
      <c r="X4867">
        <v>5</v>
      </c>
      <c r="Y4867">
        <v>250</v>
      </c>
      <c r="Z4867">
        <v>11</v>
      </c>
      <c r="AA4867">
        <v>1</v>
      </c>
      <c r="AB4867">
        <v>2</v>
      </c>
      <c r="AC4867">
        <v>0</v>
      </c>
      <c r="AD4867">
        <v>0</v>
      </c>
      <c r="AE4867">
        <v>0</v>
      </c>
      <c r="AF4867">
        <v>0</v>
      </c>
      <c r="AG4867">
        <v>0</v>
      </c>
      <c r="AH4867">
        <v>1</v>
      </c>
      <c r="AI4867">
        <v>0</v>
      </c>
      <c r="AJ4867">
        <v>0</v>
      </c>
      <c r="AK4867">
        <v>6</v>
      </c>
      <c r="AL4867">
        <v>1</v>
      </c>
      <c r="AM4867">
        <v>1</v>
      </c>
      <c r="AN4867">
        <v>3</v>
      </c>
      <c r="AT4867" t="s">
        <v>100</v>
      </c>
      <c r="AU4867">
        <v>17</v>
      </c>
      <c r="AV4867">
        <v>500</v>
      </c>
      <c r="AW4867">
        <v>500</v>
      </c>
      <c r="AX4867">
        <v>742</v>
      </c>
      <c r="AZ4867" t="s">
        <v>101</v>
      </c>
      <c r="BA4867">
        <v>1</v>
      </c>
      <c r="BC4867" t="s">
        <v>9845</v>
      </c>
      <c r="BD4867" s="4">
        <v>43283.280729166669</v>
      </c>
      <c r="BE4867" s="4">
        <v>43283.324965277781</v>
      </c>
      <c r="BF4867" s="4">
        <v>43283.324965277781</v>
      </c>
      <c r="BG4867" t="s">
        <v>83</v>
      </c>
      <c r="BH4867" t="s">
        <v>84</v>
      </c>
      <c r="BI4867" t="s">
        <v>85</v>
      </c>
    </row>
    <row r="4868" spans="1:61" x14ac:dyDescent="0.3">
      <c r="A4868" t="str">
        <f>"201507C0100"</f>
        <v>201507C0100</v>
      </c>
      <c r="B4868" t="s">
        <v>9846</v>
      </c>
      <c r="C4868">
        <v>20</v>
      </c>
      <c r="D4868" t="s">
        <v>79</v>
      </c>
      <c r="E4868">
        <v>23</v>
      </c>
      <c r="F4868" t="s">
        <v>9720</v>
      </c>
      <c r="G4868">
        <v>1507</v>
      </c>
      <c r="H4868">
        <v>1</v>
      </c>
      <c r="I4868" t="s">
        <v>89</v>
      </c>
      <c r="J4868">
        <v>0</v>
      </c>
      <c r="K4868">
        <v>1</v>
      </c>
      <c r="L4868">
        <v>2</v>
      </c>
      <c r="AX4868">
        <v>742</v>
      </c>
      <c r="AZ4868" t="s">
        <v>156</v>
      </c>
      <c r="BA4868">
        <v>0</v>
      </c>
      <c r="BC4868" t="s">
        <v>9847</v>
      </c>
      <c r="BD4868" s="4">
        <v>43283.673587962963</v>
      </c>
      <c r="BE4868" s="4">
        <v>43283.679155092592</v>
      </c>
      <c r="BF4868" s="4">
        <v>43283.679155092592</v>
      </c>
      <c r="BG4868" t="s">
        <v>83</v>
      </c>
      <c r="BH4868" t="s">
        <v>84</v>
      </c>
      <c r="BI4868" t="s">
        <v>85</v>
      </c>
    </row>
    <row r="4869" spans="1:61" x14ac:dyDescent="0.3">
      <c r="A4869" t="str">
        <f>"201508B0100"</f>
        <v>201508B0100</v>
      </c>
      <c r="B4869" t="s">
        <v>9848</v>
      </c>
      <c r="C4869">
        <v>20</v>
      </c>
      <c r="D4869" t="s">
        <v>79</v>
      </c>
      <c r="E4869">
        <v>23</v>
      </c>
      <c r="F4869" t="s">
        <v>9720</v>
      </c>
      <c r="G4869">
        <v>1508</v>
      </c>
      <c r="H4869">
        <v>1</v>
      </c>
      <c r="I4869" t="s">
        <v>81</v>
      </c>
      <c r="J4869">
        <v>0</v>
      </c>
      <c r="K4869">
        <v>2</v>
      </c>
      <c r="L4869">
        <v>2</v>
      </c>
      <c r="M4869">
        <v>89</v>
      </c>
      <c r="N4869">
        <v>329</v>
      </c>
      <c r="O4869">
        <v>1</v>
      </c>
      <c r="P4869">
        <v>329</v>
      </c>
      <c r="Q4869">
        <v>10</v>
      </c>
      <c r="R4869">
        <v>110</v>
      </c>
      <c r="S4869">
        <v>7</v>
      </c>
      <c r="T4869">
        <v>20</v>
      </c>
      <c r="U4869">
        <v>12</v>
      </c>
      <c r="V4869">
        <v>1</v>
      </c>
      <c r="W4869">
        <v>1</v>
      </c>
      <c r="X4869">
        <v>1</v>
      </c>
      <c r="Y4869">
        <v>141</v>
      </c>
      <c r="Z4869">
        <v>2</v>
      </c>
      <c r="AA4869">
        <v>0</v>
      </c>
      <c r="AB4869">
        <v>0</v>
      </c>
      <c r="AC4869">
        <v>1</v>
      </c>
      <c r="AD4869">
        <v>0</v>
      </c>
      <c r="AE4869">
        <v>0</v>
      </c>
      <c r="AF4869">
        <v>1</v>
      </c>
      <c r="AG4869">
        <v>0</v>
      </c>
      <c r="AH4869">
        <v>3</v>
      </c>
      <c r="AI4869">
        <v>1</v>
      </c>
      <c r="AJ4869">
        <v>1</v>
      </c>
      <c r="AK4869">
        <v>1</v>
      </c>
      <c r="AL4869">
        <v>4</v>
      </c>
      <c r="AM4869">
        <v>0</v>
      </c>
      <c r="AN4869">
        <v>0</v>
      </c>
      <c r="AT4869">
        <v>0</v>
      </c>
      <c r="AU4869">
        <v>6</v>
      </c>
      <c r="AV4869">
        <v>329</v>
      </c>
      <c r="AW4869">
        <v>323</v>
      </c>
      <c r="AX4869">
        <v>396</v>
      </c>
      <c r="BA4869">
        <v>1</v>
      </c>
      <c r="BC4869" t="s">
        <v>9849</v>
      </c>
      <c r="BD4869" s="4">
        <v>43283.106168981481</v>
      </c>
      <c r="BE4869" s="4">
        <v>43283.112766203703</v>
      </c>
      <c r="BF4869" s="4">
        <v>43283.112766203703</v>
      </c>
      <c r="BG4869" t="s">
        <v>83</v>
      </c>
      <c r="BH4869" t="s">
        <v>84</v>
      </c>
      <c r="BI4869" t="s">
        <v>85</v>
      </c>
    </row>
    <row r="4870" spans="1:61" x14ac:dyDescent="0.3">
      <c r="A4870" t="str">
        <f>"201508C0100"</f>
        <v>201508C0100</v>
      </c>
      <c r="B4870" t="s">
        <v>9850</v>
      </c>
      <c r="C4870">
        <v>20</v>
      </c>
      <c r="D4870" t="s">
        <v>79</v>
      </c>
      <c r="E4870">
        <v>23</v>
      </c>
      <c r="F4870" t="s">
        <v>9720</v>
      </c>
      <c r="G4870">
        <v>1508</v>
      </c>
      <c r="H4870">
        <v>1</v>
      </c>
      <c r="I4870" t="s">
        <v>89</v>
      </c>
      <c r="J4870">
        <v>0</v>
      </c>
      <c r="K4870">
        <v>2</v>
      </c>
      <c r="L4870">
        <v>2</v>
      </c>
      <c r="M4870">
        <v>101</v>
      </c>
      <c r="N4870">
        <v>315</v>
      </c>
      <c r="O4870">
        <v>0</v>
      </c>
      <c r="P4870">
        <v>315</v>
      </c>
      <c r="Q4870">
        <v>10</v>
      </c>
      <c r="R4870">
        <v>132</v>
      </c>
      <c r="S4870">
        <v>4</v>
      </c>
      <c r="T4870">
        <v>22</v>
      </c>
      <c r="U4870">
        <v>3</v>
      </c>
      <c r="V4870">
        <v>6</v>
      </c>
      <c r="W4870">
        <v>5</v>
      </c>
      <c r="X4870">
        <v>3</v>
      </c>
      <c r="Y4870">
        <v>112</v>
      </c>
      <c r="Z4870">
        <v>3</v>
      </c>
      <c r="AA4870">
        <v>0</v>
      </c>
      <c r="AB4870">
        <v>1</v>
      </c>
      <c r="AC4870">
        <v>0</v>
      </c>
      <c r="AD4870">
        <v>0</v>
      </c>
      <c r="AE4870">
        <v>0</v>
      </c>
      <c r="AF4870">
        <v>0</v>
      </c>
      <c r="AG4870">
        <v>0</v>
      </c>
      <c r="AH4870">
        <v>6</v>
      </c>
      <c r="AI4870">
        <v>0</v>
      </c>
      <c r="AJ4870">
        <v>0</v>
      </c>
      <c r="AK4870">
        <v>2</v>
      </c>
      <c r="AL4870">
        <v>1</v>
      </c>
      <c r="AM4870">
        <v>0</v>
      </c>
      <c r="AN4870">
        <v>0</v>
      </c>
      <c r="AT4870">
        <v>0</v>
      </c>
      <c r="AU4870">
        <v>5</v>
      </c>
      <c r="AV4870">
        <v>315</v>
      </c>
      <c r="AW4870">
        <v>315</v>
      </c>
      <c r="AX4870">
        <v>395</v>
      </c>
      <c r="BA4870">
        <v>1</v>
      </c>
      <c r="BC4870" t="s">
        <v>9851</v>
      </c>
      <c r="BD4870" s="4">
        <v>43283.11341435185</v>
      </c>
      <c r="BE4870" s="4">
        <v>43283.117418981485</v>
      </c>
      <c r="BF4870" s="4">
        <v>43283.117418981485</v>
      </c>
      <c r="BG4870" t="s">
        <v>83</v>
      </c>
      <c r="BH4870" t="s">
        <v>84</v>
      </c>
      <c r="BI4870" t="s">
        <v>85</v>
      </c>
    </row>
    <row r="4871" spans="1:61" x14ac:dyDescent="0.3">
      <c r="A4871" t="str">
        <f>"201509B0100"</f>
        <v>201509B0100</v>
      </c>
      <c r="B4871" t="s">
        <v>9852</v>
      </c>
      <c r="C4871">
        <v>20</v>
      </c>
      <c r="D4871" t="s">
        <v>79</v>
      </c>
      <c r="E4871">
        <v>23</v>
      </c>
      <c r="F4871" t="s">
        <v>9720</v>
      </c>
      <c r="G4871">
        <v>1509</v>
      </c>
      <c r="H4871">
        <v>1</v>
      </c>
      <c r="I4871" t="s">
        <v>81</v>
      </c>
      <c r="J4871">
        <v>0</v>
      </c>
      <c r="K4871">
        <v>2</v>
      </c>
      <c r="L4871">
        <v>2</v>
      </c>
      <c r="M4871">
        <v>320</v>
      </c>
      <c r="N4871">
        <v>410</v>
      </c>
      <c r="O4871">
        <v>2</v>
      </c>
      <c r="P4871">
        <v>410</v>
      </c>
      <c r="Q4871">
        <v>12</v>
      </c>
      <c r="R4871">
        <v>86</v>
      </c>
      <c r="S4871">
        <v>3</v>
      </c>
      <c r="T4871">
        <v>3</v>
      </c>
      <c r="U4871">
        <v>17</v>
      </c>
      <c r="V4871">
        <v>7</v>
      </c>
      <c r="W4871">
        <v>4</v>
      </c>
      <c r="X4871">
        <v>5</v>
      </c>
      <c r="Y4871">
        <v>218</v>
      </c>
      <c r="Z4871">
        <v>15</v>
      </c>
      <c r="AA4871">
        <v>2</v>
      </c>
      <c r="AB4871">
        <v>8</v>
      </c>
      <c r="AC4871">
        <v>0</v>
      </c>
      <c r="AD4871">
        <v>1</v>
      </c>
      <c r="AE4871">
        <v>0</v>
      </c>
      <c r="AF4871">
        <v>0</v>
      </c>
      <c r="AG4871">
        <v>1</v>
      </c>
      <c r="AH4871">
        <v>4</v>
      </c>
      <c r="AI4871">
        <v>0</v>
      </c>
      <c r="AJ4871">
        <v>0</v>
      </c>
      <c r="AK4871">
        <v>6</v>
      </c>
      <c r="AL4871">
        <v>2</v>
      </c>
      <c r="AM4871">
        <v>0</v>
      </c>
      <c r="AN4871">
        <v>0</v>
      </c>
      <c r="AT4871">
        <v>0</v>
      </c>
      <c r="AU4871">
        <v>16</v>
      </c>
      <c r="AV4871">
        <v>410</v>
      </c>
      <c r="AW4871">
        <v>410</v>
      </c>
      <c r="AX4871">
        <v>706</v>
      </c>
      <c r="BA4871">
        <v>1</v>
      </c>
      <c r="BC4871" t="s">
        <v>9853</v>
      </c>
      <c r="BD4871" s="4">
        <v>43283.357557870368</v>
      </c>
      <c r="BE4871" s="4">
        <v>43283.370104166665</v>
      </c>
      <c r="BF4871" s="4">
        <v>43283.370104166665</v>
      </c>
      <c r="BG4871" t="s">
        <v>83</v>
      </c>
      <c r="BH4871" t="s">
        <v>84</v>
      </c>
      <c r="BI4871" t="s">
        <v>85</v>
      </c>
    </row>
    <row r="4872" spans="1:61" x14ac:dyDescent="0.3">
      <c r="A4872" t="str">
        <f>"201509C0100"</f>
        <v>201509C0100</v>
      </c>
      <c r="B4872" t="s">
        <v>9854</v>
      </c>
      <c r="C4872">
        <v>20</v>
      </c>
      <c r="D4872" t="s">
        <v>79</v>
      </c>
      <c r="E4872">
        <v>23</v>
      </c>
      <c r="F4872" t="s">
        <v>9720</v>
      </c>
      <c r="G4872">
        <v>1509</v>
      </c>
      <c r="H4872">
        <v>1</v>
      </c>
      <c r="I4872" t="s">
        <v>89</v>
      </c>
      <c r="J4872">
        <v>0</v>
      </c>
      <c r="K4872">
        <v>2</v>
      </c>
      <c r="L4872">
        <v>2</v>
      </c>
      <c r="M4872">
        <v>302</v>
      </c>
      <c r="N4872">
        <v>425</v>
      </c>
      <c r="O4872">
        <v>3</v>
      </c>
      <c r="P4872" t="s">
        <v>100</v>
      </c>
      <c r="Q4872">
        <v>11</v>
      </c>
      <c r="R4872">
        <v>90</v>
      </c>
      <c r="S4872">
        <v>10</v>
      </c>
      <c r="T4872">
        <v>10</v>
      </c>
      <c r="U4872">
        <v>26</v>
      </c>
      <c r="V4872">
        <v>15</v>
      </c>
      <c r="W4872">
        <v>3</v>
      </c>
      <c r="X4872">
        <v>0</v>
      </c>
      <c r="Y4872">
        <v>227</v>
      </c>
      <c r="Z4872">
        <v>7</v>
      </c>
      <c r="AA4872">
        <v>1</v>
      </c>
      <c r="AB4872">
        <v>1</v>
      </c>
      <c r="AC4872">
        <v>1</v>
      </c>
      <c r="AD4872">
        <v>0</v>
      </c>
      <c r="AE4872">
        <v>1</v>
      </c>
      <c r="AF4872">
        <v>0</v>
      </c>
      <c r="AG4872">
        <v>0</v>
      </c>
      <c r="AH4872">
        <v>0</v>
      </c>
      <c r="AI4872">
        <v>0</v>
      </c>
      <c r="AJ4872">
        <v>0</v>
      </c>
      <c r="AK4872">
        <v>7</v>
      </c>
      <c r="AL4872">
        <v>2</v>
      </c>
      <c r="AM4872">
        <v>0</v>
      </c>
      <c r="AN4872">
        <v>2</v>
      </c>
      <c r="AT4872">
        <v>0</v>
      </c>
      <c r="AU4872">
        <v>16</v>
      </c>
      <c r="AV4872">
        <v>425</v>
      </c>
      <c r="AW4872">
        <v>430</v>
      </c>
      <c r="AX4872">
        <v>706</v>
      </c>
      <c r="BA4872">
        <v>1</v>
      </c>
      <c r="BC4872" t="s">
        <v>9855</v>
      </c>
      <c r="BD4872" s="4">
        <v>43283.35864583333</v>
      </c>
      <c r="BE4872" s="4">
        <v>43283.36922453704</v>
      </c>
      <c r="BF4872" s="4">
        <v>43283.36922453704</v>
      </c>
      <c r="BG4872" t="s">
        <v>83</v>
      </c>
      <c r="BH4872" t="s">
        <v>84</v>
      </c>
      <c r="BI4872" t="s">
        <v>85</v>
      </c>
    </row>
    <row r="4873" spans="1:61" x14ac:dyDescent="0.3">
      <c r="A4873" t="str">
        <f>"201509C0200"</f>
        <v>201509C0200</v>
      </c>
      <c r="B4873" t="s">
        <v>9856</v>
      </c>
      <c r="C4873">
        <v>20</v>
      </c>
      <c r="D4873" t="s">
        <v>79</v>
      </c>
      <c r="E4873">
        <v>23</v>
      </c>
      <c r="F4873" t="s">
        <v>9720</v>
      </c>
      <c r="G4873">
        <v>1509</v>
      </c>
      <c r="H4873">
        <v>2</v>
      </c>
      <c r="I4873" t="s">
        <v>89</v>
      </c>
      <c r="J4873">
        <v>0</v>
      </c>
      <c r="K4873">
        <v>2</v>
      </c>
      <c r="L4873">
        <v>2</v>
      </c>
      <c r="M4873">
        <v>312</v>
      </c>
      <c r="N4873">
        <v>415</v>
      </c>
      <c r="O4873">
        <v>3</v>
      </c>
      <c r="P4873" t="s">
        <v>100</v>
      </c>
      <c r="Q4873">
        <v>7</v>
      </c>
      <c r="R4873">
        <v>103</v>
      </c>
      <c r="S4873">
        <v>4</v>
      </c>
      <c r="T4873">
        <v>3</v>
      </c>
      <c r="U4873">
        <v>15</v>
      </c>
      <c r="V4873">
        <v>6</v>
      </c>
      <c r="W4873">
        <v>1</v>
      </c>
      <c r="X4873">
        <v>3</v>
      </c>
      <c r="Y4873">
        <v>225</v>
      </c>
      <c r="Z4873">
        <v>8</v>
      </c>
      <c r="AA4873">
        <v>1</v>
      </c>
      <c r="AB4873">
        <v>0</v>
      </c>
      <c r="AC4873">
        <v>0</v>
      </c>
      <c r="AD4873">
        <v>1</v>
      </c>
      <c r="AE4873">
        <v>0</v>
      </c>
      <c r="AF4873">
        <v>0</v>
      </c>
      <c r="AG4873">
        <v>2</v>
      </c>
      <c r="AH4873">
        <v>5</v>
      </c>
      <c r="AI4873">
        <v>0</v>
      </c>
      <c r="AJ4873">
        <v>0</v>
      </c>
      <c r="AK4873">
        <v>12</v>
      </c>
      <c r="AL4873">
        <v>2</v>
      </c>
      <c r="AM4873">
        <v>0</v>
      </c>
      <c r="AN4873">
        <v>0</v>
      </c>
      <c r="AT4873">
        <v>0</v>
      </c>
      <c r="AU4873">
        <v>17</v>
      </c>
      <c r="AV4873">
        <v>415</v>
      </c>
      <c r="AW4873">
        <v>415</v>
      </c>
      <c r="AX4873">
        <v>705</v>
      </c>
      <c r="BA4873">
        <v>1</v>
      </c>
      <c r="BC4873" t="s">
        <v>9857</v>
      </c>
      <c r="BD4873" s="4">
        <v>43283.359085648146</v>
      </c>
      <c r="BE4873" s="4">
        <v>43283.37259259259</v>
      </c>
      <c r="BF4873" s="4">
        <v>43283.37259259259</v>
      </c>
      <c r="BG4873" t="s">
        <v>83</v>
      </c>
      <c r="BH4873" t="s">
        <v>84</v>
      </c>
      <c r="BI4873" t="s">
        <v>85</v>
      </c>
    </row>
    <row r="4874" spans="1:61" x14ac:dyDescent="0.3">
      <c r="A4874" t="str">
        <f>"201510B0100"</f>
        <v>201510B0100</v>
      </c>
      <c r="B4874" t="s">
        <v>9858</v>
      </c>
      <c r="C4874">
        <v>20</v>
      </c>
      <c r="D4874" t="s">
        <v>79</v>
      </c>
      <c r="E4874">
        <v>23</v>
      </c>
      <c r="F4874" t="s">
        <v>9720</v>
      </c>
      <c r="G4874">
        <v>1510</v>
      </c>
      <c r="H4874">
        <v>1</v>
      </c>
      <c r="I4874" t="s">
        <v>81</v>
      </c>
      <c r="J4874">
        <v>0</v>
      </c>
      <c r="K4874">
        <v>1</v>
      </c>
      <c r="L4874">
        <v>2</v>
      </c>
      <c r="M4874">
        <v>237</v>
      </c>
      <c r="N4874">
        <v>482</v>
      </c>
      <c r="O4874">
        <v>5</v>
      </c>
      <c r="P4874">
        <v>482</v>
      </c>
      <c r="Q4874">
        <v>12</v>
      </c>
      <c r="R4874">
        <v>94</v>
      </c>
      <c r="S4874">
        <v>6</v>
      </c>
      <c r="T4874">
        <v>4</v>
      </c>
      <c r="U4874">
        <v>14</v>
      </c>
      <c r="V4874">
        <v>17</v>
      </c>
      <c r="W4874">
        <v>3</v>
      </c>
      <c r="X4874">
        <v>1</v>
      </c>
      <c r="Y4874">
        <v>285</v>
      </c>
      <c r="Z4874">
        <v>18</v>
      </c>
      <c r="AA4874">
        <v>0</v>
      </c>
      <c r="AB4874">
        <v>7</v>
      </c>
      <c r="AC4874">
        <v>0</v>
      </c>
      <c r="AD4874">
        <v>0</v>
      </c>
      <c r="AE4874">
        <v>0</v>
      </c>
      <c r="AF4874">
        <v>0</v>
      </c>
      <c r="AG4874">
        <v>2</v>
      </c>
      <c r="AH4874">
        <v>0</v>
      </c>
      <c r="AI4874">
        <v>0</v>
      </c>
      <c r="AJ4874">
        <v>0</v>
      </c>
      <c r="AK4874">
        <v>6</v>
      </c>
      <c r="AL4874">
        <v>8</v>
      </c>
      <c r="AM4874">
        <v>0</v>
      </c>
      <c r="AN4874">
        <v>0</v>
      </c>
      <c r="AT4874">
        <v>0</v>
      </c>
      <c r="AU4874">
        <v>5</v>
      </c>
      <c r="AV4874">
        <v>482</v>
      </c>
      <c r="AW4874">
        <v>482</v>
      </c>
      <c r="AX4874">
        <v>697</v>
      </c>
      <c r="BA4874">
        <v>1</v>
      </c>
      <c r="BC4874" t="s">
        <v>9859</v>
      </c>
      <c r="BD4874" s="4">
        <v>43283.216192129628</v>
      </c>
      <c r="BE4874" s="4">
        <v>43283.245127314818</v>
      </c>
      <c r="BF4874" s="4">
        <v>43283.245127314818</v>
      </c>
      <c r="BG4874" t="s">
        <v>83</v>
      </c>
      <c r="BH4874" t="s">
        <v>84</v>
      </c>
      <c r="BI4874" t="s">
        <v>85</v>
      </c>
    </row>
    <row r="4875" spans="1:61" x14ac:dyDescent="0.3">
      <c r="A4875" t="str">
        <f>"201510C0100"</f>
        <v>201510C0100</v>
      </c>
      <c r="B4875" t="s">
        <v>9860</v>
      </c>
      <c r="C4875">
        <v>20</v>
      </c>
      <c r="D4875" t="s">
        <v>79</v>
      </c>
      <c r="E4875">
        <v>23</v>
      </c>
      <c r="F4875" t="s">
        <v>9720</v>
      </c>
      <c r="G4875">
        <v>1510</v>
      </c>
      <c r="H4875">
        <v>1</v>
      </c>
      <c r="I4875" t="s">
        <v>89</v>
      </c>
      <c r="J4875">
        <v>0</v>
      </c>
      <c r="K4875">
        <v>1</v>
      </c>
      <c r="L4875">
        <v>2</v>
      </c>
      <c r="M4875" t="s">
        <v>100</v>
      </c>
      <c r="N4875">
        <v>455</v>
      </c>
      <c r="O4875">
        <v>7</v>
      </c>
      <c r="P4875">
        <v>455</v>
      </c>
      <c r="Q4875">
        <v>20</v>
      </c>
      <c r="R4875">
        <v>65</v>
      </c>
      <c r="S4875">
        <v>5</v>
      </c>
      <c r="T4875">
        <v>4</v>
      </c>
      <c r="U4875">
        <v>15</v>
      </c>
      <c r="V4875">
        <v>9</v>
      </c>
      <c r="W4875">
        <v>0</v>
      </c>
      <c r="X4875">
        <v>4</v>
      </c>
      <c r="Y4875">
        <v>295</v>
      </c>
      <c r="Z4875">
        <v>13</v>
      </c>
      <c r="AA4875">
        <v>1</v>
      </c>
      <c r="AB4875">
        <v>5</v>
      </c>
      <c r="AC4875">
        <v>0</v>
      </c>
      <c r="AD4875">
        <v>0</v>
      </c>
      <c r="AE4875">
        <v>0</v>
      </c>
      <c r="AF4875">
        <v>0</v>
      </c>
      <c r="AG4875">
        <v>0</v>
      </c>
      <c r="AH4875">
        <v>2</v>
      </c>
      <c r="AI4875">
        <v>0</v>
      </c>
      <c r="AJ4875">
        <v>0</v>
      </c>
      <c r="AK4875">
        <v>10</v>
      </c>
      <c r="AL4875">
        <v>2</v>
      </c>
      <c r="AM4875">
        <v>0</v>
      </c>
      <c r="AN4875">
        <v>0</v>
      </c>
      <c r="AT4875">
        <v>0</v>
      </c>
      <c r="AU4875">
        <v>5</v>
      </c>
      <c r="AV4875">
        <v>455</v>
      </c>
      <c r="AW4875">
        <v>455</v>
      </c>
      <c r="AX4875">
        <v>697</v>
      </c>
      <c r="BA4875">
        <v>1</v>
      </c>
      <c r="BC4875" t="s">
        <v>9861</v>
      </c>
      <c r="BD4875" s="4">
        <v>43283.227048611108</v>
      </c>
      <c r="BE4875" s="4">
        <v>43283.249409722222</v>
      </c>
      <c r="BF4875" s="4">
        <v>43283.249409722222</v>
      </c>
      <c r="BG4875" t="s">
        <v>83</v>
      </c>
      <c r="BH4875" t="s">
        <v>84</v>
      </c>
      <c r="BI4875" t="s">
        <v>85</v>
      </c>
    </row>
    <row r="4876" spans="1:61" x14ac:dyDescent="0.3">
      <c r="A4876" t="str">
        <f>"201510C0200"</f>
        <v>201510C0200</v>
      </c>
      <c r="B4876" t="s">
        <v>9862</v>
      </c>
      <c r="C4876">
        <v>20</v>
      </c>
      <c r="D4876" t="s">
        <v>79</v>
      </c>
      <c r="E4876">
        <v>23</v>
      </c>
      <c r="F4876" t="s">
        <v>9720</v>
      </c>
      <c r="G4876">
        <v>1510</v>
      </c>
      <c r="H4876">
        <v>2</v>
      </c>
      <c r="I4876" t="s">
        <v>89</v>
      </c>
      <c r="J4876">
        <v>0</v>
      </c>
      <c r="K4876">
        <v>1</v>
      </c>
      <c r="L4876">
        <v>2</v>
      </c>
      <c r="M4876">
        <v>253</v>
      </c>
      <c r="N4876">
        <v>468</v>
      </c>
      <c r="O4876">
        <v>7</v>
      </c>
      <c r="P4876">
        <v>465</v>
      </c>
      <c r="Q4876">
        <v>28</v>
      </c>
      <c r="R4876">
        <v>81</v>
      </c>
      <c r="S4876">
        <v>5</v>
      </c>
      <c r="T4876">
        <v>1</v>
      </c>
      <c r="U4876">
        <v>9</v>
      </c>
      <c r="V4876">
        <v>15</v>
      </c>
      <c r="W4876">
        <v>0</v>
      </c>
      <c r="X4876">
        <v>1</v>
      </c>
      <c r="Y4876">
        <v>282</v>
      </c>
      <c r="Z4876">
        <v>22</v>
      </c>
      <c r="AA4876">
        <v>0</v>
      </c>
      <c r="AB4876">
        <v>2</v>
      </c>
      <c r="AC4876">
        <v>0</v>
      </c>
      <c r="AD4876">
        <v>0</v>
      </c>
      <c r="AE4876">
        <v>0</v>
      </c>
      <c r="AF4876">
        <v>0</v>
      </c>
      <c r="AG4876">
        <v>0</v>
      </c>
      <c r="AH4876">
        <v>4</v>
      </c>
      <c r="AI4876">
        <v>0</v>
      </c>
      <c r="AJ4876">
        <v>0</v>
      </c>
      <c r="AK4876">
        <v>5</v>
      </c>
      <c r="AL4876">
        <v>0</v>
      </c>
      <c r="AM4876">
        <v>0</v>
      </c>
      <c r="AN4876">
        <v>2</v>
      </c>
      <c r="AT4876">
        <v>2</v>
      </c>
      <c r="AU4876">
        <v>6</v>
      </c>
      <c r="AV4876">
        <v>465</v>
      </c>
      <c r="AW4876">
        <v>465</v>
      </c>
      <c r="AX4876">
        <v>697</v>
      </c>
      <c r="BA4876">
        <v>1</v>
      </c>
      <c r="BC4876" t="s">
        <v>9863</v>
      </c>
      <c r="BD4876" s="4">
        <v>43283.227662037039</v>
      </c>
      <c r="BE4876" s="4">
        <v>43283.249675925923</v>
      </c>
      <c r="BF4876" s="4">
        <v>43283.249675925923</v>
      </c>
      <c r="BG4876" t="s">
        <v>83</v>
      </c>
      <c r="BH4876" t="s">
        <v>84</v>
      </c>
      <c r="BI4876" t="s">
        <v>85</v>
      </c>
    </row>
    <row r="4877" spans="1:61" x14ac:dyDescent="0.3">
      <c r="A4877" t="str">
        <f>"201510C0300"</f>
        <v>201510C0300</v>
      </c>
      <c r="B4877" t="s">
        <v>9864</v>
      </c>
      <c r="C4877">
        <v>20</v>
      </c>
      <c r="D4877" t="s">
        <v>79</v>
      </c>
      <c r="E4877">
        <v>23</v>
      </c>
      <c r="F4877" t="s">
        <v>9720</v>
      </c>
      <c r="G4877">
        <v>1510</v>
      </c>
      <c r="H4877">
        <v>3</v>
      </c>
      <c r="I4877" t="s">
        <v>89</v>
      </c>
      <c r="J4877">
        <v>0</v>
      </c>
      <c r="K4877">
        <v>1</v>
      </c>
      <c r="L4877">
        <v>2</v>
      </c>
      <c r="M4877">
        <v>273</v>
      </c>
      <c r="N4877">
        <v>446</v>
      </c>
      <c r="O4877">
        <v>3</v>
      </c>
      <c r="P4877">
        <v>446</v>
      </c>
      <c r="Q4877">
        <v>15</v>
      </c>
      <c r="R4877">
        <v>84</v>
      </c>
      <c r="S4877">
        <v>9</v>
      </c>
      <c r="T4877">
        <v>6</v>
      </c>
      <c r="U4877">
        <v>10</v>
      </c>
      <c r="V4877">
        <v>11</v>
      </c>
      <c r="W4877">
        <v>0</v>
      </c>
      <c r="X4877">
        <v>1</v>
      </c>
      <c r="Y4877">
        <v>269</v>
      </c>
      <c r="Z4877">
        <v>19</v>
      </c>
      <c r="AA4877">
        <v>0</v>
      </c>
      <c r="AB4877">
        <v>1</v>
      </c>
      <c r="AC4877">
        <v>0</v>
      </c>
      <c r="AD4877">
        <v>1</v>
      </c>
      <c r="AE4877">
        <v>0</v>
      </c>
      <c r="AF4877">
        <v>0</v>
      </c>
      <c r="AG4877">
        <v>2</v>
      </c>
      <c r="AH4877">
        <v>1</v>
      </c>
      <c r="AI4877">
        <v>0</v>
      </c>
      <c r="AJ4877">
        <v>0</v>
      </c>
      <c r="AK4877">
        <v>3</v>
      </c>
      <c r="AL4877">
        <v>1</v>
      </c>
      <c r="AM4877">
        <v>0</v>
      </c>
      <c r="AN4877">
        <v>1</v>
      </c>
      <c r="AT4877">
        <v>1</v>
      </c>
      <c r="AU4877">
        <v>11</v>
      </c>
      <c r="AV4877">
        <v>446</v>
      </c>
      <c r="AW4877">
        <v>446</v>
      </c>
      <c r="AX4877">
        <v>697</v>
      </c>
      <c r="BA4877">
        <v>1</v>
      </c>
      <c r="BC4877" t="s">
        <v>9865</v>
      </c>
      <c r="BD4877" s="4">
        <v>43283.231319444443</v>
      </c>
      <c r="BE4877" s="4">
        <v>43283.252511574072</v>
      </c>
      <c r="BF4877" s="4">
        <v>43283.252511574072</v>
      </c>
      <c r="BG4877" t="s">
        <v>83</v>
      </c>
      <c r="BH4877" t="s">
        <v>84</v>
      </c>
      <c r="BI4877" t="s">
        <v>85</v>
      </c>
    </row>
    <row r="4878" spans="1:61" x14ac:dyDescent="0.3">
      <c r="A4878" t="str">
        <f>"201564B0100"</f>
        <v>201564B0100</v>
      </c>
      <c r="B4878" t="s">
        <v>9866</v>
      </c>
      <c r="C4878">
        <v>20</v>
      </c>
      <c r="D4878" t="s">
        <v>79</v>
      </c>
      <c r="E4878">
        <v>23</v>
      </c>
      <c r="F4878" t="s">
        <v>9720</v>
      </c>
      <c r="G4878">
        <v>1564</v>
      </c>
      <c r="H4878">
        <v>1</v>
      </c>
      <c r="I4878" t="s">
        <v>81</v>
      </c>
      <c r="J4878">
        <v>0</v>
      </c>
      <c r="K4878">
        <v>2</v>
      </c>
      <c r="L4878">
        <v>2</v>
      </c>
      <c r="M4878">
        <v>135</v>
      </c>
      <c r="N4878">
        <v>343</v>
      </c>
      <c r="O4878">
        <v>1</v>
      </c>
      <c r="P4878">
        <v>343</v>
      </c>
      <c r="Q4878">
        <v>5</v>
      </c>
      <c r="R4878">
        <v>86</v>
      </c>
      <c r="S4878">
        <v>3</v>
      </c>
      <c r="T4878">
        <v>5</v>
      </c>
      <c r="U4878">
        <v>2</v>
      </c>
      <c r="V4878">
        <v>11</v>
      </c>
      <c r="W4878">
        <v>33</v>
      </c>
      <c r="X4878">
        <v>25</v>
      </c>
      <c r="Y4878">
        <v>139</v>
      </c>
      <c r="Z4878">
        <v>2</v>
      </c>
      <c r="AA4878">
        <v>1</v>
      </c>
      <c r="AB4878">
        <v>0</v>
      </c>
      <c r="AC4878">
        <v>1</v>
      </c>
      <c r="AD4878">
        <v>0</v>
      </c>
      <c r="AE4878">
        <v>0</v>
      </c>
      <c r="AF4878">
        <v>0</v>
      </c>
      <c r="AG4878">
        <v>5</v>
      </c>
      <c r="AH4878">
        <v>1</v>
      </c>
      <c r="AI4878">
        <v>3</v>
      </c>
      <c r="AJ4878">
        <v>0</v>
      </c>
      <c r="AK4878">
        <v>3</v>
      </c>
      <c r="AL4878">
        <v>2</v>
      </c>
      <c r="AM4878">
        <v>0</v>
      </c>
      <c r="AN4878">
        <v>1</v>
      </c>
      <c r="AT4878">
        <v>0</v>
      </c>
      <c r="AU4878">
        <v>15</v>
      </c>
      <c r="AV4878">
        <v>343</v>
      </c>
      <c r="AW4878">
        <v>343</v>
      </c>
      <c r="AX4878">
        <v>456</v>
      </c>
      <c r="BA4878">
        <v>1</v>
      </c>
      <c r="BC4878" t="s">
        <v>9867</v>
      </c>
      <c r="BD4878" s="4">
        <v>43283.264814814815</v>
      </c>
      <c r="BE4878" s="4">
        <v>43283.289421296293</v>
      </c>
      <c r="BF4878" s="4">
        <v>43283.289421296293</v>
      </c>
      <c r="BG4878" t="s">
        <v>83</v>
      </c>
      <c r="BH4878" t="s">
        <v>84</v>
      </c>
      <c r="BI4878" t="s">
        <v>85</v>
      </c>
    </row>
    <row r="4879" spans="1:61" x14ac:dyDescent="0.3">
      <c r="A4879" t="str">
        <f>"201564C0100"</f>
        <v>201564C0100</v>
      </c>
      <c r="B4879" t="s">
        <v>9868</v>
      </c>
      <c r="C4879">
        <v>20</v>
      </c>
      <c r="D4879" t="s">
        <v>79</v>
      </c>
      <c r="E4879">
        <v>23</v>
      </c>
      <c r="F4879" t="s">
        <v>9720</v>
      </c>
      <c r="G4879">
        <v>1564</v>
      </c>
      <c r="H4879">
        <v>1</v>
      </c>
      <c r="I4879" t="s">
        <v>89</v>
      </c>
      <c r="J4879">
        <v>0</v>
      </c>
      <c r="K4879">
        <v>2</v>
      </c>
      <c r="L4879">
        <v>2</v>
      </c>
      <c r="M4879">
        <v>158</v>
      </c>
      <c r="N4879">
        <v>321</v>
      </c>
      <c r="O4879">
        <v>3</v>
      </c>
      <c r="P4879">
        <v>321</v>
      </c>
      <c r="Q4879">
        <v>3</v>
      </c>
      <c r="R4879">
        <v>79</v>
      </c>
      <c r="S4879">
        <v>12</v>
      </c>
      <c r="T4879">
        <v>1</v>
      </c>
      <c r="U4879">
        <v>3</v>
      </c>
      <c r="V4879">
        <v>12</v>
      </c>
      <c r="W4879">
        <v>26</v>
      </c>
      <c r="X4879">
        <v>15</v>
      </c>
      <c r="Y4879">
        <v>140</v>
      </c>
      <c r="Z4879">
        <v>0</v>
      </c>
      <c r="AA4879">
        <v>0</v>
      </c>
      <c r="AB4879">
        <v>0</v>
      </c>
      <c r="AC4879">
        <v>1</v>
      </c>
      <c r="AD4879">
        <v>0</v>
      </c>
      <c r="AE4879">
        <v>0</v>
      </c>
      <c r="AF4879">
        <v>0</v>
      </c>
      <c r="AG4879">
        <v>5</v>
      </c>
      <c r="AH4879">
        <v>0</v>
      </c>
      <c r="AI4879">
        <v>1</v>
      </c>
      <c r="AJ4879">
        <v>0</v>
      </c>
      <c r="AK4879">
        <v>3</v>
      </c>
      <c r="AL4879">
        <v>0</v>
      </c>
      <c r="AM4879">
        <v>0</v>
      </c>
      <c r="AN4879">
        <v>3</v>
      </c>
      <c r="AT4879">
        <v>0</v>
      </c>
      <c r="AU4879">
        <v>16</v>
      </c>
      <c r="AV4879">
        <v>321</v>
      </c>
      <c r="AW4879">
        <v>320</v>
      </c>
      <c r="AX4879">
        <v>456</v>
      </c>
      <c r="BA4879">
        <v>1</v>
      </c>
      <c r="BC4879" t="s">
        <v>9869</v>
      </c>
      <c r="BD4879" s="4">
        <v>43283.265659722223</v>
      </c>
      <c r="BE4879" s="4">
        <v>43283.302060185182</v>
      </c>
      <c r="BF4879" s="4">
        <v>43283.302060185182</v>
      </c>
      <c r="BG4879" t="s">
        <v>83</v>
      </c>
      <c r="BH4879" t="s">
        <v>84</v>
      </c>
      <c r="BI4879" t="s">
        <v>85</v>
      </c>
    </row>
    <row r="4880" spans="1:61" x14ac:dyDescent="0.3">
      <c r="A4880" t="str">
        <f>"201564E0100"</f>
        <v>201564E0100</v>
      </c>
      <c r="B4880" s="2" t="s">
        <v>9870</v>
      </c>
      <c r="C4880">
        <v>20</v>
      </c>
      <c r="D4880" t="s">
        <v>79</v>
      </c>
      <c r="E4880">
        <v>23</v>
      </c>
      <c r="F4880" t="s">
        <v>9720</v>
      </c>
      <c r="G4880">
        <v>1564</v>
      </c>
      <c r="H4880">
        <v>1</v>
      </c>
      <c r="I4880" t="s">
        <v>145</v>
      </c>
      <c r="J4880">
        <v>0</v>
      </c>
      <c r="K4880">
        <v>2</v>
      </c>
      <c r="L4880">
        <v>2</v>
      </c>
      <c r="M4880">
        <v>72</v>
      </c>
      <c r="N4880">
        <v>131</v>
      </c>
      <c r="O4880">
        <v>0</v>
      </c>
      <c r="P4880">
        <v>131</v>
      </c>
      <c r="Q4880">
        <v>1</v>
      </c>
      <c r="R4880">
        <v>20</v>
      </c>
      <c r="S4880">
        <v>0</v>
      </c>
      <c r="T4880">
        <v>3</v>
      </c>
      <c r="U4880">
        <v>3</v>
      </c>
      <c r="V4880">
        <v>3</v>
      </c>
      <c r="W4880">
        <v>54</v>
      </c>
      <c r="X4880">
        <v>5</v>
      </c>
      <c r="Y4880">
        <v>25</v>
      </c>
      <c r="Z4880">
        <v>2</v>
      </c>
      <c r="AA4880">
        <v>1</v>
      </c>
      <c r="AB4880">
        <v>0</v>
      </c>
      <c r="AC4880">
        <v>0</v>
      </c>
      <c r="AD4880">
        <v>0</v>
      </c>
      <c r="AE4880">
        <v>0</v>
      </c>
      <c r="AF4880">
        <v>0</v>
      </c>
      <c r="AG4880">
        <v>0</v>
      </c>
      <c r="AH4880">
        <v>0</v>
      </c>
      <c r="AI4880">
        <v>0</v>
      </c>
      <c r="AJ4880">
        <v>0</v>
      </c>
      <c r="AK4880">
        <v>0</v>
      </c>
      <c r="AL4880">
        <v>1</v>
      </c>
      <c r="AM4880">
        <v>0</v>
      </c>
      <c r="AN4880">
        <v>1</v>
      </c>
      <c r="AT4880">
        <v>0</v>
      </c>
      <c r="AU4880">
        <v>12</v>
      </c>
      <c r="AV4880">
        <v>131</v>
      </c>
      <c r="AW4880">
        <v>131</v>
      </c>
      <c r="AX4880">
        <v>181</v>
      </c>
      <c r="BA4880">
        <v>1</v>
      </c>
      <c r="BC4880" t="s">
        <v>9871</v>
      </c>
      <c r="BD4880" s="4">
        <v>43283.265231481484</v>
      </c>
      <c r="BE4880" s="4">
        <v>43283.289837962962</v>
      </c>
      <c r="BF4880" s="4">
        <v>43283.289837962962</v>
      </c>
      <c r="BG4880" t="s">
        <v>83</v>
      </c>
      <c r="BH4880" t="s">
        <v>84</v>
      </c>
      <c r="BI4880" t="s">
        <v>85</v>
      </c>
    </row>
    <row r="4881" spans="1:61" x14ac:dyDescent="0.3">
      <c r="A4881" t="str">
        <f>"201565B0100"</f>
        <v>201565B0100</v>
      </c>
      <c r="B4881" t="s">
        <v>9872</v>
      </c>
      <c r="C4881">
        <v>20</v>
      </c>
      <c r="D4881" t="s">
        <v>79</v>
      </c>
      <c r="E4881">
        <v>23</v>
      </c>
      <c r="F4881" t="s">
        <v>9720</v>
      </c>
      <c r="G4881">
        <v>1565</v>
      </c>
      <c r="H4881">
        <v>1</v>
      </c>
      <c r="I4881" t="s">
        <v>81</v>
      </c>
      <c r="J4881">
        <v>0</v>
      </c>
      <c r="K4881">
        <v>1</v>
      </c>
      <c r="L4881">
        <v>2</v>
      </c>
      <c r="M4881">
        <v>129</v>
      </c>
      <c r="N4881">
        <v>311</v>
      </c>
      <c r="O4881">
        <v>0</v>
      </c>
      <c r="P4881">
        <v>311</v>
      </c>
      <c r="Q4881">
        <v>3</v>
      </c>
      <c r="R4881">
        <v>78</v>
      </c>
      <c r="S4881">
        <v>6</v>
      </c>
      <c r="T4881">
        <v>6</v>
      </c>
      <c r="U4881">
        <v>6</v>
      </c>
      <c r="V4881">
        <v>9</v>
      </c>
      <c r="W4881">
        <v>9</v>
      </c>
      <c r="X4881">
        <v>17</v>
      </c>
      <c r="Y4881">
        <v>143</v>
      </c>
      <c r="Z4881">
        <v>2</v>
      </c>
      <c r="AA4881">
        <v>0</v>
      </c>
      <c r="AB4881">
        <v>2</v>
      </c>
      <c r="AC4881">
        <v>0</v>
      </c>
      <c r="AD4881">
        <v>1</v>
      </c>
      <c r="AE4881">
        <v>0</v>
      </c>
      <c r="AF4881">
        <v>0</v>
      </c>
      <c r="AG4881">
        <v>4</v>
      </c>
      <c r="AH4881">
        <v>4</v>
      </c>
      <c r="AI4881">
        <v>5</v>
      </c>
      <c r="AJ4881">
        <v>1</v>
      </c>
      <c r="AK4881">
        <v>1</v>
      </c>
      <c r="AL4881">
        <v>0</v>
      </c>
      <c r="AM4881">
        <v>0</v>
      </c>
      <c r="AN4881">
        <v>2</v>
      </c>
      <c r="AT4881">
        <v>0</v>
      </c>
      <c r="AU4881">
        <v>16</v>
      </c>
      <c r="AV4881">
        <v>311</v>
      </c>
      <c r="AW4881">
        <v>315</v>
      </c>
      <c r="AX4881">
        <v>418</v>
      </c>
      <c r="BA4881">
        <v>1</v>
      </c>
      <c r="BC4881" t="s">
        <v>9873</v>
      </c>
      <c r="BD4881" s="4">
        <v>43283.256956018522</v>
      </c>
      <c r="BE4881" s="4">
        <v>43283.281724537039</v>
      </c>
      <c r="BF4881" s="4">
        <v>43283.281724537039</v>
      </c>
      <c r="BG4881" t="s">
        <v>83</v>
      </c>
      <c r="BH4881" t="s">
        <v>84</v>
      </c>
      <c r="BI4881" t="s">
        <v>85</v>
      </c>
    </row>
    <row r="4882" spans="1:61" x14ac:dyDescent="0.3">
      <c r="A4882" t="str">
        <f>"201565C0100"</f>
        <v>201565C0100</v>
      </c>
      <c r="B4882" t="s">
        <v>9874</v>
      </c>
      <c r="C4882">
        <v>20</v>
      </c>
      <c r="D4882" t="s">
        <v>79</v>
      </c>
      <c r="E4882">
        <v>23</v>
      </c>
      <c r="F4882" t="s">
        <v>9720</v>
      </c>
      <c r="G4882">
        <v>1565</v>
      </c>
      <c r="H4882">
        <v>1</v>
      </c>
      <c r="I4882" t="s">
        <v>89</v>
      </c>
      <c r="J4882">
        <v>0</v>
      </c>
      <c r="K4882">
        <v>1</v>
      </c>
      <c r="L4882">
        <v>2</v>
      </c>
      <c r="M4882">
        <v>127</v>
      </c>
      <c r="N4882">
        <v>313</v>
      </c>
      <c r="O4882">
        <v>0</v>
      </c>
      <c r="P4882">
        <v>313</v>
      </c>
      <c r="Q4882">
        <v>2</v>
      </c>
      <c r="R4882">
        <v>83</v>
      </c>
      <c r="S4882">
        <v>8</v>
      </c>
      <c r="T4882">
        <v>3</v>
      </c>
      <c r="U4882">
        <v>3</v>
      </c>
      <c r="V4882">
        <v>12</v>
      </c>
      <c r="W4882">
        <v>21</v>
      </c>
      <c r="X4882">
        <v>29</v>
      </c>
      <c r="Y4882">
        <v>124</v>
      </c>
      <c r="Z4882">
        <v>2</v>
      </c>
      <c r="AA4882">
        <v>1</v>
      </c>
      <c r="AB4882">
        <v>1</v>
      </c>
      <c r="AC4882">
        <v>0</v>
      </c>
      <c r="AD4882">
        <v>0</v>
      </c>
      <c r="AE4882">
        <v>0</v>
      </c>
      <c r="AF4882">
        <v>0</v>
      </c>
      <c r="AG4882">
        <v>6</v>
      </c>
      <c r="AH4882">
        <v>1</v>
      </c>
      <c r="AI4882">
        <v>1</v>
      </c>
      <c r="AJ4882">
        <v>0</v>
      </c>
      <c r="AK4882">
        <v>1</v>
      </c>
      <c r="AL4882">
        <v>1</v>
      </c>
      <c r="AM4882">
        <v>0</v>
      </c>
      <c r="AN4882">
        <v>0</v>
      </c>
      <c r="AT4882">
        <v>0</v>
      </c>
      <c r="AU4882">
        <v>14</v>
      </c>
      <c r="AV4882">
        <v>313</v>
      </c>
      <c r="AW4882">
        <v>313</v>
      </c>
      <c r="AX4882">
        <v>418</v>
      </c>
      <c r="BA4882">
        <v>1</v>
      </c>
      <c r="BC4882" t="s">
        <v>9875</v>
      </c>
      <c r="BD4882" s="4">
        <v>43283.257662037038</v>
      </c>
      <c r="BE4882" s="4">
        <v>43283.282789351855</v>
      </c>
      <c r="BF4882" s="4">
        <v>43283.282789351855</v>
      </c>
      <c r="BG4882" t="s">
        <v>83</v>
      </c>
      <c r="BH4882" t="s">
        <v>84</v>
      </c>
      <c r="BI4882" t="s">
        <v>85</v>
      </c>
    </row>
    <row r="4883" spans="1:61" x14ac:dyDescent="0.3">
      <c r="A4883" t="str">
        <f>"201566B0100"</f>
        <v>201566B0100</v>
      </c>
      <c r="B4883" t="s">
        <v>9876</v>
      </c>
      <c r="C4883">
        <v>20</v>
      </c>
      <c r="D4883" t="s">
        <v>79</v>
      </c>
      <c r="E4883">
        <v>23</v>
      </c>
      <c r="F4883" t="s">
        <v>9720</v>
      </c>
      <c r="G4883">
        <v>1566</v>
      </c>
      <c r="H4883">
        <v>1</v>
      </c>
      <c r="I4883" t="s">
        <v>81</v>
      </c>
      <c r="J4883">
        <v>0</v>
      </c>
      <c r="K4883">
        <v>2</v>
      </c>
      <c r="L4883">
        <v>2</v>
      </c>
      <c r="M4883">
        <v>201</v>
      </c>
      <c r="N4883">
        <v>458</v>
      </c>
      <c r="O4883">
        <v>0</v>
      </c>
      <c r="P4883">
        <v>458</v>
      </c>
      <c r="Q4883">
        <v>2</v>
      </c>
      <c r="R4883">
        <v>156</v>
      </c>
      <c r="S4883">
        <v>6</v>
      </c>
      <c r="T4883">
        <v>8</v>
      </c>
      <c r="U4883">
        <v>6</v>
      </c>
      <c r="V4883">
        <v>3</v>
      </c>
      <c r="W4883">
        <v>70</v>
      </c>
      <c r="X4883">
        <v>18</v>
      </c>
      <c r="Y4883">
        <v>137</v>
      </c>
      <c r="Z4883">
        <v>5</v>
      </c>
      <c r="AA4883">
        <v>0</v>
      </c>
      <c r="AB4883">
        <v>0</v>
      </c>
      <c r="AC4883">
        <v>0</v>
      </c>
      <c r="AD4883">
        <v>0</v>
      </c>
      <c r="AE4883">
        <v>0</v>
      </c>
      <c r="AF4883">
        <v>0</v>
      </c>
      <c r="AG4883">
        <v>2</v>
      </c>
      <c r="AH4883">
        <v>3</v>
      </c>
      <c r="AI4883">
        <v>5</v>
      </c>
      <c r="AJ4883">
        <v>0</v>
      </c>
      <c r="AK4883">
        <v>2</v>
      </c>
      <c r="AL4883">
        <v>0</v>
      </c>
      <c r="AM4883">
        <v>0</v>
      </c>
      <c r="AN4883">
        <v>0</v>
      </c>
      <c r="AT4883">
        <v>0</v>
      </c>
      <c r="AU4883">
        <v>34</v>
      </c>
      <c r="AV4883">
        <v>458</v>
      </c>
      <c r="AW4883">
        <v>457</v>
      </c>
      <c r="AX4883">
        <v>637</v>
      </c>
      <c r="BA4883">
        <v>1</v>
      </c>
      <c r="BC4883" t="s">
        <v>9877</v>
      </c>
      <c r="BD4883" s="4">
        <v>43283.350289351853</v>
      </c>
      <c r="BE4883" s="4">
        <v>43283.361238425925</v>
      </c>
      <c r="BF4883" s="4">
        <v>43283.361238425925</v>
      </c>
      <c r="BG4883" t="s">
        <v>83</v>
      </c>
      <c r="BH4883" t="s">
        <v>84</v>
      </c>
      <c r="BI4883" t="s">
        <v>85</v>
      </c>
    </row>
    <row r="4884" spans="1:61" x14ac:dyDescent="0.3">
      <c r="A4884" t="str">
        <f>"201566C0100"</f>
        <v>201566C0100</v>
      </c>
      <c r="B4884" t="s">
        <v>9878</v>
      </c>
      <c r="C4884">
        <v>20</v>
      </c>
      <c r="D4884" t="s">
        <v>79</v>
      </c>
      <c r="E4884">
        <v>23</v>
      </c>
      <c r="F4884" t="s">
        <v>9720</v>
      </c>
      <c r="G4884">
        <v>1566</v>
      </c>
      <c r="H4884">
        <v>1</v>
      </c>
      <c r="I4884" t="s">
        <v>89</v>
      </c>
      <c r="J4884">
        <v>0</v>
      </c>
      <c r="K4884">
        <v>2</v>
      </c>
      <c r="L4884">
        <v>2</v>
      </c>
      <c r="M4884">
        <v>205</v>
      </c>
      <c r="N4884">
        <v>453</v>
      </c>
      <c r="O4884">
        <v>0</v>
      </c>
      <c r="P4884">
        <v>0</v>
      </c>
      <c r="Q4884">
        <v>5</v>
      </c>
      <c r="R4884">
        <v>141</v>
      </c>
      <c r="S4884">
        <v>4</v>
      </c>
      <c r="T4884">
        <v>7</v>
      </c>
      <c r="U4884">
        <v>7</v>
      </c>
      <c r="V4884">
        <v>4</v>
      </c>
      <c r="W4884">
        <v>58</v>
      </c>
      <c r="X4884">
        <v>15</v>
      </c>
      <c r="Y4884">
        <v>156</v>
      </c>
      <c r="Z4884">
        <v>2</v>
      </c>
      <c r="AA4884">
        <v>0</v>
      </c>
      <c r="AB4884">
        <v>1</v>
      </c>
      <c r="AC4884">
        <v>0</v>
      </c>
      <c r="AD4884">
        <v>0</v>
      </c>
      <c r="AE4884">
        <v>0</v>
      </c>
      <c r="AF4884">
        <v>1</v>
      </c>
      <c r="AG4884">
        <v>4</v>
      </c>
      <c r="AH4884">
        <v>6</v>
      </c>
      <c r="AI4884">
        <v>3</v>
      </c>
      <c r="AJ4884">
        <v>1</v>
      </c>
      <c r="AK4884">
        <v>5</v>
      </c>
      <c r="AL4884">
        <v>1</v>
      </c>
      <c r="AM4884">
        <v>0</v>
      </c>
      <c r="AN4884">
        <v>1</v>
      </c>
      <c r="AT4884">
        <v>0</v>
      </c>
      <c r="AU4884">
        <v>31</v>
      </c>
      <c r="AV4884">
        <v>453</v>
      </c>
      <c r="AW4884">
        <v>453</v>
      </c>
      <c r="AX4884">
        <v>636</v>
      </c>
      <c r="BA4884">
        <v>1</v>
      </c>
      <c r="BC4884" t="s">
        <v>9879</v>
      </c>
      <c r="BD4884" s="4">
        <v>43283.353136574071</v>
      </c>
      <c r="BE4884" s="4">
        <v>43283.366423611114</v>
      </c>
      <c r="BF4884" s="4">
        <v>43283.366423611114</v>
      </c>
      <c r="BG4884" t="s">
        <v>83</v>
      </c>
      <c r="BH4884" t="s">
        <v>84</v>
      </c>
      <c r="BI4884" t="s">
        <v>85</v>
      </c>
    </row>
    <row r="4885" spans="1:61" x14ac:dyDescent="0.3">
      <c r="A4885" t="str">
        <f>"201567B0100"</f>
        <v>201567B0100</v>
      </c>
      <c r="B4885" t="s">
        <v>9880</v>
      </c>
      <c r="C4885">
        <v>20</v>
      </c>
      <c r="D4885" t="s">
        <v>79</v>
      </c>
      <c r="E4885">
        <v>23</v>
      </c>
      <c r="F4885" t="s">
        <v>9720</v>
      </c>
      <c r="G4885">
        <v>1567</v>
      </c>
      <c r="H4885">
        <v>1</v>
      </c>
      <c r="I4885" t="s">
        <v>81</v>
      </c>
      <c r="J4885">
        <v>0</v>
      </c>
      <c r="K4885">
        <v>2</v>
      </c>
      <c r="L4885">
        <v>2</v>
      </c>
      <c r="M4885" t="s">
        <v>315</v>
      </c>
      <c r="N4885" t="s">
        <v>315</v>
      </c>
      <c r="O4885" t="s">
        <v>100</v>
      </c>
      <c r="P4885" t="s">
        <v>315</v>
      </c>
      <c r="Q4885" t="s">
        <v>100</v>
      </c>
      <c r="R4885" t="s">
        <v>100</v>
      </c>
      <c r="S4885" t="s">
        <v>100</v>
      </c>
      <c r="T4885" t="s">
        <v>100</v>
      </c>
      <c r="U4885" t="s">
        <v>100</v>
      </c>
      <c r="V4885" t="s">
        <v>100</v>
      </c>
      <c r="W4885" t="s">
        <v>100</v>
      </c>
      <c r="X4885" t="s">
        <v>100</v>
      </c>
      <c r="Y4885" t="s">
        <v>100</v>
      </c>
      <c r="Z4885" t="s">
        <v>100</v>
      </c>
      <c r="AA4885" t="s">
        <v>100</v>
      </c>
      <c r="AB4885" t="s">
        <v>100</v>
      </c>
      <c r="AC4885">
        <v>0</v>
      </c>
      <c r="AD4885" t="s">
        <v>315</v>
      </c>
      <c r="AE4885" t="s">
        <v>315</v>
      </c>
      <c r="AF4885" t="s">
        <v>315</v>
      </c>
      <c r="AG4885" t="s">
        <v>315</v>
      </c>
      <c r="AH4885" t="s">
        <v>315</v>
      </c>
      <c r="AI4885" t="s">
        <v>315</v>
      </c>
      <c r="AJ4885" t="s">
        <v>315</v>
      </c>
      <c r="AK4885" t="s">
        <v>315</v>
      </c>
      <c r="AL4885" t="s">
        <v>315</v>
      </c>
      <c r="AM4885" t="s">
        <v>315</v>
      </c>
      <c r="AN4885" t="s">
        <v>315</v>
      </c>
      <c r="AT4885">
        <v>28</v>
      </c>
      <c r="AU4885" t="s">
        <v>315</v>
      </c>
      <c r="AV4885" t="s">
        <v>100</v>
      </c>
      <c r="AW4885">
        <v>28</v>
      </c>
      <c r="AX4885">
        <v>536</v>
      </c>
      <c r="AZ4885" t="s">
        <v>101</v>
      </c>
      <c r="BA4885">
        <v>1</v>
      </c>
      <c r="BC4885" t="s">
        <v>9881</v>
      </c>
      <c r="BD4885" s="4">
        <v>43283.259895833333</v>
      </c>
      <c r="BE4885" s="4">
        <v>43283.299664351849</v>
      </c>
      <c r="BF4885" s="4">
        <v>43283.299664351849</v>
      </c>
      <c r="BG4885" t="s">
        <v>83</v>
      </c>
      <c r="BH4885" t="s">
        <v>84</v>
      </c>
      <c r="BI4885" t="s">
        <v>85</v>
      </c>
    </row>
    <row r="4886" spans="1:61" x14ac:dyDescent="0.3">
      <c r="A4886" t="str">
        <f>"201567C0100"</f>
        <v>201567C0100</v>
      </c>
      <c r="B4886" t="s">
        <v>9882</v>
      </c>
      <c r="C4886">
        <v>20</v>
      </c>
      <c r="D4886" t="s">
        <v>79</v>
      </c>
      <c r="E4886">
        <v>23</v>
      </c>
      <c r="F4886" t="s">
        <v>9720</v>
      </c>
      <c r="G4886">
        <v>1567</v>
      </c>
      <c r="H4886">
        <v>1</v>
      </c>
      <c r="I4886" t="s">
        <v>89</v>
      </c>
      <c r="J4886">
        <v>0</v>
      </c>
      <c r="K4886">
        <v>2</v>
      </c>
      <c r="L4886">
        <v>2</v>
      </c>
      <c r="M4886">
        <v>182</v>
      </c>
      <c r="N4886" t="s">
        <v>100</v>
      </c>
      <c r="O4886" t="s">
        <v>100</v>
      </c>
      <c r="P4886">
        <v>2</v>
      </c>
      <c r="Q4886">
        <v>5</v>
      </c>
      <c r="R4886">
        <v>108</v>
      </c>
      <c r="S4886">
        <v>5</v>
      </c>
      <c r="T4886">
        <v>1</v>
      </c>
      <c r="U4886">
        <v>4</v>
      </c>
      <c r="V4886">
        <v>4</v>
      </c>
      <c r="W4886">
        <v>50</v>
      </c>
      <c r="X4886">
        <v>24</v>
      </c>
      <c r="Y4886">
        <v>128</v>
      </c>
      <c r="Z4886">
        <v>7</v>
      </c>
      <c r="AA4886" t="s">
        <v>100</v>
      </c>
      <c r="AB4886">
        <v>1</v>
      </c>
      <c r="AC4886" t="s">
        <v>100</v>
      </c>
      <c r="AD4886">
        <v>1</v>
      </c>
      <c r="AE4886" t="s">
        <v>100</v>
      </c>
      <c r="AF4886" t="s">
        <v>100</v>
      </c>
      <c r="AG4886">
        <v>4</v>
      </c>
      <c r="AH4886">
        <v>4</v>
      </c>
      <c r="AI4886">
        <v>2</v>
      </c>
      <c r="AJ4886">
        <v>1</v>
      </c>
      <c r="AK4886">
        <v>2</v>
      </c>
      <c r="AL4886" t="s">
        <v>100</v>
      </c>
      <c r="AM4886" t="s">
        <v>100</v>
      </c>
      <c r="AN4886" t="s">
        <v>100</v>
      </c>
      <c r="AT4886" t="s">
        <v>100</v>
      </c>
      <c r="AU4886">
        <v>23</v>
      </c>
      <c r="AV4886">
        <v>374</v>
      </c>
      <c r="AW4886">
        <v>374</v>
      </c>
      <c r="AX4886">
        <v>535</v>
      </c>
      <c r="AZ4886" t="s">
        <v>101</v>
      </c>
      <c r="BA4886">
        <v>1</v>
      </c>
      <c r="BC4886" t="s">
        <v>9883</v>
      </c>
      <c r="BD4886" s="4">
        <v>43283.263773148145</v>
      </c>
      <c r="BE4886" s="4">
        <v>43283.290648148148</v>
      </c>
      <c r="BF4886" s="4">
        <v>43283.290648148148</v>
      </c>
      <c r="BG4886" t="s">
        <v>83</v>
      </c>
      <c r="BH4886" t="s">
        <v>84</v>
      </c>
      <c r="BI4886" t="s">
        <v>548</v>
      </c>
    </row>
    <row r="4887" spans="1:61" x14ac:dyDescent="0.3">
      <c r="A4887" t="str">
        <f>"201568B0100"</f>
        <v>201568B0100</v>
      </c>
      <c r="B4887" t="s">
        <v>9884</v>
      </c>
      <c r="C4887">
        <v>20</v>
      </c>
      <c r="D4887" t="s">
        <v>79</v>
      </c>
      <c r="E4887">
        <v>23</v>
      </c>
      <c r="F4887" t="s">
        <v>9720</v>
      </c>
      <c r="G4887">
        <v>1568</v>
      </c>
      <c r="H4887">
        <v>1</v>
      </c>
      <c r="I4887" t="s">
        <v>81</v>
      </c>
      <c r="J4887">
        <v>0</v>
      </c>
      <c r="K4887">
        <v>2</v>
      </c>
      <c r="L4887">
        <v>2</v>
      </c>
      <c r="M4887">
        <v>209</v>
      </c>
      <c r="N4887">
        <v>447</v>
      </c>
      <c r="O4887">
        <v>0</v>
      </c>
      <c r="P4887">
        <v>447</v>
      </c>
      <c r="Q4887">
        <v>5</v>
      </c>
      <c r="R4887">
        <v>114</v>
      </c>
      <c r="S4887">
        <v>6</v>
      </c>
      <c r="T4887">
        <v>5</v>
      </c>
      <c r="U4887">
        <v>14</v>
      </c>
      <c r="V4887">
        <v>12</v>
      </c>
      <c r="W4887">
        <v>26</v>
      </c>
      <c r="X4887">
        <v>23</v>
      </c>
      <c r="Y4887">
        <v>205</v>
      </c>
      <c r="Z4887">
        <v>5</v>
      </c>
      <c r="AA4887">
        <v>2</v>
      </c>
      <c r="AB4887">
        <v>0</v>
      </c>
      <c r="AC4887">
        <v>0</v>
      </c>
      <c r="AD4887">
        <v>0</v>
      </c>
      <c r="AE4887">
        <v>0</v>
      </c>
      <c r="AF4887">
        <v>0</v>
      </c>
      <c r="AG4887">
        <v>6</v>
      </c>
      <c r="AH4887">
        <v>0</v>
      </c>
      <c r="AI4887">
        <v>2</v>
      </c>
      <c r="AJ4887">
        <v>0</v>
      </c>
      <c r="AK4887">
        <v>3</v>
      </c>
      <c r="AL4887">
        <v>0</v>
      </c>
      <c r="AM4887">
        <v>0</v>
      </c>
      <c r="AN4887">
        <v>1</v>
      </c>
      <c r="AT4887">
        <v>8</v>
      </c>
      <c r="AU4887">
        <v>10</v>
      </c>
      <c r="AV4887">
        <v>447</v>
      </c>
      <c r="AW4887">
        <v>447</v>
      </c>
      <c r="AX4887">
        <v>634</v>
      </c>
      <c r="BA4887">
        <v>1</v>
      </c>
      <c r="BC4887" s="2" t="s">
        <v>9885</v>
      </c>
      <c r="BD4887" s="4">
        <v>43283.431157407409</v>
      </c>
      <c r="BE4887" s="4">
        <v>43283.435590277775</v>
      </c>
      <c r="BF4887" s="4">
        <v>43283.435590277775</v>
      </c>
      <c r="BG4887" t="s">
        <v>83</v>
      </c>
      <c r="BH4887" t="s">
        <v>84</v>
      </c>
      <c r="BI4887" t="s">
        <v>85</v>
      </c>
    </row>
    <row r="4888" spans="1:61" x14ac:dyDescent="0.3">
      <c r="A4888" t="str">
        <f>"201568C0100"</f>
        <v>201568C0100</v>
      </c>
      <c r="B4888" t="s">
        <v>9886</v>
      </c>
      <c r="C4888">
        <v>20</v>
      </c>
      <c r="D4888" t="s">
        <v>79</v>
      </c>
      <c r="E4888">
        <v>23</v>
      </c>
      <c r="F4888" t="s">
        <v>9720</v>
      </c>
      <c r="G4888">
        <v>1568</v>
      </c>
      <c r="H4888">
        <v>1</v>
      </c>
      <c r="I4888" t="s">
        <v>89</v>
      </c>
      <c r="J4888">
        <v>0</v>
      </c>
      <c r="K4888">
        <v>2</v>
      </c>
      <c r="L4888">
        <v>2</v>
      </c>
      <c r="M4888">
        <v>205</v>
      </c>
      <c r="N4888">
        <v>450</v>
      </c>
      <c r="O4888">
        <v>0</v>
      </c>
      <c r="P4888">
        <v>450</v>
      </c>
      <c r="Q4888">
        <v>5</v>
      </c>
      <c r="R4888">
        <v>96</v>
      </c>
      <c r="S4888">
        <v>6</v>
      </c>
      <c r="T4888">
        <v>8</v>
      </c>
      <c r="U4888">
        <v>5</v>
      </c>
      <c r="V4888">
        <v>15</v>
      </c>
      <c r="W4888">
        <v>28</v>
      </c>
      <c r="X4888">
        <v>14</v>
      </c>
      <c r="Y4888">
        <v>230</v>
      </c>
      <c r="Z4888">
        <v>3</v>
      </c>
      <c r="AA4888">
        <v>2</v>
      </c>
      <c r="AB4888">
        <v>0</v>
      </c>
      <c r="AC4888">
        <v>0</v>
      </c>
      <c r="AD4888">
        <v>0</v>
      </c>
      <c r="AE4888">
        <v>0</v>
      </c>
      <c r="AF4888">
        <v>0</v>
      </c>
      <c r="AG4888">
        <v>4</v>
      </c>
      <c r="AH4888">
        <v>1</v>
      </c>
      <c r="AI4888">
        <v>1</v>
      </c>
      <c r="AJ4888">
        <v>0</v>
      </c>
      <c r="AK4888">
        <v>7</v>
      </c>
      <c r="AL4888">
        <v>2</v>
      </c>
      <c r="AM4888">
        <v>1</v>
      </c>
      <c r="AN4888">
        <v>0</v>
      </c>
      <c r="AT4888">
        <v>0</v>
      </c>
      <c r="AU4888">
        <v>22</v>
      </c>
      <c r="AV4888">
        <v>450</v>
      </c>
      <c r="AW4888">
        <v>450</v>
      </c>
      <c r="AX4888">
        <v>633</v>
      </c>
      <c r="BA4888">
        <v>1</v>
      </c>
      <c r="BC4888" t="s">
        <v>9887</v>
      </c>
      <c r="BD4888" s="4">
        <v>43283.423564814817</v>
      </c>
      <c r="BE4888" s="4">
        <v>43283.426759259259</v>
      </c>
      <c r="BF4888" s="4">
        <v>43283.426759259259</v>
      </c>
      <c r="BG4888" t="s">
        <v>83</v>
      </c>
      <c r="BH4888" t="s">
        <v>84</v>
      </c>
      <c r="BI4888" t="s">
        <v>85</v>
      </c>
    </row>
    <row r="4889" spans="1:61" x14ac:dyDescent="0.3">
      <c r="A4889" t="str">
        <f>"201568C0200"</f>
        <v>201568C0200</v>
      </c>
      <c r="B4889" t="s">
        <v>9888</v>
      </c>
      <c r="C4889">
        <v>20</v>
      </c>
      <c r="D4889" t="s">
        <v>79</v>
      </c>
      <c r="E4889">
        <v>23</v>
      </c>
      <c r="F4889" t="s">
        <v>9720</v>
      </c>
      <c r="G4889">
        <v>1568</v>
      </c>
      <c r="H4889">
        <v>2</v>
      </c>
      <c r="I4889" t="s">
        <v>89</v>
      </c>
      <c r="J4889">
        <v>0</v>
      </c>
      <c r="K4889">
        <v>2</v>
      </c>
      <c r="L4889">
        <v>2</v>
      </c>
      <c r="M4889">
        <v>170</v>
      </c>
      <c r="N4889">
        <v>485</v>
      </c>
      <c r="O4889">
        <v>0</v>
      </c>
      <c r="P4889">
        <v>0</v>
      </c>
      <c r="Q4889">
        <v>5</v>
      </c>
      <c r="R4889">
        <v>99</v>
      </c>
      <c r="S4889">
        <v>2</v>
      </c>
      <c r="T4889">
        <v>3</v>
      </c>
      <c r="U4889">
        <v>9</v>
      </c>
      <c r="V4889">
        <v>20</v>
      </c>
      <c r="W4889">
        <v>61</v>
      </c>
      <c r="X4889">
        <v>19</v>
      </c>
      <c r="Y4889">
        <v>233</v>
      </c>
      <c r="Z4889">
        <v>7</v>
      </c>
      <c r="AA4889">
        <v>0</v>
      </c>
      <c r="AB4889">
        <v>0</v>
      </c>
      <c r="AC4889">
        <v>0</v>
      </c>
      <c r="AD4889">
        <v>0</v>
      </c>
      <c r="AE4889">
        <v>0</v>
      </c>
      <c r="AF4889">
        <v>0</v>
      </c>
      <c r="AG4889">
        <v>5</v>
      </c>
      <c r="AH4889">
        <v>1</v>
      </c>
      <c r="AI4889">
        <v>1</v>
      </c>
      <c r="AJ4889">
        <v>0</v>
      </c>
      <c r="AK4889">
        <v>5</v>
      </c>
      <c r="AL4889">
        <v>0</v>
      </c>
      <c r="AM4889">
        <v>0</v>
      </c>
      <c r="AN4889">
        <v>0</v>
      </c>
      <c r="AT4889">
        <v>0</v>
      </c>
      <c r="AU4889">
        <v>15</v>
      </c>
      <c r="AV4889">
        <v>485</v>
      </c>
      <c r="AW4889">
        <v>485</v>
      </c>
      <c r="AX4889">
        <v>633</v>
      </c>
      <c r="BA4889">
        <v>1</v>
      </c>
      <c r="BC4889" t="s">
        <v>9889</v>
      </c>
      <c r="BD4889" s="4">
        <v>43283.43005787037</v>
      </c>
      <c r="BE4889" s="4">
        <v>43283.433599537035</v>
      </c>
      <c r="BF4889" s="4">
        <v>43283.433599537035</v>
      </c>
      <c r="BG4889" t="s">
        <v>83</v>
      </c>
      <c r="BH4889" t="s">
        <v>84</v>
      </c>
      <c r="BI4889" t="s">
        <v>85</v>
      </c>
    </row>
    <row r="4890" spans="1:61" x14ac:dyDescent="0.3">
      <c r="A4890" t="str">
        <f>"201569B0100"</f>
        <v>201569B0100</v>
      </c>
      <c r="B4890" t="s">
        <v>9890</v>
      </c>
      <c r="C4890">
        <v>20</v>
      </c>
      <c r="D4890" t="s">
        <v>79</v>
      </c>
      <c r="E4890">
        <v>23</v>
      </c>
      <c r="F4890" t="s">
        <v>9720</v>
      </c>
      <c r="G4890">
        <v>1569</v>
      </c>
      <c r="H4890">
        <v>1</v>
      </c>
      <c r="I4890" t="s">
        <v>81</v>
      </c>
      <c r="J4890">
        <v>0</v>
      </c>
      <c r="K4890">
        <v>2</v>
      </c>
      <c r="L4890">
        <v>2</v>
      </c>
      <c r="M4890">
        <v>257</v>
      </c>
      <c r="N4890">
        <v>390</v>
      </c>
      <c r="O4890">
        <v>7</v>
      </c>
      <c r="P4890" t="s">
        <v>100</v>
      </c>
      <c r="Q4890">
        <v>2</v>
      </c>
      <c r="R4890">
        <v>56</v>
      </c>
      <c r="S4890">
        <v>9</v>
      </c>
      <c r="T4890">
        <v>6</v>
      </c>
      <c r="U4890">
        <v>12</v>
      </c>
      <c r="V4890">
        <v>9</v>
      </c>
      <c r="W4890">
        <v>24</v>
      </c>
      <c r="X4890">
        <v>29</v>
      </c>
      <c r="Y4890">
        <v>196</v>
      </c>
      <c r="Z4890">
        <v>11</v>
      </c>
      <c r="AA4890">
        <v>0</v>
      </c>
      <c r="AB4890">
        <v>1</v>
      </c>
      <c r="AC4890">
        <v>0</v>
      </c>
      <c r="AD4890">
        <v>0</v>
      </c>
      <c r="AE4890">
        <v>0</v>
      </c>
      <c r="AF4890">
        <v>0</v>
      </c>
      <c r="AG4890">
        <v>6</v>
      </c>
      <c r="AH4890">
        <v>3</v>
      </c>
      <c r="AI4890">
        <v>2</v>
      </c>
      <c r="AJ4890">
        <v>0</v>
      </c>
      <c r="AK4890">
        <v>6</v>
      </c>
      <c r="AL4890">
        <v>3</v>
      </c>
      <c r="AM4890">
        <v>0</v>
      </c>
      <c r="AN4890">
        <v>2</v>
      </c>
      <c r="AT4890">
        <v>0</v>
      </c>
      <c r="AU4890">
        <v>13</v>
      </c>
      <c r="AV4890">
        <v>390</v>
      </c>
      <c r="AW4890">
        <v>390</v>
      </c>
      <c r="AX4890">
        <v>625</v>
      </c>
      <c r="BA4890">
        <v>1</v>
      </c>
      <c r="BC4890" t="s">
        <v>9891</v>
      </c>
      <c r="BD4890" s="4">
        <v>43283.517893518518</v>
      </c>
      <c r="BE4890" s="4">
        <v>43283.522268518522</v>
      </c>
      <c r="BF4890" s="4">
        <v>43283.522268518522</v>
      </c>
      <c r="BG4890" t="s">
        <v>83</v>
      </c>
      <c r="BH4890" t="s">
        <v>84</v>
      </c>
      <c r="BI4890" t="s">
        <v>85</v>
      </c>
    </row>
    <row r="4891" spans="1:61" x14ac:dyDescent="0.3">
      <c r="A4891" t="str">
        <f>"201569C0100"</f>
        <v>201569C0100</v>
      </c>
      <c r="B4891" t="s">
        <v>9892</v>
      </c>
      <c r="C4891">
        <v>20</v>
      </c>
      <c r="D4891" t="s">
        <v>79</v>
      </c>
      <c r="E4891">
        <v>23</v>
      </c>
      <c r="F4891" t="s">
        <v>9720</v>
      </c>
      <c r="G4891">
        <v>1569</v>
      </c>
      <c r="H4891">
        <v>1</v>
      </c>
      <c r="I4891" t="s">
        <v>89</v>
      </c>
      <c r="J4891">
        <v>0</v>
      </c>
      <c r="K4891">
        <v>2</v>
      </c>
      <c r="L4891">
        <v>2</v>
      </c>
      <c r="M4891">
        <v>251</v>
      </c>
      <c r="N4891">
        <v>396</v>
      </c>
      <c r="O4891">
        <v>5</v>
      </c>
      <c r="P4891">
        <v>396</v>
      </c>
      <c r="Q4891">
        <v>4</v>
      </c>
      <c r="R4891">
        <v>58</v>
      </c>
      <c r="S4891">
        <v>4</v>
      </c>
      <c r="T4891">
        <v>9</v>
      </c>
      <c r="U4891">
        <v>10</v>
      </c>
      <c r="V4891">
        <v>13</v>
      </c>
      <c r="W4891">
        <v>20</v>
      </c>
      <c r="X4891">
        <v>19</v>
      </c>
      <c r="Y4891">
        <v>218</v>
      </c>
      <c r="Z4891">
        <v>10</v>
      </c>
      <c r="AA4891">
        <v>1</v>
      </c>
      <c r="AB4891">
        <v>1</v>
      </c>
      <c r="AC4891">
        <v>0</v>
      </c>
      <c r="AD4891">
        <v>0</v>
      </c>
      <c r="AE4891">
        <v>0</v>
      </c>
      <c r="AF4891">
        <v>0</v>
      </c>
      <c r="AG4891">
        <v>5</v>
      </c>
      <c r="AH4891">
        <v>2</v>
      </c>
      <c r="AI4891">
        <v>0</v>
      </c>
      <c r="AJ4891">
        <v>0</v>
      </c>
      <c r="AK4891">
        <v>4</v>
      </c>
      <c r="AL4891">
        <v>0</v>
      </c>
      <c r="AM4891">
        <v>1</v>
      </c>
      <c r="AN4891">
        <v>2</v>
      </c>
      <c r="AT4891">
        <v>0</v>
      </c>
      <c r="AU4891">
        <v>16</v>
      </c>
      <c r="AV4891">
        <v>396</v>
      </c>
      <c r="AW4891">
        <v>397</v>
      </c>
      <c r="AX4891">
        <v>625</v>
      </c>
      <c r="BA4891">
        <v>1</v>
      </c>
      <c r="BC4891" t="s">
        <v>9893</v>
      </c>
      <c r="BD4891" s="4">
        <v>43283.509872685187</v>
      </c>
      <c r="BE4891" s="4">
        <v>43283.512638888889</v>
      </c>
      <c r="BF4891" s="4">
        <v>43283.512638888889</v>
      </c>
      <c r="BG4891" t="s">
        <v>83</v>
      </c>
      <c r="BH4891" t="s">
        <v>84</v>
      </c>
      <c r="BI4891" t="s">
        <v>85</v>
      </c>
    </row>
    <row r="4892" spans="1:61" x14ac:dyDescent="0.3">
      <c r="A4892" t="str">
        <f>"201569C0200"</f>
        <v>201569C0200</v>
      </c>
      <c r="B4892" t="s">
        <v>9894</v>
      </c>
      <c r="C4892">
        <v>20</v>
      </c>
      <c r="D4892" t="s">
        <v>79</v>
      </c>
      <c r="E4892">
        <v>23</v>
      </c>
      <c r="F4892" t="s">
        <v>9720</v>
      </c>
      <c r="G4892">
        <v>1569</v>
      </c>
      <c r="H4892">
        <v>2</v>
      </c>
      <c r="I4892" t="s">
        <v>89</v>
      </c>
      <c r="J4892">
        <v>0</v>
      </c>
      <c r="K4892">
        <v>2</v>
      </c>
      <c r="L4892">
        <v>2</v>
      </c>
      <c r="M4892">
        <v>234</v>
      </c>
      <c r="N4892">
        <v>413</v>
      </c>
      <c r="O4892">
        <v>6</v>
      </c>
      <c r="P4892">
        <v>413</v>
      </c>
      <c r="Q4892">
        <v>6</v>
      </c>
      <c r="R4892">
        <v>67</v>
      </c>
      <c r="S4892">
        <v>4</v>
      </c>
      <c r="T4892">
        <v>6</v>
      </c>
      <c r="U4892">
        <v>12</v>
      </c>
      <c r="V4892">
        <v>8</v>
      </c>
      <c r="W4892">
        <v>17</v>
      </c>
      <c r="X4892">
        <v>32</v>
      </c>
      <c r="Y4892">
        <v>208</v>
      </c>
      <c r="Z4892">
        <v>6</v>
      </c>
      <c r="AA4892">
        <v>0</v>
      </c>
      <c r="AB4892">
        <v>2</v>
      </c>
      <c r="AC4892">
        <v>2</v>
      </c>
      <c r="AD4892">
        <v>0</v>
      </c>
      <c r="AE4892">
        <v>0</v>
      </c>
      <c r="AF4892">
        <v>0</v>
      </c>
      <c r="AG4892">
        <v>13</v>
      </c>
      <c r="AH4892">
        <v>0</v>
      </c>
      <c r="AI4892">
        <v>0</v>
      </c>
      <c r="AJ4892">
        <v>0</v>
      </c>
      <c r="AK4892">
        <v>4</v>
      </c>
      <c r="AL4892">
        <v>0</v>
      </c>
      <c r="AM4892">
        <v>0</v>
      </c>
      <c r="AN4892">
        <v>0</v>
      </c>
      <c r="AT4892">
        <v>0</v>
      </c>
      <c r="AU4892">
        <v>26</v>
      </c>
      <c r="AV4892">
        <v>413</v>
      </c>
      <c r="AW4892">
        <v>413</v>
      </c>
      <c r="AX4892">
        <v>625</v>
      </c>
      <c r="BA4892">
        <v>1</v>
      </c>
      <c r="BC4892" t="s">
        <v>9895</v>
      </c>
      <c r="BD4892" s="4">
        <v>43283.514421296299</v>
      </c>
      <c r="BE4892" s="4">
        <v>43283.518888888888</v>
      </c>
      <c r="BF4892" s="4">
        <v>43283.518888888888</v>
      </c>
      <c r="BG4892" t="s">
        <v>83</v>
      </c>
      <c r="BH4892" t="s">
        <v>84</v>
      </c>
      <c r="BI4892" t="s">
        <v>85</v>
      </c>
    </row>
    <row r="4893" spans="1:61" x14ac:dyDescent="0.3">
      <c r="A4893" t="str">
        <f>"201570B0100"</f>
        <v>201570B0100</v>
      </c>
      <c r="B4893" t="s">
        <v>9896</v>
      </c>
      <c r="C4893">
        <v>20</v>
      </c>
      <c r="D4893" t="s">
        <v>79</v>
      </c>
      <c r="E4893">
        <v>23</v>
      </c>
      <c r="F4893" t="s">
        <v>9720</v>
      </c>
      <c r="G4893">
        <v>1570</v>
      </c>
      <c r="H4893">
        <v>1</v>
      </c>
      <c r="I4893" t="s">
        <v>81</v>
      </c>
      <c r="J4893">
        <v>0</v>
      </c>
      <c r="K4893">
        <v>1</v>
      </c>
      <c r="L4893">
        <v>2</v>
      </c>
      <c r="M4893">
        <v>255</v>
      </c>
      <c r="N4893">
        <v>432</v>
      </c>
      <c r="O4893">
        <v>5</v>
      </c>
      <c r="P4893">
        <v>432</v>
      </c>
      <c r="Q4893">
        <v>13</v>
      </c>
      <c r="R4893">
        <v>8</v>
      </c>
      <c r="S4893">
        <v>11</v>
      </c>
      <c r="T4893">
        <v>9</v>
      </c>
      <c r="U4893">
        <v>9</v>
      </c>
      <c r="V4893">
        <v>12</v>
      </c>
      <c r="W4893">
        <v>22</v>
      </c>
      <c r="X4893">
        <v>24</v>
      </c>
      <c r="Y4893">
        <v>12</v>
      </c>
      <c r="Z4893">
        <v>18</v>
      </c>
      <c r="AA4893">
        <v>0</v>
      </c>
      <c r="AB4893">
        <v>1</v>
      </c>
      <c r="AC4893">
        <v>2</v>
      </c>
      <c r="AD4893">
        <v>0</v>
      </c>
      <c r="AE4893">
        <v>0</v>
      </c>
      <c r="AF4893">
        <v>0</v>
      </c>
      <c r="AG4893">
        <v>5</v>
      </c>
      <c r="AH4893">
        <v>2</v>
      </c>
      <c r="AI4893">
        <v>1</v>
      </c>
      <c r="AJ4893">
        <v>0</v>
      </c>
      <c r="AK4893">
        <v>5</v>
      </c>
      <c r="AL4893">
        <v>1</v>
      </c>
      <c r="AM4893">
        <v>0</v>
      </c>
      <c r="AN4893">
        <v>0</v>
      </c>
      <c r="AT4893">
        <v>0</v>
      </c>
      <c r="AU4893">
        <v>17</v>
      </c>
      <c r="AV4893">
        <v>432</v>
      </c>
      <c r="AW4893">
        <v>172</v>
      </c>
      <c r="AX4893">
        <v>665</v>
      </c>
      <c r="BA4893">
        <v>1</v>
      </c>
      <c r="BC4893" t="s">
        <v>9897</v>
      </c>
      <c r="BD4893" s="4">
        <v>43283.445844907408</v>
      </c>
      <c r="BE4893" s="4">
        <v>43283.449641203704</v>
      </c>
      <c r="BF4893" s="4">
        <v>43283.449641203704</v>
      </c>
      <c r="BG4893" t="s">
        <v>83</v>
      </c>
      <c r="BH4893" t="s">
        <v>84</v>
      </c>
      <c r="BI4893" t="s">
        <v>85</v>
      </c>
    </row>
    <row r="4894" spans="1:61" x14ac:dyDescent="0.3">
      <c r="A4894" t="str">
        <f>"201570C0100"</f>
        <v>201570C0100</v>
      </c>
      <c r="B4894" t="s">
        <v>9898</v>
      </c>
      <c r="C4894">
        <v>20</v>
      </c>
      <c r="D4894" t="s">
        <v>79</v>
      </c>
      <c r="E4894">
        <v>23</v>
      </c>
      <c r="F4894" t="s">
        <v>9720</v>
      </c>
      <c r="G4894">
        <v>1570</v>
      </c>
      <c r="H4894">
        <v>1</v>
      </c>
      <c r="I4894" t="s">
        <v>89</v>
      </c>
      <c r="J4894">
        <v>0</v>
      </c>
      <c r="K4894">
        <v>1</v>
      </c>
      <c r="L4894">
        <v>2</v>
      </c>
      <c r="M4894">
        <v>276</v>
      </c>
      <c r="N4894">
        <v>412</v>
      </c>
      <c r="O4894">
        <v>6</v>
      </c>
      <c r="P4894">
        <v>412</v>
      </c>
      <c r="Q4894">
        <v>6</v>
      </c>
      <c r="R4894">
        <v>64</v>
      </c>
      <c r="S4894">
        <v>6</v>
      </c>
      <c r="T4894">
        <v>4</v>
      </c>
      <c r="U4894">
        <v>14</v>
      </c>
      <c r="V4894">
        <v>7</v>
      </c>
      <c r="W4894">
        <v>22</v>
      </c>
      <c r="X4894">
        <v>29</v>
      </c>
      <c r="Y4894">
        <v>198</v>
      </c>
      <c r="Z4894">
        <v>10</v>
      </c>
      <c r="AA4894">
        <v>0</v>
      </c>
      <c r="AB4894">
        <v>4</v>
      </c>
      <c r="AC4894">
        <v>0</v>
      </c>
      <c r="AD4894">
        <v>0</v>
      </c>
      <c r="AE4894">
        <v>7</v>
      </c>
      <c r="AF4894">
        <v>0</v>
      </c>
      <c r="AG4894">
        <v>3</v>
      </c>
      <c r="AH4894">
        <v>0</v>
      </c>
      <c r="AI4894">
        <v>0</v>
      </c>
      <c r="AJ4894">
        <v>1</v>
      </c>
      <c r="AK4894">
        <v>9</v>
      </c>
      <c r="AL4894">
        <v>2</v>
      </c>
      <c r="AM4894">
        <v>0</v>
      </c>
      <c r="AN4894">
        <v>2</v>
      </c>
      <c r="AT4894">
        <v>0</v>
      </c>
      <c r="AU4894">
        <v>24</v>
      </c>
      <c r="AV4894">
        <v>412</v>
      </c>
      <c r="AW4894">
        <v>412</v>
      </c>
      <c r="AX4894">
        <v>665</v>
      </c>
      <c r="BA4894">
        <v>1</v>
      </c>
      <c r="BC4894" t="s">
        <v>9899</v>
      </c>
      <c r="BD4894" s="4">
        <v>43283.446250000001</v>
      </c>
      <c r="BE4894" s="4">
        <v>43283.45034722222</v>
      </c>
      <c r="BF4894" s="4">
        <v>43283.45034722222</v>
      </c>
      <c r="BG4894" t="s">
        <v>83</v>
      </c>
      <c r="BH4894" t="s">
        <v>84</v>
      </c>
      <c r="BI4894" t="s">
        <v>85</v>
      </c>
    </row>
    <row r="4895" spans="1:61" x14ac:dyDescent="0.3">
      <c r="A4895" t="str">
        <f>"201570C0200"</f>
        <v>201570C0200</v>
      </c>
      <c r="B4895" t="s">
        <v>9900</v>
      </c>
      <c r="C4895">
        <v>20</v>
      </c>
      <c r="D4895" t="s">
        <v>79</v>
      </c>
      <c r="E4895">
        <v>23</v>
      </c>
      <c r="F4895" t="s">
        <v>9720</v>
      </c>
      <c r="G4895">
        <v>1570</v>
      </c>
      <c r="H4895">
        <v>2</v>
      </c>
      <c r="I4895" t="s">
        <v>89</v>
      </c>
      <c r="J4895">
        <v>0</v>
      </c>
      <c r="K4895">
        <v>1</v>
      </c>
      <c r="L4895">
        <v>2</v>
      </c>
      <c r="M4895">
        <v>276</v>
      </c>
      <c r="N4895">
        <v>686</v>
      </c>
      <c r="O4895">
        <v>4</v>
      </c>
      <c r="P4895">
        <v>686</v>
      </c>
      <c r="Q4895">
        <v>12</v>
      </c>
      <c r="R4895">
        <v>47</v>
      </c>
      <c r="S4895">
        <v>14</v>
      </c>
      <c r="T4895">
        <v>9</v>
      </c>
      <c r="U4895">
        <v>11</v>
      </c>
      <c r="V4895">
        <v>11</v>
      </c>
      <c r="W4895">
        <v>19</v>
      </c>
      <c r="X4895">
        <v>30</v>
      </c>
      <c r="Y4895">
        <v>204</v>
      </c>
      <c r="Z4895">
        <v>10</v>
      </c>
      <c r="AA4895">
        <v>0</v>
      </c>
      <c r="AB4895">
        <v>1</v>
      </c>
      <c r="AC4895">
        <v>0</v>
      </c>
      <c r="AD4895">
        <v>0</v>
      </c>
      <c r="AE4895">
        <v>0</v>
      </c>
      <c r="AF4895">
        <v>0</v>
      </c>
      <c r="AG4895">
        <v>5</v>
      </c>
      <c r="AH4895">
        <v>1</v>
      </c>
      <c r="AI4895">
        <v>0</v>
      </c>
      <c r="AJ4895">
        <v>1</v>
      </c>
      <c r="AK4895">
        <v>11</v>
      </c>
      <c r="AL4895">
        <v>1</v>
      </c>
      <c r="AM4895">
        <v>2</v>
      </c>
      <c r="AN4895">
        <v>0</v>
      </c>
      <c r="AT4895">
        <v>0</v>
      </c>
      <c r="AU4895">
        <v>21</v>
      </c>
      <c r="AV4895">
        <v>410</v>
      </c>
      <c r="AW4895">
        <v>410</v>
      </c>
      <c r="AX4895">
        <v>664</v>
      </c>
      <c r="BA4895">
        <v>1</v>
      </c>
      <c r="BC4895" t="s">
        <v>9901</v>
      </c>
      <c r="BD4895" s="4">
        <v>43283.450520833336</v>
      </c>
      <c r="BE4895" s="4">
        <v>43283.454872685186</v>
      </c>
      <c r="BF4895" s="4">
        <v>43283.454872685186</v>
      </c>
      <c r="BG4895" t="s">
        <v>83</v>
      </c>
      <c r="BH4895" t="s">
        <v>84</v>
      </c>
      <c r="BI4895" t="s">
        <v>85</v>
      </c>
    </row>
    <row r="4896" spans="1:61" x14ac:dyDescent="0.3">
      <c r="A4896" t="str">
        <f>"201570C0300"</f>
        <v>201570C0300</v>
      </c>
      <c r="B4896" t="s">
        <v>9902</v>
      </c>
      <c r="C4896">
        <v>20</v>
      </c>
      <c r="D4896" t="s">
        <v>79</v>
      </c>
      <c r="E4896">
        <v>23</v>
      </c>
      <c r="F4896" t="s">
        <v>9720</v>
      </c>
      <c r="G4896">
        <v>1570</v>
      </c>
      <c r="H4896">
        <v>3</v>
      </c>
      <c r="I4896" t="s">
        <v>89</v>
      </c>
      <c r="J4896">
        <v>0</v>
      </c>
      <c r="K4896">
        <v>1</v>
      </c>
      <c r="L4896">
        <v>2</v>
      </c>
      <c r="M4896">
        <v>249</v>
      </c>
      <c r="N4896">
        <v>437</v>
      </c>
      <c r="O4896">
        <v>4</v>
      </c>
      <c r="P4896">
        <v>437</v>
      </c>
      <c r="Q4896">
        <v>3</v>
      </c>
      <c r="R4896">
        <v>58</v>
      </c>
      <c r="S4896">
        <v>10</v>
      </c>
      <c r="T4896">
        <v>7</v>
      </c>
      <c r="U4896">
        <v>11</v>
      </c>
      <c r="V4896">
        <v>16</v>
      </c>
      <c r="W4896">
        <v>28</v>
      </c>
      <c r="X4896">
        <v>25</v>
      </c>
      <c r="Y4896">
        <v>217</v>
      </c>
      <c r="Z4896">
        <v>10</v>
      </c>
      <c r="AA4896">
        <v>1</v>
      </c>
      <c r="AB4896">
        <v>6</v>
      </c>
      <c r="AC4896">
        <v>0</v>
      </c>
      <c r="AD4896">
        <v>0</v>
      </c>
      <c r="AE4896">
        <v>0</v>
      </c>
      <c r="AF4896">
        <v>0</v>
      </c>
      <c r="AG4896">
        <v>3</v>
      </c>
      <c r="AH4896">
        <v>0</v>
      </c>
      <c r="AI4896">
        <v>2</v>
      </c>
      <c r="AJ4896">
        <v>0</v>
      </c>
      <c r="AK4896">
        <v>9</v>
      </c>
      <c r="AL4896">
        <v>2</v>
      </c>
      <c r="AM4896">
        <v>0</v>
      </c>
      <c r="AN4896">
        <v>2</v>
      </c>
      <c r="AT4896">
        <v>0</v>
      </c>
      <c r="AU4896">
        <v>27</v>
      </c>
      <c r="AV4896">
        <v>437</v>
      </c>
      <c r="AW4896">
        <v>437</v>
      </c>
      <c r="AX4896">
        <v>664</v>
      </c>
      <c r="BA4896">
        <v>1</v>
      </c>
      <c r="BC4896" t="s">
        <v>9903</v>
      </c>
      <c r="BD4896" s="4">
        <v>43283.441805555558</v>
      </c>
      <c r="BE4896" s="4">
        <v>43283.44703703704</v>
      </c>
      <c r="BF4896" s="4">
        <v>43283.44703703704</v>
      </c>
      <c r="BG4896" t="s">
        <v>83</v>
      </c>
      <c r="BH4896" t="s">
        <v>84</v>
      </c>
      <c r="BI4896" t="s">
        <v>85</v>
      </c>
    </row>
    <row r="4897" spans="1:61" x14ac:dyDescent="0.3">
      <c r="A4897" t="str">
        <f>"201571B0100"</f>
        <v>201571B0100</v>
      </c>
      <c r="B4897" t="s">
        <v>9904</v>
      </c>
      <c r="C4897">
        <v>20</v>
      </c>
      <c r="D4897" t="s">
        <v>79</v>
      </c>
      <c r="E4897">
        <v>23</v>
      </c>
      <c r="F4897" t="s">
        <v>9720</v>
      </c>
      <c r="G4897">
        <v>1571</v>
      </c>
      <c r="H4897">
        <v>1</v>
      </c>
      <c r="I4897" t="s">
        <v>81</v>
      </c>
      <c r="J4897">
        <v>0</v>
      </c>
      <c r="K4897">
        <v>2</v>
      </c>
      <c r="L4897">
        <v>2</v>
      </c>
      <c r="M4897">
        <v>191</v>
      </c>
      <c r="N4897">
        <v>534</v>
      </c>
      <c r="O4897">
        <v>6</v>
      </c>
      <c r="P4897" t="s">
        <v>100</v>
      </c>
      <c r="Q4897">
        <v>6</v>
      </c>
      <c r="R4897">
        <v>77</v>
      </c>
      <c r="S4897">
        <v>8</v>
      </c>
      <c r="T4897">
        <v>6</v>
      </c>
      <c r="U4897">
        <v>5</v>
      </c>
      <c r="V4897">
        <v>6</v>
      </c>
      <c r="W4897">
        <v>12</v>
      </c>
      <c r="X4897">
        <v>21</v>
      </c>
      <c r="Y4897">
        <v>152</v>
      </c>
      <c r="Z4897">
        <v>8</v>
      </c>
      <c r="AA4897">
        <v>2</v>
      </c>
      <c r="AB4897">
        <v>7</v>
      </c>
      <c r="AC4897">
        <v>0</v>
      </c>
      <c r="AD4897">
        <v>0</v>
      </c>
      <c r="AE4897">
        <v>0</v>
      </c>
      <c r="AF4897">
        <v>0</v>
      </c>
      <c r="AG4897">
        <v>7</v>
      </c>
      <c r="AH4897">
        <v>1</v>
      </c>
      <c r="AI4897">
        <v>3</v>
      </c>
      <c r="AJ4897">
        <v>0</v>
      </c>
      <c r="AK4897">
        <v>1</v>
      </c>
      <c r="AL4897">
        <v>1</v>
      </c>
      <c r="AM4897">
        <v>0</v>
      </c>
      <c r="AN4897">
        <v>1</v>
      </c>
      <c r="AT4897">
        <v>1</v>
      </c>
      <c r="AU4897">
        <v>18</v>
      </c>
      <c r="AV4897" t="s">
        <v>100</v>
      </c>
      <c r="AW4897">
        <v>343</v>
      </c>
      <c r="AX4897">
        <v>513</v>
      </c>
      <c r="BA4897">
        <v>1</v>
      </c>
      <c r="BC4897" t="s">
        <v>9905</v>
      </c>
      <c r="BD4897" s="4">
        <v>43283.44803240741</v>
      </c>
      <c r="BE4897" s="4">
        <v>43283.45994212963</v>
      </c>
      <c r="BF4897" s="4">
        <v>43283.45994212963</v>
      </c>
      <c r="BG4897" t="s">
        <v>83</v>
      </c>
      <c r="BH4897" t="s">
        <v>84</v>
      </c>
      <c r="BI4897" t="s">
        <v>85</v>
      </c>
    </row>
    <row r="4898" spans="1:61" x14ac:dyDescent="0.3">
      <c r="A4898" t="str">
        <f>"201571C0100"</f>
        <v>201571C0100</v>
      </c>
      <c r="B4898" t="s">
        <v>9906</v>
      </c>
      <c r="C4898">
        <v>20</v>
      </c>
      <c r="D4898" t="s">
        <v>79</v>
      </c>
      <c r="E4898">
        <v>23</v>
      </c>
      <c r="F4898" t="s">
        <v>9720</v>
      </c>
      <c r="G4898">
        <v>1571</v>
      </c>
      <c r="H4898">
        <v>1</v>
      </c>
      <c r="I4898" t="s">
        <v>89</v>
      </c>
      <c r="J4898">
        <v>0</v>
      </c>
      <c r="K4898">
        <v>2</v>
      </c>
      <c r="L4898">
        <v>2</v>
      </c>
      <c r="M4898">
        <v>211</v>
      </c>
      <c r="N4898">
        <v>324</v>
      </c>
      <c r="O4898">
        <v>11</v>
      </c>
      <c r="P4898">
        <v>0</v>
      </c>
      <c r="Q4898">
        <v>4</v>
      </c>
      <c r="R4898">
        <v>74</v>
      </c>
      <c r="S4898">
        <v>5</v>
      </c>
      <c r="T4898">
        <v>2</v>
      </c>
      <c r="U4898">
        <v>7</v>
      </c>
      <c r="V4898">
        <v>9</v>
      </c>
      <c r="W4898">
        <v>15</v>
      </c>
      <c r="X4898">
        <v>13</v>
      </c>
      <c r="Y4898">
        <v>155</v>
      </c>
      <c r="Z4898">
        <v>4</v>
      </c>
      <c r="AA4898">
        <v>0</v>
      </c>
      <c r="AB4898">
        <v>2</v>
      </c>
      <c r="AC4898">
        <v>0</v>
      </c>
      <c r="AD4898">
        <v>0</v>
      </c>
      <c r="AE4898">
        <v>0</v>
      </c>
      <c r="AF4898">
        <v>0</v>
      </c>
      <c r="AG4898">
        <v>6</v>
      </c>
      <c r="AH4898">
        <v>3</v>
      </c>
      <c r="AI4898">
        <v>1</v>
      </c>
      <c r="AJ4898">
        <v>1</v>
      </c>
      <c r="AK4898">
        <v>6</v>
      </c>
      <c r="AL4898">
        <v>1</v>
      </c>
      <c r="AM4898">
        <v>1</v>
      </c>
      <c r="AN4898">
        <v>3</v>
      </c>
      <c r="AT4898" t="s">
        <v>100</v>
      </c>
      <c r="AU4898">
        <v>12</v>
      </c>
      <c r="AV4898">
        <v>324</v>
      </c>
      <c r="AW4898">
        <v>324</v>
      </c>
      <c r="AX4898">
        <v>512</v>
      </c>
      <c r="AZ4898" t="s">
        <v>101</v>
      </c>
      <c r="BA4898">
        <v>1</v>
      </c>
      <c r="BC4898" t="s">
        <v>9907</v>
      </c>
      <c r="BD4898" s="4">
        <v>43283.449548611112</v>
      </c>
      <c r="BE4898" s="4">
        <v>43283.460011574076</v>
      </c>
      <c r="BF4898" s="4">
        <v>43283.460011574076</v>
      </c>
      <c r="BG4898" t="s">
        <v>83</v>
      </c>
      <c r="BH4898" t="s">
        <v>84</v>
      </c>
      <c r="BI4898" t="s">
        <v>85</v>
      </c>
    </row>
    <row r="4899" spans="1:61" x14ac:dyDescent="0.3">
      <c r="A4899" t="str">
        <f>"201572B0100"</f>
        <v>201572B0100</v>
      </c>
      <c r="B4899" t="s">
        <v>9908</v>
      </c>
      <c r="C4899">
        <v>20</v>
      </c>
      <c r="D4899" t="s">
        <v>79</v>
      </c>
      <c r="E4899">
        <v>23</v>
      </c>
      <c r="F4899" t="s">
        <v>9720</v>
      </c>
      <c r="G4899">
        <v>1572</v>
      </c>
      <c r="H4899">
        <v>1</v>
      </c>
      <c r="I4899" t="s">
        <v>81</v>
      </c>
      <c r="J4899">
        <v>0</v>
      </c>
      <c r="K4899">
        <v>1</v>
      </c>
      <c r="L4899">
        <v>2</v>
      </c>
      <c r="M4899">
        <v>237</v>
      </c>
      <c r="N4899">
        <v>403</v>
      </c>
      <c r="O4899">
        <v>5</v>
      </c>
      <c r="P4899">
        <v>403</v>
      </c>
      <c r="Q4899">
        <v>5</v>
      </c>
      <c r="R4899">
        <v>68</v>
      </c>
      <c r="S4899">
        <v>15</v>
      </c>
      <c r="T4899">
        <v>11</v>
      </c>
      <c r="U4899">
        <v>5</v>
      </c>
      <c r="V4899">
        <v>9</v>
      </c>
      <c r="W4899">
        <v>18</v>
      </c>
      <c r="X4899">
        <v>16</v>
      </c>
      <c r="Y4899">
        <v>197</v>
      </c>
      <c r="Z4899">
        <v>9</v>
      </c>
      <c r="AA4899">
        <v>1</v>
      </c>
      <c r="AB4899">
        <v>6</v>
      </c>
      <c r="AC4899">
        <v>2</v>
      </c>
      <c r="AD4899">
        <v>1</v>
      </c>
      <c r="AE4899">
        <v>0</v>
      </c>
      <c r="AF4899">
        <v>0</v>
      </c>
      <c r="AG4899">
        <v>1</v>
      </c>
      <c r="AH4899">
        <v>2</v>
      </c>
      <c r="AI4899">
        <v>2</v>
      </c>
      <c r="AJ4899">
        <v>0</v>
      </c>
      <c r="AK4899">
        <v>8</v>
      </c>
      <c r="AL4899">
        <v>1</v>
      </c>
      <c r="AM4899">
        <v>1</v>
      </c>
      <c r="AN4899">
        <v>4</v>
      </c>
      <c r="AT4899">
        <v>0</v>
      </c>
      <c r="AU4899">
        <v>21</v>
      </c>
      <c r="AV4899">
        <v>403</v>
      </c>
      <c r="AW4899">
        <v>403</v>
      </c>
      <c r="AX4899">
        <v>618</v>
      </c>
      <c r="BA4899">
        <v>1</v>
      </c>
      <c r="BC4899" t="s">
        <v>9909</v>
      </c>
      <c r="BD4899" s="4">
        <v>43283.489421296297</v>
      </c>
      <c r="BE4899" s="4">
        <v>43283.50277777778</v>
      </c>
      <c r="BF4899" s="4">
        <v>43283.50277777778</v>
      </c>
      <c r="BG4899" t="s">
        <v>83</v>
      </c>
      <c r="BH4899" t="s">
        <v>84</v>
      </c>
      <c r="BI4899" t="s">
        <v>85</v>
      </c>
    </row>
    <row r="4900" spans="1:61" x14ac:dyDescent="0.3">
      <c r="A4900" t="str">
        <f>"201572C0100"</f>
        <v>201572C0100</v>
      </c>
      <c r="B4900" t="s">
        <v>9910</v>
      </c>
      <c r="C4900">
        <v>20</v>
      </c>
      <c r="D4900" t="s">
        <v>79</v>
      </c>
      <c r="E4900">
        <v>23</v>
      </c>
      <c r="F4900" t="s">
        <v>9720</v>
      </c>
      <c r="G4900">
        <v>1572</v>
      </c>
      <c r="H4900">
        <v>1</v>
      </c>
      <c r="I4900" t="s">
        <v>89</v>
      </c>
      <c r="J4900">
        <v>0</v>
      </c>
      <c r="K4900">
        <v>1</v>
      </c>
      <c r="L4900">
        <v>2</v>
      </c>
      <c r="M4900">
        <v>225</v>
      </c>
      <c r="N4900">
        <v>416</v>
      </c>
      <c r="O4900">
        <v>4</v>
      </c>
      <c r="P4900">
        <v>414</v>
      </c>
      <c r="Q4900">
        <v>3</v>
      </c>
      <c r="R4900">
        <v>42</v>
      </c>
      <c r="S4900">
        <v>16</v>
      </c>
      <c r="T4900">
        <v>5</v>
      </c>
      <c r="U4900">
        <v>7</v>
      </c>
      <c r="V4900">
        <v>20</v>
      </c>
      <c r="W4900">
        <v>17</v>
      </c>
      <c r="X4900">
        <v>11</v>
      </c>
      <c r="Y4900">
        <v>242</v>
      </c>
      <c r="Z4900">
        <v>13</v>
      </c>
      <c r="AA4900">
        <v>0</v>
      </c>
      <c r="AB4900">
        <v>4</v>
      </c>
      <c r="AC4900">
        <v>0</v>
      </c>
      <c r="AD4900">
        <v>0</v>
      </c>
      <c r="AE4900">
        <v>0</v>
      </c>
      <c r="AF4900">
        <v>0</v>
      </c>
      <c r="AG4900">
        <v>0</v>
      </c>
      <c r="AH4900">
        <v>0</v>
      </c>
      <c r="AI4900">
        <v>1</v>
      </c>
      <c r="AJ4900">
        <v>0</v>
      </c>
      <c r="AK4900">
        <v>12</v>
      </c>
      <c r="AL4900">
        <v>0</v>
      </c>
      <c r="AM4900">
        <v>0</v>
      </c>
      <c r="AN4900">
        <v>3</v>
      </c>
      <c r="AT4900">
        <v>0</v>
      </c>
      <c r="AU4900">
        <v>14</v>
      </c>
      <c r="AV4900" t="s">
        <v>100</v>
      </c>
      <c r="AW4900">
        <v>410</v>
      </c>
      <c r="AX4900">
        <v>618</v>
      </c>
      <c r="BA4900">
        <v>1</v>
      </c>
      <c r="BC4900" t="s">
        <v>9911</v>
      </c>
      <c r="BD4900" s="4">
        <v>43283.490451388891</v>
      </c>
      <c r="BE4900" s="4">
        <v>43283.497303240743</v>
      </c>
      <c r="BF4900" s="4">
        <v>43283.497303240743</v>
      </c>
      <c r="BG4900" t="s">
        <v>83</v>
      </c>
      <c r="BH4900" t="s">
        <v>84</v>
      </c>
      <c r="BI4900" t="s">
        <v>85</v>
      </c>
    </row>
    <row r="4901" spans="1:61" x14ac:dyDescent="0.3">
      <c r="A4901" t="str">
        <f>"201572C0200"</f>
        <v>201572C0200</v>
      </c>
      <c r="B4901" t="s">
        <v>9912</v>
      </c>
      <c r="C4901">
        <v>20</v>
      </c>
      <c r="D4901" t="s">
        <v>79</v>
      </c>
      <c r="E4901">
        <v>23</v>
      </c>
      <c r="F4901" t="s">
        <v>9720</v>
      </c>
      <c r="G4901">
        <v>1572</v>
      </c>
      <c r="H4901">
        <v>2</v>
      </c>
      <c r="I4901" t="s">
        <v>89</v>
      </c>
      <c r="J4901">
        <v>0</v>
      </c>
      <c r="K4901">
        <v>1</v>
      </c>
      <c r="L4901">
        <v>2</v>
      </c>
      <c r="M4901">
        <v>260</v>
      </c>
      <c r="N4901">
        <v>380</v>
      </c>
      <c r="O4901">
        <v>6</v>
      </c>
      <c r="P4901">
        <v>379</v>
      </c>
      <c r="Q4901">
        <v>5</v>
      </c>
      <c r="R4901">
        <v>46</v>
      </c>
      <c r="S4901">
        <v>9</v>
      </c>
      <c r="T4901">
        <v>5</v>
      </c>
      <c r="U4901">
        <v>7</v>
      </c>
      <c r="V4901">
        <v>19</v>
      </c>
      <c r="W4901">
        <v>16</v>
      </c>
      <c r="X4901">
        <v>15</v>
      </c>
      <c r="Y4901">
        <v>210</v>
      </c>
      <c r="Z4901">
        <v>6</v>
      </c>
      <c r="AA4901">
        <v>1</v>
      </c>
      <c r="AB4901">
        <v>3</v>
      </c>
      <c r="AC4901">
        <v>0</v>
      </c>
      <c r="AD4901">
        <v>0</v>
      </c>
      <c r="AE4901">
        <v>0</v>
      </c>
      <c r="AF4901">
        <v>0</v>
      </c>
      <c r="AG4901">
        <v>6</v>
      </c>
      <c r="AH4901">
        <v>0</v>
      </c>
      <c r="AI4901">
        <v>1</v>
      </c>
      <c r="AJ4901">
        <v>0</v>
      </c>
      <c r="AK4901">
        <v>2</v>
      </c>
      <c r="AL4901">
        <v>2</v>
      </c>
      <c r="AM4901">
        <v>0</v>
      </c>
      <c r="AN4901">
        <v>3</v>
      </c>
      <c r="AT4901">
        <v>0</v>
      </c>
      <c r="AU4901">
        <v>23</v>
      </c>
      <c r="AV4901">
        <v>379</v>
      </c>
      <c r="AW4901">
        <v>379</v>
      </c>
      <c r="AX4901">
        <v>617</v>
      </c>
      <c r="BA4901">
        <v>1</v>
      </c>
      <c r="BC4901" t="s">
        <v>9913</v>
      </c>
      <c r="BD4901" s="4">
        <v>43283.490949074076</v>
      </c>
      <c r="BE4901" s="4">
        <v>43283.495300925926</v>
      </c>
      <c r="BF4901" s="4">
        <v>43283.495300925926</v>
      </c>
      <c r="BG4901" t="s">
        <v>83</v>
      </c>
      <c r="BH4901" t="s">
        <v>84</v>
      </c>
      <c r="BI4901" t="s">
        <v>85</v>
      </c>
    </row>
    <row r="4902" spans="1:61" x14ac:dyDescent="0.3">
      <c r="A4902" t="str">
        <f>"201573B0100"</f>
        <v>201573B0100</v>
      </c>
      <c r="B4902" t="s">
        <v>9914</v>
      </c>
      <c r="C4902">
        <v>20</v>
      </c>
      <c r="D4902" t="s">
        <v>79</v>
      </c>
      <c r="E4902">
        <v>23</v>
      </c>
      <c r="F4902" t="s">
        <v>9720</v>
      </c>
      <c r="G4902">
        <v>1573</v>
      </c>
      <c r="H4902">
        <v>1</v>
      </c>
      <c r="I4902" t="s">
        <v>81</v>
      </c>
      <c r="J4902">
        <v>0</v>
      </c>
      <c r="K4902">
        <v>1</v>
      </c>
      <c r="L4902">
        <v>2</v>
      </c>
      <c r="M4902">
        <v>254</v>
      </c>
      <c r="N4902">
        <v>460</v>
      </c>
      <c r="O4902">
        <v>5</v>
      </c>
      <c r="P4902">
        <v>460</v>
      </c>
      <c r="Q4902">
        <v>8</v>
      </c>
      <c r="R4902">
        <v>72</v>
      </c>
      <c r="S4902">
        <v>10</v>
      </c>
      <c r="T4902">
        <v>10</v>
      </c>
      <c r="U4902">
        <v>12</v>
      </c>
      <c r="V4902">
        <v>13</v>
      </c>
      <c r="W4902">
        <v>11</v>
      </c>
      <c r="X4902">
        <v>22</v>
      </c>
      <c r="Y4902">
        <v>251</v>
      </c>
      <c r="Z4902">
        <v>16</v>
      </c>
      <c r="AA4902">
        <v>2</v>
      </c>
      <c r="AB4902">
        <v>1</v>
      </c>
      <c r="AC4902">
        <v>1</v>
      </c>
      <c r="AD4902">
        <v>0</v>
      </c>
      <c r="AE4902">
        <v>0</v>
      </c>
      <c r="AF4902">
        <v>1</v>
      </c>
      <c r="AG4902">
        <v>3</v>
      </c>
      <c r="AH4902">
        <v>1</v>
      </c>
      <c r="AI4902">
        <v>0</v>
      </c>
      <c r="AJ4902">
        <v>0</v>
      </c>
      <c r="AK4902">
        <v>7</v>
      </c>
      <c r="AL4902">
        <v>0</v>
      </c>
      <c r="AM4902">
        <v>0</v>
      </c>
      <c r="AN4902">
        <v>0</v>
      </c>
      <c r="AT4902">
        <v>0</v>
      </c>
      <c r="AU4902">
        <v>19</v>
      </c>
      <c r="AV4902">
        <v>460</v>
      </c>
      <c r="AW4902">
        <v>460</v>
      </c>
      <c r="AX4902">
        <v>692</v>
      </c>
      <c r="BA4902">
        <v>1</v>
      </c>
      <c r="BC4902" t="s">
        <v>9915</v>
      </c>
      <c r="BD4902" s="4">
        <v>43283.514849537038</v>
      </c>
      <c r="BE4902" s="4">
        <v>43283.524756944447</v>
      </c>
      <c r="BF4902" s="4">
        <v>43283.524756944447</v>
      </c>
      <c r="BG4902" t="s">
        <v>83</v>
      </c>
      <c r="BH4902" t="s">
        <v>84</v>
      </c>
      <c r="BI4902" t="s">
        <v>85</v>
      </c>
    </row>
    <row r="4903" spans="1:61" x14ac:dyDescent="0.3">
      <c r="A4903" t="str">
        <f>"201573C0100"</f>
        <v>201573C0100</v>
      </c>
      <c r="B4903" t="s">
        <v>9916</v>
      </c>
      <c r="C4903">
        <v>20</v>
      </c>
      <c r="D4903" t="s">
        <v>79</v>
      </c>
      <c r="E4903">
        <v>23</v>
      </c>
      <c r="F4903" t="s">
        <v>9720</v>
      </c>
      <c r="G4903">
        <v>1573</v>
      </c>
      <c r="H4903">
        <v>1</v>
      </c>
      <c r="I4903" t="s">
        <v>89</v>
      </c>
      <c r="J4903">
        <v>0</v>
      </c>
      <c r="K4903">
        <v>1</v>
      </c>
      <c r="L4903">
        <v>2</v>
      </c>
      <c r="M4903">
        <v>287</v>
      </c>
      <c r="N4903">
        <v>427</v>
      </c>
      <c r="O4903">
        <v>8</v>
      </c>
      <c r="P4903">
        <v>427</v>
      </c>
      <c r="Q4903">
        <v>6</v>
      </c>
      <c r="R4903">
        <v>74</v>
      </c>
      <c r="S4903">
        <v>13</v>
      </c>
      <c r="T4903">
        <v>15</v>
      </c>
      <c r="U4903">
        <v>10</v>
      </c>
      <c r="V4903">
        <v>12</v>
      </c>
      <c r="W4903">
        <v>14</v>
      </c>
      <c r="X4903">
        <v>19</v>
      </c>
      <c r="Y4903">
        <v>219</v>
      </c>
      <c r="Z4903">
        <v>6</v>
      </c>
      <c r="AA4903">
        <v>0</v>
      </c>
      <c r="AB4903">
        <v>1</v>
      </c>
      <c r="AC4903">
        <v>0</v>
      </c>
      <c r="AD4903">
        <v>0</v>
      </c>
      <c r="AE4903">
        <v>0</v>
      </c>
      <c r="AF4903">
        <v>0</v>
      </c>
      <c r="AG4903">
        <v>5</v>
      </c>
      <c r="AH4903">
        <v>0</v>
      </c>
      <c r="AI4903">
        <v>2</v>
      </c>
      <c r="AJ4903">
        <v>0</v>
      </c>
      <c r="AK4903">
        <v>0</v>
      </c>
      <c r="AL4903">
        <v>2</v>
      </c>
      <c r="AM4903">
        <v>0</v>
      </c>
      <c r="AN4903">
        <v>8</v>
      </c>
      <c r="AT4903">
        <v>0</v>
      </c>
      <c r="AU4903">
        <v>21</v>
      </c>
      <c r="AV4903">
        <v>427</v>
      </c>
      <c r="AW4903">
        <v>427</v>
      </c>
      <c r="AX4903">
        <v>692</v>
      </c>
      <c r="BA4903">
        <v>1</v>
      </c>
      <c r="BC4903" t="s">
        <v>9917</v>
      </c>
      <c r="BD4903" s="4">
        <v>43283.517222222225</v>
      </c>
      <c r="BE4903" s="4">
        <v>43283.521273148152</v>
      </c>
      <c r="BF4903" s="4">
        <v>43283.521273148152</v>
      </c>
      <c r="BG4903" t="s">
        <v>83</v>
      </c>
      <c r="BH4903" t="s">
        <v>84</v>
      </c>
      <c r="BI4903" t="s">
        <v>85</v>
      </c>
    </row>
    <row r="4904" spans="1:61" x14ac:dyDescent="0.3">
      <c r="A4904" t="str">
        <f>"201573C0200"</f>
        <v>201573C0200</v>
      </c>
      <c r="B4904" t="s">
        <v>9918</v>
      </c>
      <c r="C4904">
        <v>20</v>
      </c>
      <c r="D4904" t="s">
        <v>79</v>
      </c>
      <c r="E4904">
        <v>23</v>
      </c>
      <c r="F4904" t="s">
        <v>9720</v>
      </c>
      <c r="G4904">
        <v>1573</v>
      </c>
      <c r="H4904">
        <v>2</v>
      </c>
      <c r="I4904" t="s">
        <v>89</v>
      </c>
      <c r="J4904">
        <v>0</v>
      </c>
      <c r="K4904">
        <v>1</v>
      </c>
      <c r="L4904">
        <v>2</v>
      </c>
      <c r="M4904">
        <v>299</v>
      </c>
      <c r="N4904">
        <v>415</v>
      </c>
      <c r="O4904">
        <v>3</v>
      </c>
      <c r="P4904">
        <v>415</v>
      </c>
      <c r="Q4904">
        <v>5</v>
      </c>
      <c r="R4904">
        <v>63</v>
      </c>
      <c r="S4904">
        <v>5</v>
      </c>
      <c r="T4904">
        <v>6</v>
      </c>
      <c r="U4904">
        <v>9</v>
      </c>
      <c r="V4904">
        <v>10</v>
      </c>
      <c r="W4904">
        <v>17</v>
      </c>
      <c r="X4904">
        <v>24</v>
      </c>
      <c r="Y4904">
        <v>228</v>
      </c>
      <c r="Z4904">
        <v>18</v>
      </c>
      <c r="AA4904">
        <v>0</v>
      </c>
      <c r="AB4904">
        <v>1</v>
      </c>
      <c r="AC4904">
        <v>1</v>
      </c>
      <c r="AD4904">
        <v>1</v>
      </c>
      <c r="AE4904">
        <v>0</v>
      </c>
      <c r="AF4904">
        <v>0</v>
      </c>
      <c r="AG4904">
        <v>2</v>
      </c>
      <c r="AH4904">
        <v>0</v>
      </c>
      <c r="AI4904">
        <v>3</v>
      </c>
      <c r="AJ4904">
        <v>2</v>
      </c>
      <c r="AK4904">
        <v>9</v>
      </c>
      <c r="AL4904">
        <v>0</v>
      </c>
      <c r="AM4904">
        <v>0</v>
      </c>
      <c r="AN4904">
        <v>2</v>
      </c>
      <c r="AT4904">
        <v>0</v>
      </c>
      <c r="AU4904">
        <v>9</v>
      </c>
      <c r="AV4904">
        <v>415</v>
      </c>
      <c r="AW4904">
        <v>415</v>
      </c>
      <c r="AX4904">
        <v>692</v>
      </c>
      <c r="BA4904">
        <v>1</v>
      </c>
      <c r="BC4904" t="s">
        <v>9919</v>
      </c>
      <c r="BD4904" s="4">
        <v>43283.513865740744</v>
      </c>
      <c r="BE4904" s="4">
        <v>43283.519143518519</v>
      </c>
      <c r="BF4904" s="4">
        <v>43283.519143518519</v>
      </c>
      <c r="BG4904" t="s">
        <v>83</v>
      </c>
      <c r="BH4904" t="s">
        <v>84</v>
      </c>
      <c r="BI4904" t="s">
        <v>85</v>
      </c>
    </row>
    <row r="4905" spans="1:61" x14ac:dyDescent="0.3">
      <c r="A4905" t="str">
        <f>"201574B0100"</f>
        <v>201574B0100</v>
      </c>
      <c r="B4905" t="s">
        <v>9920</v>
      </c>
      <c r="C4905">
        <v>20</v>
      </c>
      <c r="D4905" t="s">
        <v>79</v>
      </c>
      <c r="E4905">
        <v>23</v>
      </c>
      <c r="F4905" t="s">
        <v>9720</v>
      </c>
      <c r="G4905">
        <v>1574</v>
      </c>
      <c r="H4905">
        <v>1</v>
      </c>
      <c r="I4905" t="s">
        <v>81</v>
      </c>
      <c r="J4905">
        <v>0</v>
      </c>
      <c r="K4905">
        <v>1</v>
      </c>
      <c r="L4905">
        <v>2</v>
      </c>
      <c r="M4905">
        <v>222</v>
      </c>
      <c r="N4905">
        <v>410</v>
      </c>
      <c r="O4905">
        <v>1</v>
      </c>
      <c r="P4905">
        <v>408</v>
      </c>
      <c r="Q4905">
        <v>3</v>
      </c>
      <c r="R4905">
        <v>54</v>
      </c>
      <c r="S4905">
        <v>8</v>
      </c>
      <c r="T4905">
        <v>4</v>
      </c>
      <c r="U4905">
        <v>8</v>
      </c>
      <c r="V4905">
        <v>12</v>
      </c>
      <c r="W4905">
        <v>15</v>
      </c>
      <c r="X4905">
        <v>17</v>
      </c>
      <c r="Y4905">
        <v>254</v>
      </c>
      <c r="Z4905">
        <v>8</v>
      </c>
      <c r="AA4905">
        <v>1</v>
      </c>
      <c r="AB4905">
        <v>0</v>
      </c>
      <c r="AC4905">
        <v>0</v>
      </c>
      <c r="AD4905">
        <v>0</v>
      </c>
      <c r="AE4905">
        <v>0</v>
      </c>
      <c r="AF4905">
        <v>0</v>
      </c>
      <c r="AG4905">
        <v>5</v>
      </c>
      <c r="AH4905">
        <v>3</v>
      </c>
      <c r="AI4905">
        <v>0</v>
      </c>
      <c r="AJ4905">
        <v>0</v>
      </c>
      <c r="AK4905">
        <v>4</v>
      </c>
      <c r="AL4905">
        <v>1</v>
      </c>
      <c r="AM4905">
        <v>0</v>
      </c>
      <c r="AN4905">
        <v>2</v>
      </c>
      <c r="AT4905">
        <v>0</v>
      </c>
      <c r="AU4905">
        <v>9</v>
      </c>
      <c r="AV4905">
        <v>408</v>
      </c>
      <c r="AW4905">
        <v>408</v>
      </c>
      <c r="AX4905">
        <v>610</v>
      </c>
      <c r="BA4905">
        <v>1</v>
      </c>
      <c r="BC4905" t="s">
        <v>9921</v>
      </c>
      <c r="BD4905" s="4">
        <v>43283.488032407404</v>
      </c>
      <c r="BE4905" s="4">
        <v>43283.49554398148</v>
      </c>
      <c r="BF4905" s="4">
        <v>43283.49554398148</v>
      </c>
      <c r="BG4905" t="s">
        <v>83</v>
      </c>
      <c r="BH4905" t="s">
        <v>84</v>
      </c>
      <c r="BI4905" t="s">
        <v>85</v>
      </c>
    </row>
    <row r="4906" spans="1:61" x14ac:dyDescent="0.3">
      <c r="A4906" t="str">
        <f>"201574C0100"</f>
        <v>201574C0100</v>
      </c>
      <c r="B4906" t="s">
        <v>9922</v>
      </c>
      <c r="C4906">
        <v>20</v>
      </c>
      <c r="D4906" t="s">
        <v>79</v>
      </c>
      <c r="E4906">
        <v>23</v>
      </c>
      <c r="F4906" t="s">
        <v>9720</v>
      </c>
      <c r="G4906">
        <v>1574</v>
      </c>
      <c r="H4906">
        <v>1</v>
      </c>
      <c r="I4906" t="s">
        <v>89</v>
      </c>
      <c r="J4906">
        <v>0</v>
      </c>
      <c r="K4906">
        <v>1</v>
      </c>
      <c r="L4906">
        <v>2</v>
      </c>
      <c r="M4906" t="s">
        <v>100</v>
      </c>
      <c r="N4906" t="s">
        <v>100</v>
      </c>
      <c r="O4906" t="s">
        <v>100</v>
      </c>
      <c r="P4906" t="s">
        <v>100</v>
      </c>
      <c r="Q4906">
        <v>9</v>
      </c>
      <c r="R4906">
        <v>42</v>
      </c>
      <c r="S4906">
        <v>9</v>
      </c>
      <c r="T4906">
        <v>5</v>
      </c>
      <c r="U4906">
        <v>6</v>
      </c>
      <c r="V4906">
        <v>6</v>
      </c>
      <c r="W4906">
        <v>10</v>
      </c>
      <c r="X4906">
        <v>15</v>
      </c>
      <c r="Y4906">
        <v>251</v>
      </c>
      <c r="Z4906">
        <v>13</v>
      </c>
      <c r="AA4906">
        <v>0</v>
      </c>
      <c r="AB4906">
        <v>2</v>
      </c>
      <c r="AC4906">
        <v>0</v>
      </c>
      <c r="AD4906">
        <v>0</v>
      </c>
      <c r="AE4906">
        <v>0</v>
      </c>
      <c r="AF4906">
        <v>0</v>
      </c>
      <c r="AG4906">
        <v>5</v>
      </c>
      <c r="AH4906">
        <v>1</v>
      </c>
      <c r="AI4906">
        <v>1</v>
      </c>
      <c r="AJ4906">
        <v>0</v>
      </c>
      <c r="AK4906">
        <v>5</v>
      </c>
      <c r="AL4906">
        <v>0</v>
      </c>
      <c r="AM4906">
        <v>0</v>
      </c>
      <c r="AN4906">
        <v>4</v>
      </c>
      <c r="AT4906" t="s">
        <v>100</v>
      </c>
      <c r="AU4906" t="s">
        <v>100</v>
      </c>
      <c r="AV4906" t="s">
        <v>100</v>
      </c>
      <c r="AW4906">
        <v>384</v>
      </c>
      <c r="AX4906">
        <v>610</v>
      </c>
      <c r="AZ4906" t="s">
        <v>101</v>
      </c>
      <c r="BA4906">
        <v>1</v>
      </c>
      <c r="BC4906" t="s">
        <v>9923</v>
      </c>
      <c r="BD4906" s="4">
        <v>43283.194444444445</v>
      </c>
      <c r="BE4906" s="4">
        <v>43283.211099537039</v>
      </c>
      <c r="BF4906" s="4">
        <v>43283.211099537039</v>
      </c>
      <c r="BG4906" t="s">
        <v>83</v>
      </c>
      <c r="BH4906" t="s">
        <v>84</v>
      </c>
      <c r="BI4906" t="s">
        <v>85</v>
      </c>
    </row>
    <row r="4907" spans="1:61" x14ac:dyDescent="0.3">
      <c r="A4907" t="str">
        <f>"201574C0200"</f>
        <v>201574C0200</v>
      </c>
      <c r="B4907" t="s">
        <v>9924</v>
      </c>
      <c r="C4907">
        <v>20</v>
      </c>
      <c r="D4907" t="s">
        <v>79</v>
      </c>
      <c r="E4907">
        <v>23</v>
      </c>
      <c r="F4907" t="s">
        <v>9720</v>
      </c>
      <c r="G4907">
        <v>1574</v>
      </c>
      <c r="H4907">
        <v>2</v>
      </c>
      <c r="I4907" t="s">
        <v>89</v>
      </c>
      <c r="J4907">
        <v>0</v>
      </c>
      <c r="K4907">
        <v>1</v>
      </c>
      <c r="L4907">
        <v>2</v>
      </c>
      <c r="M4907">
        <v>260</v>
      </c>
      <c r="N4907">
        <v>372</v>
      </c>
      <c r="O4907">
        <v>4</v>
      </c>
      <c r="P4907" t="s">
        <v>315</v>
      </c>
      <c r="Q4907">
        <v>5</v>
      </c>
      <c r="R4907">
        <v>52</v>
      </c>
      <c r="S4907">
        <v>7</v>
      </c>
      <c r="T4907">
        <v>2</v>
      </c>
      <c r="U4907">
        <v>8</v>
      </c>
      <c r="V4907">
        <v>5</v>
      </c>
      <c r="W4907">
        <v>11</v>
      </c>
      <c r="X4907">
        <v>8</v>
      </c>
      <c r="Y4907">
        <v>232</v>
      </c>
      <c r="Z4907">
        <v>9</v>
      </c>
      <c r="AA4907">
        <v>0</v>
      </c>
      <c r="AB4907">
        <v>1</v>
      </c>
      <c r="AC4907">
        <v>0</v>
      </c>
      <c r="AD4907">
        <v>0</v>
      </c>
      <c r="AE4907">
        <v>0</v>
      </c>
      <c r="AF4907">
        <v>0</v>
      </c>
      <c r="AG4907">
        <v>2</v>
      </c>
      <c r="AH4907">
        <v>3</v>
      </c>
      <c r="AI4907">
        <v>0</v>
      </c>
      <c r="AJ4907">
        <v>1</v>
      </c>
      <c r="AK4907">
        <v>6</v>
      </c>
      <c r="AL4907">
        <v>1</v>
      </c>
      <c r="AM4907">
        <v>0</v>
      </c>
      <c r="AN4907">
        <v>3</v>
      </c>
      <c r="AT4907">
        <v>0</v>
      </c>
      <c r="AU4907">
        <v>14</v>
      </c>
      <c r="AV4907" t="s">
        <v>315</v>
      </c>
      <c r="AW4907">
        <v>370</v>
      </c>
      <c r="AX4907">
        <v>610</v>
      </c>
      <c r="BA4907">
        <v>1</v>
      </c>
      <c r="BC4907" t="s">
        <v>9925</v>
      </c>
      <c r="BD4907" s="4">
        <v>43283.485821759263</v>
      </c>
      <c r="BE4907" s="4">
        <v>43283.489259259259</v>
      </c>
      <c r="BF4907" s="4">
        <v>43283.489259259259</v>
      </c>
      <c r="BG4907" t="s">
        <v>83</v>
      </c>
      <c r="BH4907" t="s">
        <v>84</v>
      </c>
      <c r="BI4907" t="s">
        <v>85</v>
      </c>
    </row>
    <row r="4908" spans="1:61" x14ac:dyDescent="0.3">
      <c r="A4908" t="str">
        <f>"201575B0100"</f>
        <v>201575B0100</v>
      </c>
      <c r="B4908" t="s">
        <v>9926</v>
      </c>
      <c r="C4908">
        <v>20</v>
      </c>
      <c r="D4908" t="s">
        <v>79</v>
      </c>
      <c r="E4908">
        <v>23</v>
      </c>
      <c r="F4908" t="s">
        <v>9720</v>
      </c>
      <c r="G4908">
        <v>1575</v>
      </c>
      <c r="H4908">
        <v>1</v>
      </c>
      <c r="I4908" t="s">
        <v>81</v>
      </c>
      <c r="J4908">
        <v>0</v>
      </c>
      <c r="K4908">
        <v>2</v>
      </c>
      <c r="L4908">
        <v>2</v>
      </c>
      <c r="M4908">
        <v>262</v>
      </c>
      <c r="N4908">
        <v>423</v>
      </c>
      <c r="O4908">
        <v>4</v>
      </c>
      <c r="P4908">
        <v>423</v>
      </c>
      <c r="Q4908">
        <v>2</v>
      </c>
      <c r="R4908">
        <v>86</v>
      </c>
      <c r="S4908">
        <v>8</v>
      </c>
      <c r="T4908">
        <v>4</v>
      </c>
      <c r="U4908">
        <v>1</v>
      </c>
      <c r="V4908">
        <v>8</v>
      </c>
      <c r="W4908">
        <v>32</v>
      </c>
      <c r="X4908">
        <v>33</v>
      </c>
      <c r="Y4908">
        <v>194</v>
      </c>
      <c r="Z4908">
        <v>6</v>
      </c>
      <c r="AA4908">
        <v>0</v>
      </c>
      <c r="AB4908">
        <v>0</v>
      </c>
      <c r="AC4908">
        <v>1</v>
      </c>
      <c r="AD4908">
        <v>0</v>
      </c>
      <c r="AE4908">
        <v>0</v>
      </c>
      <c r="AF4908">
        <v>0</v>
      </c>
      <c r="AG4908">
        <v>3</v>
      </c>
      <c r="AH4908">
        <v>0</v>
      </c>
      <c r="AI4908">
        <v>0</v>
      </c>
      <c r="AJ4908">
        <v>0</v>
      </c>
      <c r="AK4908">
        <v>5</v>
      </c>
      <c r="AL4908">
        <v>3</v>
      </c>
      <c r="AM4908">
        <v>0</v>
      </c>
      <c r="AN4908">
        <v>3</v>
      </c>
      <c r="AT4908">
        <v>0</v>
      </c>
      <c r="AU4908">
        <v>30</v>
      </c>
      <c r="AV4908">
        <v>423</v>
      </c>
      <c r="AW4908">
        <v>419</v>
      </c>
      <c r="AX4908">
        <v>664</v>
      </c>
      <c r="BA4908">
        <v>1</v>
      </c>
      <c r="BC4908" t="s">
        <v>9927</v>
      </c>
      <c r="BD4908" s="4">
        <v>43283.350740740738</v>
      </c>
      <c r="BE4908" s="4">
        <v>43283.364189814813</v>
      </c>
      <c r="BF4908" s="4">
        <v>43283.364189814813</v>
      </c>
      <c r="BG4908" t="s">
        <v>83</v>
      </c>
      <c r="BH4908" t="s">
        <v>84</v>
      </c>
      <c r="BI4908" t="s">
        <v>85</v>
      </c>
    </row>
    <row r="4909" spans="1:61" x14ac:dyDescent="0.3">
      <c r="A4909" t="str">
        <f>"201575C0100"</f>
        <v>201575C0100</v>
      </c>
      <c r="B4909" t="s">
        <v>9928</v>
      </c>
      <c r="C4909">
        <v>20</v>
      </c>
      <c r="D4909" t="s">
        <v>79</v>
      </c>
      <c r="E4909">
        <v>23</v>
      </c>
      <c r="F4909" t="s">
        <v>9720</v>
      </c>
      <c r="G4909">
        <v>1575</v>
      </c>
      <c r="H4909">
        <v>1</v>
      </c>
      <c r="I4909" t="s">
        <v>89</v>
      </c>
      <c r="J4909">
        <v>0</v>
      </c>
      <c r="K4909">
        <v>2</v>
      </c>
      <c r="L4909">
        <v>2</v>
      </c>
      <c r="M4909">
        <v>262</v>
      </c>
      <c r="N4909">
        <v>423</v>
      </c>
      <c r="O4909">
        <v>6</v>
      </c>
      <c r="P4909">
        <v>419</v>
      </c>
      <c r="Q4909">
        <v>9</v>
      </c>
      <c r="R4909">
        <v>92</v>
      </c>
      <c r="S4909">
        <v>6</v>
      </c>
      <c r="T4909">
        <v>4</v>
      </c>
      <c r="U4909">
        <v>6</v>
      </c>
      <c r="V4909">
        <v>4</v>
      </c>
      <c r="W4909">
        <v>34</v>
      </c>
      <c r="X4909">
        <v>21</v>
      </c>
      <c r="Y4909">
        <v>199</v>
      </c>
      <c r="Z4909">
        <v>5</v>
      </c>
      <c r="AA4909">
        <v>0</v>
      </c>
      <c r="AB4909">
        <v>1</v>
      </c>
      <c r="AC4909">
        <v>0</v>
      </c>
      <c r="AD4909">
        <v>0</v>
      </c>
      <c r="AE4909">
        <v>0</v>
      </c>
      <c r="AF4909">
        <v>0</v>
      </c>
      <c r="AG4909">
        <v>4</v>
      </c>
      <c r="AH4909">
        <v>0</v>
      </c>
      <c r="AI4909">
        <v>2</v>
      </c>
      <c r="AJ4909">
        <v>0</v>
      </c>
      <c r="AK4909">
        <v>5</v>
      </c>
      <c r="AL4909">
        <v>3</v>
      </c>
      <c r="AM4909">
        <v>0</v>
      </c>
      <c r="AN4909">
        <v>4</v>
      </c>
      <c r="AT4909">
        <v>1</v>
      </c>
      <c r="AU4909">
        <v>19</v>
      </c>
      <c r="AV4909">
        <v>419</v>
      </c>
      <c r="AW4909">
        <v>419</v>
      </c>
      <c r="AX4909">
        <v>663</v>
      </c>
      <c r="BA4909">
        <v>1</v>
      </c>
      <c r="BC4909" t="s">
        <v>9929</v>
      </c>
      <c r="BD4909" s="4">
        <v>43283.349803240744</v>
      </c>
      <c r="BE4909" s="4">
        <v>43283.361319444448</v>
      </c>
      <c r="BF4909" s="4">
        <v>43283.361319444448</v>
      </c>
      <c r="BG4909" t="s">
        <v>83</v>
      </c>
      <c r="BH4909" t="s">
        <v>84</v>
      </c>
      <c r="BI4909" t="s">
        <v>85</v>
      </c>
    </row>
    <row r="4910" spans="1:61" x14ac:dyDescent="0.3">
      <c r="A4910" t="str">
        <f>"201575C0200"</f>
        <v>201575C0200</v>
      </c>
      <c r="B4910" t="s">
        <v>9930</v>
      </c>
      <c r="C4910">
        <v>20</v>
      </c>
      <c r="D4910" t="s">
        <v>79</v>
      </c>
      <c r="E4910">
        <v>23</v>
      </c>
      <c r="F4910" t="s">
        <v>9720</v>
      </c>
      <c r="G4910">
        <v>1575</v>
      </c>
      <c r="H4910">
        <v>2</v>
      </c>
      <c r="I4910" t="s">
        <v>89</v>
      </c>
      <c r="J4910">
        <v>0</v>
      </c>
      <c r="K4910">
        <v>2</v>
      </c>
      <c r="L4910">
        <v>2</v>
      </c>
      <c r="M4910">
        <v>274</v>
      </c>
      <c r="N4910" t="s">
        <v>100</v>
      </c>
      <c r="O4910">
        <v>0</v>
      </c>
      <c r="P4910">
        <v>411</v>
      </c>
      <c r="Q4910">
        <v>11</v>
      </c>
      <c r="R4910">
        <v>69</v>
      </c>
      <c r="S4910">
        <v>7</v>
      </c>
      <c r="T4910">
        <v>12</v>
      </c>
      <c r="U4910">
        <v>9</v>
      </c>
      <c r="V4910">
        <v>7</v>
      </c>
      <c r="W4910">
        <v>48</v>
      </c>
      <c r="X4910">
        <v>19</v>
      </c>
      <c r="Y4910">
        <v>171</v>
      </c>
      <c r="Z4910">
        <v>6</v>
      </c>
      <c r="AA4910">
        <v>3</v>
      </c>
      <c r="AB4910">
        <v>0</v>
      </c>
      <c r="AC4910">
        <v>0</v>
      </c>
      <c r="AD4910">
        <v>1</v>
      </c>
      <c r="AE4910">
        <v>0</v>
      </c>
      <c r="AF4910">
        <v>0</v>
      </c>
      <c r="AG4910">
        <v>6</v>
      </c>
      <c r="AH4910">
        <v>1</v>
      </c>
      <c r="AI4910">
        <v>4</v>
      </c>
      <c r="AJ4910">
        <v>0</v>
      </c>
      <c r="AK4910">
        <v>4</v>
      </c>
      <c r="AL4910">
        <v>2</v>
      </c>
      <c r="AM4910">
        <v>0</v>
      </c>
      <c r="AN4910">
        <v>3</v>
      </c>
      <c r="AT4910">
        <v>0</v>
      </c>
      <c r="AU4910">
        <v>27</v>
      </c>
      <c r="AV4910" t="s">
        <v>315</v>
      </c>
      <c r="AW4910">
        <v>410</v>
      </c>
      <c r="AX4910">
        <v>663</v>
      </c>
      <c r="BA4910">
        <v>1</v>
      </c>
      <c r="BC4910" t="s">
        <v>9931</v>
      </c>
      <c r="BD4910" s="4">
        <v>43283.351168981484</v>
      </c>
      <c r="BE4910" s="4">
        <v>43283.366331018522</v>
      </c>
      <c r="BF4910" s="4">
        <v>43283.366331018522</v>
      </c>
      <c r="BG4910" t="s">
        <v>83</v>
      </c>
      <c r="BH4910" t="s">
        <v>84</v>
      </c>
      <c r="BI4910" t="s">
        <v>85</v>
      </c>
    </row>
    <row r="4911" spans="1:61" x14ac:dyDescent="0.3">
      <c r="A4911" t="str">
        <f>"201576B0100"</f>
        <v>201576B0100</v>
      </c>
      <c r="B4911" t="s">
        <v>9932</v>
      </c>
      <c r="C4911">
        <v>20</v>
      </c>
      <c r="D4911" t="s">
        <v>79</v>
      </c>
      <c r="E4911">
        <v>23</v>
      </c>
      <c r="F4911" t="s">
        <v>9720</v>
      </c>
      <c r="G4911">
        <v>1576</v>
      </c>
      <c r="H4911">
        <v>1</v>
      </c>
      <c r="I4911" t="s">
        <v>81</v>
      </c>
      <c r="J4911">
        <v>0</v>
      </c>
      <c r="K4911">
        <v>2</v>
      </c>
      <c r="L4911">
        <v>2</v>
      </c>
      <c r="M4911">
        <v>261</v>
      </c>
      <c r="N4911" t="s">
        <v>100</v>
      </c>
      <c r="O4911">
        <v>4</v>
      </c>
      <c r="P4911">
        <v>376</v>
      </c>
      <c r="Q4911">
        <v>4</v>
      </c>
      <c r="R4911">
        <v>76</v>
      </c>
      <c r="S4911">
        <v>6</v>
      </c>
      <c r="T4911">
        <v>4</v>
      </c>
      <c r="U4911">
        <v>7</v>
      </c>
      <c r="V4911">
        <v>8</v>
      </c>
      <c r="W4911">
        <v>31</v>
      </c>
      <c r="X4911">
        <v>25</v>
      </c>
      <c r="Y4911">
        <v>178</v>
      </c>
      <c r="Z4911">
        <v>3</v>
      </c>
      <c r="AA4911">
        <v>2</v>
      </c>
      <c r="AB4911">
        <v>1</v>
      </c>
      <c r="AC4911" t="s">
        <v>100</v>
      </c>
      <c r="AD4911" t="s">
        <v>100</v>
      </c>
      <c r="AE4911" t="s">
        <v>100</v>
      </c>
      <c r="AF4911" t="s">
        <v>100</v>
      </c>
      <c r="AG4911">
        <v>3</v>
      </c>
      <c r="AH4911">
        <v>4</v>
      </c>
      <c r="AI4911" t="s">
        <v>100</v>
      </c>
      <c r="AJ4911" t="s">
        <v>100</v>
      </c>
      <c r="AK4911">
        <v>4</v>
      </c>
      <c r="AL4911">
        <v>2</v>
      </c>
      <c r="AM4911" t="s">
        <v>100</v>
      </c>
      <c r="AN4911">
        <v>1</v>
      </c>
      <c r="AT4911" t="s">
        <v>100</v>
      </c>
      <c r="AU4911">
        <v>17</v>
      </c>
      <c r="AV4911" t="s">
        <v>100</v>
      </c>
      <c r="AW4911">
        <v>376</v>
      </c>
      <c r="AX4911">
        <v>620</v>
      </c>
      <c r="AZ4911" t="s">
        <v>101</v>
      </c>
      <c r="BA4911">
        <v>1</v>
      </c>
      <c r="BC4911" t="s">
        <v>9933</v>
      </c>
      <c r="BD4911" s="4">
        <v>43283.413229166668</v>
      </c>
      <c r="BE4911" s="4">
        <v>43283.419004629628</v>
      </c>
      <c r="BF4911" s="4">
        <v>43283.419004629628</v>
      </c>
      <c r="BG4911" t="s">
        <v>83</v>
      </c>
      <c r="BH4911" t="s">
        <v>84</v>
      </c>
      <c r="BI4911" t="s">
        <v>85</v>
      </c>
    </row>
    <row r="4912" spans="1:61" x14ac:dyDescent="0.3">
      <c r="A4912" t="str">
        <f>"201576C0100"</f>
        <v>201576C0100</v>
      </c>
      <c r="B4912" t="s">
        <v>9934</v>
      </c>
      <c r="C4912">
        <v>20</v>
      </c>
      <c r="D4912" t="s">
        <v>79</v>
      </c>
      <c r="E4912">
        <v>23</v>
      </c>
      <c r="F4912" t="s">
        <v>9720</v>
      </c>
      <c r="G4912">
        <v>1576</v>
      </c>
      <c r="H4912">
        <v>1</v>
      </c>
      <c r="I4912" t="s">
        <v>89</v>
      </c>
      <c r="J4912">
        <v>0</v>
      </c>
      <c r="K4912">
        <v>2</v>
      </c>
      <c r="L4912">
        <v>2</v>
      </c>
      <c r="M4912">
        <v>279</v>
      </c>
      <c r="N4912">
        <v>362</v>
      </c>
      <c r="O4912">
        <v>1</v>
      </c>
      <c r="P4912">
        <v>364</v>
      </c>
      <c r="Q4912">
        <v>6</v>
      </c>
      <c r="R4912">
        <v>82</v>
      </c>
      <c r="S4912">
        <v>12</v>
      </c>
      <c r="T4912">
        <v>5</v>
      </c>
      <c r="U4912">
        <v>5</v>
      </c>
      <c r="V4912">
        <v>4</v>
      </c>
      <c r="W4912">
        <v>26</v>
      </c>
      <c r="X4912">
        <v>22</v>
      </c>
      <c r="Y4912">
        <v>161</v>
      </c>
      <c r="Z4912">
        <v>7</v>
      </c>
      <c r="AA4912">
        <v>1</v>
      </c>
      <c r="AB4912">
        <v>0</v>
      </c>
      <c r="AC4912">
        <v>0</v>
      </c>
      <c r="AD4912">
        <v>0</v>
      </c>
      <c r="AE4912">
        <v>0</v>
      </c>
      <c r="AF4912">
        <v>0</v>
      </c>
      <c r="AG4912">
        <v>4</v>
      </c>
      <c r="AH4912">
        <v>1</v>
      </c>
      <c r="AI4912">
        <v>2</v>
      </c>
      <c r="AJ4912">
        <v>0</v>
      </c>
      <c r="AK4912">
        <v>3</v>
      </c>
      <c r="AL4912">
        <v>1</v>
      </c>
      <c r="AM4912">
        <v>0</v>
      </c>
      <c r="AN4912">
        <v>2</v>
      </c>
      <c r="AT4912">
        <v>0</v>
      </c>
      <c r="AU4912">
        <v>20</v>
      </c>
      <c r="AV4912">
        <v>364</v>
      </c>
      <c r="AW4912">
        <v>364</v>
      </c>
      <c r="AX4912">
        <v>619</v>
      </c>
      <c r="BA4912">
        <v>1</v>
      </c>
      <c r="BC4912" t="s">
        <v>9935</v>
      </c>
      <c r="BD4912" s="4">
        <v>43283.411874999998</v>
      </c>
      <c r="BE4912" s="4">
        <v>43283.415162037039</v>
      </c>
      <c r="BF4912" s="4">
        <v>43283.415162037039</v>
      </c>
      <c r="BG4912" t="s">
        <v>83</v>
      </c>
      <c r="BH4912" t="s">
        <v>84</v>
      </c>
      <c r="BI4912" t="s">
        <v>85</v>
      </c>
    </row>
    <row r="4913" spans="1:61" x14ac:dyDescent="0.3">
      <c r="A4913" t="str">
        <f>"201576C0200"</f>
        <v>201576C0200</v>
      </c>
      <c r="B4913" t="s">
        <v>9936</v>
      </c>
      <c r="C4913">
        <v>20</v>
      </c>
      <c r="D4913" t="s">
        <v>79</v>
      </c>
      <c r="E4913">
        <v>23</v>
      </c>
      <c r="F4913" t="s">
        <v>9720</v>
      </c>
      <c r="G4913">
        <v>1576</v>
      </c>
      <c r="H4913">
        <v>2</v>
      </c>
      <c r="I4913" t="s">
        <v>89</v>
      </c>
      <c r="J4913">
        <v>0</v>
      </c>
      <c r="K4913">
        <v>2</v>
      </c>
      <c r="L4913">
        <v>2</v>
      </c>
      <c r="M4913">
        <v>280</v>
      </c>
      <c r="N4913" t="s">
        <v>315</v>
      </c>
      <c r="O4913" t="s">
        <v>100</v>
      </c>
      <c r="P4913">
        <v>361</v>
      </c>
      <c r="Q4913">
        <v>8</v>
      </c>
      <c r="R4913">
        <v>84</v>
      </c>
      <c r="S4913">
        <v>8</v>
      </c>
      <c r="T4913">
        <v>6</v>
      </c>
      <c r="U4913">
        <v>7</v>
      </c>
      <c r="V4913">
        <v>3</v>
      </c>
      <c r="W4913">
        <v>38</v>
      </c>
      <c r="X4913">
        <v>16</v>
      </c>
      <c r="Y4913">
        <v>157</v>
      </c>
      <c r="Z4913">
        <v>8</v>
      </c>
      <c r="AA4913" t="s">
        <v>100</v>
      </c>
      <c r="AB4913">
        <v>2</v>
      </c>
      <c r="AC4913" t="s">
        <v>100</v>
      </c>
      <c r="AD4913" t="s">
        <v>100</v>
      </c>
      <c r="AE4913" t="s">
        <v>100</v>
      </c>
      <c r="AF4913">
        <v>1</v>
      </c>
      <c r="AG4913">
        <v>4</v>
      </c>
      <c r="AH4913">
        <v>2</v>
      </c>
      <c r="AI4913">
        <v>1</v>
      </c>
      <c r="AJ4913" t="s">
        <v>100</v>
      </c>
      <c r="AK4913">
        <v>1</v>
      </c>
      <c r="AL4913">
        <v>1</v>
      </c>
      <c r="AM4913" t="s">
        <v>100</v>
      </c>
      <c r="AN4913" t="s">
        <v>100</v>
      </c>
      <c r="AT4913" t="s">
        <v>100</v>
      </c>
      <c r="AU4913">
        <v>14</v>
      </c>
      <c r="AV4913">
        <v>361</v>
      </c>
      <c r="AW4913">
        <v>361</v>
      </c>
      <c r="AX4913">
        <v>619</v>
      </c>
      <c r="AZ4913" t="s">
        <v>101</v>
      </c>
      <c r="BA4913">
        <v>1</v>
      </c>
      <c r="BC4913" t="s">
        <v>9937</v>
      </c>
      <c r="BD4913" s="4">
        <v>43283.402187500003</v>
      </c>
      <c r="BE4913" s="4">
        <v>43283.409236111111</v>
      </c>
      <c r="BF4913" s="4">
        <v>43283.409236111111</v>
      </c>
      <c r="BG4913" t="s">
        <v>83</v>
      </c>
      <c r="BH4913" t="s">
        <v>84</v>
      </c>
      <c r="BI4913" t="s">
        <v>85</v>
      </c>
    </row>
    <row r="4914" spans="1:61" x14ac:dyDescent="0.3">
      <c r="A4914" t="str">
        <f>"201576C0300"</f>
        <v>201576C0300</v>
      </c>
      <c r="B4914" t="s">
        <v>9938</v>
      </c>
      <c r="C4914">
        <v>20</v>
      </c>
      <c r="D4914" t="s">
        <v>79</v>
      </c>
      <c r="E4914">
        <v>23</v>
      </c>
      <c r="F4914" t="s">
        <v>9720</v>
      </c>
      <c r="G4914">
        <v>1576</v>
      </c>
      <c r="H4914">
        <v>3</v>
      </c>
      <c r="I4914" t="s">
        <v>89</v>
      </c>
      <c r="J4914">
        <v>0</v>
      </c>
      <c r="K4914">
        <v>2</v>
      </c>
      <c r="L4914">
        <v>2</v>
      </c>
      <c r="M4914">
        <v>289</v>
      </c>
      <c r="N4914">
        <v>352</v>
      </c>
      <c r="O4914">
        <v>2</v>
      </c>
      <c r="P4914">
        <v>351</v>
      </c>
      <c r="Q4914">
        <v>4</v>
      </c>
      <c r="R4914">
        <v>74</v>
      </c>
      <c r="S4914">
        <v>6</v>
      </c>
      <c r="T4914">
        <v>4</v>
      </c>
      <c r="U4914">
        <v>10</v>
      </c>
      <c r="V4914">
        <v>21</v>
      </c>
      <c r="W4914">
        <v>19</v>
      </c>
      <c r="X4914">
        <v>164</v>
      </c>
      <c r="Y4914">
        <v>164</v>
      </c>
      <c r="Z4914">
        <v>4</v>
      </c>
      <c r="AA4914">
        <v>0</v>
      </c>
      <c r="AB4914">
        <v>2</v>
      </c>
      <c r="AC4914">
        <v>0</v>
      </c>
      <c r="AD4914">
        <v>0</v>
      </c>
      <c r="AE4914">
        <v>0</v>
      </c>
      <c r="AF4914">
        <v>0</v>
      </c>
      <c r="AG4914">
        <v>1</v>
      </c>
      <c r="AH4914">
        <v>3</v>
      </c>
      <c r="AI4914">
        <v>3</v>
      </c>
      <c r="AJ4914">
        <v>0</v>
      </c>
      <c r="AK4914">
        <v>8</v>
      </c>
      <c r="AL4914">
        <v>2</v>
      </c>
      <c r="AM4914">
        <v>0</v>
      </c>
      <c r="AN4914">
        <v>2</v>
      </c>
      <c r="AT4914">
        <v>0</v>
      </c>
      <c r="AU4914">
        <v>17</v>
      </c>
      <c r="AV4914">
        <v>351</v>
      </c>
      <c r="AW4914">
        <v>508</v>
      </c>
      <c r="AX4914">
        <v>619</v>
      </c>
      <c r="BA4914">
        <v>1</v>
      </c>
      <c r="BC4914" t="s">
        <v>9939</v>
      </c>
      <c r="BD4914" s="4">
        <v>43283.404236111113</v>
      </c>
      <c r="BE4914" s="4">
        <v>43283.40834490741</v>
      </c>
      <c r="BF4914" s="4">
        <v>43283.40834490741</v>
      </c>
      <c r="BG4914" t="s">
        <v>83</v>
      </c>
      <c r="BH4914" t="s">
        <v>84</v>
      </c>
      <c r="BI4914" t="s">
        <v>85</v>
      </c>
    </row>
    <row r="4915" spans="1:61" x14ac:dyDescent="0.3">
      <c r="A4915" t="str">
        <f>"201576C0400"</f>
        <v>201576C0400</v>
      </c>
      <c r="B4915" t="s">
        <v>9940</v>
      </c>
      <c r="C4915">
        <v>20</v>
      </c>
      <c r="D4915" t="s">
        <v>79</v>
      </c>
      <c r="E4915">
        <v>23</v>
      </c>
      <c r="F4915" t="s">
        <v>9720</v>
      </c>
      <c r="G4915">
        <v>1576</v>
      </c>
      <c r="H4915">
        <v>4</v>
      </c>
      <c r="I4915" t="s">
        <v>89</v>
      </c>
      <c r="J4915">
        <v>0</v>
      </c>
      <c r="K4915">
        <v>2</v>
      </c>
      <c r="L4915">
        <v>2</v>
      </c>
      <c r="M4915">
        <v>283</v>
      </c>
      <c r="N4915" t="s">
        <v>100</v>
      </c>
      <c r="O4915" t="s">
        <v>100</v>
      </c>
      <c r="P4915">
        <v>370</v>
      </c>
      <c r="Q4915">
        <v>1</v>
      </c>
      <c r="R4915">
        <v>76</v>
      </c>
      <c r="S4915">
        <v>13</v>
      </c>
      <c r="T4915">
        <v>8</v>
      </c>
      <c r="U4915">
        <v>3</v>
      </c>
      <c r="V4915">
        <v>6</v>
      </c>
      <c r="W4915">
        <v>36</v>
      </c>
      <c r="X4915">
        <v>20</v>
      </c>
      <c r="Y4915">
        <v>163</v>
      </c>
      <c r="Z4915">
        <v>9</v>
      </c>
      <c r="AA4915">
        <v>0</v>
      </c>
      <c r="AB4915">
        <v>0</v>
      </c>
      <c r="AC4915">
        <v>0</v>
      </c>
      <c r="AD4915">
        <v>0</v>
      </c>
      <c r="AE4915">
        <v>0</v>
      </c>
      <c r="AF4915">
        <v>0</v>
      </c>
      <c r="AG4915">
        <v>5</v>
      </c>
      <c r="AH4915">
        <v>0</v>
      </c>
      <c r="AI4915">
        <v>4</v>
      </c>
      <c r="AJ4915">
        <v>1</v>
      </c>
      <c r="AK4915">
        <v>7</v>
      </c>
      <c r="AL4915">
        <v>0</v>
      </c>
      <c r="AM4915">
        <v>0</v>
      </c>
      <c r="AN4915">
        <v>0</v>
      </c>
      <c r="AT4915" t="s">
        <v>100</v>
      </c>
      <c r="AU4915">
        <v>18</v>
      </c>
      <c r="AV4915">
        <v>370</v>
      </c>
      <c r="AW4915">
        <v>370</v>
      </c>
      <c r="AX4915">
        <v>619</v>
      </c>
      <c r="AZ4915" t="s">
        <v>101</v>
      </c>
      <c r="BA4915">
        <v>1</v>
      </c>
      <c r="BC4915" t="s">
        <v>9941</v>
      </c>
      <c r="BD4915" s="4">
        <v>43283.403692129628</v>
      </c>
      <c r="BE4915" s="4">
        <v>43283.406666666669</v>
      </c>
      <c r="BF4915" s="4">
        <v>43283.406666666669</v>
      </c>
      <c r="BG4915" t="s">
        <v>83</v>
      </c>
      <c r="BH4915" t="s">
        <v>84</v>
      </c>
      <c r="BI4915" t="s">
        <v>85</v>
      </c>
    </row>
    <row r="4916" spans="1:61" x14ac:dyDescent="0.3">
      <c r="A4916" t="str">
        <f>"201577B0100"</f>
        <v>201577B0100</v>
      </c>
      <c r="B4916" t="s">
        <v>9942</v>
      </c>
      <c r="C4916">
        <v>20</v>
      </c>
      <c r="D4916" t="s">
        <v>79</v>
      </c>
      <c r="E4916">
        <v>23</v>
      </c>
      <c r="F4916" t="s">
        <v>9720</v>
      </c>
      <c r="G4916">
        <v>1577</v>
      </c>
      <c r="H4916">
        <v>1</v>
      </c>
      <c r="I4916" t="s">
        <v>81</v>
      </c>
      <c r="J4916">
        <v>0</v>
      </c>
      <c r="K4916">
        <v>2</v>
      </c>
      <c r="L4916">
        <v>2</v>
      </c>
      <c r="M4916">
        <v>287</v>
      </c>
      <c r="N4916">
        <v>414</v>
      </c>
      <c r="O4916">
        <v>3</v>
      </c>
      <c r="P4916">
        <v>414</v>
      </c>
      <c r="Q4916">
        <v>5</v>
      </c>
      <c r="R4916">
        <v>78</v>
      </c>
      <c r="S4916">
        <v>14</v>
      </c>
      <c r="T4916">
        <v>14</v>
      </c>
      <c r="U4916">
        <v>7</v>
      </c>
      <c r="V4916">
        <v>11</v>
      </c>
      <c r="W4916">
        <v>47</v>
      </c>
      <c r="X4916">
        <v>11</v>
      </c>
      <c r="Y4916">
        <v>198</v>
      </c>
      <c r="Z4916">
        <v>3</v>
      </c>
      <c r="AA4916">
        <v>0</v>
      </c>
      <c r="AB4916">
        <v>0</v>
      </c>
      <c r="AC4916">
        <v>1</v>
      </c>
      <c r="AD4916">
        <v>0</v>
      </c>
      <c r="AE4916">
        <v>0</v>
      </c>
      <c r="AF4916">
        <v>1</v>
      </c>
      <c r="AG4916">
        <v>4</v>
      </c>
      <c r="AH4916">
        <v>3</v>
      </c>
      <c r="AI4916">
        <v>1</v>
      </c>
      <c r="AJ4916">
        <v>0</v>
      </c>
      <c r="AK4916">
        <v>2</v>
      </c>
      <c r="AL4916">
        <v>0</v>
      </c>
      <c r="AM4916">
        <v>0</v>
      </c>
      <c r="AN4916">
        <v>0</v>
      </c>
      <c r="AT4916">
        <v>0</v>
      </c>
      <c r="AU4916">
        <v>14</v>
      </c>
      <c r="AV4916">
        <v>414</v>
      </c>
      <c r="AW4916">
        <v>414</v>
      </c>
      <c r="AX4916">
        <v>679</v>
      </c>
      <c r="BA4916">
        <v>1</v>
      </c>
      <c r="BC4916" t="s">
        <v>9943</v>
      </c>
      <c r="BD4916" s="4">
        <v>43283.432175925926</v>
      </c>
      <c r="BE4916" s="4">
        <v>43283.435520833336</v>
      </c>
      <c r="BF4916" s="4">
        <v>43283.435520833336</v>
      </c>
      <c r="BG4916" t="s">
        <v>83</v>
      </c>
      <c r="BH4916" t="s">
        <v>84</v>
      </c>
      <c r="BI4916" t="s">
        <v>85</v>
      </c>
    </row>
    <row r="4917" spans="1:61" x14ac:dyDescent="0.3">
      <c r="A4917" t="str">
        <f>"201577C0100"</f>
        <v>201577C0100</v>
      </c>
      <c r="B4917" t="s">
        <v>9944</v>
      </c>
      <c r="C4917">
        <v>20</v>
      </c>
      <c r="D4917" t="s">
        <v>79</v>
      </c>
      <c r="E4917">
        <v>23</v>
      </c>
      <c r="F4917" t="s">
        <v>9720</v>
      </c>
      <c r="G4917">
        <v>1577</v>
      </c>
      <c r="H4917">
        <v>1</v>
      </c>
      <c r="I4917" t="s">
        <v>89</v>
      </c>
      <c r="J4917">
        <v>0</v>
      </c>
      <c r="K4917">
        <v>2</v>
      </c>
      <c r="L4917">
        <v>2</v>
      </c>
      <c r="M4917">
        <v>292</v>
      </c>
      <c r="N4917">
        <v>409</v>
      </c>
      <c r="O4917">
        <v>0</v>
      </c>
      <c r="P4917">
        <v>409</v>
      </c>
      <c r="Q4917">
        <v>3</v>
      </c>
      <c r="R4917">
        <v>68</v>
      </c>
      <c r="S4917">
        <v>13</v>
      </c>
      <c r="T4917">
        <v>9</v>
      </c>
      <c r="U4917">
        <v>12</v>
      </c>
      <c r="V4917">
        <v>14</v>
      </c>
      <c r="W4917">
        <v>54</v>
      </c>
      <c r="X4917">
        <v>11</v>
      </c>
      <c r="Y4917">
        <v>89</v>
      </c>
      <c r="Z4917">
        <v>5</v>
      </c>
      <c r="AA4917">
        <v>0</v>
      </c>
      <c r="AB4917">
        <v>2</v>
      </c>
      <c r="AC4917">
        <v>0</v>
      </c>
      <c r="AD4917">
        <v>0</v>
      </c>
      <c r="AE4917">
        <v>0</v>
      </c>
      <c r="AF4917">
        <v>0</v>
      </c>
      <c r="AG4917">
        <v>2</v>
      </c>
      <c r="AH4917">
        <v>1</v>
      </c>
      <c r="AI4917">
        <v>1</v>
      </c>
      <c r="AJ4917">
        <v>0</v>
      </c>
      <c r="AK4917">
        <v>2</v>
      </c>
      <c r="AL4917">
        <v>1</v>
      </c>
      <c r="AM4917">
        <v>0</v>
      </c>
      <c r="AN4917">
        <v>2</v>
      </c>
      <c r="AT4917">
        <v>0</v>
      </c>
      <c r="AU4917">
        <v>18</v>
      </c>
      <c r="AV4917">
        <v>409</v>
      </c>
      <c r="AW4917">
        <v>307</v>
      </c>
      <c r="AX4917">
        <v>679</v>
      </c>
      <c r="BA4917">
        <v>1</v>
      </c>
      <c r="BC4917" t="s">
        <v>9945</v>
      </c>
      <c r="BD4917" s="4">
        <v>43283.435960648145</v>
      </c>
      <c r="BE4917" s="4">
        <v>43283.443761574075</v>
      </c>
      <c r="BF4917" s="4">
        <v>43283.443761574075</v>
      </c>
      <c r="BG4917" t="s">
        <v>83</v>
      </c>
      <c r="BH4917" t="s">
        <v>84</v>
      </c>
      <c r="BI4917" t="s">
        <v>85</v>
      </c>
    </row>
    <row r="4918" spans="1:61" x14ac:dyDescent="0.3">
      <c r="A4918" t="str">
        <f>"201578B0100"</f>
        <v>201578B0100</v>
      </c>
      <c r="B4918" t="s">
        <v>9946</v>
      </c>
      <c r="C4918">
        <v>20</v>
      </c>
      <c r="D4918" t="s">
        <v>79</v>
      </c>
      <c r="E4918">
        <v>23</v>
      </c>
      <c r="F4918" t="s">
        <v>9720</v>
      </c>
      <c r="G4918">
        <v>1578</v>
      </c>
      <c r="H4918">
        <v>1</v>
      </c>
      <c r="I4918" t="s">
        <v>81</v>
      </c>
      <c r="J4918">
        <v>0</v>
      </c>
      <c r="K4918">
        <v>2</v>
      </c>
      <c r="L4918">
        <v>2</v>
      </c>
      <c r="M4918">
        <v>189</v>
      </c>
      <c r="N4918">
        <v>339</v>
      </c>
      <c r="O4918">
        <v>1</v>
      </c>
      <c r="P4918">
        <v>340</v>
      </c>
      <c r="Q4918">
        <v>4</v>
      </c>
      <c r="R4918">
        <v>60</v>
      </c>
      <c r="S4918">
        <v>6</v>
      </c>
      <c r="T4918">
        <v>4</v>
      </c>
      <c r="U4918">
        <v>12</v>
      </c>
      <c r="V4918">
        <v>10</v>
      </c>
      <c r="W4918">
        <v>34</v>
      </c>
      <c r="X4918">
        <v>14</v>
      </c>
      <c r="Y4918">
        <v>156</v>
      </c>
      <c r="Z4918">
        <v>4</v>
      </c>
      <c r="AA4918">
        <v>2</v>
      </c>
      <c r="AB4918">
        <v>3</v>
      </c>
      <c r="AC4918">
        <v>0</v>
      </c>
      <c r="AD4918">
        <v>0</v>
      </c>
      <c r="AE4918">
        <v>0</v>
      </c>
      <c r="AF4918">
        <v>0</v>
      </c>
      <c r="AG4918">
        <v>1</v>
      </c>
      <c r="AH4918">
        <v>0</v>
      </c>
      <c r="AI4918">
        <v>1</v>
      </c>
      <c r="AJ4918">
        <v>0</v>
      </c>
      <c r="AK4918">
        <v>8</v>
      </c>
      <c r="AL4918">
        <v>0</v>
      </c>
      <c r="AM4918">
        <v>0</v>
      </c>
      <c r="AN4918">
        <v>3</v>
      </c>
      <c r="AT4918">
        <v>0</v>
      </c>
      <c r="AU4918">
        <v>18</v>
      </c>
      <c r="AV4918">
        <v>340</v>
      </c>
      <c r="AW4918">
        <v>340</v>
      </c>
      <c r="AX4918">
        <v>507</v>
      </c>
      <c r="BA4918">
        <v>1</v>
      </c>
      <c r="BC4918" t="s">
        <v>9947</v>
      </c>
      <c r="BD4918" s="4">
        <v>43283.43167824074</v>
      </c>
      <c r="BE4918" s="4">
        <v>43283.434849537036</v>
      </c>
      <c r="BF4918" s="4">
        <v>43283.434849537036</v>
      </c>
      <c r="BG4918" t="s">
        <v>83</v>
      </c>
      <c r="BH4918" t="s">
        <v>84</v>
      </c>
      <c r="BI4918" t="s">
        <v>85</v>
      </c>
    </row>
    <row r="4919" spans="1:61" x14ac:dyDescent="0.3">
      <c r="A4919" t="str">
        <f>"201578C0100"</f>
        <v>201578C0100</v>
      </c>
      <c r="B4919" t="s">
        <v>9948</v>
      </c>
      <c r="C4919">
        <v>20</v>
      </c>
      <c r="D4919" t="s">
        <v>79</v>
      </c>
      <c r="E4919">
        <v>23</v>
      </c>
      <c r="F4919" t="s">
        <v>9720</v>
      </c>
      <c r="G4919">
        <v>1578</v>
      </c>
      <c r="H4919">
        <v>1</v>
      </c>
      <c r="I4919" t="s">
        <v>89</v>
      </c>
      <c r="J4919">
        <v>0</v>
      </c>
      <c r="K4919">
        <v>2</v>
      </c>
      <c r="L4919">
        <v>2</v>
      </c>
      <c r="M4919">
        <v>206</v>
      </c>
      <c r="N4919">
        <v>323</v>
      </c>
      <c r="O4919">
        <v>0</v>
      </c>
      <c r="P4919">
        <v>323</v>
      </c>
      <c r="Q4919">
        <v>6</v>
      </c>
      <c r="R4919">
        <v>63</v>
      </c>
      <c r="S4919">
        <v>10</v>
      </c>
      <c r="T4919">
        <v>4</v>
      </c>
      <c r="U4919">
        <v>8</v>
      </c>
      <c r="V4919">
        <v>8</v>
      </c>
      <c r="W4919">
        <v>30</v>
      </c>
      <c r="X4919">
        <v>9</v>
      </c>
      <c r="Y4919">
        <v>150</v>
      </c>
      <c r="Z4919">
        <v>8</v>
      </c>
      <c r="AA4919">
        <v>1</v>
      </c>
      <c r="AB4919">
        <v>2</v>
      </c>
      <c r="AC4919">
        <v>0</v>
      </c>
      <c r="AD4919">
        <v>0</v>
      </c>
      <c r="AE4919">
        <v>0</v>
      </c>
      <c r="AF4919">
        <v>0</v>
      </c>
      <c r="AG4919">
        <v>1</v>
      </c>
      <c r="AH4919">
        <v>2</v>
      </c>
      <c r="AI4919">
        <v>1</v>
      </c>
      <c r="AJ4919">
        <v>1</v>
      </c>
      <c r="AK4919">
        <v>4</v>
      </c>
      <c r="AL4919">
        <v>1</v>
      </c>
      <c r="AM4919">
        <v>1</v>
      </c>
      <c r="AN4919">
        <v>5</v>
      </c>
      <c r="AT4919">
        <v>0</v>
      </c>
      <c r="AU4919">
        <v>8</v>
      </c>
      <c r="AV4919">
        <v>323</v>
      </c>
      <c r="AW4919">
        <v>323</v>
      </c>
      <c r="AX4919">
        <v>507</v>
      </c>
      <c r="BA4919">
        <v>1</v>
      </c>
      <c r="BC4919" t="s">
        <v>9949</v>
      </c>
      <c r="BD4919" s="4">
        <v>43283.434027777781</v>
      </c>
      <c r="BE4919" s="4">
        <v>43283.436516203707</v>
      </c>
      <c r="BF4919" s="4">
        <v>43283.436516203707</v>
      </c>
      <c r="BG4919" t="s">
        <v>83</v>
      </c>
      <c r="BH4919" t="s">
        <v>84</v>
      </c>
      <c r="BI4919" t="s">
        <v>85</v>
      </c>
    </row>
    <row r="4920" spans="1:61" x14ac:dyDescent="0.3">
      <c r="A4920" t="str">
        <f>"201578E0100"</f>
        <v>201578E0100</v>
      </c>
      <c r="B4920" s="2" t="s">
        <v>9950</v>
      </c>
      <c r="C4920">
        <v>20</v>
      </c>
      <c r="D4920" t="s">
        <v>79</v>
      </c>
      <c r="E4920">
        <v>23</v>
      </c>
      <c r="F4920" t="s">
        <v>9720</v>
      </c>
      <c r="G4920">
        <v>1578</v>
      </c>
      <c r="H4920">
        <v>1</v>
      </c>
      <c r="I4920" t="s">
        <v>145</v>
      </c>
      <c r="J4920">
        <v>0</v>
      </c>
      <c r="K4920">
        <v>2</v>
      </c>
      <c r="L4920">
        <v>2</v>
      </c>
      <c r="M4920">
        <v>130</v>
      </c>
      <c r="N4920">
        <v>289</v>
      </c>
      <c r="O4920">
        <v>3</v>
      </c>
      <c r="P4920">
        <v>289</v>
      </c>
      <c r="Q4920">
        <v>1</v>
      </c>
      <c r="R4920">
        <v>55</v>
      </c>
      <c r="S4920">
        <v>6</v>
      </c>
      <c r="T4920">
        <v>3</v>
      </c>
      <c r="U4920">
        <v>8</v>
      </c>
      <c r="V4920">
        <v>7</v>
      </c>
      <c r="W4920">
        <v>59</v>
      </c>
      <c r="X4920">
        <v>13</v>
      </c>
      <c r="Y4920">
        <v>109</v>
      </c>
      <c r="Z4920">
        <v>0</v>
      </c>
      <c r="AA4920">
        <v>0</v>
      </c>
      <c r="AB4920">
        <v>1</v>
      </c>
      <c r="AC4920">
        <v>0</v>
      </c>
      <c r="AD4920">
        <v>1</v>
      </c>
      <c r="AE4920">
        <v>0</v>
      </c>
      <c r="AF4920">
        <v>0</v>
      </c>
      <c r="AG4920">
        <v>1</v>
      </c>
      <c r="AH4920">
        <v>0</v>
      </c>
      <c r="AI4920">
        <v>0</v>
      </c>
      <c r="AJ4920">
        <v>0</v>
      </c>
      <c r="AK4920">
        <v>6</v>
      </c>
      <c r="AL4920">
        <v>1</v>
      </c>
      <c r="AM4920">
        <v>0</v>
      </c>
      <c r="AN4920">
        <v>1</v>
      </c>
      <c r="AT4920">
        <v>0</v>
      </c>
      <c r="AU4920">
        <v>17</v>
      </c>
      <c r="AV4920">
        <v>289</v>
      </c>
      <c r="AW4920">
        <v>289</v>
      </c>
      <c r="AX4920">
        <v>397</v>
      </c>
      <c r="BA4920">
        <v>1</v>
      </c>
      <c r="BC4920" t="s">
        <v>9951</v>
      </c>
      <c r="BD4920" s="4">
        <v>43283.440243055556</v>
      </c>
      <c r="BE4920" s="4">
        <v>43283.444467592592</v>
      </c>
      <c r="BF4920" s="4">
        <v>43283.444467592592</v>
      </c>
      <c r="BG4920" t="s">
        <v>83</v>
      </c>
      <c r="BH4920" t="s">
        <v>84</v>
      </c>
      <c r="BI4920" t="s">
        <v>85</v>
      </c>
    </row>
    <row r="4921" spans="1:61" x14ac:dyDescent="0.3">
      <c r="A4921" t="str">
        <f>"201578E0200"</f>
        <v>201578E0200</v>
      </c>
      <c r="B4921" s="2" t="s">
        <v>9952</v>
      </c>
      <c r="C4921">
        <v>20</v>
      </c>
      <c r="D4921" t="s">
        <v>79</v>
      </c>
      <c r="E4921">
        <v>23</v>
      </c>
      <c r="F4921" t="s">
        <v>9720</v>
      </c>
      <c r="G4921">
        <v>1578</v>
      </c>
      <c r="H4921">
        <v>2</v>
      </c>
      <c r="I4921" t="s">
        <v>145</v>
      </c>
      <c r="J4921">
        <v>0</v>
      </c>
      <c r="K4921">
        <v>2</v>
      </c>
      <c r="L4921">
        <v>2</v>
      </c>
      <c r="M4921">
        <v>222</v>
      </c>
      <c r="N4921">
        <v>400</v>
      </c>
      <c r="O4921">
        <v>2</v>
      </c>
      <c r="P4921">
        <v>400</v>
      </c>
      <c r="Q4921">
        <v>3</v>
      </c>
      <c r="R4921">
        <v>102</v>
      </c>
      <c r="S4921">
        <v>12</v>
      </c>
      <c r="T4921">
        <v>7</v>
      </c>
      <c r="U4921">
        <v>10</v>
      </c>
      <c r="V4921">
        <v>19</v>
      </c>
      <c r="W4921">
        <v>52</v>
      </c>
      <c r="X4921">
        <v>18</v>
      </c>
      <c r="Y4921">
        <v>136</v>
      </c>
      <c r="Z4921">
        <v>4</v>
      </c>
      <c r="AA4921">
        <v>0</v>
      </c>
      <c r="AB4921">
        <v>1</v>
      </c>
      <c r="AC4921">
        <v>0</v>
      </c>
      <c r="AD4921">
        <v>0</v>
      </c>
      <c r="AE4921">
        <v>0</v>
      </c>
      <c r="AF4921">
        <v>0</v>
      </c>
      <c r="AG4921">
        <v>2</v>
      </c>
      <c r="AH4921">
        <v>0</v>
      </c>
      <c r="AI4921">
        <v>5</v>
      </c>
      <c r="AJ4921">
        <v>0</v>
      </c>
      <c r="AK4921">
        <v>0</v>
      </c>
      <c r="AL4921">
        <v>0</v>
      </c>
      <c r="AM4921">
        <v>1</v>
      </c>
      <c r="AN4921">
        <v>0</v>
      </c>
      <c r="AT4921">
        <v>0</v>
      </c>
      <c r="AU4921">
        <v>28</v>
      </c>
      <c r="AV4921">
        <v>400</v>
      </c>
      <c r="AW4921">
        <v>400</v>
      </c>
      <c r="AX4921">
        <v>600</v>
      </c>
      <c r="BA4921">
        <v>1</v>
      </c>
      <c r="BC4921" t="s">
        <v>9953</v>
      </c>
      <c r="BD4921" s="4">
        <v>43283.434525462966</v>
      </c>
      <c r="BE4921" s="4">
        <v>43283.437800925924</v>
      </c>
      <c r="BF4921" s="4">
        <v>43283.437800925924</v>
      </c>
      <c r="BG4921" t="s">
        <v>83</v>
      </c>
      <c r="BH4921" t="s">
        <v>84</v>
      </c>
      <c r="BI4921" t="s">
        <v>85</v>
      </c>
    </row>
    <row r="4922" spans="1:61" x14ac:dyDescent="0.3">
      <c r="A4922" t="str">
        <f>"201579B0100"</f>
        <v>201579B0100</v>
      </c>
      <c r="B4922" t="s">
        <v>9954</v>
      </c>
      <c r="C4922">
        <v>20</v>
      </c>
      <c r="D4922" t="s">
        <v>79</v>
      </c>
      <c r="E4922">
        <v>23</v>
      </c>
      <c r="F4922" t="s">
        <v>9720</v>
      </c>
      <c r="G4922">
        <v>1579</v>
      </c>
      <c r="H4922">
        <v>1</v>
      </c>
      <c r="I4922" t="s">
        <v>81</v>
      </c>
      <c r="J4922">
        <v>0</v>
      </c>
      <c r="K4922">
        <v>2</v>
      </c>
      <c r="L4922">
        <v>2</v>
      </c>
      <c r="M4922">
        <v>251</v>
      </c>
      <c r="N4922">
        <v>436</v>
      </c>
      <c r="O4922">
        <v>0</v>
      </c>
      <c r="P4922">
        <v>0</v>
      </c>
      <c r="Q4922">
        <v>4</v>
      </c>
      <c r="R4922">
        <v>107</v>
      </c>
      <c r="S4922">
        <v>6</v>
      </c>
      <c r="T4922">
        <v>7</v>
      </c>
      <c r="U4922">
        <v>14</v>
      </c>
      <c r="V4922">
        <v>21</v>
      </c>
      <c r="W4922">
        <v>46</v>
      </c>
      <c r="X4922">
        <v>29</v>
      </c>
      <c r="Y4922">
        <v>154</v>
      </c>
      <c r="Z4922">
        <v>3</v>
      </c>
      <c r="AA4922">
        <v>1</v>
      </c>
      <c r="AB4922">
        <v>0</v>
      </c>
      <c r="AC4922">
        <v>0</v>
      </c>
      <c r="AD4922">
        <v>0</v>
      </c>
      <c r="AE4922">
        <v>0</v>
      </c>
      <c r="AF4922">
        <v>0</v>
      </c>
      <c r="AG4922">
        <v>3</v>
      </c>
      <c r="AH4922">
        <v>0</v>
      </c>
      <c r="AI4922">
        <v>8</v>
      </c>
      <c r="AJ4922">
        <v>0</v>
      </c>
      <c r="AK4922">
        <v>1</v>
      </c>
      <c r="AL4922">
        <v>0</v>
      </c>
      <c r="AM4922">
        <v>0</v>
      </c>
      <c r="AN4922">
        <v>2</v>
      </c>
      <c r="AT4922">
        <v>0</v>
      </c>
      <c r="AU4922">
        <v>30</v>
      </c>
      <c r="AV4922">
        <v>436</v>
      </c>
      <c r="AW4922">
        <v>436</v>
      </c>
      <c r="AX4922">
        <v>666</v>
      </c>
      <c r="BA4922">
        <v>1</v>
      </c>
      <c r="BC4922" t="s">
        <v>9955</v>
      </c>
      <c r="BD4922" s="4">
        <v>43283.508356481485</v>
      </c>
      <c r="BE4922" s="4">
        <v>43283.512928240743</v>
      </c>
      <c r="BF4922" s="4">
        <v>43283.512928240743</v>
      </c>
      <c r="BG4922" t="s">
        <v>83</v>
      </c>
      <c r="BH4922" t="s">
        <v>84</v>
      </c>
      <c r="BI4922" t="s">
        <v>85</v>
      </c>
    </row>
    <row r="4923" spans="1:61" x14ac:dyDescent="0.3">
      <c r="A4923" t="str">
        <f>"201579E0100"</f>
        <v>201579E0100</v>
      </c>
      <c r="B4923" s="2" t="s">
        <v>9956</v>
      </c>
      <c r="C4923">
        <v>20</v>
      </c>
      <c r="D4923" t="s">
        <v>79</v>
      </c>
      <c r="E4923">
        <v>23</v>
      </c>
      <c r="F4923" t="s">
        <v>9720</v>
      </c>
      <c r="G4923">
        <v>1579</v>
      </c>
      <c r="H4923">
        <v>1</v>
      </c>
      <c r="I4923" t="s">
        <v>145</v>
      </c>
      <c r="J4923">
        <v>0</v>
      </c>
      <c r="K4923">
        <v>2</v>
      </c>
      <c r="L4923">
        <v>2</v>
      </c>
      <c r="M4923">
        <v>109</v>
      </c>
      <c r="N4923">
        <v>175</v>
      </c>
      <c r="O4923">
        <v>0</v>
      </c>
      <c r="P4923">
        <v>175</v>
      </c>
      <c r="Q4923">
        <v>0</v>
      </c>
      <c r="R4923">
        <v>27</v>
      </c>
      <c r="S4923">
        <v>2</v>
      </c>
      <c r="T4923">
        <v>1</v>
      </c>
      <c r="U4923">
        <v>4</v>
      </c>
      <c r="V4923">
        <v>3</v>
      </c>
      <c r="W4923">
        <v>64</v>
      </c>
      <c r="X4923">
        <v>10</v>
      </c>
      <c r="Y4923">
        <v>45</v>
      </c>
      <c r="Z4923">
        <v>2</v>
      </c>
      <c r="AA4923">
        <v>1</v>
      </c>
      <c r="AB4923">
        <v>1</v>
      </c>
      <c r="AC4923">
        <v>0</v>
      </c>
      <c r="AD4923">
        <v>0</v>
      </c>
      <c r="AE4923">
        <v>0</v>
      </c>
      <c r="AF4923">
        <v>0</v>
      </c>
      <c r="AG4923">
        <v>6</v>
      </c>
      <c r="AH4923">
        <v>0</v>
      </c>
      <c r="AI4923">
        <v>2</v>
      </c>
      <c r="AJ4923">
        <v>0</v>
      </c>
      <c r="AK4923">
        <v>0</v>
      </c>
      <c r="AL4923">
        <v>0</v>
      </c>
      <c r="AM4923">
        <v>0</v>
      </c>
      <c r="AN4923">
        <v>0</v>
      </c>
      <c r="AT4923">
        <v>0</v>
      </c>
      <c r="AU4923">
        <v>7</v>
      </c>
      <c r="AV4923">
        <v>175</v>
      </c>
      <c r="AW4923">
        <v>175</v>
      </c>
      <c r="AX4923">
        <v>262</v>
      </c>
      <c r="BA4923">
        <v>1</v>
      </c>
      <c r="BC4923" t="s">
        <v>9957</v>
      </c>
      <c r="BD4923" s="4">
        <v>43283.553900462961</v>
      </c>
      <c r="BE4923" s="4">
        <v>43283.557141203702</v>
      </c>
      <c r="BF4923" s="4">
        <v>43283.557141203702</v>
      </c>
      <c r="BG4923" t="s">
        <v>83</v>
      </c>
      <c r="BH4923" t="s">
        <v>84</v>
      </c>
      <c r="BI4923" t="s">
        <v>85</v>
      </c>
    </row>
    <row r="4924" spans="1:61" x14ac:dyDescent="0.3">
      <c r="A4924" t="str">
        <f>"201579E0200"</f>
        <v>201579E0200</v>
      </c>
      <c r="B4924" s="2" t="s">
        <v>9958</v>
      </c>
      <c r="C4924">
        <v>20</v>
      </c>
      <c r="D4924" t="s">
        <v>79</v>
      </c>
      <c r="E4924">
        <v>23</v>
      </c>
      <c r="F4924" t="s">
        <v>9720</v>
      </c>
      <c r="G4924">
        <v>1579</v>
      </c>
      <c r="H4924">
        <v>2</v>
      </c>
      <c r="I4924" t="s">
        <v>145</v>
      </c>
      <c r="J4924">
        <v>0</v>
      </c>
      <c r="K4924">
        <v>2</v>
      </c>
      <c r="L4924">
        <v>2</v>
      </c>
      <c r="M4924">
        <v>122</v>
      </c>
      <c r="N4924">
        <v>304</v>
      </c>
      <c r="O4924">
        <v>0</v>
      </c>
      <c r="P4924">
        <v>305</v>
      </c>
      <c r="Q4924">
        <v>1</v>
      </c>
      <c r="R4924">
        <v>131</v>
      </c>
      <c r="S4924">
        <v>2</v>
      </c>
      <c r="T4924">
        <v>5</v>
      </c>
      <c r="U4924">
        <v>2</v>
      </c>
      <c r="V4924">
        <v>5</v>
      </c>
      <c r="W4924">
        <v>21</v>
      </c>
      <c r="X4924">
        <v>5</v>
      </c>
      <c r="Y4924">
        <v>111</v>
      </c>
      <c r="Z4924">
        <v>4</v>
      </c>
      <c r="AA4924">
        <v>0</v>
      </c>
      <c r="AB4924">
        <v>1</v>
      </c>
      <c r="AC4924">
        <v>0</v>
      </c>
      <c r="AD4924">
        <v>0</v>
      </c>
      <c r="AE4924">
        <v>0</v>
      </c>
      <c r="AF4924">
        <v>0</v>
      </c>
      <c r="AG4924">
        <v>2</v>
      </c>
      <c r="AH4924">
        <v>4</v>
      </c>
      <c r="AI4924">
        <v>1</v>
      </c>
      <c r="AJ4924">
        <v>0</v>
      </c>
      <c r="AK4924">
        <v>2</v>
      </c>
      <c r="AL4924">
        <v>0</v>
      </c>
      <c r="AM4924">
        <v>0</v>
      </c>
      <c r="AN4924">
        <v>0</v>
      </c>
      <c r="AT4924">
        <v>0</v>
      </c>
      <c r="AU4924">
        <v>8</v>
      </c>
      <c r="AV4924">
        <v>305</v>
      </c>
      <c r="AW4924">
        <v>305</v>
      </c>
      <c r="AX4924">
        <v>405</v>
      </c>
      <c r="BA4924">
        <v>1</v>
      </c>
      <c r="BC4924" t="s">
        <v>9959</v>
      </c>
      <c r="BD4924" s="4">
        <v>43283.551678240743</v>
      </c>
      <c r="BE4924" s="4">
        <v>43283.554594907408</v>
      </c>
      <c r="BF4924" s="4">
        <v>43283.554594907408</v>
      </c>
      <c r="BG4924" t="s">
        <v>83</v>
      </c>
      <c r="BH4924" t="s">
        <v>84</v>
      </c>
      <c r="BI4924" t="s">
        <v>85</v>
      </c>
    </row>
    <row r="4925" spans="1:61" x14ac:dyDescent="0.3">
      <c r="A4925" t="str">
        <f>"201580B0100"</f>
        <v>201580B0100</v>
      </c>
      <c r="B4925" t="s">
        <v>9960</v>
      </c>
      <c r="C4925">
        <v>20</v>
      </c>
      <c r="D4925" t="s">
        <v>79</v>
      </c>
      <c r="E4925">
        <v>23</v>
      </c>
      <c r="F4925" t="s">
        <v>9720</v>
      </c>
      <c r="G4925">
        <v>1580</v>
      </c>
      <c r="H4925">
        <v>1</v>
      </c>
      <c r="I4925" t="s">
        <v>81</v>
      </c>
      <c r="J4925">
        <v>0</v>
      </c>
      <c r="K4925">
        <v>2</v>
      </c>
      <c r="L4925">
        <v>2</v>
      </c>
      <c r="M4925">
        <v>253</v>
      </c>
      <c r="N4925">
        <v>210</v>
      </c>
      <c r="O4925">
        <v>0</v>
      </c>
      <c r="P4925">
        <v>210</v>
      </c>
      <c r="Q4925">
        <v>2</v>
      </c>
      <c r="R4925">
        <v>74</v>
      </c>
      <c r="S4925">
        <v>5</v>
      </c>
      <c r="T4925">
        <v>4</v>
      </c>
      <c r="U4925">
        <v>4</v>
      </c>
      <c r="V4925">
        <v>4</v>
      </c>
      <c r="W4925">
        <v>6</v>
      </c>
      <c r="X4925">
        <v>13</v>
      </c>
      <c r="Y4925">
        <v>52</v>
      </c>
      <c r="Z4925">
        <v>5</v>
      </c>
      <c r="AA4925">
        <v>1</v>
      </c>
      <c r="AB4925">
        <v>1</v>
      </c>
      <c r="AC4925">
        <v>0</v>
      </c>
      <c r="AD4925">
        <v>0</v>
      </c>
      <c r="AE4925">
        <v>0</v>
      </c>
      <c r="AF4925">
        <v>0</v>
      </c>
      <c r="AG4925">
        <v>0</v>
      </c>
      <c r="AH4925">
        <v>1</v>
      </c>
      <c r="AI4925">
        <v>2</v>
      </c>
      <c r="AJ4925">
        <v>0</v>
      </c>
      <c r="AK4925">
        <v>2</v>
      </c>
      <c r="AL4925">
        <v>0</v>
      </c>
      <c r="AM4925">
        <v>1</v>
      </c>
      <c r="AN4925">
        <v>1</v>
      </c>
      <c r="AT4925">
        <v>0</v>
      </c>
      <c r="AU4925">
        <v>20</v>
      </c>
      <c r="AV4925">
        <v>209</v>
      </c>
      <c r="AW4925">
        <v>198</v>
      </c>
      <c r="AX4925">
        <v>441</v>
      </c>
      <c r="BA4925">
        <v>1</v>
      </c>
      <c r="BC4925" t="s">
        <v>9961</v>
      </c>
      <c r="BD4925" s="4">
        <v>43283.512372685182</v>
      </c>
      <c r="BE4925" s="4">
        <v>43283.515879629631</v>
      </c>
      <c r="BF4925" s="4">
        <v>43283.515879629631</v>
      </c>
      <c r="BG4925" t="s">
        <v>83</v>
      </c>
      <c r="BH4925" t="s">
        <v>84</v>
      </c>
      <c r="BI4925" t="s">
        <v>85</v>
      </c>
    </row>
    <row r="4926" spans="1:61" x14ac:dyDescent="0.3">
      <c r="A4926" t="str">
        <f>"201580C0100"</f>
        <v>201580C0100</v>
      </c>
      <c r="B4926" t="s">
        <v>9962</v>
      </c>
      <c r="C4926">
        <v>20</v>
      </c>
      <c r="D4926" t="s">
        <v>79</v>
      </c>
      <c r="E4926">
        <v>23</v>
      </c>
      <c r="F4926" t="s">
        <v>9720</v>
      </c>
      <c r="G4926">
        <v>1580</v>
      </c>
      <c r="H4926">
        <v>1</v>
      </c>
      <c r="I4926" t="s">
        <v>89</v>
      </c>
      <c r="J4926">
        <v>0</v>
      </c>
      <c r="K4926">
        <v>2</v>
      </c>
      <c r="L4926">
        <v>2</v>
      </c>
      <c r="M4926">
        <v>247</v>
      </c>
      <c r="N4926">
        <v>216</v>
      </c>
      <c r="O4926">
        <v>0</v>
      </c>
      <c r="P4926">
        <v>216</v>
      </c>
      <c r="Q4926">
        <v>5</v>
      </c>
      <c r="R4926">
        <v>67</v>
      </c>
      <c r="S4926">
        <v>7</v>
      </c>
      <c r="T4926">
        <v>0</v>
      </c>
      <c r="U4926">
        <v>6</v>
      </c>
      <c r="V4926">
        <v>0</v>
      </c>
      <c r="W4926">
        <v>23</v>
      </c>
      <c r="X4926">
        <v>12</v>
      </c>
      <c r="Y4926">
        <v>54</v>
      </c>
      <c r="Z4926">
        <v>4</v>
      </c>
      <c r="AA4926">
        <v>0</v>
      </c>
      <c r="AB4926">
        <v>2</v>
      </c>
      <c r="AC4926">
        <v>0</v>
      </c>
      <c r="AD4926">
        <v>1</v>
      </c>
      <c r="AE4926">
        <v>0</v>
      </c>
      <c r="AF4926">
        <v>0</v>
      </c>
      <c r="AG4926">
        <v>2</v>
      </c>
      <c r="AH4926">
        <v>1</v>
      </c>
      <c r="AI4926">
        <v>3</v>
      </c>
      <c r="AJ4926">
        <v>1</v>
      </c>
      <c r="AK4926">
        <v>5</v>
      </c>
      <c r="AL4926">
        <v>1</v>
      </c>
      <c r="AM4926">
        <v>0</v>
      </c>
      <c r="AN4926">
        <v>1</v>
      </c>
      <c r="AT4926" t="s">
        <v>100</v>
      </c>
      <c r="AU4926">
        <v>21</v>
      </c>
      <c r="AV4926">
        <v>216</v>
      </c>
      <c r="AW4926">
        <v>216</v>
      </c>
      <c r="AX4926">
        <v>441</v>
      </c>
      <c r="AZ4926" t="s">
        <v>101</v>
      </c>
      <c r="BA4926">
        <v>1</v>
      </c>
      <c r="BC4926" t="s">
        <v>9963</v>
      </c>
      <c r="BD4926" s="4">
        <v>43283.507453703707</v>
      </c>
      <c r="BE4926" s="4">
        <v>43283.511099537034</v>
      </c>
      <c r="BF4926" s="4">
        <v>43283.511099537034</v>
      </c>
      <c r="BG4926" t="s">
        <v>83</v>
      </c>
      <c r="BH4926" t="s">
        <v>84</v>
      </c>
      <c r="BI4926" t="s">
        <v>85</v>
      </c>
    </row>
    <row r="4927" spans="1:61" x14ac:dyDescent="0.3">
      <c r="A4927" t="str">
        <f>"201580E0100"</f>
        <v>201580E0100</v>
      </c>
      <c r="B4927" s="2" t="s">
        <v>9964</v>
      </c>
      <c r="C4927">
        <v>20</v>
      </c>
      <c r="D4927" t="s">
        <v>79</v>
      </c>
      <c r="E4927">
        <v>23</v>
      </c>
      <c r="F4927" t="s">
        <v>9720</v>
      </c>
      <c r="G4927">
        <v>1580</v>
      </c>
      <c r="H4927">
        <v>1</v>
      </c>
      <c r="I4927" t="s">
        <v>145</v>
      </c>
      <c r="J4927">
        <v>0</v>
      </c>
      <c r="K4927">
        <v>2</v>
      </c>
      <c r="L4927">
        <v>2</v>
      </c>
      <c r="M4927">
        <v>166</v>
      </c>
      <c r="N4927">
        <v>321</v>
      </c>
      <c r="O4927">
        <v>0</v>
      </c>
      <c r="P4927">
        <v>321</v>
      </c>
      <c r="Q4927">
        <v>10</v>
      </c>
      <c r="R4927">
        <v>77</v>
      </c>
      <c r="S4927">
        <v>6</v>
      </c>
      <c r="T4927">
        <v>5</v>
      </c>
      <c r="U4927">
        <v>13</v>
      </c>
      <c r="V4927">
        <v>16</v>
      </c>
      <c r="W4927">
        <v>28</v>
      </c>
      <c r="X4927">
        <v>6</v>
      </c>
      <c r="Y4927">
        <v>118</v>
      </c>
      <c r="Z4927">
        <v>1</v>
      </c>
      <c r="AA4927">
        <v>0</v>
      </c>
      <c r="AB4927">
        <v>1</v>
      </c>
      <c r="AC4927">
        <v>1</v>
      </c>
      <c r="AD4927">
        <v>0</v>
      </c>
      <c r="AE4927">
        <v>0</v>
      </c>
      <c r="AF4927">
        <v>0</v>
      </c>
      <c r="AG4927">
        <v>0</v>
      </c>
      <c r="AH4927">
        <v>3</v>
      </c>
      <c r="AI4927">
        <v>1</v>
      </c>
      <c r="AJ4927">
        <v>3</v>
      </c>
      <c r="AK4927">
        <v>3</v>
      </c>
      <c r="AL4927">
        <v>0</v>
      </c>
      <c r="AM4927">
        <v>0</v>
      </c>
      <c r="AN4927">
        <v>2</v>
      </c>
      <c r="AT4927">
        <v>11</v>
      </c>
      <c r="AU4927" t="s">
        <v>100</v>
      </c>
      <c r="AV4927" t="s">
        <v>100</v>
      </c>
      <c r="AW4927">
        <v>305</v>
      </c>
      <c r="AX4927">
        <v>465</v>
      </c>
      <c r="AZ4927" t="s">
        <v>101</v>
      </c>
      <c r="BA4927">
        <v>1</v>
      </c>
      <c r="BC4927" t="s">
        <v>9965</v>
      </c>
      <c r="BD4927" s="4">
        <v>43283.181250000001</v>
      </c>
      <c r="BE4927" s="4">
        <v>43283.200057870374</v>
      </c>
      <c r="BF4927" s="4">
        <v>43283.200057870374</v>
      </c>
      <c r="BG4927" t="s">
        <v>83</v>
      </c>
      <c r="BH4927" t="s">
        <v>84</v>
      </c>
      <c r="BI4927" t="s">
        <v>85</v>
      </c>
    </row>
    <row r="4928" spans="1:61" x14ac:dyDescent="0.3">
      <c r="A4928" t="str">
        <f>"201581B0100"</f>
        <v>201581B0100</v>
      </c>
      <c r="B4928" t="s">
        <v>9966</v>
      </c>
      <c r="C4928">
        <v>20</v>
      </c>
      <c r="D4928" t="s">
        <v>79</v>
      </c>
      <c r="E4928">
        <v>23</v>
      </c>
      <c r="F4928" t="s">
        <v>9720</v>
      </c>
      <c r="G4928">
        <v>1581</v>
      </c>
      <c r="H4928">
        <v>1</v>
      </c>
      <c r="I4928" t="s">
        <v>81</v>
      </c>
      <c r="J4928">
        <v>0</v>
      </c>
      <c r="K4928">
        <v>2</v>
      </c>
      <c r="L4928">
        <v>2</v>
      </c>
      <c r="M4928">
        <v>297</v>
      </c>
      <c r="N4928">
        <v>431</v>
      </c>
      <c r="O4928">
        <v>0</v>
      </c>
      <c r="P4928">
        <v>431</v>
      </c>
      <c r="Q4928">
        <v>7</v>
      </c>
      <c r="R4928">
        <v>75</v>
      </c>
      <c r="S4928">
        <v>8</v>
      </c>
      <c r="T4928">
        <v>6</v>
      </c>
      <c r="U4928">
        <v>14</v>
      </c>
      <c r="V4928">
        <v>6</v>
      </c>
      <c r="W4928">
        <v>58</v>
      </c>
      <c r="X4928">
        <v>26</v>
      </c>
      <c r="Y4928">
        <v>186</v>
      </c>
      <c r="Z4928">
        <v>6</v>
      </c>
      <c r="AA4928">
        <v>3</v>
      </c>
      <c r="AB4928">
        <v>1</v>
      </c>
      <c r="AC4928">
        <v>0</v>
      </c>
      <c r="AD4928">
        <v>0</v>
      </c>
      <c r="AE4928">
        <v>0</v>
      </c>
      <c r="AF4928">
        <v>0</v>
      </c>
      <c r="AG4928">
        <v>2</v>
      </c>
      <c r="AH4928">
        <v>0</v>
      </c>
      <c r="AI4928">
        <v>3</v>
      </c>
      <c r="AJ4928">
        <v>0</v>
      </c>
      <c r="AK4928">
        <v>5</v>
      </c>
      <c r="AL4928">
        <v>0</v>
      </c>
      <c r="AM4928">
        <v>0</v>
      </c>
      <c r="AN4928">
        <v>2</v>
      </c>
      <c r="AT4928">
        <v>0</v>
      </c>
      <c r="AU4928">
        <v>24</v>
      </c>
      <c r="AV4928">
        <v>432</v>
      </c>
      <c r="AW4928">
        <v>432</v>
      </c>
      <c r="AX4928">
        <v>707</v>
      </c>
      <c r="BA4928">
        <v>1</v>
      </c>
      <c r="BC4928" t="s">
        <v>9967</v>
      </c>
      <c r="BD4928" s="4">
        <v>43283.482800925929</v>
      </c>
      <c r="BE4928" s="4">
        <v>43283.486932870372</v>
      </c>
      <c r="BF4928" s="4">
        <v>43283.486932870372</v>
      </c>
      <c r="BG4928" t="s">
        <v>83</v>
      </c>
      <c r="BH4928" t="s">
        <v>84</v>
      </c>
      <c r="BI4928" t="s">
        <v>85</v>
      </c>
    </row>
    <row r="4929" spans="1:61" x14ac:dyDescent="0.3">
      <c r="A4929" t="str">
        <f>"201581C0100"</f>
        <v>201581C0100</v>
      </c>
      <c r="B4929" t="s">
        <v>9968</v>
      </c>
      <c r="C4929">
        <v>20</v>
      </c>
      <c r="D4929" t="s">
        <v>79</v>
      </c>
      <c r="E4929">
        <v>23</v>
      </c>
      <c r="F4929" t="s">
        <v>9720</v>
      </c>
      <c r="G4929">
        <v>1581</v>
      </c>
      <c r="H4929">
        <v>1</v>
      </c>
      <c r="I4929" t="s">
        <v>89</v>
      </c>
      <c r="J4929">
        <v>0</v>
      </c>
      <c r="K4929">
        <v>2</v>
      </c>
      <c r="L4929">
        <v>2</v>
      </c>
      <c r="M4929">
        <v>327</v>
      </c>
      <c r="N4929">
        <v>402</v>
      </c>
      <c r="O4929">
        <v>0</v>
      </c>
      <c r="P4929">
        <v>402</v>
      </c>
      <c r="Q4929">
        <v>10</v>
      </c>
      <c r="R4929">
        <v>86</v>
      </c>
      <c r="S4929">
        <v>12</v>
      </c>
      <c r="T4929">
        <v>5</v>
      </c>
      <c r="U4929">
        <v>10</v>
      </c>
      <c r="V4929">
        <v>9</v>
      </c>
      <c r="W4929">
        <v>47</v>
      </c>
      <c r="X4929">
        <v>14</v>
      </c>
      <c r="Y4929">
        <v>153</v>
      </c>
      <c r="Z4929">
        <v>2</v>
      </c>
      <c r="AA4929">
        <v>0</v>
      </c>
      <c r="AB4929">
        <v>4</v>
      </c>
      <c r="AC4929">
        <v>1</v>
      </c>
      <c r="AD4929">
        <v>0</v>
      </c>
      <c r="AE4929">
        <v>0</v>
      </c>
      <c r="AF4929">
        <v>0</v>
      </c>
      <c r="AG4929">
        <v>4</v>
      </c>
      <c r="AH4929">
        <v>6</v>
      </c>
      <c r="AI4929">
        <v>1</v>
      </c>
      <c r="AJ4929">
        <v>0</v>
      </c>
      <c r="AK4929">
        <v>6</v>
      </c>
      <c r="AL4929">
        <v>1</v>
      </c>
      <c r="AM4929">
        <v>0</v>
      </c>
      <c r="AN4929">
        <v>1</v>
      </c>
      <c r="AT4929">
        <v>0</v>
      </c>
      <c r="AU4929">
        <v>30</v>
      </c>
      <c r="AV4929">
        <v>402</v>
      </c>
      <c r="AW4929">
        <v>402</v>
      </c>
      <c r="AX4929">
        <v>707</v>
      </c>
      <c r="BA4929">
        <v>1</v>
      </c>
      <c r="BC4929" t="s">
        <v>9969</v>
      </c>
      <c r="BD4929" s="4">
        <v>43283.484884259262</v>
      </c>
      <c r="BE4929" s="4">
        <v>43283.489722222221</v>
      </c>
      <c r="BF4929" s="4">
        <v>43283.489722222221</v>
      </c>
      <c r="BG4929" t="s">
        <v>83</v>
      </c>
      <c r="BH4929" t="s">
        <v>84</v>
      </c>
      <c r="BI4929" t="s">
        <v>85</v>
      </c>
    </row>
    <row r="4930" spans="1:61" x14ac:dyDescent="0.3">
      <c r="A4930" t="str">
        <f>"201582B0100"</f>
        <v>201582B0100</v>
      </c>
      <c r="B4930" t="s">
        <v>9970</v>
      </c>
      <c r="C4930">
        <v>20</v>
      </c>
      <c r="D4930" t="s">
        <v>79</v>
      </c>
      <c r="E4930">
        <v>23</v>
      </c>
      <c r="F4930" t="s">
        <v>9720</v>
      </c>
      <c r="G4930">
        <v>1582</v>
      </c>
      <c r="H4930">
        <v>1</v>
      </c>
      <c r="I4930" t="s">
        <v>81</v>
      </c>
      <c r="J4930">
        <v>0</v>
      </c>
      <c r="K4930">
        <v>2</v>
      </c>
      <c r="L4930">
        <v>2</v>
      </c>
      <c r="M4930">
        <v>219</v>
      </c>
      <c r="N4930">
        <v>220</v>
      </c>
      <c r="O4930">
        <v>0</v>
      </c>
      <c r="P4930">
        <v>0</v>
      </c>
      <c r="Q4930">
        <v>4</v>
      </c>
      <c r="R4930">
        <v>50</v>
      </c>
      <c r="S4930">
        <v>9</v>
      </c>
      <c r="T4930">
        <v>5</v>
      </c>
      <c r="U4930">
        <v>5</v>
      </c>
      <c r="V4930">
        <v>7</v>
      </c>
      <c r="W4930">
        <v>22</v>
      </c>
      <c r="X4930">
        <v>8</v>
      </c>
      <c r="Y4930">
        <v>71</v>
      </c>
      <c r="Z4930">
        <v>5</v>
      </c>
      <c r="AA4930">
        <v>0</v>
      </c>
      <c r="AB4930">
        <v>1</v>
      </c>
      <c r="AC4930">
        <v>0</v>
      </c>
      <c r="AD4930">
        <v>1</v>
      </c>
      <c r="AE4930">
        <v>0</v>
      </c>
      <c r="AF4930">
        <v>1</v>
      </c>
      <c r="AG4930">
        <v>0</v>
      </c>
      <c r="AH4930">
        <v>1</v>
      </c>
      <c r="AI4930">
        <v>2</v>
      </c>
      <c r="AJ4930">
        <v>0</v>
      </c>
      <c r="AK4930">
        <v>1</v>
      </c>
      <c r="AL4930">
        <v>0</v>
      </c>
      <c r="AM4930">
        <v>0</v>
      </c>
      <c r="AN4930">
        <v>4</v>
      </c>
      <c r="AT4930">
        <v>0</v>
      </c>
      <c r="AU4930">
        <v>23</v>
      </c>
      <c r="AV4930">
        <v>220</v>
      </c>
      <c r="AW4930">
        <v>220</v>
      </c>
      <c r="AX4930">
        <v>420</v>
      </c>
      <c r="BA4930">
        <v>1</v>
      </c>
      <c r="BC4930" t="s">
        <v>9971</v>
      </c>
      <c r="BD4930" s="4">
        <v>43283.296527777777</v>
      </c>
      <c r="BE4930" s="4">
        <v>43283.325567129628</v>
      </c>
      <c r="BF4930" s="4">
        <v>43283.325567129628</v>
      </c>
      <c r="BG4930" t="s">
        <v>83</v>
      </c>
      <c r="BH4930" t="s">
        <v>84</v>
      </c>
      <c r="BI4930" t="s">
        <v>85</v>
      </c>
    </row>
    <row r="4931" spans="1:61" x14ac:dyDescent="0.3">
      <c r="A4931" t="str">
        <f>"201582C0100"</f>
        <v>201582C0100</v>
      </c>
      <c r="B4931" t="s">
        <v>9972</v>
      </c>
      <c r="C4931">
        <v>20</v>
      </c>
      <c r="D4931" t="s">
        <v>79</v>
      </c>
      <c r="E4931">
        <v>23</v>
      </c>
      <c r="F4931" t="s">
        <v>9720</v>
      </c>
      <c r="G4931">
        <v>1582</v>
      </c>
      <c r="H4931">
        <v>1</v>
      </c>
      <c r="I4931" t="s">
        <v>89</v>
      </c>
      <c r="J4931">
        <v>0</v>
      </c>
      <c r="K4931">
        <v>2</v>
      </c>
      <c r="L4931">
        <v>2</v>
      </c>
      <c r="M4931">
        <v>202</v>
      </c>
      <c r="N4931">
        <v>239</v>
      </c>
      <c r="O4931">
        <v>1</v>
      </c>
      <c r="P4931">
        <v>239</v>
      </c>
      <c r="Q4931">
        <v>6</v>
      </c>
      <c r="R4931">
        <v>45</v>
      </c>
      <c r="S4931">
        <v>2</v>
      </c>
      <c r="T4931">
        <v>5</v>
      </c>
      <c r="U4931">
        <v>6</v>
      </c>
      <c r="V4931">
        <v>8</v>
      </c>
      <c r="W4931">
        <v>31</v>
      </c>
      <c r="X4931">
        <v>18</v>
      </c>
      <c r="Y4931">
        <v>84</v>
      </c>
      <c r="Z4931">
        <v>11</v>
      </c>
      <c r="AA4931">
        <v>0</v>
      </c>
      <c r="AB4931">
        <v>0</v>
      </c>
      <c r="AC4931">
        <v>0</v>
      </c>
      <c r="AD4931">
        <v>0</v>
      </c>
      <c r="AE4931">
        <v>0</v>
      </c>
      <c r="AF4931">
        <v>0</v>
      </c>
      <c r="AG4931">
        <v>2</v>
      </c>
      <c r="AH4931">
        <v>0</v>
      </c>
      <c r="AI4931">
        <v>2</v>
      </c>
      <c r="AJ4931">
        <v>1</v>
      </c>
      <c r="AK4931">
        <v>1</v>
      </c>
      <c r="AL4931">
        <v>1</v>
      </c>
      <c r="AM4931">
        <v>0</v>
      </c>
      <c r="AN4931">
        <v>2</v>
      </c>
      <c r="AT4931">
        <v>0</v>
      </c>
      <c r="AU4931">
        <v>15</v>
      </c>
      <c r="AV4931">
        <v>240</v>
      </c>
      <c r="AW4931">
        <v>240</v>
      </c>
      <c r="AX4931">
        <v>419</v>
      </c>
      <c r="BA4931">
        <v>1</v>
      </c>
      <c r="BC4931" t="s">
        <v>9973</v>
      </c>
      <c r="BD4931" s="4">
        <v>43283.506493055553</v>
      </c>
      <c r="BE4931" s="4">
        <v>43283.509236111109</v>
      </c>
      <c r="BF4931" s="4">
        <v>43283.509236111109</v>
      </c>
      <c r="BG4931" t="s">
        <v>83</v>
      </c>
      <c r="BH4931" t="s">
        <v>84</v>
      </c>
      <c r="BI4931" t="s">
        <v>85</v>
      </c>
    </row>
    <row r="4932" spans="1:61" x14ac:dyDescent="0.3">
      <c r="A4932" t="str">
        <f>"201583B0100"</f>
        <v>201583B0100</v>
      </c>
      <c r="B4932" t="s">
        <v>9974</v>
      </c>
      <c r="C4932">
        <v>20</v>
      </c>
      <c r="D4932" t="s">
        <v>79</v>
      </c>
      <c r="E4932">
        <v>23</v>
      </c>
      <c r="F4932" t="s">
        <v>9720</v>
      </c>
      <c r="G4932">
        <v>1583</v>
      </c>
      <c r="H4932">
        <v>1</v>
      </c>
      <c r="I4932" t="s">
        <v>81</v>
      </c>
      <c r="J4932">
        <v>0</v>
      </c>
      <c r="K4932">
        <v>2</v>
      </c>
      <c r="L4932">
        <v>2</v>
      </c>
      <c r="M4932">
        <v>201</v>
      </c>
      <c r="N4932">
        <v>348</v>
      </c>
      <c r="O4932">
        <v>1</v>
      </c>
      <c r="P4932">
        <v>347</v>
      </c>
      <c r="Q4932">
        <v>4</v>
      </c>
      <c r="R4932">
        <v>97</v>
      </c>
      <c r="S4932">
        <v>5</v>
      </c>
      <c r="T4932">
        <v>1</v>
      </c>
      <c r="U4932">
        <v>12</v>
      </c>
      <c r="V4932">
        <v>8</v>
      </c>
      <c r="W4932">
        <v>59</v>
      </c>
      <c r="X4932">
        <v>19</v>
      </c>
      <c r="Y4932">
        <v>107</v>
      </c>
      <c r="Z4932">
        <v>0</v>
      </c>
      <c r="AA4932">
        <v>1</v>
      </c>
      <c r="AB4932">
        <v>1</v>
      </c>
      <c r="AC4932">
        <v>1</v>
      </c>
      <c r="AD4932">
        <v>0</v>
      </c>
      <c r="AE4932">
        <v>0</v>
      </c>
      <c r="AF4932">
        <v>0</v>
      </c>
      <c r="AG4932">
        <v>1</v>
      </c>
      <c r="AH4932">
        <v>0</v>
      </c>
      <c r="AI4932">
        <v>2</v>
      </c>
      <c r="AJ4932">
        <v>0</v>
      </c>
      <c r="AK4932">
        <v>2</v>
      </c>
      <c r="AL4932">
        <v>0</v>
      </c>
      <c r="AM4932">
        <v>0</v>
      </c>
      <c r="AN4932">
        <v>2</v>
      </c>
      <c r="AT4932">
        <v>0</v>
      </c>
      <c r="AU4932">
        <v>25</v>
      </c>
      <c r="AV4932" t="s">
        <v>100</v>
      </c>
      <c r="AW4932">
        <v>347</v>
      </c>
      <c r="AX4932">
        <v>528</v>
      </c>
      <c r="BA4932">
        <v>1</v>
      </c>
      <c r="BC4932" t="s">
        <v>9975</v>
      </c>
      <c r="BD4932" s="4">
        <v>43283.505069444444</v>
      </c>
      <c r="BE4932" s="4">
        <v>43283.509479166663</v>
      </c>
      <c r="BF4932" s="4">
        <v>43283.509479166663</v>
      </c>
      <c r="BG4932" t="s">
        <v>83</v>
      </c>
      <c r="BH4932" t="s">
        <v>84</v>
      </c>
      <c r="BI4932" t="s">
        <v>85</v>
      </c>
    </row>
    <row r="4933" spans="1:61" x14ac:dyDescent="0.3">
      <c r="A4933" t="str">
        <f>"201583C0100"</f>
        <v>201583C0100</v>
      </c>
      <c r="B4933" t="s">
        <v>9976</v>
      </c>
      <c r="C4933">
        <v>20</v>
      </c>
      <c r="D4933" t="s">
        <v>79</v>
      </c>
      <c r="E4933">
        <v>23</v>
      </c>
      <c r="F4933" t="s">
        <v>9720</v>
      </c>
      <c r="G4933">
        <v>1583</v>
      </c>
      <c r="H4933">
        <v>1</v>
      </c>
      <c r="I4933" t="s">
        <v>89</v>
      </c>
      <c r="J4933">
        <v>0</v>
      </c>
      <c r="K4933">
        <v>2</v>
      </c>
      <c r="L4933">
        <v>2</v>
      </c>
      <c r="AX4933">
        <v>527</v>
      </c>
      <c r="AZ4933" t="s">
        <v>1868</v>
      </c>
      <c r="BA4933">
        <v>0</v>
      </c>
      <c r="BC4933" t="s">
        <v>9977</v>
      </c>
      <c r="BD4933" s="4">
        <v>43283.504212962966</v>
      </c>
      <c r="BE4933" s="4">
        <v>43283.508773148147</v>
      </c>
      <c r="BF4933" s="4">
        <v>43283.508773148147</v>
      </c>
      <c r="BG4933" t="s">
        <v>83</v>
      </c>
      <c r="BH4933" t="s">
        <v>84</v>
      </c>
      <c r="BI4933" t="s">
        <v>85</v>
      </c>
    </row>
    <row r="4934" spans="1:61" x14ac:dyDescent="0.3">
      <c r="A4934" t="str">
        <f>"201583E0100"</f>
        <v>201583E0100</v>
      </c>
      <c r="B4934" s="2" t="s">
        <v>9978</v>
      </c>
      <c r="C4934">
        <v>20</v>
      </c>
      <c r="D4934" t="s">
        <v>79</v>
      </c>
      <c r="E4934">
        <v>23</v>
      </c>
      <c r="F4934" t="s">
        <v>9720</v>
      </c>
      <c r="G4934">
        <v>1583</v>
      </c>
      <c r="H4934">
        <v>1</v>
      </c>
      <c r="I4934" t="s">
        <v>145</v>
      </c>
      <c r="J4934">
        <v>0</v>
      </c>
      <c r="K4934">
        <v>2</v>
      </c>
      <c r="L4934">
        <v>2</v>
      </c>
      <c r="M4934">
        <v>115</v>
      </c>
      <c r="N4934">
        <v>244</v>
      </c>
      <c r="O4934">
        <v>1</v>
      </c>
      <c r="P4934">
        <v>244</v>
      </c>
      <c r="Q4934">
        <v>6</v>
      </c>
      <c r="R4934">
        <v>56</v>
      </c>
      <c r="S4934">
        <v>9</v>
      </c>
      <c r="T4934" t="s">
        <v>315</v>
      </c>
      <c r="U4934">
        <v>4</v>
      </c>
      <c r="V4934">
        <v>19</v>
      </c>
      <c r="W4934">
        <v>19</v>
      </c>
      <c r="X4934">
        <v>8</v>
      </c>
      <c r="Y4934">
        <v>83</v>
      </c>
      <c r="Z4934">
        <v>10</v>
      </c>
      <c r="AA4934" t="s">
        <v>100</v>
      </c>
      <c r="AB4934">
        <v>1</v>
      </c>
      <c r="AC4934" t="s">
        <v>100</v>
      </c>
      <c r="AD4934" t="s">
        <v>100</v>
      </c>
      <c r="AE4934" t="s">
        <v>100</v>
      </c>
      <c r="AF4934" t="s">
        <v>100</v>
      </c>
      <c r="AG4934">
        <v>6</v>
      </c>
      <c r="AH4934" t="s">
        <v>100</v>
      </c>
      <c r="AI4934">
        <v>2</v>
      </c>
      <c r="AJ4934" t="s">
        <v>100</v>
      </c>
      <c r="AK4934">
        <v>3</v>
      </c>
      <c r="AL4934">
        <v>1</v>
      </c>
      <c r="AM4934" t="s">
        <v>100</v>
      </c>
      <c r="AN4934">
        <v>1</v>
      </c>
      <c r="AT4934" t="s">
        <v>100</v>
      </c>
      <c r="AU4934">
        <v>16</v>
      </c>
      <c r="AV4934">
        <v>244</v>
      </c>
      <c r="AW4934">
        <v>244</v>
      </c>
      <c r="AX4934">
        <v>337</v>
      </c>
      <c r="AZ4934" t="s">
        <v>101</v>
      </c>
      <c r="BA4934">
        <v>1</v>
      </c>
      <c r="BC4934" t="s">
        <v>9979</v>
      </c>
      <c r="BD4934" s="4">
        <v>43283.503125000003</v>
      </c>
      <c r="BE4934" s="4">
        <v>43283.507314814815</v>
      </c>
      <c r="BF4934" s="4">
        <v>43283.507314814815</v>
      </c>
      <c r="BG4934" t="s">
        <v>83</v>
      </c>
      <c r="BH4934" t="s">
        <v>84</v>
      </c>
      <c r="BI4934" t="s">
        <v>85</v>
      </c>
    </row>
    <row r="4935" spans="1:61" x14ac:dyDescent="0.3">
      <c r="A4935" t="str">
        <f>"201584B0100"</f>
        <v>201584B0100</v>
      </c>
      <c r="B4935" t="s">
        <v>9980</v>
      </c>
      <c r="C4935">
        <v>20</v>
      </c>
      <c r="D4935" t="s">
        <v>79</v>
      </c>
      <c r="E4935">
        <v>23</v>
      </c>
      <c r="F4935" t="s">
        <v>9720</v>
      </c>
      <c r="G4935">
        <v>1584</v>
      </c>
      <c r="H4935">
        <v>1</v>
      </c>
      <c r="I4935" t="s">
        <v>81</v>
      </c>
      <c r="J4935">
        <v>0</v>
      </c>
      <c r="K4935">
        <v>2</v>
      </c>
      <c r="L4935">
        <v>2</v>
      </c>
      <c r="M4935">
        <v>216</v>
      </c>
      <c r="N4935">
        <v>392</v>
      </c>
      <c r="O4935">
        <v>0</v>
      </c>
      <c r="P4935" t="s">
        <v>100</v>
      </c>
      <c r="Q4935">
        <v>14</v>
      </c>
      <c r="R4935">
        <v>64</v>
      </c>
      <c r="S4935">
        <v>5</v>
      </c>
      <c r="T4935">
        <v>6</v>
      </c>
      <c r="U4935">
        <v>14</v>
      </c>
      <c r="V4935">
        <v>15</v>
      </c>
      <c r="W4935">
        <v>28</v>
      </c>
      <c r="X4935">
        <v>8</v>
      </c>
      <c r="Y4935">
        <v>195</v>
      </c>
      <c r="Z4935">
        <v>9</v>
      </c>
      <c r="AA4935">
        <v>0</v>
      </c>
      <c r="AB4935">
        <v>1</v>
      </c>
      <c r="AC4935">
        <v>0</v>
      </c>
      <c r="AD4935">
        <v>0</v>
      </c>
      <c r="AE4935">
        <v>0</v>
      </c>
      <c r="AF4935">
        <v>0</v>
      </c>
      <c r="AG4935">
        <v>3</v>
      </c>
      <c r="AH4935">
        <v>0</v>
      </c>
      <c r="AI4935">
        <v>3</v>
      </c>
      <c r="AJ4935">
        <v>0</v>
      </c>
      <c r="AK4935">
        <v>3</v>
      </c>
      <c r="AL4935">
        <v>0</v>
      </c>
      <c r="AM4935">
        <v>1</v>
      </c>
      <c r="AN4935">
        <v>3</v>
      </c>
      <c r="AT4935">
        <v>0</v>
      </c>
      <c r="AU4935">
        <v>17</v>
      </c>
      <c r="AV4935">
        <v>390</v>
      </c>
      <c r="AW4935">
        <v>389</v>
      </c>
      <c r="AX4935">
        <v>586</v>
      </c>
      <c r="BA4935">
        <v>1</v>
      </c>
      <c r="BC4935" t="s">
        <v>9981</v>
      </c>
      <c r="BD4935" s="4">
        <v>43283.484444444446</v>
      </c>
      <c r="BE4935" s="4">
        <v>43283.488298611112</v>
      </c>
      <c r="BF4935" s="4">
        <v>43283.488298611112</v>
      </c>
      <c r="BG4935" t="s">
        <v>83</v>
      </c>
      <c r="BH4935" t="s">
        <v>84</v>
      </c>
      <c r="BI4935" t="s">
        <v>85</v>
      </c>
    </row>
    <row r="4936" spans="1:61" x14ac:dyDescent="0.3">
      <c r="A4936" t="str">
        <f>"201584C0100"</f>
        <v>201584C0100</v>
      </c>
      <c r="B4936" t="s">
        <v>9982</v>
      </c>
      <c r="C4936">
        <v>20</v>
      </c>
      <c r="D4936" t="s">
        <v>79</v>
      </c>
      <c r="E4936">
        <v>23</v>
      </c>
      <c r="F4936" t="s">
        <v>9720</v>
      </c>
      <c r="G4936">
        <v>1584</v>
      </c>
      <c r="H4936">
        <v>1</v>
      </c>
      <c r="I4936" t="s">
        <v>89</v>
      </c>
      <c r="J4936">
        <v>0</v>
      </c>
      <c r="K4936">
        <v>2</v>
      </c>
      <c r="L4936">
        <v>2</v>
      </c>
      <c r="M4936">
        <v>230</v>
      </c>
      <c r="N4936">
        <v>378</v>
      </c>
      <c r="O4936">
        <v>0</v>
      </c>
      <c r="P4936">
        <v>378</v>
      </c>
      <c r="Q4936">
        <v>7</v>
      </c>
      <c r="R4936">
        <v>64</v>
      </c>
      <c r="S4936">
        <v>5</v>
      </c>
      <c r="T4936">
        <v>6</v>
      </c>
      <c r="U4936">
        <v>10</v>
      </c>
      <c r="V4936">
        <v>21</v>
      </c>
      <c r="W4936">
        <v>26</v>
      </c>
      <c r="X4936">
        <v>11</v>
      </c>
      <c r="Y4936">
        <v>168</v>
      </c>
      <c r="Z4936">
        <v>15</v>
      </c>
      <c r="AA4936">
        <v>1</v>
      </c>
      <c r="AB4936">
        <v>1</v>
      </c>
      <c r="AC4936">
        <v>2</v>
      </c>
      <c r="AD4936">
        <v>0</v>
      </c>
      <c r="AE4936">
        <v>0</v>
      </c>
      <c r="AF4936">
        <v>0</v>
      </c>
      <c r="AG4936">
        <v>3</v>
      </c>
      <c r="AH4936">
        <v>0</v>
      </c>
      <c r="AI4936">
        <v>0</v>
      </c>
      <c r="AJ4936">
        <v>0</v>
      </c>
      <c r="AK4936">
        <v>8</v>
      </c>
      <c r="AL4936">
        <v>0</v>
      </c>
      <c r="AM4936">
        <v>0</v>
      </c>
      <c r="AN4936">
        <v>8</v>
      </c>
      <c r="AT4936">
        <v>0</v>
      </c>
      <c r="AU4936">
        <v>22</v>
      </c>
      <c r="AV4936">
        <v>378</v>
      </c>
      <c r="AW4936">
        <v>378</v>
      </c>
      <c r="AX4936">
        <v>586</v>
      </c>
      <c r="BA4936">
        <v>1</v>
      </c>
      <c r="BC4936" t="s">
        <v>9983</v>
      </c>
      <c r="BD4936" s="4">
        <v>43283.485277777778</v>
      </c>
      <c r="BE4936" s="4">
        <v>43283.491932870369</v>
      </c>
      <c r="BF4936" s="4">
        <v>43283.491932870369</v>
      </c>
      <c r="BG4936" t="s">
        <v>83</v>
      </c>
      <c r="BH4936" t="s">
        <v>84</v>
      </c>
      <c r="BI4936" t="s">
        <v>85</v>
      </c>
    </row>
    <row r="4937" spans="1:61" x14ac:dyDescent="0.3">
      <c r="A4937" t="str">
        <f>"201658B0100"</f>
        <v>201658B0100</v>
      </c>
      <c r="B4937" t="s">
        <v>9984</v>
      </c>
      <c r="C4937">
        <v>20</v>
      </c>
      <c r="D4937" t="s">
        <v>79</v>
      </c>
      <c r="E4937">
        <v>23</v>
      </c>
      <c r="F4937" t="s">
        <v>9720</v>
      </c>
      <c r="G4937">
        <v>1658</v>
      </c>
      <c r="H4937">
        <v>1</v>
      </c>
      <c r="I4937" t="s">
        <v>81</v>
      </c>
      <c r="J4937">
        <v>0</v>
      </c>
      <c r="K4937">
        <v>1</v>
      </c>
      <c r="L4937">
        <v>2</v>
      </c>
      <c r="M4937">
        <v>160</v>
      </c>
      <c r="N4937">
        <v>573</v>
      </c>
      <c r="O4937">
        <v>1</v>
      </c>
      <c r="P4937" t="s">
        <v>100</v>
      </c>
      <c r="Q4937">
        <v>29</v>
      </c>
      <c r="R4937">
        <v>172</v>
      </c>
      <c r="S4937">
        <v>9</v>
      </c>
      <c r="T4937">
        <v>5</v>
      </c>
      <c r="U4937">
        <v>132</v>
      </c>
      <c r="V4937">
        <v>9</v>
      </c>
      <c r="W4937">
        <v>1</v>
      </c>
      <c r="X4937">
        <v>1</v>
      </c>
      <c r="Y4937">
        <v>185</v>
      </c>
      <c r="Z4937">
        <v>2</v>
      </c>
      <c r="AA4937">
        <v>0</v>
      </c>
      <c r="AB4937">
        <v>1</v>
      </c>
      <c r="AC4937">
        <v>0</v>
      </c>
      <c r="AD4937">
        <v>0</v>
      </c>
      <c r="AE4937">
        <v>0</v>
      </c>
      <c r="AF4937">
        <v>0</v>
      </c>
      <c r="AG4937">
        <v>0</v>
      </c>
      <c r="AH4937">
        <v>2</v>
      </c>
      <c r="AI4937">
        <v>0</v>
      </c>
      <c r="AJ4937">
        <v>0</v>
      </c>
      <c r="AK4937">
        <v>4</v>
      </c>
      <c r="AL4937">
        <v>4</v>
      </c>
      <c r="AM4937">
        <v>0</v>
      </c>
      <c r="AN4937">
        <v>0</v>
      </c>
      <c r="AT4937">
        <v>0</v>
      </c>
      <c r="AU4937">
        <v>16</v>
      </c>
      <c r="AV4937">
        <v>573</v>
      </c>
      <c r="AW4937">
        <v>572</v>
      </c>
      <c r="AX4937">
        <v>722</v>
      </c>
      <c r="BA4937">
        <v>1</v>
      </c>
      <c r="BC4937" t="s">
        <v>9985</v>
      </c>
      <c r="BD4937" s="4">
        <v>43283.468935185185</v>
      </c>
      <c r="BE4937" s="4">
        <v>43283.473506944443</v>
      </c>
      <c r="BF4937" s="4">
        <v>43283.473506944443</v>
      </c>
      <c r="BG4937" t="s">
        <v>83</v>
      </c>
      <c r="BH4937" t="s">
        <v>84</v>
      </c>
      <c r="BI4937" t="s">
        <v>85</v>
      </c>
    </row>
    <row r="4938" spans="1:61" x14ac:dyDescent="0.3">
      <c r="A4938" t="str">
        <f>"201658C0100"</f>
        <v>201658C0100</v>
      </c>
      <c r="B4938" t="s">
        <v>9986</v>
      </c>
      <c r="C4938">
        <v>20</v>
      </c>
      <c r="D4938" t="s">
        <v>79</v>
      </c>
      <c r="E4938">
        <v>23</v>
      </c>
      <c r="F4938" t="s">
        <v>9720</v>
      </c>
      <c r="G4938">
        <v>1658</v>
      </c>
      <c r="H4938">
        <v>1</v>
      </c>
      <c r="I4938" t="s">
        <v>89</v>
      </c>
      <c r="J4938">
        <v>0</v>
      </c>
      <c r="K4938">
        <v>1</v>
      </c>
      <c r="L4938">
        <v>2</v>
      </c>
      <c r="M4938">
        <v>555</v>
      </c>
      <c r="N4938">
        <v>559</v>
      </c>
      <c r="O4938">
        <v>559</v>
      </c>
      <c r="P4938">
        <v>559</v>
      </c>
      <c r="Q4938">
        <v>36</v>
      </c>
      <c r="R4938">
        <v>179</v>
      </c>
      <c r="S4938">
        <v>14</v>
      </c>
      <c r="T4938">
        <v>11</v>
      </c>
      <c r="U4938">
        <v>110</v>
      </c>
      <c r="V4938">
        <v>9</v>
      </c>
      <c r="W4938">
        <v>0</v>
      </c>
      <c r="X4938">
        <v>3</v>
      </c>
      <c r="Y4938">
        <v>169</v>
      </c>
      <c r="Z4938">
        <v>0</v>
      </c>
      <c r="AA4938">
        <v>0</v>
      </c>
      <c r="AB4938">
        <v>3</v>
      </c>
      <c r="AC4938">
        <v>0</v>
      </c>
      <c r="AD4938">
        <v>2</v>
      </c>
      <c r="AE4938">
        <v>0</v>
      </c>
      <c r="AF4938">
        <v>0</v>
      </c>
      <c r="AG4938">
        <v>4</v>
      </c>
      <c r="AH4938">
        <v>1</v>
      </c>
      <c r="AI4938">
        <v>0</v>
      </c>
      <c r="AJ4938">
        <v>0</v>
      </c>
      <c r="AK4938">
        <v>0</v>
      </c>
      <c r="AL4938">
        <v>1</v>
      </c>
      <c r="AM4938">
        <v>0</v>
      </c>
      <c r="AN4938">
        <v>1</v>
      </c>
      <c r="AT4938">
        <v>0</v>
      </c>
      <c r="AU4938">
        <v>16</v>
      </c>
      <c r="AV4938" t="s">
        <v>100</v>
      </c>
      <c r="AW4938">
        <v>559</v>
      </c>
      <c r="AX4938">
        <v>721</v>
      </c>
      <c r="BA4938">
        <v>1</v>
      </c>
      <c r="BC4938" t="s">
        <v>9987</v>
      </c>
      <c r="BD4938" s="4">
        <v>43283.468055555553</v>
      </c>
      <c r="BE4938" s="4">
        <v>43283.476087962961</v>
      </c>
      <c r="BF4938" s="4">
        <v>43283.476087962961</v>
      </c>
      <c r="BG4938" t="s">
        <v>83</v>
      </c>
      <c r="BH4938" t="s">
        <v>84</v>
      </c>
      <c r="BI4938" t="s">
        <v>85</v>
      </c>
    </row>
    <row r="4939" spans="1:61" x14ac:dyDescent="0.3">
      <c r="A4939" t="str">
        <f>"201658C0200"</f>
        <v>201658C0200</v>
      </c>
      <c r="B4939" t="s">
        <v>9988</v>
      </c>
      <c r="C4939">
        <v>20</v>
      </c>
      <c r="D4939" t="s">
        <v>79</v>
      </c>
      <c r="E4939">
        <v>23</v>
      </c>
      <c r="F4939" t="s">
        <v>9720</v>
      </c>
      <c r="G4939">
        <v>1658</v>
      </c>
      <c r="H4939">
        <v>2</v>
      </c>
      <c r="I4939" t="s">
        <v>89</v>
      </c>
      <c r="J4939">
        <v>0</v>
      </c>
      <c r="K4939">
        <v>1</v>
      </c>
      <c r="L4939">
        <v>2</v>
      </c>
      <c r="M4939">
        <v>198</v>
      </c>
      <c r="N4939" t="s">
        <v>100</v>
      </c>
      <c r="O4939" t="s">
        <v>100</v>
      </c>
      <c r="P4939" t="s">
        <v>100</v>
      </c>
      <c r="Q4939">
        <v>26</v>
      </c>
      <c r="R4939">
        <v>183</v>
      </c>
      <c r="S4939">
        <v>6</v>
      </c>
      <c r="T4939">
        <v>16</v>
      </c>
      <c r="U4939">
        <v>104</v>
      </c>
      <c r="V4939">
        <v>11</v>
      </c>
      <c r="W4939" t="s">
        <v>100</v>
      </c>
      <c r="X4939">
        <v>6</v>
      </c>
      <c r="Y4939">
        <v>156</v>
      </c>
      <c r="Z4939">
        <v>2</v>
      </c>
      <c r="AA4939">
        <v>0</v>
      </c>
      <c r="AB4939">
        <v>0</v>
      </c>
      <c r="AC4939">
        <v>0</v>
      </c>
      <c r="AD4939">
        <v>2</v>
      </c>
      <c r="AE4939">
        <v>0</v>
      </c>
      <c r="AF4939">
        <v>0</v>
      </c>
      <c r="AG4939">
        <v>5</v>
      </c>
      <c r="AH4939">
        <v>3</v>
      </c>
      <c r="AI4939">
        <v>1</v>
      </c>
      <c r="AJ4939">
        <v>0</v>
      </c>
      <c r="AK4939">
        <v>6</v>
      </c>
      <c r="AL4939">
        <v>5</v>
      </c>
      <c r="AM4939">
        <v>0</v>
      </c>
      <c r="AN4939">
        <v>0</v>
      </c>
      <c r="AT4939">
        <v>0</v>
      </c>
      <c r="AU4939">
        <v>9</v>
      </c>
      <c r="AV4939" t="s">
        <v>100</v>
      </c>
      <c r="AW4939">
        <v>541</v>
      </c>
      <c r="AX4939">
        <v>721</v>
      </c>
      <c r="AZ4939" t="s">
        <v>101</v>
      </c>
      <c r="BA4939">
        <v>1</v>
      </c>
      <c r="BC4939" t="s">
        <v>9989</v>
      </c>
      <c r="BD4939" s="4">
        <v>43283.469351851854</v>
      </c>
      <c r="BE4939" s="4">
        <v>43283.474953703706</v>
      </c>
      <c r="BF4939" s="4">
        <v>43283.474953703706</v>
      </c>
      <c r="BG4939" t="s">
        <v>83</v>
      </c>
      <c r="BH4939" t="s">
        <v>84</v>
      </c>
      <c r="BI4939" t="s">
        <v>85</v>
      </c>
    </row>
    <row r="4940" spans="1:61" x14ac:dyDescent="0.3">
      <c r="A4940" t="str">
        <f>"201658S0100"</f>
        <v>201658S0100</v>
      </c>
      <c r="B4940" t="s">
        <v>9990</v>
      </c>
      <c r="C4940">
        <v>20</v>
      </c>
      <c r="D4940" t="s">
        <v>79</v>
      </c>
      <c r="E4940">
        <v>23</v>
      </c>
      <c r="F4940" t="s">
        <v>9720</v>
      </c>
      <c r="G4940">
        <v>1658</v>
      </c>
      <c r="H4940">
        <v>1</v>
      </c>
      <c r="I4940" t="s">
        <v>104</v>
      </c>
      <c r="J4940">
        <v>0</v>
      </c>
      <c r="K4940">
        <v>1</v>
      </c>
      <c r="L4940">
        <v>3</v>
      </c>
      <c r="AX4940">
        <v>0</v>
      </c>
      <c r="AZ4940" t="s">
        <v>156</v>
      </c>
      <c r="BA4940">
        <v>0</v>
      </c>
      <c r="BC4940" t="s">
        <v>9991</v>
      </c>
      <c r="BD4940" s="4">
        <v>43283.711331018516</v>
      </c>
      <c r="BE4940" s="4">
        <v>43283.714143518519</v>
      </c>
      <c r="BF4940" s="4">
        <v>43283.714143518519</v>
      </c>
      <c r="BG4940" t="s">
        <v>83</v>
      </c>
      <c r="BH4940" t="s">
        <v>84</v>
      </c>
      <c r="BI4940" t="s">
        <v>85</v>
      </c>
    </row>
    <row r="4941" spans="1:61" x14ac:dyDescent="0.3">
      <c r="A4941" t="str">
        <f>"201659B0100"</f>
        <v>201659B0100</v>
      </c>
      <c r="B4941" t="s">
        <v>9992</v>
      </c>
      <c r="C4941">
        <v>20</v>
      </c>
      <c r="D4941" t="s">
        <v>79</v>
      </c>
      <c r="E4941">
        <v>23</v>
      </c>
      <c r="F4941" t="s">
        <v>9720</v>
      </c>
      <c r="G4941">
        <v>1659</v>
      </c>
      <c r="H4941">
        <v>1</v>
      </c>
      <c r="I4941" t="s">
        <v>81</v>
      </c>
      <c r="J4941">
        <v>0</v>
      </c>
      <c r="K4941">
        <v>2</v>
      </c>
      <c r="L4941">
        <v>2</v>
      </c>
      <c r="M4941">
        <v>153</v>
      </c>
      <c r="N4941">
        <v>497</v>
      </c>
      <c r="O4941">
        <v>4</v>
      </c>
      <c r="P4941">
        <v>497</v>
      </c>
      <c r="Q4941">
        <v>31</v>
      </c>
      <c r="R4941">
        <v>122</v>
      </c>
      <c r="S4941">
        <v>7</v>
      </c>
      <c r="T4941">
        <v>5</v>
      </c>
      <c r="U4941">
        <v>149</v>
      </c>
      <c r="V4941">
        <v>4</v>
      </c>
      <c r="W4941">
        <v>1</v>
      </c>
      <c r="X4941">
        <v>2</v>
      </c>
      <c r="Y4941">
        <v>145</v>
      </c>
      <c r="Z4941">
        <v>4</v>
      </c>
      <c r="AA4941">
        <v>0</v>
      </c>
      <c r="AB4941">
        <v>0</v>
      </c>
      <c r="AC4941">
        <v>0</v>
      </c>
      <c r="AD4941">
        <v>0</v>
      </c>
      <c r="AE4941">
        <v>0</v>
      </c>
      <c r="AF4941">
        <v>0</v>
      </c>
      <c r="AG4941">
        <v>0</v>
      </c>
      <c r="AH4941">
        <v>4</v>
      </c>
      <c r="AI4941">
        <v>0</v>
      </c>
      <c r="AJ4941">
        <v>0</v>
      </c>
      <c r="AK4941">
        <v>4</v>
      </c>
      <c r="AL4941">
        <v>4</v>
      </c>
      <c r="AM4941">
        <v>0</v>
      </c>
      <c r="AN4941">
        <v>0</v>
      </c>
      <c r="AT4941">
        <v>1</v>
      </c>
      <c r="AU4941">
        <v>15</v>
      </c>
      <c r="AV4941">
        <v>497</v>
      </c>
      <c r="AW4941">
        <v>498</v>
      </c>
      <c r="AX4941">
        <v>629</v>
      </c>
      <c r="BA4941">
        <v>1</v>
      </c>
      <c r="BC4941" t="s">
        <v>9993</v>
      </c>
      <c r="BD4941" s="4">
        <v>43283.455335648148</v>
      </c>
      <c r="BE4941" s="4">
        <v>43283.458761574075</v>
      </c>
      <c r="BF4941" s="4">
        <v>43283.458761574075</v>
      </c>
      <c r="BG4941" t="s">
        <v>83</v>
      </c>
      <c r="BH4941" t="s">
        <v>84</v>
      </c>
      <c r="BI4941" t="s">
        <v>85</v>
      </c>
    </row>
    <row r="4942" spans="1:61" x14ac:dyDescent="0.3">
      <c r="A4942" t="str">
        <f>"201659C0100"</f>
        <v>201659C0100</v>
      </c>
      <c r="B4942" t="s">
        <v>9994</v>
      </c>
      <c r="C4942">
        <v>20</v>
      </c>
      <c r="D4942" t="s">
        <v>79</v>
      </c>
      <c r="E4942">
        <v>23</v>
      </c>
      <c r="F4942" t="s">
        <v>9720</v>
      </c>
      <c r="G4942">
        <v>1659</v>
      </c>
      <c r="H4942">
        <v>1</v>
      </c>
      <c r="I4942" t="s">
        <v>89</v>
      </c>
      <c r="J4942">
        <v>0</v>
      </c>
      <c r="K4942">
        <v>2</v>
      </c>
      <c r="L4942">
        <v>2</v>
      </c>
      <c r="M4942">
        <v>131</v>
      </c>
      <c r="N4942">
        <v>519</v>
      </c>
      <c r="O4942">
        <v>4</v>
      </c>
      <c r="P4942">
        <v>520</v>
      </c>
      <c r="Q4942">
        <v>28</v>
      </c>
      <c r="R4942">
        <v>103</v>
      </c>
      <c r="S4942">
        <v>8</v>
      </c>
      <c r="T4942">
        <v>4</v>
      </c>
      <c r="U4942">
        <v>166</v>
      </c>
      <c r="V4942">
        <v>10</v>
      </c>
      <c r="W4942">
        <v>7</v>
      </c>
      <c r="X4942">
        <v>0</v>
      </c>
      <c r="Y4942">
        <v>152</v>
      </c>
      <c r="Z4942">
        <v>0</v>
      </c>
      <c r="AA4942">
        <v>0</v>
      </c>
      <c r="AB4942">
        <v>1</v>
      </c>
      <c r="AC4942">
        <v>1</v>
      </c>
      <c r="AD4942">
        <v>5</v>
      </c>
      <c r="AE4942">
        <v>1</v>
      </c>
      <c r="AF4942">
        <v>0</v>
      </c>
      <c r="AG4942">
        <v>0</v>
      </c>
      <c r="AH4942">
        <v>4</v>
      </c>
      <c r="AI4942">
        <v>0</v>
      </c>
      <c r="AJ4942">
        <v>0</v>
      </c>
      <c r="AK4942">
        <v>4</v>
      </c>
      <c r="AL4942">
        <v>5</v>
      </c>
      <c r="AM4942">
        <v>0</v>
      </c>
      <c r="AN4942">
        <v>0</v>
      </c>
      <c r="AT4942">
        <v>0</v>
      </c>
      <c r="AU4942">
        <v>21</v>
      </c>
      <c r="AV4942">
        <v>520</v>
      </c>
      <c r="AW4942">
        <v>520</v>
      </c>
      <c r="AX4942">
        <v>629</v>
      </c>
      <c r="BA4942">
        <v>1</v>
      </c>
      <c r="BC4942" t="s">
        <v>9995</v>
      </c>
      <c r="BD4942" s="4">
        <v>43283.450960648152</v>
      </c>
      <c r="BE4942" s="4">
        <v>43283.457951388889</v>
      </c>
      <c r="BF4942" s="4">
        <v>43283.457951388889</v>
      </c>
      <c r="BG4942" t="s">
        <v>83</v>
      </c>
      <c r="BH4942" t="s">
        <v>84</v>
      </c>
      <c r="BI4942" t="s">
        <v>85</v>
      </c>
    </row>
    <row r="4943" spans="1:61" x14ac:dyDescent="0.3">
      <c r="A4943" t="str">
        <f>"201659C0200"</f>
        <v>201659C0200</v>
      </c>
      <c r="B4943" t="s">
        <v>9996</v>
      </c>
      <c r="C4943">
        <v>20</v>
      </c>
      <c r="D4943" t="s">
        <v>79</v>
      </c>
      <c r="E4943">
        <v>23</v>
      </c>
      <c r="F4943" t="s">
        <v>9720</v>
      </c>
      <c r="G4943">
        <v>1659</v>
      </c>
      <c r="H4943">
        <v>2</v>
      </c>
      <c r="I4943" t="s">
        <v>89</v>
      </c>
      <c r="J4943">
        <v>0</v>
      </c>
      <c r="K4943">
        <v>2</v>
      </c>
      <c r="L4943">
        <v>2</v>
      </c>
      <c r="M4943">
        <v>146</v>
      </c>
      <c r="N4943">
        <v>503</v>
      </c>
      <c r="O4943">
        <v>6</v>
      </c>
      <c r="P4943">
        <v>503</v>
      </c>
      <c r="Q4943">
        <v>24</v>
      </c>
      <c r="R4943">
        <v>161</v>
      </c>
      <c r="S4943">
        <v>8</v>
      </c>
      <c r="T4943">
        <v>9</v>
      </c>
      <c r="U4943">
        <v>115</v>
      </c>
      <c r="V4943">
        <v>5</v>
      </c>
      <c r="W4943">
        <v>1</v>
      </c>
      <c r="X4943">
        <v>0</v>
      </c>
      <c r="Y4943">
        <v>152</v>
      </c>
      <c r="Z4943">
        <v>4</v>
      </c>
      <c r="AA4943">
        <v>0</v>
      </c>
      <c r="AB4943">
        <v>1</v>
      </c>
      <c r="AC4943">
        <v>0</v>
      </c>
      <c r="AD4943">
        <v>1</v>
      </c>
      <c r="AE4943">
        <v>0</v>
      </c>
      <c r="AF4943">
        <v>0</v>
      </c>
      <c r="AG4943">
        <v>0</v>
      </c>
      <c r="AH4943">
        <v>3</v>
      </c>
      <c r="AI4943">
        <v>0</v>
      </c>
      <c r="AJ4943">
        <v>0</v>
      </c>
      <c r="AK4943">
        <v>7</v>
      </c>
      <c r="AL4943">
        <v>2</v>
      </c>
      <c r="AM4943">
        <v>0</v>
      </c>
      <c r="AN4943">
        <v>0</v>
      </c>
      <c r="AT4943">
        <v>0</v>
      </c>
      <c r="AU4943">
        <v>10</v>
      </c>
      <c r="AV4943">
        <v>503</v>
      </c>
      <c r="AW4943">
        <v>503</v>
      </c>
      <c r="AX4943">
        <v>629</v>
      </c>
      <c r="BA4943">
        <v>1</v>
      </c>
      <c r="BC4943" t="s">
        <v>9997</v>
      </c>
      <c r="BD4943" s="4">
        <v>43283.456805555557</v>
      </c>
      <c r="BE4943" s="4">
        <v>43283.459502314814</v>
      </c>
      <c r="BF4943" s="4">
        <v>43283.459502314814</v>
      </c>
      <c r="BG4943" t="s">
        <v>83</v>
      </c>
      <c r="BH4943" t="s">
        <v>84</v>
      </c>
      <c r="BI4943" t="s">
        <v>85</v>
      </c>
    </row>
    <row r="4944" spans="1:61" x14ac:dyDescent="0.3">
      <c r="A4944" t="str">
        <f>"201659C0300"</f>
        <v>201659C0300</v>
      </c>
      <c r="B4944" t="s">
        <v>9998</v>
      </c>
      <c r="C4944">
        <v>20</v>
      </c>
      <c r="D4944" t="s">
        <v>79</v>
      </c>
      <c r="E4944">
        <v>23</v>
      </c>
      <c r="F4944" t="s">
        <v>9720</v>
      </c>
      <c r="G4944">
        <v>1659</v>
      </c>
      <c r="H4944">
        <v>3</v>
      </c>
      <c r="I4944" t="s">
        <v>89</v>
      </c>
      <c r="J4944">
        <v>0</v>
      </c>
      <c r="K4944">
        <v>2</v>
      </c>
      <c r="L4944">
        <v>2</v>
      </c>
      <c r="M4944">
        <v>158</v>
      </c>
      <c r="N4944">
        <v>651</v>
      </c>
      <c r="O4944">
        <v>0</v>
      </c>
      <c r="P4944">
        <v>489</v>
      </c>
      <c r="Q4944">
        <v>36</v>
      </c>
      <c r="R4944">
        <v>126</v>
      </c>
      <c r="S4944">
        <v>2</v>
      </c>
      <c r="T4944">
        <v>10</v>
      </c>
      <c r="U4944">
        <v>110</v>
      </c>
      <c r="V4944">
        <v>6</v>
      </c>
      <c r="W4944">
        <v>1</v>
      </c>
      <c r="X4944">
        <v>3</v>
      </c>
      <c r="Y4944">
        <v>158</v>
      </c>
      <c r="Z4944">
        <v>1</v>
      </c>
      <c r="AA4944">
        <v>0</v>
      </c>
      <c r="AB4944">
        <v>0</v>
      </c>
      <c r="AC4944">
        <v>1</v>
      </c>
      <c r="AD4944">
        <v>4</v>
      </c>
      <c r="AE4944">
        <v>0</v>
      </c>
      <c r="AF4944">
        <v>0</v>
      </c>
      <c r="AG4944">
        <v>0</v>
      </c>
      <c r="AH4944">
        <v>0</v>
      </c>
      <c r="AI4944">
        <v>0</v>
      </c>
      <c r="AJ4944">
        <v>0</v>
      </c>
      <c r="AK4944">
        <v>4</v>
      </c>
      <c r="AL4944">
        <v>9</v>
      </c>
      <c r="AM4944">
        <v>0</v>
      </c>
      <c r="AN4944">
        <v>1</v>
      </c>
      <c r="AT4944">
        <v>0</v>
      </c>
      <c r="AU4944">
        <v>15</v>
      </c>
      <c r="AV4944">
        <v>489</v>
      </c>
      <c r="AW4944">
        <v>487</v>
      </c>
      <c r="AX4944">
        <v>628</v>
      </c>
      <c r="BA4944">
        <v>1</v>
      </c>
      <c r="BC4944" t="s">
        <v>9999</v>
      </c>
      <c r="BD4944" s="4">
        <v>43283.459143518521</v>
      </c>
      <c r="BE4944" s="4">
        <v>43283.471736111111</v>
      </c>
      <c r="BF4944" s="4">
        <v>43283.471736111111</v>
      </c>
      <c r="BG4944" t="s">
        <v>83</v>
      </c>
      <c r="BH4944" t="s">
        <v>84</v>
      </c>
      <c r="BI4944" t="s">
        <v>85</v>
      </c>
    </row>
    <row r="4945" spans="1:61" x14ac:dyDescent="0.3">
      <c r="A4945" t="str">
        <f>"201659C0400"</f>
        <v>201659C0400</v>
      </c>
      <c r="B4945" t="s">
        <v>10000</v>
      </c>
      <c r="C4945">
        <v>20</v>
      </c>
      <c r="D4945" t="s">
        <v>79</v>
      </c>
      <c r="E4945">
        <v>23</v>
      </c>
      <c r="F4945" t="s">
        <v>9720</v>
      </c>
      <c r="G4945">
        <v>1659</v>
      </c>
      <c r="H4945">
        <v>4</v>
      </c>
      <c r="I4945" t="s">
        <v>89</v>
      </c>
      <c r="J4945">
        <v>0</v>
      </c>
      <c r="K4945">
        <v>2</v>
      </c>
      <c r="L4945">
        <v>2</v>
      </c>
      <c r="M4945">
        <v>142</v>
      </c>
      <c r="N4945">
        <v>507</v>
      </c>
      <c r="O4945">
        <v>0</v>
      </c>
      <c r="P4945">
        <v>507</v>
      </c>
      <c r="Q4945">
        <v>30</v>
      </c>
      <c r="R4945">
        <v>130</v>
      </c>
      <c r="S4945">
        <v>12</v>
      </c>
      <c r="T4945">
        <v>11</v>
      </c>
      <c r="U4945">
        <v>151</v>
      </c>
      <c r="V4945">
        <v>8</v>
      </c>
      <c r="W4945">
        <v>0</v>
      </c>
      <c r="X4945">
        <v>1</v>
      </c>
      <c r="Y4945">
        <v>136</v>
      </c>
      <c r="Z4945">
        <v>2</v>
      </c>
      <c r="AA4945">
        <v>0</v>
      </c>
      <c r="AB4945">
        <v>2</v>
      </c>
      <c r="AC4945">
        <v>2</v>
      </c>
      <c r="AD4945">
        <v>2</v>
      </c>
      <c r="AE4945">
        <v>0</v>
      </c>
      <c r="AF4945">
        <v>0</v>
      </c>
      <c r="AG4945">
        <v>2</v>
      </c>
      <c r="AH4945">
        <v>4</v>
      </c>
      <c r="AI4945">
        <v>0</v>
      </c>
      <c r="AJ4945">
        <v>0</v>
      </c>
      <c r="AK4945">
        <v>2</v>
      </c>
      <c r="AL4945">
        <v>1</v>
      </c>
      <c r="AM4945">
        <v>1</v>
      </c>
      <c r="AN4945">
        <v>1</v>
      </c>
      <c r="AT4945">
        <v>0</v>
      </c>
      <c r="AU4945">
        <v>8</v>
      </c>
      <c r="AV4945">
        <v>506</v>
      </c>
      <c r="AW4945">
        <v>506</v>
      </c>
      <c r="AX4945">
        <v>628</v>
      </c>
      <c r="BA4945">
        <v>1</v>
      </c>
      <c r="BC4945" t="s">
        <v>10001</v>
      </c>
      <c r="BD4945" s="4">
        <v>43283.469976851855</v>
      </c>
      <c r="BE4945" s="4">
        <v>43283.478275462963</v>
      </c>
      <c r="BF4945" s="4">
        <v>43283.478275462963</v>
      </c>
      <c r="BG4945" t="s">
        <v>83</v>
      </c>
      <c r="BH4945" t="s">
        <v>84</v>
      </c>
      <c r="BI4945" t="s">
        <v>85</v>
      </c>
    </row>
    <row r="4946" spans="1:61" x14ac:dyDescent="0.3">
      <c r="A4946" t="str">
        <f>"201659C0500"</f>
        <v>201659C0500</v>
      </c>
      <c r="B4946" t="s">
        <v>10002</v>
      </c>
      <c r="C4946">
        <v>20</v>
      </c>
      <c r="D4946" t="s">
        <v>79</v>
      </c>
      <c r="E4946">
        <v>23</v>
      </c>
      <c r="F4946" t="s">
        <v>9720</v>
      </c>
      <c r="G4946">
        <v>1659</v>
      </c>
      <c r="H4946">
        <v>5</v>
      </c>
      <c r="I4946" t="s">
        <v>89</v>
      </c>
      <c r="J4946">
        <v>0</v>
      </c>
      <c r="K4946">
        <v>2</v>
      </c>
      <c r="L4946">
        <v>2</v>
      </c>
      <c r="M4946">
        <v>132</v>
      </c>
      <c r="N4946">
        <v>517</v>
      </c>
      <c r="O4946">
        <v>1</v>
      </c>
      <c r="P4946">
        <v>520</v>
      </c>
      <c r="Q4946">
        <v>24</v>
      </c>
      <c r="R4946">
        <v>160</v>
      </c>
      <c r="S4946">
        <v>9</v>
      </c>
      <c r="T4946">
        <v>10</v>
      </c>
      <c r="U4946">
        <v>134</v>
      </c>
      <c r="V4946">
        <v>9</v>
      </c>
      <c r="W4946">
        <v>2</v>
      </c>
      <c r="X4946">
        <v>2</v>
      </c>
      <c r="Y4946">
        <v>149</v>
      </c>
      <c r="Z4946">
        <v>0</v>
      </c>
      <c r="AA4946">
        <v>0</v>
      </c>
      <c r="AB4946">
        <v>0</v>
      </c>
      <c r="AC4946">
        <v>1</v>
      </c>
      <c r="AD4946">
        <v>0</v>
      </c>
      <c r="AE4946">
        <v>0</v>
      </c>
      <c r="AF4946">
        <v>0</v>
      </c>
      <c r="AG4946">
        <v>1</v>
      </c>
      <c r="AH4946">
        <v>4</v>
      </c>
      <c r="AI4946">
        <v>0</v>
      </c>
      <c r="AJ4946">
        <v>0</v>
      </c>
      <c r="AK4946">
        <v>2</v>
      </c>
      <c r="AL4946">
        <v>2</v>
      </c>
      <c r="AM4946">
        <v>0</v>
      </c>
      <c r="AN4946">
        <v>0</v>
      </c>
      <c r="AT4946">
        <v>0</v>
      </c>
      <c r="AU4946">
        <v>11</v>
      </c>
      <c r="AV4946">
        <v>520</v>
      </c>
      <c r="AW4946">
        <v>520</v>
      </c>
      <c r="AX4946">
        <v>628</v>
      </c>
      <c r="BA4946">
        <v>1</v>
      </c>
      <c r="BC4946" t="s">
        <v>10003</v>
      </c>
      <c r="BD4946" s="4">
        <v>43283.478020833332</v>
      </c>
      <c r="BE4946" s="4">
        <v>43283.481377314813</v>
      </c>
      <c r="BF4946" s="4">
        <v>43283.481377314813</v>
      </c>
      <c r="BG4946" t="s">
        <v>83</v>
      </c>
      <c r="BH4946" t="s">
        <v>84</v>
      </c>
      <c r="BI4946" t="s">
        <v>85</v>
      </c>
    </row>
    <row r="4947" spans="1:61" x14ac:dyDescent="0.3">
      <c r="A4947" t="str">
        <f>"201660B0100"</f>
        <v>201660B0100</v>
      </c>
      <c r="B4947" t="s">
        <v>10004</v>
      </c>
      <c r="C4947">
        <v>20</v>
      </c>
      <c r="D4947" t="s">
        <v>79</v>
      </c>
      <c r="E4947">
        <v>23</v>
      </c>
      <c r="F4947" t="s">
        <v>9720</v>
      </c>
      <c r="G4947">
        <v>1660</v>
      </c>
      <c r="H4947">
        <v>1</v>
      </c>
      <c r="I4947" t="s">
        <v>81</v>
      </c>
      <c r="J4947">
        <v>0</v>
      </c>
      <c r="K4947">
        <v>2</v>
      </c>
      <c r="L4947">
        <v>2</v>
      </c>
      <c r="AX4947">
        <v>519</v>
      </c>
      <c r="AZ4947" t="s">
        <v>156</v>
      </c>
      <c r="BA4947">
        <v>0</v>
      </c>
      <c r="BC4947" t="s">
        <v>10005</v>
      </c>
      <c r="BD4947" s="4">
        <v>43283.818645833337</v>
      </c>
      <c r="BE4947" s="4">
        <v>43283.819745370369</v>
      </c>
      <c r="BF4947" s="4">
        <v>43283.819745370369</v>
      </c>
      <c r="BG4947" t="s">
        <v>83</v>
      </c>
      <c r="BH4947" t="s">
        <v>84</v>
      </c>
      <c r="BI4947" t="s">
        <v>85</v>
      </c>
    </row>
    <row r="4948" spans="1:61" x14ac:dyDescent="0.3">
      <c r="A4948" t="str">
        <f>"201660C0100"</f>
        <v>201660C0100</v>
      </c>
      <c r="B4948" t="s">
        <v>10006</v>
      </c>
      <c r="C4948">
        <v>20</v>
      </c>
      <c r="D4948" t="s">
        <v>79</v>
      </c>
      <c r="E4948">
        <v>23</v>
      </c>
      <c r="F4948" t="s">
        <v>9720</v>
      </c>
      <c r="G4948">
        <v>1660</v>
      </c>
      <c r="H4948">
        <v>1</v>
      </c>
      <c r="I4948" t="s">
        <v>89</v>
      </c>
      <c r="J4948">
        <v>0</v>
      </c>
      <c r="K4948">
        <v>2</v>
      </c>
      <c r="L4948">
        <v>2</v>
      </c>
      <c r="AX4948">
        <v>518</v>
      </c>
      <c r="AZ4948" t="s">
        <v>156</v>
      </c>
      <c r="BA4948">
        <v>0</v>
      </c>
      <c r="BC4948" t="s">
        <v>10007</v>
      </c>
      <c r="BD4948" s="4">
        <v>43283.818078703705</v>
      </c>
      <c r="BE4948" s="4">
        <v>43283.818923611114</v>
      </c>
      <c r="BF4948" s="4">
        <v>43283.818923611114</v>
      </c>
      <c r="BG4948" t="s">
        <v>83</v>
      </c>
      <c r="BH4948" t="s">
        <v>84</v>
      </c>
      <c r="BI4948" t="s">
        <v>85</v>
      </c>
    </row>
    <row r="4949" spans="1:61" x14ac:dyDescent="0.3">
      <c r="A4949" t="str">
        <f>"201660E0100"</f>
        <v>201660E0100</v>
      </c>
      <c r="B4949" s="2" t="s">
        <v>10008</v>
      </c>
      <c r="C4949">
        <v>20</v>
      </c>
      <c r="D4949" t="s">
        <v>79</v>
      </c>
      <c r="E4949">
        <v>23</v>
      </c>
      <c r="F4949" t="s">
        <v>9720</v>
      </c>
      <c r="G4949">
        <v>1660</v>
      </c>
      <c r="H4949">
        <v>1</v>
      </c>
      <c r="I4949" t="s">
        <v>145</v>
      </c>
      <c r="J4949">
        <v>0</v>
      </c>
      <c r="K4949">
        <v>2</v>
      </c>
      <c r="L4949">
        <v>2</v>
      </c>
      <c r="M4949">
        <v>147</v>
      </c>
      <c r="N4949">
        <v>241</v>
      </c>
      <c r="O4949">
        <v>4</v>
      </c>
      <c r="P4949">
        <v>241</v>
      </c>
      <c r="Q4949">
        <v>27</v>
      </c>
      <c r="R4949">
        <v>62</v>
      </c>
      <c r="S4949">
        <v>8</v>
      </c>
      <c r="T4949">
        <v>13</v>
      </c>
      <c r="U4949">
        <v>20</v>
      </c>
      <c r="V4949">
        <v>2</v>
      </c>
      <c r="W4949">
        <v>1</v>
      </c>
      <c r="X4949">
        <v>3</v>
      </c>
      <c r="Y4949">
        <v>80</v>
      </c>
      <c r="Z4949">
        <v>0</v>
      </c>
      <c r="AA4949">
        <v>1</v>
      </c>
      <c r="AB4949">
        <v>0</v>
      </c>
      <c r="AC4949">
        <v>1</v>
      </c>
      <c r="AD4949">
        <v>0</v>
      </c>
      <c r="AE4949">
        <v>0</v>
      </c>
      <c r="AF4949">
        <v>0</v>
      </c>
      <c r="AG4949">
        <v>0</v>
      </c>
      <c r="AH4949">
        <v>0</v>
      </c>
      <c r="AI4949">
        <v>1</v>
      </c>
      <c r="AJ4949">
        <v>0</v>
      </c>
      <c r="AK4949">
        <v>1</v>
      </c>
      <c r="AL4949">
        <v>2</v>
      </c>
      <c r="AM4949">
        <v>0</v>
      </c>
      <c r="AN4949">
        <v>0</v>
      </c>
      <c r="AT4949" t="s">
        <v>100</v>
      </c>
      <c r="AU4949">
        <v>19</v>
      </c>
      <c r="AV4949">
        <v>241</v>
      </c>
      <c r="AW4949">
        <v>241</v>
      </c>
      <c r="AX4949">
        <v>366</v>
      </c>
      <c r="AZ4949" t="s">
        <v>101</v>
      </c>
      <c r="BA4949">
        <v>1</v>
      </c>
      <c r="BC4949" t="s">
        <v>10009</v>
      </c>
      <c r="BD4949" s="4">
        <v>43283.524722222224</v>
      </c>
      <c r="BE4949" s="4">
        <v>43283.527997685182</v>
      </c>
      <c r="BF4949" s="4">
        <v>43283.527997685182</v>
      </c>
      <c r="BG4949" t="s">
        <v>83</v>
      </c>
      <c r="BH4949" t="s">
        <v>84</v>
      </c>
      <c r="BI4949" t="s">
        <v>85</v>
      </c>
    </row>
    <row r="4950" spans="1:61" x14ac:dyDescent="0.3">
      <c r="A4950" t="str">
        <f>"201661B0100"</f>
        <v>201661B0100</v>
      </c>
      <c r="B4950" t="s">
        <v>10010</v>
      </c>
      <c r="C4950">
        <v>20</v>
      </c>
      <c r="D4950" t="s">
        <v>79</v>
      </c>
      <c r="E4950">
        <v>23</v>
      </c>
      <c r="F4950" t="s">
        <v>9720</v>
      </c>
      <c r="G4950">
        <v>1661</v>
      </c>
      <c r="H4950">
        <v>1</v>
      </c>
      <c r="I4950" t="s">
        <v>81</v>
      </c>
      <c r="J4950">
        <v>0</v>
      </c>
      <c r="K4950">
        <v>2</v>
      </c>
      <c r="L4950">
        <v>2</v>
      </c>
      <c r="M4950">
        <v>156</v>
      </c>
      <c r="N4950">
        <v>421</v>
      </c>
      <c r="O4950">
        <v>2</v>
      </c>
      <c r="P4950">
        <v>420</v>
      </c>
      <c r="Q4950">
        <v>20</v>
      </c>
      <c r="R4950">
        <v>104</v>
      </c>
      <c r="S4950">
        <v>7</v>
      </c>
      <c r="T4950">
        <v>14</v>
      </c>
      <c r="U4950">
        <v>54</v>
      </c>
      <c r="V4950">
        <v>8</v>
      </c>
      <c r="W4950">
        <v>5</v>
      </c>
      <c r="X4950">
        <v>3</v>
      </c>
      <c r="Y4950">
        <v>148</v>
      </c>
      <c r="Z4950">
        <v>5</v>
      </c>
      <c r="AA4950">
        <v>0</v>
      </c>
      <c r="AB4950">
        <v>3</v>
      </c>
      <c r="AC4950">
        <v>1</v>
      </c>
      <c r="AD4950">
        <v>0</v>
      </c>
      <c r="AE4950">
        <v>0</v>
      </c>
      <c r="AF4950">
        <v>0</v>
      </c>
      <c r="AG4950">
        <v>3</v>
      </c>
      <c r="AH4950">
        <v>7</v>
      </c>
      <c r="AI4950">
        <v>1</v>
      </c>
      <c r="AJ4950">
        <v>0</v>
      </c>
      <c r="AK4950">
        <v>0</v>
      </c>
      <c r="AL4950">
        <v>4</v>
      </c>
      <c r="AM4950">
        <v>3</v>
      </c>
      <c r="AN4950">
        <v>0</v>
      </c>
      <c r="AT4950">
        <v>1</v>
      </c>
      <c r="AU4950">
        <v>29</v>
      </c>
      <c r="AV4950">
        <v>429</v>
      </c>
      <c r="AW4950">
        <v>420</v>
      </c>
      <c r="AX4950">
        <v>555</v>
      </c>
      <c r="BA4950">
        <v>1</v>
      </c>
      <c r="BC4950" t="s">
        <v>10011</v>
      </c>
      <c r="BD4950" s="4">
        <v>43283.460057870368</v>
      </c>
      <c r="BE4950" s="4">
        <v>43283.463564814818</v>
      </c>
      <c r="BF4950" s="4">
        <v>43283.463564814818</v>
      </c>
      <c r="BG4950" t="s">
        <v>83</v>
      </c>
      <c r="BH4950" t="s">
        <v>84</v>
      </c>
      <c r="BI4950" t="s">
        <v>85</v>
      </c>
    </row>
    <row r="4951" spans="1:61" x14ac:dyDescent="0.3">
      <c r="A4951" t="str">
        <f>"201661C0100"</f>
        <v>201661C0100</v>
      </c>
      <c r="B4951" t="s">
        <v>10012</v>
      </c>
      <c r="C4951">
        <v>20</v>
      </c>
      <c r="D4951" t="s">
        <v>79</v>
      </c>
      <c r="E4951">
        <v>23</v>
      </c>
      <c r="F4951" t="s">
        <v>9720</v>
      </c>
      <c r="G4951">
        <v>1661</v>
      </c>
      <c r="H4951">
        <v>1</v>
      </c>
      <c r="I4951" t="s">
        <v>89</v>
      </c>
      <c r="J4951">
        <v>0</v>
      </c>
      <c r="K4951">
        <v>2</v>
      </c>
      <c r="L4951">
        <v>2</v>
      </c>
      <c r="M4951">
        <v>148</v>
      </c>
      <c r="N4951">
        <v>429</v>
      </c>
      <c r="O4951">
        <v>2</v>
      </c>
      <c r="P4951">
        <v>429</v>
      </c>
      <c r="Q4951">
        <v>30</v>
      </c>
      <c r="R4951">
        <v>121</v>
      </c>
      <c r="S4951">
        <v>6</v>
      </c>
      <c r="T4951">
        <v>9</v>
      </c>
      <c r="U4951">
        <v>59</v>
      </c>
      <c r="V4951">
        <v>7</v>
      </c>
      <c r="W4951">
        <v>3</v>
      </c>
      <c r="X4951">
        <v>3</v>
      </c>
      <c r="Y4951">
        <v>142</v>
      </c>
      <c r="Z4951">
        <v>4</v>
      </c>
      <c r="AA4951">
        <v>0</v>
      </c>
      <c r="AB4951">
        <v>1</v>
      </c>
      <c r="AC4951">
        <v>1</v>
      </c>
      <c r="AD4951">
        <v>2</v>
      </c>
      <c r="AE4951">
        <v>0</v>
      </c>
      <c r="AF4951">
        <v>0</v>
      </c>
      <c r="AG4951">
        <v>1</v>
      </c>
      <c r="AH4951">
        <v>9</v>
      </c>
      <c r="AI4951">
        <v>0</v>
      </c>
      <c r="AJ4951">
        <v>0</v>
      </c>
      <c r="AK4951">
        <v>6</v>
      </c>
      <c r="AL4951">
        <v>3</v>
      </c>
      <c r="AM4951">
        <v>0</v>
      </c>
      <c r="AN4951">
        <v>2</v>
      </c>
      <c r="AT4951">
        <v>0</v>
      </c>
      <c r="AU4951">
        <v>20</v>
      </c>
      <c r="AV4951">
        <v>429</v>
      </c>
      <c r="AW4951">
        <v>429</v>
      </c>
      <c r="AX4951">
        <v>555</v>
      </c>
      <c r="BA4951">
        <v>1</v>
      </c>
      <c r="BC4951" t="s">
        <v>10013</v>
      </c>
      <c r="BD4951" s="4">
        <v>43283.463900462964</v>
      </c>
      <c r="BE4951" s="4">
        <v>43283.466597222221</v>
      </c>
      <c r="BF4951" s="4">
        <v>43283.466597222221</v>
      </c>
      <c r="BG4951" t="s">
        <v>83</v>
      </c>
      <c r="BH4951" t="s">
        <v>84</v>
      </c>
      <c r="BI4951" t="s">
        <v>85</v>
      </c>
    </row>
    <row r="4952" spans="1:61" x14ac:dyDescent="0.3">
      <c r="A4952" t="str">
        <f>"201662B0100"</f>
        <v>201662B0100</v>
      </c>
      <c r="B4952" t="s">
        <v>10014</v>
      </c>
      <c r="C4952">
        <v>20</v>
      </c>
      <c r="D4952" t="s">
        <v>79</v>
      </c>
      <c r="E4952">
        <v>23</v>
      </c>
      <c r="F4952" t="s">
        <v>9720</v>
      </c>
      <c r="G4952">
        <v>1662</v>
      </c>
      <c r="H4952">
        <v>1</v>
      </c>
      <c r="I4952" t="s">
        <v>81</v>
      </c>
      <c r="J4952">
        <v>0</v>
      </c>
      <c r="K4952">
        <v>2</v>
      </c>
      <c r="L4952">
        <v>2</v>
      </c>
      <c r="M4952">
        <v>127</v>
      </c>
      <c r="N4952" t="s">
        <v>315</v>
      </c>
      <c r="O4952">
        <v>2</v>
      </c>
      <c r="P4952">
        <v>403</v>
      </c>
      <c r="Q4952">
        <v>76</v>
      </c>
      <c r="R4952">
        <v>33</v>
      </c>
      <c r="S4952">
        <v>6</v>
      </c>
      <c r="T4952">
        <v>35</v>
      </c>
      <c r="U4952">
        <v>80</v>
      </c>
      <c r="V4952">
        <v>1</v>
      </c>
      <c r="W4952">
        <v>0</v>
      </c>
      <c r="X4952">
        <v>4</v>
      </c>
      <c r="Y4952">
        <v>138</v>
      </c>
      <c r="Z4952">
        <v>2</v>
      </c>
      <c r="AA4952">
        <v>0</v>
      </c>
      <c r="AB4952">
        <v>1</v>
      </c>
      <c r="AC4952">
        <v>0</v>
      </c>
      <c r="AD4952">
        <v>0</v>
      </c>
      <c r="AE4952">
        <v>0</v>
      </c>
      <c r="AF4952">
        <v>0</v>
      </c>
      <c r="AG4952">
        <v>0</v>
      </c>
      <c r="AH4952">
        <v>1</v>
      </c>
      <c r="AI4952">
        <v>0</v>
      </c>
      <c r="AJ4952">
        <v>0</v>
      </c>
      <c r="AK4952">
        <v>2</v>
      </c>
      <c r="AL4952">
        <v>6</v>
      </c>
      <c r="AM4952">
        <v>0</v>
      </c>
      <c r="AN4952">
        <v>0</v>
      </c>
      <c r="AT4952">
        <v>0</v>
      </c>
      <c r="AU4952">
        <v>18</v>
      </c>
      <c r="AV4952">
        <v>403</v>
      </c>
      <c r="AW4952">
        <v>403</v>
      </c>
      <c r="AX4952">
        <v>508</v>
      </c>
      <c r="BA4952">
        <v>1</v>
      </c>
      <c r="BC4952" t="s">
        <v>10015</v>
      </c>
      <c r="BD4952" s="4">
        <v>43283.5234837963</v>
      </c>
      <c r="BE4952" s="4">
        <v>43283.527048611111</v>
      </c>
      <c r="BF4952" s="4">
        <v>43283.527048611111</v>
      </c>
      <c r="BG4952" t="s">
        <v>83</v>
      </c>
      <c r="BH4952" t="s">
        <v>84</v>
      </c>
      <c r="BI4952" t="s">
        <v>85</v>
      </c>
    </row>
    <row r="4953" spans="1:61" x14ac:dyDescent="0.3">
      <c r="A4953" t="str">
        <f>"201662C0100"</f>
        <v>201662C0100</v>
      </c>
      <c r="B4953" t="s">
        <v>10016</v>
      </c>
      <c r="C4953">
        <v>20</v>
      </c>
      <c r="D4953" t="s">
        <v>79</v>
      </c>
      <c r="E4953">
        <v>23</v>
      </c>
      <c r="F4953" t="s">
        <v>9720</v>
      </c>
      <c r="G4953">
        <v>1662</v>
      </c>
      <c r="H4953">
        <v>1</v>
      </c>
      <c r="I4953" t="s">
        <v>89</v>
      </c>
      <c r="J4953">
        <v>0</v>
      </c>
      <c r="K4953">
        <v>2</v>
      </c>
      <c r="L4953">
        <v>2</v>
      </c>
      <c r="M4953">
        <v>125</v>
      </c>
      <c r="N4953">
        <v>405</v>
      </c>
      <c r="O4953">
        <v>3</v>
      </c>
      <c r="P4953">
        <v>405</v>
      </c>
      <c r="Q4953">
        <v>61</v>
      </c>
      <c r="R4953">
        <v>70</v>
      </c>
      <c r="S4953">
        <v>10</v>
      </c>
      <c r="T4953">
        <v>16</v>
      </c>
      <c r="U4953">
        <v>91</v>
      </c>
      <c r="V4953">
        <v>4</v>
      </c>
      <c r="W4953">
        <v>1</v>
      </c>
      <c r="X4953">
        <v>5</v>
      </c>
      <c r="Y4953">
        <v>109</v>
      </c>
      <c r="Z4953">
        <v>5</v>
      </c>
      <c r="AA4953">
        <v>0</v>
      </c>
      <c r="AB4953">
        <v>1</v>
      </c>
      <c r="AC4953">
        <v>0</v>
      </c>
      <c r="AD4953">
        <v>3</v>
      </c>
      <c r="AE4953">
        <v>0</v>
      </c>
      <c r="AF4953">
        <v>0</v>
      </c>
      <c r="AG4953">
        <v>0</v>
      </c>
      <c r="AH4953">
        <v>3</v>
      </c>
      <c r="AI4953">
        <v>0</v>
      </c>
      <c r="AJ4953">
        <v>0</v>
      </c>
      <c r="AK4953">
        <v>2</v>
      </c>
      <c r="AL4953">
        <v>3</v>
      </c>
      <c r="AM4953">
        <v>0</v>
      </c>
      <c r="AN4953">
        <v>0</v>
      </c>
      <c r="AT4953">
        <v>0</v>
      </c>
      <c r="AU4953">
        <v>20</v>
      </c>
      <c r="AV4953">
        <v>364</v>
      </c>
      <c r="AW4953">
        <v>404</v>
      </c>
      <c r="AX4953">
        <v>508</v>
      </c>
      <c r="BA4953">
        <v>1</v>
      </c>
      <c r="BC4953" t="s">
        <v>10017</v>
      </c>
      <c r="BD4953" s="4">
        <v>43283.524131944447</v>
      </c>
      <c r="BE4953" s="4">
        <v>43283.528449074074</v>
      </c>
      <c r="BF4953" s="4">
        <v>43283.528449074074</v>
      </c>
      <c r="BG4953" t="s">
        <v>83</v>
      </c>
      <c r="BH4953" t="s">
        <v>84</v>
      </c>
      <c r="BI4953" t="s">
        <v>85</v>
      </c>
    </row>
    <row r="4954" spans="1:61" x14ac:dyDescent="0.3">
      <c r="A4954" t="str">
        <f>"201662E0100"</f>
        <v>201662E0100</v>
      </c>
      <c r="B4954" s="2" t="s">
        <v>10018</v>
      </c>
      <c r="C4954">
        <v>20</v>
      </c>
      <c r="D4954" t="s">
        <v>79</v>
      </c>
      <c r="E4954">
        <v>23</v>
      </c>
      <c r="F4954" t="s">
        <v>9720</v>
      </c>
      <c r="G4954">
        <v>1662</v>
      </c>
      <c r="H4954">
        <v>1</v>
      </c>
      <c r="I4954" t="s">
        <v>145</v>
      </c>
      <c r="J4954">
        <v>0</v>
      </c>
      <c r="K4954">
        <v>2</v>
      </c>
      <c r="L4954">
        <v>2</v>
      </c>
      <c r="AX4954">
        <v>228</v>
      </c>
      <c r="AZ4954" t="s">
        <v>932</v>
      </c>
      <c r="BA4954">
        <v>0</v>
      </c>
      <c r="BC4954" t="s">
        <v>10019</v>
      </c>
      <c r="BD4954" s="4">
        <v>43283.674166666664</v>
      </c>
      <c r="BE4954" s="4">
        <v>43283.679664351854</v>
      </c>
      <c r="BF4954" s="4">
        <v>43283.679664351854</v>
      </c>
      <c r="BG4954" t="s">
        <v>83</v>
      </c>
      <c r="BH4954" t="s">
        <v>84</v>
      </c>
      <c r="BI4954" t="s">
        <v>85</v>
      </c>
    </row>
    <row r="4955" spans="1:61" x14ac:dyDescent="0.3">
      <c r="A4955" t="str">
        <f>"201663B0100"</f>
        <v>201663B0100</v>
      </c>
      <c r="B4955" t="s">
        <v>10020</v>
      </c>
      <c r="C4955">
        <v>20</v>
      </c>
      <c r="D4955" t="s">
        <v>79</v>
      </c>
      <c r="E4955">
        <v>23</v>
      </c>
      <c r="F4955" t="s">
        <v>9720</v>
      </c>
      <c r="G4955">
        <v>1663</v>
      </c>
      <c r="H4955">
        <v>1</v>
      </c>
      <c r="I4955" t="s">
        <v>81</v>
      </c>
      <c r="J4955">
        <v>0</v>
      </c>
      <c r="K4955">
        <v>2</v>
      </c>
      <c r="L4955">
        <v>2</v>
      </c>
      <c r="M4955">
        <v>108</v>
      </c>
      <c r="N4955">
        <v>294</v>
      </c>
      <c r="O4955">
        <v>2</v>
      </c>
      <c r="P4955">
        <v>294</v>
      </c>
      <c r="Q4955">
        <v>23</v>
      </c>
      <c r="R4955">
        <v>102</v>
      </c>
      <c r="S4955">
        <v>5</v>
      </c>
      <c r="T4955">
        <v>5</v>
      </c>
      <c r="U4955">
        <v>83</v>
      </c>
      <c r="V4955">
        <v>2</v>
      </c>
      <c r="W4955">
        <v>1</v>
      </c>
      <c r="X4955">
        <v>3</v>
      </c>
      <c r="Y4955">
        <v>39</v>
      </c>
      <c r="Z4955">
        <v>0</v>
      </c>
      <c r="AA4955">
        <v>0</v>
      </c>
      <c r="AB4955">
        <v>0</v>
      </c>
      <c r="AC4955">
        <v>1</v>
      </c>
      <c r="AD4955">
        <v>0</v>
      </c>
      <c r="AE4955">
        <v>1</v>
      </c>
      <c r="AF4955">
        <v>0</v>
      </c>
      <c r="AG4955">
        <v>1</v>
      </c>
      <c r="AH4955">
        <v>1</v>
      </c>
      <c r="AI4955">
        <v>0</v>
      </c>
      <c r="AJ4955">
        <v>0</v>
      </c>
      <c r="AK4955">
        <v>5</v>
      </c>
      <c r="AL4955">
        <v>4</v>
      </c>
      <c r="AM4955">
        <v>0</v>
      </c>
      <c r="AN4955">
        <v>1</v>
      </c>
      <c r="AT4955">
        <v>0</v>
      </c>
      <c r="AU4955">
        <v>15</v>
      </c>
      <c r="AV4955">
        <v>292</v>
      </c>
      <c r="AW4955">
        <v>292</v>
      </c>
      <c r="AX4955">
        <v>380</v>
      </c>
      <c r="BA4955">
        <v>1</v>
      </c>
      <c r="BC4955" t="s">
        <v>10021</v>
      </c>
      <c r="BD4955" s="4">
        <v>43283.521840277775</v>
      </c>
      <c r="BE4955" s="4">
        <v>43283.539085648146</v>
      </c>
      <c r="BF4955" s="4">
        <v>43283.539085648146</v>
      </c>
      <c r="BG4955" t="s">
        <v>83</v>
      </c>
      <c r="BH4955" t="s">
        <v>84</v>
      </c>
      <c r="BI4955" t="s">
        <v>85</v>
      </c>
    </row>
    <row r="4956" spans="1:61" x14ac:dyDescent="0.3">
      <c r="A4956" t="str">
        <f>"201663C0100"</f>
        <v>201663C0100</v>
      </c>
      <c r="B4956" t="s">
        <v>10022</v>
      </c>
      <c r="C4956">
        <v>20</v>
      </c>
      <c r="D4956" t="s">
        <v>79</v>
      </c>
      <c r="E4956">
        <v>23</v>
      </c>
      <c r="F4956" t="s">
        <v>9720</v>
      </c>
      <c r="G4956">
        <v>1663</v>
      </c>
      <c r="H4956">
        <v>1</v>
      </c>
      <c r="I4956" t="s">
        <v>89</v>
      </c>
      <c r="J4956">
        <v>0</v>
      </c>
      <c r="K4956">
        <v>2</v>
      </c>
      <c r="L4956">
        <v>2</v>
      </c>
      <c r="M4956">
        <v>112</v>
      </c>
      <c r="N4956">
        <v>290</v>
      </c>
      <c r="O4956">
        <v>2</v>
      </c>
      <c r="P4956">
        <v>290</v>
      </c>
      <c r="Q4956">
        <v>25</v>
      </c>
      <c r="R4956">
        <v>85</v>
      </c>
      <c r="S4956">
        <v>7</v>
      </c>
      <c r="T4956">
        <v>1</v>
      </c>
      <c r="U4956">
        <v>86</v>
      </c>
      <c r="V4956">
        <v>8</v>
      </c>
      <c r="W4956">
        <v>2</v>
      </c>
      <c r="X4956">
        <v>0</v>
      </c>
      <c r="Y4956">
        <v>53</v>
      </c>
      <c r="Z4956">
        <v>2</v>
      </c>
      <c r="AA4956">
        <v>0</v>
      </c>
      <c r="AB4956">
        <v>0</v>
      </c>
      <c r="AC4956">
        <v>0</v>
      </c>
      <c r="AD4956">
        <v>0</v>
      </c>
      <c r="AE4956">
        <v>1</v>
      </c>
      <c r="AF4956">
        <v>0</v>
      </c>
      <c r="AG4956">
        <v>1</v>
      </c>
      <c r="AH4956">
        <v>3</v>
      </c>
      <c r="AI4956">
        <v>0</v>
      </c>
      <c r="AJ4956">
        <v>0</v>
      </c>
      <c r="AK4956">
        <v>1</v>
      </c>
      <c r="AL4956">
        <v>4</v>
      </c>
      <c r="AM4956">
        <v>1</v>
      </c>
      <c r="AN4956">
        <v>0</v>
      </c>
      <c r="AT4956">
        <v>0</v>
      </c>
      <c r="AU4956">
        <v>10</v>
      </c>
      <c r="AV4956">
        <v>290</v>
      </c>
      <c r="AW4956">
        <v>290</v>
      </c>
      <c r="AX4956">
        <v>380</v>
      </c>
      <c r="BA4956">
        <v>1</v>
      </c>
      <c r="BC4956" t="s">
        <v>10023</v>
      </c>
      <c r="BD4956" s="4">
        <v>43283.520729166667</v>
      </c>
      <c r="BE4956" s="4">
        <v>43283.527754629627</v>
      </c>
      <c r="BF4956" s="4">
        <v>43283.527754629627</v>
      </c>
      <c r="BG4956" t="s">
        <v>83</v>
      </c>
      <c r="BH4956" t="s">
        <v>84</v>
      </c>
      <c r="BI4956" t="s">
        <v>85</v>
      </c>
    </row>
    <row r="4957" spans="1:61" x14ac:dyDescent="0.3">
      <c r="A4957" t="str">
        <f>"201663E0100"</f>
        <v>201663E0100</v>
      </c>
      <c r="B4957" s="2" t="s">
        <v>10024</v>
      </c>
      <c r="C4957">
        <v>20</v>
      </c>
      <c r="D4957" t="s">
        <v>79</v>
      </c>
      <c r="E4957">
        <v>23</v>
      </c>
      <c r="F4957" t="s">
        <v>9720</v>
      </c>
      <c r="G4957">
        <v>1663</v>
      </c>
      <c r="H4957">
        <v>1</v>
      </c>
      <c r="I4957" t="s">
        <v>145</v>
      </c>
      <c r="J4957">
        <v>0</v>
      </c>
      <c r="K4957">
        <v>2</v>
      </c>
      <c r="L4957">
        <v>2</v>
      </c>
      <c r="M4957">
        <v>38</v>
      </c>
      <c r="N4957">
        <v>120</v>
      </c>
      <c r="O4957">
        <v>5</v>
      </c>
      <c r="P4957">
        <v>82</v>
      </c>
      <c r="Q4957">
        <v>6</v>
      </c>
      <c r="R4957">
        <v>30</v>
      </c>
      <c r="S4957">
        <v>0</v>
      </c>
      <c r="T4957">
        <v>1</v>
      </c>
      <c r="U4957">
        <v>18</v>
      </c>
      <c r="V4957">
        <v>0</v>
      </c>
      <c r="W4957">
        <v>0</v>
      </c>
      <c r="X4957">
        <v>2</v>
      </c>
      <c r="Y4957">
        <v>14</v>
      </c>
      <c r="Z4957">
        <v>0</v>
      </c>
      <c r="AA4957">
        <v>0</v>
      </c>
      <c r="AB4957">
        <v>0</v>
      </c>
      <c r="AC4957">
        <v>0</v>
      </c>
      <c r="AD4957">
        <v>0</v>
      </c>
      <c r="AE4957">
        <v>0</v>
      </c>
      <c r="AF4957">
        <v>0</v>
      </c>
      <c r="AG4957">
        <v>2</v>
      </c>
      <c r="AH4957">
        <v>0</v>
      </c>
      <c r="AI4957">
        <v>0</v>
      </c>
      <c r="AJ4957">
        <v>0</v>
      </c>
      <c r="AK4957">
        <v>1</v>
      </c>
      <c r="AL4957">
        <v>2</v>
      </c>
      <c r="AM4957">
        <v>0</v>
      </c>
      <c r="AN4957">
        <v>0</v>
      </c>
      <c r="AT4957">
        <v>0</v>
      </c>
      <c r="AU4957">
        <v>6</v>
      </c>
      <c r="AV4957">
        <v>82</v>
      </c>
      <c r="AW4957">
        <v>82</v>
      </c>
      <c r="AX4957">
        <v>98</v>
      </c>
      <c r="BA4957">
        <v>1</v>
      </c>
      <c r="BC4957" t="s">
        <v>10025</v>
      </c>
      <c r="BD4957" s="4">
        <v>43283.522372685184</v>
      </c>
      <c r="BE4957" s="4">
        <v>43283.525625000002</v>
      </c>
      <c r="BF4957" s="4">
        <v>43283.525625000002</v>
      </c>
      <c r="BG4957" t="s">
        <v>83</v>
      </c>
      <c r="BH4957" t="s">
        <v>84</v>
      </c>
      <c r="BI4957" t="s">
        <v>85</v>
      </c>
    </row>
    <row r="4958" spans="1:61" x14ac:dyDescent="0.3">
      <c r="A4958" t="str">
        <f>"201663E0200"</f>
        <v>201663E0200</v>
      </c>
      <c r="B4958" s="2" t="s">
        <v>10026</v>
      </c>
      <c r="C4958">
        <v>20</v>
      </c>
      <c r="D4958" t="s">
        <v>79</v>
      </c>
      <c r="E4958">
        <v>23</v>
      </c>
      <c r="F4958" t="s">
        <v>9720</v>
      </c>
      <c r="G4958">
        <v>1663</v>
      </c>
      <c r="H4958">
        <v>2</v>
      </c>
      <c r="I4958" t="s">
        <v>145</v>
      </c>
      <c r="J4958">
        <v>0</v>
      </c>
      <c r="K4958">
        <v>2</v>
      </c>
      <c r="L4958">
        <v>2</v>
      </c>
      <c r="M4958">
        <v>44</v>
      </c>
      <c r="N4958">
        <v>109</v>
      </c>
      <c r="O4958">
        <v>2</v>
      </c>
      <c r="P4958">
        <v>109</v>
      </c>
      <c r="Q4958">
        <v>4</v>
      </c>
      <c r="R4958">
        <v>17</v>
      </c>
      <c r="S4958">
        <v>2</v>
      </c>
      <c r="T4958">
        <v>0</v>
      </c>
      <c r="U4958">
        <v>29</v>
      </c>
      <c r="V4958">
        <v>5</v>
      </c>
      <c r="W4958">
        <v>0</v>
      </c>
      <c r="X4958">
        <v>2</v>
      </c>
      <c r="Y4958">
        <v>44</v>
      </c>
      <c r="Z4958">
        <v>1</v>
      </c>
      <c r="AA4958">
        <v>0</v>
      </c>
      <c r="AB4958">
        <v>0</v>
      </c>
      <c r="AC4958">
        <v>0</v>
      </c>
      <c r="AD4958">
        <v>0</v>
      </c>
      <c r="AE4958">
        <v>0</v>
      </c>
      <c r="AF4958">
        <v>0</v>
      </c>
      <c r="AG4958">
        <v>0</v>
      </c>
      <c r="AH4958">
        <v>1</v>
      </c>
      <c r="AI4958">
        <v>0</v>
      </c>
      <c r="AJ4958">
        <v>0</v>
      </c>
      <c r="AK4958">
        <v>1</v>
      </c>
      <c r="AL4958">
        <v>0</v>
      </c>
      <c r="AM4958">
        <v>0</v>
      </c>
      <c r="AN4958">
        <v>0</v>
      </c>
      <c r="AT4958">
        <v>0</v>
      </c>
      <c r="AU4958">
        <v>3</v>
      </c>
      <c r="AV4958">
        <v>109</v>
      </c>
      <c r="AW4958">
        <v>109</v>
      </c>
      <c r="AX4958">
        <v>131</v>
      </c>
      <c r="BA4958">
        <v>1</v>
      </c>
      <c r="BC4958" t="s">
        <v>10027</v>
      </c>
      <c r="BD4958" s="4">
        <v>43283.050497685188</v>
      </c>
      <c r="BE4958" s="4">
        <v>43283.053611111114</v>
      </c>
      <c r="BF4958" s="4">
        <v>43283.053611111114</v>
      </c>
      <c r="BG4958" t="s">
        <v>83</v>
      </c>
      <c r="BH4958" t="s">
        <v>84</v>
      </c>
      <c r="BI4958" t="s">
        <v>85</v>
      </c>
    </row>
    <row r="4959" spans="1:61" x14ac:dyDescent="0.3">
      <c r="A4959" t="str">
        <f>"201664B0100"</f>
        <v>201664B0100</v>
      </c>
      <c r="B4959" t="s">
        <v>10028</v>
      </c>
      <c r="C4959">
        <v>20</v>
      </c>
      <c r="D4959" t="s">
        <v>79</v>
      </c>
      <c r="E4959">
        <v>23</v>
      </c>
      <c r="F4959" t="s">
        <v>9720</v>
      </c>
      <c r="G4959">
        <v>1664</v>
      </c>
      <c r="H4959">
        <v>1</v>
      </c>
      <c r="I4959" t="s">
        <v>81</v>
      </c>
      <c r="J4959">
        <v>0</v>
      </c>
      <c r="K4959">
        <v>2</v>
      </c>
      <c r="L4959">
        <v>2</v>
      </c>
      <c r="M4959">
        <v>157</v>
      </c>
      <c r="N4959">
        <v>404</v>
      </c>
      <c r="O4959">
        <v>1</v>
      </c>
      <c r="P4959">
        <v>404</v>
      </c>
      <c r="Q4959">
        <v>20</v>
      </c>
      <c r="R4959">
        <v>129</v>
      </c>
      <c r="S4959">
        <v>6</v>
      </c>
      <c r="T4959">
        <v>12</v>
      </c>
      <c r="U4959">
        <v>97</v>
      </c>
      <c r="V4959">
        <v>3</v>
      </c>
      <c r="W4959">
        <v>6</v>
      </c>
      <c r="X4959">
        <v>3</v>
      </c>
      <c r="Y4959">
        <v>87</v>
      </c>
      <c r="Z4959">
        <v>4</v>
      </c>
      <c r="AA4959">
        <v>0</v>
      </c>
      <c r="AB4959">
        <v>0</v>
      </c>
      <c r="AC4959">
        <v>0</v>
      </c>
      <c r="AD4959">
        <v>1</v>
      </c>
      <c r="AE4959">
        <v>1</v>
      </c>
      <c r="AF4959">
        <v>0</v>
      </c>
      <c r="AG4959">
        <v>5</v>
      </c>
      <c r="AH4959">
        <v>3</v>
      </c>
      <c r="AI4959">
        <v>0</v>
      </c>
      <c r="AJ4959">
        <v>0</v>
      </c>
      <c r="AK4959">
        <v>3</v>
      </c>
      <c r="AL4959">
        <v>2</v>
      </c>
      <c r="AM4959">
        <v>0</v>
      </c>
      <c r="AN4959">
        <v>0</v>
      </c>
      <c r="AT4959">
        <v>0</v>
      </c>
      <c r="AU4959">
        <v>22</v>
      </c>
      <c r="AV4959">
        <v>404</v>
      </c>
      <c r="AW4959">
        <v>404</v>
      </c>
      <c r="AX4959">
        <v>539</v>
      </c>
      <c r="BA4959">
        <v>1</v>
      </c>
      <c r="BC4959" t="s">
        <v>10029</v>
      </c>
      <c r="BD4959" s="4">
        <v>43283.52107638889</v>
      </c>
      <c r="BE4959" s="4">
        <v>43283.524467592593</v>
      </c>
      <c r="BF4959" s="4">
        <v>43283.524467592593</v>
      </c>
      <c r="BG4959" t="s">
        <v>83</v>
      </c>
      <c r="BH4959" t="s">
        <v>84</v>
      </c>
      <c r="BI4959" t="s">
        <v>85</v>
      </c>
    </row>
    <row r="4960" spans="1:61" x14ac:dyDescent="0.3">
      <c r="A4960" t="str">
        <f>"201664E0100"</f>
        <v>201664E0100</v>
      </c>
      <c r="B4960" s="2" t="s">
        <v>10030</v>
      </c>
      <c r="C4960">
        <v>20</v>
      </c>
      <c r="D4960" t="s">
        <v>79</v>
      </c>
      <c r="E4960">
        <v>23</v>
      </c>
      <c r="F4960" t="s">
        <v>9720</v>
      </c>
      <c r="G4960">
        <v>1664</v>
      </c>
      <c r="H4960">
        <v>1</v>
      </c>
      <c r="I4960" t="s">
        <v>145</v>
      </c>
      <c r="J4960">
        <v>0</v>
      </c>
      <c r="K4960">
        <v>2</v>
      </c>
      <c r="L4960">
        <v>2</v>
      </c>
      <c r="M4960">
        <v>61</v>
      </c>
      <c r="N4960">
        <v>105</v>
      </c>
      <c r="O4960">
        <v>6</v>
      </c>
      <c r="P4960">
        <v>105</v>
      </c>
      <c r="Q4960">
        <v>7</v>
      </c>
      <c r="R4960">
        <v>41</v>
      </c>
      <c r="S4960">
        <v>1</v>
      </c>
      <c r="T4960">
        <v>4</v>
      </c>
      <c r="U4960">
        <v>25</v>
      </c>
      <c r="V4960">
        <v>1</v>
      </c>
      <c r="W4960">
        <v>2</v>
      </c>
      <c r="X4960">
        <v>0</v>
      </c>
      <c r="Y4960">
        <v>12</v>
      </c>
      <c r="Z4960">
        <v>2</v>
      </c>
      <c r="AA4960">
        <v>0</v>
      </c>
      <c r="AB4960">
        <v>0</v>
      </c>
      <c r="AC4960">
        <v>0</v>
      </c>
      <c r="AD4960">
        <v>0</v>
      </c>
      <c r="AE4960">
        <v>0</v>
      </c>
      <c r="AF4960">
        <v>0</v>
      </c>
      <c r="AG4960">
        <v>0</v>
      </c>
      <c r="AH4960">
        <v>3</v>
      </c>
      <c r="AI4960">
        <v>0</v>
      </c>
      <c r="AJ4960">
        <v>0</v>
      </c>
      <c r="AK4960">
        <v>0</v>
      </c>
      <c r="AL4960">
        <v>1</v>
      </c>
      <c r="AM4960">
        <v>0</v>
      </c>
      <c r="AN4960">
        <v>0</v>
      </c>
      <c r="AT4960">
        <v>0</v>
      </c>
      <c r="AU4960">
        <v>6</v>
      </c>
      <c r="AV4960">
        <v>105</v>
      </c>
      <c r="AW4960">
        <v>105</v>
      </c>
      <c r="AX4960">
        <v>144</v>
      </c>
      <c r="BA4960">
        <v>1</v>
      </c>
      <c r="BC4960" s="2" t="s">
        <v>10031</v>
      </c>
      <c r="BD4960" s="4">
        <v>43283.458645833336</v>
      </c>
      <c r="BE4960" s="4">
        <v>43283.467662037037</v>
      </c>
      <c r="BF4960" s="4">
        <v>43283.467662037037</v>
      </c>
      <c r="BG4960" t="s">
        <v>83</v>
      </c>
      <c r="BH4960" t="s">
        <v>84</v>
      </c>
      <c r="BI4960" t="s">
        <v>85</v>
      </c>
    </row>
    <row r="4961" spans="1:61" x14ac:dyDescent="0.3">
      <c r="A4961" t="str">
        <f>"201908B0100"</f>
        <v>201908B0100</v>
      </c>
      <c r="B4961" t="s">
        <v>10032</v>
      </c>
      <c r="C4961">
        <v>20</v>
      </c>
      <c r="D4961" t="s">
        <v>79</v>
      </c>
      <c r="E4961">
        <v>23</v>
      </c>
      <c r="F4961" t="s">
        <v>9720</v>
      </c>
      <c r="G4961">
        <v>1908</v>
      </c>
      <c r="H4961">
        <v>1</v>
      </c>
      <c r="I4961" t="s">
        <v>81</v>
      </c>
      <c r="J4961">
        <v>0</v>
      </c>
      <c r="K4961">
        <v>2</v>
      </c>
      <c r="L4961">
        <v>2</v>
      </c>
      <c r="M4961">
        <v>377</v>
      </c>
      <c r="N4961" t="s">
        <v>100</v>
      </c>
      <c r="O4961">
        <v>2</v>
      </c>
      <c r="P4961">
        <v>263</v>
      </c>
      <c r="Q4961">
        <v>11</v>
      </c>
      <c r="R4961">
        <v>76</v>
      </c>
      <c r="S4961">
        <v>10</v>
      </c>
      <c r="T4961">
        <v>1</v>
      </c>
      <c r="U4961">
        <v>10</v>
      </c>
      <c r="V4961">
        <v>4</v>
      </c>
      <c r="W4961">
        <v>23</v>
      </c>
      <c r="X4961">
        <v>3</v>
      </c>
      <c r="Y4961">
        <v>96</v>
      </c>
      <c r="Z4961">
        <v>5</v>
      </c>
      <c r="AA4961">
        <v>2</v>
      </c>
      <c r="AB4961" t="s">
        <v>100</v>
      </c>
      <c r="AC4961" t="s">
        <v>100</v>
      </c>
      <c r="AD4961" t="s">
        <v>100</v>
      </c>
      <c r="AE4961" t="s">
        <v>100</v>
      </c>
      <c r="AF4961" t="s">
        <v>100</v>
      </c>
      <c r="AG4961" t="s">
        <v>100</v>
      </c>
      <c r="AH4961" t="s">
        <v>100</v>
      </c>
      <c r="AI4961" t="s">
        <v>100</v>
      </c>
      <c r="AJ4961" t="s">
        <v>100</v>
      </c>
      <c r="AK4961">
        <v>1</v>
      </c>
      <c r="AL4961" t="s">
        <v>100</v>
      </c>
      <c r="AM4961" t="s">
        <v>100</v>
      </c>
      <c r="AN4961" t="s">
        <v>100</v>
      </c>
      <c r="AT4961" t="s">
        <v>100</v>
      </c>
      <c r="AU4961">
        <v>21</v>
      </c>
      <c r="AV4961">
        <v>263</v>
      </c>
      <c r="AW4961">
        <v>263</v>
      </c>
      <c r="AX4961">
        <v>518</v>
      </c>
      <c r="AZ4961" t="s">
        <v>101</v>
      </c>
      <c r="BA4961">
        <v>1</v>
      </c>
      <c r="BC4961" t="s">
        <v>10033</v>
      </c>
      <c r="BD4961" s="4">
        <v>43283.172326388885</v>
      </c>
      <c r="BE4961" s="4">
        <v>43283.185034722221</v>
      </c>
      <c r="BF4961" s="4">
        <v>43283.185034722221</v>
      </c>
      <c r="BG4961" t="s">
        <v>83</v>
      </c>
      <c r="BH4961" t="s">
        <v>84</v>
      </c>
      <c r="BI4961" t="s">
        <v>85</v>
      </c>
    </row>
    <row r="4962" spans="1:61" x14ac:dyDescent="0.3">
      <c r="A4962" t="str">
        <f>"201908C0100"</f>
        <v>201908C0100</v>
      </c>
      <c r="B4962" t="s">
        <v>10034</v>
      </c>
      <c r="C4962">
        <v>20</v>
      </c>
      <c r="D4962" t="s">
        <v>79</v>
      </c>
      <c r="E4962">
        <v>23</v>
      </c>
      <c r="F4962" t="s">
        <v>9720</v>
      </c>
      <c r="G4962">
        <v>1908</v>
      </c>
      <c r="H4962">
        <v>1</v>
      </c>
      <c r="I4962" t="s">
        <v>89</v>
      </c>
      <c r="J4962">
        <v>0</v>
      </c>
      <c r="K4962">
        <v>2</v>
      </c>
      <c r="L4962">
        <v>2</v>
      </c>
      <c r="M4962">
        <v>318</v>
      </c>
      <c r="N4962">
        <v>222</v>
      </c>
      <c r="O4962">
        <v>1</v>
      </c>
      <c r="P4962">
        <v>222</v>
      </c>
      <c r="Q4962">
        <v>9</v>
      </c>
      <c r="R4962">
        <v>70</v>
      </c>
      <c r="S4962">
        <v>3</v>
      </c>
      <c r="T4962">
        <v>2</v>
      </c>
      <c r="U4962">
        <v>3</v>
      </c>
      <c r="V4962">
        <v>5</v>
      </c>
      <c r="W4962">
        <v>14</v>
      </c>
      <c r="X4962">
        <v>2</v>
      </c>
      <c r="Y4962">
        <v>95</v>
      </c>
      <c r="Z4962">
        <v>4</v>
      </c>
      <c r="AA4962" t="s">
        <v>100</v>
      </c>
      <c r="AB4962">
        <v>1</v>
      </c>
      <c r="AC4962" t="s">
        <v>100</v>
      </c>
      <c r="AD4962" t="s">
        <v>100</v>
      </c>
      <c r="AE4962">
        <v>1</v>
      </c>
      <c r="AF4962" t="s">
        <v>100</v>
      </c>
      <c r="AG4962" t="s">
        <v>100</v>
      </c>
      <c r="AH4962" t="s">
        <v>100</v>
      </c>
      <c r="AI4962" t="s">
        <v>100</v>
      </c>
      <c r="AJ4962">
        <v>1</v>
      </c>
      <c r="AK4962">
        <v>1</v>
      </c>
      <c r="AL4962" t="s">
        <v>100</v>
      </c>
      <c r="AM4962" t="s">
        <v>100</v>
      </c>
      <c r="AN4962" t="s">
        <v>100</v>
      </c>
      <c r="AT4962" t="s">
        <v>100</v>
      </c>
      <c r="AU4962" t="s">
        <v>100</v>
      </c>
      <c r="AV4962" t="s">
        <v>100</v>
      </c>
      <c r="AW4962">
        <v>211</v>
      </c>
      <c r="AX4962">
        <v>518</v>
      </c>
      <c r="AZ4962" t="s">
        <v>101</v>
      </c>
      <c r="BA4962">
        <v>1</v>
      </c>
      <c r="BC4962" t="s">
        <v>10035</v>
      </c>
      <c r="BD4962" s="4">
        <v>43283.169444444444</v>
      </c>
      <c r="BE4962" s="4">
        <v>43283.181423611109</v>
      </c>
      <c r="BF4962" s="4">
        <v>43283.181423611109</v>
      </c>
      <c r="BG4962" t="s">
        <v>83</v>
      </c>
      <c r="BH4962" t="s">
        <v>84</v>
      </c>
      <c r="BI4962" t="s">
        <v>85</v>
      </c>
    </row>
    <row r="4963" spans="1:61" x14ac:dyDescent="0.3">
      <c r="A4963" t="str">
        <f>"201908E0100"</f>
        <v>201908E0100</v>
      </c>
      <c r="B4963" s="2" t="s">
        <v>10036</v>
      </c>
      <c r="C4963">
        <v>20</v>
      </c>
      <c r="D4963" t="s">
        <v>79</v>
      </c>
      <c r="E4963">
        <v>23</v>
      </c>
      <c r="F4963" t="s">
        <v>9720</v>
      </c>
      <c r="G4963">
        <v>1908</v>
      </c>
      <c r="H4963">
        <v>1</v>
      </c>
      <c r="I4963" t="s">
        <v>145</v>
      </c>
      <c r="J4963">
        <v>0</v>
      </c>
      <c r="K4963">
        <v>2</v>
      </c>
      <c r="L4963">
        <v>2</v>
      </c>
      <c r="M4963">
        <v>339</v>
      </c>
      <c r="N4963">
        <v>0</v>
      </c>
      <c r="O4963">
        <v>0</v>
      </c>
      <c r="P4963">
        <v>0</v>
      </c>
      <c r="Q4963" t="s">
        <v>100</v>
      </c>
      <c r="R4963">
        <v>185</v>
      </c>
      <c r="S4963">
        <v>15</v>
      </c>
      <c r="T4963" t="s">
        <v>100</v>
      </c>
      <c r="U4963" t="s">
        <v>100</v>
      </c>
      <c r="V4963" t="s">
        <v>100</v>
      </c>
      <c r="W4963" t="s">
        <v>100</v>
      </c>
      <c r="X4963" t="s">
        <v>100</v>
      </c>
      <c r="Y4963">
        <v>108</v>
      </c>
      <c r="Z4963" t="s">
        <v>100</v>
      </c>
      <c r="AA4963" t="s">
        <v>100</v>
      </c>
      <c r="AB4963" t="s">
        <v>100</v>
      </c>
      <c r="AC4963" t="s">
        <v>100</v>
      </c>
      <c r="AD4963" t="s">
        <v>100</v>
      </c>
      <c r="AE4963" t="s">
        <v>100</v>
      </c>
      <c r="AF4963" t="s">
        <v>100</v>
      </c>
      <c r="AG4963" t="s">
        <v>100</v>
      </c>
      <c r="AH4963" t="s">
        <v>100</v>
      </c>
      <c r="AI4963" t="s">
        <v>100</v>
      </c>
      <c r="AJ4963" t="s">
        <v>100</v>
      </c>
      <c r="AK4963" t="s">
        <v>100</v>
      </c>
      <c r="AL4963" t="s">
        <v>100</v>
      </c>
      <c r="AM4963" t="s">
        <v>100</v>
      </c>
      <c r="AN4963" t="s">
        <v>100</v>
      </c>
      <c r="AT4963">
        <v>1</v>
      </c>
      <c r="AU4963">
        <v>20</v>
      </c>
      <c r="AV4963">
        <v>428</v>
      </c>
      <c r="AW4963">
        <v>329</v>
      </c>
      <c r="AX4963">
        <v>646</v>
      </c>
      <c r="AZ4963" t="s">
        <v>101</v>
      </c>
      <c r="BA4963">
        <v>1</v>
      </c>
      <c r="BC4963" t="s">
        <v>10037</v>
      </c>
      <c r="BD4963" s="4">
        <v>43283.173946759256</v>
      </c>
      <c r="BE4963" s="4">
        <v>43283.188206018516</v>
      </c>
      <c r="BF4963" s="4">
        <v>43283.188206018516</v>
      </c>
      <c r="BG4963" t="s">
        <v>83</v>
      </c>
      <c r="BH4963" t="s">
        <v>84</v>
      </c>
      <c r="BI4963" t="s">
        <v>85</v>
      </c>
    </row>
    <row r="4964" spans="1:61" x14ac:dyDescent="0.3">
      <c r="A4964" t="str">
        <f>"202128B0100"</f>
        <v>202128B0100</v>
      </c>
      <c r="B4964" t="s">
        <v>10038</v>
      </c>
      <c r="C4964">
        <v>20</v>
      </c>
      <c r="D4964" t="s">
        <v>79</v>
      </c>
      <c r="E4964">
        <v>23</v>
      </c>
      <c r="F4964" t="s">
        <v>9720</v>
      </c>
      <c r="G4964">
        <v>2128</v>
      </c>
      <c r="H4964">
        <v>1</v>
      </c>
      <c r="I4964" t="s">
        <v>81</v>
      </c>
      <c r="J4964">
        <v>0</v>
      </c>
      <c r="K4964">
        <v>2</v>
      </c>
      <c r="L4964">
        <v>2</v>
      </c>
      <c r="M4964">
        <v>121</v>
      </c>
      <c r="N4964">
        <v>497</v>
      </c>
      <c r="O4964">
        <v>0</v>
      </c>
      <c r="P4964">
        <v>497</v>
      </c>
      <c r="Q4964">
        <v>11</v>
      </c>
      <c r="R4964">
        <v>177</v>
      </c>
      <c r="S4964">
        <v>8</v>
      </c>
      <c r="T4964">
        <v>6</v>
      </c>
      <c r="U4964">
        <v>148</v>
      </c>
      <c r="V4964">
        <v>5</v>
      </c>
      <c r="W4964">
        <v>3</v>
      </c>
      <c r="X4964">
        <v>25</v>
      </c>
      <c r="Y4964">
        <v>74</v>
      </c>
      <c r="Z4964">
        <v>2</v>
      </c>
      <c r="AA4964">
        <v>2</v>
      </c>
      <c r="AB4964">
        <v>0</v>
      </c>
      <c r="AC4964">
        <v>0</v>
      </c>
      <c r="AD4964">
        <v>0</v>
      </c>
      <c r="AE4964">
        <v>0</v>
      </c>
      <c r="AF4964">
        <v>0</v>
      </c>
      <c r="AG4964">
        <v>0</v>
      </c>
      <c r="AH4964">
        <v>0</v>
      </c>
      <c r="AI4964">
        <v>0</v>
      </c>
      <c r="AJ4964">
        <v>0</v>
      </c>
      <c r="AK4964">
        <v>3</v>
      </c>
      <c r="AL4964">
        <v>1</v>
      </c>
      <c r="AM4964">
        <v>0</v>
      </c>
      <c r="AN4964">
        <v>0</v>
      </c>
      <c r="AT4964">
        <v>0</v>
      </c>
      <c r="AU4964">
        <v>32</v>
      </c>
      <c r="AV4964">
        <v>497</v>
      </c>
      <c r="AW4964">
        <v>497</v>
      </c>
      <c r="AX4964">
        <v>595</v>
      </c>
      <c r="BA4964">
        <v>1</v>
      </c>
      <c r="BC4964" t="s">
        <v>10039</v>
      </c>
      <c r="BD4964" s="4">
        <v>43283.268923611111</v>
      </c>
      <c r="BE4964" s="4">
        <v>43283.294594907406</v>
      </c>
      <c r="BF4964" s="4">
        <v>43283.294594907406</v>
      </c>
      <c r="BG4964" t="s">
        <v>83</v>
      </c>
      <c r="BH4964" t="s">
        <v>84</v>
      </c>
      <c r="BI4964" t="s">
        <v>85</v>
      </c>
    </row>
    <row r="4965" spans="1:61" x14ac:dyDescent="0.3">
      <c r="A4965" t="str">
        <f>"202128C0100"</f>
        <v>202128C0100</v>
      </c>
      <c r="B4965" t="s">
        <v>10040</v>
      </c>
      <c r="C4965">
        <v>20</v>
      </c>
      <c r="D4965" t="s">
        <v>79</v>
      </c>
      <c r="E4965">
        <v>23</v>
      </c>
      <c r="F4965" t="s">
        <v>9720</v>
      </c>
      <c r="G4965">
        <v>2128</v>
      </c>
      <c r="H4965">
        <v>1</v>
      </c>
      <c r="I4965" t="s">
        <v>89</v>
      </c>
      <c r="J4965">
        <v>0</v>
      </c>
      <c r="K4965">
        <v>2</v>
      </c>
      <c r="L4965">
        <v>2</v>
      </c>
      <c r="M4965">
        <v>119</v>
      </c>
      <c r="N4965">
        <v>498</v>
      </c>
      <c r="O4965">
        <v>0</v>
      </c>
      <c r="P4965" t="s">
        <v>100</v>
      </c>
      <c r="Q4965">
        <v>7</v>
      </c>
      <c r="R4965">
        <v>99</v>
      </c>
      <c r="S4965">
        <v>6</v>
      </c>
      <c r="T4965">
        <v>1</v>
      </c>
      <c r="U4965">
        <v>115</v>
      </c>
      <c r="V4965">
        <v>4</v>
      </c>
      <c r="W4965">
        <v>0</v>
      </c>
      <c r="X4965">
        <v>44</v>
      </c>
      <c r="Y4965">
        <v>81</v>
      </c>
      <c r="Z4965">
        <v>4</v>
      </c>
      <c r="AA4965">
        <v>0</v>
      </c>
      <c r="AB4965">
        <v>0</v>
      </c>
      <c r="AC4965">
        <v>0</v>
      </c>
      <c r="AD4965">
        <v>0</v>
      </c>
      <c r="AE4965">
        <v>0</v>
      </c>
      <c r="AF4965">
        <v>0</v>
      </c>
      <c r="AG4965">
        <v>0</v>
      </c>
      <c r="AH4965">
        <v>1</v>
      </c>
      <c r="AI4965">
        <v>2</v>
      </c>
      <c r="AJ4965">
        <v>0</v>
      </c>
      <c r="AK4965">
        <v>0</v>
      </c>
      <c r="AL4965">
        <v>1</v>
      </c>
      <c r="AM4965">
        <v>0</v>
      </c>
      <c r="AN4965">
        <v>0</v>
      </c>
      <c r="AT4965">
        <v>0</v>
      </c>
      <c r="AU4965">
        <v>32</v>
      </c>
      <c r="AV4965">
        <v>497</v>
      </c>
      <c r="AW4965">
        <v>397</v>
      </c>
      <c r="AX4965">
        <v>595</v>
      </c>
      <c r="BA4965">
        <v>1</v>
      </c>
      <c r="BC4965" t="s">
        <v>10041</v>
      </c>
      <c r="BD4965" s="4">
        <v>43283.276909722219</v>
      </c>
      <c r="BE4965" s="4">
        <v>43283.320983796293</v>
      </c>
      <c r="BF4965" s="4">
        <v>43283.320983796293</v>
      </c>
      <c r="BG4965" t="s">
        <v>83</v>
      </c>
      <c r="BH4965" t="s">
        <v>84</v>
      </c>
      <c r="BI4965" t="s">
        <v>85</v>
      </c>
    </row>
    <row r="4966" spans="1:61" x14ac:dyDescent="0.3">
      <c r="A4966" t="str">
        <f>"202129B0100"</f>
        <v>202129B0100</v>
      </c>
      <c r="B4966" t="s">
        <v>10042</v>
      </c>
      <c r="C4966">
        <v>20</v>
      </c>
      <c r="D4966" t="s">
        <v>79</v>
      </c>
      <c r="E4966">
        <v>23</v>
      </c>
      <c r="F4966" t="s">
        <v>9720</v>
      </c>
      <c r="G4966">
        <v>2129</v>
      </c>
      <c r="H4966">
        <v>1</v>
      </c>
      <c r="I4966" t="s">
        <v>81</v>
      </c>
      <c r="J4966">
        <v>0</v>
      </c>
      <c r="K4966">
        <v>2</v>
      </c>
      <c r="L4966">
        <v>2</v>
      </c>
      <c r="AX4966">
        <v>404</v>
      </c>
      <c r="AZ4966" t="s">
        <v>156</v>
      </c>
      <c r="BA4966">
        <v>0</v>
      </c>
      <c r="BC4966" t="s">
        <v>10043</v>
      </c>
      <c r="BD4966" s="4">
        <v>43283.710856481484</v>
      </c>
      <c r="BE4966" s="4">
        <v>43283.713078703702</v>
      </c>
      <c r="BF4966" s="4">
        <v>43283.713078703702</v>
      </c>
      <c r="BG4966" t="s">
        <v>83</v>
      </c>
      <c r="BH4966" t="s">
        <v>84</v>
      </c>
      <c r="BI4966" t="s">
        <v>85</v>
      </c>
    </row>
    <row r="4967" spans="1:61" x14ac:dyDescent="0.3">
      <c r="A4967" t="str">
        <f>"202129C0100"</f>
        <v>202129C0100</v>
      </c>
      <c r="B4967" t="s">
        <v>10044</v>
      </c>
      <c r="C4967">
        <v>20</v>
      </c>
      <c r="D4967" t="s">
        <v>79</v>
      </c>
      <c r="E4967">
        <v>23</v>
      </c>
      <c r="F4967" t="s">
        <v>9720</v>
      </c>
      <c r="G4967">
        <v>2129</v>
      </c>
      <c r="H4967">
        <v>1</v>
      </c>
      <c r="I4967" t="s">
        <v>89</v>
      </c>
      <c r="J4967">
        <v>0</v>
      </c>
      <c r="K4967">
        <v>2</v>
      </c>
      <c r="L4967">
        <v>2</v>
      </c>
      <c r="AX4967">
        <v>404</v>
      </c>
      <c r="AZ4967" t="s">
        <v>156</v>
      </c>
      <c r="BA4967">
        <v>0</v>
      </c>
      <c r="BC4967" t="s">
        <v>10045</v>
      </c>
      <c r="BD4967" s="4">
        <v>43283.710104166668</v>
      </c>
      <c r="BE4967" s="4">
        <v>43283.71266203704</v>
      </c>
      <c r="BF4967" s="4">
        <v>43283.71266203704</v>
      </c>
      <c r="BG4967" t="s">
        <v>83</v>
      </c>
      <c r="BH4967" t="s">
        <v>84</v>
      </c>
      <c r="BI4967" t="s">
        <v>85</v>
      </c>
    </row>
    <row r="4968" spans="1:61" x14ac:dyDescent="0.3">
      <c r="A4968" t="str">
        <f>"202129E0100"</f>
        <v>202129E0100</v>
      </c>
      <c r="B4968" s="2" t="s">
        <v>10046</v>
      </c>
      <c r="C4968">
        <v>20</v>
      </c>
      <c r="D4968" t="s">
        <v>79</v>
      </c>
      <c r="E4968">
        <v>23</v>
      </c>
      <c r="F4968" t="s">
        <v>9720</v>
      </c>
      <c r="G4968">
        <v>2129</v>
      </c>
      <c r="H4968">
        <v>1</v>
      </c>
      <c r="I4968" t="s">
        <v>145</v>
      </c>
      <c r="J4968">
        <v>0</v>
      </c>
      <c r="K4968">
        <v>2</v>
      </c>
      <c r="L4968">
        <v>2</v>
      </c>
      <c r="M4968">
        <v>132</v>
      </c>
      <c r="N4968">
        <v>347</v>
      </c>
      <c r="O4968">
        <v>3</v>
      </c>
      <c r="P4968">
        <v>347</v>
      </c>
      <c r="Q4968">
        <v>7</v>
      </c>
      <c r="R4968">
        <v>110</v>
      </c>
      <c r="S4968">
        <v>1</v>
      </c>
      <c r="T4968">
        <v>3</v>
      </c>
      <c r="U4968">
        <v>116</v>
      </c>
      <c r="V4968">
        <v>2</v>
      </c>
      <c r="W4968">
        <v>1</v>
      </c>
      <c r="X4968">
        <v>34</v>
      </c>
      <c r="Y4968">
        <v>56</v>
      </c>
      <c r="Z4968">
        <v>1</v>
      </c>
      <c r="AA4968">
        <v>0</v>
      </c>
      <c r="AB4968">
        <v>0</v>
      </c>
      <c r="AC4968">
        <v>0</v>
      </c>
      <c r="AD4968">
        <v>0</v>
      </c>
      <c r="AE4968">
        <v>0</v>
      </c>
      <c r="AF4968">
        <v>0</v>
      </c>
      <c r="AG4968">
        <v>1</v>
      </c>
      <c r="AH4968">
        <v>1</v>
      </c>
      <c r="AI4968">
        <v>0</v>
      </c>
      <c r="AJ4968">
        <v>0</v>
      </c>
      <c r="AK4968">
        <v>1</v>
      </c>
      <c r="AL4968">
        <v>1</v>
      </c>
      <c r="AM4968">
        <v>0</v>
      </c>
      <c r="AN4968">
        <v>0</v>
      </c>
      <c r="AT4968">
        <v>16</v>
      </c>
      <c r="AU4968">
        <v>16</v>
      </c>
      <c r="AV4968">
        <v>347</v>
      </c>
      <c r="AW4968">
        <v>367</v>
      </c>
      <c r="AX4968">
        <v>457</v>
      </c>
      <c r="BA4968">
        <v>1</v>
      </c>
      <c r="BC4968" t="s">
        <v>10047</v>
      </c>
      <c r="BD4968" s="4">
        <v>43283.481087962966</v>
      </c>
      <c r="BE4968" s="4">
        <v>43283.493564814817</v>
      </c>
      <c r="BF4968" s="4">
        <v>43283.493564814817</v>
      </c>
      <c r="BG4968" t="s">
        <v>83</v>
      </c>
      <c r="BH4968" t="s">
        <v>84</v>
      </c>
      <c r="BI4968" t="s">
        <v>85</v>
      </c>
    </row>
    <row r="4969" spans="1:61" x14ac:dyDescent="0.3">
      <c r="A4969" t="str">
        <f>"202130B0100"</f>
        <v>202130B0100</v>
      </c>
      <c r="B4969" t="s">
        <v>10048</v>
      </c>
      <c r="C4969">
        <v>20</v>
      </c>
      <c r="D4969" t="s">
        <v>79</v>
      </c>
      <c r="E4969">
        <v>23</v>
      </c>
      <c r="F4969" t="s">
        <v>9720</v>
      </c>
      <c r="G4969">
        <v>2130</v>
      </c>
      <c r="H4969">
        <v>1</v>
      </c>
      <c r="I4969" t="s">
        <v>81</v>
      </c>
      <c r="J4969">
        <v>0</v>
      </c>
      <c r="K4969">
        <v>2</v>
      </c>
      <c r="L4969">
        <v>2</v>
      </c>
      <c r="M4969">
        <v>85</v>
      </c>
      <c r="N4969">
        <v>261</v>
      </c>
      <c r="O4969">
        <v>0</v>
      </c>
      <c r="P4969">
        <v>261</v>
      </c>
      <c r="Q4969">
        <v>4</v>
      </c>
      <c r="R4969">
        <v>43</v>
      </c>
      <c r="S4969">
        <v>3</v>
      </c>
      <c r="T4969">
        <v>3</v>
      </c>
      <c r="U4969">
        <v>137</v>
      </c>
      <c r="V4969" t="s">
        <v>100</v>
      </c>
      <c r="W4969" t="s">
        <v>100</v>
      </c>
      <c r="X4969">
        <v>5</v>
      </c>
      <c r="Y4969">
        <v>52</v>
      </c>
      <c r="Z4969">
        <v>2</v>
      </c>
      <c r="AA4969" t="s">
        <v>100</v>
      </c>
      <c r="AB4969">
        <v>1</v>
      </c>
      <c r="AC4969" t="s">
        <v>100</v>
      </c>
      <c r="AD4969" t="s">
        <v>100</v>
      </c>
      <c r="AE4969" t="s">
        <v>100</v>
      </c>
      <c r="AF4969" t="s">
        <v>100</v>
      </c>
      <c r="AG4969" t="s">
        <v>100</v>
      </c>
      <c r="AH4969" t="s">
        <v>100</v>
      </c>
      <c r="AI4969" t="s">
        <v>100</v>
      </c>
      <c r="AJ4969" t="s">
        <v>100</v>
      </c>
      <c r="AK4969" t="s">
        <v>100</v>
      </c>
      <c r="AL4969">
        <v>4</v>
      </c>
      <c r="AM4969" t="s">
        <v>100</v>
      </c>
      <c r="AN4969" t="s">
        <v>100</v>
      </c>
      <c r="AT4969" t="s">
        <v>100</v>
      </c>
      <c r="AU4969">
        <v>6</v>
      </c>
      <c r="AV4969">
        <v>261</v>
      </c>
      <c r="AW4969">
        <v>260</v>
      </c>
      <c r="AX4969">
        <v>324</v>
      </c>
      <c r="AZ4969" t="s">
        <v>101</v>
      </c>
      <c r="BA4969">
        <v>1</v>
      </c>
      <c r="BC4969" s="2" t="s">
        <v>10049</v>
      </c>
      <c r="BD4969" s="4">
        <v>43283.267187500001</v>
      </c>
      <c r="BE4969" s="4">
        <v>43283.291944444441</v>
      </c>
      <c r="BF4969" s="4">
        <v>43283.291944444441</v>
      </c>
      <c r="BG4969" t="s">
        <v>83</v>
      </c>
      <c r="BH4969" t="s">
        <v>84</v>
      </c>
      <c r="BI4969" t="s">
        <v>85</v>
      </c>
    </row>
    <row r="4970" spans="1:61" x14ac:dyDescent="0.3">
      <c r="A4970" t="str">
        <f>"202130E0100"</f>
        <v>202130E0100</v>
      </c>
      <c r="B4970" s="2" t="s">
        <v>10050</v>
      </c>
      <c r="C4970">
        <v>20</v>
      </c>
      <c r="D4970" t="s">
        <v>79</v>
      </c>
      <c r="E4970">
        <v>23</v>
      </c>
      <c r="F4970" t="s">
        <v>9720</v>
      </c>
      <c r="G4970">
        <v>2130</v>
      </c>
      <c r="H4970">
        <v>1</v>
      </c>
      <c r="I4970" t="s">
        <v>145</v>
      </c>
      <c r="J4970">
        <v>0</v>
      </c>
      <c r="K4970">
        <v>2</v>
      </c>
      <c r="L4970">
        <v>2</v>
      </c>
      <c r="M4970">
        <v>82</v>
      </c>
      <c r="N4970">
        <v>325</v>
      </c>
      <c r="O4970">
        <v>0</v>
      </c>
      <c r="P4970">
        <v>325</v>
      </c>
      <c r="Q4970">
        <v>5</v>
      </c>
      <c r="R4970">
        <v>97</v>
      </c>
      <c r="S4970">
        <v>5</v>
      </c>
      <c r="T4970">
        <v>1</v>
      </c>
      <c r="U4970">
        <v>188</v>
      </c>
      <c r="V4970">
        <v>0</v>
      </c>
      <c r="W4970">
        <v>0</v>
      </c>
      <c r="X4970">
        <v>1</v>
      </c>
      <c r="Y4970">
        <v>23</v>
      </c>
      <c r="Z4970">
        <v>1</v>
      </c>
      <c r="AA4970">
        <v>0</v>
      </c>
      <c r="AB4970">
        <v>0</v>
      </c>
      <c r="AC4970">
        <v>0</v>
      </c>
      <c r="AD4970">
        <v>0</v>
      </c>
      <c r="AE4970">
        <v>0</v>
      </c>
      <c r="AF4970">
        <v>0</v>
      </c>
      <c r="AG4970">
        <v>1</v>
      </c>
      <c r="AH4970">
        <v>1</v>
      </c>
      <c r="AI4970">
        <v>0</v>
      </c>
      <c r="AJ4970">
        <v>0</v>
      </c>
      <c r="AK4970">
        <v>0</v>
      </c>
      <c r="AL4970">
        <v>1</v>
      </c>
      <c r="AM4970">
        <v>0</v>
      </c>
      <c r="AN4970">
        <v>0</v>
      </c>
      <c r="AT4970">
        <v>0</v>
      </c>
      <c r="AU4970">
        <v>1</v>
      </c>
      <c r="AV4970">
        <v>325</v>
      </c>
      <c r="AW4970">
        <v>325</v>
      </c>
      <c r="AX4970">
        <v>385</v>
      </c>
      <c r="BA4970">
        <v>1</v>
      </c>
      <c r="BC4970" t="s">
        <v>10051</v>
      </c>
      <c r="BD4970" s="4">
        <v>43283.48332175926</v>
      </c>
      <c r="BE4970" s="4">
        <v>43283.487488425926</v>
      </c>
      <c r="BF4970" s="4">
        <v>43283.487488425926</v>
      </c>
      <c r="BG4970" t="s">
        <v>83</v>
      </c>
      <c r="BH4970" t="s">
        <v>84</v>
      </c>
      <c r="BI4970" t="s">
        <v>85</v>
      </c>
    </row>
    <row r="4971" spans="1:61" x14ac:dyDescent="0.3">
      <c r="A4971" t="str">
        <f>"202130E0200"</f>
        <v>202130E0200</v>
      </c>
      <c r="B4971" s="2" t="s">
        <v>10052</v>
      </c>
      <c r="C4971">
        <v>20</v>
      </c>
      <c r="D4971" t="s">
        <v>79</v>
      </c>
      <c r="E4971">
        <v>23</v>
      </c>
      <c r="F4971" t="s">
        <v>9720</v>
      </c>
      <c r="G4971">
        <v>2130</v>
      </c>
      <c r="H4971">
        <v>2</v>
      </c>
      <c r="I4971" t="s">
        <v>145</v>
      </c>
      <c r="J4971">
        <v>0</v>
      </c>
      <c r="K4971">
        <v>2</v>
      </c>
      <c r="L4971">
        <v>2</v>
      </c>
      <c r="M4971">
        <v>67</v>
      </c>
      <c r="N4971">
        <v>160</v>
      </c>
      <c r="O4971">
        <v>0</v>
      </c>
      <c r="P4971">
        <v>160</v>
      </c>
      <c r="Q4971">
        <v>0</v>
      </c>
      <c r="R4971">
        <v>70</v>
      </c>
      <c r="S4971">
        <v>0</v>
      </c>
      <c r="T4971">
        <v>1</v>
      </c>
      <c r="U4971">
        <v>66</v>
      </c>
      <c r="V4971">
        <v>1</v>
      </c>
      <c r="W4971">
        <v>0</v>
      </c>
      <c r="X4971">
        <v>4</v>
      </c>
      <c r="Y4971">
        <v>11</v>
      </c>
      <c r="Z4971">
        <v>1</v>
      </c>
      <c r="AA4971">
        <v>1</v>
      </c>
      <c r="AB4971">
        <v>0</v>
      </c>
      <c r="AC4971">
        <v>0</v>
      </c>
      <c r="AD4971">
        <v>0</v>
      </c>
      <c r="AE4971">
        <v>0</v>
      </c>
      <c r="AF4971">
        <v>0</v>
      </c>
      <c r="AG4971">
        <v>0</v>
      </c>
      <c r="AH4971">
        <v>0</v>
      </c>
      <c r="AI4971">
        <v>0</v>
      </c>
      <c r="AJ4971">
        <v>0</v>
      </c>
      <c r="AK4971">
        <v>0</v>
      </c>
      <c r="AL4971">
        <v>2</v>
      </c>
      <c r="AM4971">
        <v>0</v>
      </c>
      <c r="AN4971">
        <v>0</v>
      </c>
      <c r="AT4971">
        <v>0</v>
      </c>
      <c r="AU4971">
        <v>3</v>
      </c>
      <c r="AV4971">
        <v>160</v>
      </c>
      <c r="AW4971">
        <v>160</v>
      </c>
      <c r="AX4971">
        <v>205</v>
      </c>
      <c r="BA4971">
        <v>1</v>
      </c>
      <c r="BC4971" t="s">
        <v>10053</v>
      </c>
      <c r="BD4971" s="4">
        <v>43283.281608796293</v>
      </c>
      <c r="BE4971" s="4">
        <v>43283.310983796298</v>
      </c>
      <c r="BF4971" s="4">
        <v>43283.310983796298</v>
      </c>
      <c r="BG4971" t="s">
        <v>83</v>
      </c>
      <c r="BH4971" t="s">
        <v>84</v>
      </c>
      <c r="BI4971" t="s">
        <v>85</v>
      </c>
    </row>
    <row r="4972" spans="1:61" x14ac:dyDescent="0.3">
      <c r="A4972" t="str">
        <f>"202150B0100"</f>
        <v>202150B0100</v>
      </c>
      <c r="B4972" t="s">
        <v>10054</v>
      </c>
      <c r="C4972">
        <v>20</v>
      </c>
      <c r="D4972" t="s">
        <v>79</v>
      </c>
      <c r="E4972">
        <v>23</v>
      </c>
      <c r="F4972" t="s">
        <v>9720</v>
      </c>
      <c r="G4972">
        <v>2150</v>
      </c>
      <c r="H4972">
        <v>1</v>
      </c>
      <c r="I4972" t="s">
        <v>81</v>
      </c>
      <c r="J4972">
        <v>0</v>
      </c>
      <c r="K4972">
        <v>2</v>
      </c>
      <c r="L4972">
        <v>2</v>
      </c>
      <c r="M4972">
        <v>245</v>
      </c>
      <c r="N4972">
        <v>465</v>
      </c>
      <c r="O4972">
        <v>0</v>
      </c>
      <c r="P4972">
        <v>465</v>
      </c>
      <c r="Q4972">
        <v>104</v>
      </c>
      <c r="R4972">
        <v>124</v>
      </c>
      <c r="S4972">
        <v>18</v>
      </c>
      <c r="T4972">
        <v>2</v>
      </c>
      <c r="U4972">
        <v>40</v>
      </c>
      <c r="V4972">
        <v>5</v>
      </c>
      <c r="W4972">
        <v>18</v>
      </c>
      <c r="X4972">
        <v>0</v>
      </c>
      <c r="Y4972">
        <v>138</v>
      </c>
      <c r="Z4972">
        <v>1</v>
      </c>
      <c r="AA4972">
        <v>1</v>
      </c>
      <c r="AB4972">
        <v>1</v>
      </c>
      <c r="AC4972">
        <v>1</v>
      </c>
      <c r="AD4972">
        <v>0</v>
      </c>
      <c r="AE4972">
        <v>0</v>
      </c>
      <c r="AF4972">
        <v>0</v>
      </c>
      <c r="AG4972">
        <v>0</v>
      </c>
      <c r="AH4972">
        <v>0</v>
      </c>
      <c r="AI4972">
        <v>0</v>
      </c>
      <c r="AJ4972">
        <v>0</v>
      </c>
      <c r="AK4972">
        <v>0</v>
      </c>
      <c r="AL4972">
        <v>0</v>
      </c>
      <c r="AM4972">
        <v>0</v>
      </c>
      <c r="AN4972">
        <v>0</v>
      </c>
      <c r="AT4972">
        <v>0</v>
      </c>
      <c r="AU4972">
        <v>12</v>
      </c>
      <c r="AV4972">
        <v>465</v>
      </c>
      <c r="AW4972">
        <v>465</v>
      </c>
      <c r="AX4972">
        <v>688</v>
      </c>
      <c r="BA4972">
        <v>1</v>
      </c>
      <c r="BC4972" t="s">
        <v>10055</v>
      </c>
      <c r="BD4972" s="4">
        <v>43283.192615740743</v>
      </c>
      <c r="BE4972" s="4">
        <v>43283.209513888891</v>
      </c>
      <c r="BF4972" s="4">
        <v>43283.209513888891</v>
      </c>
      <c r="BG4972" t="s">
        <v>83</v>
      </c>
      <c r="BH4972" t="s">
        <v>84</v>
      </c>
      <c r="BI4972" t="s">
        <v>85</v>
      </c>
    </row>
    <row r="4973" spans="1:61" x14ac:dyDescent="0.3">
      <c r="A4973" t="str">
        <f>"202150C0100"</f>
        <v>202150C0100</v>
      </c>
      <c r="B4973" t="s">
        <v>10056</v>
      </c>
      <c r="C4973">
        <v>20</v>
      </c>
      <c r="D4973" t="s">
        <v>79</v>
      </c>
      <c r="E4973">
        <v>23</v>
      </c>
      <c r="F4973" t="s">
        <v>9720</v>
      </c>
      <c r="G4973">
        <v>2150</v>
      </c>
      <c r="H4973">
        <v>1</v>
      </c>
      <c r="I4973" t="s">
        <v>89</v>
      </c>
      <c r="J4973">
        <v>0</v>
      </c>
      <c r="K4973">
        <v>2</v>
      </c>
      <c r="L4973">
        <v>2</v>
      </c>
      <c r="M4973">
        <v>230</v>
      </c>
      <c r="N4973">
        <v>478</v>
      </c>
      <c r="O4973">
        <v>0</v>
      </c>
      <c r="P4973" t="s">
        <v>100</v>
      </c>
      <c r="Q4973">
        <v>81</v>
      </c>
      <c r="R4973">
        <v>134</v>
      </c>
      <c r="S4973">
        <v>13</v>
      </c>
      <c r="T4973">
        <v>7</v>
      </c>
      <c r="U4973">
        <v>55</v>
      </c>
      <c r="V4973">
        <v>6</v>
      </c>
      <c r="W4973">
        <v>26</v>
      </c>
      <c r="X4973">
        <v>8</v>
      </c>
      <c r="Y4973">
        <v>125</v>
      </c>
      <c r="Z4973">
        <v>3</v>
      </c>
      <c r="AA4973">
        <v>0</v>
      </c>
      <c r="AB4973">
        <v>0</v>
      </c>
      <c r="AC4973">
        <v>0</v>
      </c>
      <c r="AD4973">
        <v>0</v>
      </c>
      <c r="AE4973">
        <v>0</v>
      </c>
      <c r="AF4973">
        <v>0</v>
      </c>
      <c r="AG4973">
        <v>0</v>
      </c>
      <c r="AH4973">
        <v>0</v>
      </c>
      <c r="AI4973">
        <v>0</v>
      </c>
      <c r="AJ4973">
        <v>0</v>
      </c>
      <c r="AK4973">
        <v>2</v>
      </c>
      <c r="AL4973">
        <v>1</v>
      </c>
      <c r="AM4973">
        <v>0</v>
      </c>
      <c r="AN4973">
        <v>0</v>
      </c>
      <c r="AT4973">
        <v>0</v>
      </c>
      <c r="AU4973">
        <v>21</v>
      </c>
      <c r="AV4973">
        <v>482</v>
      </c>
      <c r="AW4973">
        <v>482</v>
      </c>
      <c r="AX4973">
        <v>687</v>
      </c>
      <c r="BA4973">
        <v>1</v>
      </c>
      <c r="BC4973" t="s">
        <v>10057</v>
      </c>
      <c r="BD4973" s="4">
        <v>43283.195011574076</v>
      </c>
      <c r="BE4973" s="4">
        <v>43283.210578703707</v>
      </c>
      <c r="BF4973" s="4">
        <v>43283.210578703707</v>
      </c>
      <c r="BG4973" t="s">
        <v>83</v>
      </c>
      <c r="BH4973" t="s">
        <v>84</v>
      </c>
      <c r="BI4973" t="s">
        <v>85</v>
      </c>
    </row>
    <row r="4974" spans="1:61" x14ac:dyDescent="0.3">
      <c r="A4974" t="str">
        <f>"202150C0200"</f>
        <v>202150C0200</v>
      </c>
      <c r="B4974" t="s">
        <v>10058</v>
      </c>
      <c r="C4974">
        <v>20</v>
      </c>
      <c r="D4974" t="s">
        <v>79</v>
      </c>
      <c r="E4974">
        <v>23</v>
      </c>
      <c r="F4974" t="s">
        <v>9720</v>
      </c>
      <c r="G4974">
        <v>2150</v>
      </c>
      <c r="H4974">
        <v>2</v>
      </c>
      <c r="I4974" t="s">
        <v>89</v>
      </c>
      <c r="J4974">
        <v>0</v>
      </c>
      <c r="K4974">
        <v>2</v>
      </c>
      <c r="L4974">
        <v>2</v>
      </c>
      <c r="M4974">
        <v>242</v>
      </c>
      <c r="N4974" t="s">
        <v>100</v>
      </c>
      <c r="O4974" t="s">
        <v>100</v>
      </c>
      <c r="P4974" t="s">
        <v>100</v>
      </c>
      <c r="Q4974">
        <v>91</v>
      </c>
      <c r="R4974">
        <v>141</v>
      </c>
      <c r="S4974">
        <v>6</v>
      </c>
      <c r="T4974">
        <v>6</v>
      </c>
      <c r="U4974">
        <v>60</v>
      </c>
      <c r="V4974">
        <v>5</v>
      </c>
      <c r="W4974">
        <v>10</v>
      </c>
      <c r="X4974">
        <v>6</v>
      </c>
      <c r="Y4974">
        <v>108</v>
      </c>
      <c r="Z4974">
        <v>2</v>
      </c>
      <c r="AA4974">
        <v>0</v>
      </c>
      <c r="AB4974">
        <v>0</v>
      </c>
      <c r="AC4974">
        <v>2</v>
      </c>
      <c r="AD4974">
        <v>1</v>
      </c>
      <c r="AE4974">
        <v>0</v>
      </c>
      <c r="AF4974">
        <v>0</v>
      </c>
      <c r="AG4974">
        <v>0</v>
      </c>
      <c r="AH4974">
        <v>2</v>
      </c>
      <c r="AI4974">
        <v>1</v>
      </c>
      <c r="AJ4974">
        <v>0</v>
      </c>
      <c r="AK4974">
        <v>2</v>
      </c>
      <c r="AL4974">
        <v>1</v>
      </c>
      <c r="AM4974">
        <v>0</v>
      </c>
      <c r="AN4974">
        <v>0</v>
      </c>
      <c r="AT4974" t="s">
        <v>100</v>
      </c>
      <c r="AU4974">
        <v>21</v>
      </c>
      <c r="AV4974" t="s">
        <v>100</v>
      </c>
      <c r="AW4974">
        <v>465</v>
      </c>
      <c r="AX4974">
        <v>687</v>
      </c>
      <c r="AZ4974" t="s">
        <v>101</v>
      </c>
      <c r="BA4974">
        <v>1</v>
      </c>
      <c r="BC4974" t="s">
        <v>10059</v>
      </c>
      <c r="BD4974" s="4">
        <v>43283.212280092594</v>
      </c>
      <c r="BE4974" s="4">
        <v>43283.232766203706</v>
      </c>
      <c r="BF4974" s="4">
        <v>43283.232766203706</v>
      </c>
      <c r="BG4974" t="s">
        <v>83</v>
      </c>
      <c r="BH4974" t="s">
        <v>84</v>
      </c>
      <c r="BI4974" t="s">
        <v>85</v>
      </c>
    </row>
    <row r="4975" spans="1:61" x14ac:dyDescent="0.3">
      <c r="A4975" t="str">
        <f>"202150C0300"</f>
        <v>202150C0300</v>
      </c>
      <c r="B4975" t="s">
        <v>10060</v>
      </c>
      <c r="C4975">
        <v>20</v>
      </c>
      <c r="D4975" t="s">
        <v>79</v>
      </c>
      <c r="E4975">
        <v>23</v>
      </c>
      <c r="F4975" t="s">
        <v>9720</v>
      </c>
      <c r="G4975">
        <v>2150</v>
      </c>
      <c r="H4975">
        <v>3</v>
      </c>
      <c r="I4975" t="s">
        <v>89</v>
      </c>
      <c r="J4975">
        <v>0</v>
      </c>
      <c r="K4975">
        <v>2</v>
      </c>
      <c r="L4975">
        <v>2</v>
      </c>
      <c r="M4975">
        <v>232</v>
      </c>
      <c r="N4975">
        <v>477</v>
      </c>
      <c r="O4975">
        <v>0</v>
      </c>
      <c r="P4975">
        <v>476</v>
      </c>
      <c r="Q4975">
        <v>90</v>
      </c>
      <c r="R4975">
        <v>125</v>
      </c>
      <c r="S4975">
        <v>7</v>
      </c>
      <c r="T4975">
        <v>0</v>
      </c>
      <c r="U4975">
        <v>66</v>
      </c>
      <c r="V4975">
        <v>5</v>
      </c>
      <c r="W4975">
        <v>15</v>
      </c>
      <c r="X4975">
        <v>2</v>
      </c>
      <c r="Y4975">
        <v>142</v>
      </c>
      <c r="Z4975">
        <v>4</v>
      </c>
      <c r="AA4975">
        <v>1</v>
      </c>
      <c r="AB4975">
        <v>0</v>
      </c>
      <c r="AC4975">
        <v>1</v>
      </c>
      <c r="AD4975">
        <v>0</v>
      </c>
      <c r="AE4975">
        <v>0</v>
      </c>
      <c r="AF4975">
        <v>0</v>
      </c>
      <c r="AG4975">
        <v>0</v>
      </c>
      <c r="AH4975">
        <v>0</v>
      </c>
      <c r="AI4975">
        <v>0</v>
      </c>
      <c r="AJ4975">
        <v>0</v>
      </c>
      <c r="AK4975">
        <v>0</v>
      </c>
      <c r="AL4975">
        <v>0</v>
      </c>
      <c r="AM4975">
        <v>0</v>
      </c>
      <c r="AN4975">
        <v>1</v>
      </c>
      <c r="AT4975">
        <v>0</v>
      </c>
      <c r="AU4975">
        <v>16</v>
      </c>
      <c r="AV4975">
        <v>476</v>
      </c>
      <c r="AW4975">
        <v>475</v>
      </c>
      <c r="AX4975">
        <v>687</v>
      </c>
      <c r="BA4975">
        <v>1</v>
      </c>
      <c r="BC4975" t="s">
        <v>10061</v>
      </c>
      <c r="BD4975" s="4">
        <v>43283.212743055556</v>
      </c>
      <c r="BE4975" s="4">
        <v>43283.233298611114</v>
      </c>
      <c r="BF4975" s="4">
        <v>43283.233298611114</v>
      </c>
      <c r="BG4975" t="s">
        <v>83</v>
      </c>
      <c r="BH4975" t="s">
        <v>84</v>
      </c>
      <c r="BI4975" t="s">
        <v>85</v>
      </c>
    </row>
    <row r="4976" spans="1:61" x14ac:dyDescent="0.3">
      <c r="A4976" t="str">
        <f>"202265B0100"</f>
        <v>202265B0100</v>
      </c>
      <c r="B4976" t="s">
        <v>10062</v>
      </c>
      <c r="C4976">
        <v>20</v>
      </c>
      <c r="D4976" t="s">
        <v>79</v>
      </c>
      <c r="E4976">
        <v>23</v>
      </c>
      <c r="F4976" t="s">
        <v>9720</v>
      </c>
      <c r="G4976">
        <v>2265</v>
      </c>
      <c r="H4976">
        <v>1</v>
      </c>
      <c r="I4976" t="s">
        <v>81</v>
      </c>
      <c r="J4976">
        <v>0</v>
      </c>
      <c r="K4976">
        <v>2</v>
      </c>
      <c r="L4976">
        <v>2</v>
      </c>
      <c r="M4976">
        <v>214</v>
      </c>
      <c r="N4976">
        <v>501</v>
      </c>
      <c r="O4976">
        <v>1</v>
      </c>
      <c r="P4976">
        <v>501</v>
      </c>
      <c r="Q4976">
        <v>4</v>
      </c>
      <c r="R4976">
        <v>193</v>
      </c>
      <c r="S4976">
        <v>6</v>
      </c>
      <c r="T4976">
        <v>9</v>
      </c>
      <c r="U4976">
        <v>13</v>
      </c>
      <c r="V4976">
        <v>4</v>
      </c>
      <c r="W4976">
        <v>1</v>
      </c>
      <c r="X4976">
        <v>4</v>
      </c>
      <c r="Y4976">
        <v>240</v>
      </c>
      <c r="Z4976">
        <v>2</v>
      </c>
      <c r="AA4976">
        <v>0</v>
      </c>
      <c r="AB4976">
        <v>3</v>
      </c>
      <c r="AC4976">
        <v>0</v>
      </c>
      <c r="AD4976">
        <v>0</v>
      </c>
      <c r="AE4976">
        <v>0</v>
      </c>
      <c r="AF4976">
        <v>0</v>
      </c>
      <c r="AG4976">
        <v>2</v>
      </c>
      <c r="AH4976">
        <v>3</v>
      </c>
      <c r="AI4976">
        <v>0</v>
      </c>
      <c r="AJ4976">
        <v>0</v>
      </c>
      <c r="AK4976">
        <v>2</v>
      </c>
      <c r="AL4976">
        <v>0</v>
      </c>
      <c r="AM4976">
        <v>0</v>
      </c>
      <c r="AN4976">
        <v>2</v>
      </c>
      <c r="AT4976">
        <v>0</v>
      </c>
      <c r="AU4976">
        <v>13</v>
      </c>
      <c r="AV4976" t="s">
        <v>100</v>
      </c>
      <c r="AW4976">
        <v>501</v>
      </c>
      <c r="AX4976">
        <v>693</v>
      </c>
      <c r="BA4976">
        <v>1</v>
      </c>
      <c r="BC4976" t="s">
        <v>10063</v>
      </c>
      <c r="BD4976" s="4">
        <v>43283.170011574075</v>
      </c>
      <c r="BE4976" s="4">
        <v>43283.184270833335</v>
      </c>
      <c r="BF4976" s="4">
        <v>43283.184270833335</v>
      </c>
      <c r="BG4976" t="s">
        <v>83</v>
      </c>
      <c r="BH4976" t="s">
        <v>84</v>
      </c>
      <c r="BI4976" t="s">
        <v>85</v>
      </c>
    </row>
    <row r="4977" spans="1:61" x14ac:dyDescent="0.3">
      <c r="A4977" t="str">
        <f>"202265C0100"</f>
        <v>202265C0100</v>
      </c>
      <c r="B4977" t="s">
        <v>10064</v>
      </c>
      <c r="C4977">
        <v>20</v>
      </c>
      <c r="D4977" t="s">
        <v>79</v>
      </c>
      <c r="E4977">
        <v>23</v>
      </c>
      <c r="F4977" t="s">
        <v>9720</v>
      </c>
      <c r="G4977">
        <v>2265</v>
      </c>
      <c r="H4977">
        <v>1</v>
      </c>
      <c r="I4977" t="s">
        <v>89</v>
      </c>
      <c r="J4977">
        <v>0</v>
      </c>
      <c r="K4977">
        <v>2</v>
      </c>
      <c r="L4977">
        <v>2</v>
      </c>
      <c r="M4977">
        <v>197</v>
      </c>
      <c r="N4977">
        <v>518</v>
      </c>
      <c r="O4977">
        <v>0</v>
      </c>
      <c r="P4977">
        <v>518</v>
      </c>
      <c r="Q4977">
        <v>6</v>
      </c>
      <c r="R4977">
        <v>167</v>
      </c>
      <c r="S4977">
        <v>10</v>
      </c>
      <c r="T4977">
        <v>5</v>
      </c>
      <c r="U4977">
        <v>13</v>
      </c>
      <c r="V4977">
        <v>6</v>
      </c>
      <c r="W4977">
        <v>6</v>
      </c>
      <c r="X4977">
        <v>4</v>
      </c>
      <c r="Y4977">
        <v>274</v>
      </c>
      <c r="Z4977">
        <v>7</v>
      </c>
      <c r="AA4977">
        <v>1</v>
      </c>
      <c r="AB4977">
        <v>1</v>
      </c>
      <c r="AC4977">
        <v>0</v>
      </c>
      <c r="AD4977">
        <v>0</v>
      </c>
      <c r="AE4977">
        <v>0</v>
      </c>
      <c r="AF4977">
        <v>0</v>
      </c>
      <c r="AG4977">
        <v>0</v>
      </c>
      <c r="AH4977">
        <v>2</v>
      </c>
      <c r="AI4977">
        <v>0</v>
      </c>
      <c r="AJ4977">
        <v>0</v>
      </c>
      <c r="AK4977">
        <v>1</v>
      </c>
      <c r="AL4977">
        <v>1</v>
      </c>
      <c r="AM4977">
        <v>2</v>
      </c>
      <c r="AN4977">
        <v>0</v>
      </c>
      <c r="AT4977">
        <v>0</v>
      </c>
      <c r="AU4977">
        <v>12</v>
      </c>
      <c r="AV4977">
        <v>518</v>
      </c>
      <c r="AW4977">
        <v>518</v>
      </c>
      <c r="AX4977">
        <v>693</v>
      </c>
      <c r="BA4977">
        <v>1</v>
      </c>
      <c r="BC4977" t="s">
        <v>10065</v>
      </c>
      <c r="BD4977" s="4">
        <v>43283.173321759263</v>
      </c>
      <c r="BE4977" s="4">
        <v>43283.185520833336</v>
      </c>
      <c r="BF4977" s="4">
        <v>43283.185520833336</v>
      </c>
      <c r="BG4977" t="s">
        <v>83</v>
      </c>
      <c r="BH4977" t="s">
        <v>84</v>
      </c>
      <c r="BI4977" t="s">
        <v>85</v>
      </c>
    </row>
    <row r="4978" spans="1:61" x14ac:dyDescent="0.3">
      <c r="A4978" t="str">
        <f>"202265C0200"</f>
        <v>202265C0200</v>
      </c>
      <c r="B4978" t="s">
        <v>10066</v>
      </c>
      <c r="C4978">
        <v>20</v>
      </c>
      <c r="D4978" t="s">
        <v>79</v>
      </c>
      <c r="E4978">
        <v>23</v>
      </c>
      <c r="F4978" t="s">
        <v>9720</v>
      </c>
      <c r="G4978">
        <v>2265</v>
      </c>
      <c r="H4978">
        <v>2</v>
      </c>
      <c r="I4978" t="s">
        <v>89</v>
      </c>
      <c r="J4978">
        <v>0</v>
      </c>
      <c r="K4978">
        <v>2</v>
      </c>
      <c r="L4978">
        <v>2</v>
      </c>
      <c r="M4978">
        <v>205</v>
      </c>
      <c r="N4978">
        <v>509</v>
      </c>
      <c r="O4978">
        <v>0</v>
      </c>
      <c r="P4978">
        <v>509</v>
      </c>
      <c r="Q4978">
        <v>8</v>
      </c>
      <c r="R4978">
        <v>166</v>
      </c>
      <c r="S4978">
        <v>8</v>
      </c>
      <c r="T4978">
        <v>5</v>
      </c>
      <c r="U4978">
        <v>14</v>
      </c>
      <c r="V4978">
        <v>6</v>
      </c>
      <c r="W4978">
        <v>2</v>
      </c>
      <c r="X4978">
        <v>4</v>
      </c>
      <c r="Y4978">
        <v>268</v>
      </c>
      <c r="Z4978">
        <v>10</v>
      </c>
      <c r="AA4978">
        <v>2</v>
      </c>
      <c r="AB4978">
        <v>1</v>
      </c>
      <c r="AC4978">
        <v>1</v>
      </c>
      <c r="AD4978">
        <v>0</v>
      </c>
      <c r="AE4978">
        <v>0</v>
      </c>
      <c r="AF4978">
        <v>0</v>
      </c>
      <c r="AG4978">
        <v>0</v>
      </c>
      <c r="AH4978">
        <v>1</v>
      </c>
      <c r="AI4978">
        <v>0</v>
      </c>
      <c r="AJ4978">
        <v>0</v>
      </c>
      <c r="AK4978">
        <v>1</v>
      </c>
      <c r="AL4978">
        <v>0</v>
      </c>
      <c r="AM4978">
        <v>0</v>
      </c>
      <c r="AN4978">
        <v>0</v>
      </c>
      <c r="AT4978">
        <v>0</v>
      </c>
      <c r="AU4978">
        <v>12</v>
      </c>
      <c r="AV4978">
        <v>509</v>
      </c>
      <c r="AW4978">
        <v>509</v>
      </c>
      <c r="AX4978">
        <v>692</v>
      </c>
      <c r="BA4978">
        <v>1</v>
      </c>
      <c r="BC4978" t="s">
        <v>10067</v>
      </c>
      <c r="BD4978" s="4">
        <v>43283.166238425925</v>
      </c>
      <c r="BE4978" s="4">
        <v>43283.176701388889</v>
      </c>
      <c r="BF4978" s="4">
        <v>43283.176701388889</v>
      </c>
      <c r="BG4978" t="s">
        <v>83</v>
      </c>
      <c r="BH4978" t="s">
        <v>84</v>
      </c>
      <c r="BI4978" t="s">
        <v>85</v>
      </c>
    </row>
    <row r="4979" spans="1:61" x14ac:dyDescent="0.3">
      <c r="A4979" t="str">
        <f>"202266B0100"</f>
        <v>202266B0100</v>
      </c>
      <c r="B4979" t="s">
        <v>10068</v>
      </c>
      <c r="C4979">
        <v>20</v>
      </c>
      <c r="D4979" t="s">
        <v>79</v>
      </c>
      <c r="E4979">
        <v>23</v>
      </c>
      <c r="F4979" t="s">
        <v>9720</v>
      </c>
      <c r="G4979">
        <v>2266</v>
      </c>
      <c r="H4979">
        <v>1</v>
      </c>
      <c r="I4979" t="s">
        <v>81</v>
      </c>
      <c r="J4979">
        <v>0</v>
      </c>
      <c r="K4979">
        <v>2</v>
      </c>
      <c r="L4979">
        <v>2</v>
      </c>
      <c r="M4979">
        <v>231</v>
      </c>
      <c r="N4979">
        <v>477</v>
      </c>
      <c r="O4979">
        <v>2</v>
      </c>
      <c r="P4979">
        <v>477</v>
      </c>
      <c r="Q4979">
        <v>10</v>
      </c>
      <c r="R4979">
        <v>154</v>
      </c>
      <c r="S4979">
        <v>12</v>
      </c>
      <c r="T4979">
        <v>2</v>
      </c>
      <c r="U4979">
        <v>7</v>
      </c>
      <c r="V4979">
        <v>3</v>
      </c>
      <c r="W4979">
        <v>0</v>
      </c>
      <c r="X4979">
        <v>5</v>
      </c>
      <c r="Y4979">
        <v>266</v>
      </c>
      <c r="Z4979">
        <v>7</v>
      </c>
      <c r="AA4979">
        <v>1</v>
      </c>
      <c r="AB4979">
        <v>1</v>
      </c>
      <c r="AC4979">
        <v>0</v>
      </c>
      <c r="AD4979">
        <v>0</v>
      </c>
      <c r="AE4979">
        <v>0</v>
      </c>
      <c r="AF4979">
        <v>0</v>
      </c>
      <c r="AG4979">
        <v>0</v>
      </c>
      <c r="AH4979">
        <v>0</v>
      </c>
      <c r="AI4979">
        <v>0</v>
      </c>
      <c r="AJ4979">
        <v>0</v>
      </c>
      <c r="AK4979">
        <v>0</v>
      </c>
      <c r="AL4979">
        <v>0</v>
      </c>
      <c r="AM4979">
        <v>0</v>
      </c>
      <c r="AN4979">
        <v>0</v>
      </c>
      <c r="AT4979">
        <v>0</v>
      </c>
      <c r="AU4979">
        <v>9</v>
      </c>
      <c r="AV4979">
        <v>477</v>
      </c>
      <c r="AW4979">
        <v>477</v>
      </c>
      <c r="AX4979">
        <v>686</v>
      </c>
      <c r="BA4979">
        <v>1</v>
      </c>
      <c r="BC4979" t="s">
        <v>10069</v>
      </c>
      <c r="BD4979" s="4">
        <v>43283.185300925928</v>
      </c>
      <c r="BE4979" s="4">
        <v>43283.201782407406</v>
      </c>
      <c r="BF4979" s="4">
        <v>43283.201782407406</v>
      </c>
      <c r="BG4979" t="s">
        <v>83</v>
      </c>
      <c r="BH4979" t="s">
        <v>84</v>
      </c>
      <c r="BI4979" t="s">
        <v>85</v>
      </c>
    </row>
    <row r="4980" spans="1:61" x14ac:dyDescent="0.3">
      <c r="A4980" t="str">
        <f>"202266C0100"</f>
        <v>202266C0100</v>
      </c>
      <c r="B4980" t="s">
        <v>10070</v>
      </c>
      <c r="C4980">
        <v>20</v>
      </c>
      <c r="D4980" t="s">
        <v>79</v>
      </c>
      <c r="E4980">
        <v>23</v>
      </c>
      <c r="F4980" t="s">
        <v>9720</v>
      </c>
      <c r="G4980">
        <v>2266</v>
      </c>
      <c r="H4980">
        <v>1</v>
      </c>
      <c r="I4980" t="s">
        <v>89</v>
      </c>
      <c r="J4980">
        <v>0</v>
      </c>
      <c r="K4980">
        <v>2</v>
      </c>
      <c r="L4980">
        <v>2</v>
      </c>
      <c r="M4980">
        <v>225</v>
      </c>
      <c r="N4980">
        <v>482</v>
      </c>
      <c r="O4980">
        <v>3</v>
      </c>
      <c r="P4980">
        <v>482</v>
      </c>
      <c r="Q4980">
        <v>3</v>
      </c>
      <c r="R4980">
        <v>160</v>
      </c>
      <c r="S4980">
        <v>17</v>
      </c>
      <c r="T4980">
        <v>1</v>
      </c>
      <c r="U4980">
        <v>8</v>
      </c>
      <c r="V4980">
        <v>4</v>
      </c>
      <c r="W4980">
        <v>2</v>
      </c>
      <c r="X4980">
        <v>1</v>
      </c>
      <c r="Y4980">
        <v>254</v>
      </c>
      <c r="Z4980">
        <v>4</v>
      </c>
      <c r="AA4980">
        <v>0</v>
      </c>
      <c r="AB4980">
        <v>3</v>
      </c>
      <c r="AC4980">
        <v>0</v>
      </c>
      <c r="AD4980">
        <v>0</v>
      </c>
      <c r="AE4980">
        <v>0</v>
      </c>
      <c r="AF4980">
        <v>0</v>
      </c>
      <c r="AG4980">
        <v>0</v>
      </c>
      <c r="AH4980">
        <v>5</v>
      </c>
      <c r="AI4980">
        <v>0</v>
      </c>
      <c r="AJ4980">
        <v>0</v>
      </c>
      <c r="AK4980">
        <v>5</v>
      </c>
      <c r="AL4980">
        <v>0</v>
      </c>
      <c r="AM4980">
        <v>0</v>
      </c>
      <c r="AN4980">
        <v>1</v>
      </c>
      <c r="AT4980">
        <v>0</v>
      </c>
      <c r="AU4980">
        <v>14</v>
      </c>
      <c r="AV4980">
        <v>482</v>
      </c>
      <c r="AW4980">
        <v>482</v>
      </c>
      <c r="AX4980">
        <v>685</v>
      </c>
      <c r="BA4980">
        <v>1</v>
      </c>
      <c r="BC4980" t="s">
        <v>10071</v>
      </c>
      <c r="BD4980" s="4">
        <v>43283.181712962964</v>
      </c>
      <c r="BE4980" s="4">
        <v>43283.198773148149</v>
      </c>
      <c r="BF4980" s="4">
        <v>43283.198773148149</v>
      </c>
      <c r="BG4980" t="s">
        <v>83</v>
      </c>
      <c r="BH4980" t="s">
        <v>84</v>
      </c>
      <c r="BI4980" t="s">
        <v>85</v>
      </c>
    </row>
    <row r="4981" spans="1:61" x14ac:dyDescent="0.3">
      <c r="A4981" t="str">
        <f>"202267B0100"</f>
        <v>202267B0100</v>
      </c>
      <c r="B4981" t="s">
        <v>10072</v>
      </c>
      <c r="C4981">
        <v>20</v>
      </c>
      <c r="D4981" t="s">
        <v>79</v>
      </c>
      <c r="E4981">
        <v>23</v>
      </c>
      <c r="F4981" t="s">
        <v>9720</v>
      </c>
      <c r="G4981">
        <v>2267</v>
      </c>
      <c r="H4981">
        <v>1</v>
      </c>
      <c r="I4981" t="s">
        <v>81</v>
      </c>
      <c r="J4981">
        <v>0</v>
      </c>
      <c r="K4981">
        <v>1</v>
      </c>
      <c r="L4981">
        <v>2</v>
      </c>
      <c r="M4981">
        <v>166</v>
      </c>
      <c r="N4981">
        <v>368</v>
      </c>
      <c r="O4981">
        <v>2</v>
      </c>
      <c r="P4981">
        <v>368</v>
      </c>
      <c r="Q4981">
        <v>4</v>
      </c>
      <c r="R4981">
        <v>100</v>
      </c>
      <c r="S4981">
        <v>12</v>
      </c>
      <c r="T4981">
        <v>2</v>
      </c>
      <c r="U4981">
        <v>6</v>
      </c>
      <c r="V4981">
        <v>3</v>
      </c>
      <c r="W4981">
        <v>0</v>
      </c>
      <c r="X4981">
        <v>1</v>
      </c>
      <c r="Y4981">
        <v>226</v>
      </c>
      <c r="Z4981">
        <v>2</v>
      </c>
      <c r="AA4981">
        <v>1</v>
      </c>
      <c r="AB4981">
        <v>1</v>
      </c>
      <c r="AC4981">
        <v>0</v>
      </c>
      <c r="AD4981">
        <v>0</v>
      </c>
      <c r="AE4981">
        <v>0</v>
      </c>
      <c r="AF4981">
        <v>0</v>
      </c>
      <c r="AG4981">
        <v>1</v>
      </c>
      <c r="AH4981">
        <v>0</v>
      </c>
      <c r="AI4981">
        <v>0</v>
      </c>
      <c r="AJ4981">
        <v>0</v>
      </c>
      <c r="AK4981">
        <v>1</v>
      </c>
      <c r="AL4981">
        <v>0</v>
      </c>
      <c r="AM4981">
        <v>1</v>
      </c>
      <c r="AN4981">
        <v>0</v>
      </c>
      <c r="AT4981">
        <v>0</v>
      </c>
      <c r="AU4981">
        <v>7</v>
      </c>
      <c r="AV4981">
        <v>368</v>
      </c>
      <c r="AW4981">
        <v>368</v>
      </c>
      <c r="AX4981">
        <v>512</v>
      </c>
      <c r="BA4981">
        <v>1</v>
      </c>
      <c r="BC4981" t="s">
        <v>10073</v>
      </c>
      <c r="BD4981" s="4">
        <v>43283.180243055554</v>
      </c>
      <c r="BE4981" s="4">
        <v>43283.196608796294</v>
      </c>
      <c r="BF4981" s="4">
        <v>43283.196608796294</v>
      </c>
      <c r="BG4981" t="s">
        <v>83</v>
      </c>
      <c r="BH4981" t="s">
        <v>84</v>
      </c>
      <c r="BI4981" t="s">
        <v>85</v>
      </c>
    </row>
    <row r="4982" spans="1:61" x14ac:dyDescent="0.3">
      <c r="A4982" t="str">
        <f>"202267C0100"</f>
        <v>202267C0100</v>
      </c>
      <c r="B4982" t="s">
        <v>10074</v>
      </c>
      <c r="C4982">
        <v>20</v>
      </c>
      <c r="D4982" t="s">
        <v>79</v>
      </c>
      <c r="E4982">
        <v>23</v>
      </c>
      <c r="F4982" t="s">
        <v>9720</v>
      </c>
      <c r="G4982">
        <v>2267</v>
      </c>
      <c r="H4982">
        <v>1</v>
      </c>
      <c r="I4982" t="s">
        <v>89</v>
      </c>
      <c r="J4982">
        <v>0</v>
      </c>
      <c r="K4982">
        <v>1</v>
      </c>
      <c r="L4982">
        <v>2</v>
      </c>
      <c r="M4982">
        <v>138</v>
      </c>
      <c r="N4982">
        <v>396</v>
      </c>
      <c r="O4982">
        <v>2</v>
      </c>
      <c r="P4982">
        <v>396</v>
      </c>
      <c r="Q4982">
        <v>5</v>
      </c>
      <c r="R4982">
        <v>94</v>
      </c>
      <c r="S4982">
        <v>5</v>
      </c>
      <c r="T4982">
        <v>2</v>
      </c>
      <c r="U4982">
        <v>4</v>
      </c>
      <c r="V4982">
        <v>7</v>
      </c>
      <c r="W4982">
        <v>1</v>
      </c>
      <c r="X4982">
        <v>2</v>
      </c>
      <c r="Y4982">
        <v>242</v>
      </c>
      <c r="Z4982">
        <v>10</v>
      </c>
      <c r="AA4982">
        <v>0</v>
      </c>
      <c r="AB4982">
        <v>1</v>
      </c>
      <c r="AC4982">
        <v>0</v>
      </c>
      <c r="AD4982">
        <v>0</v>
      </c>
      <c r="AE4982">
        <v>0</v>
      </c>
      <c r="AF4982">
        <v>0</v>
      </c>
      <c r="AG4982">
        <v>2</v>
      </c>
      <c r="AH4982">
        <v>1</v>
      </c>
      <c r="AI4982">
        <v>0</v>
      </c>
      <c r="AJ4982">
        <v>0</v>
      </c>
      <c r="AK4982">
        <v>0</v>
      </c>
      <c r="AL4982">
        <v>1</v>
      </c>
      <c r="AM4982">
        <v>0</v>
      </c>
      <c r="AN4982">
        <v>2</v>
      </c>
      <c r="AT4982">
        <v>0</v>
      </c>
      <c r="AU4982">
        <v>12</v>
      </c>
      <c r="AV4982">
        <v>396</v>
      </c>
      <c r="AW4982">
        <v>391</v>
      </c>
      <c r="AX4982">
        <v>512</v>
      </c>
      <c r="BA4982">
        <v>1</v>
      </c>
      <c r="BC4982" t="s">
        <v>10075</v>
      </c>
      <c r="BD4982" s="4">
        <v>43283.18378472222</v>
      </c>
      <c r="BE4982" s="4">
        <v>43283.200555555559</v>
      </c>
      <c r="BF4982" s="4">
        <v>43283.200555555559</v>
      </c>
      <c r="BG4982" t="s">
        <v>83</v>
      </c>
      <c r="BH4982" t="s">
        <v>84</v>
      </c>
      <c r="BI4982" t="s">
        <v>85</v>
      </c>
    </row>
    <row r="4983" spans="1:61" x14ac:dyDescent="0.3">
      <c r="A4983" t="str">
        <f>"202268B0100"</f>
        <v>202268B0100</v>
      </c>
      <c r="B4983" t="s">
        <v>10076</v>
      </c>
      <c r="C4983">
        <v>20</v>
      </c>
      <c r="D4983" t="s">
        <v>79</v>
      </c>
      <c r="E4983">
        <v>23</v>
      </c>
      <c r="F4983" t="s">
        <v>9720</v>
      </c>
      <c r="G4983">
        <v>2268</v>
      </c>
      <c r="H4983">
        <v>1</v>
      </c>
      <c r="I4983" t="s">
        <v>81</v>
      </c>
      <c r="J4983">
        <v>0</v>
      </c>
      <c r="K4983">
        <v>2</v>
      </c>
      <c r="L4983">
        <v>2</v>
      </c>
      <c r="M4983">
        <v>224</v>
      </c>
      <c r="N4983">
        <v>306</v>
      </c>
      <c r="O4983">
        <v>1</v>
      </c>
      <c r="P4983">
        <v>306</v>
      </c>
      <c r="Q4983">
        <v>8</v>
      </c>
      <c r="R4983">
        <v>110</v>
      </c>
      <c r="S4983">
        <v>8</v>
      </c>
      <c r="T4983">
        <v>8</v>
      </c>
      <c r="U4983">
        <v>13</v>
      </c>
      <c r="V4983">
        <v>8</v>
      </c>
      <c r="W4983">
        <v>1</v>
      </c>
      <c r="X4983">
        <v>3</v>
      </c>
      <c r="Y4983">
        <v>113</v>
      </c>
      <c r="Z4983">
        <v>2</v>
      </c>
      <c r="AA4983">
        <v>1</v>
      </c>
      <c r="AB4983">
        <v>0</v>
      </c>
      <c r="AC4983">
        <v>0</v>
      </c>
      <c r="AD4983">
        <v>0</v>
      </c>
      <c r="AE4983">
        <v>0</v>
      </c>
      <c r="AF4983">
        <v>0</v>
      </c>
      <c r="AG4983">
        <v>5</v>
      </c>
      <c r="AH4983">
        <v>0</v>
      </c>
      <c r="AI4983">
        <v>0</v>
      </c>
      <c r="AJ4983">
        <v>0</v>
      </c>
      <c r="AK4983">
        <v>6</v>
      </c>
      <c r="AL4983">
        <v>0</v>
      </c>
      <c r="AM4983">
        <v>0</v>
      </c>
      <c r="AN4983">
        <v>0</v>
      </c>
      <c r="AT4983">
        <v>0</v>
      </c>
      <c r="AU4983">
        <v>20</v>
      </c>
      <c r="AV4983">
        <v>306</v>
      </c>
      <c r="AW4983">
        <v>306</v>
      </c>
      <c r="AX4983">
        <v>508</v>
      </c>
      <c r="BA4983">
        <v>1</v>
      </c>
      <c r="BC4983" t="s">
        <v>10077</v>
      </c>
      <c r="BD4983" s="4">
        <v>43283.092870370368</v>
      </c>
      <c r="BE4983" s="4">
        <v>43283.096122685187</v>
      </c>
      <c r="BF4983" s="4">
        <v>43283.096122685187</v>
      </c>
      <c r="BG4983" t="s">
        <v>83</v>
      </c>
      <c r="BH4983" t="s">
        <v>84</v>
      </c>
      <c r="BI4983" t="s">
        <v>85</v>
      </c>
    </row>
    <row r="4984" spans="1:61" x14ac:dyDescent="0.3">
      <c r="A4984" t="str">
        <f>"202268C0100"</f>
        <v>202268C0100</v>
      </c>
      <c r="B4984" t="s">
        <v>10078</v>
      </c>
      <c r="C4984">
        <v>20</v>
      </c>
      <c r="D4984" t="s">
        <v>79</v>
      </c>
      <c r="E4984">
        <v>23</v>
      </c>
      <c r="F4984" t="s">
        <v>9720</v>
      </c>
      <c r="G4984">
        <v>2268</v>
      </c>
      <c r="H4984">
        <v>1</v>
      </c>
      <c r="I4984" t="s">
        <v>89</v>
      </c>
      <c r="J4984">
        <v>0</v>
      </c>
      <c r="K4984">
        <v>2</v>
      </c>
      <c r="L4984">
        <v>2</v>
      </c>
      <c r="M4984">
        <v>218</v>
      </c>
      <c r="N4984">
        <v>311</v>
      </c>
      <c r="O4984">
        <v>2</v>
      </c>
      <c r="P4984">
        <v>311</v>
      </c>
      <c r="Q4984">
        <v>7</v>
      </c>
      <c r="R4984">
        <v>131</v>
      </c>
      <c r="S4984">
        <v>8</v>
      </c>
      <c r="T4984">
        <v>10</v>
      </c>
      <c r="U4984">
        <v>12</v>
      </c>
      <c r="V4984">
        <v>3</v>
      </c>
      <c r="W4984">
        <v>1</v>
      </c>
      <c r="X4984">
        <v>3</v>
      </c>
      <c r="Y4984">
        <v>103</v>
      </c>
      <c r="Z4984">
        <v>10</v>
      </c>
      <c r="AA4984">
        <v>0</v>
      </c>
      <c r="AB4984">
        <v>2</v>
      </c>
      <c r="AC4984">
        <v>0</v>
      </c>
      <c r="AD4984">
        <v>0</v>
      </c>
      <c r="AE4984">
        <v>0</v>
      </c>
      <c r="AF4984">
        <v>0</v>
      </c>
      <c r="AG4984">
        <v>0</v>
      </c>
      <c r="AH4984">
        <v>4</v>
      </c>
      <c r="AI4984">
        <v>0</v>
      </c>
      <c r="AJ4984">
        <v>0</v>
      </c>
      <c r="AK4984">
        <v>0</v>
      </c>
      <c r="AL4984">
        <v>0</v>
      </c>
      <c r="AM4984">
        <v>0</v>
      </c>
      <c r="AN4984">
        <v>0</v>
      </c>
      <c r="AT4984">
        <v>0</v>
      </c>
      <c r="AU4984">
        <v>17</v>
      </c>
      <c r="AV4984">
        <v>311</v>
      </c>
      <c r="AW4984">
        <v>311</v>
      </c>
      <c r="AX4984">
        <v>507</v>
      </c>
      <c r="BA4984">
        <v>1</v>
      </c>
      <c r="BC4984" t="s">
        <v>10079</v>
      </c>
      <c r="BD4984" s="4">
        <v>43283.090462962966</v>
      </c>
      <c r="BE4984" s="4">
        <v>43283.093275462961</v>
      </c>
      <c r="BF4984" s="4">
        <v>43283.093275462961</v>
      </c>
      <c r="BG4984" t="s">
        <v>83</v>
      </c>
      <c r="BH4984" t="s">
        <v>84</v>
      </c>
      <c r="BI4984" t="s">
        <v>85</v>
      </c>
    </row>
    <row r="4985" spans="1:61" x14ac:dyDescent="0.3">
      <c r="A4985" t="str">
        <f>"202268C0200"</f>
        <v>202268C0200</v>
      </c>
      <c r="B4985" t="s">
        <v>10080</v>
      </c>
      <c r="C4985">
        <v>20</v>
      </c>
      <c r="D4985" t="s">
        <v>79</v>
      </c>
      <c r="E4985">
        <v>23</v>
      </c>
      <c r="F4985" t="s">
        <v>9720</v>
      </c>
      <c r="G4985">
        <v>2268</v>
      </c>
      <c r="H4985">
        <v>2</v>
      </c>
      <c r="I4985" t="s">
        <v>89</v>
      </c>
      <c r="J4985">
        <v>0</v>
      </c>
      <c r="K4985">
        <v>2</v>
      </c>
      <c r="L4985">
        <v>2</v>
      </c>
      <c r="M4985">
        <v>220</v>
      </c>
      <c r="N4985">
        <v>309</v>
      </c>
      <c r="O4985">
        <v>0</v>
      </c>
      <c r="P4985">
        <v>309</v>
      </c>
      <c r="Q4985">
        <v>6</v>
      </c>
      <c r="R4985">
        <v>115</v>
      </c>
      <c r="S4985">
        <v>10</v>
      </c>
      <c r="T4985">
        <v>6</v>
      </c>
      <c r="U4985">
        <v>9</v>
      </c>
      <c r="V4985">
        <v>6</v>
      </c>
      <c r="W4985">
        <v>2</v>
      </c>
      <c r="X4985">
        <v>3</v>
      </c>
      <c r="Y4985">
        <v>124</v>
      </c>
      <c r="Z4985">
        <v>2</v>
      </c>
      <c r="AA4985">
        <v>1</v>
      </c>
      <c r="AB4985">
        <v>7</v>
      </c>
      <c r="AC4985">
        <v>0</v>
      </c>
      <c r="AD4985">
        <v>0</v>
      </c>
      <c r="AE4985">
        <v>0</v>
      </c>
      <c r="AF4985">
        <v>0</v>
      </c>
      <c r="AG4985">
        <v>0</v>
      </c>
      <c r="AH4985">
        <v>2</v>
      </c>
      <c r="AI4985">
        <v>2</v>
      </c>
      <c r="AJ4985">
        <v>0</v>
      </c>
      <c r="AK4985">
        <v>0</v>
      </c>
      <c r="AL4985">
        <v>1</v>
      </c>
      <c r="AM4985">
        <v>0</v>
      </c>
      <c r="AN4985">
        <v>0</v>
      </c>
      <c r="AT4985">
        <v>0</v>
      </c>
      <c r="AU4985">
        <v>13</v>
      </c>
      <c r="AV4985">
        <v>309</v>
      </c>
      <c r="AW4985">
        <v>309</v>
      </c>
      <c r="AX4985">
        <v>507</v>
      </c>
      <c r="BA4985">
        <v>1</v>
      </c>
      <c r="BC4985" t="s">
        <v>10081</v>
      </c>
      <c r="BD4985" s="4">
        <v>43283.091157407405</v>
      </c>
      <c r="BE4985" s="4">
        <v>43283.09579861111</v>
      </c>
      <c r="BF4985" s="4">
        <v>43283.09579861111</v>
      </c>
      <c r="BG4985" t="s">
        <v>83</v>
      </c>
      <c r="BH4985" t="s">
        <v>84</v>
      </c>
      <c r="BI4985" t="s">
        <v>85</v>
      </c>
    </row>
    <row r="4986" spans="1:61" x14ac:dyDescent="0.3">
      <c r="A4986" t="str">
        <f>"202268E0100"</f>
        <v>202268E0100</v>
      </c>
      <c r="B4986" s="2" t="s">
        <v>10082</v>
      </c>
      <c r="C4986">
        <v>20</v>
      </c>
      <c r="D4986" t="s">
        <v>79</v>
      </c>
      <c r="E4986">
        <v>23</v>
      </c>
      <c r="F4986" t="s">
        <v>9720</v>
      </c>
      <c r="G4986">
        <v>2268</v>
      </c>
      <c r="H4986">
        <v>1</v>
      </c>
      <c r="I4986" t="s">
        <v>145</v>
      </c>
      <c r="J4986">
        <v>0</v>
      </c>
      <c r="K4986">
        <v>2</v>
      </c>
      <c r="L4986">
        <v>2</v>
      </c>
      <c r="M4986">
        <v>75</v>
      </c>
      <c r="N4986">
        <v>90</v>
      </c>
      <c r="O4986">
        <v>2</v>
      </c>
      <c r="P4986">
        <v>90</v>
      </c>
      <c r="Q4986">
        <v>1</v>
      </c>
      <c r="R4986">
        <v>47</v>
      </c>
      <c r="S4986">
        <v>1</v>
      </c>
      <c r="T4986">
        <v>0</v>
      </c>
      <c r="U4986">
        <v>1</v>
      </c>
      <c r="V4986">
        <v>1</v>
      </c>
      <c r="W4986">
        <v>0</v>
      </c>
      <c r="X4986">
        <v>1</v>
      </c>
      <c r="Y4986">
        <v>32</v>
      </c>
      <c r="Z4986">
        <v>2</v>
      </c>
      <c r="AA4986">
        <v>0</v>
      </c>
      <c r="AB4986">
        <v>0</v>
      </c>
      <c r="AC4986">
        <v>0</v>
      </c>
      <c r="AD4986">
        <v>0</v>
      </c>
      <c r="AE4986">
        <v>0</v>
      </c>
      <c r="AF4986">
        <v>0</v>
      </c>
      <c r="AG4986">
        <v>1</v>
      </c>
      <c r="AH4986">
        <v>0</v>
      </c>
      <c r="AI4986">
        <v>0</v>
      </c>
      <c r="AJ4986">
        <v>0</v>
      </c>
      <c r="AK4986">
        <v>0</v>
      </c>
      <c r="AL4986">
        <v>1</v>
      </c>
      <c r="AM4986">
        <v>0</v>
      </c>
      <c r="AN4986">
        <v>2</v>
      </c>
      <c r="AT4986">
        <v>0</v>
      </c>
      <c r="AU4986">
        <v>1</v>
      </c>
      <c r="AV4986">
        <v>90</v>
      </c>
      <c r="AW4986">
        <v>91</v>
      </c>
      <c r="AX4986">
        <v>143</v>
      </c>
      <c r="BA4986">
        <v>1</v>
      </c>
      <c r="BC4986" t="s">
        <v>10083</v>
      </c>
      <c r="BD4986" s="4">
        <v>43283.162870370368</v>
      </c>
      <c r="BE4986" s="4">
        <v>43283.172743055555</v>
      </c>
      <c r="BF4986" s="4">
        <v>43283.172743055555</v>
      </c>
      <c r="BG4986" t="s">
        <v>83</v>
      </c>
      <c r="BH4986" t="s">
        <v>84</v>
      </c>
      <c r="BI4986" t="s">
        <v>85</v>
      </c>
    </row>
    <row r="4987" spans="1:61" x14ac:dyDescent="0.3">
      <c r="A4987" t="str">
        <f>"202268E0200"</f>
        <v>202268E0200</v>
      </c>
      <c r="B4987" s="2" t="s">
        <v>10084</v>
      </c>
      <c r="C4987">
        <v>20</v>
      </c>
      <c r="D4987" t="s">
        <v>79</v>
      </c>
      <c r="E4987">
        <v>23</v>
      </c>
      <c r="F4987" t="s">
        <v>9720</v>
      </c>
      <c r="G4987">
        <v>2268</v>
      </c>
      <c r="H4987">
        <v>2</v>
      </c>
      <c r="I4987" t="s">
        <v>145</v>
      </c>
      <c r="J4987">
        <v>0</v>
      </c>
      <c r="K4987">
        <v>2</v>
      </c>
      <c r="L4987">
        <v>2</v>
      </c>
      <c r="M4987">
        <v>99</v>
      </c>
      <c r="N4987">
        <v>176</v>
      </c>
      <c r="O4987">
        <v>3</v>
      </c>
      <c r="P4987">
        <v>176</v>
      </c>
      <c r="Q4987">
        <v>0</v>
      </c>
      <c r="R4987">
        <v>102</v>
      </c>
      <c r="S4987">
        <v>0</v>
      </c>
      <c r="T4987">
        <v>6</v>
      </c>
      <c r="U4987">
        <v>4</v>
      </c>
      <c r="V4987">
        <v>0</v>
      </c>
      <c r="W4987">
        <v>0</v>
      </c>
      <c r="X4987">
        <v>0</v>
      </c>
      <c r="Y4987">
        <v>42</v>
      </c>
      <c r="Z4987">
        <v>2</v>
      </c>
      <c r="AA4987">
        <v>0</v>
      </c>
      <c r="AB4987">
        <v>0</v>
      </c>
      <c r="AC4987">
        <v>0</v>
      </c>
      <c r="AD4987">
        <v>0</v>
      </c>
      <c r="AE4987">
        <v>0</v>
      </c>
      <c r="AF4987">
        <v>0</v>
      </c>
      <c r="AG4987">
        <v>2</v>
      </c>
      <c r="AH4987">
        <v>3</v>
      </c>
      <c r="AI4987">
        <v>0</v>
      </c>
      <c r="AJ4987">
        <v>0</v>
      </c>
      <c r="AK4987">
        <v>1</v>
      </c>
      <c r="AL4987">
        <v>0</v>
      </c>
      <c r="AM4987">
        <v>0</v>
      </c>
      <c r="AN4987">
        <v>0</v>
      </c>
      <c r="AT4987">
        <v>0</v>
      </c>
      <c r="AU4987">
        <v>14</v>
      </c>
      <c r="AV4987">
        <v>176</v>
      </c>
      <c r="AW4987">
        <v>176</v>
      </c>
      <c r="AX4987">
        <v>253</v>
      </c>
      <c r="BA4987">
        <v>1</v>
      </c>
      <c r="BC4987" t="s">
        <v>10085</v>
      </c>
      <c r="BD4987" s="4">
        <v>43283.090069444443</v>
      </c>
      <c r="BE4987" s="4">
        <v>43283.092638888891</v>
      </c>
      <c r="BF4987" s="4">
        <v>43283.092638888891</v>
      </c>
      <c r="BG4987" t="s">
        <v>83</v>
      </c>
      <c r="BH4987" t="s">
        <v>84</v>
      </c>
      <c r="BI4987" t="s">
        <v>85</v>
      </c>
    </row>
    <row r="4988" spans="1:61" x14ac:dyDescent="0.3">
      <c r="A4988" t="str">
        <f>"202269B0100"</f>
        <v>202269B0100</v>
      </c>
      <c r="B4988" t="s">
        <v>10086</v>
      </c>
      <c r="C4988">
        <v>20</v>
      </c>
      <c r="D4988" t="s">
        <v>79</v>
      </c>
      <c r="E4988">
        <v>23</v>
      </c>
      <c r="F4988" t="s">
        <v>9720</v>
      </c>
      <c r="G4988">
        <v>2269</v>
      </c>
      <c r="H4988">
        <v>1</v>
      </c>
      <c r="I4988" t="s">
        <v>81</v>
      </c>
      <c r="J4988">
        <v>0</v>
      </c>
      <c r="K4988">
        <v>2</v>
      </c>
      <c r="L4988">
        <v>2</v>
      </c>
      <c r="M4988">
        <v>243</v>
      </c>
      <c r="N4988">
        <v>353</v>
      </c>
      <c r="O4988">
        <v>0</v>
      </c>
      <c r="P4988">
        <v>353</v>
      </c>
      <c r="Q4988">
        <v>7</v>
      </c>
      <c r="R4988">
        <v>105</v>
      </c>
      <c r="S4988">
        <v>7</v>
      </c>
      <c r="T4988">
        <v>4</v>
      </c>
      <c r="U4988">
        <v>16</v>
      </c>
      <c r="V4988">
        <v>4</v>
      </c>
      <c r="W4988">
        <v>1</v>
      </c>
      <c r="X4988">
        <v>3</v>
      </c>
      <c r="Y4988">
        <v>174</v>
      </c>
      <c r="Z4988">
        <v>4</v>
      </c>
      <c r="AA4988">
        <v>0</v>
      </c>
      <c r="AB4988">
        <v>4</v>
      </c>
      <c r="AC4988">
        <v>0</v>
      </c>
      <c r="AD4988">
        <v>0</v>
      </c>
      <c r="AE4988">
        <v>0</v>
      </c>
      <c r="AF4988">
        <v>0</v>
      </c>
      <c r="AG4988">
        <v>0</v>
      </c>
      <c r="AH4988">
        <v>4</v>
      </c>
      <c r="AI4988">
        <v>0</v>
      </c>
      <c r="AJ4988">
        <v>0</v>
      </c>
      <c r="AK4988">
        <v>1</v>
      </c>
      <c r="AL4988">
        <v>1</v>
      </c>
      <c r="AM4988">
        <v>0</v>
      </c>
      <c r="AN4988">
        <v>0</v>
      </c>
      <c r="AT4988" t="s">
        <v>100</v>
      </c>
      <c r="AU4988">
        <v>18</v>
      </c>
      <c r="AV4988">
        <v>353</v>
      </c>
      <c r="AW4988">
        <v>353</v>
      </c>
      <c r="AX4988">
        <v>576</v>
      </c>
      <c r="AZ4988" t="s">
        <v>101</v>
      </c>
      <c r="BA4988">
        <v>1</v>
      </c>
      <c r="BC4988" t="s">
        <v>10087</v>
      </c>
      <c r="BD4988" s="4">
        <v>43283.156412037039</v>
      </c>
      <c r="BE4988" s="4">
        <v>43283.167442129627</v>
      </c>
      <c r="BF4988" s="4">
        <v>43283.167442129627</v>
      </c>
      <c r="BG4988" t="s">
        <v>83</v>
      </c>
      <c r="BH4988" t="s">
        <v>84</v>
      </c>
      <c r="BI4988" t="s">
        <v>85</v>
      </c>
    </row>
    <row r="4989" spans="1:61" x14ac:dyDescent="0.3">
      <c r="A4989" t="str">
        <f>"202269C0100"</f>
        <v>202269C0100</v>
      </c>
      <c r="B4989" t="s">
        <v>10088</v>
      </c>
      <c r="C4989">
        <v>20</v>
      </c>
      <c r="D4989" t="s">
        <v>79</v>
      </c>
      <c r="E4989">
        <v>23</v>
      </c>
      <c r="F4989" t="s">
        <v>9720</v>
      </c>
      <c r="G4989">
        <v>2269</v>
      </c>
      <c r="H4989">
        <v>1</v>
      </c>
      <c r="I4989" t="s">
        <v>89</v>
      </c>
      <c r="J4989">
        <v>0</v>
      </c>
      <c r="K4989">
        <v>2</v>
      </c>
      <c r="L4989">
        <v>2</v>
      </c>
      <c r="M4989">
        <v>222</v>
      </c>
      <c r="N4989">
        <v>375</v>
      </c>
      <c r="O4989">
        <v>2</v>
      </c>
      <c r="P4989">
        <v>375</v>
      </c>
      <c r="Q4989">
        <v>4</v>
      </c>
      <c r="R4989">
        <v>125</v>
      </c>
      <c r="S4989">
        <v>3</v>
      </c>
      <c r="T4989">
        <v>4</v>
      </c>
      <c r="U4989">
        <v>16</v>
      </c>
      <c r="V4989">
        <v>5</v>
      </c>
      <c r="W4989">
        <v>2</v>
      </c>
      <c r="X4989">
        <v>5</v>
      </c>
      <c r="Y4989">
        <v>178</v>
      </c>
      <c r="Z4989">
        <v>7</v>
      </c>
      <c r="AA4989">
        <v>0</v>
      </c>
      <c r="AB4989">
        <v>0</v>
      </c>
      <c r="AC4989">
        <v>0</v>
      </c>
      <c r="AD4989">
        <v>0</v>
      </c>
      <c r="AE4989">
        <v>0</v>
      </c>
      <c r="AF4989">
        <v>0</v>
      </c>
      <c r="AG4989">
        <v>0</v>
      </c>
      <c r="AH4989">
        <v>0</v>
      </c>
      <c r="AI4989">
        <v>0</v>
      </c>
      <c r="AJ4989">
        <v>0</v>
      </c>
      <c r="AK4989">
        <v>0</v>
      </c>
      <c r="AL4989">
        <v>0</v>
      </c>
      <c r="AM4989">
        <v>0</v>
      </c>
      <c r="AN4989">
        <v>0</v>
      </c>
      <c r="AT4989" t="s">
        <v>100</v>
      </c>
      <c r="AU4989">
        <v>27</v>
      </c>
      <c r="AV4989">
        <v>376</v>
      </c>
      <c r="AW4989">
        <v>376</v>
      </c>
      <c r="AX4989">
        <v>575</v>
      </c>
      <c r="AZ4989" t="s">
        <v>101</v>
      </c>
      <c r="BA4989">
        <v>1</v>
      </c>
      <c r="BC4989" t="s">
        <v>10089</v>
      </c>
      <c r="BD4989" s="4">
        <v>43283.157916666663</v>
      </c>
      <c r="BE4989" s="4">
        <v>43283.167893518519</v>
      </c>
      <c r="BF4989" s="4">
        <v>43283.167893518519</v>
      </c>
      <c r="BG4989" t="s">
        <v>83</v>
      </c>
      <c r="BH4989" t="s">
        <v>84</v>
      </c>
      <c r="BI4989" t="s">
        <v>85</v>
      </c>
    </row>
    <row r="4990" spans="1:61" x14ac:dyDescent="0.3">
      <c r="A4990" t="str">
        <f>"202269C0200"</f>
        <v>202269C0200</v>
      </c>
      <c r="B4990" t="s">
        <v>10090</v>
      </c>
      <c r="C4990">
        <v>20</v>
      </c>
      <c r="D4990" t="s">
        <v>79</v>
      </c>
      <c r="E4990">
        <v>23</v>
      </c>
      <c r="F4990" t="s">
        <v>9720</v>
      </c>
      <c r="G4990">
        <v>2269</v>
      </c>
      <c r="H4990">
        <v>2</v>
      </c>
      <c r="I4990" t="s">
        <v>89</v>
      </c>
      <c r="J4990">
        <v>0</v>
      </c>
      <c r="K4990">
        <v>2</v>
      </c>
      <c r="L4990">
        <v>2</v>
      </c>
      <c r="M4990">
        <v>224</v>
      </c>
      <c r="N4990">
        <v>373</v>
      </c>
      <c r="O4990">
        <v>0</v>
      </c>
      <c r="P4990">
        <v>373</v>
      </c>
      <c r="Q4990">
        <v>5</v>
      </c>
      <c r="R4990">
        <v>106</v>
      </c>
      <c r="S4990">
        <v>8</v>
      </c>
      <c r="T4990">
        <v>4</v>
      </c>
      <c r="U4990">
        <v>18</v>
      </c>
      <c r="V4990">
        <v>2</v>
      </c>
      <c r="W4990">
        <v>2</v>
      </c>
      <c r="X4990">
        <v>4</v>
      </c>
      <c r="Y4990">
        <v>198</v>
      </c>
      <c r="Z4990">
        <v>4</v>
      </c>
      <c r="AA4990">
        <v>2</v>
      </c>
      <c r="AB4990">
        <v>1</v>
      </c>
      <c r="AC4990">
        <v>0</v>
      </c>
      <c r="AD4990">
        <v>0</v>
      </c>
      <c r="AE4990">
        <v>0</v>
      </c>
      <c r="AF4990">
        <v>0</v>
      </c>
      <c r="AG4990">
        <v>0</v>
      </c>
      <c r="AH4990">
        <v>0</v>
      </c>
      <c r="AI4990">
        <v>0</v>
      </c>
      <c r="AJ4990">
        <v>0</v>
      </c>
      <c r="AK4990">
        <v>1</v>
      </c>
      <c r="AL4990">
        <v>1</v>
      </c>
      <c r="AM4990">
        <v>1</v>
      </c>
      <c r="AN4990">
        <v>2</v>
      </c>
      <c r="AT4990">
        <v>14</v>
      </c>
      <c r="AU4990">
        <v>2</v>
      </c>
      <c r="AV4990">
        <v>373</v>
      </c>
      <c r="AW4990">
        <v>375</v>
      </c>
      <c r="AX4990">
        <v>575</v>
      </c>
      <c r="BA4990">
        <v>1</v>
      </c>
      <c r="BC4990" t="s">
        <v>10091</v>
      </c>
      <c r="BD4990" s="4">
        <v>43283.159363425926</v>
      </c>
      <c r="BE4990" s="4">
        <v>43283.168865740743</v>
      </c>
      <c r="BF4990" s="4">
        <v>43283.168865740743</v>
      </c>
      <c r="BG4990" t="s">
        <v>83</v>
      </c>
      <c r="BH4990" t="s">
        <v>84</v>
      </c>
      <c r="BI4990" t="s">
        <v>85</v>
      </c>
    </row>
    <row r="4991" spans="1:61" x14ac:dyDescent="0.3">
      <c r="A4991" t="str">
        <f>"202269C0300"</f>
        <v>202269C0300</v>
      </c>
      <c r="B4991" t="s">
        <v>10092</v>
      </c>
      <c r="C4991">
        <v>20</v>
      </c>
      <c r="D4991" t="s">
        <v>79</v>
      </c>
      <c r="E4991">
        <v>23</v>
      </c>
      <c r="F4991" t="s">
        <v>9720</v>
      </c>
      <c r="G4991">
        <v>2269</v>
      </c>
      <c r="H4991">
        <v>3</v>
      </c>
      <c r="I4991" t="s">
        <v>89</v>
      </c>
      <c r="J4991">
        <v>0</v>
      </c>
      <c r="K4991">
        <v>2</v>
      </c>
      <c r="L4991">
        <v>2</v>
      </c>
      <c r="M4991">
        <v>215</v>
      </c>
      <c r="N4991">
        <v>381</v>
      </c>
      <c r="O4991">
        <v>1</v>
      </c>
      <c r="P4991">
        <v>381</v>
      </c>
      <c r="Q4991">
        <v>4</v>
      </c>
      <c r="R4991">
        <v>136</v>
      </c>
      <c r="S4991">
        <v>6</v>
      </c>
      <c r="T4991">
        <v>4</v>
      </c>
      <c r="U4991">
        <v>16</v>
      </c>
      <c r="V4991">
        <v>3</v>
      </c>
      <c r="W4991">
        <v>1</v>
      </c>
      <c r="X4991">
        <v>4</v>
      </c>
      <c r="Y4991">
        <v>169</v>
      </c>
      <c r="Z4991">
        <v>6</v>
      </c>
      <c r="AA4991">
        <v>0</v>
      </c>
      <c r="AB4991">
        <v>2</v>
      </c>
      <c r="AC4991">
        <v>0</v>
      </c>
      <c r="AD4991">
        <v>0</v>
      </c>
      <c r="AE4991">
        <v>0</v>
      </c>
      <c r="AF4991">
        <v>0</v>
      </c>
      <c r="AG4991">
        <v>0</v>
      </c>
      <c r="AH4991">
        <v>3</v>
      </c>
      <c r="AI4991">
        <v>0</v>
      </c>
      <c r="AJ4991">
        <v>0</v>
      </c>
      <c r="AK4991">
        <v>2</v>
      </c>
      <c r="AL4991">
        <v>0</v>
      </c>
      <c r="AM4991">
        <v>0</v>
      </c>
      <c r="AN4991">
        <v>0</v>
      </c>
      <c r="AT4991" t="s">
        <v>100</v>
      </c>
      <c r="AU4991">
        <v>25</v>
      </c>
      <c r="AV4991">
        <v>381</v>
      </c>
      <c r="AW4991">
        <v>381</v>
      </c>
      <c r="AX4991">
        <v>575</v>
      </c>
      <c r="AZ4991" t="s">
        <v>101</v>
      </c>
      <c r="BA4991">
        <v>1</v>
      </c>
      <c r="BC4991" t="s">
        <v>10093</v>
      </c>
      <c r="BD4991" s="4">
        <v>43283.161273148151</v>
      </c>
      <c r="BE4991" s="4">
        <v>43283.182673611111</v>
      </c>
      <c r="BF4991" s="4">
        <v>43283.182673611111</v>
      </c>
      <c r="BG4991" t="s">
        <v>83</v>
      </c>
      <c r="BH4991" t="s">
        <v>84</v>
      </c>
      <c r="BI4991" t="s">
        <v>85</v>
      </c>
    </row>
    <row r="4992" spans="1:61" x14ac:dyDescent="0.3">
      <c r="A4992" t="str">
        <f>"202270B0100"</f>
        <v>202270B0100</v>
      </c>
      <c r="B4992" t="s">
        <v>10094</v>
      </c>
      <c r="C4992">
        <v>20</v>
      </c>
      <c r="D4992" t="s">
        <v>79</v>
      </c>
      <c r="E4992">
        <v>23</v>
      </c>
      <c r="F4992" t="s">
        <v>9720</v>
      </c>
      <c r="G4992">
        <v>2270</v>
      </c>
      <c r="H4992">
        <v>1</v>
      </c>
      <c r="I4992" t="s">
        <v>81</v>
      </c>
      <c r="J4992">
        <v>0</v>
      </c>
      <c r="K4992">
        <v>2</v>
      </c>
      <c r="L4992">
        <v>2</v>
      </c>
      <c r="M4992">
        <v>177</v>
      </c>
      <c r="N4992">
        <v>390</v>
      </c>
      <c r="O4992">
        <v>2</v>
      </c>
      <c r="P4992">
        <v>390</v>
      </c>
      <c r="Q4992">
        <v>5</v>
      </c>
      <c r="R4992">
        <v>119</v>
      </c>
      <c r="S4992">
        <v>11</v>
      </c>
      <c r="T4992">
        <v>3</v>
      </c>
      <c r="U4992">
        <v>14</v>
      </c>
      <c r="V4992">
        <v>1</v>
      </c>
      <c r="W4992" t="s">
        <v>100</v>
      </c>
      <c r="X4992">
        <v>3</v>
      </c>
      <c r="Y4992">
        <v>216</v>
      </c>
      <c r="Z4992">
        <v>4</v>
      </c>
      <c r="AA4992">
        <v>1</v>
      </c>
      <c r="AB4992" t="s">
        <v>100</v>
      </c>
      <c r="AC4992">
        <v>1</v>
      </c>
      <c r="AD4992" t="s">
        <v>100</v>
      </c>
      <c r="AE4992" t="s">
        <v>100</v>
      </c>
      <c r="AF4992" t="s">
        <v>100</v>
      </c>
      <c r="AG4992" t="s">
        <v>100</v>
      </c>
      <c r="AH4992" t="s">
        <v>100</v>
      </c>
      <c r="AI4992" t="s">
        <v>100</v>
      </c>
      <c r="AJ4992" t="s">
        <v>100</v>
      </c>
      <c r="AK4992">
        <v>1</v>
      </c>
      <c r="AL4992" t="s">
        <v>100</v>
      </c>
      <c r="AM4992">
        <v>1</v>
      </c>
      <c r="AN4992" t="s">
        <v>100</v>
      </c>
      <c r="AT4992" t="s">
        <v>100</v>
      </c>
      <c r="AU4992">
        <v>10</v>
      </c>
      <c r="AV4992" t="s">
        <v>100</v>
      </c>
      <c r="AW4992">
        <v>390</v>
      </c>
      <c r="AX4992">
        <v>545</v>
      </c>
      <c r="AZ4992" t="s">
        <v>101</v>
      </c>
      <c r="BA4992">
        <v>1</v>
      </c>
      <c r="BC4992" t="s">
        <v>10095</v>
      </c>
      <c r="BD4992" s="4">
        <v>43283.190925925926</v>
      </c>
      <c r="BE4992" s="4">
        <v>43283.206782407404</v>
      </c>
      <c r="BF4992" s="4">
        <v>43283.206782407404</v>
      </c>
      <c r="BG4992" t="s">
        <v>83</v>
      </c>
      <c r="BH4992" t="s">
        <v>84</v>
      </c>
      <c r="BI4992" t="s">
        <v>85</v>
      </c>
    </row>
    <row r="4993" spans="1:61" x14ac:dyDescent="0.3">
      <c r="A4993" t="str">
        <f>"202270C0100"</f>
        <v>202270C0100</v>
      </c>
      <c r="B4993" t="s">
        <v>10096</v>
      </c>
      <c r="C4993">
        <v>20</v>
      </c>
      <c r="D4993" t="s">
        <v>79</v>
      </c>
      <c r="E4993">
        <v>23</v>
      </c>
      <c r="F4993" t="s">
        <v>9720</v>
      </c>
      <c r="G4993">
        <v>2270</v>
      </c>
      <c r="H4993">
        <v>1</v>
      </c>
      <c r="I4993" t="s">
        <v>89</v>
      </c>
      <c r="J4993">
        <v>0</v>
      </c>
      <c r="K4993">
        <v>2</v>
      </c>
      <c r="L4993">
        <v>2</v>
      </c>
      <c r="M4993">
        <v>192</v>
      </c>
      <c r="N4993">
        <v>375</v>
      </c>
      <c r="O4993">
        <v>1</v>
      </c>
      <c r="P4993">
        <v>375</v>
      </c>
      <c r="Q4993">
        <v>5</v>
      </c>
      <c r="R4993">
        <v>138</v>
      </c>
      <c r="S4993">
        <v>9</v>
      </c>
      <c r="T4993">
        <v>2</v>
      </c>
      <c r="U4993">
        <v>12</v>
      </c>
      <c r="V4993">
        <v>3</v>
      </c>
      <c r="W4993">
        <v>3</v>
      </c>
      <c r="X4993">
        <v>1</v>
      </c>
      <c r="Y4993">
        <v>186</v>
      </c>
      <c r="Z4993">
        <v>2</v>
      </c>
      <c r="AA4993" t="s">
        <v>100</v>
      </c>
      <c r="AB4993">
        <v>3</v>
      </c>
      <c r="AC4993" t="s">
        <v>100</v>
      </c>
      <c r="AD4993" t="s">
        <v>100</v>
      </c>
      <c r="AE4993" t="s">
        <v>100</v>
      </c>
      <c r="AF4993" t="s">
        <v>100</v>
      </c>
      <c r="AG4993" t="s">
        <v>100</v>
      </c>
      <c r="AH4993" t="s">
        <v>100</v>
      </c>
      <c r="AI4993" t="s">
        <v>100</v>
      </c>
      <c r="AJ4993" t="s">
        <v>100</v>
      </c>
      <c r="AK4993">
        <v>4</v>
      </c>
      <c r="AL4993" t="s">
        <v>100</v>
      </c>
      <c r="AM4993" t="s">
        <v>100</v>
      </c>
      <c r="AN4993" t="s">
        <v>100</v>
      </c>
      <c r="AT4993" t="s">
        <v>100</v>
      </c>
      <c r="AU4993">
        <v>7</v>
      </c>
      <c r="AV4993">
        <v>375</v>
      </c>
      <c r="AW4993">
        <v>375</v>
      </c>
      <c r="AX4993">
        <v>545</v>
      </c>
      <c r="AZ4993" t="s">
        <v>101</v>
      </c>
      <c r="BA4993">
        <v>1</v>
      </c>
      <c r="BC4993" t="s">
        <v>10097</v>
      </c>
      <c r="BD4993" s="4">
        <v>43283.190162037034</v>
      </c>
      <c r="BE4993" s="4">
        <v>43283.21329861111</v>
      </c>
      <c r="BF4993" s="4">
        <v>43283.21329861111</v>
      </c>
      <c r="BG4993" t="s">
        <v>83</v>
      </c>
      <c r="BH4993" t="s">
        <v>84</v>
      </c>
      <c r="BI4993" t="s">
        <v>85</v>
      </c>
    </row>
    <row r="4994" spans="1:61" x14ac:dyDescent="0.3">
      <c r="A4994" t="str">
        <f>"202270E0100"</f>
        <v>202270E0100</v>
      </c>
      <c r="B4994" s="2" t="s">
        <v>10098</v>
      </c>
      <c r="C4994">
        <v>20</v>
      </c>
      <c r="D4994" t="s">
        <v>79</v>
      </c>
      <c r="E4994">
        <v>23</v>
      </c>
      <c r="F4994" t="s">
        <v>9720</v>
      </c>
      <c r="G4994">
        <v>2270</v>
      </c>
      <c r="H4994">
        <v>1</v>
      </c>
      <c r="I4994" t="s">
        <v>145</v>
      </c>
      <c r="J4994">
        <v>0</v>
      </c>
      <c r="K4994">
        <v>2</v>
      </c>
      <c r="L4994">
        <v>2</v>
      </c>
      <c r="M4994">
        <v>136</v>
      </c>
      <c r="N4994">
        <v>290</v>
      </c>
      <c r="O4994">
        <v>1</v>
      </c>
      <c r="P4994">
        <v>290</v>
      </c>
      <c r="Q4994">
        <v>6</v>
      </c>
      <c r="R4994">
        <v>104</v>
      </c>
      <c r="S4994">
        <v>9</v>
      </c>
      <c r="T4994">
        <v>3</v>
      </c>
      <c r="U4994">
        <v>11</v>
      </c>
      <c r="V4994">
        <v>5</v>
      </c>
      <c r="W4994">
        <v>2</v>
      </c>
      <c r="X4994">
        <v>6</v>
      </c>
      <c r="Y4994">
        <v>128</v>
      </c>
      <c r="Z4994">
        <v>3</v>
      </c>
      <c r="AA4994">
        <v>1</v>
      </c>
      <c r="AB4994">
        <v>0</v>
      </c>
      <c r="AC4994">
        <v>0</v>
      </c>
      <c r="AD4994">
        <v>0</v>
      </c>
      <c r="AE4994">
        <v>0</v>
      </c>
      <c r="AF4994">
        <v>0</v>
      </c>
      <c r="AG4994">
        <v>0</v>
      </c>
      <c r="AH4994">
        <v>2</v>
      </c>
      <c r="AI4994">
        <v>0</v>
      </c>
      <c r="AJ4994">
        <v>0</v>
      </c>
      <c r="AK4994">
        <v>4</v>
      </c>
      <c r="AL4994">
        <v>0</v>
      </c>
      <c r="AM4994">
        <v>0</v>
      </c>
      <c r="AN4994">
        <v>0</v>
      </c>
      <c r="AT4994">
        <v>0</v>
      </c>
      <c r="AU4994">
        <v>6</v>
      </c>
      <c r="AV4994">
        <v>290</v>
      </c>
      <c r="AW4994">
        <v>290</v>
      </c>
      <c r="AX4994">
        <v>404</v>
      </c>
      <c r="BA4994">
        <v>1</v>
      </c>
      <c r="BC4994" t="s">
        <v>10099</v>
      </c>
      <c r="BD4994" s="4">
        <v>43283.427997685183</v>
      </c>
      <c r="BE4994" s="4">
        <v>43283.430752314816</v>
      </c>
      <c r="BF4994" s="4">
        <v>43283.430752314816</v>
      </c>
      <c r="BG4994" t="s">
        <v>83</v>
      </c>
      <c r="BH4994" t="s">
        <v>84</v>
      </c>
      <c r="BI4994" t="s">
        <v>85</v>
      </c>
    </row>
    <row r="4995" spans="1:61" x14ac:dyDescent="0.3">
      <c r="A4995" t="str">
        <f>"202271B0100"</f>
        <v>202271B0100</v>
      </c>
      <c r="B4995" t="s">
        <v>10100</v>
      </c>
      <c r="C4995">
        <v>20</v>
      </c>
      <c r="D4995" t="s">
        <v>79</v>
      </c>
      <c r="E4995">
        <v>23</v>
      </c>
      <c r="F4995" t="s">
        <v>9720</v>
      </c>
      <c r="G4995">
        <v>2271</v>
      </c>
      <c r="H4995">
        <v>1</v>
      </c>
      <c r="I4995" t="s">
        <v>81</v>
      </c>
      <c r="J4995">
        <v>0</v>
      </c>
      <c r="K4995">
        <v>2</v>
      </c>
      <c r="L4995">
        <v>2</v>
      </c>
      <c r="M4995">
        <v>173</v>
      </c>
      <c r="N4995">
        <v>436</v>
      </c>
      <c r="O4995">
        <v>0</v>
      </c>
      <c r="P4995">
        <v>436</v>
      </c>
      <c r="Q4995">
        <v>7</v>
      </c>
      <c r="R4995">
        <v>179</v>
      </c>
      <c r="S4995">
        <v>9</v>
      </c>
      <c r="T4995">
        <v>6</v>
      </c>
      <c r="U4995">
        <v>6</v>
      </c>
      <c r="V4995">
        <v>4</v>
      </c>
      <c r="W4995">
        <v>1</v>
      </c>
      <c r="X4995">
        <v>1</v>
      </c>
      <c r="Y4995">
        <v>202</v>
      </c>
      <c r="Z4995">
        <v>1</v>
      </c>
      <c r="AA4995">
        <v>0</v>
      </c>
      <c r="AB4995">
        <v>6</v>
      </c>
      <c r="AC4995">
        <v>1</v>
      </c>
      <c r="AD4995">
        <v>1</v>
      </c>
      <c r="AE4995">
        <v>0</v>
      </c>
      <c r="AF4995">
        <v>0</v>
      </c>
      <c r="AG4995">
        <v>1</v>
      </c>
      <c r="AH4995">
        <v>1</v>
      </c>
      <c r="AI4995">
        <v>0</v>
      </c>
      <c r="AJ4995">
        <v>0</v>
      </c>
      <c r="AK4995">
        <v>2</v>
      </c>
      <c r="AL4995">
        <v>1</v>
      </c>
      <c r="AM4995">
        <v>0</v>
      </c>
      <c r="AN4995">
        <v>1</v>
      </c>
      <c r="AT4995">
        <v>0</v>
      </c>
      <c r="AU4995">
        <v>6</v>
      </c>
      <c r="AV4995">
        <v>436</v>
      </c>
      <c r="AW4995">
        <v>436</v>
      </c>
      <c r="AX4995">
        <v>587</v>
      </c>
      <c r="BA4995">
        <v>1</v>
      </c>
      <c r="BC4995" t="s">
        <v>10101</v>
      </c>
      <c r="BD4995" s="4">
        <v>43283.044236111113</v>
      </c>
      <c r="BE4995" s="4">
        <v>43283.051354166666</v>
      </c>
      <c r="BF4995" s="4">
        <v>43283.051354166666</v>
      </c>
      <c r="BG4995" t="s">
        <v>83</v>
      </c>
      <c r="BH4995" t="s">
        <v>84</v>
      </c>
      <c r="BI4995" t="s">
        <v>85</v>
      </c>
    </row>
    <row r="4996" spans="1:61" x14ac:dyDescent="0.3">
      <c r="A4996" t="str">
        <f>"202271C0100"</f>
        <v>202271C0100</v>
      </c>
      <c r="B4996" t="s">
        <v>10102</v>
      </c>
      <c r="C4996">
        <v>20</v>
      </c>
      <c r="D4996" t="s">
        <v>79</v>
      </c>
      <c r="E4996">
        <v>23</v>
      </c>
      <c r="F4996" t="s">
        <v>9720</v>
      </c>
      <c r="G4996">
        <v>2271</v>
      </c>
      <c r="H4996">
        <v>1</v>
      </c>
      <c r="I4996" t="s">
        <v>89</v>
      </c>
      <c r="J4996">
        <v>0</v>
      </c>
      <c r="K4996">
        <v>2</v>
      </c>
      <c r="L4996">
        <v>2</v>
      </c>
      <c r="M4996">
        <v>153</v>
      </c>
      <c r="N4996">
        <v>444</v>
      </c>
      <c r="O4996">
        <v>2</v>
      </c>
      <c r="P4996" t="s">
        <v>315</v>
      </c>
      <c r="Q4996">
        <v>2</v>
      </c>
      <c r="R4996">
        <v>162</v>
      </c>
      <c r="S4996">
        <v>2</v>
      </c>
      <c r="T4996">
        <v>4</v>
      </c>
      <c r="U4996">
        <v>10</v>
      </c>
      <c r="V4996">
        <v>10</v>
      </c>
      <c r="W4996">
        <v>3</v>
      </c>
      <c r="X4996">
        <v>2</v>
      </c>
      <c r="Y4996">
        <v>236</v>
      </c>
      <c r="Z4996">
        <v>4</v>
      </c>
      <c r="AA4996">
        <v>0</v>
      </c>
      <c r="AB4996">
        <v>1</v>
      </c>
      <c r="AC4996">
        <v>0</v>
      </c>
      <c r="AD4996">
        <v>1</v>
      </c>
      <c r="AE4996">
        <v>0</v>
      </c>
      <c r="AF4996">
        <v>0</v>
      </c>
      <c r="AG4996">
        <v>0</v>
      </c>
      <c r="AH4996">
        <v>0</v>
      </c>
      <c r="AI4996">
        <v>0</v>
      </c>
      <c r="AJ4996">
        <v>0</v>
      </c>
      <c r="AK4996">
        <v>1</v>
      </c>
      <c r="AL4996">
        <v>2</v>
      </c>
      <c r="AM4996">
        <v>0</v>
      </c>
      <c r="AN4996">
        <v>0</v>
      </c>
      <c r="AT4996">
        <v>0</v>
      </c>
      <c r="AU4996">
        <v>12</v>
      </c>
      <c r="AV4996">
        <v>452</v>
      </c>
      <c r="AW4996">
        <v>452</v>
      </c>
      <c r="AX4996">
        <v>587</v>
      </c>
      <c r="BA4996">
        <v>1</v>
      </c>
      <c r="BC4996" t="s">
        <v>10103</v>
      </c>
      <c r="BD4996" s="4">
        <v>43283.045960648145</v>
      </c>
      <c r="BE4996" s="4">
        <v>43283.049988425926</v>
      </c>
      <c r="BF4996" s="4">
        <v>43283.049988425926</v>
      </c>
      <c r="BG4996" t="s">
        <v>83</v>
      </c>
      <c r="BH4996" t="s">
        <v>84</v>
      </c>
      <c r="BI4996" t="s">
        <v>85</v>
      </c>
    </row>
    <row r="4997" spans="1:61" x14ac:dyDescent="0.3">
      <c r="A4997" t="str">
        <f>"202271C0200"</f>
        <v>202271C0200</v>
      </c>
      <c r="B4997" t="s">
        <v>10104</v>
      </c>
      <c r="C4997">
        <v>20</v>
      </c>
      <c r="D4997" t="s">
        <v>79</v>
      </c>
      <c r="E4997">
        <v>23</v>
      </c>
      <c r="F4997" t="s">
        <v>9720</v>
      </c>
      <c r="G4997">
        <v>2271</v>
      </c>
      <c r="H4997">
        <v>2</v>
      </c>
      <c r="I4997" t="s">
        <v>89</v>
      </c>
      <c r="J4997">
        <v>0</v>
      </c>
      <c r="K4997">
        <v>2</v>
      </c>
      <c r="L4997">
        <v>2</v>
      </c>
      <c r="M4997">
        <v>153</v>
      </c>
      <c r="N4997">
        <v>609</v>
      </c>
      <c r="O4997" t="s">
        <v>315</v>
      </c>
      <c r="P4997">
        <v>609</v>
      </c>
      <c r="Q4997">
        <v>4</v>
      </c>
      <c r="R4997">
        <v>167</v>
      </c>
      <c r="S4997">
        <v>3</v>
      </c>
      <c r="T4997">
        <v>2</v>
      </c>
      <c r="U4997">
        <v>10</v>
      </c>
      <c r="V4997">
        <v>4</v>
      </c>
      <c r="W4997">
        <v>2</v>
      </c>
      <c r="X4997">
        <v>2</v>
      </c>
      <c r="Y4997">
        <v>229</v>
      </c>
      <c r="Z4997">
        <v>8</v>
      </c>
      <c r="AA4997">
        <v>0</v>
      </c>
      <c r="AB4997">
        <v>1</v>
      </c>
      <c r="AC4997">
        <v>0</v>
      </c>
      <c r="AD4997">
        <v>0</v>
      </c>
      <c r="AE4997">
        <v>0</v>
      </c>
      <c r="AF4997">
        <v>0</v>
      </c>
      <c r="AG4997">
        <v>0</v>
      </c>
      <c r="AH4997">
        <v>3</v>
      </c>
      <c r="AI4997">
        <v>0</v>
      </c>
      <c r="AJ4997">
        <v>0</v>
      </c>
      <c r="AK4997">
        <v>3</v>
      </c>
      <c r="AL4997">
        <v>0</v>
      </c>
      <c r="AM4997">
        <v>1</v>
      </c>
      <c r="AN4997">
        <v>0</v>
      </c>
      <c r="AT4997">
        <v>0</v>
      </c>
      <c r="AU4997">
        <v>9</v>
      </c>
      <c r="AV4997">
        <v>448</v>
      </c>
      <c r="AW4997">
        <v>448</v>
      </c>
      <c r="AX4997">
        <v>587</v>
      </c>
      <c r="BA4997">
        <v>1</v>
      </c>
      <c r="BC4997" t="s">
        <v>10105</v>
      </c>
      <c r="BD4997" s="4">
        <v>43283.048275462963</v>
      </c>
      <c r="BE4997" s="4">
        <v>43283.05265046296</v>
      </c>
      <c r="BF4997" s="4">
        <v>43283.05265046296</v>
      </c>
      <c r="BG4997" t="s">
        <v>83</v>
      </c>
      <c r="BH4997" t="s">
        <v>84</v>
      </c>
      <c r="BI4997" t="s">
        <v>85</v>
      </c>
    </row>
    <row r="4998" spans="1:61" x14ac:dyDescent="0.3">
      <c r="A4998" t="str">
        <f>"202318B0100"</f>
        <v>202318B0100</v>
      </c>
      <c r="B4998" t="s">
        <v>10106</v>
      </c>
      <c r="C4998">
        <v>20</v>
      </c>
      <c r="D4998" t="s">
        <v>79</v>
      </c>
      <c r="E4998">
        <v>23</v>
      </c>
      <c r="F4998" t="s">
        <v>9720</v>
      </c>
      <c r="G4998">
        <v>2318</v>
      </c>
      <c r="H4998">
        <v>1</v>
      </c>
      <c r="I4998" t="s">
        <v>81</v>
      </c>
      <c r="J4998">
        <v>0</v>
      </c>
      <c r="K4998">
        <v>2</v>
      </c>
      <c r="L4998">
        <v>2</v>
      </c>
      <c r="M4998">
        <v>199</v>
      </c>
      <c r="N4998">
        <v>358</v>
      </c>
      <c r="O4998">
        <v>1</v>
      </c>
      <c r="P4998">
        <v>358</v>
      </c>
      <c r="Q4998">
        <v>9</v>
      </c>
      <c r="R4998">
        <v>75</v>
      </c>
      <c r="S4998">
        <v>10</v>
      </c>
      <c r="T4998">
        <v>2</v>
      </c>
      <c r="U4998">
        <v>15</v>
      </c>
      <c r="V4998">
        <v>9</v>
      </c>
      <c r="W4998">
        <v>6</v>
      </c>
      <c r="X4998">
        <v>4</v>
      </c>
      <c r="Y4998">
        <v>205</v>
      </c>
      <c r="Z4998">
        <v>1</v>
      </c>
      <c r="AA4998">
        <v>0</v>
      </c>
      <c r="AB4998">
        <v>2</v>
      </c>
      <c r="AC4998">
        <v>0</v>
      </c>
      <c r="AD4998">
        <v>0</v>
      </c>
      <c r="AE4998">
        <v>0</v>
      </c>
      <c r="AF4998">
        <v>0</v>
      </c>
      <c r="AG4998">
        <v>1</v>
      </c>
      <c r="AH4998">
        <v>3</v>
      </c>
      <c r="AI4998">
        <v>0</v>
      </c>
      <c r="AJ4998">
        <v>0</v>
      </c>
      <c r="AK4998">
        <v>7</v>
      </c>
      <c r="AL4998">
        <v>1</v>
      </c>
      <c r="AM4998">
        <v>0</v>
      </c>
      <c r="AN4998">
        <v>1</v>
      </c>
      <c r="AT4998">
        <v>0</v>
      </c>
      <c r="AU4998">
        <v>7</v>
      </c>
      <c r="AV4998">
        <v>358</v>
      </c>
      <c r="AW4998">
        <v>358</v>
      </c>
      <c r="AX4998">
        <v>535</v>
      </c>
      <c r="BA4998">
        <v>1</v>
      </c>
      <c r="BC4998" t="s">
        <v>10107</v>
      </c>
      <c r="BD4998" s="4">
        <v>43283.349189814813</v>
      </c>
      <c r="BE4998" s="4">
        <v>43283.361597222225</v>
      </c>
      <c r="BF4998" s="4">
        <v>43283.361597222225</v>
      </c>
      <c r="BG4998" t="s">
        <v>83</v>
      </c>
      <c r="BH4998" t="s">
        <v>84</v>
      </c>
      <c r="BI4998" t="s">
        <v>85</v>
      </c>
    </row>
    <row r="4999" spans="1:61" x14ac:dyDescent="0.3">
      <c r="A4999" t="str">
        <f>"202318C0100"</f>
        <v>202318C0100</v>
      </c>
      <c r="B4999" t="s">
        <v>10108</v>
      </c>
      <c r="C4999">
        <v>20</v>
      </c>
      <c r="D4999" t="s">
        <v>79</v>
      </c>
      <c r="E4999">
        <v>23</v>
      </c>
      <c r="F4999" t="s">
        <v>9720</v>
      </c>
      <c r="G4999">
        <v>2318</v>
      </c>
      <c r="H4999">
        <v>1</v>
      </c>
      <c r="I4999" t="s">
        <v>89</v>
      </c>
      <c r="J4999">
        <v>0</v>
      </c>
      <c r="K4999">
        <v>2</v>
      </c>
      <c r="L4999">
        <v>2</v>
      </c>
      <c r="M4999">
        <v>186</v>
      </c>
      <c r="N4999">
        <v>371</v>
      </c>
      <c r="O4999">
        <v>0</v>
      </c>
      <c r="P4999">
        <v>374</v>
      </c>
      <c r="Q4999">
        <v>4</v>
      </c>
      <c r="R4999">
        <v>91</v>
      </c>
      <c r="S4999">
        <v>12</v>
      </c>
      <c r="T4999">
        <v>9</v>
      </c>
      <c r="U4999">
        <v>24</v>
      </c>
      <c r="V4999">
        <v>4</v>
      </c>
      <c r="W4999">
        <v>10</v>
      </c>
      <c r="X4999">
        <v>4</v>
      </c>
      <c r="Y4999">
        <v>175</v>
      </c>
      <c r="Z4999">
        <v>4</v>
      </c>
      <c r="AA4999">
        <v>0</v>
      </c>
      <c r="AB4999">
        <v>2</v>
      </c>
      <c r="AC4999">
        <v>1</v>
      </c>
      <c r="AD4999">
        <v>0</v>
      </c>
      <c r="AE4999">
        <v>0</v>
      </c>
      <c r="AF4999">
        <v>0</v>
      </c>
      <c r="AG4999">
        <v>4</v>
      </c>
      <c r="AH4999">
        <v>4</v>
      </c>
      <c r="AI4999">
        <v>0</v>
      </c>
      <c r="AJ4999">
        <v>6</v>
      </c>
      <c r="AK4999">
        <v>0</v>
      </c>
      <c r="AL4999">
        <v>0</v>
      </c>
      <c r="AM4999">
        <v>0</v>
      </c>
      <c r="AN4999">
        <v>0</v>
      </c>
      <c r="AT4999">
        <v>0</v>
      </c>
      <c r="AU4999">
        <v>20</v>
      </c>
      <c r="AV4999">
        <v>374</v>
      </c>
      <c r="AW4999">
        <v>374</v>
      </c>
      <c r="AX4999">
        <v>535</v>
      </c>
      <c r="BA4999">
        <v>1</v>
      </c>
      <c r="BC4999" t="s">
        <v>10109</v>
      </c>
      <c r="BD4999" s="4">
        <v>43283.352638888886</v>
      </c>
      <c r="BE4999" s="4">
        <v>43283.364432870374</v>
      </c>
      <c r="BF4999" s="4">
        <v>43283.364432870374</v>
      </c>
      <c r="BG4999" t="s">
        <v>83</v>
      </c>
      <c r="BH4999" t="s">
        <v>84</v>
      </c>
      <c r="BI4999" t="s">
        <v>85</v>
      </c>
    </row>
    <row r="5000" spans="1:61" x14ac:dyDescent="0.3">
      <c r="A5000" t="str">
        <f>"202318E0100"</f>
        <v>202318E0100</v>
      </c>
      <c r="B5000" s="2" t="s">
        <v>10110</v>
      </c>
      <c r="C5000">
        <v>20</v>
      </c>
      <c r="D5000" t="s">
        <v>79</v>
      </c>
      <c r="E5000">
        <v>23</v>
      </c>
      <c r="F5000" t="s">
        <v>9720</v>
      </c>
      <c r="G5000">
        <v>2318</v>
      </c>
      <c r="H5000">
        <v>1</v>
      </c>
      <c r="I5000" t="s">
        <v>145</v>
      </c>
      <c r="J5000">
        <v>0</v>
      </c>
      <c r="K5000">
        <v>2</v>
      </c>
      <c r="L5000">
        <v>2</v>
      </c>
      <c r="M5000">
        <v>152</v>
      </c>
      <c r="N5000">
        <v>233</v>
      </c>
      <c r="O5000">
        <v>5</v>
      </c>
      <c r="P5000">
        <v>232</v>
      </c>
      <c r="Q5000">
        <v>3</v>
      </c>
      <c r="R5000">
        <v>51</v>
      </c>
      <c r="S5000">
        <v>0</v>
      </c>
      <c r="T5000">
        <v>6</v>
      </c>
      <c r="U5000">
        <v>12</v>
      </c>
      <c r="V5000">
        <v>4</v>
      </c>
      <c r="W5000">
        <v>0</v>
      </c>
      <c r="X5000">
        <v>2</v>
      </c>
      <c r="Y5000">
        <v>131</v>
      </c>
      <c r="Z5000">
        <v>6</v>
      </c>
      <c r="AA5000">
        <v>1</v>
      </c>
      <c r="AB5000">
        <v>1</v>
      </c>
      <c r="AC5000">
        <v>0</v>
      </c>
      <c r="AD5000">
        <v>0</v>
      </c>
      <c r="AE5000">
        <v>0</v>
      </c>
      <c r="AF5000">
        <v>0</v>
      </c>
      <c r="AG5000">
        <v>1</v>
      </c>
      <c r="AH5000">
        <v>0</v>
      </c>
      <c r="AI5000">
        <v>0</v>
      </c>
      <c r="AJ5000">
        <v>0</v>
      </c>
      <c r="AK5000">
        <v>4</v>
      </c>
      <c r="AL5000">
        <v>0</v>
      </c>
      <c r="AM5000">
        <v>0</v>
      </c>
      <c r="AN5000">
        <v>1</v>
      </c>
      <c r="AT5000">
        <v>0</v>
      </c>
      <c r="AU5000">
        <v>9</v>
      </c>
      <c r="AV5000">
        <v>232</v>
      </c>
      <c r="AW5000">
        <v>232</v>
      </c>
      <c r="AX5000">
        <v>362</v>
      </c>
      <c r="BA5000">
        <v>1</v>
      </c>
      <c r="BC5000" t="s">
        <v>10111</v>
      </c>
      <c r="BD5000" s="4">
        <v>43283.354629629626</v>
      </c>
      <c r="BE5000" s="4">
        <v>43283.36755787037</v>
      </c>
      <c r="BF5000" s="4">
        <v>43283.36755787037</v>
      </c>
      <c r="BG5000" t="s">
        <v>83</v>
      </c>
      <c r="BH5000" t="s">
        <v>84</v>
      </c>
      <c r="BI5000" t="s">
        <v>85</v>
      </c>
    </row>
    <row r="5001" spans="1:61" x14ac:dyDescent="0.3">
      <c r="A5001" t="str">
        <f>"202319B0100"</f>
        <v>202319B0100</v>
      </c>
      <c r="B5001" t="s">
        <v>10112</v>
      </c>
      <c r="C5001">
        <v>20</v>
      </c>
      <c r="D5001" t="s">
        <v>79</v>
      </c>
      <c r="E5001">
        <v>23</v>
      </c>
      <c r="F5001" t="s">
        <v>9720</v>
      </c>
      <c r="G5001">
        <v>2319</v>
      </c>
      <c r="H5001">
        <v>1</v>
      </c>
      <c r="I5001" t="s">
        <v>81</v>
      </c>
      <c r="J5001">
        <v>0</v>
      </c>
      <c r="K5001">
        <v>2</v>
      </c>
      <c r="L5001">
        <v>2</v>
      </c>
      <c r="M5001">
        <v>127</v>
      </c>
      <c r="N5001">
        <v>281</v>
      </c>
      <c r="O5001">
        <v>1</v>
      </c>
      <c r="P5001">
        <v>281</v>
      </c>
      <c r="Q5001">
        <v>5</v>
      </c>
      <c r="R5001">
        <v>50</v>
      </c>
      <c r="S5001">
        <v>6</v>
      </c>
      <c r="T5001">
        <v>4</v>
      </c>
      <c r="U5001">
        <v>11</v>
      </c>
      <c r="V5001">
        <v>6</v>
      </c>
      <c r="W5001">
        <v>13</v>
      </c>
      <c r="X5001">
        <v>2</v>
      </c>
      <c r="Y5001">
        <v>155</v>
      </c>
      <c r="Z5001">
        <v>5</v>
      </c>
      <c r="AA5001">
        <v>1</v>
      </c>
      <c r="AB5001">
        <v>0</v>
      </c>
      <c r="AC5001">
        <v>0</v>
      </c>
      <c r="AD5001">
        <v>0</v>
      </c>
      <c r="AE5001">
        <v>0</v>
      </c>
      <c r="AF5001">
        <v>0</v>
      </c>
      <c r="AG5001">
        <v>1</v>
      </c>
      <c r="AH5001">
        <v>0</v>
      </c>
      <c r="AI5001">
        <v>0</v>
      </c>
      <c r="AJ5001">
        <v>0</v>
      </c>
      <c r="AK5001">
        <v>3</v>
      </c>
      <c r="AL5001">
        <v>1</v>
      </c>
      <c r="AM5001">
        <v>0</v>
      </c>
      <c r="AN5001">
        <v>5</v>
      </c>
      <c r="AT5001">
        <v>0</v>
      </c>
      <c r="AU5001">
        <v>13</v>
      </c>
      <c r="AV5001">
        <v>281</v>
      </c>
      <c r="AW5001">
        <v>281</v>
      </c>
      <c r="AX5001">
        <v>386</v>
      </c>
      <c r="BA5001">
        <v>1</v>
      </c>
      <c r="BC5001" t="s">
        <v>10113</v>
      </c>
      <c r="BD5001" s="4">
        <v>43283.355451388888</v>
      </c>
      <c r="BE5001" s="4">
        <v>43283.366805555554</v>
      </c>
      <c r="BF5001" s="4">
        <v>43283.366805555554</v>
      </c>
      <c r="BG5001" t="s">
        <v>83</v>
      </c>
      <c r="BH5001" t="s">
        <v>84</v>
      </c>
      <c r="BI5001" t="s">
        <v>85</v>
      </c>
    </row>
    <row r="5002" spans="1:61" x14ac:dyDescent="0.3">
      <c r="A5002" t="str">
        <f>"202319C0100"</f>
        <v>202319C0100</v>
      </c>
      <c r="B5002" t="s">
        <v>10114</v>
      </c>
      <c r="C5002">
        <v>20</v>
      </c>
      <c r="D5002" t="s">
        <v>79</v>
      </c>
      <c r="E5002">
        <v>23</v>
      </c>
      <c r="F5002" t="s">
        <v>9720</v>
      </c>
      <c r="G5002">
        <v>2319</v>
      </c>
      <c r="H5002">
        <v>1</v>
      </c>
      <c r="I5002" t="s">
        <v>89</v>
      </c>
      <c r="J5002">
        <v>0</v>
      </c>
      <c r="K5002">
        <v>2</v>
      </c>
      <c r="L5002">
        <v>2</v>
      </c>
      <c r="M5002">
        <v>135</v>
      </c>
      <c r="N5002">
        <v>272</v>
      </c>
      <c r="O5002">
        <v>0</v>
      </c>
      <c r="P5002">
        <v>272</v>
      </c>
      <c r="Q5002">
        <v>8</v>
      </c>
      <c r="R5002">
        <v>68</v>
      </c>
      <c r="S5002">
        <v>4</v>
      </c>
      <c r="T5002">
        <v>4</v>
      </c>
      <c r="U5002">
        <v>11</v>
      </c>
      <c r="V5002">
        <v>6</v>
      </c>
      <c r="W5002">
        <v>7</v>
      </c>
      <c r="X5002">
        <v>4</v>
      </c>
      <c r="Y5002">
        <v>130</v>
      </c>
      <c r="Z5002">
        <v>6</v>
      </c>
      <c r="AA5002">
        <v>0</v>
      </c>
      <c r="AB5002">
        <v>1</v>
      </c>
      <c r="AC5002">
        <v>0</v>
      </c>
      <c r="AD5002">
        <v>0</v>
      </c>
      <c r="AE5002">
        <v>0</v>
      </c>
      <c r="AF5002">
        <v>0</v>
      </c>
      <c r="AG5002">
        <v>0</v>
      </c>
      <c r="AH5002">
        <v>0</v>
      </c>
      <c r="AI5002">
        <v>0</v>
      </c>
      <c r="AJ5002">
        <v>0</v>
      </c>
      <c r="AK5002">
        <v>1</v>
      </c>
      <c r="AL5002">
        <v>1</v>
      </c>
      <c r="AM5002">
        <v>0</v>
      </c>
      <c r="AN5002" t="s">
        <v>315</v>
      </c>
      <c r="AT5002">
        <v>0</v>
      </c>
      <c r="AU5002">
        <v>19</v>
      </c>
      <c r="AV5002">
        <v>272</v>
      </c>
      <c r="AW5002">
        <v>270</v>
      </c>
      <c r="AX5002">
        <v>385</v>
      </c>
      <c r="AZ5002" t="s">
        <v>101</v>
      </c>
      <c r="BA5002">
        <v>1</v>
      </c>
      <c r="BC5002" t="s">
        <v>10115</v>
      </c>
      <c r="BD5002" s="4">
        <v>43283.355000000003</v>
      </c>
      <c r="BE5002" s="4">
        <v>43283.387337962966</v>
      </c>
      <c r="BF5002" s="4">
        <v>43283.387337962966</v>
      </c>
      <c r="BG5002" t="s">
        <v>83</v>
      </c>
      <c r="BH5002" t="s">
        <v>84</v>
      </c>
      <c r="BI5002" t="s">
        <v>85</v>
      </c>
    </row>
    <row r="5003" spans="1:61" x14ac:dyDescent="0.3">
      <c r="A5003" t="str">
        <f>"202320B0100"</f>
        <v>202320B0100</v>
      </c>
      <c r="B5003" t="s">
        <v>10116</v>
      </c>
      <c r="C5003">
        <v>20</v>
      </c>
      <c r="D5003" t="s">
        <v>79</v>
      </c>
      <c r="E5003">
        <v>23</v>
      </c>
      <c r="F5003" t="s">
        <v>9720</v>
      </c>
      <c r="G5003">
        <v>2320</v>
      </c>
      <c r="H5003">
        <v>1</v>
      </c>
      <c r="I5003" t="s">
        <v>81</v>
      </c>
      <c r="J5003">
        <v>0</v>
      </c>
      <c r="K5003">
        <v>2</v>
      </c>
      <c r="L5003">
        <v>2</v>
      </c>
      <c r="M5003">
        <v>267</v>
      </c>
      <c r="N5003">
        <v>275</v>
      </c>
      <c r="O5003">
        <v>1</v>
      </c>
      <c r="P5003">
        <v>276</v>
      </c>
      <c r="Q5003">
        <v>2</v>
      </c>
      <c r="R5003">
        <v>32</v>
      </c>
      <c r="S5003">
        <v>8</v>
      </c>
      <c r="T5003">
        <v>1</v>
      </c>
      <c r="U5003">
        <v>14</v>
      </c>
      <c r="V5003">
        <v>10</v>
      </c>
      <c r="W5003">
        <v>9</v>
      </c>
      <c r="X5003">
        <v>4</v>
      </c>
      <c r="Y5003">
        <v>157</v>
      </c>
      <c r="Z5003">
        <v>4</v>
      </c>
      <c r="AA5003">
        <v>0</v>
      </c>
      <c r="AB5003">
        <v>2</v>
      </c>
      <c r="AC5003">
        <v>0</v>
      </c>
      <c r="AD5003">
        <v>0</v>
      </c>
      <c r="AE5003">
        <v>0</v>
      </c>
      <c r="AF5003">
        <v>1</v>
      </c>
      <c r="AG5003">
        <v>3</v>
      </c>
      <c r="AH5003">
        <v>7</v>
      </c>
      <c r="AI5003">
        <v>0</v>
      </c>
      <c r="AJ5003">
        <v>0</v>
      </c>
      <c r="AK5003">
        <v>0</v>
      </c>
      <c r="AL5003" t="s">
        <v>315</v>
      </c>
      <c r="AM5003">
        <v>0</v>
      </c>
      <c r="AN5003">
        <v>0</v>
      </c>
      <c r="AT5003">
        <v>0</v>
      </c>
      <c r="AU5003">
        <v>22</v>
      </c>
      <c r="AV5003" t="s">
        <v>100</v>
      </c>
      <c r="AW5003">
        <v>276</v>
      </c>
      <c r="AX5003">
        <v>521</v>
      </c>
      <c r="AZ5003" t="s">
        <v>101</v>
      </c>
      <c r="BA5003">
        <v>1</v>
      </c>
      <c r="BC5003" t="s">
        <v>10117</v>
      </c>
      <c r="BD5003" s="4">
        <v>43283.550810185188</v>
      </c>
      <c r="BE5003" s="4">
        <v>43283.555555555555</v>
      </c>
      <c r="BF5003" s="4">
        <v>43283.555555555555</v>
      </c>
      <c r="BG5003" t="s">
        <v>83</v>
      </c>
      <c r="BH5003" t="s">
        <v>84</v>
      </c>
      <c r="BI5003" t="s">
        <v>85</v>
      </c>
    </row>
    <row r="5004" spans="1:61" x14ac:dyDescent="0.3">
      <c r="A5004" t="str">
        <f>"202320C0100"</f>
        <v>202320C0100</v>
      </c>
      <c r="B5004" t="s">
        <v>10118</v>
      </c>
      <c r="C5004">
        <v>20</v>
      </c>
      <c r="D5004" t="s">
        <v>79</v>
      </c>
      <c r="E5004">
        <v>23</v>
      </c>
      <c r="F5004" t="s">
        <v>9720</v>
      </c>
      <c r="G5004">
        <v>2320</v>
      </c>
      <c r="H5004">
        <v>1</v>
      </c>
      <c r="I5004" t="s">
        <v>89</v>
      </c>
      <c r="J5004">
        <v>0</v>
      </c>
      <c r="K5004">
        <v>2</v>
      </c>
      <c r="L5004">
        <v>2</v>
      </c>
      <c r="M5004">
        <v>278</v>
      </c>
      <c r="N5004">
        <v>266</v>
      </c>
      <c r="O5004">
        <v>1</v>
      </c>
      <c r="P5004">
        <v>265</v>
      </c>
      <c r="Q5004">
        <v>1</v>
      </c>
      <c r="R5004">
        <v>20</v>
      </c>
      <c r="S5004">
        <v>1</v>
      </c>
      <c r="T5004">
        <v>1</v>
      </c>
      <c r="U5004">
        <v>5</v>
      </c>
      <c r="V5004">
        <v>2</v>
      </c>
      <c r="W5004">
        <v>9</v>
      </c>
      <c r="X5004">
        <v>3</v>
      </c>
      <c r="Y5004">
        <v>205</v>
      </c>
      <c r="Z5004">
        <v>2</v>
      </c>
      <c r="AA5004">
        <v>1</v>
      </c>
      <c r="AB5004">
        <v>1</v>
      </c>
      <c r="AC5004">
        <v>0</v>
      </c>
      <c r="AD5004">
        <v>0</v>
      </c>
      <c r="AE5004">
        <v>0</v>
      </c>
      <c r="AF5004">
        <v>0</v>
      </c>
      <c r="AG5004">
        <v>0</v>
      </c>
      <c r="AH5004">
        <v>0</v>
      </c>
      <c r="AI5004">
        <v>0</v>
      </c>
      <c r="AJ5004">
        <v>0</v>
      </c>
      <c r="AK5004">
        <v>0</v>
      </c>
      <c r="AL5004">
        <v>0</v>
      </c>
      <c r="AM5004">
        <v>0</v>
      </c>
      <c r="AN5004">
        <v>0</v>
      </c>
      <c r="AT5004">
        <v>0</v>
      </c>
      <c r="AU5004">
        <v>14</v>
      </c>
      <c r="AV5004">
        <v>265</v>
      </c>
      <c r="AW5004">
        <v>265</v>
      </c>
      <c r="AX5004">
        <v>521</v>
      </c>
      <c r="BA5004">
        <v>1</v>
      </c>
      <c r="BC5004" t="s">
        <v>10119</v>
      </c>
      <c r="BD5004" s="4">
        <v>43283.552048611113</v>
      </c>
      <c r="BE5004" s="4">
        <v>43283.555115740739</v>
      </c>
      <c r="BF5004" s="4">
        <v>43283.555115740739</v>
      </c>
      <c r="BG5004" t="s">
        <v>83</v>
      </c>
      <c r="BH5004" t="s">
        <v>84</v>
      </c>
      <c r="BI5004" t="s">
        <v>85</v>
      </c>
    </row>
    <row r="5005" spans="1:61" x14ac:dyDescent="0.3">
      <c r="A5005" t="str">
        <f>"202320C0200"</f>
        <v>202320C0200</v>
      </c>
      <c r="B5005" t="s">
        <v>10120</v>
      </c>
      <c r="C5005">
        <v>20</v>
      </c>
      <c r="D5005" t="s">
        <v>79</v>
      </c>
      <c r="E5005">
        <v>23</v>
      </c>
      <c r="F5005" t="s">
        <v>9720</v>
      </c>
      <c r="G5005">
        <v>2320</v>
      </c>
      <c r="H5005">
        <v>2</v>
      </c>
      <c r="I5005" t="s">
        <v>89</v>
      </c>
      <c r="J5005">
        <v>0</v>
      </c>
      <c r="K5005">
        <v>2</v>
      </c>
      <c r="L5005">
        <v>2</v>
      </c>
      <c r="M5005">
        <v>258</v>
      </c>
      <c r="N5005">
        <v>285</v>
      </c>
      <c r="O5005">
        <v>0</v>
      </c>
      <c r="P5005">
        <v>543</v>
      </c>
      <c r="Q5005">
        <v>1</v>
      </c>
      <c r="R5005">
        <v>25</v>
      </c>
      <c r="S5005">
        <v>5</v>
      </c>
      <c r="T5005">
        <v>1</v>
      </c>
      <c r="U5005">
        <v>10</v>
      </c>
      <c r="V5005">
        <v>2</v>
      </c>
      <c r="W5005">
        <v>12</v>
      </c>
      <c r="X5005">
        <v>2</v>
      </c>
      <c r="Y5005">
        <v>207</v>
      </c>
      <c r="Z5005">
        <v>2</v>
      </c>
      <c r="AA5005">
        <v>0</v>
      </c>
      <c r="AB5005">
        <v>0</v>
      </c>
      <c r="AC5005">
        <v>0</v>
      </c>
      <c r="AD5005">
        <v>0</v>
      </c>
      <c r="AE5005">
        <v>0</v>
      </c>
      <c r="AF5005">
        <v>0</v>
      </c>
      <c r="AG5005">
        <v>0</v>
      </c>
      <c r="AH5005">
        <v>0</v>
      </c>
      <c r="AI5005">
        <v>0</v>
      </c>
      <c r="AJ5005">
        <v>0</v>
      </c>
      <c r="AK5005">
        <v>4</v>
      </c>
      <c r="AL5005">
        <v>0</v>
      </c>
      <c r="AM5005" t="s">
        <v>100</v>
      </c>
      <c r="AN5005" t="s">
        <v>100</v>
      </c>
      <c r="AT5005" t="s">
        <v>100</v>
      </c>
      <c r="AU5005">
        <v>14</v>
      </c>
      <c r="AV5005">
        <v>285</v>
      </c>
      <c r="AW5005">
        <v>285</v>
      </c>
      <c r="AX5005">
        <v>521</v>
      </c>
      <c r="AZ5005" t="s">
        <v>101</v>
      </c>
      <c r="BA5005">
        <v>1</v>
      </c>
      <c r="BC5005" t="s">
        <v>10121</v>
      </c>
      <c r="BD5005" s="4">
        <v>43283.552465277775</v>
      </c>
      <c r="BE5005" s="4">
        <v>43283.557256944441</v>
      </c>
      <c r="BF5005" s="4">
        <v>43283.557256944441</v>
      </c>
      <c r="BG5005" t="s">
        <v>83</v>
      </c>
      <c r="BH5005" t="s">
        <v>84</v>
      </c>
      <c r="BI5005" t="s">
        <v>85</v>
      </c>
    </row>
    <row r="5006" spans="1:61" x14ac:dyDescent="0.3">
      <c r="A5006" t="str">
        <f>"200090B0100"</f>
        <v>200090B0100</v>
      </c>
      <c r="B5006" t="s">
        <v>10122</v>
      </c>
      <c r="C5006">
        <v>20</v>
      </c>
      <c r="D5006" t="s">
        <v>79</v>
      </c>
      <c r="E5006">
        <v>24</v>
      </c>
      <c r="F5006" t="s">
        <v>10123</v>
      </c>
      <c r="G5006">
        <v>90</v>
      </c>
      <c r="H5006">
        <v>1</v>
      </c>
      <c r="I5006" t="s">
        <v>81</v>
      </c>
      <c r="J5006">
        <v>0</v>
      </c>
      <c r="K5006">
        <v>2</v>
      </c>
      <c r="L5006">
        <v>2</v>
      </c>
      <c r="M5006">
        <v>366</v>
      </c>
      <c r="N5006">
        <v>318</v>
      </c>
      <c r="O5006">
        <v>1</v>
      </c>
      <c r="P5006">
        <v>318</v>
      </c>
      <c r="Q5006">
        <v>16</v>
      </c>
      <c r="R5006">
        <v>34</v>
      </c>
      <c r="S5006">
        <v>12</v>
      </c>
      <c r="T5006">
        <v>3</v>
      </c>
      <c r="U5006">
        <v>22</v>
      </c>
      <c r="V5006">
        <v>7</v>
      </c>
      <c r="W5006">
        <v>25</v>
      </c>
      <c r="X5006">
        <v>2</v>
      </c>
      <c r="Y5006">
        <v>142</v>
      </c>
      <c r="Z5006">
        <v>18</v>
      </c>
      <c r="AB5006">
        <v>3</v>
      </c>
      <c r="AC5006">
        <v>0</v>
      </c>
      <c r="AD5006">
        <v>0</v>
      </c>
      <c r="AE5006">
        <v>0</v>
      </c>
      <c r="AF5006">
        <v>0</v>
      </c>
      <c r="AK5006">
        <v>7</v>
      </c>
      <c r="AL5006">
        <v>1</v>
      </c>
      <c r="AM5006">
        <v>1</v>
      </c>
      <c r="AN5006">
        <v>2</v>
      </c>
      <c r="AQ5006">
        <v>0</v>
      </c>
      <c r="AT5006">
        <v>0</v>
      </c>
      <c r="AU5006">
        <v>22</v>
      </c>
      <c r="AV5006">
        <v>317</v>
      </c>
      <c r="AW5006">
        <v>317</v>
      </c>
      <c r="AX5006">
        <v>602</v>
      </c>
      <c r="BA5006">
        <v>1</v>
      </c>
      <c r="BC5006" t="s">
        <v>10124</v>
      </c>
      <c r="BD5006" s="4">
        <v>43283.793055555558</v>
      </c>
      <c r="BE5006" s="4">
        <v>43283.797951388886</v>
      </c>
      <c r="BF5006" s="4">
        <v>43283.797951388886</v>
      </c>
      <c r="BG5006" t="s">
        <v>83</v>
      </c>
      <c r="BH5006" t="s">
        <v>84</v>
      </c>
      <c r="BI5006" t="s">
        <v>85</v>
      </c>
    </row>
    <row r="5007" spans="1:61" x14ac:dyDescent="0.3">
      <c r="A5007" t="str">
        <f>"200090C0100"</f>
        <v>200090C0100</v>
      </c>
      <c r="B5007" t="s">
        <v>10125</v>
      </c>
      <c r="C5007">
        <v>20</v>
      </c>
      <c r="D5007" t="s">
        <v>79</v>
      </c>
      <c r="E5007">
        <v>24</v>
      </c>
      <c r="F5007" t="s">
        <v>10123</v>
      </c>
      <c r="G5007">
        <v>90</v>
      </c>
      <c r="H5007">
        <v>1</v>
      </c>
      <c r="I5007" t="s">
        <v>89</v>
      </c>
      <c r="J5007">
        <v>0</v>
      </c>
      <c r="K5007">
        <v>2</v>
      </c>
      <c r="L5007">
        <v>2</v>
      </c>
      <c r="M5007">
        <v>255</v>
      </c>
      <c r="N5007">
        <v>369</v>
      </c>
      <c r="O5007">
        <v>0</v>
      </c>
      <c r="P5007">
        <v>369</v>
      </c>
      <c r="Q5007">
        <v>11</v>
      </c>
      <c r="R5007">
        <v>33</v>
      </c>
      <c r="S5007">
        <v>4</v>
      </c>
      <c r="T5007">
        <v>5</v>
      </c>
      <c r="U5007">
        <v>29</v>
      </c>
      <c r="V5007">
        <v>8</v>
      </c>
      <c r="W5007">
        <v>32</v>
      </c>
      <c r="X5007">
        <v>5</v>
      </c>
      <c r="Y5007">
        <v>187</v>
      </c>
      <c r="Z5007">
        <v>22</v>
      </c>
      <c r="AB5007">
        <v>2</v>
      </c>
      <c r="AC5007">
        <v>0</v>
      </c>
      <c r="AD5007">
        <v>0</v>
      </c>
      <c r="AE5007">
        <v>0</v>
      </c>
      <c r="AF5007">
        <v>0</v>
      </c>
      <c r="AK5007">
        <v>4</v>
      </c>
      <c r="AL5007">
        <v>1</v>
      </c>
      <c r="AM5007">
        <v>0</v>
      </c>
      <c r="AN5007">
        <v>3</v>
      </c>
      <c r="AQ5007">
        <v>0</v>
      </c>
      <c r="AT5007">
        <v>0</v>
      </c>
      <c r="AU5007">
        <v>23</v>
      </c>
      <c r="AV5007">
        <v>369</v>
      </c>
      <c r="AW5007">
        <v>369</v>
      </c>
      <c r="AX5007">
        <v>602</v>
      </c>
      <c r="BA5007">
        <v>1</v>
      </c>
      <c r="BC5007" t="s">
        <v>10126</v>
      </c>
      <c r="BD5007" s="4">
        <v>43283.723611111112</v>
      </c>
      <c r="BE5007" s="4">
        <v>43283.728900462964</v>
      </c>
      <c r="BF5007" s="4">
        <v>43283.728900462964</v>
      </c>
      <c r="BG5007" t="s">
        <v>83</v>
      </c>
      <c r="BH5007" t="s">
        <v>84</v>
      </c>
      <c r="BI5007" t="s">
        <v>85</v>
      </c>
    </row>
    <row r="5008" spans="1:61" x14ac:dyDescent="0.3">
      <c r="A5008" t="str">
        <f>"200090C0200"</f>
        <v>200090C0200</v>
      </c>
      <c r="B5008" t="s">
        <v>10127</v>
      </c>
      <c r="C5008">
        <v>20</v>
      </c>
      <c r="D5008" t="s">
        <v>79</v>
      </c>
      <c r="E5008">
        <v>24</v>
      </c>
      <c r="F5008" t="s">
        <v>10123</v>
      </c>
      <c r="G5008">
        <v>90</v>
      </c>
      <c r="H5008">
        <v>2</v>
      </c>
      <c r="I5008" t="s">
        <v>89</v>
      </c>
      <c r="J5008">
        <v>0</v>
      </c>
      <c r="K5008">
        <v>2</v>
      </c>
      <c r="L5008">
        <v>2</v>
      </c>
      <c r="M5008">
        <v>277</v>
      </c>
      <c r="N5008">
        <v>347</v>
      </c>
      <c r="O5008">
        <v>4</v>
      </c>
      <c r="P5008">
        <v>347</v>
      </c>
      <c r="Q5008">
        <v>8</v>
      </c>
      <c r="R5008">
        <v>48</v>
      </c>
      <c r="S5008">
        <v>12</v>
      </c>
      <c r="T5008">
        <v>2</v>
      </c>
      <c r="U5008">
        <v>15</v>
      </c>
      <c r="V5008">
        <v>4</v>
      </c>
      <c r="W5008">
        <v>18</v>
      </c>
      <c r="X5008">
        <v>4</v>
      </c>
      <c r="Y5008">
        <v>168</v>
      </c>
      <c r="Z5008">
        <v>16</v>
      </c>
      <c r="AB5008">
        <v>1</v>
      </c>
      <c r="AC5008">
        <v>1</v>
      </c>
      <c r="AD5008">
        <v>0</v>
      </c>
      <c r="AE5008">
        <v>0</v>
      </c>
      <c r="AF5008">
        <v>0</v>
      </c>
      <c r="AK5008">
        <v>10</v>
      </c>
      <c r="AL5008">
        <v>3</v>
      </c>
      <c r="AM5008">
        <v>2</v>
      </c>
      <c r="AN5008">
        <v>2</v>
      </c>
      <c r="AQ5008">
        <v>0</v>
      </c>
      <c r="AT5008">
        <v>0</v>
      </c>
      <c r="AU5008">
        <v>33</v>
      </c>
      <c r="AV5008">
        <v>347</v>
      </c>
      <c r="AW5008">
        <v>347</v>
      </c>
      <c r="AX5008">
        <v>602</v>
      </c>
      <c r="BA5008">
        <v>1</v>
      </c>
      <c r="BC5008" t="s">
        <v>10128</v>
      </c>
      <c r="BD5008" s="4">
        <v>43283.724305555559</v>
      </c>
      <c r="BE5008" s="4">
        <v>43283.732916666668</v>
      </c>
      <c r="BF5008" s="4">
        <v>43283.732916666668</v>
      </c>
      <c r="BG5008" t="s">
        <v>83</v>
      </c>
      <c r="BH5008" t="s">
        <v>84</v>
      </c>
      <c r="BI5008" t="s">
        <v>85</v>
      </c>
    </row>
    <row r="5009" spans="1:61" x14ac:dyDescent="0.3">
      <c r="A5009" t="str">
        <f>"200091B0100"</f>
        <v>200091B0100</v>
      </c>
      <c r="B5009" t="s">
        <v>10129</v>
      </c>
      <c r="C5009">
        <v>20</v>
      </c>
      <c r="D5009" t="s">
        <v>79</v>
      </c>
      <c r="E5009">
        <v>24</v>
      </c>
      <c r="F5009" t="s">
        <v>10123</v>
      </c>
      <c r="G5009">
        <v>91</v>
      </c>
      <c r="H5009">
        <v>1</v>
      </c>
      <c r="I5009" t="s">
        <v>81</v>
      </c>
      <c r="J5009">
        <v>0</v>
      </c>
      <c r="K5009">
        <v>2</v>
      </c>
      <c r="L5009">
        <v>2</v>
      </c>
      <c r="M5009">
        <v>221</v>
      </c>
      <c r="N5009">
        <v>354</v>
      </c>
      <c r="O5009">
        <v>0</v>
      </c>
      <c r="P5009">
        <v>354</v>
      </c>
      <c r="Q5009">
        <v>11</v>
      </c>
      <c r="R5009">
        <v>43</v>
      </c>
      <c r="S5009">
        <v>7</v>
      </c>
      <c r="T5009">
        <v>3</v>
      </c>
      <c r="U5009">
        <v>18</v>
      </c>
      <c r="V5009">
        <v>5</v>
      </c>
      <c r="W5009">
        <v>35</v>
      </c>
      <c r="X5009">
        <v>4</v>
      </c>
      <c r="Y5009">
        <v>158</v>
      </c>
      <c r="Z5009">
        <v>34</v>
      </c>
      <c r="AB5009">
        <v>0</v>
      </c>
      <c r="AC5009">
        <v>0</v>
      </c>
      <c r="AD5009">
        <v>0</v>
      </c>
      <c r="AE5009">
        <v>0</v>
      </c>
      <c r="AF5009">
        <v>0</v>
      </c>
      <c r="AK5009">
        <v>9</v>
      </c>
      <c r="AL5009">
        <v>2</v>
      </c>
      <c r="AM5009">
        <v>1</v>
      </c>
      <c r="AN5009">
        <v>1</v>
      </c>
      <c r="AQ5009">
        <v>0</v>
      </c>
      <c r="AT5009">
        <v>0</v>
      </c>
      <c r="AU5009">
        <v>23</v>
      </c>
      <c r="AV5009">
        <v>354</v>
      </c>
      <c r="AW5009">
        <v>354</v>
      </c>
      <c r="AX5009">
        <v>553</v>
      </c>
      <c r="BA5009">
        <v>1</v>
      </c>
      <c r="BC5009" t="s">
        <v>10130</v>
      </c>
      <c r="BD5009" s="4">
        <v>43283.154166666667</v>
      </c>
      <c r="BE5009" s="4">
        <v>43283.164756944447</v>
      </c>
      <c r="BF5009" s="4">
        <v>43283.164756944447</v>
      </c>
      <c r="BG5009" t="s">
        <v>83</v>
      </c>
      <c r="BH5009" t="s">
        <v>84</v>
      </c>
      <c r="BI5009" t="s">
        <v>85</v>
      </c>
    </row>
    <row r="5010" spans="1:61" x14ac:dyDescent="0.3">
      <c r="A5010" t="str">
        <f>"200091C0100"</f>
        <v>200091C0100</v>
      </c>
      <c r="B5010" t="s">
        <v>10131</v>
      </c>
      <c r="C5010">
        <v>20</v>
      </c>
      <c r="D5010" t="s">
        <v>79</v>
      </c>
      <c r="E5010">
        <v>24</v>
      </c>
      <c r="F5010" t="s">
        <v>10123</v>
      </c>
      <c r="G5010">
        <v>91</v>
      </c>
      <c r="H5010">
        <v>1</v>
      </c>
      <c r="I5010" t="s">
        <v>89</v>
      </c>
      <c r="J5010">
        <v>0</v>
      </c>
      <c r="K5010">
        <v>2</v>
      </c>
      <c r="L5010">
        <v>2</v>
      </c>
      <c r="M5010">
        <v>240</v>
      </c>
      <c r="N5010">
        <v>335</v>
      </c>
      <c r="O5010">
        <v>0</v>
      </c>
      <c r="P5010">
        <v>335</v>
      </c>
      <c r="Q5010">
        <v>3</v>
      </c>
      <c r="R5010">
        <v>48</v>
      </c>
      <c r="S5010">
        <v>7</v>
      </c>
      <c r="T5010">
        <v>7</v>
      </c>
      <c r="U5010">
        <v>26</v>
      </c>
      <c r="V5010">
        <v>8</v>
      </c>
      <c r="W5010">
        <v>25</v>
      </c>
      <c r="X5010">
        <v>3</v>
      </c>
      <c r="Y5010">
        <v>167</v>
      </c>
      <c r="Z5010">
        <v>15</v>
      </c>
      <c r="AB5010">
        <v>0</v>
      </c>
      <c r="AC5010">
        <v>0</v>
      </c>
      <c r="AD5010">
        <v>1</v>
      </c>
      <c r="AE5010">
        <v>1</v>
      </c>
      <c r="AF5010">
        <v>0</v>
      </c>
      <c r="AK5010">
        <v>2</v>
      </c>
      <c r="AL5010">
        <v>0</v>
      </c>
      <c r="AM5010">
        <v>0</v>
      </c>
      <c r="AN5010">
        <v>5</v>
      </c>
      <c r="AQ5010">
        <v>0</v>
      </c>
      <c r="AT5010">
        <v>0</v>
      </c>
      <c r="AU5010">
        <v>17</v>
      </c>
      <c r="AV5010">
        <v>335</v>
      </c>
      <c r="AW5010">
        <v>335</v>
      </c>
      <c r="AX5010">
        <v>553</v>
      </c>
      <c r="BA5010">
        <v>1</v>
      </c>
      <c r="BC5010" t="s">
        <v>10132</v>
      </c>
      <c r="BD5010" s="4">
        <v>43283.154166666667</v>
      </c>
      <c r="BE5010" s="4">
        <v>43283.168900462966</v>
      </c>
      <c r="BF5010" s="4">
        <v>43283.168900462966</v>
      </c>
      <c r="BG5010" t="s">
        <v>83</v>
      </c>
      <c r="BH5010" t="s">
        <v>84</v>
      </c>
      <c r="BI5010" t="s">
        <v>85</v>
      </c>
    </row>
    <row r="5011" spans="1:61" x14ac:dyDescent="0.3">
      <c r="A5011" t="str">
        <f>"200091E0100"</f>
        <v>200091E0100</v>
      </c>
      <c r="B5011" s="2" t="s">
        <v>10133</v>
      </c>
      <c r="C5011">
        <v>20</v>
      </c>
      <c r="D5011" t="s">
        <v>79</v>
      </c>
      <c r="E5011">
        <v>24</v>
      </c>
      <c r="F5011" t="s">
        <v>10123</v>
      </c>
      <c r="G5011">
        <v>91</v>
      </c>
      <c r="H5011">
        <v>1</v>
      </c>
      <c r="I5011" t="s">
        <v>145</v>
      </c>
      <c r="J5011">
        <v>0</v>
      </c>
      <c r="K5011">
        <v>2</v>
      </c>
      <c r="L5011">
        <v>2</v>
      </c>
      <c r="M5011">
        <v>185</v>
      </c>
      <c r="N5011">
        <v>240</v>
      </c>
      <c r="O5011">
        <v>0</v>
      </c>
      <c r="P5011">
        <v>240</v>
      </c>
      <c r="Q5011">
        <v>9</v>
      </c>
      <c r="R5011">
        <v>43</v>
      </c>
      <c r="S5011">
        <v>8</v>
      </c>
      <c r="T5011">
        <v>2</v>
      </c>
      <c r="U5011">
        <v>17</v>
      </c>
      <c r="V5011">
        <v>1</v>
      </c>
      <c r="W5011">
        <v>31</v>
      </c>
      <c r="X5011">
        <v>1</v>
      </c>
      <c r="Y5011">
        <v>87</v>
      </c>
      <c r="Z5011">
        <v>11</v>
      </c>
      <c r="AB5011">
        <v>0</v>
      </c>
      <c r="AC5011">
        <v>0</v>
      </c>
      <c r="AD5011">
        <v>2</v>
      </c>
      <c r="AE5011">
        <v>0</v>
      </c>
      <c r="AF5011">
        <v>0</v>
      </c>
      <c r="AK5011">
        <v>2</v>
      </c>
      <c r="AL5011">
        <v>3</v>
      </c>
      <c r="AM5011">
        <v>0</v>
      </c>
      <c r="AN5011">
        <v>1</v>
      </c>
      <c r="AQ5011">
        <v>0</v>
      </c>
      <c r="AT5011">
        <v>0</v>
      </c>
      <c r="AU5011">
        <v>22</v>
      </c>
      <c r="AV5011">
        <v>240</v>
      </c>
      <c r="AW5011">
        <v>240</v>
      </c>
      <c r="AX5011">
        <v>403</v>
      </c>
      <c r="BA5011">
        <v>1</v>
      </c>
      <c r="BC5011" t="s">
        <v>10134</v>
      </c>
      <c r="BD5011" s="4">
        <v>43283.154166666667</v>
      </c>
      <c r="BE5011" s="4">
        <v>43283.166493055556</v>
      </c>
      <c r="BF5011" s="4">
        <v>43283.166493055556</v>
      </c>
      <c r="BG5011" t="s">
        <v>83</v>
      </c>
      <c r="BH5011" t="s">
        <v>84</v>
      </c>
      <c r="BI5011" t="s">
        <v>85</v>
      </c>
    </row>
    <row r="5012" spans="1:61" x14ac:dyDescent="0.3">
      <c r="A5012" t="str">
        <f>"200093B0100"</f>
        <v>200093B0100</v>
      </c>
      <c r="B5012" t="s">
        <v>10135</v>
      </c>
      <c r="C5012">
        <v>20</v>
      </c>
      <c r="D5012" t="s">
        <v>79</v>
      </c>
      <c r="E5012">
        <v>24</v>
      </c>
      <c r="F5012" t="s">
        <v>10123</v>
      </c>
      <c r="G5012">
        <v>93</v>
      </c>
      <c r="H5012">
        <v>1</v>
      </c>
      <c r="I5012" t="s">
        <v>81</v>
      </c>
      <c r="J5012">
        <v>0</v>
      </c>
      <c r="K5012">
        <v>2</v>
      </c>
      <c r="L5012">
        <v>2</v>
      </c>
      <c r="AX5012">
        <v>676</v>
      </c>
      <c r="AZ5012" t="s">
        <v>156</v>
      </c>
      <c r="BA5012">
        <v>0</v>
      </c>
      <c r="BC5012" t="s">
        <v>10136</v>
      </c>
      <c r="BD5012" s="4">
        <v>43283.815972222219</v>
      </c>
      <c r="BE5012" s="4">
        <v>43283.817129629628</v>
      </c>
      <c r="BF5012" s="4">
        <v>43283.817129629628</v>
      </c>
      <c r="BG5012" t="s">
        <v>83</v>
      </c>
      <c r="BH5012" t="s">
        <v>84</v>
      </c>
      <c r="BI5012" t="s">
        <v>85</v>
      </c>
    </row>
    <row r="5013" spans="1:61" x14ac:dyDescent="0.3">
      <c r="A5013" t="str">
        <f>"200094B0100"</f>
        <v>200094B0100</v>
      </c>
      <c r="B5013" t="s">
        <v>10137</v>
      </c>
      <c r="C5013">
        <v>20</v>
      </c>
      <c r="D5013" t="s">
        <v>79</v>
      </c>
      <c r="E5013">
        <v>24</v>
      </c>
      <c r="F5013" t="s">
        <v>10123</v>
      </c>
      <c r="G5013">
        <v>94</v>
      </c>
      <c r="H5013">
        <v>1</v>
      </c>
      <c r="I5013" t="s">
        <v>81</v>
      </c>
      <c r="J5013">
        <v>0</v>
      </c>
      <c r="K5013">
        <v>2</v>
      </c>
      <c r="L5013">
        <v>2</v>
      </c>
      <c r="M5013">
        <v>126</v>
      </c>
      <c r="N5013">
        <v>166</v>
      </c>
      <c r="O5013">
        <v>0</v>
      </c>
      <c r="P5013">
        <v>166</v>
      </c>
      <c r="Q5013">
        <v>26</v>
      </c>
      <c r="R5013">
        <v>35</v>
      </c>
      <c r="S5013">
        <v>2</v>
      </c>
      <c r="T5013">
        <v>1</v>
      </c>
      <c r="U5013">
        <v>6</v>
      </c>
      <c r="V5013">
        <v>1</v>
      </c>
      <c r="W5013">
        <v>2</v>
      </c>
      <c r="X5013">
        <v>8</v>
      </c>
      <c r="Y5013">
        <v>61</v>
      </c>
      <c r="Z5013">
        <v>12</v>
      </c>
      <c r="AB5013">
        <v>0</v>
      </c>
      <c r="AC5013">
        <v>1</v>
      </c>
      <c r="AD5013">
        <v>0</v>
      </c>
      <c r="AE5013">
        <v>0</v>
      </c>
      <c r="AF5013">
        <v>0</v>
      </c>
      <c r="AK5013">
        <v>0</v>
      </c>
      <c r="AL5013">
        <v>0</v>
      </c>
      <c r="AM5013">
        <v>0</v>
      </c>
      <c r="AN5013">
        <v>2</v>
      </c>
      <c r="AQ5013">
        <v>0</v>
      </c>
      <c r="AT5013">
        <v>0</v>
      </c>
      <c r="AU5013">
        <v>9</v>
      </c>
      <c r="AV5013">
        <v>166</v>
      </c>
      <c r="AW5013">
        <v>166</v>
      </c>
      <c r="AX5013">
        <v>270</v>
      </c>
      <c r="BA5013">
        <v>1</v>
      </c>
      <c r="BC5013" t="s">
        <v>10138</v>
      </c>
      <c r="BD5013" s="4">
        <v>43283.74722222222</v>
      </c>
      <c r="BE5013" s="4">
        <v>43283.751956018517</v>
      </c>
      <c r="BF5013" s="4">
        <v>43283.751956018517</v>
      </c>
      <c r="BG5013" t="s">
        <v>83</v>
      </c>
      <c r="BH5013" t="s">
        <v>84</v>
      </c>
      <c r="BI5013" t="s">
        <v>85</v>
      </c>
    </row>
    <row r="5014" spans="1:61" x14ac:dyDescent="0.3">
      <c r="A5014" t="str">
        <f>"200095B0100"</f>
        <v>200095B0100</v>
      </c>
      <c r="B5014" t="s">
        <v>10139</v>
      </c>
      <c r="C5014">
        <v>20</v>
      </c>
      <c r="D5014" t="s">
        <v>79</v>
      </c>
      <c r="E5014">
        <v>24</v>
      </c>
      <c r="F5014" t="s">
        <v>10123</v>
      </c>
      <c r="G5014">
        <v>95</v>
      </c>
      <c r="H5014">
        <v>1</v>
      </c>
      <c r="I5014" t="s">
        <v>81</v>
      </c>
      <c r="J5014">
        <v>0</v>
      </c>
      <c r="K5014">
        <v>2</v>
      </c>
      <c r="L5014">
        <v>2</v>
      </c>
      <c r="M5014">
        <v>305</v>
      </c>
      <c r="N5014">
        <v>465</v>
      </c>
      <c r="O5014">
        <v>2</v>
      </c>
      <c r="P5014">
        <v>465</v>
      </c>
      <c r="Q5014">
        <v>33</v>
      </c>
      <c r="R5014">
        <v>66</v>
      </c>
      <c r="S5014">
        <v>22</v>
      </c>
      <c r="T5014">
        <v>6</v>
      </c>
      <c r="U5014">
        <v>31</v>
      </c>
      <c r="V5014">
        <v>12</v>
      </c>
      <c r="W5014">
        <v>39</v>
      </c>
      <c r="X5014">
        <v>4</v>
      </c>
      <c r="Y5014">
        <v>178</v>
      </c>
      <c r="Z5014">
        <v>24</v>
      </c>
      <c r="AB5014">
        <v>3</v>
      </c>
      <c r="AC5014">
        <v>0</v>
      </c>
      <c r="AD5014">
        <v>0</v>
      </c>
      <c r="AE5014">
        <v>1</v>
      </c>
      <c r="AF5014">
        <v>0</v>
      </c>
      <c r="AK5014">
        <v>3</v>
      </c>
      <c r="AL5014">
        <v>0</v>
      </c>
      <c r="AM5014">
        <v>0</v>
      </c>
      <c r="AN5014">
        <v>3</v>
      </c>
      <c r="AQ5014">
        <v>1</v>
      </c>
      <c r="AT5014">
        <v>0</v>
      </c>
      <c r="AU5014">
        <v>37</v>
      </c>
      <c r="AV5014">
        <v>465</v>
      </c>
      <c r="AW5014">
        <v>463</v>
      </c>
      <c r="AX5014">
        <v>748</v>
      </c>
      <c r="BA5014">
        <v>1</v>
      </c>
      <c r="BC5014" t="s">
        <v>10140</v>
      </c>
      <c r="BD5014" s="4">
        <v>43283.73333333333</v>
      </c>
      <c r="BE5014" s="4">
        <v>43283.738159722219</v>
      </c>
      <c r="BF5014" s="4">
        <v>43283.738159722219</v>
      </c>
      <c r="BG5014" t="s">
        <v>83</v>
      </c>
      <c r="BH5014" t="s">
        <v>84</v>
      </c>
      <c r="BI5014" t="s">
        <v>85</v>
      </c>
    </row>
    <row r="5015" spans="1:61" x14ac:dyDescent="0.3">
      <c r="A5015" t="str">
        <f>"200095E0100"</f>
        <v>200095E0100</v>
      </c>
      <c r="B5015" s="2" t="s">
        <v>10141</v>
      </c>
      <c r="C5015">
        <v>20</v>
      </c>
      <c r="D5015" t="s">
        <v>79</v>
      </c>
      <c r="E5015">
        <v>24</v>
      </c>
      <c r="F5015" t="s">
        <v>10123</v>
      </c>
      <c r="G5015">
        <v>95</v>
      </c>
      <c r="H5015">
        <v>1</v>
      </c>
      <c r="I5015" t="s">
        <v>145</v>
      </c>
      <c r="J5015">
        <v>0</v>
      </c>
      <c r="K5015">
        <v>2</v>
      </c>
      <c r="L5015">
        <v>2</v>
      </c>
      <c r="M5015">
        <v>260</v>
      </c>
      <c r="N5015">
        <v>342</v>
      </c>
      <c r="O5015">
        <v>0</v>
      </c>
      <c r="P5015">
        <v>342</v>
      </c>
      <c r="Q5015">
        <v>84</v>
      </c>
      <c r="R5015">
        <v>66</v>
      </c>
      <c r="S5015">
        <v>11</v>
      </c>
      <c r="T5015">
        <v>10</v>
      </c>
      <c r="U5015">
        <v>26</v>
      </c>
      <c r="V5015">
        <v>3</v>
      </c>
      <c r="W5015">
        <v>33</v>
      </c>
      <c r="X5015">
        <v>5</v>
      </c>
      <c r="Y5015">
        <v>62</v>
      </c>
      <c r="Z5015">
        <v>14</v>
      </c>
      <c r="AB5015">
        <v>1</v>
      </c>
      <c r="AC5015">
        <v>1</v>
      </c>
      <c r="AD5015" t="s">
        <v>100</v>
      </c>
      <c r="AE5015" t="s">
        <v>100</v>
      </c>
      <c r="AF5015">
        <v>5</v>
      </c>
      <c r="AK5015">
        <v>5</v>
      </c>
      <c r="AL5015" t="s">
        <v>100</v>
      </c>
      <c r="AM5015" t="s">
        <v>100</v>
      </c>
      <c r="AN5015" t="s">
        <v>100</v>
      </c>
      <c r="AQ5015" t="s">
        <v>100</v>
      </c>
      <c r="AT5015" t="s">
        <v>100</v>
      </c>
      <c r="AU5015" t="s">
        <v>100</v>
      </c>
      <c r="AV5015" t="s">
        <v>100</v>
      </c>
      <c r="AW5015">
        <v>326</v>
      </c>
      <c r="AX5015">
        <v>580</v>
      </c>
      <c r="AZ5015" t="s">
        <v>101</v>
      </c>
      <c r="BA5015">
        <v>1</v>
      </c>
      <c r="BC5015" t="s">
        <v>10142</v>
      </c>
      <c r="BD5015" s="4">
        <v>43283.726388888892</v>
      </c>
      <c r="BE5015" s="4">
        <v>43283.732615740744</v>
      </c>
      <c r="BF5015" s="4">
        <v>43283.732615740744</v>
      </c>
      <c r="BG5015" t="s">
        <v>83</v>
      </c>
      <c r="BH5015" t="s">
        <v>84</v>
      </c>
      <c r="BI5015" t="s">
        <v>85</v>
      </c>
    </row>
    <row r="5016" spans="1:61" x14ac:dyDescent="0.3">
      <c r="A5016" t="str">
        <f>"200096B0100"</f>
        <v>200096B0100</v>
      </c>
      <c r="B5016" t="s">
        <v>10143</v>
      </c>
      <c r="C5016">
        <v>20</v>
      </c>
      <c r="D5016" t="s">
        <v>79</v>
      </c>
      <c r="E5016">
        <v>24</v>
      </c>
      <c r="F5016" t="s">
        <v>10123</v>
      </c>
      <c r="G5016">
        <v>96</v>
      </c>
      <c r="H5016">
        <v>1</v>
      </c>
      <c r="I5016" t="s">
        <v>81</v>
      </c>
      <c r="J5016">
        <v>0</v>
      </c>
      <c r="K5016">
        <v>2</v>
      </c>
      <c r="L5016">
        <v>2</v>
      </c>
      <c r="M5016">
        <v>194</v>
      </c>
      <c r="N5016">
        <v>194</v>
      </c>
      <c r="O5016">
        <v>0</v>
      </c>
      <c r="P5016">
        <v>259</v>
      </c>
      <c r="Q5016">
        <v>7</v>
      </c>
      <c r="R5016">
        <v>68</v>
      </c>
      <c r="S5016">
        <v>11</v>
      </c>
      <c r="T5016">
        <v>4</v>
      </c>
      <c r="U5016">
        <v>25</v>
      </c>
      <c r="V5016">
        <v>4</v>
      </c>
      <c r="W5016">
        <v>24</v>
      </c>
      <c r="X5016">
        <v>4</v>
      </c>
      <c r="Y5016">
        <v>80</v>
      </c>
      <c r="Z5016">
        <v>6</v>
      </c>
      <c r="AB5016">
        <v>2</v>
      </c>
      <c r="AC5016">
        <v>1</v>
      </c>
      <c r="AD5016">
        <v>0</v>
      </c>
      <c r="AE5016">
        <v>0</v>
      </c>
      <c r="AF5016">
        <v>0</v>
      </c>
      <c r="AK5016">
        <v>3</v>
      </c>
      <c r="AL5016">
        <v>0</v>
      </c>
      <c r="AM5016">
        <v>0</v>
      </c>
      <c r="AN5016">
        <v>1</v>
      </c>
      <c r="AQ5016">
        <v>0</v>
      </c>
      <c r="AT5016">
        <v>0</v>
      </c>
      <c r="AU5016">
        <v>19</v>
      </c>
      <c r="AV5016">
        <v>259</v>
      </c>
      <c r="AW5016">
        <v>259</v>
      </c>
      <c r="AX5016">
        <v>431</v>
      </c>
      <c r="BA5016">
        <v>1</v>
      </c>
      <c r="BC5016" t="s">
        <v>10144</v>
      </c>
      <c r="BD5016" s="4">
        <v>43283.158333333333</v>
      </c>
      <c r="BE5016" s="4">
        <v>43283.170011574075</v>
      </c>
      <c r="BF5016" s="4">
        <v>43283.170011574075</v>
      </c>
      <c r="BG5016" t="s">
        <v>83</v>
      </c>
      <c r="BH5016" t="s">
        <v>84</v>
      </c>
      <c r="BI5016" t="s">
        <v>85</v>
      </c>
    </row>
    <row r="5017" spans="1:61" x14ac:dyDescent="0.3">
      <c r="A5017" t="str">
        <f>"200096E0100"</f>
        <v>200096E0100</v>
      </c>
      <c r="B5017" s="2" t="s">
        <v>10145</v>
      </c>
      <c r="C5017">
        <v>20</v>
      </c>
      <c r="D5017" t="s">
        <v>79</v>
      </c>
      <c r="E5017">
        <v>24</v>
      </c>
      <c r="F5017" t="s">
        <v>10123</v>
      </c>
      <c r="G5017">
        <v>96</v>
      </c>
      <c r="H5017">
        <v>1</v>
      </c>
      <c r="I5017" t="s">
        <v>145</v>
      </c>
      <c r="J5017">
        <v>0</v>
      </c>
      <c r="K5017">
        <v>2</v>
      </c>
      <c r="L5017">
        <v>2</v>
      </c>
      <c r="M5017">
        <v>244</v>
      </c>
      <c r="N5017">
        <v>440</v>
      </c>
      <c r="O5017">
        <v>3</v>
      </c>
      <c r="P5017">
        <v>440</v>
      </c>
      <c r="Q5017">
        <v>24</v>
      </c>
      <c r="R5017">
        <v>105</v>
      </c>
      <c r="S5017">
        <v>13</v>
      </c>
      <c r="T5017">
        <v>6</v>
      </c>
      <c r="U5017">
        <v>22</v>
      </c>
      <c r="V5017">
        <v>5</v>
      </c>
      <c r="W5017">
        <v>39</v>
      </c>
      <c r="X5017">
        <v>8</v>
      </c>
      <c r="Y5017">
        <v>168</v>
      </c>
      <c r="Z5017">
        <v>13</v>
      </c>
      <c r="AB5017">
        <v>1</v>
      </c>
      <c r="AC5017">
        <v>0</v>
      </c>
      <c r="AD5017">
        <v>0</v>
      </c>
      <c r="AE5017">
        <v>0</v>
      </c>
      <c r="AF5017">
        <v>0</v>
      </c>
      <c r="AK5017">
        <v>3</v>
      </c>
      <c r="AL5017">
        <v>0</v>
      </c>
      <c r="AM5017">
        <v>1</v>
      </c>
      <c r="AN5017">
        <v>2</v>
      </c>
      <c r="AQ5017">
        <v>0</v>
      </c>
      <c r="AT5017">
        <v>0</v>
      </c>
      <c r="AU5017">
        <v>30</v>
      </c>
      <c r="AV5017">
        <v>440</v>
      </c>
      <c r="AW5017">
        <v>440</v>
      </c>
      <c r="AX5017">
        <v>662</v>
      </c>
      <c r="BA5017">
        <v>1</v>
      </c>
      <c r="BC5017" t="s">
        <v>10146</v>
      </c>
      <c r="BD5017" s="4">
        <v>43283.161111111112</v>
      </c>
      <c r="BE5017" s="4">
        <v>43283.175069444442</v>
      </c>
      <c r="BF5017" s="4">
        <v>43283.175069444442</v>
      </c>
      <c r="BG5017" t="s">
        <v>83</v>
      </c>
      <c r="BH5017" t="s">
        <v>84</v>
      </c>
      <c r="BI5017" t="s">
        <v>85</v>
      </c>
    </row>
    <row r="5018" spans="1:61" x14ac:dyDescent="0.3">
      <c r="A5018" t="str">
        <f>"200432B0100"</f>
        <v>200432B0100</v>
      </c>
      <c r="B5018" t="s">
        <v>10147</v>
      </c>
      <c r="C5018">
        <v>20</v>
      </c>
      <c r="D5018" t="s">
        <v>79</v>
      </c>
      <c r="E5018">
        <v>24</v>
      </c>
      <c r="F5018" t="s">
        <v>10123</v>
      </c>
      <c r="G5018">
        <v>432</v>
      </c>
      <c r="H5018">
        <v>1</v>
      </c>
      <c r="I5018" t="s">
        <v>81</v>
      </c>
      <c r="J5018">
        <v>0</v>
      </c>
      <c r="K5018">
        <v>2</v>
      </c>
      <c r="L5018">
        <v>2</v>
      </c>
      <c r="M5018">
        <v>0</v>
      </c>
      <c r="N5018">
        <v>375</v>
      </c>
      <c r="O5018">
        <v>7</v>
      </c>
      <c r="P5018">
        <v>382</v>
      </c>
      <c r="Q5018">
        <v>32</v>
      </c>
      <c r="R5018">
        <v>78</v>
      </c>
      <c r="S5018">
        <v>5</v>
      </c>
      <c r="T5018">
        <v>8</v>
      </c>
      <c r="U5018">
        <v>8</v>
      </c>
      <c r="V5018">
        <v>8</v>
      </c>
      <c r="W5018">
        <v>19</v>
      </c>
      <c r="X5018">
        <v>39</v>
      </c>
      <c r="Y5018">
        <v>143</v>
      </c>
      <c r="Z5018">
        <v>9</v>
      </c>
      <c r="AB5018">
        <v>3</v>
      </c>
      <c r="AC5018">
        <v>1</v>
      </c>
      <c r="AD5018">
        <v>1</v>
      </c>
      <c r="AE5018">
        <v>1</v>
      </c>
      <c r="AF5018">
        <v>0</v>
      </c>
      <c r="AK5018">
        <v>3</v>
      </c>
      <c r="AL5018">
        <v>1</v>
      </c>
      <c r="AM5018">
        <v>0</v>
      </c>
      <c r="AN5018">
        <v>3</v>
      </c>
      <c r="AQ5018">
        <v>0</v>
      </c>
      <c r="AT5018">
        <v>0</v>
      </c>
      <c r="AU5018">
        <v>0</v>
      </c>
      <c r="AV5018">
        <v>382</v>
      </c>
      <c r="AW5018">
        <v>362</v>
      </c>
      <c r="AX5018">
        <v>570</v>
      </c>
      <c r="BA5018">
        <v>1</v>
      </c>
      <c r="BC5018" t="s">
        <v>10148</v>
      </c>
      <c r="BD5018" s="4">
        <v>43283.32708333333</v>
      </c>
      <c r="BE5018" s="4">
        <v>43283.348900462966</v>
      </c>
      <c r="BF5018" s="4">
        <v>43283.348900462966</v>
      </c>
      <c r="BG5018" t="s">
        <v>83</v>
      </c>
      <c r="BH5018" t="s">
        <v>84</v>
      </c>
      <c r="BI5018" t="s">
        <v>85</v>
      </c>
    </row>
    <row r="5019" spans="1:61" x14ac:dyDescent="0.3">
      <c r="A5019" t="str">
        <f>"200432C0100"</f>
        <v>200432C0100</v>
      </c>
      <c r="B5019" t="s">
        <v>10149</v>
      </c>
      <c r="C5019">
        <v>20</v>
      </c>
      <c r="D5019" t="s">
        <v>79</v>
      </c>
      <c r="E5019">
        <v>24</v>
      </c>
      <c r="F5019" t="s">
        <v>10123</v>
      </c>
      <c r="G5019">
        <v>432</v>
      </c>
      <c r="H5019">
        <v>1</v>
      </c>
      <c r="I5019" t="s">
        <v>89</v>
      </c>
      <c r="J5019">
        <v>0</v>
      </c>
      <c r="K5019">
        <v>2</v>
      </c>
      <c r="L5019">
        <v>2</v>
      </c>
      <c r="M5019">
        <v>203</v>
      </c>
      <c r="N5019">
        <v>389</v>
      </c>
      <c r="O5019">
        <v>7</v>
      </c>
      <c r="P5019">
        <v>389</v>
      </c>
      <c r="Q5019">
        <v>51</v>
      </c>
      <c r="R5019">
        <v>78</v>
      </c>
      <c r="S5019">
        <v>4</v>
      </c>
      <c r="T5019">
        <v>15</v>
      </c>
      <c r="U5019">
        <v>3</v>
      </c>
      <c r="V5019">
        <v>2</v>
      </c>
      <c r="W5019">
        <v>41</v>
      </c>
      <c r="X5019">
        <v>26</v>
      </c>
      <c r="Y5019">
        <v>145</v>
      </c>
      <c r="Z5019">
        <v>7</v>
      </c>
      <c r="AB5019">
        <v>2</v>
      </c>
      <c r="AC5019">
        <v>2</v>
      </c>
      <c r="AD5019">
        <v>0</v>
      </c>
      <c r="AE5019">
        <v>0</v>
      </c>
      <c r="AF5019">
        <v>0</v>
      </c>
      <c r="AK5019">
        <v>1</v>
      </c>
      <c r="AL5019">
        <v>1</v>
      </c>
      <c r="AM5019">
        <v>0</v>
      </c>
      <c r="AN5019">
        <v>1</v>
      </c>
      <c r="AQ5019">
        <v>1</v>
      </c>
      <c r="AT5019">
        <v>0</v>
      </c>
      <c r="AU5019">
        <v>9</v>
      </c>
      <c r="AV5019">
        <v>389</v>
      </c>
      <c r="AW5019">
        <v>389</v>
      </c>
      <c r="AX5019">
        <v>570</v>
      </c>
      <c r="BA5019">
        <v>1</v>
      </c>
      <c r="BC5019" t="s">
        <v>10150</v>
      </c>
      <c r="BD5019" s="4">
        <v>43283.263194444444</v>
      </c>
      <c r="BE5019" s="4">
        <v>43283.295659722222</v>
      </c>
      <c r="BF5019" s="4">
        <v>43283.295659722222</v>
      </c>
      <c r="BG5019" t="s">
        <v>83</v>
      </c>
      <c r="BH5019" t="s">
        <v>84</v>
      </c>
      <c r="BI5019" t="s">
        <v>85</v>
      </c>
    </row>
    <row r="5020" spans="1:61" x14ac:dyDescent="0.3">
      <c r="A5020" t="str">
        <f>"200432C0200"</f>
        <v>200432C0200</v>
      </c>
      <c r="B5020" t="s">
        <v>10151</v>
      </c>
      <c r="C5020">
        <v>20</v>
      </c>
      <c r="D5020" t="s">
        <v>79</v>
      </c>
      <c r="E5020">
        <v>24</v>
      </c>
      <c r="F5020" t="s">
        <v>10123</v>
      </c>
      <c r="G5020">
        <v>432</v>
      </c>
      <c r="H5020">
        <v>2</v>
      </c>
      <c r="I5020" t="s">
        <v>89</v>
      </c>
      <c r="J5020">
        <v>0</v>
      </c>
      <c r="K5020">
        <v>2</v>
      </c>
      <c r="L5020">
        <v>2</v>
      </c>
      <c r="M5020">
        <v>118</v>
      </c>
      <c r="N5020">
        <v>264</v>
      </c>
      <c r="O5020">
        <v>8</v>
      </c>
      <c r="P5020">
        <v>146</v>
      </c>
      <c r="Q5020">
        <v>10</v>
      </c>
      <c r="R5020">
        <v>38</v>
      </c>
      <c r="S5020">
        <v>1</v>
      </c>
      <c r="T5020">
        <v>2</v>
      </c>
      <c r="U5020">
        <v>8</v>
      </c>
      <c r="V5020">
        <v>4</v>
      </c>
      <c r="W5020">
        <v>25</v>
      </c>
      <c r="X5020">
        <v>2</v>
      </c>
      <c r="Y5020">
        <v>31</v>
      </c>
      <c r="Z5020">
        <v>4</v>
      </c>
      <c r="AB5020">
        <v>1</v>
      </c>
      <c r="AC5020">
        <v>0</v>
      </c>
      <c r="AD5020">
        <v>1</v>
      </c>
      <c r="AE5020">
        <v>0</v>
      </c>
      <c r="AF5020">
        <v>0</v>
      </c>
      <c r="AK5020">
        <v>2</v>
      </c>
      <c r="AL5020">
        <v>0</v>
      </c>
      <c r="AM5020">
        <v>0</v>
      </c>
      <c r="AN5020">
        <v>1</v>
      </c>
      <c r="AQ5020">
        <v>0</v>
      </c>
      <c r="AT5020">
        <v>0</v>
      </c>
      <c r="AU5020">
        <v>16</v>
      </c>
      <c r="AV5020">
        <v>146</v>
      </c>
      <c r="AW5020">
        <v>146</v>
      </c>
      <c r="AX5020">
        <v>570</v>
      </c>
      <c r="BA5020">
        <v>1</v>
      </c>
      <c r="BC5020" t="s">
        <v>10152</v>
      </c>
      <c r="BD5020" s="4">
        <v>43283.263888888891</v>
      </c>
      <c r="BE5020" s="4">
        <v>43283.290613425925</v>
      </c>
      <c r="BF5020" s="4">
        <v>43283.290613425925</v>
      </c>
      <c r="BG5020" t="s">
        <v>83</v>
      </c>
      <c r="BH5020" t="s">
        <v>84</v>
      </c>
      <c r="BI5020" t="s">
        <v>85</v>
      </c>
    </row>
    <row r="5021" spans="1:61" x14ac:dyDescent="0.3">
      <c r="A5021" t="str">
        <f>"200432E0100"</f>
        <v>200432E0100</v>
      </c>
      <c r="B5021" s="2" t="s">
        <v>10153</v>
      </c>
      <c r="C5021">
        <v>20</v>
      </c>
      <c r="D5021" t="s">
        <v>79</v>
      </c>
      <c r="E5021">
        <v>24</v>
      </c>
      <c r="F5021" t="s">
        <v>10123</v>
      </c>
      <c r="G5021">
        <v>432</v>
      </c>
      <c r="H5021">
        <v>1</v>
      </c>
      <c r="I5021" t="s">
        <v>145</v>
      </c>
      <c r="J5021">
        <v>0</v>
      </c>
      <c r="K5021">
        <v>2</v>
      </c>
      <c r="L5021">
        <v>2</v>
      </c>
      <c r="M5021">
        <v>118</v>
      </c>
      <c r="N5021">
        <v>264</v>
      </c>
      <c r="O5021">
        <v>8</v>
      </c>
      <c r="P5021">
        <v>146</v>
      </c>
      <c r="Q5021">
        <v>10</v>
      </c>
      <c r="R5021">
        <v>38</v>
      </c>
      <c r="S5021">
        <v>1</v>
      </c>
      <c r="T5021">
        <v>2</v>
      </c>
      <c r="U5021">
        <v>8</v>
      </c>
      <c r="V5021">
        <v>4</v>
      </c>
      <c r="W5021">
        <v>25</v>
      </c>
      <c r="X5021">
        <v>2</v>
      </c>
      <c r="Y5021">
        <v>31</v>
      </c>
      <c r="Z5021">
        <v>4</v>
      </c>
      <c r="AB5021">
        <v>1</v>
      </c>
      <c r="AC5021">
        <v>0</v>
      </c>
      <c r="AD5021">
        <v>1</v>
      </c>
      <c r="AE5021">
        <v>0</v>
      </c>
      <c r="AF5021">
        <v>0</v>
      </c>
      <c r="AK5021">
        <v>2</v>
      </c>
      <c r="AL5021">
        <v>0</v>
      </c>
      <c r="AM5021">
        <v>0</v>
      </c>
      <c r="AN5021">
        <v>1</v>
      </c>
      <c r="AQ5021">
        <v>0</v>
      </c>
      <c r="AT5021">
        <v>0</v>
      </c>
      <c r="AU5021">
        <v>16</v>
      </c>
      <c r="AV5021">
        <v>146</v>
      </c>
      <c r="AW5021">
        <v>146</v>
      </c>
      <c r="AX5021">
        <v>242</v>
      </c>
      <c r="BA5021">
        <v>1</v>
      </c>
      <c r="BC5021" t="s">
        <v>10154</v>
      </c>
      <c r="BD5021" s="4">
        <v>43283.263888888891</v>
      </c>
      <c r="BE5021" s="4">
        <v>43283.350370370368</v>
      </c>
      <c r="BF5021" s="4">
        <v>43283.350370370368</v>
      </c>
      <c r="BG5021" t="s">
        <v>83</v>
      </c>
      <c r="BH5021" t="s">
        <v>84</v>
      </c>
      <c r="BI5021" t="s">
        <v>85</v>
      </c>
    </row>
    <row r="5022" spans="1:61" x14ac:dyDescent="0.3">
      <c r="A5022" t="str">
        <f>"200432S0100"</f>
        <v>200432S0100</v>
      </c>
      <c r="B5022" t="s">
        <v>10155</v>
      </c>
      <c r="C5022">
        <v>20</v>
      </c>
      <c r="D5022" t="s">
        <v>79</v>
      </c>
      <c r="E5022">
        <v>24</v>
      </c>
      <c r="F5022" t="s">
        <v>10123</v>
      </c>
      <c r="G5022">
        <v>432</v>
      </c>
      <c r="H5022">
        <v>1</v>
      </c>
      <c r="I5022" t="s">
        <v>104</v>
      </c>
      <c r="J5022">
        <v>0</v>
      </c>
      <c r="K5022">
        <v>2</v>
      </c>
      <c r="L5022">
        <v>3</v>
      </c>
      <c r="M5022">
        <v>189</v>
      </c>
      <c r="N5022">
        <v>134</v>
      </c>
      <c r="O5022">
        <v>0</v>
      </c>
      <c r="P5022">
        <v>134</v>
      </c>
      <c r="Q5022">
        <v>11</v>
      </c>
      <c r="R5022">
        <v>16</v>
      </c>
      <c r="S5022">
        <v>0</v>
      </c>
      <c r="T5022">
        <v>1</v>
      </c>
      <c r="U5022">
        <v>8</v>
      </c>
      <c r="V5022">
        <v>1</v>
      </c>
      <c r="W5022">
        <v>9</v>
      </c>
      <c r="X5022">
        <v>2</v>
      </c>
      <c r="Y5022">
        <v>66</v>
      </c>
      <c r="Z5022">
        <v>7</v>
      </c>
      <c r="AB5022">
        <v>1</v>
      </c>
      <c r="AC5022">
        <v>0</v>
      </c>
      <c r="AD5022">
        <v>3</v>
      </c>
      <c r="AE5022">
        <v>0</v>
      </c>
      <c r="AF5022">
        <v>0</v>
      </c>
      <c r="AK5022">
        <v>3</v>
      </c>
      <c r="AL5022">
        <v>0</v>
      </c>
      <c r="AM5022">
        <v>1</v>
      </c>
      <c r="AN5022">
        <v>1</v>
      </c>
      <c r="AQ5022">
        <v>1</v>
      </c>
      <c r="AT5022">
        <v>0</v>
      </c>
      <c r="AU5022">
        <v>3</v>
      </c>
      <c r="AV5022">
        <v>134</v>
      </c>
      <c r="AW5022">
        <v>134</v>
      </c>
      <c r="AX5022">
        <v>0</v>
      </c>
      <c r="BA5022">
        <v>1</v>
      </c>
      <c r="BC5022" t="s">
        <v>10156</v>
      </c>
      <c r="BD5022" s="4">
        <v>43283.263888888891</v>
      </c>
      <c r="BE5022" s="4">
        <v>43283.290208333332</v>
      </c>
      <c r="BF5022" s="4">
        <v>43283.290208333332</v>
      </c>
      <c r="BG5022" t="s">
        <v>83</v>
      </c>
      <c r="BH5022" t="s">
        <v>84</v>
      </c>
      <c r="BI5022" t="s">
        <v>85</v>
      </c>
    </row>
    <row r="5023" spans="1:61" x14ac:dyDescent="0.3">
      <c r="A5023" t="str">
        <f>"200433B0100"</f>
        <v>200433B0100</v>
      </c>
      <c r="B5023" t="s">
        <v>10157</v>
      </c>
      <c r="C5023">
        <v>20</v>
      </c>
      <c r="D5023" t="s">
        <v>79</v>
      </c>
      <c r="E5023">
        <v>24</v>
      </c>
      <c r="F5023" t="s">
        <v>10123</v>
      </c>
      <c r="G5023">
        <v>433</v>
      </c>
      <c r="H5023">
        <v>1</v>
      </c>
      <c r="I5023" t="s">
        <v>81</v>
      </c>
      <c r="J5023">
        <v>0</v>
      </c>
      <c r="K5023">
        <v>2</v>
      </c>
      <c r="L5023">
        <v>2</v>
      </c>
      <c r="M5023">
        <v>256</v>
      </c>
      <c r="N5023">
        <v>487</v>
      </c>
      <c r="O5023">
        <v>9</v>
      </c>
      <c r="P5023">
        <v>487</v>
      </c>
      <c r="Q5023">
        <v>51</v>
      </c>
      <c r="R5023">
        <v>72</v>
      </c>
      <c r="S5023">
        <v>8</v>
      </c>
      <c r="T5023">
        <v>13</v>
      </c>
      <c r="U5023">
        <v>13</v>
      </c>
      <c r="V5023">
        <v>7</v>
      </c>
      <c r="W5023">
        <v>57</v>
      </c>
      <c r="X5023">
        <v>39</v>
      </c>
      <c r="Y5023">
        <v>170</v>
      </c>
      <c r="Z5023">
        <v>15</v>
      </c>
      <c r="AB5023">
        <v>3</v>
      </c>
      <c r="AC5023">
        <v>0</v>
      </c>
      <c r="AD5023">
        <v>0</v>
      </c>
      <c r="AE5023">
        <v>0</v>
      </c>
      <c r="AF5023">
        <v>0</v>
      </c>
      <c r="AK5023">
        <v>0</v>
      </c>
      <c r="AL5023">
        <v>2</v>
      </c>
      <c r="AM5023">
        <v>0</v>
      </c>
      <c r="AN5023">
        <v>0</v>
      </c>
      <c r="AQ5023">
        <v>0</v>
      </c>
      <c r="AT5023">
        <v>0</v>
      </c>
      <c r="AU5023">
        <v>37</v>
      </c>
      <c r="AV5023">
        <v>487</v>
      </c>
      <c r="AW5023">
        <v>487</v>
      </c>
      <c r="AX5023">
        <v>721</v>
      </c>
      <c r="BA5023">
        <v>1</v>
      </c>
      <c r="BC5023" t="s">
        <v>10158</v>
      </c>
      <c r="BD5023" s="4">
        <v>43283.279166666667</v>
      </c>
      <c r="BE5023" s="4">
        <v>43283.307245370372</v>
      </c>
      <c r="BF5023" s="4">
        <v>43283.307245370372</v>
      </c>
      <c r="BG5023" t="s">
        <v>83</v>
      </c>
      <c r="BH5023" t="s">
        <v>84</v>
      </c>
      <c r="BI5023" t="s">
        <v>85</v>
      </c>
    </row>
    <row r="5024" spans="1:61" x14ac:dyDescent="0.3">
      <c r="A5024" t="str">
        <f>"200433C0100"</f>
        <v>200433C0100</v>
      </c>
      <c r="B5024" t="s">
        <v>10159</v>
      </c>
      <c r="C5024">
        <v>20</v>
      </c>
      <c r="D5024" t="s">
        <v>79</v>
      </c>
      <c r="E5024">
        <v>24</v>
      </c>
      <c r="F5024" t="s">
        <v>10123</v>
      </c>
      <c r="G5024">
        <v>433</v>
      </c>
      <c r="H5024">
        <v>1</v>
      </c>
      <c r="I5024" t="s">
        <v>89</v>
      </c>
      <c r="J5024">
        <v>0</v>
      </c>
      <c r="K5024">
        <v>2</v>
      </c>
      <c r="L5024">
        <v>2</v>
      </c>
      <c r="M5024">
        <v>269</v>
      </c>
      <c r="N5024">
        <v>473</v>
      </c>
      <c r="O5024">
        <v>6</v>
      </c>
      <c r="P5024">
        <v>473</v>
      </c>
      <c r="Q5024">
        <v>51</v>
      </c>
      <c r="R5024">
        <v>88</v>
      </c>
      <c r="S5024">
        <v>6</v>
      </c>
      <c r="T5024">
        <v>7</v>
      </c>
      <c r="U5024">
        <v>11</v>
      </c>
      <c r="V5024">
        <v>7</v>
      </c>
      <c r="W5024">
        <v>55</v>
      </c>
      <c r="X5024">
        <v>28</v>
      </c>
      <c r="Y5024">
        <v>168</v>
      </c>
      <c r="Z5024">
        <v>9</v>
      </c>
      <c r="AB5024">
        <v>6</v>
      </c>
      <c r="AC5024">
        <v>1</v>
      </c>
      <c r="AD5024">
        <v>1</v>
      </c>
      <c r="AE5024">
        <v>0</v>
      </c>
      <c r="AF5024">
        <v>0</v>
      </c>
      <c r="AK5024">
        <v>2</v>
      </c>
      <c r="AL5024">
        <v>0</v>
      </c>
      <c r="AM5024">
        <v>0</v>
      </c>
      <c r="AN5024">
        <v>3</v>
      </c>
      <c r="AQ5024">
        <v>0</v>
      </c>
      <c r="AT5024">
        <v>1</v>
      </c>
      <c r="AU5024">
        <v>30</v>
      </c>
      <c r="AV5024">
        <v>473</v>
      </c>
      <c r="AW5024">
        <v>474</v>
      </c>
      <c r="AX5024">
        <v>721</v>
      </c>
      <c r="BA5024">
        <v>1</v>
      </c>
      <c r="BC5024" t="s">
        <v>10160</v>
      </c>
      <c r="BD5024" s="4">
        <v>43283.281944444447</v>
      </c>
      <c r="BE5024" s="4">
        <v>43283.310891203706</v>
      </c>
      <c r="BF5024" s="4">
        <v>43283.310891203706</v>
      </c>
      <c r="BG5024" t="s">
        <v>83</v>
      </c>
      <c r="BH5024" t="s">
        <v>84</v>
      </c>
      <c r="BI5024" t="s">
        <v>85</v>
      </c>
    </row>
    <row r="5025" spans="1:61" x14ac:dyDescent="0.3">
      <c r="A5025" t="str">
        <f>"200433C0200"</f>
        <v>200433C0200</v>
      </c>
      <c r="B5025" t="s">
        <v>10161</v>
      </c>
      <c r="C5025">
        <v>20</v>
      </c>
      <c r="D5025" t="s">
        <v>79</v>
      </c>
      <c r="E5025">
        <v>24</v>
      </c>
      <c r="F5025" t="s">
        <v>10123</v>
      </c>
      <c r="G5025">
        <v>433</v>
      </c>
      <c r="H5025">
        <v>2</v>
      </c>
      <c r="I5025" t="s">
        <v>89</v>
      </c>
      <c r="J5025">
        <v>0</v>
      </c>
      <c r="K5025">
        <v>2</v>
      </c>
      <c r="L5025">
        <v>2</v>
      </c>
      <c r="M5025">
        <v>254</v>
      </c>
      <c r="N5025">
        <v>489</v>
      </c>
      <c r="O5025">
        <v>4</v>
      </c>
      <c r="P5025">
        <v>489</v>
      </c>
      <c r="Q5025">
        <v>48</v>
      </c>
      <c r="R5025">
        <v>98</v>
      </c>
      <c r="S5025">
        <v>6</v>
      </c>
      <c r="T5025">
        <v>10</v>
      </c>
      <c r="U5025">
        <v>7</v>
      </c>
      <c r="V5025">
        <v>6</v>
      </c>
      <c r="W5025">
        <v>55</v>
      </c>
      <c r="X5025">
        <v>34</v>
      </c>
      <c r="Y5025">
        <v>176</v>
      </c>
      <c r="Z5025">
        <v>14</v>
      </c>
      <c r="AB5025">
        <v>10</v>
      </c>
      <c r="AC5025">
        <v>0</v>
      </c>
      <c r="AD5025">
        <v>0</v>
      </c>
      <c r="AE5025">
        <v>0</v>
      </c>
      <c r="AF5025">
        <v>0</v>
      </c>
      <c r="AK5025">
        <v>2</v>
      </c>
      <c r="AL5025">
        <v>1</v>
      </c>
      <c r="AM5025">
        <v>0</v>
      </c>
      <c r="AN5025">
        <v>4</v>
      </c>
      <c r="AQ5025">
        <v>1</v>
      </c>
      <c r="AT5025">
        <v>0</v>
      </c>
      <c r="AU5025">
        <v>17</v>
      </c>
      <c r="AV5025">
        <v>489</v>
      </c>
      <c r="AW5025">
        <v>489</v>
      </c>
      <c r="AX5025">
        <v>721</v>
      </c>
      <c r="BA5025">
        <v>1</v>
      </c>
      <c r="BC5025" t="s">
        <v>10162</v>
      </c>
      <c r="BD5025" s="4">
        <v>43283.282638888886</v>
      </c>
      <c r="BE5025" s="4">
        <v>43283.310682870368</v>
      </c>
      <c r="BF5025" s="4">
        <v>43283.310682870368</v>
      </c>
      <c r="BG5025" t="s">
        <v>83</v>
      </c>
      <c r="BH5025" t="s">
        <v>84</v>
      </c>
      <c r="BI5025" t="s">
        <v>85</v>
      </c>
    </row>
    <row r="5026" spans="1:61" x14ac:dyDescent="0.3">
      <c r="A5026" t="str">
        <f>"200433C0300"</f>
        <v>200433C0300</v>
      </c>
      <c r="B5026" t="s">
        <v>10163</v>
      </c>
      <c r="C5026">
        <v>20</v>
      </c>
      <c r="D5026" t="s">
        <v>79</v>
      </c>
      <c r="E5026">
        <v>24</v>
      </c>
      <c r="F5026" t="s">
        <v>10123</v>
      </c>
      <c r="G5026">
        <v>433</v>
      </c>
      <c r="H5026">
        <v>3</v>
      </c>
      <c r="I5026" t="s">
        <v>89</v>
      </c>
      <c r="J5026">
        <v>0</v>
      </c>
      <c r="K5026">
        <v>2</v>
      </c>
      <c r="L5026">
        <v>2</v>
      </c>
      <c r="M5026">
        <v>254</v>
      </c>
      <c r="N5026">
        <v>489</v>
      </c>
      <c r="O5026">
        <v>8</v>
      </c>
      <c r="P5026">
        <v>490</v>
      </c>
      <c r="Q5026">
        <v>38</v>
      </c>
      <c r="R5026">
        <v>65</v>
      </c>
      <c r="S5026">
        <v>7</v>
      </c>
      <c r="T5026">
        <v>14</v>
      </c>
      <c r="U5026">
        <v>13</v>
      </c>
      <c r="V5026">
        <v>14</v>
      </c>
      <c r="W5026">
        <v>76</v>
      </c>
      <c r="X5026">
        <v>31</v>
      </c>
      <c r="Y5026">
        <v>185</v>
      </c>
      <c r="Z5026">
        <v>16</v>
      </c>
      <c r="AB5026">
        <v>2</v>
      </c>
      <c r="AC5026">
        <v>1</v>
      </c>
      <c r="AD5026">
        <v>0</v>
      </c>
      <c r="AE5026">
        <v>0</v>
      </c>
      <c r="AF5026">
        <v>0</v>
      </c>
      <c r="AK5026">
        <v>3</v>
      </c>
      <c r="AL5026">
        <v>0</v>
      </c>
      <c r="AM5026">
        <v>1</v>
      </c>
      <c r="AN5026">
        <v>1</v>
      </c>
      <c r="AQ5026">
        <v>0</v>
      </c>
      <c r="AT5026" t="s">
        <v>100</v>
      </c>
      <c r="AU5026">
        <v>23</v>
      </c>
      <c r="AV5026" t="s">
        <v>100</v>
      </c>
      <c r="AW5026">
        <v>490</v>
      </c>
      <c r="AX5026">
        <v>721</v>
      </c>
      <c r="AZ5026" t="s">
        <v>101</v>
      </c>
      <c r="BA5026">
        <v>1</v>
      </c>
      <c r="BC5026" t="s">
        <v>10164</v>
      </c>
      <c r="BD5026" s="4">
        <v>43283.281944444447</v>
      </c>
      <c r="BE5026" s="4">
        <v>43283.31077546296</v>
      </c>
      <c r="BF5026" s="4">
        <v>43283.31077546296</v>
      </c>
      <c r="BG5026" t="s">
        <v>83</v>
      </c>
      <c r="BH5026" t="s">
        <v>84</v>
      </c>
      <c r="BI5026" t="s">
        <v>85</v>
      </c>
    </row>
    <row r="5027" spans="1:61" x14ac:dyDescent="0.3">
      <c r="A5027" t="str">
        <f>"200433C0400"</f>
        <v>200433C0400</v>
      </c>
      <c r="B5027" t="s">
        <v>10165</v>
      </c>
      <c r="C5027">
        <v>20</v>
      </c>
      <c r="D5027" t="s">
        <v>79</v>
      </c>
      <c r="E5027">
        <v>24</v>
      </c>
      <c r="F5027" t="s">
        <v>10123</v>
      </c>
      <c r="G5027">
        <v>433</v>
      </c>
      <c r="H5027">
        <v>4</v>
      </c>
      <c r="I5027" t="s">
        <v>89</v>
      </c>
      <c r="J5027">
        <v>0</v>
      </c>
      <c r="K5027">
        <v>2</v>
      </c>
      <c r="L5027">
        <v>2</v>
      </c>
      <c r="M5027">
        <v>280</v>
      </c>
      <c r="N5027">
        <v>464</v>
      </c>
      <c r="O5027">
        <v>10</v>
      </c>
      <c r="P5027">
        <v>463</v>
      </c>
      <c r="Q5027">
        <v>52</v>
      </c>
      <c r="R5027">
        <v>71</v>
      </c>
      <c r="S5027">
        <v>6</v>
      </c>
      <c r="T5027">
        <v>22</v>
      </c>
      <c r="U5027">
        <v>8</v>
      </c>
      <c r="V5027">
        <v>7</v>
      </c>
      <c r="W5027">
        <v>39</v>
      </c>
      <c r="X5027">
        <v>36</v>
      </c>
      <c r="Y5027">
        <v>171</v>
      </c>
      <c r="Z5027">
        <v>12</v>
      </c>
      <c r="AB5027">
        <v>5</v>
      </c>
      <c r="AC5027">
        <v>0</v>
      </c>
      <c r="AD5027">
        <v>0</v>
      </c>
      <c r="AE5027">
        <v>0</v>
      </c>
      <c r="AF5027">
        <v>0</v>
      </c>
      <c r="AK5027">
        <v>4</v>
      </c>
      <c r="AL5027">
        <v>2</v>
      </c>
      <c r="AM5027">
        <v>0</v>
      </c>
      <c r="AN5027">
        <v>0</v>
      </c>
      <c r="AQ5027">
        <v>0</v>
      </c>
      <c r="AT5027">
        <v>0</v>
      </c>
      <c r="AU5027">
        <v>28</v>
      </c>
      <c r="AV5027">
        <v>463</v>
      </c>
      <c r="AW5027">
        <v>463</v>
      </c>
      <c r="AX5027">
        <v>721</v>
      </c>
      <c r="BA5027">
        <v>1</v>
      </c>
      <c r="BC5027" t="s">
        <v>10166</v>
      </c>
      <c r="BD5027" s="4">
        <v>43283.282638888886</v>
      </c>
      <c r="BE5027" s="4">
        <v>43283.309884259259</v>
      </c>
      <c r="BF5027" s="4">
        <v>43283.309884259259</v>
      </c>
      <c r="BG5027" t="s">
        <v>83</v>
      </c>
      <c r="BH5027" t="s">
        <v>84</v>
      </c>
      <c r="BI5027" t="s">
        <v>85</v>
      </c>
    </row>
    <row r="5028" spans="1:61" x14ac:dyDescent="0.3">
      <c r="A5028" t="str">
        <f>"200434B0100"</f>
        <v>200434B0100</v>
      </c>
      <c r="B5028" t="s">
        <v>10167</v>
      </c>
      <c r="C5028">
        <v>20</v>
      </c>
      <c r="D5028" t="s">
        <v>79</v>
      </c>
      <c r="E5028">
        <v>24</v>
      </c>
      <c r="F5028" t="s">
        <v>10123</v>
      </c>
      <c r="G5028">
        <v>434</v>
      </c>
      <c r="H5028">
        <v>1</v>
      </c>
      <c r="I5028" t="s">
        <v>81</v>
      </c>
      <c r="J5028">
        <v>0</v>
      </c>
      <c r="K5028">
        <v>2</v>
      </c>
      <c r="L5028">
        <v>2</v>
      </c>
      <c r="M5028">
        <v>184</v>
      </c>
      <c r="N5028">
        <v>366</v>
      </c>
      <c r="O5028">
        <v>9</v>
      </c>
      <c r="P5028">
        <v>366</v>
      </c>
      <c r="Q5028">
        <v>37</v>
      </c>
      <c r="R5028">
        <v>57</v>
      </c>
      <c r="S5028">
        <v>0</v>
      </c>
      <c r="T5028">
        <v>14</v>
      </c>
      <c r="U5028">
        <v>15</v>
      </c>
      <c r="V5028">
        <v>5</v>
      </c>
      <c r="W5028">
        <v>37</v>
      </c>
      <c r="X5028">
        <v>9</v>
      </c>
      <c r="Y5028">
        <v>135</v>
      </c>
      <c r="Z5028">
        <v>19</v>
      </c>
      <c r="AB5028">
        <v>10</v>
      </c>
      <c r="AC5028">
        <v>0</v>
      </c>
      <c r="AD5028">
        <v>0</v>
      </c>
      <c r="AE5028">
        <v>0</v>
      </c>
      <c r="AF5028">
        <v>0</v>
      </c>
      <c r="AK5028">
        <v>0</v>
      </c>
      <c r="AL5028">
        <v>1</v>
      </c>
      <c r="AM5028">
        <v>0</v>
      </c>
      <c r="AN5028">
        <v>5</v>
      </c>
      <c r="AQ5028">
        <v>0</v>
      </c>
      <c r="AT5028">
        <v>0</v>
      </c>
      <c r="AU5028">
        <v>20</v>
      </c>
      <c r="AV5028">
        <v>366</v>
      </c>
      <c r="AW5028">
        <v>364</v>
      </c>
      <c r="AX5028">
        <v>528</v>
      </c>
      <c r="BA5028">
        <v>1</v>
      </c>
      <c r="BC5028" t="s">
        <v>10168</v>
      </c>
      <c r="BD5028" s="4">
        <v>43283.152083333334</v>
      </c>
      <c r="BE5028" s="4">
        <v>43283.161076388889</v>
      </c>
      <c r="BF5028" s="4">
        <v>43283.161076388889</v>
      </c>
      <c r="BG5028" t="s">
        <v>83</v>
      </c>
      <c r="BH5028" t="s">
        <v>84</v>
      </c>
      <c r="BI5028" t="s">
        <v>85</v>
      </c>
    </row>
    <row r="5029" spans="1:61" x14ac:dyDescent="0.3">
      <c r="A5029" t="str">
        <f>"200434C0100"</f>
        <v>200434C0100</v>
      </c>
      <c r="B5029" t="s">
        <v>10169</v>
      </c>
      <c r="C5029">
        <v>20</v>
      </c>
      <c r="D5029" t="s">
        <v>79</v>
      </c>
      <c r="E5029">
        <v>24</v>
      </c>
      <c r="F5029" t="s">
        <v>10123</v>
      </c>
      <c r="G5029">
        <v>434</v>
      </c>
      <c r="H5029">
        <v>1</v>
      </c>
      <c r="I5029" t="s">
        <v>89</v>
      </c>
      <c r="J5029">
        <v>0</v>
      </c>
      <c r="K5029">
        <v>2</v>
      </c>
      <c r="L5029">
        <v>2</v>
      </c>
      <c r="M5029">
        <v>189</v>
      </c>
      <c r="N5029">
        <v>549</v>
      </c>
      <c r="O5029" t="s">
        <v>100</v>
      </c>
      <c r="P5029">
        <v>348</v>
      </c>
      <c r="Q5029">
        <v>37</v>
      </c>
      <c r="R5029">
        <v>55</v>
      </c>
      <c r="S5029">
        <v>5</v>
      </c>
      <c r="T5029">
        <v>4</v>
      </c>
      <c r="U5029">
        <v>6</v>
      </c>
      <c r="V5029">
        <v>8</v>
      </c>
      <c r="W5029">
        <v>33</v>
      </c>
      <c r="X5029">
        <v>13</v>
      </c>
      <c r="Y5029">
        <v>164</v>
      </c>
      <c r="Z5029">
        <v>10</v>
      </c>
      <c r="AB5029">
        <v>8</v>
      </c>
      <c r="AC5029">
        <v>1</v>
      </c>
      <c r="AD5029">
        <v>0</v>
      </c>
      <c r="AE5029">
        <v>0</v>
      </c>
      <c r="AF5029">
        <v>0</v>
      </c>
      <c r="AK5029">
        <v>4</v>
      </c>
      <c r="AL5029">
        <v>0</v>
      </c>
      <c r="AM5029">
        <v>0</v>
      </c>
      <c r="AN5029">
        <v>0</v>
      </c>
      <c r="AQ5029">
        <v>0</v>
      </c>
      <c r="AT5029">
        <v>0</v>
      </c>
      <c r="AU5029">
        <v>12</v>
      </c>
      <c r="AV5029">
        <v>348</v>
      </c>
      <c r="AW5029">
        <v>360</v>
      </c>
      <c r="AX5029">
        <v>527</v>
      </c>
      <c r="BA5029">
        <v>1</v>
      </c>
      <c r="BC5029" t="s">
        <v>10170</v>
      </c>
      <c r="BD5029" s="4">
        <v>43283.538194444445</v>
      </c>
      <c r="BE5029" s="4">
        <v>43283.54587962963</v>
      </c>
      <c r="BF5029" s="4">
        <v>43283.54587962963</v>
      </c>
      <c r="BG5029" t="s">
        <v>83</v>
      </c>
      <c r="BH5029" t="s">
        <v>84</v>
      </c>
      <c r="BI5029" t="s">
        <v>85</v>
      </c>
    </row>
    <row r="5030" spans="1:61" x14ac:dyDescent="0.3">
      <c r="A5030" t="str">
        <f>"200434C0200"</f>
        <v>200434C0200</v>
      </c>
      <c r="B5030" t="s">
        <v>10171</v>
      </c>
      <c r="C5030">
        <v>20</v>
      </c>
      <c r="D5030" t="s">
        <v>79</v>
      </c>
      <c r="E5030">
        <v>24</v>
      </c>
      <c r="F5030" t="s">
        <v>10123</v>
      </c>
      <c r="G5030">
        <v>434</v>
      </c>
      <c r="H5030">
        <v>2</v>
      </c>
      <c r="I5030" t="s">
        <v>89</v>
      </c>
      <c r="J5030">
        <v>0</v>
      </c>
      <c r="K5030">
        <v>2</v>
      </c>
      <c r="L5030">
        <v>2</v>
      </c>
      <c r="M5030">
        <v>150</v>
      </c>
      <c r="N5030">
        <v>399</v>
      </c>
      <c r="O5030">
        <v>14</v>
      </c>
      <c r="P5030">
        <v>398</v>
      </c>
      <c r="Q5030">
        <v>45</v>
      </c>
      <c r="R5030">
        <v>55</v>
      </c>
      <c r="S5030">
        <v>2</v>
      </c>
      <c r="T5030">
        <v>14</v>
      </c>
      <c r="U5030">
        <v>9</v>
      </c>
      <c r="V5030">
        <v>4</v>
      </c>
      <c r="W5030">
        <v>35</v>
      </c>
      <c r="X5030">
        <v>16</v>
      </c>
      <c r="Y5030">
        <v>181</v>
      </c>
      <c r="Z5030">
        <v>7</v>
      </c>
      <c r="AB5030">
        <v>5</v>
      </c>
      <c r="AC5030">
        <v>1</v>
      </c>
      <c r="AD5030">
        <v>0</v>
      </c>
      <c r="AE5030">
        <v>0</v>
      </c>
      <c r="AF5030">
        <v>0</v>
      </c>
      <c r="AK5030">
        <v>1</v>
      </c>
      <c r="AL5030">
        <v>1</v>
      </c>
      <c r="AM5030">
        <v>0</v>
      </c>
      <c r="AN5030">
        <v>3</v>
      </c>
      <c r="AQ5030">
        <v>0</v>
      </c>
      <c r="AT5030">
        <v>0</v>
      </c>
      <c r="AU5030">
        <v>19</v>
      </c>
      <c r="AV5030">
        <v>398</v>
      </c>
      <c r="AW5030">
        <v>398</v>
      </c>
      <c r="AX5030">
        <v>527</v>
      </c>
      <c r="BA5030">
        <v>1</v>
      </c>
      <c r="BC5030" t="s">
        <v>10172</v>
      </c>
      <c r="BD5030" s="4">
        <v>43283.152083333334</v>
      </c>
      <c r="BE5030" s="4">
        <v>43283.161793981482</v>
      </c>
      <c r="BF5030" s="4">
        <v>43283.161793981482</v>
      </c>
      <c r="BG5030" t="s">
        <v>83</v>
      </c>
      <c r="BH5030" t="s">
        <v>84</v>
      </c>
      <c r="BI5030" t="s">
        <v>85</v>
      </c>
    </row>
    <row r="5031" spans="1:61" x14ac:dyDescent="0.3">
      <c r="A5031" t="str">
        <f>"200434E0100"</f>
        <v>200434E0100</v>
      </c>
      <c r="B5031" s="2" t="s">
        <v>10173</v>
      </c>
      <c r="C5031">
        <v>20</v>
      </c>
      <c r="D5031" t="s">
        <v>79</v>
      </c>
      <c r="E5031">
        <v>24</v>
      </c>
      <c r="F5031" t="s">
        <v>10123</v>
      </c>
      <c r="G5031">
        <v>434</v>
      </c>
      <c r="H5031">
        <v>1</v>
      </c>
      <c r="I5031" t="s">
        <v>145</v>
      </c>
      <c r="J5031">
        <v>0</v>
      </c>
      <c r="K5031">
        <v>2</v>
      </c>
      <c r="L5031">
        <v>2</v>
      </c>
      <c r="M5031">
        <v>71</v>
      </c>
      <c r="N5031">
        <v>224</v>
      </c>
      <c r="O5031">
        <v>11</v>
      </c>
      <c r="P5031">
        <v>224</v>
      </c>
      <c r="Q5031">
        <v>36</v>
      </c>
      <c r="R5031">
        <v>58</v>
      </c>
      <c r="S5031">
        <v>3</v>
      </c>
      <c r="T5031">
        <v>10</v>
      </c>
      <c r="U5031">
        <v>5</v>
      </c>
      <c r="V5031">
        <v>4</v>
      </c>
      <c r="W5031">
        <v>36</v>
      </c>
      <c r="X5031">
        <v>27</v>
      </c>
      <c r="Y5031">
        <v>23</v>
      </c>
      <c r="Z5031">
        <v>1</v>
      </c>
      <c r="AB5031">
        <v>0</v>
      </c>
      <c r="AC5031">
        <v>0</v>
      </c>
      <c r="AD5031">
        <v>0</v>
      </c>
      <c r="AE5031">
        <v>0</v>
      </c>
      <c r="AF5031">
        <v>0</v>
      </c>
      <c r="AK5031">
        <v>0</v>
      </c>
      <c r="AL5031">
        <v>0</v>
      </c>
      <c r="AM5031">
        <v>0</v>
      </c>
      <c r="AN5031">
        <v>0</v>
      </c>
      <c r="AQ5031">
        <v>0</v>
      </c>
      <c r="AT5031">
        <v>0</v>
      </c>
      <c r="AU5031">
        <v>21</v>
      </c>
      <c r="AV5031">
        <v>224</v>
      </c>
      <c r="AW5031">
        <v>224</v>
      </c>
      <c r="AX5031">
        <v>284</v>
      </c>
      <c r="BA5031">
        <v>1</v>
      </c>
      <c r="BC5031" t="s">
        <v>10174</v>
      </c>
      <c r="BD5031" s="4">
        <v>43283.152777777781</v>
      </c>
      <c r="BE5031" s="4">
        <v>43283.161527777775</v>
      </c>
      <c r="BF5031" s="4">
        <v>43283.161527777775</v>
      </c>
      <c r="BG5031" t="s">
        <v>83</v>
      </c>
      <c r="BH5031" t="s">
        <v>84</v>
      </c>
      <c r="BI5031" t="s">
        <v>85</v>
      </c>
    </row>
    <row r="5032" spans="1:61" x14ac:dyDescent="0.3">
      <c r="A5032" t="str">
        <f>"200435B0100"</f>
        <v>200435B0100</v>
      </c>
      <c r="B5032" t="s">
        <v>10175</v>
      </c>
      <c r="C5032">
        <v>20</v>
      </c>
      <c r="D5032" t="s">
        <v>79</v>
      </c>
      <c r="E5032">
        <v>24</v>
      </c>
      <c r="F5032" t="s">
        <v>10123</v>
      </c>
      <c r="G5032">
        <v>435</v>
      </c>
      <c r="H5032">
        <v>1</v>
      </c>
      <c r="I5032" t="s">
        <v>81</v>
      </c>
      <c r="J5032">
        <v>0</v>
      </c>
      <c r="K5032">
        <v>2</v>
      </c>
      <c r="L5032">
        <v>2</v>
      </c>
      <c r="M5032" t="s">
        <v>315</v>
      </c>
      <c r="N5032">
        <v>467</v>
      </c>
      <c r="O5032">
        <v>7</v>
      </c>
      <c r="P5032">
        <v>466</v>
      </c>
      <c r="Q5032">
        <v>61</v>
      </c>
      <c r="R5032">
        <v>67</v>
      </c>
      <c r="S5032">
        <v>1</v>
      </c>
      <c r="T5032">
        <v>20</v>
      </c>
      <c r="U5032">
        <v>3</v>
      </c>
      <c r="V5032">
        <v>7</v>
      </c>
      <c r="W5032">
        <v>47</v>
      </c>
      <c r="X5032">
        <v>23</v>
      </c>
      <c r="Y5032">
        <v>179</v>
      </c>
      <c r="Z5032">
        <v>11</v>
      </c>
      <c r="AB5032">
        <v>9</v>
      </c>
      <c r="AC5032">
        <v>0</v>
      </c>
      <c r="AD5032">
        <v>0</v>
      </c>
      <c r="AE5032">
        <v>0</v>
      </c>
      <c r="AF5032">
        <v>0</v>
      </c>
      <c r="AK5032">
        <v>4</v>
      </c>
      <c r="AL5032">
        <v>0</v>
      </c>
      <c r="AM5032">
        <v>0</v>
      </c>
      <c r="AN5032">
        <v>2</v>
      </c>
      <c r="AQ5032">
        <v>0</v>
      </c>
      <c r="AT5032">
        <v>0</v>
      </c>
      <c r="AU5032">
        <v>32</v>
      </c>
      <c r="AV5032">
        <v>466</v>
      </c>
      <c r="AW5032">
        <v>466</v>
      </c>
      <c r="AX5032">
        <v>699</v>
      </c>
      <c r="BA5032">
        <v>1</v>
      </c>
      <c r="BC5032" t="s">
        <v>10176</v>
      </c>
      <c r="BD5032" s="4">
        <v>43283.199305555558</v>
      </c>
      <c r="BE5032" s="4">
        <v>43283.216631944444</v>
      </c>
      <c r="BF5032" s="4">
        <v>43283.216631944444</v>
      </c>
      <c r="BG5032" t="s">
        <v>83</v>
      </c>
      <c r="BH5032" t="s">
        <v>84</v>
      </c>
      <c r="BI5032" t="s">
        <v>85</v>
      </c>
    </row>
    <row r="5033" spans="1:61" x14ac:dyDescent="0.3">
      <c r="A5033" t="str">
        <f>"200435C0100"</f>
        <v>200435C0100</v>
      </c>
      <c r="B5033" t="s">
        <v>10177</v>
      </c>
      <c r="C5033">
        <v>20</v>
      </c>
      <c r="D5033" t="s">
        <v>79</v>
      </c>
      <c r="E5033">
        <v>24</v>
      </c>
      <c r="F5033" t="s">
        <v>10123</v>
      </c>
      <c r="G5033">
        <v>435</v>
      </c>
      <c r="H5033">
        <v>1</v>
      </c>
      <c r="I5033" t="s">
        <v>89</v>
      </c>
      <c r="J5033">
        <v>0</v>
      </c>
      <c r="K5033">
        <v>2</v>
      </c>
      <c r="L5033">
        <v>2</v>
      </c>
      <c r="M5033">
        <v>241</v>
      </c>
      <c r="N5033">
        <v>476</v>
      </c>
      <c r="O5033">
        <v>7</v>
      </c>
      <c r="P5033">
        <v>479</v>
      </c>
      <c r="Q5033">
        <v>68</v>
      </c>
      <c r="R5033">
        <v>79</v>
      </c>
      <c r="S5033">
        <v>8</v>
      </c>
      <c r="T5033">
        <v>23</v>
      </c>
      <c r="U5033">
        <v>10</v>
      </c>
      <c r="V5033">
        <v>6</v>
      </c>
      <c r="W5033">
        <v>58</v>
      </c>
      <c r="X5033">
        <v>33</v>
      </c>
      <c r="Y5033">
        <v>158</v>
      </c>
      <c r="Z5033">
        <v>2</v>
      </c>
      <c r="AB5033">
        <v>7</v>
      </c>
      <c r="AC5033">
        <v>2</v>
      </c>
      <c r="AD5033">
        <v>1</v>
      </c>
      <c r="AE5033">
        <v>0</v>
      </c>
      <c r="AF5033">
        <v>0</v>
      </c>
      <c r="AK5033">
        <v>0</v>
      </c>
      <c r="AL5033">
        <v>0</v>
      </c>
      <c r="AM5033">
        <v>0</v>
      </c>
      <c r="AN5033">
        <v>1</v>
      </c>
      <c r="AQ5033">
        <v>0</v>
      </c>
      <c r="AT5033">
        <v>0</v>
      </c>
      <c r="AU5033">
        <v>23</v>
      </c>
      <c r="AV5033">
        <v>479</v>
      </c>
      <c r="AW5033">
        <v>479</v>
      </c>
      <c r="AX5033">
        <v>698</v>
      </c>
      <c r="BA5033">
        <v>1</v>
      </c>
      <c r="BC5033" t="s">
        <v>10178</v>
      </c>
      <c r="BD5033" s="4">
        <v>43283.200694444444</v>
      </c>
      <c r="BE5033" s="4">
        <v>43283.217719907407</v>
      </c>
      <c r="BF5033" s="4">
        <v>43283.217719907407</v>
      </c>
      <c r="BG5033" t="s">
        <v>83</v>
      </c>
      <c r="BH5033" t="s">
        <v>84</v>
      </c>
      <c r="BI5033" t="s">
        <v>85</v>
      </c>
    </row>
    <row r="5034" spans="1:61" x14ac:dyDescent="0.3">
      <c r="A5034" t="str">
        <f>"200436B0100"</f>
        <v>200436B0100</v>
      </c>
      <c r="B5034" t="s">
        <v>10179</v>
      </c>
      <c r="C5034">
        <v>20</v>
      </c>
      <c r="D5034" t="s">
        <v>79</v>
      </c>
      <c r="E5034">
        <v>24</v>
      </c>
      <c r="F5034" t="s">
        <v>10123</v>
      </c>
      <c r="G5034">
        <v>436</v>
      </c>
      <c r="H5034">
        <v>1</v>
      </c>
      <c r="I5034" t="s">
        <v>81</v>
      </c>
      <c r="J5034">
        <v>0</v>
      </c>
      <c r="K5034">
        <v>2</v>
      </c>
      <c r="L5034">
        <v>2</v>
      </c>
      <c r="M5034">
        <v>229</v>
      </c>
      <c r="N5034">
        <v>540</v>
      </c>
      <c r="O5034">
        <v>7</v>
      </c>
      <c r="P5034">
        <v>540</v>
      </c>
      <c r="Q5034">
        <v>49</v>
      </c>
      <c r="R5034">
        <v>92</v>
      </c>
      <c r="S5034">
        <v>7</v>
      </c>
      <c r="T5034">
        <v>21</v>
      </c>
      <c r="U5034">
        <v>14</v>
      </c>
      <c r="V5034">
        <v>8</v>
      </c>
      <c r="W5034">
        <v>49</v>
      </c>
      <c r="X5034">
        <v>34</v>
      </c>
      <c r="Y5034">
        <v>223</v>
      </c>
      <c r="Z5034">
        <v>12</v>
      </c>
      <c r="AB5034">
        <v>5</v>
      </c>
      <c r="AC5034">
        <v>0</v>
      </c>
      <c r="AD5034">
        <v>0</v>
      </c>
      <c r="AE5034">
        <v>1</v>
      </c>
      <c r="AF5034">
        <v>0</v>
      </c>
      <c r="AK5034">
        <v>3</v>
      </c>
      <c r="AL5034">
        <v>0</v>
      </c>
      <c r="AM5034">
        <v>0</v>
      </c>
      <c r="AN5034">
        <v>2</v>
      </c>
      <c r="AQ5034">
        <v>0</v>
      </c>
      <c r="AT5034">
        <v>1</v>
      </c>
      <c r="AU5034">
        <v>19</v>
      </c>
      <c r="AV5034">
        <v>540</v>
      </c>
      <c r="AW5034">
        <v>540</v>
      </c>
      <c r="AX5034">
        <v>747</v>
      </c>
      <c r="BA5034">
        <v>1</v>
      </c>
      <c r="BC5034" t="s">
        <v>10180</v>
      </c>
      <c r="BD5034" s="4">
        <v>43283.200694444444</v>
      </c>
      <c r="BE5034" s="4">
        <v>43283.218240740738</v>
      </c>
      <c r="BF5034" s="4">
        <v>43283.218240740738</v>
      </c>
      <c r="BG5034" t="s">
        <v>83</v>
      </c>
      <c r="BH5034" t="s">
        <v>84</v>
      </c>
      <c r="BI5034" t="s">
        <v>85</v>
      </c>
    </row>
    <row r="5035" spans="1:61" x14ac:dyDescent="0.3">
      <c r="A5035" t="str">
        <f>"200436C0100"</f>
        <v>200436C0100</v>
      </c>
      <c r="B5035" t="s">
        <v>10181</v>
      </c>
      <c r="C5035">
        <v>20</v>
      </c>
      <c r="D5035" t="s">
        <v>79</v>
      </c>
      <c r="E5035">
        <v>24</v>
      </c>
      <c r="F5035" t="s">
        <v>10123</v>
      </c>
      <c r="G5035">
        <v>436</v>
      </c>
      <c r="H5035">
        <v>1</v>
      </c>
      <c r="I5035" t="s">
        <v>89</v>
      </c>
      <c r="J5035">
        <v>0</v>
      </c>
      <c r="K5035">
        <v>2</v>
      </c>
      <c r="L5035">
        <v>2</v>
      </c>
      <c r="M5035">
        <v>245</v>
      </c>
      <c r="N5035" t="s">
        <v>100</v>
      </c>
      <c r="O5035" t="s">
        <v>100</v>
      </c>
      <c r="P5035">
        <v>518</v>
      </c>
      <c r="Q5035">
        <v>38</v>
      </c>
      <c r="R5035">
        <v>76</v>
      </c>
      <c r="S5035">
        <v>7</v>
      </c>
      <c r="T5035">
        <v>21</v>
      </c>
      <c r="U5035">
        <v>8</v>
      </c>
      <c r="V5035">
        <v>6</v>
      </c>
      <c r="W5035">
        <v>59</v>
      </c>
      <c r="X5035">
        <v>28</v>
      </c>
      <c r="Y5035">
        <v>231</v>
      </c>
      <c r="Z5035">
        <v>17</v>
      </c>
      <c r="AB5035">
        <v>4</v>
      </c>
      <c r="AC5035">
        <v>1</v>
      </c>
      <c r="AD5035">
        <v>0</v>
      </c>
      <c r="AE5035">
        <v>0</v>
      </c>
      <c r="AF5035">
        <v>0</v>
      </c>
      <c r="AK5035">
        <v>2</v>
      </c>
      <c r="AL5035">
        <v>0</v>
      </c>
      <c r="AM5035">
        <v>0</v>
      </c>
      <c r="AN5035">
        <v>2</v>
      </c>
      <c r="AQ5035">
        <v>0</v>
      </c>
      <c r="AT5035">
        <v>0</v>
      </c>
      <c r="AU5035">
        <v>19</v>
      </c>
      <c r="AV5035">
        <v>518</v>
      </c>
      <c r="AW5035">
        <v>519</v>
      </c>
      <c r="AX5035">
        <v>746</v>
      </c>
      <c r="BA5035">
        <v>1</v>
      </c>
      <c r="BC5035" t="s">
        <v>10182</v>
      </c>
      <c r="BD5035" s="4">
        <v>43283.199999999997</v>
      </c>
      <c r="BE5035" s="4">
        <v>43283.21702546296</v>
      </c>
      <c r="BF5035" s="4">
        <v>43283.21702546296</v>
      </c>
      <c r="BG5035" t="s">
        <v>83</v>
      </c>
      <c r="BH5035" t="s">
        <v>84</v>
      </c>
      <c r="BI5035" t="s">
        <v>85</v>
      </c>
    </row>
    <row r="5036" spans="1:61" x14ac:dyDescent="0.3">
      <c r="A5036" t="str">
        <f>"200437B0100"</f>
        <v>200437B0100</v>
      </c>
      <c r="B5036" t="s">
        <v>10183</v>
      </c>
      <c r="C5036">
        <v>20</v>
      </c>
      <c r="D5036" t="s">
        <v>79</v>
      </c>
      <c r="E5036">
        <v>24</v>
      </c>
      <c r="F5036" t="s">
        <v>10123</v>
      </c>
      <c r="G5036">
        <v>437</v>
      </c>
      <c r="H5036">
        <v>1</v>
      </c>
      <c r="I5036" t="s">
        <v>81</v>
      </c>
      <c r="J5036">
        <v>0</v>
      </c>
      <c r="K5036">
        <v>2</v>
      </c>
      <c r="L5036">
        <v>2</v>
      </c>
      <c r="M5036">
        <v>193</v>
      </c>
      <c r="N5036">
        <v>609</v>
      </c>
      <c r="O5036">
        <v>11</v>
      </c>
      <c r="P5036">
        <v>416</v>
      </c>
      <c r="Q5036">
        <v>27</v>
      </c>
      <c r="R5036">
        <v>70</v>
      </c>
      <c r="S5036">
        <v>4</v>
      </c>
      <c r="T5036">
        <v>10</v>
      </c>
      <c r="U5036">
        <v>6</v>
      </c>
      <c r="V5036">
        <v>7</v>
      </c>
      <c r="W5036">
        <v>76</v>
      </c>
      <c r="X5036">
        <v>11</v>
      </c>
      <c r="Y5036">
        <v>162</v>
      </c>
      <c r="Z5036">
        <v>14</v>
      </c>
      <c r="AB5036">
        <v>2</v>
      </c>
      <c r="AC5036">
        <v>0</v>
      </c>
      <c r="AD5036">
        <v>0</v>
      </c>
      <c r="AE5036">
        <v>0</v>
      </c>
      <c r="AF5036">
        <v>0</v>
      </c>
      <c r="AK5036">
        <v>4</v>
      </c>
      <c r="AL5036">
        <v>1</v>
      </c>
      <c r="AM5036">
        <v>0</v>
      </c>
      <c r="AN5036">
        <v>2</v>
      </c>
      <c r="AQ5036">
        <v>1</v>
      </c>
      <c r="AT5036" t="s">
        <v>100</v>
      </c>
      <c r="AU5036">
        <v>19</v>
      </c>
      <c r="AV5036">
        <v>416</v>
      </c>
      <c r="AW5036">
        <v>416</v>
      </c>
      <c r="AX5036">
        <v>587</v>
      </c>
      <c r="AZ5036" t="s">
        <v>101</v>
      </c>
      <c r="BA5036">
        <v>1</v>
      </c>
      <c r="BC5036" t="s">
        <v>10184</v>
      </c>
      <c r="BD5036" s="4">
        <v>43283.257638888892</v>
      </c>
      <c r="BE5036" s="4">
        <v>43283.295185185183</v>
      </c>
      <c r="BF5036" s="4">
        <v>43283.295185185183</v>
      </c>
      <c r="BG5036" t="s">
        <v>83</v>
      </c>
      <c r="BH5036" t="s">
        <v>84</v>
      </c>
      <c r="BI5036" t="s">
        <v>85</v>
      </c>
    </row>
    <row r="5037" spans="1:61" x14ac:dyDescent="0.3">
      <c r="A5037" t="str">
        <f>"200437C0100"</f>
        <v>200437C0100</v>
      </c>
      <c r="B5037" t="s">
        <v>10185</v>
      </c>
      <c r="C5037">
        <v>20</v>
      </c>
      <c r="D5037" t="s">
        <v>79</v>
      </c>
      <c r="E5037">
        <v>24</v>
      </c>
      <c r="F5037" t="s">
        <v>10123</v>
      </c>
      <c r="G5037">
        <v>437</v>
      </c>
      <c r="H5037">
        <v>1</v>
      </c>
      <c r="I5037" t="s">
        <v>89</v>
      </c>
      <c r="J5037">
        <v>0</v>
      </c>
      <c r="K5037">
        <v>2</v>
      </c>
      <c r="L5037">
        <v>2</v>
      </c>
      <c r="M5037" t="s">
        <v>315</v>
      </c>
      <c r="N5037" t="s">
        <v>315</v>
      </c>
      <c r="O5037" t="s">
        <v>315</v>
      </c>
      <c r="P5037" t="s">
        <v>315</v>
      </c>
      <c r="Q5037" t="s">
        <v>315</v>
      </c>
      <c r="R5037" t="s">
        <v>315</v>
      </c>
      <c r="S5037" t="s">
        <v>315</v>
      </c>
      <c r="T5037" t="s">
        <v>315</v>
      </c>
      <c r="U5037" t="s">
        <v>315</v>
      </c>
      <c r="V5037" t="s">
        <v>315</v>
      </c>
      <c r="W5037" t="s">
        <v>315</v>
      </c>
      <c r="X5037" t="s">
        <v>315</v>
      </c>
      <c r="Y5037" t="s">
        <v>315</v>
      </c>
      <c r="Z5037" t="s">
        <v>315</v>
      </c>
      <c r="AB5037" t="s">
        <v>315</v>
      </c>
      <c r="AC5037" t="s">
        <v>315</v>
      </c>
      <c r="AD5037" t="s">
        <v>315</v>
      </c>
      <c r="AE5037" t="s">
        <v>315</v>
      </c>
      <c r="AF5037" t="s">
        <v>315</v>
      </c>
      <c r="AK5037" t="s">
        <v>315</v>
      </c>
      <c r="AL5037" t="s">
        <v>315</v>
      </c>
      <c r="AM5037" t="s">
        <v>315</v>
      </c>
      <c r="AN5037" t="s">
        <v>315</v>
      </c>
      <c r="AQ5037" t="s">
        <v>315</v>
      </c>
      <c r="AT5037" t="s">
        <v>315</v>
      </c>
      <c r="AU5037" t="s">
        <v>315</v>
      </c>
      <c r="AX5037">
        <v>587</v>
      </c>
      <c r="AZ5037" t="s">
        <v>794</v>
      </c>
      <c r="BA5037">
        <v>0</v>
      </c>
      <c r="BC5037" t="s">
        <v>10186</v>
      </c>
      <c r="BD5037" s="4">
        <v>43283.287499999999</v>
      </c>
      <c r="BE5037" s="4">
        <v>43283.32408564815</v>
      </c>
      <c r="BF5037" s="4">
        <v>43283.32408564815</v>
      </c>
      <c r="BG5037" t="s">
        <v>83</v>
      </c>
      <c r="BH5037" t="s">
        <v>84</v>
      </c>
      <c r="BI5037" t="s">
        <v>85</v>
      </c>
    </row>
    <row r="5038" spans="1:61" x14ac:dyDescent="0.3">
      <c r="A5038" t="str">
        <f>"200437C0200"</f>
        <v>200437C0200</v>
      </c>
      <c r="B5038" t="s">
        <v>10187</v>
      </c>
      <c r="C5038">
        <v>20</v>
      </c>
      <c r="D5038" t="s">
        <v>79</v>
      </c>
      <c r="E5038">
        <v>24</v>
      </c>
      <c r="F5038" t="s">
        <v>10123</v>
      </c>
      <c r="G5038">
        <v>437</v>
      </c>
      <c r="H5038">
        <v>2</v>
      </c>
      <c r="I5038" t="s">
        <v>89</v>
      </c>
      <c r="J5038">
        <v>0</v>
      </c>
      <c r="K5038">
        <v>2</v>
      </c>
      <c r="L5038">
        <v>2</v>
      </c>
      <c r="M5038">
        <v>209</v>
      </c>
      <c r="N5038">
        <v>399</v>
      </c>
      <c r="O5038">
        <v>13</v>
      </c>
      <c r="P5038">
        <v>399</v>
      </c>
      <c r="Q5038">
        <v>41</v>
      </c>
      <c r="R5038">
        <v>65</v>
      </c>
      <c r="S5038">
        <v>4</v>
      </c>
      <c r="T5038">
        <v>9</v>
      </c>
      <c r="U5038">
        <v>9</v>
      </c>
      <c r="V5038">
        <v>5</v>
      </c>
      <c r="W5038">
        <v>69</v>
      </c>
      <c r="X5038">
        <v>10</v>
      </c>
      <c r="Y5038">
        <v>153</v>
      </c>
      <c r="Z5038">
        <v>10</v>
      </c>
      <c r="AB5038">
        <v>1</v>
      </c>
      <c r="AC5038">
        <v>0</v>
      </c>
      <c r="AD5038">
        <v>1</v>
      </c>
      <c r="AE5038">
        <v>0</v>
      </c>
      <c r="AF5038">
        <v>0</v>
      </c>
      <c r="AK5038">
        <v>5</v>
      </c>
      <c r="AL5038">
        <v>3</v>
      </c>
      <c r="AM5038">
        <v>0</v>
      </c>
      <c r="AN5038">
        <v>0</v>
      </c>
      <c r="AQ5038">
        <v>2</v>
      </c>
      <c r="AT5038">
        <v>12</v>
      </c>
      <c r="AU5038">
        <v>12</v>
      </c>
      <c r="AV5038">
        <v>399</v>
      </c>
      <c r="AW5038">
        <v>411</v>
      </c>
      <c r="AX5038">
        <v>586</v>
      </c>
      <c r="BA5038">
        <v>1</v>
      </c>
      <c r="BC5038" t="s">
        <v>10188</v>
      </c>
      <c r="BD5038" s="4">
        <v>43283.138194444444</v>
      </c>
      <c r="BE5038" s="4">
        <v>43283.142638888887</v>
      </c>
      <c r="BF5038" s="4">
        <v>43283.142638888887</v>
      </c>
      <c r="BG5038" t="s">
        <v>83</v>
      </c>
      <c r="BH5038" t="s">
        <v>84</v>
      </c>
      <c r="BI5038" t="s">
        <v>85</v>
      </c>
    </row>
    <row r="5039" spans="1:61" x14ac:dyDescent="0.3">
      <c r="A5039" t="str">
        <f>"200438B0100"</f>
        <v>200438B0100</v>
      </c>
      <c r="B5039" t="s">
        <v>10189</v>
      </c>
      <c r="C5039">
        <v>20</v>
      </c>
      <c r="D5039" t="s">
        <v>79</v>
      </c>
      <c r="E5039">
        <v>24</v>
      </c>
      <c r="F5039" t="s">
        <v>10123</v>
      </c>
      <c r="G5039">
        <v>438</v>
      </c>
      <c r="H5039">
        <v>1</v>
      </c>
      <c r="I5039" t="s">
        <v>81</v>
      </c>
      <c r="J5039">
        <v>0</v>
      </c>
      <c r="K5039">
        <v>2</v>
      </c>
      <c r="L5039">
        <v>2</v>
      </c>
      <c r="M5039">
        <v>264</v>
      </c>
      <c r="N5039">
        <v>501</v>
      </c>
      <c r="O5039">
        <v>12</v>
      </c>
      <c r="P5039">
        <v>501</v>
      </c>
      <c r="Q5039">
        <v>42</v>
      </c>
      <c r="R5039">
        <v>95</v>
      </c>
      <c r="S5039">
        <v>9</v>
      </c>
      <c r="T5039">
        <v>11</v>
      </c>
      <c r="U5039">
        <v>21</v>
      </c>
      <c r="V5039">
        <v>4</v>
      </c>
      <c r="W5039">
        <v>70</v>
      </c>
      <c r="X5039">
        <v>22</v>
      </c>
      <c r="Y5039">
        <v>181</v>
      </c>
      <c r="Z5039">
        <v>10</v>
      </c>
      <c r="AB5039">
        <v>5</v>
      </c>
      <c r="AC5039">
        <v>1</v>
      </c>
      <c r="AD5039">
        <v>0</v>
      </c>
      <c r="AE5039">
        <v>0</v>
      </c>
      <c r="AF5039">
        <v>0</v>
      </c>
      <c r="AK5039">
        <v>1</v>
      </c>
      <c r="AL5039">
        <v>1</v>
      </c>
      <c r="AM5039">
        <v>0</v>
      </c>
      <c r="AN5039">
        <v>2</v>
      </c>
      <c r="AQ5039">
        <v>2</v>
      </c>
      <c r="AT5039">
        <v>0</v>
      </c>
      <c r="AU5039">
        <v>24</v>
      </c>
      <c r="AV5039">
        <v>501</v>
      </c>
      <c r="AW5039">
        <v>501</v>
      </c>
      <c r="AX5039">
        <v>743</v>
      </c>
      <c r="BA5039">
        <v>1</v>
      </c>
      <c r="BC5039" t="s">
        <v>10190</v>
      </c>
      <c r="BD5039" s="4">
        <v>43283.254166666666</v>
      </c>
      <c r="BE5039" s="4">
        <v>43283.280057870368</v>
      </c>
      <c r="BF5039" s="4">
        <v>43283.280057870368</v>
      </c>
      <c r="BG5039" t="s">
        <v>83</v>
      </c>
      <c r="BH5039" t="s">
        <v>84</v>
      </c>
      <c r="BI5039" t="s">
        <v>85</v>
      </c>
    </row>
    <row r="5040" spans="1:61" x14ac:dyDescent="0.3">
      <c r="A5040" t="str">
        <f>"200438C0100"</f>
        <v>200438C0100</v>
      </c>
      <c r="B5040" t="s">
        <v>10191</v>
      </c>
      <c r="C5040">
        <v>20</v>
      </c>
      <c r="D5040" t="s">
        <v>79</v>
      </c>
      <c r="E5040">
        <v>24</v>
      </c>
      <c r="F5040" t="s">
        <v>10123</v>
      </c>
      <c r="G5040">
        <v>438</v>
      </c>
      <c r="H5040">
        <v>1</v>
      </c>
      <c r="I5040" t="s">
        <v>89</v>
      </c>
      <c r="J5040">
        <v>0</v>
      </c>
      <c r="K5040">
        <v>2</v>
      </c>
      <c r="L5040">
        <v>2</v>
      </c>
      <c r="M5040">
        <v>279</v>
      </c>
      <c r="N5040">
        <v>486</v>
      </c>
      <c r="O5040">
        <v>5</v>
      </c>
      <c r="P5040">
        <v>486</v>
      </c>
      <c r="Q5040">
        <v>34</v>
      </c>
      <c r="R5040">
        <v>86</v>
      </c>
      <c r="S5040">
        <v>6</v>
      </c>
      <c r="T5040">
        <v>10</v>
      </c>
      <c r="U5040">
        <v>22</v>
      </c>
      <c r="V5040">
        <v>6</v>
      </c>
      <c r="W5040">
        <v>64</v>
      </c>
      <c r="X5040">
        <v>30</v>
      </c>
      <c r="Y5040">
        <v>173</v>
      </c>
      <c r="Z5040">
        <v>5</v>
      </c>
      <c r="AB5040">
        <v>12</v>
      </c>
      <c r="AC5040">
        <v>0</v>
      </c>
      <c r="AD5040">
        <v>1</v>
      </c>
      <c r="AE5040">
        <v>0</v>
      </c>
      <c r="AF5040">
        <v>0</v>
      </c>
      <c r="AK5040">
        <v>5</v>
      </c>
      <c r="AL5040">
        <v>2</v>
      </c>
      <c r="AM5040">
        <v>0</v>
      </c>
      <c r="AN5040">
        <v>2</v>
      </c>
      <c r="AQ5040">
        <v>1</v>
      </c>
      <c r="AT5040">
        <v>1</v>
      </c>
      <c r="AU5040">
        <v>26</v>
      </c>
      <c r="AV5040">
        <v>486</v>
      </c>
      <c r="AW5040">
        <v>486</v>
      </c>
      <c r="AX5040">
        <v>743</v>
      </c>
      <c r="BA5040">
        <v>1</v>
      </c>
      <c r="BC5040" t="s">
        <v>10192</v>
      </c>
      <c r="BD5040" s="4">
        <v>43283.25277777778</v>
      </c>
      <c r="BE5040" s="4">
        <v>43283.277858796297</v>
      </c>
      <c r="BF5040" s="4">
        <v>43283.277858796297</v>
      </c>
      <c r="BG5040" t="s">
        <v>83</v>
      </c>
      <c r="BH5040" t="s">
        <v>84</v>
      </c>
      <c r="BI5040" t="s">
        <v>85</v>
      </c>
    </row>
    <row r="5041" spans="1:61" x14ac:dyDescent="0.3">
      <c r="A5041" t="str">
        <f>"200438C0200"</f>
        <v>200438C0200</v>
      </c>
      <c r="B5041" t="s">
        <v>10193</v>
      </c>
      <c r="C5041">
        <v>20</v>
      </c>
      <c r="D5041" t="s">
        <v>79</v>
      </c>
      <c r="E5041">
        <v>24</v>
      </c>
      <c r="F5041" t="s">
        <v>10123</v>
      </c>
      <c r="G5041">
        <v>438</v>
      </c>
      <c r="H5041">
        <v>2</v>
      </c>
      <c r="I5041" t="s">
        <v>89</v>
      </c>
      <c r="J5041">
        <v>0</v>
      </c>
      <c r="K5041">
        <v>2</v>
      </c>
      <c r="L5041">
        <v>2</v>
      </c>
      <c r="M5041">
        <v>272</v>
      </c>
      <c r="N5041">
        <v>492</v>
      </c>
      <c r="O5041">
        <v>4</v>
      </c>
      <c r="P5041">
        <v>492</v>
      </c>
      <c r="Q5041">
        <v>40</v>
      </c>
      <c r="R5041">
        <v>74</v>
      </c>
      <c r="S5041">
        <v>5</v>
      </c>
      <c r="T5041">
        <v>10</v>
      </c>
      <c r="U5041">
        <v>11</v>
      </c>
      <c r="V5041">
        <v>5</v>
      </c>
      <c r="W5041">
        <v>74</v>
      </c>
      <c r="X5041">
        <v>32</v>
      </c>
      <c r="Y5041">
        <v>181</v>
      </c>
      <c r="Z5041">
        <v>15</v>
      </c>
      <c r="AB5041">
        <v>4</v>
      </c>
      <c r="AC5041">
        <v>0</v>
      </c>
      <c r="AD5041">
        <v>1</v>
      </c>
      <c r="AE5041">
        <v>0</v>
      </c>
      <c r="AF5041">
        <v>0</v>
      </c>
      <c r="AK5041">
        <v>4</v>
      </c>
      <c r="AL5041">
        <v>0</v>
      </c>
      <c r="AM5041">
        <v>0</v>
      </c>
      <c r="AN5041">
        <v>0</v>
      </c>
      <c r="AQ5041">
        <v>4</v>
      </c>
      <c r="AT5041">
        <v>1</v>
      </c>
      <c r="AU5041">
        <v>29</v>
      </c>
      <c r="AV5041">
        <v>492</v>
      </c>
      <c r="AW5041">
        <v>490</v>
      </c>
      <c r="AX5041">
        <v>742</v>
      </c>
      <c r="BA5041">
        <v>1</v>
      </c>
      <c r="BC5041" t="s">
        <v>10194</v>
      </c>
      <c r="BD5041" s="4">
        <v>43283.252083333333</v>
      </c>
      <c r="BE5041" s="4">
        <v>43283.289594907408</v>
      </c>
      <c r="BF5041" s="4">
        <v>43283.289594907408</v>
      </c>
      <c r="BG5041" t="s">
        <v>83</v>
      </c>
      <c r="BH5041" t="s">
        <v>84</v>
      </c>
      <c r="BI5041" t="s">
        <v>85</v>
      </c>
    </row>
    <row r="5042" spans="1:61" x14ac:dyDescent="0.3">
      <c r="A5042" t="str">
        <f>"200438C0300"</f>
        <v>200438C0300</v>
      </c>
      <c r="B5042" t="s">
        <v>10195</v>
      </c>
      <c r="C5042">
        <v>20</v>
      </c>
      <c r="D5042" t="s">
        <v>79</v>
      </c>
      <c r="E5042">
        <v>24</v>
      </c>
      <c r="F5042" t="s">
        <v>10123</v>
      </c>
      <c r="G5042">
        <v>438</v>
      </c>
      <c r="H5042">
        <v>3</v>
      </c>
      <c r="I5042" t="s">
        <v>89</v>
      </c>
      <c r="J5042">
        <v>0</v>
      </c>
      <c r="K5042">
        <v>2</v>
      </c>
      <c r="L5042">
        <v>2</v>
      </c>
      <c r="M5042">
        <v>272</v>
      </c>
      <c r="N5042">
        <v>492</v>
      </c>
      <c r="O5042">
        <v>6</v>
      </c>
      <c r="P5042">
        <v>491</v>
      </c>
      <c r="Q5042">
        <v>54</v>
      </c>
      <c r="R5042">
        <v>73</v>
      </c>
      <c r="S5042">
        <v>2</v>
      </c>
      <c r="T5042">
        <v>5</v>
      </c>
      <c r="U5042">
        <v>12</v>
      </c>
      <c r="V5042">
        <v>7</v>
      </c>
      <c r="W5042">
        <v>75</v>
      </c>
      <c r="X5042">
        <v>29</v>
      </c>
      <c r="Y5042">
        <v>177</v>
      </c>
      <c r="Z5042">
        <v>12</v>
      </c>
      <c r="AB5042">
        <v>10</v>
      </c>
      <c r="AC5042">
        <v>1</v>
      </c>
      <c r="AD5042">
        <v>0</v>
      </c>
      <c r="AE5042">
        <v>0</v>
      </c>
      <c r="AF5042">
        <v>0</v>
      </c>
      <c r="AK5042">
        <v>4</v>
      </c>
      <c r="AL5042">
        <v>1</v>
      </c>
      <c r="AM5042">
        <v>0</v>
      </c>
      <c r="AN5042">
        <v>0</v>
      </c>
      <c r="AQ5042">
        <v>0</v>
      </c>
      <c r="AT5042">
        <v>0</v>
      </c>
      <c r="AU5042">
        <v>29</v>
      </c>
      <c r="AV5042">
        <v>491</v>
      </c>
      <c r="AW5042">
        <v>491</v>
      </c>
      <c r="AX5042">
        <v>742</v>
      </c>
      <c r="BA5042">
        <v>1</v>
      </c>
      <c r="BC5042" t="s">
        <v>10196</v>
      </c>
      <c r="BD5042" s="4">
        <v>43283.253472222219</v>
      </c>
      <c r="BE5042" s="4">
        <v>43283.27957175926</v>
      </c>
      <c r="BF5042" s="4">
        <v>43283.27957175926</v>
      </c>
      <c r="BG5042" t="s">
        <v>83</v>
      </c>
      <c r="BH5042" t="s">
        <v>84</v>
      </c>
      <c r="BI5042" t="s">
        <v>85</v>
      </c>
    </row>
    <row r="5043" spans="1:61" x14ac:dyDescent="0.3">
      <c r="A5043" t="str">
        <f>"200439B0100"</f>
        <v>200439B0100</v>
      </c>
      <c r="B5043" t="s">
        <v>10197</v>
      </c>
      <c r="C5043">
        <v>20</v>
      </c>
      <c r="D5043" t="s">
        <v>79</v>
      </c>
      <c r="E5043">
        <v>24</v>
      </c>
      <c r="F5043" t="s">
        <v>10123</v>
      </c>
      <c r="G5043">
        <v>439</v>
      </c>
      <c r="H5043">
        <v>1</v>
      </c>
      <c r="I5043" t="s">
        <v>81</v>
      </c>
      <c r="J5043">
        <v>0</v>
      </c>
      <c r="K5043">
        <v>2</v>
      </c>
      <c r="L5043">
        <v>2</v>
      </c>
      <c r="M5043">
        <v>222</v>
      </c>
      <c r="N5043">
        <v>496</v>
      </c>
      <c r="O5043">
        <v>7</v>
      </c>
      <c r="P5043">
        <v>496</v>
      </c>
      <c r="Q5043">
        <v>57</v>
      </c>
      <c r="R5043">
        <v>66</v>
      </c>
      <c r="S5043">
        <v>4</v>
      </c>
      <c r="T5043">
        <v>10</v>
      </c>
      <c r="U5043">
        <v>11</v>
      </c>
      <c r="V5043">
        <v>8</v>
      </c>
      <c r="W5043">
        <v>41</v>
      </c>
      <c r="X5043">
        <v>19</v>
      </c>
      <c r="Y5043">
        <v>235</v>
      </c>
      <c r="Z5043">
        <v>16</v>
      </c>
      <c r="AB5043">
        <v>4</v>
      </c>
      <c r="AC5043">
        <v>1</v>
      </c>
      <c r="AD5043">
        <v>0</v>
      </c>
      <c r="AE5043">
        <v>0</v>
      </c>
      <c r="AF5043">
        <v>0</v>
      </c>
      <c r="AK5043">
        <v>5</v>
      </c>
      <c r="AL5043">
        <v>0</v>
      </c>
      <c r="AM5043">
        <v>0</v>
      </c>
      <c r="AN5043">
        <v>2</v>
      </c>
      <c r="AQ5043">
        <v>0</v>
      </c>
      <c r="AT5043">
        <v>0</v>
      </c>
      <c r="AU5043">
        <v>17</v>
      </c>
      <c r="AV5043">
        <v>496</v>
      </c>
      <c r="AW5043">
        <v>496</v>
      </c>
      <c r="AX5043">
        <v>696</v>
      </c>
      <c r="BA5043">
        <v>1</v>
      </c>
      <c r="BC5043" t="s">
        <v>10198</v>
      </c>
      <c r="BD5043" s="4">
        <v>43283.137499999997</v>
      </c>
      <c r="BE5043" s="4">
        <v>43283.142407407409</v>
      </c>
      <c r="BF5043" s="4">
        <v>43283.142407407409</v>
      </c>
      <c r="BG5043" t="s">
        <v>83</v>
      </c>
      <c r="BH5043" t="s">
        <v>84</v>
      </c>
      <c r="BI5043" t="s">
        <v>85</v>
      </c>
    </row>
    <row r="5044" spans="1:61" x14ac:dyDescent="0.3">
      <c r="A5044" t="str">
        <f>"200439C0100"</f>
        <v>200439C0100</v>
      </c>
      <c r="B5044" t="s">
        <v>10199</v>
      </c>
      <c r="C5044">
        <v>20</v>
      </c>
      <c r="D5044" t="s">
        <v>79</v>
      </c>
      <c r="E5044">
        <v>24</v>
      </c>
      <c r="F5044" t="s">
        <v>10123</v>
      </c>
      <c r="G5044">
        <v>439</v>
      </c>
      <c r="H5044">
        <v>1</v>
      </c>
      <c r="I5044" t="s">
        <v>89</v>
      </c>
      <c r="J5044">
        <v>0</v>
      </c>
      <c r="K5044">
        <v>2</v>
      </c>
      <c r="L5044">
        <v>2</v>
      </c>
      <c r="M5044">
        <v>227</v>
      </c>
      <c r="N5044">
        <v>489</v>
      </c>
      <c r="O5044">
        <v>7</v>
      </c>
      <c r="P5044">
        <v>491</v>
      </c>
      <c r="Q5044">
        <v>55</v>
      </c>
      <c r="R5044">
        <v>61</v>
      </c>
      <c r="S5044">
        <v>14</v>
      </c>
      <c r="T5044">
        <v>10</v>
      </c>
      <c r="U5044">
        <v>12</v>
      </c>
      <c r="V5044">
        <v>7</v>
      </c>
      <c r="W5044">
        <v>39</v>
      </c>
      <c r="X5044">
        <v>24</v>
      </c>
      <c r="Y5044">
        <v>224</v>
      </c>
      <c r="Z5044">
        <v>4</v>
      </c>
      <c r="AB5044">
        <v>4</v>
      </c>
      <c r="AC5044">
        <v>1</v>
      </c>
      <c r="AD5044">
        <v>0</v>
      </c>
      <c r="AE5044">
        <v>0</v>
      </c>
      <c r="AF5044">
        <v>0</v>
      </c>
      <c r="AK5044">
        <v>4</v>
      </c>
      <c r="AL5044">
        <v>0</v>
      </c>
      <c r="AM5044">
        <v>0</v>
      </c>
      <c r="AN5044">
        <v>4</v>
      </c>
      <c r="AQ5044">
        <v>1</v>
      </c>
      <c r="AT5044">
        <v>0</v>
      </c>
      <c r="AU5044">
        <v>27</v>
      </c>
      <c r="AV5044">
        <v>491</v>
      </c>
      <c r="AW5044">
        <v>491</v>
      </c>
      <c r="AX5044">
        <v>696</v>
      </c>
      <c r="BA5044">
        <v>1</v>
      </c>
      <c r="BC5044" t="s">
        <v>10200</v>
      </c>
      <c r="BD5044" s="4">
        <v>43283.138194444444</v>
      </c>
      <c r="BE5044" s="4">
        <v>43283.145462962966</v>
      </c>
      <c r="BF5044" s="4">
        <v>43283.145462962966</v>
      </c>
      <c r="BG5044" t="s">
        <v>83</v>
      </c>
      <c r="BH5044" t="s">
        <v>84</v>
      </c>
      <c r="BI5044" t="s">
        <v>85</v>
      </c>
    </row>
    <row r="5045" spans="1:61" x14ac:dyDescent="0.3">
      <c r="A5045" t="str">
        <f>"200440B0100"</f>
        <v>200440B0100</v>
      </c>
      <c r="B5045" t="s">
        <v>10201</v>
      </c>
      <c r="C5045">
        <v>20</v>
      </c>
      <c r="D5045" t="s">
        <v>79</v>
      </c>
      <c r="E5045">
        <v>24</v>
      </c>
      <c r="F5045" t="s">
        <v>10123</v>
      </c>
      <c r="G5045">
        <v>440</v>
      </c>
      <c r="H5045">
        <v>1</v>
      </c>
      <c r="I5045" t="s">
        <v>81</v>
      </c>
      <c r="J5045">
        <v>0</v>
      </c>
      <c r="K5045">
        <v>2</v>
      </c>
      <c r="L5045">
        <v>2</v>
      </c>
      <c r="M5045">
        <v>241</v>
      </c>
      <c r="N5045">
        <v>348</v>
      </c>
      <c r="O5045">
        <v>8</v>
      </c>
      <c r="P5045">
        <v>348</v>
      </c>
      <c r="Q5045">
        <v>35</v>
      </c>
      <c r="R5045">
        <v>66</v>
      </c>
      <c r="S5045">
        <v>4</v>
      </c>
      <c r="T5045">
        <v>11</v>
      </c>
      <c r="U5045">
        <v>5</v>
      </c>
      <c r="V5045">
        <v>6</v>
      </c>
      <c r="W5045">
        <v>17</v>
      </c>
      <c r="X5045">
        <v>30</v>
      </c>
      <c r="Y5045">
        <v>126</v>
      </c>
      <c r="Z5045">
        <v>10</v>
      </c>
      <c r="AB5045">
        <v>6</v>
      </c>
      <c r="AC5045">
        <v>1</v>
      </c>
      <c r="AD5045">
        <v>0</v>
      </c>
      <c r="AE5045">
        <v>0</v>
      </c>
      <c r="AF5045">
        <v>0</v>
      </c>
      <c r="AK5045">
        <v>4</v>
      </c>
      <c r="AL5045">
        <v>1</v>
      </c>
      <c r="AM5045">
        <v>0</v>
      </c>
      <c r="AN5045">
        <v>1</v>
      </c>
      <c r="AQ5045">
        <v>0</v>
      </c>
      <c r="AT5045">
        <v>0</v>
      </c>
      <c r="AU5045">
        <v>25</v>
      </c>
      <c r="AV5045">
        <v>348</v>
      </c>
      <c r="AW5045">
        <v>348</v>
      </c>
      <c r="AX5045">
        <v>567</v>
      </c>
      <c r="BA5045">
        <v>1</v>
      </c>
      <c r="BC5045" t="s">
        <v>10202</v>
      </c>
      <c r="BD5045" s="4">
        <v>43283.118055555555</v>
      </c>
      <c r="BE5045" s="4">
        <v>43283.124849537038</v>
      </c>
      <c r="BF5045" s="4">
        <v>43283.124849537038</v>
      </c>
      <c r="BG5045" t="s">
        <v>83</v>
      </c>
      <c r="BH5045" t="s">
        <v>84</v>
      </c>
      <c r="BI5045" t="s">
        <v>85</v>
      </c>
    </row>
    <row r="5046" spans="1:61" x14ac:dyDescent="0.3">
      <c r="A5046" t="str">
        <f>"200440C0100"</f>
        <v>200440C0100</v>
      </c>
      <c r="B5046" t="s">
        <v>10203</v>
      </c>
      <c r="C5046">
        <v>20</v>
      </c>
      <c r="D5046" t="s">
        <v>79</v>
      </c>
      <c r="E5046">
        <v>24</v>
      </c>
      <c r="F5046" t="s">
        <v>10123</v>
      </c>
      <c r="G5046">
        <v>440</v>
      </c>
      <c r="H5046">
        <v>1</v>
      </c>
      <c r="I5046" t="s">
        <v>89</v>
      </c>
      <c r="J5046">
        <v>0</v>
      </c>
      <c r="K5046">
        <v>2</v>
      </c>
      <c r="L5046">
        <v>2</v>
      </c>
      <c r="M5046">
        <v>223</v>
      </c>
      <c r="N5046">
        <v>588</v>
      </c>
      <c r="O5046">
        <v>0</v>
      </c>
      <c r="P5046" t="s">
        <v>100</v>
      </c>
      <c r="Q5046">
        <v>52</v>
      </c>
      <c r="R5046">
        <v>1</v>
      </c>
      <c r="S5046">
        <v>5</v>
      </c>
      <c r="T5046">
        <v>7</v>
      </c>
      <c r="U5046">
        <v>11</v>
      </c>
      <c r="V5046">
        <v>2</v>
      </c>
      <c r="W5046">
        <v>22</v>
      </c>
      <c r="X5046">
        <v>45</v>
      </c>
      <c r="Y5046">
        <v>118</v>
      </c>
      <c r="Z5046">
        <v>10</v>
      </c>
      <c r="AB5046">
        <v>5</v>
      </c>
      <c r="AC5046">
        <v>0</v>
      </c>
      <c r="AD5046">
        <v>0</v>
      </c>
      <c r="AE5046">
        <v>1</v>
      </c>
      <c r="AF5046">
        <v>0</v>
      </c>
      <c r="AK5046">
        <v>3</v>
      </c>
      <c r="AL5046">
        <v>1</v>
      </c>
      <c r="AM5046">
        <v>0</v>
      </c>
      <c r="AN5046">
        <v>0</v>
      </c>
      <c r="AQ5046">
        <v>1</v>
      </c>
      <c r="AT5046">
        <v>0</v>
      </c>
      <c r="AU5046">
        <v>17</v>
      </c>
      <c r="AV5046">
        <v>362</v>
      </c>
      <c r="AW5046">
        <v>301</v>
      </c>
      <c r="AX5046">
        <v>566</v>
      </c>
      <c r="BA5046">
        <v>1</v>
      </c>
      <c r="BC5046" t="s">
        <v>10204</v>
      </c>
      <c r="BD5046" s="4">
        <v>43283.115972222222</v>
      </c>
      <c r="BE5046" s="4">
        <v>43283.124212962961</v>
      </c>
      <c r="BF5046" s="4">
        <v>43283.124212962961</v>
      </c>
      <c r="BG5046" t="s">
        <v>83</v>
      </c>
      <c r="BH5046" t="s">
        <v>84</v>
      </c>
      <c r="BI5046" t="s">
        <v>85</v>
      </c>
    </row>
    <row r="5047" spans="1:61" x14ac:dyDescent="0.3">
      <c r="A5047" t="str">
        <f>"200440C0200"</f>
        <v>200440C0200</v>
      </c>
      <c r="B5047" t="s">
        <v>10205</v>
      </c>
      <c r="C5047">
        <v>20</v>
      </c>
      <c r="D5047" t="s">
        <v>79</v>
      </c>
      <c r="E5047">
        <v>24</v>
      </c>
      <c r="F5047" t="s">
        <v>10123</v>
      </c>
      <c r="G5047">
        <v>440</v>
      </c>
      <c r="H5047">
        <v>2</v>
      </c>
      <c r="I5047" t="s">
        <v>89</v>
      </c>
      <c r="J5047">
        <v>0</v>
      </c>
      <c r="K5047">
        <v>2</v>
      </c>
      <c r="L5047">
        <v>2</v>
      </c>
      <c r="M5047">
        <v>214</v>
      </c>
      <c r="N5047">
        <v>374</v>
      </c>
      <c r="O5047">
        <v>12</v>
      </c>
      <c r="P5047">
        <v>374</v>
      </c>
      <c r="Q5047">
        <v>43</v>
      </c>
      <c r="R5047">
        <v>46</v>
      </c>
      <c r="S5047">
        <v>6</v>
      </c>
      <c r="T5047">
        <v>10</v>
      </c>
      <c r="U5047">
        <v>14</v>
      </c>
      <c r="V5047">
        <v>7</v>
      </c>
      <c r="W5047">
        <v>54</v>
      </c>
      <c r="X5047">
        <v>27</v>
      </c>
      <c r="Y5047">
        <v>126</v>
      </c>
      <c r="Z5047">
        <v>17</v>
      </c>
      <c r="AB5047">
        <v>6</v>
      </c>
      <c r="AC5047">
        <v>1</v>
      </c>
      <c r="AD5047">
        <v>0</v>
      </c>
      <c r="AE5047">
        <v>0</v>
      </c>
      <c r="AF5047">
        <v>0</v>
      </c>
      <c r="AK5047">
        <v>0</v>
      </c>
      <c r="AL5047">
        <v>2</v>
      </c>
      <c r="AM5047">
        <v>1</v>
      </c>
      <c r="AN5047">
        <v>2</v>
      </c>
      <c r="AQ5047">
        <v>2</v>
      </c>
      <c r="AT5047">
        <v>0</v>
      </c>
      <c r="AU5047">
        <v>15</v>
      </c>
      <c r="AV5047">
        <v>374</v>
      </c>
      <c r="AW5047">
        <v>379</v>
      </c>
      <c r="AX5047">
        <v>566</v>
      </c>
      <c r="BA5047">
        <v>1</v>
      </c>
      <c r="BC5047" t="s">
        <v>10206</v>
      </c>
      <c r="BD5047" s="4">
        <v>43283.117361111108</v>
      </c>
      <c r="BE5047" s="4">
        <v>43283.122581018521</v>
      </c>
      <c r="BF5047" s="4">
        <v>43283.122581018521</v>
      </c>
      <c r="BG5047" t="s">
        <v>83</v>
      </c>
      <c r="BH5047" t="s">
        <v>84</v>
      </c>
      <c r="BI5047" t="s">
        <v>85</v>
      </c>
    </row>
    <row r="5048" spans="1:61" x14ac:dyDescent="0.3">
      <c r="A5048" t="str">
        <f>"200440C0300"</f>
        <v>200440C0300</v>
      </c>
      <c r="B5048" t="s">
        <v>10207</v>
      </c>
      <c r="C5048">
        <v>20</v>
      </c>
      <c r="D5048" t="s">
        <v>79</v>
      </c>
      <c r="E5048">
        <v>24</v>
      </c>
      <c r="F5048" t="s">
        <v>10123</v>
      </c>
      <c r="G5048">
        <v>440</v>
      </c>
      <c r="H5048">
        <v>3</v>
      </c>
      <c r="I5048" t="s">
        <v>89</v>
      </c>
      <c r="J5048">
        <v>0</v>
      </c>
      <c r="K5048">
        <v>2</v>
      </c>
      <c r="L5048">
        <v>2</v>
      </c>
      <c r="M5048">
        <v>218</v>
      </c>
      <c r="N5048">
        <v>370</v>
      </c>
      <c r="O5048">
        <v>11</v>
      </c>
      <c r="P5048">
        <v>370</v>
      </c>
      <c r="Q5048">
        <v>43</v>
      </c>
      <c r="R5048">
        <v>58</v>
      </c>
      <c r="S5048">
        <v>6</v>
      </c>
      <c r="T5048">
        <v>12</v>
      </c>
      <c r="U5048">
        <v>9</v>
      </c>
      <c r="V5048">
        <v>2</v>
      </c>
      <c r="W5048">
        <v>42</v>
      </c>
      <c r="X5048">
        <v>20</v>
      </c>
      <c r="Y5048">
        <v>129</v>
      </c>
      <c r="Z5048">
        <v>10</v>
      </c>
      <c r="AB5048">
        <v>3</v>
      </c>
      <c r="AC5048">
        <v>1</v>
      </c>
      <c r="AD5048">
        <v>1</v>
      </c>
      <c r="AE5048">
        <v>0</v>
      </c>
      <c r="AF5048">
        <v>0</v>
      </c>
      <c r="AK5048">
        <v>2</v>
      </c>
      <c r="AL5048">
        <v>0</v>
      </c>
      <c r="AM5048">
        <v>1</v>
      </c>
      <c r="AN5048">
        <v>2</v>
      </c>
      <c r="AQ5048">
        <v>3</v>
      </c>
      <c r="AT5048">
        <v>0</v>
      </c>
      <c r="AU5048">
        <v>26</v>
      </c>
      <c r="AV5048">
        <v>370</v>
      </c>
      <c r="AW5048">
        <v>370</v>
      </c>
      <c r="AX5048">
        <v>566</v>
      </c>
      <c r="BA5048">
        <v>1</v>
      </c>
      <c r="BC5048" t="s">
        <v>10208</v>
      </c>
      <c r="BD5048" s="4">
        <v>43283.0625</v>
      </c>
      <c r="BE5048" s="4">
        <v>43283.070520833331</v>
      </c>
      <c r="BF5048" s="4">
        <v>43283.070520833331</v>
      </c>
      <c r="BG5048" t="s">
        <v>83</v>
      </c>
      <c r="BH5048" t="s">
        <v>84</v>
      </c>
      <c r="BI5048" t="s">
        <v>85</v>
      </c>
    </row>
    <row r="5049" spans="1:61" x14ac:dyDescent="0.3">
      <c r="A5049" t="str">
        <f>"200440S0100"</f>
        <v>200440S0100</v>
      </c>
      <c r="B5049" t="s">
        <v>10209</v>
      </c>
      <c r="C5049">
        <v>20</v>
      </c>
      <c r="D5049" t="s">
        <v>79</v>
      </c>
      <c r="E5049">
        <v>24</v>
      </c>
      <c r="F5049" t="s">
        <v>10123</v>
      </c>
      <c r="G5049">
        <v>440</v>
      </c>
      <c r="H5049">
        <v>1</v>
      </c>
      <c r="I5049" t="s">
        <v>104</v>
      </c>
      <c r="J5049">
        <v>0</v>
      </c>
      <c r="K5049">
        <v>2</v>
      </c>
      <c r="L5049">
        <v>3</v>
      </c>
      <c r="M5049" t="s">
        <v>315</v>
      </c>
      <c r="N5049">
        <v>192</v>
      </c>
      <c r="O5049">
        <v>0</v>
      </c>
      <c r="P5049">
        <v>192</v>
      </c>
      <c r="Q5049">
        <v>11</v>
      </c>
      <c r="R5049">
        <v>9</v>
      </c>
      <c r="S5049">
        <v>3</v>
      </c>
      <c r="T5049">
        <v>4</v>
      </c>
      <c r="U5049">
        <v>8</v>
      </c>
      <c r="V5049">
        <v>0</v>
      </c>
      <c r="W5049">
        <v>20</v>
      </c>
      <c r="X5049">
        <v>5</v>
      </c>
      <c r="Y5049">
        <v>81</v>
      </c>
      <c r="Z5049">
        <v>24</v>
      </c>
      <c r="AB5049">
        <v>1</v>
      </c>
      <c r="AC5049">
        <v>0</v>
      </c>
      <c r="AD5049">
        <v>0</v>
      </c>
      <c r="AE5049">
        <v>0</v>
      </c>
      <c r="AF5049">
        <v>0</v>
      </c>
      <c r="AK5049" t="s">
        <v>315</v>
      </c>
      <c r="AL5049">
        <v>0</v>
      </c>
      <c r="AM5049">
        <v>0</v>
      </c>
      <c r="AN5049">
        <v>2</v>
      </c>
      <c r="AQ5049">
        <v>0</v>
      </c>
      <c r="AT5049">
        <v>0</v>
      </c>
      <c r="AU5049">
        <v>21</v>
      </c>
      <c r="AV5049">
        <v>192</v>
      </c>
      <c r="AW5049">
        <v>189</v>
      </c>
      <c r="AX5049">
        <v>0</v>
      </c>
      <c r="AZ5049" t="s">
        <v>101</v>
      </c>
      <c r="BA5049">
        <v>1</v>
      </c>
      <c r="BC5049" t="s">
        <v>10210</v>
      </c>
      <c r="BD5049" s="4">
        <v>43283.25</v>
      </c>
      <c r="BE5049" s="4">
        <v>43283.804722222223</v>
      </c>
      <c r="BF5049" s="4">
        <v>43283.804722222223</v>
      </c>
      <c r="BG5049" t="s">
        <v>83</v>
      </c>
      <c r="BH5049" t="s">
        <v>84</v>
      </c>
      <c r="BI5049" t="s">
        <v>85</v>
      </c>
    </row>
    <row r="5050" spans="1:61" x14ac:dyDescent="0.3">
      <c r="A5050" t="str">
        <f>"200441B0100"</f>
        <v>200441B0100</v>
      </c>
      <c r="B5050" t="s">
        <v>10211</v>
      </c>
      <c r="C5050">
        <v>20</v>
      </c>
      <c r="D5050" t="s">
        <v>79</v>
      </c>
      <c r="E5050">
        <v>24</v>
      </c>
      <c r="F5050" t="s">
        <v>10123</v>
      </c>
      <c r="G5050">
        <v>441</v>
      </c>
      <c r="H5050">
        <v>1</v>
      </c>
      <c r="I5050" t="s">
        <v>81</v>
      </c>
      <c r="J5050">
        <v>0</v>
      </c>
      <c r="K5050">
        <v>2</v>
      </c>
      <c r="L5050">
        <v>2</v>
      </c>
      <c r="M5050">
        <v>220</v>
      </c>
      <c r="N5050">
        <v>452</v>
      </c>
      <c r="O5050">
        <v>11</v>
      </c>
      <c r="P5050">
        <v>452</v>
      </c>
      <c r="Q5050">
        <v>43</v>
      </c>
      <c r="R5050">
        <v>64</v>
      </c>
      <c r="S5050">
        <v>2</v>
      </c>
      <c r="T5050">
        <v>20</v>
      </c>
      <c r="U5050">
        <v>16</v>
      </c>
      <c r="V5050">
        <v>3</v>
      </c>
      <c r="W5050">
        <v>37</v>
      </c>
      <c r="X5050">
        <v>32</v>
      </c>
      <c r="Y5050">
        <v>190</v>
      </c>
      <c r="Z5050">
        <v>15</v>
      </c>
      <c r="AB5050">
        <v>3</v>
      </c>
      <c r="AC5050">
        <v>1</v>
      </c>
      <c r="AD5050">
        <v>0</v>
      </c>
      <c r="AE5050">
        <v>0</v>
      </c>
      <c r="AF5050">
        <v>0</v>
      </c>
      <c r="AK5050">
        <v>3</v>
      </c>
      <c r="AL5050">
        <v>0</v>
      </c>
      <c r="AM5050">
        <v>0</v>
      </c>
      <c r="AN5050">
        <v>2</v>
      </c>
      <c r="AQ5050">
        <v>0</v>
      </c>
      <c r="AT5050">
        <v>0</v>
      </c>
      <c r="AU5050">
        <v>21</v>
      </c>
      <c r="AV5050">
        <v>452</v>
      </c>
      <c r="AW5050">
        <v>452</v>
      </c>
      <c r="AX5050">
        <v>650</v>
      </c>
      <c r="BA5050">
        <v>1</v>
      </c>
      <c r="BC5050" t="s">
        <v>10212</v>
      </c>
      <c r="BD5050" s="4">
        <v>43283.320833333331</v>
      </c>
      <c r="BE5050" s="4">
        <v>43283.342824074076</v>
      </c>
      <c r="BF5050" s="4">
        <v>43283.342824074076</v>
      </c>
      <c r="BG5050" t="s">
        <v>83</v>
      </c>
      <c r="BH5050" t="s">
        <v>84</v>
      </c>
      <c r="BI5050" t="s">
        <v>85</v>
      </c>
    </row>
    <row r="5051" spans="1:61" x14ac:dyDescent="0.3">
      <c r="A5051" t="str">
        <f>"200441C0100"</f>
        <v>200441C0100</v>
      </c>
      <c r="B5051" t="s">
        <v>10213</v>
      </c>
      <c r="C5051">
        <v>20</v>
      </c>
      <c r="D5051" t="s">
        <v>79</v>
      </c>
      <c r="E5051">
        <v>24</v>
      </c>
      <c r="F5051" t="s">
        <v>10123</v>
      </c>
      <c r="G5051">
        <v>441</v>
      </c>
      <c r="H5051">
        <v>1</v>
      </c>
      <c r="I5051" t="s">
        <v>89</v>
      </c>
      <c r="J5051">
        <v>0</v>
      </c>
      <c r="K5051">
        <v>2</v>
      </c>
      <c r="L5051">
        <v>2</v>
      </c>
      <c r="M5051">
        <v>224</v>
      </c>
      <c r="N5051">
        <v>443</v>
      </c>
      <c r="O5051">
        <v>12</v>
      </c>
      <c r="P5051">
        <v>447</v>
      </c>
      <c r="Q5051">
        <v>40</v>
      </c>
      <c r="R5051">
        <v>66</v>
      </c>
      <c r="S5051">
        <v>6</v>
      </c>
      <c r="T5051">
        <v>6</v>
      </c>
      <c r="U5051">
        <v>10</v>
      </c>
      <c r="V5051">
        <v>7</v>
      </c>
      <c r="W5051">
        <v>52</v>
      </c>
      <c r="X5051">
        <v>36</v>
      </c>
      <c r="Y5051">
        <v>171</v>
      </c>
      <c r="Z5051">
        <v>20</v>
      </c>
      <c r="AB5051">
        <v>10</v>
      </c>
      <c r="AC5051">
        <v>1</v>
      </c>
      <c r="AD5051">
        <v>0</v>
      </c>
      <c r="AE5051">
        <v>0</v>
      </c>
      <c r="AF5051">
        <v>0</v>
      </c>
      <c r="AK5051">
        <v>3</v>
      </c>
      <c r="AL5051">
        <v>0</v>
      </c>
      <c r="AM5051">
        <v>0</v>
      </c>
      <c r="AN5051">
        <v>1</v>
      </c>
      <c r="AQ5051">
        <v>0</v>
      </c>
      <c r="AT5051">
        <v>0</v>
      </c>
      <c r="AU5051">
        <v>18</v>
      </c>
      <c r="AV5051">
        <v>447</v>
      </c>
      <c r="AW5051">
        <v>447</v>
      </c>
      <c r="AX5051">
        <v>649</v>
      </c>
      <c r="BA5051">
        <v>1</v>
      </c>
      <c r="BC5051" t="s">
        <v>10214</v>
      </c>
      <c r="BD5051" s="4">
        <v>43283.318055555559</v>
      </c>
      <c r="BE5051" s="4">
        <v>43283.345208333332</v>
      </c>
      <c r="BF5051" s="4">
        <v>43283.345208333332</v>
      </c>
      <c r="BG5051" t="s">
        <v>83</v>
      </c>
      <c r="BH5051" t="s">
        <v>84</v>
      </c>
      <c r="BI5051" t="s">
        <v>85</v>
      </c>
    </row>
    <row r="5052" spans="1:61" x14ac:dyDescent="0.3">
      <c r="A5052" t="str">
        <f>"200441C0200"</f>
        <v>200441C0200</v>
      </c>
      <c r="B5052" t="s">
        <v>10215</v>
      </c>
      <c r="C5052">
        <v>20</v>
      </c>
      <c r="D5052" t="s">
        <v>79</v>
      </c>
      <c r="E5052">
        <v>24</v>
      </c>
      <c r="F5052" t="s">
        <v>10123</v>
      </c>
      <c r="G5052">
        <v>441</v>
      </c>
      <c r="H5052">
        <v>2</v>
      </c>
      <c r="I5052" t="s">
        <v>89</v>
      </c>
      <c r="J5052">
        <v>0</v>
      </c>
      <c r="K5052">
        <v>2</v>
      </c>
      <c r="L5052">
        <v>2</v>
      </c>
      <c r="M5052">
        <v>239</v>
      </c>
      <c r="N5052">
        <v>431</v>
      </c>
      <c r="O5052">
        <v>7</v>
      </c>
      <c r="P5052">
        <v>431</v>
      </c>
      <c r="Q5052">
        <v>22</v>
      </c>
      <c r="R5052">
        <v>59</v>
      </c>
      <c r="S5052">
        <v>4</v>
      </c>
      <c r="T5052">
        <v>14</v>
      </c>
      <c r="U5052">
        <v>18</v>
      </c>
      <c r="V5052">
        <v>8</v>
      </c>
      <c r="W5052">
        <v>54</v>
      </c>
      <c r="X5052">
        <v>30</v>
      </c>
      <c r="Y5052">
        <v>171</v>
      </c>
      <c r="Z5052">
        <v>14</v>
      </c>
      <c r="AB5052">
        <v>1</v>
      </c>
      <c r="AC5052">
        <v>0</v>
      </c>
      <c r="AD5052">
        <v>0</v>
      </c>
      <c r="AE5052">
        <v>0</v>
      </c>
      <c r="AF5052">
        <v>0</v>
      </c>
      <c r="AK5052">
        <v>3</v>
      </c>
      <c r="AL5052">
        <v>0</v>
      </c>
      <c r="AM5052">
        <v>0</v>
      </c>
      <c r="AN5052">
        <v>2</v>
      </c>
      <c r="AQ5052">
        <v>1</v>
      </c>
      <c r="AT5052">
        <v>0</v>
      </c>
      <c r="AU5052">
        <v>30</v>
      </c>
      <c r="AV5052">
        <v>431</v>
      </c>
      <c r="AW5052">
        <v>431</v>
      </c>
      <c r="AX5052">
        <v>649</v>
      </c>
      <c r="BA5052">
        <v>1</v>
      </c>
      <c r="BC5052" t="s">
        <v>10216</v>
      </c>
      <c r="BD5052" s="4">
        <v>43283.316666666666</v>
      </c>
      <c r="BE5052" s="4">
        <v>43283.344166666669</v>
      </c>
      <c r="BF5052" s="4">
        <v>43283.344166666669</v>
      </c>
      <c r="BG5052" t="s">
        <v>83</v>
      </c>
      <c r="BH5052" t="s">
        <v>84</v>
      </c>
      <c r="BI5052" t="s">
        <v>85</v>
      </c>
    </row>
    <row r="5053" spans="1:61" x14ac:dyDescent="0.3">
      <c r="A5053" t="str">
        <f>"200441C0300"</f>
        <v>200441C0300</v>
      </c>
      <c r="B5053" t="s">
        <v>10217</v>
      </c>
      <c r="C5053">
        <v>20</v>
      </c>
      <c r="D5053" t="s">
        <v>79</v>
      </c>
      <c r="E5053">
        <v>24</v>
      </c>
      <c r="F5053" t="s">
        <v>10123</v>
      </c>
      <c r="G5053">
        <v>441</v>
      </c>
      <c r="H5053">
        <v>3</v>
      </c>
      <c r="I5053" t="s">
        <v>89</v>
      </c>
      <c r="J5053">
        <v>0</v>
      </c>
      <c r="K5053">
        <v>2</v>
      </c>
      <c r="L5053">
        <v>2</v>
      </c>
      <c r="M5053">
        <v>256</v>
      </c>
      <c r="N5053">
        <v>415</v>
      </c>
      <c r="O5053">
        <v>7</v>
      </c>
      <c r="P5053">
        <v>415</v>
      </c>
      <c r="Q5053">
        <v>46</v>
      </c>
      <c r="R5053">
        <v>69</v>
      </c>
      <c r="S5053">
        <v>4</v>
      </c>
      <c r="T5053">
        <v>7</v>
      </c>
      <c r="U5053">
        <v>2</v>
      </c>
      <c r="V5053">
        <v>9</v>
      </c>
      <c r="W5053">
        <v>45</v>
      </c>
      <c r="X5053">
        <v>32</v>
      </c>
      <c r="Y5053">
        <v>149</v>
      </c>
      <c r="Z5053">
        <v>14</v>
      </c>
      <c r="AB5053">
        <v>2</v>
      </c>
      <c r="AC5053">
        <v>0</v>
      </c>
      <c r="AD5053">
        <v>0</v>
      </c>
      <c r="AE5053">
        <v>0</v>
      </c>
      <c r="AF5053">
        <v>0</v>
      </c>
      <c r="AK5053">
        <v>1</v>
      </c>
      <c r="AL5053">
        <v>0</v>
      </c>
      <c r="AM5053">
        <v>0</v>
      </c>
      <c r="AN5053">
        <v>0</v>
      </c>
      <c r="AQ5053">
        <v>1</v>
      </c>
      <c r="AT5053">
        <v>0</v>
      </c>
      <c r="AU5053">
        <v>34</v>
      </c>
      <c r="AV5053">
        <v>415</v>
      </c>
      <c r="AW5053">
        <v>415</v>
      </c>
      <c r="AX5053">
        <v>649</v>
      </c>
      <c r="BA5053">
        <v>1</v>
      </c>
      <c r="BC5053" t="s">
        <v>10218</v>
      </c>
      <c r="BD5053" s="4">
        <v>43283.317361111112</v>
      </c>
      <c r="BE5053" s="4">
        <v>43283.344409722224</v>
      </c>
      <c r="BF5053" s="4">
        <v>43283.344409722224</v>
      </c>
      <c r="BG5053" t="s">
        <v>83</v>
      </c>
      <c r="BH5053" t="s">
        <v>84</v>
      </c>
      <c r="BI5053" t="s">
        <v>85</v>
      </c>
    </row>
    <row r="5054" spans="1:61" x14ac:dyDescent="0.3">
      <c r="A5054" t="str">
        <f>"200441C0400"</f>
        <v>200441C0400</v>
      </c>
      <c r="B5054" t="s">
        <v>10219</v>
      </c>
      <c r="C5054">
        <v>20</v>
      </c>
      <c r="D5054" t="s">
        <v>79</v>
      </c>
      <c r="E5054">
        <v>24</v>
      </c>
      <c r="F5054" t="s">
        <v>10123</v>
      </c>
      <c r="G5054">
        <v>441</v>
      </c>
      <c r="H5054">
        <v>4</v>
      </c>
      <c r="I5054" t="s">
        <v>89</v>
      </c>
      <c r="J5054">
        <v>0</v>
      </c>
      <c r="K5054">
        <v>2</v>
      </c>
      <c r="L5054">
        <v>2</v>
      </c>
      <c r="M5054">
        <v>229</v>
      </c>
      <c r="N5054">
        <v>441</v>
      </c>
      <c r="O5054">
        <v>9</v>
      </c>
      <c r="P5054">
        <v>441</v>
      </c>
      <c r="Q5054">
        <v>49</v>
      </c>
      <c r="R5054">
        <v>63</v>
      </c>
      <c r="S5054">
        <v>4</v>
      </c>
      <c r="T5054">
        <v>8</v>
      </c>
      <c r="U5054">
        <v>7</v>
      </c>
      <c r="V5054">
        <v>14</v>
      </c>
      <c r="W5054">
        <v>46</v>
      </c>
      <c r="X5054">
        <v>28</v>
      </c>
      <c r="Y5054">
        <v>163</v>
      </c>
      <c r="Z5054">
        <v>18</v>
      </c>
      <c r="AB5054">
        <v>100</v>
      </c>
      <c r="AC5054">
        <v>0</v>
      </c>
      <c r="AD5054">
        <v>0</v>
      </c>
      <c r="AE5054">
        <v>1</v>
      </c>
      <c r="AF5054">
        <v>0</v>
      </c>
      <c r="AK5054">
        <v>1</v>
      </c>
      <c r="AL5054">
        <v>1</v>
      </c>
      <c r="AM5054">
        <v>0</v>
      </c>
      <c r="AN5054">
        <v>2</v>
      </c>
      <c r="AQ5054">
        <v>0</v>
      </c>
      <c r="AT5054">
        <v>0</v>
      </c>
      <c r="AU5054">
        <v>31</v>
      </c>
      <c r="AV5054">
        <v>441</v>
      </c>
      <c r="AW5054">
        <v>536</v>
      </c>
      <c r="AX5054">
        <v>649</v>
      </c>
      <c r="BA5054">
        <v>1</v>
      </c>
      <c r="BC5054" t="s">
        <v>10220</v>
      </c>
      <c r="BD5054" s="4">
        <v>43283.318749999999</v>
      </c>
      <c r="BE5054" s="4">
        <v>43283.351747685185</v>
      </c>
      <c r="BF5054" s="4">
        <v>43283.351747685185</v>
      </c>
      <c r="BG5054" t="s">
        <v>83</v>
      </c>
      <c r="BH5054" t="s">
        <v>84</v>
      </c>
      <c r="BI5054" t="s">
        <v>85</v>
      </c>
    </row>
    <row r="5055" spans="1:61" x14ac:dyDescent="0.3">
      <c r="A5055" t="str">
        <f>"200442B0100"</f>
        <v>200442B0100</v>
      </c>
      <c r="B5055" t="s">
        <v>10221</v>
      </c>
      <c r="C5055">
        <v>20</v>
      </c>
      <c r="D5055" t="s">
        <v>79</v>
      </c>
      <c r="E5055">
        <v>24</v>
      </c>
      <c r="F5055" t="s">
        <v>10123</v>
      </c>
      <c r="G5055">
        <v>442</v>
      </c>
      <c r="H5055">
        <v>1</v>
      </c>
      <c r="I5055" t="s">
        <v>81</v>
      </c>
      <c r="J5055">
        <v>0</v>
      </c>
      <c r="K5055">
        <v>2</v>
      </c>
      <c r="L5055">
        <v>2</v>
      </c>
      <c r="M5055">
        <v>196</v>
      </c>
      <c r="N5055">
        <v>413</v>
      </c>
      <c r="O5055">
        <v>7</v>
      </c>
      <c r="P5055">
        <v>413</v>
      </c>
      <c r="Q5055">
        <v>15</v>
      </c>
      <c r="R5055">
        <v>130</v>
      </c>
      <c r="S5055">
        <v>3</v>
      </c>
      <c r="T5055">
        <v>4</v>
      </c>
      <c r="U5055">
        <v>11</v>
      </c>
      <c r="V5055">
        <v>3</v>
      </c>
      <c r="W5055">
        <v>51</v>
      </c>
      <c r="X5055">
        <v>54</v>
      </c>
      <c r="Y5055">
        <v>102</v>
      </c>
      <c r="Z5055">
        <v>3</v>
      </c>
      <c r="AB5055">
        <v>0</v>
      </c>
      <c r="AC5055">
        <v>0</v>
      </c>
      <c r="AD5055">
        <v>0</v>
      </c>
      <c r="AE5055">
        <v>0</v>
      </c>
      <c r="AF5055">
        <v>0</v>
      </c>
      <c r="AK5055">
        <v>3</v>
      </c>
      <c r="AL5055">
        <v>1</v>
      </c>
      <c r="AM5055">
        <v>0</v>
      </c>
      <c r="AN5055">
        <v>0</v>
      </c>
      <c r="AQ5055">
        <v>0</v>
      </c>
      <c r="AT5055">
        <v>0</v>
      </c>
      <c r="AU5055">
        <v>28</v>
      </c>
      <c r="AV5055" t="s">
        <v>100</v>
      </c>
      <c r="AW5055">
        <v>408</v>
      </c>
      <c r="AX5055">
        <v>587</v>
      </c>
      <c r="BA5055">
        <v>1</v>
      </c>
      <c r="BC5055" t="s">
        <v>10222</v>
      </c>
      <c r="BD5055" s="4">
        <v>43283.244444444441</v>
      </c>
      <c r="BE5055" s="4">
        <v>43283.269282407404</v>
      </c>
      <c r="BF5055" s="4">
        <v>43283.269282407404</v>
      </c>
      <c r="BG5055" t="s">
        <v>83</v>
      </c>
      <c r="BH5055" t="s">
        <v>84</v>
      </c>
      <c r="BI5055" t="s">
        <v>85</v>
      </c>
    </row>
    <row r="5056" spans="1:61" x14ac:dyDescent="0.3">
      <c r="A5056" t="str">
        <f>"200442E0100"</f>
        <v>200442E0100</v>
      </c>
      <c r="B5056" s="2" t="s">
        <v>10223</v>
      </c>
      <c r="C5056">
        <v>20</v>
      </c>
      <c r="D5056" t="s">
        <v>79</v>
      </c>
      <c r="E5056">
        <v>24</v>
      </c>
      <c r="F5056" t="s">
        <v>10123</v>
      </c>
      <c r="G5056">
        <v>442</v>
      </c>
      <c r="H5056">
        <v>1</v>
      </c>
      <c r="I5056" t="s">
        <v>145</v>
      </c>
      <c r="J5056">
        <v>0</v>
      </c>
      <c r="K5056">
        <v>2</v>
      </c>
      <c r="L5056">
        <v>2</v>
      </c>
      <c r="M5056">
        <v>200</v>
      </c>
      <c r="N5056">
        <v>463</v>
      </c>
      <c r="O5056">
        <v>5</v>
      </c>
      <c r="P5056">
        <v>463</v>
      </c>
      <c r="Q5056">
        <v>15</v>
      </c>
      <c r="R5056">
        <v>127</v>
      </c>
      <c r="S5056">
        <v>0</v>
      </c>
      <c r="T5056">
        <v>9</v>
      </c>
      <c r="U5056">
        <v>5</v>
      </c>
      <c r="V5056">
        <v>3</v>
      </c>
      <c r="W5056">
        <v>79</v>
      </c>
      <c r="X5056">
        <v>115</v>
      </c>
      <c r="Y5056">
        <v>83</v>
      </c>
      <c r="Z5056">
        <v>6</v>
      </c>
      <c r="AB5056">
        <v>2</v>
      </c>
      <c r="AC5056" t="s">
        <v>100</v>
      </c>
      <c r="AD5056" t="s">
        <v>100</v>
      </c>
      <c r="AE5056">
        <v>1</v>
      </c>
      <c r="AF5056" t="s">
        <v>100</v>
      </c>
      <c r="AK5056" t="s">
        <v>100</v>
      </c>
      <c r="AL5056" t="s">
        <v>100</v>
      </c>
      <c r="AM5056" t="s">
        <v>100</v>
      </c>
      <c r="AN5056" t="s">
        <v>100</v>
      </c>
      <c r="AQ5056" t="s">
        <v>100</v>
      </c>
      <c r="AT5056" t="s">
        <v>100</v>
      </c>
      <c r="AU5056">
        <v>17</v>
      </c>
      <c r="AV5056" t="s">
        <v>100</v>
      </c>
      <c r="AW5056">
        <v>462</v>
      </c>
      <c r="AX5056">
        <v>641</v>
      </c>
      <c r="AZ5056" t="s">
        <v>101</v>
      </c>
      <c r="BA5056">
        <v>1</v>
      </c>
      <c r="BC5056" t="s">
        <v>10224</v>
      </c>
      <c r="BD5056" s="4">
        <v>43283.243750000001</v>
      </c>
      <c r="BE5056" s="4">
        <v>43283.266631944447</v>
      </c>
      <c r="BF5056" s="4">
        <v>43283.266631944447</v>
      </c>
      <c r="BG5056" t="s">
        <v>83</v>
      </c>
      <c r="BH5056" t="s">
        <v>84</v>
      </c>
      <c r="BI5056" t="s">
        <v>85</v>
      </c>
    </row>
    <row r="5057" spans="1:61" x14ac:dyDescent="0.3">
      <c r="A5057" t="str">
        <f>"200442E0101"</f>
        <v>200442E0101</v>
      </c>
      <c r="B5057" s="2" t="s">
        <v>10225</v>
      </c>
      <c r="C5057">
        <v>20</v>
      </c>
      <c r="D5057" t="s">
        <v>79</v>
      </c>
      <c r="E5057">
        <v>24</v>
      </c>
      <c r="F5057" t="s">
        <v>10123</v>
      </c>
      <c r="G5057">
        <v>442</v>
      </c>
      <c r="H5057">
        <v>1</v>
      </c>
      <c r="I5057" t="s">
        <v>145</v>
      </c>
      <c r="J5057">
        <v>1</v>
      </c>
      <c r="K5057">
        <v>2</v>
      </c>
      <c r="L5057">
        <v>2</v>
      </c>
      <c r="M5057">
        <v>197</v>
      </c>
      <c r="N5057">
        <v>468</v>
      </c>
      <c r="O5057">
        <v>4</v>
      </c>
      <c r="P5057">
        <v>468</v>
      </c>
      <c r="Q5057">
        <v>22</v>
      </c>
      <c r="R5057">
        <v>113</v>
      </c>
      <c r="S5057">
        <v>4</v>
      </c>
      <c r="T5057">
        <v>7</v>
      </c>
      <c r="U5057">
        <v>12</v>
      </c>
      <c r="V5057">
        <v>2</v>
      </c>
      <c r="W5057">
        <v>69</v>
      </c>
      <c r="X5057">
        <v>97</v>
      </c>
      <c r="Y5057">
        <v>88</v>
      </c>
      <c r="Z5057">
        <v>11</v>
      </c>
      <c r="AB5057">
        <v>4</v>
      </c>
      <c r="AC5057">
        <v>1</v>
      </c>
      <c r="AD5057" t="s">
        <v>100</v>
      </c>
      <c r="AE5057">
        <v>1</v>
      </c>
      <c r="AF5057" t="s">
        <v>100</v>
      </c>
      <c r="AK5057">
        <v>3</v>
      </c>
      <c r="AL5057" t="s">
        <v>100</v>
      </c>
      <c r="AM5057" t="s">
        <v>100</v>
      </c>
      <c r="AN5057" t="s">
        <v>100</v>
      </c>
      <c r="AQ5057" t="s">
        <v>100</v>
      </c>
      <c r="AT5057" t="s">
        <v>100</v>
      </c>
      <c r="AU5057" t="s">
        <v>100</v>
      </c>
      <c r="AV5057" t="s">
        <v>100</v>
      </c>
      <c r="AW5057">
        <v>434</v>
      </c>
      <c r="AX5057">
        <v>640</v>
      </c>
      <c r="AZ5057" t="s">
        <v>101</v>
      </c>
      <c r="BA5057">
        <v>1</v>
      </c>
      <c r="BC5057" t="s">
        <v>10226</v>
      </c>
      <c r="BD5057" s="4">
        <v>43283.242361111108</v>
      </c>
      <c r="BE5057" s="4">
        <v>43283.266388888886</v>
      </c>
      <c r="BF5057" s="4">
        <v>43283.266388888886</v>
      </c>
      <c r="BG5057" t="s">
        <v>83</v>
      </c>
      <c r="BH5057" t="s">
        <v>84</v>
      </c>
      <c r="BI5057" t="s">
        <v>85</v>
      </c>
    </row>
    <row r="5058" spans="1:61" x14ac:dyDescent="0.3">
      <c r="A5058" t="str">
        <f>"200443B0100"</f>
        <v>200443B0100</v>
      </c>
      <c r="B5058" t="s">
        <v>10227</v>
      </c>
      <c r="C5058">
        <v>20</v>
      </c>
      <c r="D5058" t="s">
        <v>79</v>
      </c>
      <c r="E5058">
        <v>24</v>
      </c>
      <c r="F5058" t="s">
        <v>10123</v>
      </c>
      <c r="G5058">
        <v>443</v>
      </c>
      <c r="H5058">
        <v>1</v>
      </c>
      <c r="I5058" t="s">
        <v>81</v>
      </c>
      <c r="J5058">
        <v>0</v>
      </c>
      <c r="K5058">
        <v>2</v>
      </c>
      <c r="L5058">
        <v>2</v>
      </c>
      <c r="M5058">
        <v>220</v>
      </c>
      <c r="N5058">
        <v>286</v>
      </c>
      <c r="O5058">
        <v>6</v>
      </c>
      <c r="P5058" t="s">
        <v>100</v>
      </c>
      <c r="Q5058">
        <v>5</v>
      </c>
      <c r="R5058">
        <v>18</v>
      </c>
      <c r="S5058">
        <v>4</v>
      </c>
      <c r="T5058">
        <v>3</v>
      </c>
      <c r="U5058">
        <v>2</v>
      </c>
      <c r="V5058">
        <v>1</v>
      </c>
      <c r="W5058">
        <v>170</v>
      </c>
      <c r="X5058">
        <v>3</v>
      </c>
      <c r="Y5058">
        <v>54</v>
      </c>
      <c r="Z5058">
        <v>5</v>
      </c>
      <c r="AB5058">
        <v>0</v>
      </c>
      <c r="AC5058">
        <v>1</v>
      </c>
      <c r="AD5058" t="s">
        <v>100</v>
      </c>
      <c r="AE5058" t="s">
        <v>100</v>
      </c>
      <c r="AF5058" t="s">
        <v>100</v>
      </c>
      <c r="AK5058" t="s">
        <v>100</v>
      </c>
      <c r="AL5058" t="s">
        <v>100</v>
      </c>
      <c r="AM5058" t="s">
        <v>100</v>
      </c>
      <c r="AN5058" t="s">
        <v>100</v>
      </c>
      <c r="AQ5058" t="s">
        <v>100</v>
      </c>
      <c r="AT5058" t="s">
        <v>100</v>
      </c>
      <c r="AU5058" t="s">
        <v>100</v>
      </c>
      <c r="AV5058" t="s">
        <v>100</v>
      </c>
      <c r="AW5058">
        <v>266</v>
      </c>
      <c r="AX5058">
        <v>484</v>
      </c>
      <c r="AZ5058" t="s">
        <v>101</v>
      </c>
      <c r="BA5058">
        <v>1</v>
      </c>
      <c r="BC5058" t="s">
        <v>10228</v>
      </c>
      <c r="BD5058" s="4">
        <v>43283.160416666666</v>
      </c>
      <c r="BE5058" s="4">
        <v>43283.171076388891</v>
      </c>
      <c r="BF5058" s="4">
        <v>43283.171076388891</v>
      </c>
      <c r="BG5058" t="s">
        <v>83</v>
      </c>
      <c r="BH5058" t="s">
        <v>84</v>
      </c>
      <c r="BI5058" t="s">
        <v>85</v>
      </c>
    </row>
    <row r="5059" spans="1:61" x14ac:dyDescent="0.3">
      <c r="A5059" t="str">
        <f>"200444B0100"</f>
        <v>200444B0100</v>
      </c>
      <c r="B5059" t="s">
        <v>10229</v>
      </c>
      <c r="C5059">
        <v>20</v>
      </c>
      <c r="D5059" t="s">
        <v>79</v>
      </c>
      <c r="E5059">
        <v>24</v>
      </c>
      <c r="F5059" t="s">
        <v>10123</v>
      </c>
      <c r="G5059">
        <v>444</v>
      </c>
      <c r="H5059">
        <v>1</v>
      </c>
      <c r="I5059" t="s">
        <v>81</v>
      </c>
      <c r="J5059">
        <v>0</v>
      </c>
      <c r="K5059">
        <v>2</v>
      </c>
      <c r="L5059">
        <v>2</v>
      </c>
      <c r="M5059">
        <v>258</v>
      </c>
      <c r="N5059">
        <v>298</v>
      </c>
      <c r="O5059">
        <v>7</v>
      </c>
      <c r="P5059">
        <v>298</v>
      </c>
      <c r="Q5059">
        <v>28</v>
      </c>
      <c r="R5059">
        <v>104</v>
      </c>
      <c r="S5059">
        <v>0</v>
      </c>
      <c r="T5059">
        <v>4</v>
      </c>
      <c r="U5059">
        <v>5</v>
      </c>
      <c r="V5059">
        <v>2</v>
      </c>
      <c r="W5059">
        <v>52</v>
      </c>
      <c r="X5059">
        <v>31</v>
      </c>
      <c r="Y5059">
        <v>35</v>
      </c>
      <c r="Z5059">
        <v>6</v>
      </c>
      <c r="AB5059">
        <v>0</v>
      </c>
      <c r="AC5059">
        <v>0</v>
      </c>
      <c r="AD5059">
        <v>1</v>
      </c>
      <c r="AE5059">
        <v>0</v>
      </c>
      <c r="AF5059">
        <v>0</v>
      </c>
      <c r="AK5059">
        <v>1</v>
      </c>
      <c r="AL5059">
        <v>0</v>
      </c>
      <c r="AM5059">
        <v>0</v>
      </c>
      <c r="AN5059">
        <v>0</v>
      </c>
      <c r="AQ5059">
        <v>1</v>
      </c>
      <c r="AT5059">
        <v>0</v>
      </c>
      <c r="AU5059">
        <v>28</v>
      </c>
      <c r="AV5059">
        <v>298</v>
      </c>
      <c r="AW5059">
        <v>298</v>
      </c>
      <c r="AX5059">
        <v>534</v>
      </c>
      <c r="BA5059">
        <v>1</v>
      </c>
      <c r="BC5059" t="s">
        <v>10230</v>
      </c>
      <c r="BD5059" s="4">
        <v>43283.338194444441</v>
      </c>
      <c r="BE5059" s="4">
        <v>43283.358182870368</v>
      </c>
      <c r="BF5059" s="4">
        <v>43283.358182870368</v>
      </c>
      <c r="BG5059" t="s">
        <v>83</v>
      </c>
      <c r="BH5059" t="s">
        <v>84</v>
      </c>
      <c r="BI5059" t="s">
        <v>85</v>
      </c>
    </row>
    <row r="5060" spans="1:61" x14ac:dyDescent="0.3">
      <c r="A5060" t="str">
        <f>"200444C0100"</f>
        <v>200444C0100</v>
      </c>
      <c r="B5060" t="s">
        <v>10231</v>
      </c>
      <c r="C5060">
        <v>20</v>
      </c>
      <c r="D5060" t="s">
        <v>79</v>
      </c>
      <c r="E5060">
        <v>24</v>
      </c>
      <c r="F5060" t="s">
        <v>10123</v>
      </c>
      <c r="G5060">
        <v>444</v>
      </c>
      <c r="H5060">
        <v>1</v>
      </c>
      <c r="I5060" t="s">
        <v>89</v>
      </c>
      <c r="J5060">
        <v>0</v>
      </c>
      <c r="K5060">
        <v>2</v>
      </c>
      <c r="L5060">
        <v>2</v>
      </c>
      <c r="M5060">
        <v>254</v>
      </c>
      <c r="N5060">
        <v>301</v>
      </c>
      <c r="O5060">
        <v>5</v>
      </c>
      <c r="P5060">
        <v>301</v>
      </c>
      <c r="Q5060">
        <v>34</v>
      </c>
      <c r="R5060">
        <v>87</v>
      </c>
      <c r="S5060">
        <v>0</v>
      </c>
      <c r="T5060">
        <v>2</v>
      </c>
      <c r="U5060">
        <v>3</v>
      </c>
      <c r="V5060">
        <v>4</v>
      </c>
      <c r="W5060">
        <v>51</v>
      </c>
      <c r="X5060">
        <v>46</v>
      </c>
      <c r="Y5060">
        <v>37</v>
      </c>
      <c r="Z5060">
        <v>3</v>
      </c>
      <c r="AB5060">
        <v>0</v>
      </c>
      <c r="AC5060">
        <v>0</v>
      </c>
      <c r="AD5060">
        <v>1</v>
      </c>
      <c r="AE5060">
        <v>0</v>
      </c>
      <c r="AF5060">
        <v>0</v>
      </c>
      <c r="AK5060">
        <v>0</v>
      </c>
      <c r="AL5060">
        <v>0</v>
      </c>
      <c r="AM5060">
        <v>0</v>
      </c>
      <c r="AN5060">
        <v>0</v>
      </c>
      <c r="AQ5060">
        <v>1</v>
      </c>
      <c r="AT5060">
        <v>0</v>
      </c>
      <c r="AU5060">
        <v>32</v>
      </c>
      <c r="AV5060">
        <v>301</v>
      </c>
      <c r="AW5060">
        <v>301</v>
      </c>
      <c r="AX5060">
        <v>533</v>
      </c>
      <c r="BA5060">
        <v>1</v>
      </c>
      <c r="BC5060" t="s">
        <v>10232</v>
      </c>
      <c r="BD5060" s="4">
        <v>43283.338194444441</v>
      </c>
      <c r="BE5060" s="4">
        <v>43283.355162037034</v>
      </c>
      <c r="BF5060" s="4">
        <v>43283.355162037034</v>
      </c>
      <c r="BG5060" t="s">
        <v>83</v>
      </c>
      <c r="BH5060" t="s">
        <v>84</v>
      </c>
      <c r="BI5060" t="s">
        <v>85</v>
      </c>
    </row>
    <row r="5061" spans="1:61" x14ac:dyDescent="0.3">
      <c r="A5061" t="str">
        <f>"200445B0100"</f>
        <v>200445B0100</v>
      </c>
      <c r="B5061" t="s">
        <v>10233</v>
      </c>
      <c r="C5061">
        <v>20</v>
      </c>
      <c r="D5061" t="s">
        <v>79</v>
      </c>
      <c r="E5061">
        <v>24</v>
      </c>
      <c r="F5061" t="s">
        <v>10123</v>
      </c>
      <c r="G5061">
        <v>445</v>
      </c>
      <c r="H5061">
        <v>1</v>
      </c>
      <c r="I5061" t="s">
        <v>81</v>
      </c>
      <c r="J5061">
        <v>0</v>
      </c>
      <c r="K5061">
        <v>2</v>
      </c>
      <c r="L5061">
        <v>2</v>
      </c>
      <c r="M5061">
        <v>210</v>
      </c>
      <c r="N5061">
        <v>414</v>
      </c>
      <c r="O5061">
        <v>2</v>
      </c>
      <c r="P5061">
        <v>414</v>
      </c>
      <c r="Q5061">
        <v>36</v>
      </c>
      <c r="R5061">
        <v>121</v>
      </c>
      <c r="S5061">
        <v>1</v>
      </c>
      <c r="T5061">
        <v>11</v>
      </c>
      <c r="U5061">
        <v>11</v>
      </c>
      <c r="V5061">
        <v>2</v>
      </c>
      <c r="W5061">
        <v>69</v>
      </c>
      <c r="X5061">
        <v>55</v>
      </c>
      <c r="Y5061">
        <v>64</v>
      </c>
      <c r="Z5061">
        <v>4</v>
      </c>
      <c r="AB5061">
        <v>0</v>
      </c>
      <c r="AC5061">
        <v>0</v>
      </c>
      <c r="AD5061">
        <v>0</v>
      </c>
      <c r="AE5061">
        <v>0</v>
      </c>
      <c r="AF5061">
        <v>0</v>
      </c>
      <c r="AK5061">
        <v>0</v>
      </c>
      <c r="AL5061">
        <v>0</v>
      </c>
      <c r="AM5061">
        <v>0</v>
      </c>
      <c r="AN5061">
        <v>0</v>
      </c>
      <c r="AQ5061">
        <v>1</v>
      </c>
      <c r="AT5061">
        <v>0</v>
      </c>
      <c r="AU5061">
        <v>36</v>
      </c>
      <c r="AV5061" t="s">
        <v>100</v>
      </c>
      <c r="AW5061">
        <v>411</v>
      </c>
      <c r="AX5061">
        <v>603</v>
      </c>
      <c r="BA5061">
        <v>1</v>
      </c>
      <c r="BC5061" t="s">
        <v>10234</v>
      </c>
      <c r="BD5061" s="4">
        <v>43283.351388888892</v>
      </c>
      <c r="BE5061" s="4">
        <v>43283.364108796297</v>
      </c>
      <c r="BF5061" s="4">
        <v>43283.364108796297</v>
      </c>
      <c r="BG5061" t="s">
        <v>83</v>
      </c>
      <c r="BH5061" t="s">
        <v>84</v>
      </c>
      <c r="BI5061" t="s">
        <v>85</v>
      </c>
    </row>
    <row r="5062" spans="1:61" x14ac:dyDescent="0.3">
      <c r="A5062" t="str">
        <f>"200445E0100"</f>
        <v>200445E0100</v>
      </c>
      <c r="B5062" s="2" t="s">
        <v>10235</v>
      </c>
      <c r="C5062">
        <v>20</v>
      </c>
      <c r="D5062" t="s">
        <v>79</v>
      </c>
      <c r="E5062">
        <v>24</v>
      </c>
      <c r="F5062" t="s">
        <v>10123</v>
      </c>
      <c r="G5062">
        <v>445</v>
      </c>
      <c r="H5062">
        <v>1</v>
      </c>
      <c r="I5062" t="s">
        <v>145</v>
      </c>
      <c r="J5062">
        <v>0</v>
      </c>
      <c r="K5062">
        <v>2</v>
      </c>
      <c r="L5062">
        <v>2</v>
      </c>
      <c r="M5062">
        <v>299</v>
      </c>
      <c r="N5062">
        <v>726</v>
      </c>
      <c r="O5062">
        <v>5</v>
      </c>
      <c r="P5062">
        <v>421</v>
      </c>
      <c r="Q5062">
        <v>40</v>
      </c>
      <c r="R5062">
        <v>157</v>
      </c>
      <c r="S5062" t="s">
        <v>100</v>
      </c>
      <c r="T5062" t="s">
        <v>100</v>
      </c>
      <c r="U5062" t="s">
        <v>100</v>
      </c>
      <c r="V5062" t="s">
        <v>100</v>
      </c>
      <c r="W5062">
        <v>90</v>
      </c>
      <c r="X5062">
        <v>71</v>
      </c>
      <c r="Y5062">
        <v>41</v>
      </c>
      <c r="Z5062" t="s">
        <v>100</v>
      </c>
      <c r="AB5062">
        <v>1</v>
      </c>
      <c r="AC5062" t="s">
        <v>100</v>
      </c>
      <c r="AD5062" t="s">
        <v>100</v>
      </c>
      <c r="AE5062" t="s">
        <v>100</v>
      </c>
      <c r="AF5062" t="s">
        <v>100</v>
      </c>
      <c r="AK5062" t="s">
        <v>100</v>
      </c>
      <c r="AL5062" t="s">
        <v>100</v>
      </c>
      <c r="AM5062" t="s">
        <v>100</v>
      </c>
      <c r="AN5062" t="s">
        <v>100</v>
      </c>
      <c r="AQ5062" t="s">
        <v>100</v>
      </c>
      <c r="AT5062" t="s">
        <v>100</v>
      </c>
      <c r="AU5062">
        <v>21</v>
      </c>
      <c r="AV5062">
        <v>421</v>
      </c>
      <c r="AW5062">
        <v>421</v>
      </c>
      <c r="AX5062">
        <v>704</v>
      </c>
      <c r="AZ5062" t="s">
        <v>101</v>
      </c>
      <c r="BA5062">
        <v>1</v>
      </c>
      <c r="BC5062" t="s">
        <v>10236</v>
      </c>
      <c r="BD5062" s="4">
        <v>43283.352083333331</v>
      </c>
      <c r="BE5062" s="4">
        <v>43283.365312499998</v>
      </c>
      <c r="BF5062" s="4">
        <v>43283.365312499998</v>
      </c>
      <c r="BG5062" t="s">
        <v>83</v>
      </c>
      <c r="BH5062" t="s">
        <v>84</v>
      </c>
      <c r="BI5062" t="s">
        <v>85</v>
      </c>
    </row>
    <row r="5063" spans="1:61" x14ac:dyDescent="0.3">
      <c r="A5063" t="str">
        <f>"200446B0100"</f>
        <v>200446B0100</v>
      </c>
      <c r="B5063" t="s">
        <v>10237</v>
      </c>
      <c r="C5063">
        <v>20</v>
      </c>
      <c r="D5063" t="s">
        <v>79</v>
      </c>
      <c r="E5063">
        <v>24</v>
      </c>
      <c r="F5063" t="s">
        <v>10123</v>
      </c>
      <c r="G5063">
        <v>446</v>
      </c>
      <c r="H5063">
        <v>1</v>
      </c>
      <c r="I5063" t="s">
        <v>81</v>
      </c>
      <c r="J5063">
        <v>0</v>
      </c>
      <c r="K5063">
        <v>2</v>
      </c>
      <c r="L5063">
        <v>2</v>
      </c>
      <c r="M5063" t="s">
        <v>315</v>
      </c>
      <c r="N5063">
        <v>226</v>
      </c>
      <c r="O5063">
        <v>4</v>
      </c>
      <c r="P5063">
        <v>226</v>
      </c>
      <c r="Q5063">
        <v>15</v>
      </c>
      <c r="R5063">
        <v>78</v>
      </c>
      <c r="S5063">
        <v>1</v>
      </c>
      <c r="T5063">
        <v>4</v>
      </c>
      <c r="U5063">
        <v>7</v>
      </c>
      <c r="V5063">
        <v>2</v>
      </c>
      <c r="W5063">
        <v>19</v>
      </c>
      <c r="X5063">
        <v>18</v>
      </c>
      <c r="Y5063">
        <v>63</v>
      </c>
      <c r="Z5063">
        <v>6</v>
      </c>
      <c r="AB5063">
        <v>2</v>
      </c>
      <c r="AC5063" t="s">
        <v>100</v>
      </c>
      <c r="AD5063" t="s">
        <v>100</v>
      </c>
      <c r="AE5063" t="s">
        <v>100</v>
      </c>
      <c r="AF5063" t="s">
        <v>100</v>
      </c>
      <c r="AK5063" t="s">
        <v>100</v>
      </c>
      <c r="AL5063" t="s">
        <v>100</v>
      </c>
      <c r="AM5063" t="s">
        <v>100</v>
      </c>
      <c r="AN5063" t="s">
        <v>100</v>
      </c>
      <c r="AQ5063">
        <v>1</v>
      </c>
      <c r="AT5063" t="s">
        <v>100</v>
      </c>
      <c r="AU5063">
        <v>10</v>
      </c>
      <c r="AV5063">
        <v>226</v>
      </c>
      <c r="AW5063">
        <v>226</v>
      </c>
      <c r="AX5063">
        <v>446</v>
      </c>
      <c r="AZ5063" t="s">
        <v>101</v>
      </c>
      <c r="BA5063">
        <v>1</v>
      </c>
      <c r="BC5063" t="s">
        <v>10238</v>
      </c>
      <c r="BD5063" s="4">
        <v>43283.20416666667</v>
      </c>
      <c r="BE5063" s="4">
        <v>43283.558854166666</v>
      </c>
      <c r="BF5063" s="4">
        <v>43283.558854166666</v>
      </c>
      <c r="BG5063" t="s">
        <v>83</v>
      </c>
      <c r="BH5063" t="s">
        <v>84</v>
      </c>
      <c r="BI5063" t="s">
        <v>85</v>
      </c>
    </row>
    <row r="5064" spans="1:61" x14ac:dyDescent="0.3">
      <c r="A5064" t="str">
        <f>"200446C0100"</f>
        <v>200446C0100</v>
      </c>
      <c r="B5064" t="s">
        <v>10239</v>
      </c>
      <c r="C5064">
        <v>20</v>
      </c>
      <c r="D5064" t="s">
        <v>79</v>
      </c>
      <c r="E5064">
        <v>24</v>
      </c>
      <c r="F5064" t="s">
        <v>10123</v>
      </c>
      <c r="G5064">
        <v>446</v>
      </c>
      <c r="H5064">
        <v>1</v>
      </c>
      <c r="I5064" t="s">
        <v>89</v>
      </c>
      <c r="J5064">
        <v>0</v>
      </c>
      <c r="K5064">
        <v>2</v>
      </c>
      <c r="L5064">
        <v>2</v>
      </c>
      <c r="AX5064">
        <v>445</v>
      </c>
      <c r="AZ5064" t="s">
        <v>156</v>
      </c>
      <c r="BA5064">
        <v>0</v>
      </c>
      <c r="BC5064" t="s">
        <v>10240</v>
      </c>
      <c r="BD5064" s="4">
        <v>43283.818055555559</v>
      </c>
      <c r="BE5064" s="4">
        <v>43283.818761574075</v>
      </c>
      <c r="BF5064" s="4">
        <v>43283.818761574075</v>
      </c>
      <c r="BG5064" t="s">
        <v>83</v>
      </c>
      <c r="BH5064" t="s">
        <v>84</v>
      </c>
      <c r="BI5064" t="s">
        <v>85</v>
      </c>
    </row>
    <row r="5065" spans="1:61" x14ac:dyDescent="0.3">
      <c r="A5065" t="str">
        <f>"200446E0100"</f>
        <v>200446E0100</v>
      </c>
      <c r="B5065" s="2" t="s">
        <v>10241</v>
      </c>
      <c r="C5065">
        <v>20</v>
      </c>
      <c r="D5065" t="s">
        <v>79</v>
      </c>
      <c r="E5065">
        <v>24</v>
      </c>
      <c r="F5065" t="s">
        <v>10123</v>
      </c>
      <c r="G5065">
        <v>446</v>
      </c>
      <c r="H5065">
        <v>1</v>
      </c>
      <c r="I5065" t="s">
        <v>145</v>
      </c>
      <c r="J5065">
        <v>0</v>
      </c>
      <c r="K5065">
        <v>2</v>
      </c>
      <c r="L5065">
        <v>2</v>
      </c>
      <c r="M5065">
        <v>167</v>
      </c>
      <c r="N5065">
        <v>210</v>
      </c>
      <c r="O5065">
        <v>7</v>
      </c>
      <c r="P5065" t="s">
        <v>100</v>
      </c>
      <c r="Q5065">
        <v>15</v>
      </c>
      <c r="R5065">
        <v>49</v>
      </c>
      <c r="S5065">
        <v>4</v>
      </c>
      <c r="T5065">
        <v>3</v>
      </c>
      <c r="U5065">
        <v>5</v>
      </c>
      <c r="V5065">
        <v>1</v>
      </c>
      <c r="W5065">
        <v>37</v>
      </c>
      <c r="X5065">
        <v>30</v>
      </c>
      <c r="Y5065">
        <v>34</v>
      </c>
      <c r="Z5065">
        <v>4</v>
      </c>
      <c r="AB5065">
        <v>4</v>
      </c>
      <c r="AC5065">
        <v>0</v>
      </c>
      <c r="AD5065">
        <v>0</v>
      </c>
      <c r="AE5065">
        <v>0</v>
      </c>
      <c r="AF5065">
        <v>0</v>
      </c>
      <c r="AK5065">
        <v>0</v>
      </c>
      <c r="AL5065">
        <v>0</v>
      </c>
      <c r="AM5065">
        <v>0</v>
      </c>
      <c r="AN5065">
        <v>0</v>
      </c>
      <c r="AQ5065">
        <v>0</v>
      </c>
      <c r="AT5065">
        <v>1</v>
      </c>
      <c r="AU5065">
        <v>22</v>
      </c>
      <c r="AV5065">
        <v>209</v>
      </c>
      <c r="AW5065">
        <v>209</v>
      </c>
      <c r="AX5065">
        <v>355</v>
      </c>
      <c r="BA5065">
        <v>1</v>
      </c>
      <c r="BC5065" t="s">
        <v>10242</v>
      </c>
      <c r="BD5065" s="4">
        <v>43283.172222222223</v>
      </c>
      <c r="BE5065" s="4">
        <v>43283.192418981482</v>
      </c>
      <c r="BF5065" s="4">
        <v>43283.192418981482</v>
      </c>
      <c r="BG5065" t="s">
        <v>83</v>
      </c>
      <c r="BH5065" t="s">
        <v>84</v>
      </c>
      <c r="BI5065" t="s">
        <v>85</v>
      </c>
    </row>
    <row r="5066" spans="1:61" x14ac:dyDescent="0.3">
      <c r="A5066" t="str">
        <f>"200446E0200"</f>
        <v>200446E0200</v>
      </c>
      <c r="B5066" s="2" t="s">
        <v>10243</v>
      </c>
      <c r="C5066">
        <v>20</v>
      </c>
      <c r="D5066" t="s">
        <v>79</v>
      </c>
      <c r="E5066">
        <v>24</v>
      </c>
      <c r="F5066" t="s">
        <v>10123</v>
      </c>
      <c r="G5066">
        <v>446</v>
      </c>
      <c r="H5066">
        <v>2</v>
      </c>
      <c r="I5066" t="s">
        <v>145</v>
      </c>
      <c r="J5066">
        <v>0</v>
      </c>
      <c r="K5066">
        <v>2</v>
      </c>
      <c r="L5066">
        <v>2</v>
      </c>
      <c r="M5066">
        <v>164</v>
      </c>
      <c r="N5066">
        <v>196</v>
      </c>
      <c r="O5066">
        <v>8</v>
      </c>
      <c r="P5066">
        <v>196</v>
      </c>
      <c r="Q5066">
        <v>9</v>
      </c>
      <c r="R5066">
        <v>41</v>
      </c>
      <c r="S5066">
        <v>0</v>
      </c>
      <c r="T5066">
        <v>4</v>
      </c>
      <c r="U5066">
        <v>5</v>
      </c>
      <c r="V5066">
        <v>4</v>
      </c>
      <c r="W5066">
        <v>68</v>
      </c>
      <c r="X5066">
        <v>8</v>
      </c>
      <c r="Y5066">
        <v>39</v>
      </c>
      <c r="Z5066">
        <v>2</v>
      </c>
      <c r="AB5066">
        <v>1</v>
      </c>
      <c r="AC5066">
        <v>1</v>
      </c>
      <c r="AD5066">
        <v>0</v>
      </c>
      <c r="AE5066">
        <v>0</v>
      </c>
      <c r="AF5066">
        <v>0</v>
      </c>
      <c r="AK5066">
        <v>0</v>
      </c>
      <c r="AL5066">
        <v>0</v>
      </c>
      <c r="AM5066">
        <v>0</v>
      </c>
      <c r="AN5066">
        <v>0</v>
      </c>
      <c r="AQ5066">
        <v>0</v>
      </c>
      <c r="AT5066">
        <v>0</v>
      </c>
      <c r="AU5066">
        <v>14</v>
      </c>
      <c r="AV5066">
        <v>196</v>
      </c>
      <c r="AW5066">
        <v>196</v>
      </c>
      <c r="AX5066">
        <v>338</v>
      </c>
      <c r="BA5066">
        <v>1</v>
      </c>
      <c r="BC5066" t="s">
        <v>10244</v>
      </c>
      <c r="BD5066" s="4">
        <v>43283.172222222223</v>
      </c>
      <c r="BE5066" s="4">
        <v>43283.185520833336</v>
      </c>
      <c r="BF5066" s="4">
        <v>43283.185520833336</v>
      </c>
      <c r="BG5066" t="s">
        <v>83</v>
      </c>
      <c r="BH5066" t="s">
        <v>84</v>
      </c>
      <c r="BI5066" t="s">
        <v>85</v>
      </c>
    </row>
    <row r="5067" spans="1:61" x14ac:dyDescent="0.3">
      <c r="A5067" t="str">
        <f>"200447B0100"</f>
        <v>200447B0100</v>
      </c>
      <c r="B5067" t="s">
        <v>10245</v>
      </c>
      <c r="C5067">
        <v>20</v>
      </c>
      <c r="D5067" t="s">
        <v>79</v>
      </c>
      <c r="E5067">
        <v>24</v>
      </c>
      <c r="F5067" t="s">
        <v>10123</v>
      </c>
      <c r="G5067">
        <v>447</v>
      </c>
      <c r="H5067">
        <v>1</v>
      </c>
      <c r="I5067" t="s">
        <v>81</v>
      </c>
      <c r="J5067">
        <v>0</v>
      </c>
      <c r="K5067">
        <v>2</v>
      </c>
      <c r="L5067">
        <v>2</v>
      </c>
      <c r="M5067" t="s">
        <v>100</v>
      </c>
      <c r="N5067" t="s">
        <v>100</v>
      </c>
      <c r="O5067" t="s">
        <v>100</v>
      </c>
      <c r="P5067" t="s">
        <v>100</v>
      </c>
      <c r="Q5067">
        <v>19</v>
      </c>
      <c r="R5067">
        <v>76</v>
      </c>
      <c r="S5067">
        <v>2</v>
      </c>
      <c r="T5067">
        <v>3</v>
      </c>
      <c r="U5067">
        <v>8</v>
      </c>
      <c r="V5067">
        <v>6</v>
      </c>
      <c r="W5067">
        <v>31</v>
      </c>
      <c r="X5067">
        <v>22</v>
      </c>
      <c r="Y5067">
        <v>88</v>
      </c>
      <c r="Z5067">
        <v>4</v>
      </c>
      <c r="AB5067">
        <v>5</v>
      </c>
      <c r="AC5067">
        <v>0</v>
      </c>
      <c r="AD5067">
        <v>1</v>
      </c>
      <c r="AE5067">
        <v>0</v>
      </c>
      <c r="AF5067">
        <v>0</v>
      </c>
      <c r="AK5067">
        <v>1</v>
      </c>
      <c r="AL5067">
        <v>0</v>
      </c>
      <c r="AM5067">
        <v>0</v>
      </c>
      <c r="AN5067">
        <v>1</v>
      </c>
      <c r="AQ5067">
        <v>0</v>
      </c>
      <c r="AT5067">
        <v>0</v>
      </c>
      <c r="AU5067" t="s">
        <v>100</v>
      </c>
      <c r="AV5067" t="s">
        <v>100</v>
      </c>
      <c r="AW5067">
        <v>267</v>
      </c>
      <c r="AX5067">
        <v>374</v>
      </c>
      <c r="AZ5067" t="s">
        <v>101</v>
      </c>
      <c r="BA5067">
        <v>1</v>
      </c>
      <c r="BC5067" t="s">
        <v>10246</v>
      </c>
      <c r="BD5067" s="4">
        <v>43283.340277777781</v>
      </c>
      <c r="BE5067" s="4">
        <v>43283.355763888889</v>
      </c>
      <c r="BF5067" s="4">
        <v>43283.355763888889</v>
      </c>
      <c r="BG5067" t="s">
        <v>83</v>
      </c>
      <c r="BH5067" t="s">
        <v>84</v>
      </c>
      <c r="BI5067" t="s">
        <v>85</v>
      </c>
    </row>
    <row r="5068" spans="1:61" x14ac:dyDescent="0.3">
      <c r="A5068" t="str">
        <f>"200447E0100"</f>
        <v>200447E0100</v>
      </c>
      <c r="B5068" s="2" t="s">
        <v>10247</v>
      </c>
      <c r="C5068">
        <v>20</v>
      </c>
      <c r="D5068" t="s">
        <v>79</v>
      </c>
      <c r="E5068">
        <v>24</v>
      </c>
      <c r="F5068" t="s">
        <v>10123</v>
      </c>
      <c r="G5068">
        <v>447</v>
      </c>
      <c r="H5068">
        <v>1</v>
      </c>
      <c r="I5068" t="s">
        <v>145</v>
      </c>
      <c r="J5068">
        <v>0</v>
      </c>
      <c r="K5068">
        <v>2</v>
      </c>
      <c r="L5068">
        <v>2</v>
      </c>
      <c r="AX5068">
        <v>519</v>
      </c>
      <c r="AZ5068" t="s">
        <v>156</v>
      </c>
      <c r="BA5068">
        <v>0</v>
      </c>
      <c r="BC5068" t="s">
        <v>10248</v>
      </c>
      <c r="BD5068" s="4">
        <v>43283.817361111112</v>
      </c>
      <c r="BE5068" s="4">
        <v>43283.81832175926</v>
      </c>
      <c r="BF5068" s="4">
        <v>43283.81832175926</v>
      </c>
      <c r="BG5068" t="s">
        <v>83</v>
      </c>
      <c r="BH5068" t="s">
        <v>84</v>
      </c>
      <c r="BI5068" t="s">
        <v>85</v>
      </c>
    </row>
    <row r="5069" spans="1:61" x14ac:dyDescent="0.3">
      <c r="A5069" t="str">
        <f>"200448B0100"</f>
        <v>200448B0100</v>
      </c>
      <c r="B5069" t="s">
        <v>10249</v>
      </c>
      <c r="C5069">
        <v>20</v>
      </c>
      <c r="D5069" t="s">
        <v>79</v>
      </c>
      <c r="E5069">
        <v>24</v>
      </c>
      <c r="F5069" t="s">
        <v>10123</v>
      </c>
      <c r="G5069">
        <v>448</v>
      </c>
      <c r="H5069">
        <v>1</v>
      </c>
      <c r="I5069" t="s">
        <v>81</v>
      </c>
      <c r="J5069">
        <v>0</v>
      </c>
      <c r="K5069">
        <v>2</v>
      </c>
      <c r="L5069">
        <v>2</v>
      </c>
      <c r="M5069">
        <v>211</v>
      </c>
      <c r="N5069">
        <v>232</v>
      </c>
      <c r="O5069">
        <v>0</v>
      </c>
      <c r="P5069">
        <v>228</v>
      </c>
      <c r="Q5069">
        <v>10</v>
      </c>
      <c r="R5069">
        <v>79</v>
      </c>
      <c r="S5069">
        <v>1</v>
      </c>
      <c r="T5069">
        <v>6</v>
      </c>
      <c r="U5069">
        <v>9</v>
      </c>
      <c r="V5069">
        <v>3</v>
      </c>
      <c r="W5069">
        <v>24</v>
      </c>
      <c r="X5069">
        <v>31</v>
      </c>
      <c r="Y5069">
        <v>36</v>
      </c>
      <c r="Z5069">
        <v>0</v>
      </c>
      <c r="AB5069">
        <v>1</v>
      </c>
      <c r="AC5069" t="s">
        <v>100</v>
      </c>
      <c r="AD5069" t="s">
        <v>100</v>
      </c>
      <c r="AE5069" t="s">
        <v>100</v>
      </c>
      <c r="AF5069" t="s">
        <v>100</v>
      </c>
      <c r="AK5069">
        <v>1</v>
      </c>
      <c r="AL5069">
        <v>1</v>
      </c>
      <c r="AM5069" t="s">
        <v>100</v>
      </c>
      <c r="AN5069" t="s">
        <v>100</v>
      </c>
      <c r="AQ5069">
        <v>1</v>
      </c>
      <c r="AT5069" t="s">
        <v>100</v>
      </c>
      <c r="AU5069">
        <v>26</v>
      </c>
      <c r="AV5069">
        <v>228</v>
      </c>
      <c r="AW5069">
        <v>229</v>
      </c>
      <c r="AX5069">
        <v>421</v>
      </c>
      <c r="AZ5069" t="s">
        <v>101</v>
      </c>
      <c r="BA5069">
        <v>1</v>
      </c>
      <c r="BC5069" t="s">
        <v>10250</v>
      </c>
      <c r="BD5069" s="4">
        <v>43283.143055555556</v>
      </c>
      <c r="BE5069" s="4">
        <v>43283.150219907409</v>
      </c>
      <c r="BF5069" s="4">
        <v>43283.150219907409</v>
      </c>
      <c r="BG5069" t="s">
        <v>83</v>
      </c>
      <c r="BH5069" t="s">
        <v>84</v>
      </c>
      <c r="BI5069" t="s">
        <v>85</v>
      </c>
    </row>
    <row r="5070" spans="1:61" x14ac:dyDescent="0.3">
      <c r="A5070" t="str">
        <f>"200449B0100"</f>
        <v>200449B0100</v>
      </c>
      <c r="B5070" t="s">
        <v>10251</v>
      </c>
      <c r="C5070">
        <v>20</v>
      </c>
      <c r="D5070" t="s">
        <v>79</v>
      </c>
      <c r="E5070">
        <v>24</v>
      </c>
      <c r="F5070" t="s">
        <v>10123</v>
      </c>
      <c r="G5070">
        <v>449</v>
      </c>
      <c r="H5070">
        <v>1</v>
      </c>
      <c r="I5070" t="s">
        <v>81</v>
      </c>
      <c r="J5070">
        <v>0</v>
      </c>
      <c r="K5070">
        <v>2</v>
      </c>
      <c r="L5070">
        <v>2</v>
      </c>
      <c r="M5070">
        <v>275</v>
      </c>
      <c r="N5070">
        <v>434</v>
      </c>
      <c r="O5070">
        <v>5</v>
      </c>
      <c r="P5070">
        <v>431</v>
      </c>
      <c r="Q5070">
        <v>73</v>
      </c>
      <c r="R5070">
        <v>124</v>
      </c>
      <c r="S5070">
        <v>4</v>
      </c>
      <c r="T5070">
        <v>6</v>
      </c>
      <c r="U5070">
        <v>9</v>
      </c>
      <c r="V5070">
        <v>10</v>
      </c>
      <c r="W5070">
        <v>37</v>
      </c>
      <c r="X5070">
        <v>35</v>
      </c>
      <c r="Y5070">
        <v>85</v>
      </c>
      <c r="Z5070">
        <v>12</v>
      </c>
      <c r="AB5070">
        <v>7</v>
      </c>
      <c r="AC5070">
        <v>0</v>
      </c>
      <c r="AD5070">
        <v>0</v>
      </c>
      <c r="AE5070">
        <v>0</v>
      </c>
      <c r="AF5070">
        <v>0</v>
      </c>
      <c r="AK5070">
        <v>2</v>
      </c>
      <c r="AL5070">
        <v>0</v>
      </c>
      <c r="AM5070">
        <v>0</v>
      </c>
      <c r="AN5070">
        <v>1</v>
      </c>
      <c r="AQ5070">
        <v>0</v>
      </c>
      <c r="AT5070">
        <v>0</v>
      </c>
      <c r="AU5070">
        <v>29</v>
      </c>
      <c r="AV5070">
        <v>434</v>
      </c>
      <c r="AW5070">
        <v>434</v>
      </c>
      <c r="AX5070">
        <v>687</v>
      </c>
      <c r="BA5070">
        <v>1</v>
      </c>
      <c r="BC5070" t="s">
        <v>10252</v>
      </c>
      <c r="BD5070" s="4">
        <v>43283.146527777775</v>
      </c>
      <c r="BE5070" s="4">
        <v>43283.155462962961</v>
      </c>
      <c r="BF5070" s="4">
        <v>43283.155462962961</v>
      </c>
      <c r="BG5070" t="s">
        <v>83</v>
      </c>
      <c r="BH5070" t="s">
        <v>84</v>
      </c>
      <c r="BI5070" t="s">
        <v>85</v>
      </c>
    </row>
    <row r="5071" spans="1:61" x14ac:dyDescent="0.3">
      <c r="A5071" t="str">
        <f>"200449C0100"</f>
        <v>200449C0100</v>
      </c>
      <c r="B5071" t="s">
        <v>10253</v>
      </c>
      <c r="C5071">
        <v>20</v>
      </c>
      <c r="D5071" t="s">
        <v>79</v>
      </c>
      <c r="E5071">
        <v>24</v>
      </c>
      <c r="F5071" t="s">
        <v>10123</v>
      </c>
      <c r="G5071">
        <v>449</v>
      </c>
      <c r="H5071">
        <v>1</v>
      </c>
      <c r="I5071" t="s">
        <v>89</v>
      </c>
      <c r="J5071">
        <v>0</v>
      </c>
      <c r="K5071">
        <v>2</v>
      </c>
      <c r="L5071">
        <v>2</v>
      </c>
      <c r="M5071">
        <v>314</v>
      </c>
      <c r="N5071">
        <v>394</v>
      </c>
      <c r="O5071">
        <v>3</v>
      </c>
      <c r="P5071">
        <v>394</v>
      </c>
      <c r="Q5071">
        <v>79</v>
      </c>
      <c r="R5071">
        <v>93</v>
      </c>
      <c r="S5071">
        <v>7</v>
      </c>
      <c r="T5071">
        <v>6</v>
      </c>
      <c r="U5071">
        <v>10</v>
      </c>
      <c r="V5071">
        <v>4</v>
      </c>
      <c r="W5071">
        <v>30</v>
      </c>
      <c r="X5071">
        <v>42</v>
      </c>
      <c r="Y5071">
        <v>75</v>
      </c>
      <c r="Z5071">
        <v>7</v>
      </c>
      <c r="AB5071">
        <v>1</v>
      </c>
      <c r="AC5071">
        <v>4</v>
      </c>
      <c r="AD5071">
        <v>1</v>
      </c>
      <c r="AE5071">
        <v>0</v>
      </c>
      <c r="AF5071">
        <v>0</v>
      </c>
      <c r="AK5071">
        <v>1</v>
      </c>
      <c r="AL5071">
        <v>0</v>
      </c>
      <c r="AM5071">
        <v>0</v>
      </c>
      <c r="AN5071">
        <v>0</v>
      </c>
      <c r="AQ5071">
        <v>1</v>
      </c>
      <c r="AT5071">
        <v>0</v>
      </c>
      <c r="AU5071">
        <v>33</v>
      </c>
      <c r="AV5071">
        <v>394</v>
      </c>
      <c r="AW5071">
        <v>394</v>
      </c>
      <c r="AX5071">
        <v>686</v>
      </c>
      <c r="BA5071">
        <v>1</v>
      </c>
      <c r="BC5071" t="s">
        <v>10254</v>
      </c>
      <c r="BD5071" s="4">
        <v>43283.143750000003</v>
      </c>
      <c r="BE5071" s="4">
        <v>43283.152685185189</v>
      </c>
      <c r="BF5071" s="4">
        <v>43283.152685185189</v>
      </c>
      <c r="BG5071" t="s">
        <v>83</v>
      </c>
      <c r="BH5071" t="s">
        <v>84</v>
      </c>
      <c r="BI5071" t="s">
        <v>85</v>
      </c>
    </row>
    <row r="5072" spans="1:61" x14ac:dyDescent="0.3">
      <c r="A5072" t="str">
        <f>"200450B0100"</f>
        <v>200450B0100</v>
      </c>
      <c r="B5072" t="s">
        <v>10255</v>
      </c>
      <c r="C5072">
        <v>20</v>
      </c>
      <c r="D5072" t="s">
        <v>79</v>
      </c>
      <c r="E5072">
        <v>24</v>
      </c>
      <c r="F5072" t="s">
        <v>10123</v>
      </c>
      <c r="G5072">
        <v>450</v>
      </c>
      <c r="H5072">
        <v>1</v>
      </c>
      <c r="I5072" t="s">
        <v>81</v>
      </c>
      <c r="J5072">
        <v>0</v>
      </c>
      <c r="K5072">
        <v>2</v>
      </c>
      <c r="L5072">
        <v>2</v>
      </c>
      <c r="M5072">
        <v>218</v>
      </c>
      <c r="N5072">
        <v>383</v>
      </c>
      <c r="O5072">
        <v>4</v>
      </c>
      <c r="P5072">
        <v>382</v>
      </c>
      <c r="Q5072">
        <v>57</v>
      </c>
      <c r="R5072">
        <v>97</v>
      </c>
      <c r="S5072">
        <v>3</v>
      </c>
      <c r="T5072">
        <v>7</v>
      </c>
      <c r="U5072">
        <v>15</v>
      </c>
      <c r="V5072">
        <v>1</v>
      </c>
      <c r="W5072">
        <v>86</v>
      </c>
      <c r="X5072">
        <v>22</v>
      </c>
      <c r="Y5072">
        <v>52</v>
      </c>
      <c r="Z5072">
        <v>7</v>
      </c>
      <c r="AB5072">
        <v>1</v>
      </c>
      <c r="AC5072">
        <v>0</v>
      </c>
      <c r="AD5072">
        <v>0</v>
      </c>
      <c r="AE5072">
        <v>0</v>
      </c>
      <c r="AF5072">
        <v>0</v>
      </c>
      <c r="AK5072">
        <v>0</v>
      </c>
      <c r="AL5072">
        <v>0</v>
      </c>
      <c r="AM5072">
        <v>0</v>
      </c>
      <c r="AN5072">
        <v>0</v>
      </c>
      <c r="AQ5072" t="s">
        <v>100</v>
      </c>
      <c r="AT5072" t="s">
        <v>100</v>
      </c>
      <c r="AU5072">
        <v>34</v>
      </c>
      <c r="AV5072">
        <v>382</v>
      </c>
      <c r="AW5072">
        <v>382</v>
      </c>
      <c r="AX5072">
        <v>579</v>
      </c>
      <c r="AZ5072" t="s">
        <v>101</v>
      </c>
      <c r="BA5072">
        <v>1</v>
      </c>
      <c r="BC5072" t="s">
        <v>10256</v>
      </c>
      <c r="BD5072" s="4">
        <v>43283.143750000003</v>
      </c>
      <c r="BE5072" s="4">
        <v>43283.147835648146</v>
      </c>
      <c r="BF5072" s="4">
        <v>43283.147835648146</v>
      </c>
      <c r="BG5072" t="s">
        <v>83</v>
      </c>
      <c r="BH5072" t="s">
        <v>84</v>
      </c>
      <c r="BI5072" t="s">
        <v>85</v>
      </c>
    </row>
    <row r="5073" spans="1:61" x14ac:dyDescent="0.3">
      <c r="A5073" t="str">
        <f>"200451B0100"</f>
        <v>200451B0100</v>
      </c>
      <c r="B5073" t="s">
        <v>10257</v>
      </c>
      <c r="C5073">
        <v>20</v>
      </c>
      <c r="D5073" t="s">
        <v>79</v>
      </c>
      <c r="E5073">
        <v>24</v>
      </c>
      <c r="F5073" t="s">
        <v>10123</v>
      </c>
      <c r="G5073">
        <v>451</v>
      </c>
      <c r="H5073">
        <v>1</v>
      </c>
      <c r="I5073" t="s">
        <v>81</v>
      </c>
      <c r="J5073">
        <v>0</v>
      </c>
      <c r="K5073">
        <v>2</v>
      </c>
      <c r="L5073">
        <v>2</v>
      </c>
      <c r="M5073">
        <v>123</v>
      </c>
      <c r="N5073" t="s">
        <v>100</v>
      </c>
      <c r="O5073">
        <v>10</v>
      </c>
      <c r="P5073" t="s">
        <v>100</v>
      </c>
      <c r="Q5073">
        <v>22</v>
      </c>
      <c r="R5073">
        <v>39</v>
      </c>
      <c r="S5073">
        <v>8</v>
      </c>
      <c r="T5073">
        <v>4</v>
      </c>
      <c r="U5073">
        <v>11</v>
      </c>
      <c r="V5073">
        <v>8</v>
      </c>
      <c r="W5073">
        <v>22</v>
      </c>
      <c r="X5073">
        <v>53</v>
      </c>
      <c r="Y5073">
        <v>112</v>
      </c>
      <c r="Z5073">
        <v>3</v>
      </c>
      <c r="AB5073">
        <v>1</v>
      </c>
      <c r="AC5073">
        <v>0</v>
      </c>
      <c r="AD5073">
        <v>0</v>
      </c>
      <c r="AE5073">
        <v>0</v>
      </c>
      <c r="AF5073">
        <v>0</v>
      </c>
      <c r="AK5073">
        <v>0</v>
      </c>
      <c r="AL5073">
        <v>0</v>
      </c>
      <c r="AM5073">
        <v>0</v>
      </c>
      <c r="AN5073">
        <v>1</v>
      </c>
      <c r="AQ5073">
        <v>0</v>
      </c>
      <c r="AT5073">
        <v>0</v>
      </c>
      <c r="AU5073">
        <v>24</v>
      </c>
      <c r="AV5073">
        <v>308</v>
      </c>
      <c r="AW5073">
        <v>308</v>
      </c>
      <c r="AX5073">
        <v>480</v>
      </c>
      <c r="BA5073">
        <v>1</v>
      </c>
      <c r="BC5073" t="s">
        <v>10258</v>
      </c>
      <c r="BD5073" s="4">
        <v>43283.275000000001</v>
      </c>
      <c r="BE5073" s="4">
        <v>43283.318784722222</v>
      </c>
      <c r="BF5073" s="4">
        <v>43283.318784722222</v>
      </c>
      <c r="BG5073" t="s">
        <v>83</v>
      </c>
      <c r="BH5073" t="s">
        <v>84</v>
      </c>
      <c r="BI5073" t="s">
        <v>85</v>
      </c>
    </row>
    <row r="5074" spans="1:61" x14ac:dyDescent="0.3">
      <c r="A5074" t="str">
        <f>"200452B0100"</f>
        <v>200452B0100</v>
      </c>
      <c r="B5074" t="s">
        <v>10259</v>
      </c>
      <c r="C5074">
        <v>20</v>
      </c>
      <c r="D5074" t="s">
        <v>79</v>
      </c>
      <c r="E5074">
        <v>24</v>
      </c>
      <c r="F5074" t="s">
        <v>10123</v>
      </c>
      <c r="G5074">
        <v>452</v>
      </c>
      <c r="H5074">
        <v>1</v>
      </c>
      <c r="I5074" t="s">
        <v>81</v>
      </c>
      <c r="J5074">
        <v>0</v>
      </c>
      <c r="K5074">
        <v>2</v>
      </c>
      <c r="L5074">
        <v>2</v>
      </c>
      <c r="M5074">
        <v>186</v>
      </c>
      <c r="N5074">
        <v>253</v>
      </c>
      <c r="O5074">
        <v>5</v>
      </c>
      <c r="P5074">
        <v>253</v>
      </c>
      <c r="Q5074">
        <v>22</v>
      </c>
      <c r="R5074">
        <v>67</v>
      </c>
      <c r="S5074">
        <v>2</v>
      </c>
      <c r="T5074">
        <v>8</v>
      </c>
      <c r="U5074">
        <v>6</v>
      </c>
      <c r="V5074">
        <v>2</v>
      </c>
      <c r="W5074">
        <v>28</v>
      </c>
      <c r="X5074">
        <v>59</v>
      </c>
      <c r="Y5074">
        <v>37</v>
      </c>
      <c r="Z5074">
        <v>2</v>
      </c>
      <c r="AB5074">
        <v>1</v>
      </c>
      <c r="AC5074">
        <v>0</v>
      </c>
      <c r="AD5074">
        <v>1</v>
      </c>
      <c r="AE5074">
        <v>0</v>
      </c>
      <c r="AF5074">
        <v>0</v>
      </c>
      <c r="AK5074">
        <v>0</v>
      </c>
      <c r="AL5074">
        <v>0</v>
      </c>
      <c r="AM5074">
        <v>0</v>
      </c>
      <c r="AN5074">
        <v>0</v>
      </c>
      <c r="AQ5074">
        <v>4</v>
      </c>
      <c r="AT5074">
        <v>0</v>
      </c>
      <c r="AU5074">
        <v>14</v>
      </c>
      <c r="AV5074">
        <v>253</v>
      </c>
      <c r="AW5074">
        <v>253</v>
      </c>
      <c r="AX5074">
        <v>417</v>
      </c>
      <c r="BA5074">
        <v>1</v>
      </c>
      <c r="BC5074" t="s">
        <v>10260</v>
      </c>
      <c r="BD5074" s="4">
        <v>43283.091666666667</v>
      </c>
      <c r="BE5074" s="4">
        <v>43283.095567129632</v>
      </c>
      <c r="BF5074" s="4">
        <v>43283.095567129632</v>
      </c>
      <c r="BG5074" t="s">
        <v>83</v>
      </c>
      <c r="BH5074" t="s">
        <v>84</v>
      </c>
      <c r="BI5074" t="s">
        <v>85</v>
      </c>
    </row>
    <row r="5075" spans="1:61" x14ac:dyDescent="0.3">
      <c r="A5075" t="str">
        <f>"200452C0100"</f>
        <v>200452C0100</v>
      </c>
      <c r="B5075" t="s">
        <v>10261</v>
      </c>
      <c r="C5075">
        <v>20</v>
      </c>
      <c r="D5075" t="s">
        <v>79</v>
      </c>
      <c r="E5075">
        <v>24</v>
      </c>
      <c r="F5075" t="s">
        <v>10123</v>
      </c>
      <c r="G5075">
        <v>452</v>
      </c>
      <c r="H5075">
        <v>1</v>
      </c>
      <c r="I5075" t="s">
        <v>89</v>
      </c>
      <c r="J5075">
        <v>0</v>
      </c>
      <c r="K5075">
        <v>2</v>
      </c>
      <c r="L5075">
        <v>2</v>
      </c>
      <c r="M5075">
        <v>177</v>
      </c>
      <c r="N5075">
        <v>262</v>
      </c>
      <c r="O5075">
        <v>2</v>
      </c>
      <c r="P5075">
        <v>262</v>
      </c>
      <c r="Q5075">
        <v>34</v>
      </c>
      <c r="R5075">
        <v>48</v>
      </c>
      <c r="S5075">
        <v>1</v>
      </c>
      <c r="T5075">
        <v>5</v>
      </c>
      <c r="U5075">
        <v>3</v>
      </c>
      <c r="V5075">
        <v>4</v>
      </c>
      <c r="W5075">
        <v>30</v>
      </c>
      <c r="X5075">
        <v>70</v>
      </c>
      <c r="Y5075">
        <v>40</v>
      </c>
      <c r="Z5075">
        <v>3</v>
      </c>
      <c r="AB5075">
        <v>3</v>
      </c>
      <c r="AC5075">
        <v>0</v>
      </c>
      <c r="AD5075">
        <v>0</v>
      </c>
      <c r="AE5075">
        <v>0</v>
      </c>
      <c r="AF5075">
        <v>0</v>
      </c>
      <c r="AK5075">
        <v>1</v>
      </c>
      <c r="AL5075">
        <v>0</v>
      </c>
      <c r="AM5075">
        <v>0</v>
      </c>
      <c r="AN5075">
        <v>1</v>
      </c>
      <c r="AQ5075">
        <v>2</v>
      </c>
      <c r="AT5075">
        <v>0</v>
      </c>
      <c r="AU5075">
        <v>17</v>
      </c>
      <c r="AV5075">
        <v>262</v>
      </c>
      <c r="AW5075">
        <v>262</v>
      </c>
      <c r="AX5075">
        <v>417</v>
      </c>
      <c r="BA5075">
        <v>1</v>
      </c>
      <c r="BC5075" t="s">
        <v>10262</v>
      </c>
      <c r="BD5075" s="4">
        <v>43283.090277777781</v>
      </c>
      <c r="BE5075" s="4">
        <v>43283.093310185184</v>
      </c>
      <c r="BF5075" s="4">
        <v>43283.093310185184</v>
      </c>
      <c r="BG5075" t="s">
        <v>83</v>
      </c>
      <c r="BH5075" t="s">
        <v>84</v>
      </c>
      <c r="BI5075" t="s">
        <v>85</v>
      </c>
    </row>
    <row r="5076" spans="1:61" x14ac:dyDescent="0.3">
      <c r="A5076" t="str">
        <f>"200453B0100"</f>
        <v>200453B0100</v>
      </c>
      <c r="B5076" t="s">
        <v>10263</v>
      </c>
      <c r="C5076">
        <v>20</v>
      </c>
      <c r="D5076" t="s">
        <v>79</v>
      </c>
      <c r="E5076">
        <v>24</v>
      </c>
      <c r="F5076" t="s">
        <v>10123</v>
      </c>
      <c r="G5076">
        <v>453</v>
      </c>
      <c r="H5076">
        <v>1</v>
      </c>
      <c r="I5076" t="s">
        <v>81</v>
      </c>
      <c r="J5076">
        <v>0</v>
      </c>
      <c r="K5076">
        <v>2</v>
      </c>
      <c r="L5076">
        <v>2</v>
      </c>
      <c r="M5076">
        <v>48</v>
      </c>
      <c r="N5076">
        <v>176</v>
      </c>
      <c r="O5076">
        <v>7</v>
      </c>
      <c r="P5076">
        <v>176</v>
      </c>
      <c r="Q5076">
        <v>23</v>
      </c>
      <c r="R5076">
        <v>72</v>
      </c>
      <c r="S5076">
        <v>2</v>
      </c>
      <c r="T5076">
        <v>3</v>
      </c>
      <c r="U5076">
        <v>3</v>
      </c>
      <c r="V5076">
        <v>3</v>
      </c>
      <c r="W5076">
        <v>24</v>
      </c>
      <c r="X5076">
        <v>10</v>
      </c>
      <c r="Y5076">
        <v>17</v>
      </c>
      <c r="Z5076">
        <v>7</v>
      </c>
      <c r="AB5076">
        <v>2</v>
      </c>
      <c r="AC5076">
        <v>0</v>
      </c>
      <c r="AD5076">
        <v>0</v>
      </c>
      <c r="AE5076">
        <v>0</v>
      </c>
      <c r="AF5076">
        <v>0</v>
      </c>
      <c r="AK5076">
        <v>0</v>
      </c>
      <c r="AL5076">
        <v>0</v>
      </c>
      <c r="AM5076">
        <v>0</v>
      </c>
      <c r="AN5076">
        <v>0</v>
      </c>
      <c r="AQ5076">
        <v>0</v>
      </c>
      <c r="AT5076">
        <v>0</v>
      </c>
      <c r="AU5076">
        <v>10</v>
      </c>
      <c r="AV5076">
        <v>176</v>
      </c>
      <c r="AW5076">
        <v>176</v>
      </c>
      <c r="AX5076">
        <v>202</v>
      </c>
      <c r="BA5076">
        <v>1</v>
      </c>
      <c r="BC5076" t="s">
        <v>10264</v>
      </c>
      <c r="BD5076" s="4">
        <v>43283.147222222222</v>
      </c>
      <c r="BE5076" s="4">
        <v>43283.15761574074</v>
      </c>
      <c r="BF5076" s="4">
        <v>43283.15761574074</v>
      </c>
      <c r="BG5076" t="s">
        <v>83</v>
      </c>
      <c r="BH5076" t="s">
        <v>84</v>
      </c>
      <c r="BI5076" t="s">
        <v>85</v>
      </c>
    </row>
    <row r="5077" spans="1:61" x14ac:dyDescent="0.3">
      <c r="A5077" t="str">
        <f>"200456B0100"</f>
        <v>200456B0100</v>
      </c>
      <c r="B5077" t="s">
        <v>10265</v>
      </c>
      <c r="C5077">
        <v>20</v>
      </c>
      <c r="D5077" t="s">
        <v>79</v>
      </c>
      <c r="E5077">
        <v>24</v>
      </c>
      <c r="F5077" t="s">
        <v>10123</v>
      </c>
      <c r="G5077">
        <v>456</v>
      </c>
      <c r="H5077">
        <v>1</v>
      </c>
      <c r="I5077" t="s">
        <v>81</v>
      </c>
      <c r="J5077">
        <v>0</v>
      </c>
      <c r="K5077">
        <v>2</v>
      </c>
      <c r="L5077">
        <v>2</v>
      </c>
      <c r="M5077">
        <v>306</v>
      </c>
      <c r="N5077">
        <v>325</v>
      </c>
      <c r="O5077">
        <v>3</v>
      </c>
      <c r="P5077">
        <v>0</v>
      </c>
      <c r="Q5077">
        <v>23</v>
      </c>
      <c r="R5077">
        <v>53</v>
      </c>
      <c r="S5077">
        <v>8</v>
      </c>
      <c r="T5077">
        <v>7</v>
      </c>
      <c r="U5077">
        <v>30</v>
      </c>
      <c r="V5077">
        <v>2</v>
      </c>
      <c r="W5077">
        <v>23</v>
      </c>
      <c r="X5077">
        <v>6</v>
      </c>
      <c r="Y5077">
        <v>131</v>
      </c>
      <c r="Z5077">
        <v>5</v>
      </c>
      <c r="AB5077">
        <v>1</v>
      </c>
      <c r="AC5077">
        <v>0</v>
      </c>
      <c r="AD5077">
        <v>0</v>
      </c>
      <c r="AE5077">
        <v>0</v>
      </c>
      <c r="AF5077">
        <v>0</v>
      </c>
      <c r="AK5077">
        <v>4</v>
      </c>
      <c r="AL5077">
        <v>1</v>
      </c>
      <c r="AM5077">
        <v>0</v>
      </c>
      <c r="AN5077">
        <v>5</v>
      </c>
      <c r="AQ5077">
        <v>2</v>
      </c>
      <c r="AT5077">
        <v>0</v>
      </c>
      <c r="AU5077">
        <v>24</v>
      </c>
      <c r="AV5077">
        <v>325</v>
      </c>
      <c r="AW5077">
        <v>325</v>
      </c>
      <c r="AX5077">
        <v>609</v>
      </c>
      <c r="BA5077">
        <v>1</v>
      </c>
      <c r="BC5077" t="s">
        <v>10266</v>
      </c>
      <c r="BD5077" s="4">
        <v>43283.348611111112</v>
      </c>
      <c r="BE5077" s="4">
        <v>43283.361793981479</v>
      </c>
      <c r="BF5077" s="4">
        <v>43283.361793981479</v>
      </c>
      <c r="BG5077" t="s">
        <v>83</v>
      </c>
      <c r="BH5077" t="s">
        <v>84</v>
      </c>
      <c r="BI5077" t="s">
        <v>85</v>
      </c>
    </row>
    <row r="5078" spans="1:61" x14ac:dyDescent="0.3">
      <c r="A5078" t="str">
        <f>"200456C0100"</f>
        <v>200456C0100</v>
      </c>
      <c r="B5078" t="s">
        <v>10267</v>
      </c>
      <c r="C5078">
        <v>20</v>
      </c>
      <c r="D5078" t="s">
        <v>79</v>
      </c>
      <c r="E5078">
        <v>24</v>
      </c>
      <c r="F5078" t="s">
        <v>10123</v>
      </c>
      <c r="G5078">
        <v>456</v>
      </c>
      <c r="H5078">
        <v>1</v>
      </c>
      <c r="I5078" t="s">
        <v>89</v>
      </c>
      <c r="J5078">
        <v>0</v>
      </c>
      <c r="K5078">
        <v>2</v>
      </c>
      <c r="L5078">
        <v>2</v>
      </c>
      <c r="M5078">
        <v>317</v>
      </c>
      <c r="N5078">
        <v>313</v>
      </c>
      <c r="O5078">
        <v>1</v>
      </c>
      <c r="P5078">
        <v>313</v>
      </c>
      <c r="Q5078">
        <v>21</v>
      </c>
      <c r="R5078">
        <v>52</v>
      </c>
      <c r="S5078">
        <v>7</v>
      </c>
      <c r="T5078">
        <v>8</v>
      </c>
      <c r="U5078">
        <v>20</v>
      </c>
      <c r="V5078">
        <v>3</v>
      </c>
      <c r="W5078">
        <v>19</v>
      </c>
      <c r="X5078">
        <v>5</v>
      </c>
      <c r="Y5078">
        <v>140</v>
      </c>
      <c r="Z5078">
        <v>11</v>
      </c>
      <c r="AB5078">
        <v>0</v>
      </c>
      <c r="AC5078">
        <v>0</v>
      </c>
      <c r="AD5078">
        <v>0</v>
      </c>
      <c r="AE5078">
        <v>0</v>
      </c>
      <c r="AF5078">
        <v>0</v>
      </c>
      <c r="AK5078">
        <v>5</v>
      </c>
      <c r="AL5078">
        <v>3</v>
      </c>
      <c r="AM5078">
        <v>2</v>
      </c>
      <c r="AN5078">
        <v>0</v>
      </c>
      <c r="AQ5078">
        <v>0</v>
      </c>
      <c r="AT5078" t="s">
        <v>100</v>
      </c>
      <c r="AU5078">
        <v>17</v>
      </c>
      <c r="AV5078">
        <v>313</v>
      </c>
      <c r="AW5078">
        <v>313</v>
      </c>
      <c r="AX5078">
        <v>608</v>
      </c>
      <c r="AZ5078" t="s">
        <v>101</v>
      </c>
      <c r="BA5078">
        <v>1</v>
      </c>
      <c r="BC5078" t="s">
        <v>10268</v>
      </c>
      <c r="BD5078" s="4">
        <v>43283.351388888892</v>
      </c>
      <c r="BE5078" s="4">
        <v>43283.363553240742</v>
      </c>
      <c r="BF5078" s="4">
        <v>43283.363553240742</v>
      </c>
      <c r="BG5078" t="s">
        <v>83</v>
      </c>
      <c r="BH5078" t="s">
        <v>84</v>
      </c>
      <c r="BI5078" t="s">
        <v>85</v>
      </c>
    </row>
    <row r="5079" spans="1:61" x14ac:dyDescent="0.3">
      <c r="A5079" t="str">
        <f>"200457B0100"</f>
        <v>200457B0100</v>
      </c>
      <c r="B5079" t="s">
        <v>10269</v>
      </c>
      <c r="C5079">
        <v>20</v>
      </c>
      <c r="D5079" t="s">
        <v>79</v>
      </c>
      <c r="E5079">
        <v>24</v>
      </c>
      <c r="F5079" t="s">
        <v>10123</v>
      </c>
      <c r="G5079">
        <v>457</v>
      </c>
      <c r="H5079">
        <v>1</v>
      </c>
      <c r="I5079" t="s">
        <v>81</v>
      </c>
      <c r="J5079">
        <v>0</v>
      </c>
      <c r="K5079">
        <v>2</v>
      </c>
      <c r="L5079">
        <v>2</v>
      </c>
      <c r="M5079">
        <v>277</v>
      </c>
      <c r="N5079">
        <v>233</v>
      </c>
      <c r="O5079">
        <v>0</v>
      </c>
      <c r="P5079">
        <v>233</v>
      </c>
      <c r="Q5079">
        <v>39</v>
      </c>
      <c r="R5079">
        <v>90</v>
      </c>
      <c r="S5079">
        <v>2</v>
      </c>
      <c r="T5079">
        <v>6</v>
      </c>
      <c r="U5079">
        <v>6</v>
      </c>
      <c r="V5079">
        <v>2</v>
      </c>
      <c r="W5079">
        <v>34</v>
      </c>
      <c r="X5079">
        <v>8</v>
      </c>
      <c r="Y5079">
        <v>38</v>
      </c>
      <c r="Z5079">
        <v>0</v>
      </c>
      <c r="AB5079">
        <v>0</v>
      </c>
      <c r="AC5079">
        <v>0</v>
      </c>
      <c r="AD5079">
        <v>0</v>
      </c>
      <c r="AE5079">
        <v>0</v>
      </c>
      <c r="AF5079">
        <v>0</v>
      </c>
      <c r="AK5079">
        <v>0</v>
      </c>
      <c r="AL5079">
        <v>0</v>
      </c>
      <c r="AM5079">
        <v>0</v>
      </c>
      <c r="AN5079">
        <v>0</v>
      </c>
      <c r="AQ5079">
        <v>0</v>
      </c>
      <c r="AT5079">
        <v>0</v>
      </c>
      <c r="AU5079">
        <v>8</v>
      </c>
      <c r="AV5079" t="s">
        <v>100</v>
      </c>
      <c r="AW5079">
        <v>233</v>
      </c>
      <c r="AX5079">
        <v>488</v>
      </c>
      <c r="BA5079">
        <v>1</v>
      </c>
      <c r="BC5079" t="s">
        <v>10270</v>
      </c>
      <c r="BD5079" s="4">
        <v>43283.159722222219</v>
      </c>
      <c r="BE5079" s="4">
        <v>43283.181967592594</v>
      </c>
      <c r="BF5079" s="4">
        <v>43283.181967592594</v>
      </c>
      <c r="BG5079" t="s">
        <v>83</v>
      </c>
      <c r="BH5079" t="s">
        <v>84</v>
      </c>
      <c r="BI5079" t="s">
        <v>85</v>
      </c>
    </row>
    <row r="5080" spans="1:61" x14ac:dyDescent="0.3">
      <c r="A5080" t="str">
        <f>"200457C0100"</f>
        <v>200457C0100</v>
      </c>
      <c r="B5080" t="s">
        <v>10271</v>
      </c>
      <c r="C5080">
        <v>20</v>
      </c>
      <c r="D5080" t="s">
        <v>79</v>
      </c>
      <c r="E5080">
        <v>24</v>
      </c>
      <c r="F5080" t="s">
        <v>10123</v>
      </c>
      <c r="G5080">
        <v>457</v>
      </c>
      <c r="H5080">
        <v>1</v>
      </c>
      <c r="I5080" t="s">
        <v>89</v>
      </c>
      <c r="J5080">
        <v>0</v>
      </c>
      <c r="K5080">
        <v>2</v>
      </c>
      <c r="L5080">
        <v>2</v>
      </c>
      <c r="M5080">
        <v>282</v>
      </c>
      <c r="N5080">
        <v>247</v>
      </c>
      <c r="O5080">
        <v>0</v>
      </c>
      <c r="P5080">
        <v>247</v>
      </c>
      <c r="Q5080">
        <v>29</v>
      </c>
      <c r="R5080">
        <v>104</v>
      </c>
      <c r="S5080">
        <v>4</v>
      </c>
      <c r="T5080">
        <v>13</v>
      </c>
      <c r="U5080">
        <v>14</v>
      </c>
      <c r="V5080">
        <v>5</v>
      </c>
      <c r="W5080">
        <v>22</v>
      </c>
      <c r="X5080">
        <v>9</v>
      </c>
      <c r="Y5080">
        <v>26</v>
      </c>
      <c r="Z5080">
        <v>0</v>
      </c>
      <c r="AB5080">
        <v>0</v>
      </c>
      <c r="AC5080">
        <v>0</v>
      </c>
      <c r="AD5080">
        <v>0</v>
      </c>
      <c r="AE5080">
        <v>0</v>
      </c>
      <c r="AF5080">
        <v>0</v>
      </c>
      <c r="AK5080">
        <v>0</v>
      </c>
      <c r="AL5080">
        <v>0</v>
      </c>
      <c r="AM5080">
        <v>0</v>
      </c>
      <c r="AN5080">
        <v>0</v>
      </c>
      <c r="AQ5080">
        <v>0</v>
      </c>
      <c r="AT5080">
        <v>0</v>
      </c>
      <c r="AU5080">
        <v>21</v>
      </c>
      <c r="AV5080">
        <v>247</v>
      </c>
      <c r="AW5080">
        <v>247</v>
      </c>
      <c r="AX5080">
        <v>488</v>
      </c>
      <c r="BA5080">
        <v>1</v>
      </c>
      <c r="BC5080" t="s">
        <v>10272</v>
      </c>
      <c r="BD5080" s="4">
        <v>43283.15902777778</v>
      </c>
      <c r="BE5080" s="4">
        <v>43283.16883101852</v>
      </c>
      <c r="BF5080" s="4">
        <v>43283.16883101852</v>
      </c>
      <c r="BG5080" t="s">
        <v>83</v>
      </c>
      <c r="BH5080" t="s">
        <v>84</v>
      </c>
      <c r="BI5080" t="s">
        <v>85</v>
      </c>
    </row>
    <row r="5081" spans="1:61" x14ac:dyDescent="0.3">
      <c r="A5081" t="str">
        <f>"200721B0100"</f>
        <v>200721B0100</v>
      </c>
      <c r="B5081" t="s">
        <v>10273</v>
      </c>
      <c r="C5081">
        <v>20</v>
      </c>
      <c r="D5081" t="s">
        <v>79</v>
      </c>
      <c r="E5081">
        <v>24</v>
      </c>
      <c r="F5081" t="s">
        <v>10123</v>
      </c>
      <c r="G5081">
        <v>721</v>
      </c>
      <c r="H5081">
        <v>1</v>
      </c>
      <c r="I5081" t="s">
        <v>81</v>
      </c>
      <c r="J5081">
        <v>0</v>
      </c>
      <c r="K5081">
        <v>2</v>
      </c>
      <c r="L5081">
        <v>2</v>
      </c>
      <c r="M5081">
        <v>326</v>
      </c>
      <c r="N5081">
        <v>409</v>
      </c>
      <c r="O5081">
        <v>3</v>
      </c>
      <c r="P5081">
        <v>409</v>
      </c>
      <c r="Q5081">
        <v>41</v>
      </c>
      <c r="R5081">
        <v>105</v>
      </c>
      <c r="S5081">
        <v>8</v>
      </c>
      <c r="T5081">
        <v>5</v>
      </c>
      <c r="U5081">
        <v>18</v>
      </c>
      <c r="V5081">
        <v>6</v>
      </c>
      <c r="W5081">
        <v>62</v>
      </c>
      <c r="X5081">
        <v>3</v>
      </c>
      <c r="Y5081">
        <v>118</v>
      </c>
      <c r="Z5081">
        <v>10</v>
      </c>
      <c r="AB5081">
        <v>3</v>
      </c>
      <c r="AC5081">
        <v>1</v>
      </c>
      <c r="AD5081">
        <v>0</v>
      </c>
      <c r="AE5081">
        <v>1</v>
      </c>
      <c r="AF5081">
        <v>1</v>
      </c>
      <c r="AK5081">
        <v>2</v>
      </c>
      <c r="AL5081">
        <v>0</v>
      </c>
      <c r="AM5081">
        <v>0</v>
      </c>
      <c r="AN5081">
        <v>0</v>
      </c>
      <c r="AQ5081">
        <v>0</v>
      </c>
      <c r="AT5081" t="s">
        <v>100</v>
      </c>
      <c r="AU5081">
        <v>25</v>
      </c>
      <c r="AV5081">
        <v>409</v>
      </c>
      <c r="AW5081">
        <v>409</v>
      </c>
      <c r="AX5081">
        <v>713</v>
      </c>
      <c r="AZ5081" t="s">
        <v>101</v>
      </c>
      <c r="BA5081">
        <v>1</v>
      </c>
      <c r="BC5081" t="s">
        <v>10274</v>
      </c>
      <c r="BD5081" s="4">
        <v>43283.477777777778</v>
      </c>
      <c r="BE5081" s="4">
        <v>43283.483773148146</v>
      </c>
      <c r="BF5081" s="4">
        <v>43283.483773148146</v>
      </c>
      <c r="BG5081" t="s">
        <v>83</v>
      </c>
      <c r="BH5081" t="s">
        <v>84</v>
      </c>
      <c r="BI5081" t="s">
        <v>85</v>
      </c>
    </row>
    <row r="5082" spans="1:61" x14ac:dyDescent="0.3">
      <c r="A5082" t="str">
        <f>"200721C0100"</f>
        <v>200721C0100</v>
      </c>
      <c r="B5082" t="s">
        <v>10275</v>
      </c>
      <c r="C5082">
        <v>20</v>
      </c>
      <c r="D5082" t="s">
        <v>79</v>
      </c>
      <c r="E5082">
        <v>24</v>
      </c>
      <c r="F5082" t="s">
        <v>10123</v>
      </c>
      <c r="G5082">
        <v>721</v>
      </c>
      <c r="H5082">
        <v>1</v>
      </c>
      <c r="I5082" t="s">
        <v>89</v>
      </c>
      <c r="J5082">
        <v>0</v>
      </c>
      <c r="K5082">
        <v>2</v>
      </c>
      <c r="L5082">
        <v>2</v>
      </c>
      <c r="M5082" t="s">
        <v>315</v>
      </c>
      <c r="N5082">
        <v>306</v>
      </c>
      <c r="O5082">
        <v>2</v>
      </c>
      <c r="P5082" t="s">
        <v>315</v>
      </c>
      <c r="Q5082">
        <v>44</v>
      </c>
      <c r="R5082">
        <v>119</v>
      </c>
      <c r="S5082">
        <v>6</v>
      </c>
      <c r="T5082">
        <v>5</v>
      </c>
      <c r="U5082">
        <v>14</v>
      </c>
      <c r="V5082">
        <v>4</v>
      </c>
      <c r="W5082">
        <v>74</v>
      </c>
      <c r="X5082">
        <v>5</v>
      </c>
      <c r="Y5082">
        <v>112</v>
      </c>
      <c r="Z5082">
        <v>14</v>
      </c>
      <c r="AB5082">
        <v>1</v>
      </c>
      <c r="AC5082">
        <v>0</v>
      </c>
      <c r="AD5082">
        <v>1</v>
      </c>
      <c r="AE5082">
        <v>0</v>
      </c>
      <c r="AF5082">
        <v>0</v>
      </c>
      <c r="AK5082">
        <v>4</v>
      </c>
      <c r="AL5082">
        <v>0</v>
      </c>
      <c r="AM5082">
        <v>0</v>
      </c>
      <c r="AN5082">
        <v>0</v>
      </c>
      <c r="AQ5082">
        <v>0</v>
      </c>
      <c r="AT5082">
        <v>2</v>
      </c>
      <c r="AU5082">
        <v>26</v>
      </c>
      <c r="AV5082">
        <v>431</v>
      </c>
      <c r="AW5082">
        <v>431</v>
      </c>
      <c r="AX5082">
        <v>713</v>
      </c>
      <c r="BA5082">
        <v>1</v>
      </c>
      <c r="BC5082" t="s">
        <v>10276</v>
      </c>
      <c r="BD5082" s="4">
        <v>43283.48333333333</v>
      </c>
      <c r="BE5082" s="4">
        <v>43283.507893518516</v>
      </c>
      <c r="BF5082" s="4">
        <v>43283.507893518516</v>
      </c>
      <c r="BG5082" t="s">
        <v>83</v>
      </c>
      <c r="BH5082" t="s">
        <v>84</v>
      </c>
      <c r="BI5082" t="s">
        <v>85</v>
      </c>
    </row>
    <row r="5083" spans="1:61" x14ac:dyDescent="0.3">
      <c r="A5083" t="str">
        <f>"200722B0100"</f>
        <v>200722B0100</v>
      </c>
      <c r="B5083" t="s">
        <v>10277</v>
      </c>
      <c r="C5083">
        <v>20</v>
      </c>
      <c r="D5083" t="s">
        <v>79</v>
      </c>
      <c r="E5083">
        <v>24</v>
      </c>
      <c r="F5083" t="s">
        <v>10123</v>
      </c>
      <c r="G5083">
        <v>722</v>
      </c>
      <c r="H5083">
        <v>1</v>
      </c>
      <c r="I5083" t="s">
        <v>81</v>
      </c>
      <c r="J5083">
        <v>0</v>
      </c>
      <c r="K5083">
        <v>2</v>
      </c>
      <c r="L5083">
        <v>2</v>
      </c>
      <c r="M5083">
        <v>265</v>
      </c>
      <c r="N5083">
        <v>318</v>
      </c>
      <c r="O5083">
        <v>11</v>
      </c>
      <c r="P5083">
        <v>318</v>
      </c>
      <c r="Q5083">
        <v>45</v>
      </c>
      <c r="R5083">
        <v>83</v>
      </c>
      <c r="S5083">
        <v>10</v>
      </c>
      <c r="T5083">
        <v>4</v>
      </c>
      <c r="U5083">
        <v>8</v>
      </c>
      <c r="V5083">
        <v>8</v>
      </c>
      <c r="W5083">
        <v>55</v>
      </c>
      <c r="X5083">
        <v>7</v>
      </c>
      <c r="Y5083">
        <v>75</v>
      </c>
      <c r="Z5083">
        <v>8</v>
      </c>
      <c r="AB5083">
        <v>1</v>
      </c>
      <c r="AC5083">
        <v>0</v>
      </c>
      <c r="AD5083">
        <v>1</v>
      </c>
      <c r="AE5083">
        <v>0</v>
      </c>
      <c r="AF5083">
        <v>0</v>
      </c>
      <c r="AK5083">
        <v>0</v>
      </c>
      <c r="AL5083">
        <v>1</v>
      </c>
      <c r="AM5083">
        <v>0</v>
      </c>
      <c r="AN5083">
        <v>1</v>
      </c>
      <c r="AQ5083">
        <v>1</v>
      </c>
      <c r="AT5083">
        <v>0</v>
      </c>
      <c r="AU5083">
        <v>10</v>
      </c>
      <c r="AV5083">
        <v>318</v>
      </c>
      <c r="AW5083">
        <v>318</v>
      </c>
      <c r="AX5083">
        <v>561</v>
      </c>
      <c r="BA5083">
        <v>1</v>
      </c>
      <c r="BC5083" t="s">
        <v>10278</v>
      </c>
      <c r="BD5083" s="4">
        <v>43283.46597222222</v>
      </c>
      <c r="BE5083" s="4">
        <v>43283.472951388889</v>
      </c>
      <c r="BF5083" s="4">
        <v>43283.472951388889</v>
      </c>
      <c r="BG5083" t="s">
        <v>83</v>
      </c>
      <c r="BH5083" t="s">
        <v>84</v>
      </c>
      <c r="BI5083" t="s">
        <v>85</v>
      </c>
    </row>
    <row r="5084" spans="1:61" x14ac:dyDescent="0.3">
      <c r="A5084" t="str">
        <f>"200722C0100"</f>
        <v>200722C0100</v>
      </c>
      <c r="B5084" t="s">
        <v>10279</v>
      </c>
      <c r="C5084">
        <v>20</v>
      </c>
      <c r="D5084" t="s">
        <v>79</v>
      </c>
      <c r="E5084">
        <v>24</v>
      </c>
      <c r="F5084" t="s">
        <v>10123</v>
      </c>
      <c r="G5084">
        <v>722</v>
      </c>
      <c r="H5084">
        <v>1</v>
      </c>
      <c r="I5084" t="s">
        <v>89</v>
      </c>
      <c r="J5084">
        <v>0</v>
      </c>
      <c r="K5084">
        <v>2</v>
      </c>
      <c r="L5084">
        <v>2</v>
      </c>
      <c r="M5084">
        <v>270</v>
      </c>
      <c r="N5084">
        <v>312</v>
      </c>
      <c r="O5084">
        <v>7</v>
      </c>
      <c r="P5084">
        <v>312</v>
      </c>
      <c r="Q5084">
        <v>42</v>
      </c>
      <c r="R5084">
        <v>79</v>
      </c>
      <c r="S5084">
        <v>7</v>
      </c>
      <c r="T5084">
        <v>8</v>
      </c>
      <c r="U5084">
        <v>9</v>
      </c>
      <c r="V5084">
        <v>5</v>
      </c>
      <c r="W5084">
        <v>49</v>
      </c>
      <c r="X5084">
        <v>6</v>
      </c>
      <c r="Y5084">
        <v>77</v>
      </c>
      <c r="Z5084">
        <v>6</v>
      </c>
      <c r="AB5084">
        <v>3</v>
      </c>
      <c r="AC5084">
        <v>0</v>
      </c>
      <c r="AD5084">
        <v>0</v>
      </c>
      <c r="AE5084">
        <v>0</v>
      </c>
      <c r="AF5084">
        <v>0</v>
      </c>
      <c r="AK5084">
        <v>4</v>
      </c>
      <c r="AL5084">
        <v>1</v>
      </c>
      <c r="AM5084">
        <v>0</v>
      </c>
      <c r="AN5084">
        <v>1</v>
      </c>
      <c r="AQ5084">
        <v>0</v>
      </c>
      <c r="AT5084">
        <v>0</v>
      </c>
      <c r="AU5084">
        <v>15</v>
      </c>
      <c r="AV5084">
        <v>312</v>
      </c>
      <c r="AW5084">
        <v>312</v>
      </c>
      <c r="AX5084">
        <v>560</v>
      </c>
      <c r="BA5084">
        <v>1</v>
      </c>
      <c r="BC5084" t="s">
        <v>10280</v>
      </c>
      <c r="BD5084" s="4">
        <v>43283.466666666667</v>
      </c>
      <c r="BE5084" s="4">
        <v>43283.476724537039</v>
      </c>
      <c r="BF5084" s="4">
        <v>43283.476724537039</v>
      </c>
      <c r="BG5084" t="s">
        <v>83</v>
      </c>
      <c r="BH5084" t="s">
        <v>84</v>
      </c>
      <c r="BI5084" t="s">
        <v>85</v>
      </c>
    </row>
    <row r="5085" spans="1:61" x14ac:dyDescent="0.3">
      <c r="A5085" t="str">
        <f>"200722C0200"</f>
        <v>200722C0200</v>
      </c>
      <c r="B5085" t="s">
        <v>10281</v>
      </c>
      <c r="C5085">
        <v>20</v>
      </c>
      <c r="D5085" t="s">
        <v>79</v>
      </c>
      <c r="E5085">
        <v>24</v>
      </c>
      <c r="F5085" t="s">
        <v>10123</v>
      </c>
      <c r="G5085">
        <v>722</v>
      </c>
      <c r="H5085">
        <v>2</v>
      </c>
      <c r="I5085" t="s">
        <v>89</v>
      </c>
      <c r="J5085">
        <v>0</v>
      </c>
      <c r="K5085">
        <v>2</v>
      </c>
      <c r="L5085">
        <v>2</v>
      </c>
      <c r="M5085">
        <v>240</v>
      </c>
      <c r="N5085">
        <v>341</v>
      </c>
      <c r="O5085">
        <v>7</v>
      </c>
      <c r="P5085">
        <v>341</v>
      </c>
      <c r="Q5085">
        <v>38</v>
      </c>
      <c r="R5085">
        <v>80</v>
      </c>
      <c r="S5085">
        <v>4</v>
      </c>
      <c r="T5085">
        <v>6</v>
      </c>
      <c r="U5085">
        <v>12</v>
      </c>
      <c r="V5085">
        <v>6</v>
      </c>
      <c r="W5085">
        <v>83</v>
      </c>
      <c r="X5085">
        <v>3</v>
      </c>
      <c r="Y5085">
        <v>78</v>
      </c>
      <c r="Z5085">
        <v>9</v>
      </c>
      <c r="AB5085">
        <v>3</v>
      </c>
      <c r="AC5085" t="s">
        <v>100</v>
      </c>
      <c r="AD5085">
        <v>1</v>
      </c>
      <c r="AE5085" t="s">
        <v>100</v>
      </c>
      <c r="AF5085" t="s">
        <v>100</v>
      </c>
      <c r="AK5085" t="s">
        <v>100</v>
      </c>
      <c r="AL5085" t="s">
        <v>100</v>
      </c>
      <c r="AM5085" t="s">
        <v>100</v>
      </c>
      <c r="AN5085">
        <v>1</v>
      </c>
      <c r="AQ5085">
        <v>2</v>
      </c>
      <c r="AT5085" t="s">
        <v>100</v>
      </c>
      <c r="AU5085">
        <v>15</v>
      </c>
      <c r="AV5085">
        <v>341</v>
      </c>
      <c r="AW5085">
        <v>341</v>
      </c>
      <c r="AX5085">
        <v>560</v>
      </c>
      <c r="AZ5085" t="s">
        <v>101</v>
      </c>
      <c r="BA5085">
        <v>1</v>
      </c>
      <c r="BC5085" t="s">
        <v>10282</v>
      </c>
      <c r="BD5085" s="4">
        <v>43283.469444444447</v>
      </c>
      <c r="BE5085" s="4">
        <v>43283.474861111114</v>
      </c>
      <c r="BF5085" s="4">
        <v>43283.474861111114</v>
      </c>
      <c r="BG5085" t="s">
        <v>83</v>
      </c>
      <c r="BH5085" t="s">
        <v>84</v>
      </c>
      <c r="BI5085" t="s">
        <v>85</v>
      </c>
    </row>
    <row r="5086" spans="1:61" x14ac:dyDescent="0.3">
      <c r="A5086" t="str">
        <f>"200723B0100"</f>
        <v>200723B0100</v>
      </c>
      <c r="B5086" t="s">
        <v>10283</v>
      </c>
      <c r="C5086">
        <v>20</v>
      </c>
      <c r="D5086" t="s">
        <v>79</v>
      </c>
      <c r="E5086">
        <v>24</v>
      </c>
      <c r="F5086" t="s">
        <v>10123</v>
      </c>
      <c r="G5086">
        <v>723</v>
      </c>
      <c r="H5086">
        <v>1</v>
      </c>
      <c r="I5086" t="s">
        <v>81</v>
      </c>
      <c r="J5086">
        <v>0</v>
      </c>
      <c r="K5086">
        <v>2</v>
      </c>
      <c r="L5086">
        <v>2</v>
      </c>
      <c r="M5086">
        <v>169</v>
      </c>
      <c r="N5086">
        <v>315</v>
      </c>
      <c r="O5086">
        <v>1</v>
      </c>
      <c r="P5086">
        <v>315</v>
      </c>
      <c r="Q5086">
        <v>54</v>
      </c>
      <c r="R5086">
        <v>100</v>
      </c>
      <c r="S5086">
        <v>4</v>
      </c>
      <c r="T5086">
        <v>7</v>
      </c>
      <c r="U5086">
        <v>8</v>
      </c>
      <c r="V5086">
        <v>2</v>
      </c>
      <c r="W5086">
        <v>94</v>
      </c>
      <c r="X5086">
        <v>3</v>
      </c>
      <c r="Y5086">
        <v>24</v>
      </c>
      <c r="Z5086">
        <v>3</v>
      </c>
      <c r="AB5086">
        <v>0</v>
      </c>
      <c r="AC5086">
        <v>2</v>
      </c>
      <c r="AD5086">
        <v>0</v>
      </c>
      <c r="AE5086">
        <v>0</v>
      </c>
      <c r="AF5086">
        <v>0</v>
      </c>
      <c r="AK5086">
        <v>0</v>
      </c>
      <c r="AL5086">
        <v>0</v>
      </c>
      <c r="AM5086">
        <v>0</v>
      </c>
      <c r="AN5086">
        <v>0</v>
      </c>
      <c r="AQ5086">
        <v>0</v>
      </c>
      <c r="AT5086">
        <v>0</v>
      </c>
      <c r="AU5086">
        <v>13</v>
      </c>
      <c r="AV5086">
        <v>315</v>
      </c>
      <c r="AW5086">
        <v>314</v>
      </c>
      <c r="AX5086">
        <v>462</v>
      </c>
      <c r="BA5086">
        <v>1</v>
      </c>
      <c r="BC5086" t="s">
        <v>10284</v>
      </c>
      <c r="BD5086" s="4">
        <v>43283.472916666666</v>
      </c>
      <c r="BE5086" s="4">
        <v>43283.482881944445</v>
      </c>
      <c r="BF5086" s="4">
        <v>43283.482881944445</v>
      </c>
      <c r="BG5086" t="s">
        <v>83</v>
      </c>
      <c r="BH5086" t="s">
        <v>84</v>
      </c>
      <c r="BI5086" t="s">
        <v>85</v>
      </c>
    </row>
    <row r="5087" spans="1:61" x14ac:dyDescent="0.3">
      <c r="A5087" t="str">
        <f>"200723E0100"</f>
        <v>200723E0100</v>
      </c>
      <c r="B5087" s="2" t="s">
        <v>10285</v>
      </c>
      <c r="C5087">
        <v>20</v>
      </c>
      <c r="D5087" t="s">
        <v>79</v>
      </c>
      <c r="E5087">
        <v>24</v>
      </c>
      <c r="F5087" t="s">
        <v>10123</v>
      </c>
      <c r="G5087">
        <v>723</v>
      </c>
      <c r="H5087">
        <v>1</v>
      </c>
      <c r="I5087" t="s">
        <v>145</v>
      </c>
      <c r="J5087">
        <v>0</v>
      </c>
      <c r="K5087">
        <v>2</v>
      </c>
      <c r="L5087">
        <v>2</v>
      </c>
      <c r="M5087">
        <v>250</v>
      </c>
      <c r="N5087">
        <v>458</v>
      </c>
      <c r="O5087" t="s">
        <v>315</v>
      </c>
      <c r="P5087">
        <v>458</v>
      </c>
      <c r="Q5087">
        <v>82</v>
      </c>
      <c r="R5087">
        <v>135</v>
      </c>
      <c r="S5087">
        <v>6</v>
      </c>
      <c r="T5087">
        <v>8</v>
      </c>
      <c r="U5087">
        <v>0</v>
      </c>
      <c r="V5087">
        <v>2</v>
      </c>
      <c r="W5087">
        <v>116</v>
      </c>
      <c r="X5087">
        <v>2</v>
      </c>
      <c r="Y5087">
        <v>56</v>
      </c>
      <c r="Z5087">
        <v>0</v>
      </c>
      <c r="AB5087">
        <v>0</v>
      </c>
      <c r="AC5087">
        <v>0</v>
      </c>
      <c r="AD5087">
        <v>0</v>
      </c>
      <c r="AE5087">
        <v>0</v>
      </c>
      <c r="AF5087">
        <v>0</v>
      </c>
      <c r="AK5087">
        <v>0</v>
      </c>
      <c r="AL5087">
        <v>0</v>
      </c>
      <c r="AM5087">
        <v>0</v>
      </c>
      <c r="AN5087">
        <v>0</v>
      </c>
      <c r="AQ5087">
        <v>1</v>
      </c>
      <c r="AT5087">
        <v>0</v>
      </c>
      <c r="AU5087">
        <v>50</v>
      </c>
      <c r="AV5087">
        <v>458</v>
      </c>
      <c r="AW5087">
        <v>458</v>
      </c>
      <c r="AX5087">
        <v>686</v>
      </c>
      <c r="BA5087">
        <v>1</v>
      </c>
      <c r="BC5087" t="s">
        <v>10286</v>
      </c>
      <c r="BD5087" s="4">
        <v>43283.484027777777</v>
      </c>
      <c r="BE5087" s="4">
        <v>43283.489386574074</v>
      </c>
      <c r="BF5087" s="4">
        <v>43283.489386574074</v>
      </c>
      <c r="BG5087" t="s">
        <v>83</v>
      </c>
      <c r="BH5087" t="s">
        <v>84</v>
      </c>
      <c r="BI5087" t="s">
        <v>85</v>
      </c>
    </row>
    <row r="5088" spans="1:61" x14ac:dyDescent="0.3">
      <c r="A5088" t="str">
        <f>"200723E0200"</f>
        <v>200723E0200</v>
      </c>
      <c r="B5088" s="2" t="s">
        <v>10287</v>
      </c>
      <c r="C5088">
        <v>20</v>
      </c>
      <c r="D5088" t="s">
        <v>79</v>
      </c>
      <c r="E5088">
        <v>24</v>
      </c>
      <c r="F5088" t="s">
        <v>10123</v>
      </c>
      <c r="G5088">
        <v>723</v>
      </c>
      <c r="H5088">
        <v>2</v>
      </c>
      <c r="I5088" t="s">
        <v>145</v>
      </c>
      <c r="J5088">
        <v>0</v>
      </c>
      <c r="K5088">
        <v>2</v>
      </c>
      <c r="L5088">
        <v>2</v>
      </c>
      <c r="M5088">
        <v>151</v>
      </c>
      <c r="N5088">
        <v>234</v>
      </c>
      <c r="O5088">
        <v>5</v>
      </c>
      <c r="P5088">
        <v>234</v>
      </c>
      <c r="Q5088">
        <v>47</v>
      </c>
      <c r="R5088">
        <v>42</v>
      </c>
      <c r="S5088">
        <v>2</v>
      </c>
      <c r="T5088">
        <v>1</v>
      </c>
      <c r="U5088">
        <v>6</v>
      </c>
      <c r="V5088">
        <v>0</v>
      </c>
      <c r="W5088">
        <v>58</v>
      </c>
      <c r="X5088">
        <v>5</v>
      </c>
      <c r="Y5088">
        <v>49</v>
      </c>
      <c r="Z5088">
        <v>6</v>
      </c>
      <c r="AB5088">
        <v>1</v>
      </c>
      <c r="AC5088">
        <v>2</v>
      </c>
      <c r="AD5088">
        <v>0</v>
      </c>
      <c r="AE5088">
        <v>0</v>
      </c>
      <c r="AF5088">
        <v>0</v>
      </c>
      <c r="AK5088">
        <v>0</v>
      </c>
      <c r="AL5088">
        <v>0</v>
      </c>
      <c r="AM5088">
        <v>0</v>
      </c>
      <c r="AN5088">
        <v>0</v>
      </c>
      <c r="AQ5088">
        <v>0</v>
      </c>
      <c r="AT5088">
        <v>0</v>
      </c>
      <c r="AU5088">
        <v>15</v>
      </c>
      <c r="AV5088">
        <v>234</v>
      </c>
      <c r="AW5088">
        <v>234</v>
      </c>
      <c r="AX5088">
        <v>363</v>
      </c>
      <c r="BA5088">
        <v>1</v>
      </c>
      <c r="BC5088" t="s">
        <v>10288</v>
      </c>
      <c r="BD5088" s="4">
        <v>43283.464583333334</v>
      </c>
      <c r="BE5088" s="4">
        <v>43283.47760416667</v>
      </c>
      <c r="BF5088" s="4">
        <v>43283.47760416667</v>
      </c>
      <c r="BG5088" t="s">
        <v>83</v>
      </c>
      <c r="BH5088" t="s">
        <v>84</v>
      </c>
      <c r="BI5088" t="s">
        <v>85</v>
      </c>
    </row>
    <row r="5089" spans="1:61" x14ac:dyDescent="0.3">
      <c r="A5089" t="str">
        <f>"200724B0100"</f>
        <v>200724B0100</v>
      </c>
      <c r="B5089" t="s">
        <v>10289</v>
      </c>
      <c r="C5089">
        <v>20</v>
      </c>
      <c r="D5089" t="s">
        <v>79</v>
      </c>
      <c r="E5089">
        <v>24</v>
      </c>
      <c r="F5089" t="s">
        <v>10123</v>
      </c>
      <c r="G5089">
        <v>724</v>
      </c>
      <c r="H5089">
        <v>1</v>
      </c>
      <c r="I5089" t="s">
        <v>81</v>
      </c>
      <c r="J5089">
        <v>0</v>
      </c>
      <c r="K5089">
        <v>2</v>
      </c>
      <c r="L5089">
        <v>2</v>
      </c>
      <c r="M5089">
        <v>270</v>
      </c>
      <c r="N5089">
        <v>355</v>
      </c>
      <c r="O5089">
        <v>4</v>
      </c>
      <c r="P5089">
        <v>351</v>
      </c>
      <c r="Q5089">
        <v>19</v>
      </c>
      <c r="R5089">
        <v>93</v>
      </c>
      <c r="S5089">
        <v>9</v>
      </c>
      <c r="T5089">
        <v>9</v>
      </c>
      <c r="U5089">
        <v>17</v>
      </c>
      <c r="V5089">
        <v>7</v>
      </c>
      <c r="W5089">
        <v>84</v>
      </c>
      <c r="X5089">
        <v>0</v>
      </c>
      <c r="Y5089">
        <v>82</v>
      </c>
      <c r="Z5089">
        <v>3</v>
      </c>
      <c r="AB5089">
        <v>0</v>
      </c>
      <c r="AC5089">
        <v>0</v>
      </c>
      <c r="AD5089">
        <v>1</v>
      </c>
      <c r="AE5089">
        <v>0</v>
      </c>
      <c r="AF5089">
        <v>0</v>
      </c>
      <c r="AK5089">
        <v>1</v>
      </c>
      <c r="AL5089">
        <v>0</v>
      </c>
      <c r="AM5089">
        <v>0</v>
      </c>
      <c r="AN5089">
        <v>1</v>
      </c>
      <c r="AQ5089">
        <v>0</v>
      </c>
      <c r="AT5089">
        <v>0</v>
      </c>
      <c r="AU5089">
        <v>25</v>
      </c>
      <c r="AV5089">
        <v>351</v>
      </c>
      <c r="AW5089">
        <v>351</v>
      </c>
      <c r="AX5089">
        <v>600</v>
      </c>
      <c r="BA5089">
        <v>1</v>
      </c>
      <c r="BC5089" t="s">
        <v>10290</v>
      </c>
      <c r="BD5089" s="4">
        <v>43283.481944444444</v>
      </c>
      <c r="BE5089" s="4">
        <v>43283.486643518518</v>
      </c>
      <c r="BF5089" s="4">
        <v>43283.486643518518</v>
      </c>
      <c r="BG5089" t="s">
        <v>83</v>
      </c>
      <c r="BH5089" t="s">
        <v>84</v>
      </c>
      <c r="BI5089" t="s">
        <v>85</v>
      </c>
    </row>
    <row r="5090" spans="1:61" x14ac:dyDescent="0.3">
      <c r="A5090" t="str">
        <f>"200724E0100"</f>
        <v>200724E0100</v>
      </c>
      <c r="B5090" s="2" t="s">
        <v>10291</v>
      </c>
      <c r="C5090">
        <v>20</v>
      </c>
      <c r="D5090" t="s">
        <v>79</v>
      </c>
      <c r="E5090">
        <v>24</v>
      </c>
      <c r="F5090" t="s">
        <v>10123</v>
      </c>
      <c r="G5090">
        <v>724</v>
      </c>
      <c r="H5090">
        <v>1</v>
      </c>
      <c r="I5090" t="s">
        <v>145</v>
      </c>
      <c r="J5090">
        <v>0</v>
      </c>
      <c r="K5090">
        <v>2</v>
      </c>
      <c r="L5090">
        <v>2</v>
      </c>
      <c r="M5090">
        <v>117</v>
      </c>
      <c r="N5090">
        <v>209</v>
      </c>
      <c r="O5090">
        <v>3</v>
      </c>
      <c r="P5090">
        <v>209</v>
      </c>
      <c r="Q5090">
        <v>14</v>
      </c>
      <c r="R5090">
        <v>53</v>
      </c>
      <c r="S5090">
        <v>5</v>
      </c>
      <c r="T5090">
        <v>6</v>
      </c>
      <c r="U5090">
        <v>1</v>
      </c>
      <c r="V5090">
        <v>4</v>
      </c>
      <c r="W5090">
        <v>81</v>
      </c>
      <c r="X5090">
        <v>2</v>
      </c>
      <c r="Y5090">
        <v>13</v>
      </c>
      <c r="Z5090">
        <v>2</v>
      </c>
      <c r="AB5090">
        <v>1</v>
      </c>
      <c r="AC5090">
        <v>0</v>
      </c>
      <c r="AD5090">
        <v>0</v>
      </c>
      <c r="AE5090">
        <v>0</v>
      </c>
      <c r="AF5090">
        <v>0</v>
      </c>
      <c r="AK5090">
        <v>0</v>
      </c>
      <c r="AL5090">
        <v>0</v>
      </c>
      <c r="AM5090">
        <v>0</v>
      </c>
      <c r="AN5090">
        <v>0</v>
      </c>
      <c r="AQ5090">
        <v>0</v>
      </c>
      <c r="AT5090">
        <v>0</v>
      </c>
      <c r="AU5090">
        <v>27</v>
      </c>
      <c r="AV5090">
        <v>209</v>
      </c>
      <c r="AW5090">
        <v>209</v>
      </c>
      <c r="AX5090">
        <v>305</v>
      </c>
      <c r="BA5090">
        <v>1</v>
      </c>
      <c r="BC5090" t="s">
        <v>10292</v>
      </c>
      <c r="BD5090" s="4">
        <v>43283.477083333331</v>
      </c>
      <c r="BE5090" s="4">
        <v>43283.482581018521</v>
      </c>
      <c r="BF5090" s="4">
        <v>43283.482581018521</v>
      </c>
      <c r="BG5090" t="s">
        <v>83</v>
      </c>
      <c r="BH5090" t="s">
        <v>84</v>
      </c>
      <c r="BI5090" t="s">
        <v>85</v>
      </c>
    </row>
    <row r="5091" spans="1:61" x14ac:dyDescent="0.3">
      <c r="A5091" t="str">
        <f>"200725B0100"</f>
        <v>200725B0100</v>
      </c>
      <c r="B5091" t="s">
        <v>10293</v>
      </c>
      <c r="C5091">
        <v>20</v>
      </c>
      <c r="D5091" t="s">
        <v>79</v>
      </c>
      <c r="E5091">
        <v>24</v>
      </c>
      <c r="F5091" t="s">
        <v>10123</v>
      </c>
      <c r="G5091">
        <v>725</v>
      </c>
      <c r="H5091">
        <v>1</v>
      </c>
      <c r="I5091" t="s">
        <v>81</v>
      </c>
      <c r="J5091">
        <v>0</v>
      </c>
      <c r="K5091">
        <v>2</v>
      </c>
      <c r="L5091">
        <v>2</v>
      </c>
      <c r="M5091">
        <v>73</v>
      </c>
      <c r="N5091">
        <v>138</v>
      </c>
      <c r="O5091">
        <v>3</v>
      </c>
      <c r="P5091">
        <v>138</v>
      </c>
      <c r="Q5091">
        <v>13</v>
      </c>
      <c r="R5091">
        <v>39</v>
      </c>
      <c r="S5091">
        <v>10</v>
      </c>
      <c r="T5091">
        <v>5</v>
      </c>
      <c r="U5091">
        <v>6</v>
      </c>
      <c r="V5091">
        <v>3</v>
      </c>
      <c r="W5091">
        <v>30</v>
      </c>
      <c r="X5091">
        <v>6</v>
      </c>
      <c r="Y5091">
        <v>19</v>
      </c>
      <c r="Z5091">
        <v>2</v>
      </c>
      <c r="AB5091">
        <v>0</v>
      </c>
      <c r="AC5091">
        <v>0</v>
      </c>
      <c r="AD5091">
        <v>1</v>
      </c>
      <c r="AE5091">
        <v>0</v>
      </c>
      <c r="AF5091">
        <v>0</v>
      </c>
      <c r="AK5091">
        <v>0</v>
      </c>
      <c r="AL5091">
        <v>0</v>
      </c>
      <c r="AM5091">
        <v>0</v>
      </c>
      <c r="AN5091">
        <v>0</v>
      </c>
      <c r="AQ5091">
        <v>0</v>
      </c>
      <c r="AT5091">
        <v>0</v>
      </c>
      <c r="AU5091">
        <v>4</v>
      </c>
      <c r="AV5091">
        <v>138</v>
      </c>
      <c r="AW5091">
        <v>138</v>
      </c>
      <c r="AX5091">
        <v>189</v>
      </c>
      <c r="BA5091">
        <v>1</v>
      </c>
      <c r="BC5091" t="s">
        <v>10294</v>
      </c>
      <c r="BD5091" s="4">
        <v>43283.481249999997</v>
      </c>
      <c r="BE5091" s="4">
        <v>43283.490833333337</v>
      </c>
      <c r="BF5091" s="4">
        <v>43283.490833333337</v>
      </c>
      <c r="BG5091" t="s">
        <v>83</v>
      </c>
      <c r="BH5091" t="s">
        <v>84</v>
      </c>
      <c r="BI5091" t="s">
        <v>85</v>
      </c>
    </row>
    <row r="5092" spans="1:61" x14ac:dyDescent="0.3">
      <c r="A5092" t="str">
        <f>"200725E0100"</f>
        <v>200725E0100</v>
      </c>
      <c r="B5092" s="2" t="s">
        <v>10295</v>
      </c>
      <c r="C5092">
        <v>20</v>
      </c>
      <c r="D5092" t="s">
        <v>79</v>
      </c>
      <c r="E5092">
        <v>24</v>
      </c>
      <c r="F5092" t="s">
        <v>10123</v>
      </c>
      <c r="G5092">
        <v>725</v>
      </c>
      <c r="H5092">
        <v>1</v>
      </c>
      <c r="I5092" t="s">
        <v>145</v>
      </c>
      <c r="J5092">
        <v>0</v>
      </c>
      <c r="K5092">
        <v>2</v>
      </c>
      <c r="L5092">
        <v>2</v>
      </c>
      <c r="M5092">
        <v>261</v>
      </c>
      <c r="N5092">
        <v>402</v>
      </c>
      <c r="O5092">
        <v>2</v>
      </c>
      <c r="P5092">
        <v>402</v>
      </c>
      <c r="Q5092">
        <v>10</v>
      </c>
      <c r="R5092">
        <v>100</v>
      </c>
      <c r="S5092">
        <v>8</v>
      </c>
      <c r="T5092">
        <v>5</v>
      </c>
      <c r="U5092">
        <v>11</v>
      </c>
      <c r="V5092">
        <v>1</v>
      </c>
      <c r="W5092">
        <v>168</v>
      </c>
      <c r="X5092">
        <v>6</v>
      </c>
      <c r="Y5092">
        <v>55</v>
      </c>
      <c r="Z5092">
        <v>2</v>
      </c>
      <c r="AB5092">
        <v>0</v>
      </c>
      <c r="AC5092">
        <v>0</v>
      </c>
      <c r="AD5092">
        <v>0</v>
      </c>
      <c r="AE5092">
        <v>0</v>
      </c>
      <c r="AF5092">
        <v>0</v>
      </c>
      <c r="AK5092">
        <v>0</v>
      </c>
      <c r="AL5092">
        <v>1</v>
      </c>
      <c r="AM5092">
        <v>0</v>
      </c>
      <c r="AN5092">
        <v>0</v>
      </c>
      <c r="AQ5092">
        <v>0</v>
      </c>
      <c r="AT5092">
        <v>0</v>
      </c>
      <c r="AU5092">
        <v>35</v>
      </c>
      <c r="AV5092">
        <v>402</v>
      </c>
      <c r="AW5092">
        <v>402</v>
      </c>
      <c r="AX5092">
        <v>641</v>
      </c>
      <c r="BA5092">
        <v>1</v>
      </c>
      <c r="BC5092" t="s">
        <v>10296</v>
      </c>
      <c r="BD5092" s="4">
        <v>43283.479861111111</v>
      </c>
      <c r="BE5092" s="4">
        <v>43283.488946759258</v>
      </c>
      <c r="BF5092" s="4">
        <v>43283.488946759258</v>
      </c>
      <c r="BG5092" t="s">
        <v>83</v>
      </c>
      <c r="BH5092" t="s">
        <v>84</v>
      </c>
      <c r="BI5092" t="s">
        <v>85</v>
      </c>
    </row>
    <row r="5093" spans="1:61" x14ac:dyDescent="0.3">
      <c r="A5093" t="str">
        <f>"200726B0100"</f>
        <v>200726B0100</v>
      </c>
      <c r="B5093" t="s">
        <v>10297</v>
      </c>
      <c r="C5093">
        <v>20</v>
      </c>
      <c r="D5093" t="s">
        <v>79</v>
      </c>
      <c r="E5093">
        <v>24</v>
      </c>
      <c r="F5093" t="s">
        <v>10123</v>
      </c>
      <c r="G5093">
        <v>726</v>
      </c>
      <c r="H5093">
        <v>1</v>
      </c>
      <c r="I5093" t="s">
        <v>81</v>
      </c>
      <c r="J5093">
        <v>0</v>
      </c>
      <c r="K5093">
        <v>2</v>
      </c>
      <c r="L5093">
        <v>2</v>
      </c>
      <c r="M5093">
        <v>288</v>
      </c>
      <c r="N5093">
        <v>315</v>
      </c>
      <c r="O5093">
        <v>3</v>
      </c>
      <c r="P5093">
        <v>315</v>
      </c>
      <c r="Q5093">
        <v>24</v>
      </c>
      <c r="R5093">
        <v>58</v>
      </c>
      <c r="S5093" t="s">
        <v>100</v>
      </c>
      <c r="T5093" t="s">
        <v>100</v>
      </c>
      <c r="U5093" t="s">
        <v>100</v>
      </c>
      <c r="V5093" t="s">
        <v>100</v>
      </c>
      <c r="W5093">
        <v>121</v>
      </c>
      <c r="X5093" t="s">
        <v>100</v>
      </c>
      <c r="Y5093">
        <v>88</v>
      </c>
      <c r="Z5093" t="s">
        <v>100</v>
      </c>
      <c r="AB5093">
        <v>1</v>
      </c>
      <c r="AC5093" t="s">
        <v>100</v>
      </c>
      <c r="AD5093" t="s">
        <v>100</v>
      </c>
      <c r="AE5093" t="s">
        <v>100</v>
      </c>
      <c r="AF5093" t="s">
        <v>100</v>
      </c>
      <c r="AK5093" t="s">
        <v>100</v>
      </c>
      <c r="AL5093" t="s">
        <v>100</v>
      </c>
      <c r="AM5093" t="s">
        <v>100</v>
      </c>
      <c r="AN5093" t="s">
        <v>100</v>
      </c>
      <c r="AQ5093" t="s">
        <v>100</v>
      </c>
      <c r="AT5093" t="s">
        <v>100</v>
      </c>
      <c r="AU5093">
        <v>20</v>
      </c>
      <c r="AV5093">
        <v>312</v>
      </c>
      <c r="AW5093">
        <v>312</v>
      </c>
      <c r="AX5093">
        <v>580</v>
      </c>
      <c r="AZ5093" t="s">
        <v>101</v>
      </c>
      <c r="BA5093">
        <v>1</v>
      </c>
      <c r="BC5093" t="s">
        <v>10298</v>
      </c>
      <c r="BD5093" s="4">
        <v>43283.481944444444</v>
      </c>
      <c r="BE5093" s="4">
        <v>43283.486481481479</v>
      </c>
      <c r="BF5093" s="4">
        <v>43283.486481481479</v>
      </c>
      <c r="BG5093" t="s">
        <v>83</v>
      </c>
      <c r="BH5093" t="s">
        <v>84</v>
      </c>
      <c r="BI5093" t="s">
        <v>85</v>
      </c>
    </row>
    <row r="5094" spans="1:61" x14ac:dyDescent="0.3">
      <c r="A5094" t="str">
        <f>"200726E0100"</f>
        <v>200726E0100</v>
      </c>
      <c r="B5094" s="2" t="s">
        <v>10299</v>
      </c>
      <c r="C5094">
        <v>20</v>
      </c>
      <c r="D5094" t="s">
        <v>79</v>
      </c>
      <c r="E5094">
        <v>24</v>
      </c>
      <c r="F5094" t="s">
        <v>10123</v>
      </c>
      <c r="G5094">
        <v>726</v>
      </c>
      <c r="H5094">
        <v>1</v>
      </c>
      <c r="I5094" t="s">
        <v>145</v>
      </c>
      <c r="J5094">
        <v>0</v>
      </c>
      <c r="K5094">
        <v>2</v>
      </c>
      <c r="L5094">
        <v>2</v>
      </c>
      <c r="M5094">
        <v>133</v>
      </c>
      <c r="N5094">
        <v>132</v>
      </c>
      <c r="O5094">
        <v>3</v>
      </c>
      <c r="P5094">
        <v>132</v>
      </c>
      <c r="Q5094">
        <v>9</v>
      </c>
      <c r="R5094">
        <v>34</v>
      </c>
      <c r="S5094">
        <v>5</v>
      </c>
      <c r="T5094">
        <v>0</v>
      </c>
      <c r="U5094">
        <v>15</v>
      </c>
      <c r="V5094">
        <v>1</v>
      </c>
      <c r="W5094">
        <v>33</v>
      </c>
      <c r="X5094">
        <v>0</v>
      </c>
      <c r="Y5094">
        <v>20</v>
      </c>
      <c r="Z5094">
        <v>1</v>
      </c>
      <c r="AB5094">
        <v>0</v>
      </c>
      <c r="AC5094">
        <v>0</v>
      </c>
      <c r="AD5094">
        <v>0</v>
      </c>
      <c r="AE5094">
        <v>0</v>
      </c>
      <c r="AF5094">
        <v>0</v>
      </c>
      <c r="AK5094">
        <v>4</v>
      </c>
      <c r="AL5094">
        <v>1</v>
      </c>
      <c r="AM5094">
        <v>1</v>
      </c>
      <c r="AN5094">
        <v>0</v>
      </c>
      <c r="AQ5094">
        <v>0</v>
      </c>
      <c r="AT5094">
        <v>0</v>
      </c>
      <c r="AU5094">
        <v>8</v>
      </c>
      <c r="AV5094">
        <v>132</v>
      </c>
      <c r="AW5094">
        <v>132</v>
      </c>
      <c r="AX5094">
        <v>243</v>
      </c>
      <c r="BA5094">
        <v>1</v>
      </c>
      <c r="BC5094" t="s">
        <v>10300</v>
      </c>
      <c r="BD5094" s="4">
        <v>43283.469444444447</v>
      </c>
      <c r="BE5094" s="4">
        <v>43283.474305555559</v>
      </c>
      <c r="BF5094" s="4">
        <v>43283.474305555559</v>
      </c>
      <c r="BG5094" t="s">
        <v>83</v>
      </c>
      <c r="BH5094" t="s">
        <v>84</v>
      </c>
      <c r="BI5094" t="s">
        <v>85</v>
      </c>
    </row>
    <row r="5095" spans="1:61" x14ac:dyDescent="0.3">
      <c r="A5095" t="str">
        <f>"200727B0100"</f>
        <v>200727B0100</v>
      </c>
      <c r="B5095" t="s">
        <v>10301</v>
      </c>
      <c r="C5095">
        <v>20</v>
      </c>
      <c r="D5095" t="s">
        <v>79</v>
      </c>
      <c r="E5095">
        <v>24</v>
      </c>
      <c r="F5095" t="s">
        <v>10123</v>
      </c>
      <c r="G5095">
        <v>727</v>
      </c>
      <c r="H5095">
        <v>1</v>
      </c>
      <c r="I5095" t="s">
        <v>81</v>
      </c>
      <c r="J5095">
        <v>0</v>
      </c>
      <c r="K5095">
        <v>2</v>
      </c>
      <c r="L5095">
        <v>2</v>
      </c>
      <c r="M5095">
        <v>209</v>
      </c>
      <c r="N5095">
        <v>170</v>
      </c>
      <c r="O5095">
        <v>0</v>
      </c>
      <c r="P5095">
        <v>170</v>
      </c>
      <c r="Q5095">
        <v>2</v>
      </c>
      <c r="R5095">
        <v>18</v>
      </c>
      <c r="S5095">
        <v>1</v>
      </c>
      <c r="T5095">
        <v>3</v>
      </c>
      <c r="U5095">
        <v>1</v>
      </c>
      <c r="V5095">
        <v>3</v>
      </c>
      <c r="W5095">
        <v>114</v>
      </c>
      <c r="X5095">
        <v>3</v>
      </c>
      <c r="Y5095">
        <v>8</v>
      </c>
      <c r="Z5095">
        <v>1</v>
      </c>
      <c r="AB5095">
        <v>1</v>
      </c>
      <c r="AC5095">
        <v>0</v>
      </c>
      <c r="AD5095">
        <v>0</v>
      </c>
      <c r="AE5095">
        <v>0</v>
      </c>
      <c r="AF5095">
        <v>0</v>
      </c>
      <c r="AK5095">
        <v>0</v>
      </c>
      <c r="AL5095">
        <v>0</v>
      </c>
      <c r="AM5095">
        <v>0</v>
      </c>
      <c r="AN5095">
        <v>0</v>
      </c>
      <c r="AQ5095">
        <v>0</v>
      </c>
      <c r="AT5095">
        <v>0</v>
      </c>
      <c r="AU5095">
        <v>15</v>
      </c>
      <c r="AV5095">
        <v>170</v>
      </c>
      <c r="AW5095">
        <v>170</v>
      </c>
      <c r="AX5095">
        <v>357</v>
      </c>
      <c r="BA5095">
        <v>1</v>
      </c>
      <c r="BC5095" t="s">
        <v>10302</v>
      </c>
      <c r="BD5095" s="4">
        <v>43283.477083333331</v>
      </c>
      <c r="BE5095" s="4">
        <v>43283.484652777777</v>
      </c>
      <c r="BF5095" s="4">
        <v>43283.484652777777</v>
      </c>
      <c r="BG5095" t="s">
        <v>83</v>
      </c>
      <c r="BH5095" t="s">
        <v>84</v>
      </c>
      <c r="BI5095" t="s">
        <v>85</v>
      </c>
    </row>
    <row r="5096" spans="1:61" x14ac:dyDescent="0.3">
      <c r="A5096" t="str">
        <f>"200727E0100"</f>
        <v>200727E0100</v>
      </c>
      <c r="B5096" s="2" t="s">
        <v>10303</v>
      </c>
      <c r="C5096">
        <v>20</v>
      </c>
      <c r="D5096" t="s">
        <v>79</v>
      </c>
      <c r="E5096">
        <v>24</v>
      </c>
      <c r="F5096" t="s">
        <v>10123</v>
      </c>
      <c r="G5096">
        <v>727</v>
      </c>
      <c r="H5096">
        <v>1</v>
      </c>
      <c r="I5096" t="s">
        <v>145</v>
      </c>
      <c r="J5096">
        <v>0</v>
      </c>
      <c r="K5096">
        <v>2</v>
      </c>
      <c r="L5096">
        <v>2</v>
      </c>
      <c r="M5096">
        <v>225</v>
      </c>
      <c r="N5096">
        <v>205</v>
      </c>
      <c r="O5096">
        <v>7</v>
      </c>
      <c r="P5096" t="s">
        <v>100</v>
      </c>
      <c r="Q5096">
        <v>10</v>
      </c>
      <c r="R5096">
        <v>50</v>
      </c>
      <c r="S5096">
        <v>5</v>
      </c>
      <c r="T5096">
        <v>5</v>
      </c>
      <c r="U5096">
        <v>5</v>
      </c>
      <c r="V5096">
        <v>7</v>
      </c>
      <c r="W5096">
        <v>43</v>
      </c>
      <c r="X5096">
        <v>4</v>
      </c>
      <c r="Y5096">
        <v>48</v>
      </c>
      <c r="Z5096">
        <v>8</v>
      </c>
      <c r="AB5096">
        <v>0</v>
      </c>
      <c r="AC5096">
        <v>0</v>
      </c>
      <c r="AD5096">
        <v>0</v>
      </c>
      <c r="AE5096">
        <v>0</v>
      </c>
      <c r="AF5096">
        <v>0</v>
      </c>
      <c r="AK5096">
        <v>1</v>
      </c>
      <c r="AL5096">
        <v>0</v>
      </c>
      <c r="AM5096">
        <v>0</v>
      </c>
      <c r="AN5096">
        <v>0</v>
      </c>
      <c r="AQ5096">
        <v>0</v>
      </c>
      <c r="AT5096">
        <v>0</v>
      </c>
      <c r="AU5096">
        <v>19</v>
      </c>
      <c r="AV5096" t="s">
        <v>100</v>
      </c>
      <c r="AW5096">
        <v>205</v>
      </c>
      <c r="AX5096">
        <v>408</v>
      </c>
      <c r="BA5096">
        <v>1</v>
      </c>
      <c r="BC5096" t="s">
        <v>10304</v>
      </c>
      <c r="BD5096" s="4">
        <v>43283.47152777778</v>
      </c>
      <c r="BE5096" s="4">
        <v>43283.475983796299</v>
      </c>
      <c r="BF5096" s="4">
        <v>43283.475983796299</v>
      </c>
      <c r="BG5096" t="s">
        <v>83</v>
      </c>
      <c r="BH5096" t="s">
        <v>84</v>
      </c>
      <c r="BI5096" t="s">
        <v>85</v>
      </c>
    </row>
    <row r="5097" spans="1:61" x14ac:dyDescent="0.3">
      <c r="A5097" t="str">
        <f>"200728B0100"</f>
        <v>200728B0100</v>
      </c>
      <c r="B5097" t="s">
        <v>10305</v>
      </c>
      <c r="C5097">
        <v>20</v>
      </c>
      <c r="D5097" t="s">
        <v>79</v>
      </c>
      <c r="E5097">
        <v>24</v>
      </c>
      <c r="F5097" t="s">
        <v>10123</v>
      </c>
      <c r="G5097">
        <v>728</v>
      </c>
      <c r="H5097">
        <v>1</v>
      </c>
      <c r="I5097" t="s">
        <v>81</v>
      </c>
      <c r="J5097">
        <v>0</v>
      </c>
      <c r="K5097">
        <v>2</v>
      </c>
      <c r="L5097">
        <v>2</v>
      </c>
      <c r="M5097">
        <v>173</v>
      </c>
      <c r="N5097">
        <v>514</v>
      </c>
      <c r="O5097">
        <v>0</v>
      </c>
      <c r="P5097">
        <v>341</v>
      </c>
      <c r="Q5097">
        <v>34</v>
      </c>
      <c r="R5097">
        <v>152</v>
      </c>
      <c r="S5097">
        <v>2</v>
      </c>
      <c r="T5097">
        <v>3</v>
      </c>
      <c r="U5097">
        <v>3</v>
      </c>
      <c r="V5097">
        <v>1</v>
      </c>
      <c r="W5097">
        <v>97</v>
      </c>
      <c r="X5097">
        <v>3</v>
      </c>
      <c r="Y5097">
        <v>11</v>
      </c>
      <c r="Z5097">
        <v>0</v>
      </c>
      <c r="AB5097">
        <v>2</v>
      </c>
      <c r="AC5097">
        <v>0</v>
      </c>
      <c r="AD5097">
        <v>0</v>
      </c>
      <c r="AE5097">
        <v>0</v>
      </c>
      <c r="AF5097">
        <v>0</v>
      </c>
      <c r="AK5097">
        <v>0</v>
      </c>
      <c r="AL5097">
        <v>0</v>
      </c>
      <c r="AM5097">
        <v>0</v>
      </c>
      <c r="AN5097">
        <v>0</v>
      </c>
      <c r="AQ5097" t="s">
        <v>100</v>
      </c>
      <c r="AT5097" t="s">
        <v>100</v>
      </c>
      <c r="AU5097">
        <v>33</v>
      </c>
      <c r="AV5097">
        <v>341</v>
      </c>
      <c r="AW5097">
        <v>341</v>
      </c>
      <c r="AX5097">
        <v>492</v>
      </c>
      <c r="AZ5097" t="s">
        <v>101</v>
      </c>
      <c r="BA5097">
        <v>1</v>
      </c>
      <c r="BC5097" t="s">
        <v>10306</v>
      </c>
      <c r="BD5097" s="4">
        <v>43283.563888888886</v>
      </c>
      <c r="BE5097" s="4">
        <v>43283.574479166666</v>
      </c>
      <c r="BF5097" s="4">
        <v>43283.574479166666</v>
      </c>
      <c r="BG5097" t="s">
        <v>83</v>
      </c>
      <c r="BH5097" t="s">
        <v>84</v>
      </c>
      <c r="BI5097" t="s">
        <v>548</v>
      </c>
    </row>
    <row r="5098" spans="1:61" x14ac:dyDescent="0.3">
      <c r="A5098" t="str">
        <f>"200728C0100"</f>
        <v>200728C0100</v>
      </c>
      <c r="B5098" t="s">
        <v>10307</v>
      </c>
      <c r="C5098">
        <v>20</v>
      </c>
      <c r="D5098" t="s">
        <v>79</v>
      </c>
      <c r="E5098">
        <v>24</v>
      </c>
      <c r="F5098" t="s">
        <v>10123</v>
      </c>
      <c r="G5098">
        <v>728</v>
      </c>
      <c r="H5098">
        <v>1</v>
      </c>
      <c r="I5098" t="s">
        <v>89</v>
      </c>
      <c r="J5098">
        <v>0</v>
      </c>
      <c r="K5098">
        <v>2</v>
      </c>
      <c r="L5098">
        <v>2</v>
      </c>
      <c r="M5098">
        <v>156</v>
      </c>
      <c r="N5098">
        <v>354</v>
      </c>
      <c r="O5098">
        <v>0</v>
      </c>
      <c r="P5098">
        <v>354</v>
      </c>
      <c r="Q5098">
        <v>22</v>
      </c>
      <c r="R5098">
        <v>109</v>
      </c>
      <c r="S5098">
        <v>1</v>
      </c>
      <c r="T5098">
        <v>1</v>
      </c>
      <c r="U5098">
        <v>0</v>
      </c>
      <c r="V5098">
        <v>2</v>
      </c>
      <c r="W5098">
        <v>157</v>
      </c>
      <c r="X5098">
        <v>2</v>
      </c>
      <c r="Y5098">
        <v>12</v>
      </c>
      <c r="Z5098">
        <v>2</v>
      </c>
      <c r="AB5098">
        <v>0</v>
      </c>
      <c r="AC5098">
        <v>0</v>
      </c>
      <c r="AD5098">
        <v>0</v>
      </c>
      <c r="AE5098">
        <v>0</v>
      </c>
      <c r="AF5098">
        <v>0</v>
      </c>
      <c r="AK5098">
        <v>0</v>
      </c>
      <c r="AL5098">
        <v>0</v>
      </c>
      <c r="AM5098">
        <v>0</v>
      </c>
      <c r="AN5098">
        <v>0</v>
      </c>
      <c r="AQ5098">
        <v>4</v>
      </c>
      <c r="AT5098">
        <v>10</v>
      </c>
      <c r="AU5098">
        <v>32</v>
      </c>
      <c r="AV5098" t="s">
        <v>100</v>
      </c>
      <c r="AW5098">
        <v>354</v>
      </c>
      <c r="AX5098">
        <v>491</v>
      </c>
      <c r="BA5098">
        <v>1</v>
      </c>
      <c r="BC5098" t="s">
        <v>10308</v>
      </c>
      <c r="BD5098" s="4">
        <v>43283.46875</v>
      </c>
      <c r="BE5098" s="4">
        <v>43283.479722222219</v>
      </c>
      <c r="BF5098" s="4">
        <v>43283.479722222219</v>
      </c>
      <c r="BG5098" t="s">
        <v>83</v>
      </c>
      <c r="BH5098" t="s">
        <v>84</v>
      </c>
      <c r="BI5098" t="s">
        <v>85</v>
      </c>
    </row>
    <row r="5099" spans="1:61" x14ac:dyDescent="0.3">
      <c r="A5099" t="str">
        <f>"200728E0100"</f>
        <v>200728E0100</v>
      </c>
      <c r="B5099" s="2" t="s">
        <v>10309</v>
      </c>
      <c r="C5099">
        <v>20</v>
      </c>
      <c r="D5099" t="s">
        <v>79</v>
      </c>
      <c r="E5099">
        <v>24</v>
      </c>
      <c r="F5099" t="s">
        <v>10123</v>
      </c>
      <c r="G5099">
        <v>728</v>
      </c>
      <c r="H5099">
        <v>1</v>
      </c>
      <c r="I5099" t="s">
        <v>145</v>
      </c>
      <c r="J5099">
        <v>0</v>
      </c>
      <c r="K5099">
        <v>2</v>
      </c>
      <c r="L5099">
        <v>2</v>
      </c>
      <c r="M5099">
        <v>68</v>
      </c>
      <c r="N5099">
        <v>155</v>
      </c>
      <c r="O5099">
        <v>3</v>
      </c>
      <c r="P5099">
        <v>87</v>
      </c>
      <c r="Q5099">
        <v>0</v>
      </c>
      <c r="R5099">
        <v>43</v>
      </c>
      <c r="S5099">
        <v>3</v>
      </c>
      <c r="T5099">
        <v>0</v>
      </c>
      <c r="U5099">
        <v>4</v>
      </c>
      <c r="V5099">
        <v>2</v>
      </c>
      <c r="W5099">
        <v>20</v>
      </c>
      <c r="X5099">
        <v>0</v>
      </c>
      <c r="Y5099">
        <v>3</v>
      </c>
      <c r="Z5099">
        <v>1</v>
      </c>
      <c r="AB5099" t="s">
        <v>100</v>
      </c>
      <c r="AC5099" t="s">
        <v>100</v>
      </c>
      <c r="AD5099" t="s">
        <v>100</v>
      </c>
      <c r="AE5099" t="s">
        <v>100</v>
      </c>
      <c r="AF5099" t="s">
        <v>100</v>
      </c>
      <c r="AK5099" t="s">
        <v>100</v>
      </c>
      <c r="AL5099" t="s">
        <v>100</v>
      </c>
      <c r="AM5099" t="s">
        <v>100</v>
      </c>
      <c r="AN5099" t="s">
        <v>100</v>
      </c>
      <c r="AQ5099" t="s">
        <v>100</v>
      </c>
      <c r="AT5099" t="s">
        <v>100</v>
      </c>
      <c r="AU5099">
        <v>11</v>
      </c>
      <c r="AV5099">
        <v>87</v>
      </c>
      <c r="AW5099">
        <v>87</v>
      </c>
      <c r="AX5099">
        <v>133</v>
      </c>
      <c r="AZ5099" t="s">
        <v>101</v>
      </c>
      <c r="BA5099">
        <v>1</v>
      </c>
      <c r="BC5099" t="s">
        <v>10310</v>
      </c>
      <c r="BD5099" s="4">
        <v>43283.464583333334</v>
      </c>
      <c r="BE5099" s="4">
        <v>43283.4684837963</v>
      </c>
      <c r="BF5099" s="4">
        <v>43283.4684837963</v>
      </c>
      <c r="BG5099" t="s">
        <v>83</v>
      </c>
      <c r="BH5099" t="s">
        <v>84</v>
      </c>
      <c r="BI5099" t="s">
        <v>85</v>
      </c>
    </row>
    <row r="5100" spans="1:61" x14ac:dyDescent="0.3">
      <c r="A5100" t="str">
        <f>"200729B0100"</f>
        <v>200729B0100</v>
      </c>
      <c r="B5100" t="s">
        <v>10311</v>
      </c>
      <c r="C5100">
        <v>20</v>
      </c>
      <c r="D5100" t="s">
        <v>79</v>
      </c>
      <c r="E5100">
        <v>24</v>
      </c>
      <c r="F5100" t="s">
        <v>10123</v>
      </c>
      <c r="G5100">
        <v>729</v>
      </c>
      <c r="H5100">
        <v>1</v>
      </c>
      <c r="I5100" t="s">
        <v>81</v>
      </c>
      <c r="J5100">
        <v>0</v>
      </c>
      <c r="K5100">
        <v>2</v>
      </c>
      <c r="L5100">
        <v>2</v>
      </c>
      <c r="M5100">
        <v>211</v>
      </c>
      <c r="N5100">
        <v>333</v>
      </c>
      <c r="O5100">
        <v>1</v>
      </c>
      <c r="P5100">
        <v>333</v>
      </c>
      <c r="Q5100">
        <v>9</v>
      </c>
      <c r="R5100">
        <v>111</v>
      </c>
      <c r="S5100">
        <v>1</v>
      </c>
      <c r="T5100">
        <v>11</v>
      </c>
      <c r="U5100">
        <v>12</v>
      </c>
      <c r="V5100">
        <v>2</v>
      </c>
      <c r="W5100">
        <v>103</v>
      </c>
      <c r="X5100">
        <v>2</v>
      </c>
      <c r="Y5100">
        <v>54</v>
      </c>
      <c r="Z5100">
        <v>3</v>
      </c>
      <c r="AB5100">
        <v>0</v>
      </c>
      <c r="AC5100">
        <v>0</v>
      </c>
      <c r="AD5100">
        <v>0</v>
      </c>
      <c r="AE5100">
        <v>0</v>
      </c>
      <c r="AF5100">
        <v>0</v>
      </c>
      <c r="AK5100">
        <v>0</v>
      </c>
      <c r="AL5100">
        <v>0</v>
      </c>
      <c r="AM5100">
        <v>0</v>
      </c>
      <c r="AN5100">
        <v>1</v>
      </c>
      <c r="AQ5100">
        <v>0</v>
      </c>
      <c r="AT5100">
        <v>0</v>
      </c>
      <c r="AU5100">
        <v>24</v>
      </c>
      <c r="AV5100">
        <v>333</v>
      </c>
      <c r="AW5100">
        <v>333</v>
      </c>
      <c r="AX5100">
        <v>522</v>
      </c>
      <c r="BA5100">
        <v>1</v>
      </c>
      <c r="BC5100" t="s">
        <v>10312</v>
      </c>
      <c r="BD5100" s="4">
        <v>43283.480555555558</v>
      </c>
      <c r="BE5100" s="4">
        <v>43283.490486111114</v>
      </c>
      <c r="BF5100" s="4">
        <v>43283.490486111114</v>
      </c>
      <c r="BG5100" t="s">
        <v>83</v>
      </c>
      <c r="BH5100" t="s">
        <v>84</v>
      </c>
      <c r="BI5100" t="s">
        <v>85</v>
      </c>
    </row>
    <row r="5101" spans="1:61" x14ac:dyDescent="0.3">
      <c r="A5101" t="str">
        <f>"200729C0100"</f>
        <v>200729C0100</v>
      </c>
      <c r="B5101" t="s">
        <v>10313</v>
      </c>
      <c r="C5101">
        <v>20</v>
      </c>
      <c r="D5101" t="s">
        <v>79</v>
      </c>
      <c r="E5101">
        <v>24</v>
      </c>
      <c r="F5101" t="s">
        <v>10123</v>
      </c>
      <c r="G5101">
        <v>729</v>
      </c>
      <c r="H5101">
        <v>1</v>
      </c>
      <c r="I5101" t="s">
        <v>89</v>
      </c>
      <c r="J5101">
        <v>0</v>
      </c>
      <c r="K5101">
        <v>2</v>
      </c>
      <c r="L5101">
        <v>2</v>
      </c>
      <c r="M5101">
        <v>235</v>
      </c>
      <c r="N5101">
        <v>308</v>
      </c>
      <c r="O5101">
        <v>1</v>
      </c>
      <c r="P5101">
        <v>308</v>
      </c>
      <c r="Q5101">
        <v>1</v>
      </c>
      <c r="R5101">
        <v>95</v>
      </c>
      <c r="S5101">
        <v>5</v>
      </c>
      <c r="T5101">
        <v>10</v>
      </c>
      <c r="U5101">
        <v>9</v>
      </c>
      <c r="V5101">
        <v>2</v>
      </c>
      <c r="W5101">
        <v>92</v>
      </c>
      <c r="X5101">
        <v>4</v>
      </c>
      <c r="Y5101">
        <v>43</v>
      </c>
      <c r="Z5101">
        <v>6</v>
      </c>
      <c r="AB5101">
        <v>1</v>
      </c>
      <c r="AC5101">
        <v>0</v>
      </c>
      <c r="AD5101">
        <v>0</v>
      </c>
      <c r="AE5101">
        <v>0</v>
      </c>
      <c r="AF5101">
        <v>0</v>
      </c>
      <c r="AK5101">
        <v>0</v>
      </c>
      <c r="AL5101">
        <v>0</v>
      </c>
      <c r="AM5101">
        <v>0</v>
      </c>
      <c r="AN5101">
        <v>1</v>
      </c>
      <c r="AQ5101">
        <v>0</v>
      </c>
      <c r="AT5101">
        <v>0</v>
      </c>
      <c r="AU5101">
        <v>39</v>
      </c>
      <c r="AV5101">
        <v>308</v>
      </c>
      <c r="AW5101">
        <v>308</v>
      </c>
      <c r="AX5101">
        <v>521</v>
      </c>
      <c r="BA5101">
        <v>1</v>
      </c>
      <c r="BC5101" t="s">
        <v>10314</v>
      </c>
      <c r="BD5101" s="4">
        <v>43283.465277777781</v>
      </c>
      <c r="BE5101" s="4">
        <v>43283.473078703704</v>
      </c>
      <c r="BF5101" s="4">
        <v>43283.473078703704</v>
      </c>
      <c r="BG5101" t="s">
        <v>83</v>
      </c>
      <c r="BH5101" t="s">
        <v>84</v>
      </c>
      <c r="BI5101" t="s">
        <v>85</v>
      </c>
    </row>
    <row r="5102" spans="1:61" x14ac:dyDescent="0.3">
      <c r="A5102" t="str">
        <f>"200729C0200"</f>
        <v>200729C0200</v>
      </c>
      <c r="B5102" t="s">
        <v>10315</v>
      </c>
      <c r="C5102">
        <v>20</v>
      </c>
      <c r="D5102" t="s">
        <v>79</v>
      </c>
      <c r="E5102">
        <v>24</v>
      </c>
      <c r="F5102" t="s">
        <v>10123</v>
      </c>
      <c r="G5102">
        <v>729</v>
      </c>
      <c r="H5102">
        <v>2</v>
      </c>
      <c r="I5102" t="s">
        <v>89</v>
      </c>
      <c r="J5102">
        <v>0</v>
      </c>
      <c r="K5102">
        <v>2</v>
      </c>
      <c r="L5102">
        <v>2</v>
      </c>
      <c r="M5102" t="s">
        <v>100</v>
      </c>
      <c r="N5102">
        <v>303</v>
      </c>
      <c r="O5102">
        <v>1</v>
      </c>
      <c r="P5102">
        <v>303</v>
      </c>
      <c r="Q5102">
        <v>7</v>
      </c>
      <c r="R5102">
        <v>111</v>
      </c>
      <c r="S5102">
        <v>2</v>
      </c>
      <c r="T5102">
        <v>6</v>
      </c>
      <c r="U5102">
        <v>5</v>
      </c>
      <c r="V5102">
        <v>3</v>
      </c>
      <c r="W5102">
        <v>2</v>
      </c>
      <c r="X5102">
        <v>83</v>
      </c>
      <c r="Y5102">
        <v>51</v>
      </c>
      <c r="Z5102">
        <v>5</v>
      </c>
      <c r="AB5102">
        <v>2</v>
      </c>
      <c r="AC5102">
        <v>0</v>
      </c>
      <c r="AD5102">
        <v>0</v>
      </c>
      <c r="AE5102">
        <v>0</v>
      </c>
      <c r="AF5102">
        <v>0</v>
      </c>
      <c r="AK5102">
        <v>0</v>
      </c>
      <c r="AL5102">
        <v>0</v>
      </c>
      <c r="AM5102">
        <v>0</v>
      </c>
      <c r="AN5102">
        <v>1</v>
      </c>
      <c r="AQ5102">
        <v>0</v>
      </c>
      <c r="AT5102">
        <v>0</v>
      </c>
      <c r="AU5102">
        <v>25</v>
      </c>
      <c r="AV5102">
        <v>303</v>
      </c>
      <c r="AW5102">
        <v>303</v>
      </c>
      <c r="AX5102">
        <v>521</v>
      </c>
      <c r="BA5102">
        <v>1</v>
      </c>
      <c r="BC5102" t="s">
        <v>10316</v>
      </c>
      <c r="BD5102" s="4">
        <v>43283.46875</v>
      </c>
      <c r="BE5102" s="4">
        <v>43283.475821759261</v>
      </c>
      <c r="BF5102" s="4">
        <v>43283.475821759261</v>
      </c>
      <c r="BG5102" t="s">
        <v>83</v>
      </c>
      <c r="BH5102" t="s">
        <v>84</v>
      </c>
      <c r="BI5102" t="s">
        <v>85</v>
      </c>
    </row>
    <row r="5103" spans="1:61" x14ac:dyDescent="0.3">
      <c r="A5103" t="str">
        <f>"200730B0100"</f>
        <v>200730B0100</v>
      </c>
      <c r="B5103" t="s">
        <v>10317</v>
      </c>
      <c r="C5103">
        <v>20</v>
      </c>
      <c r="D5103" t="s">
        <v>79</v>
      </c>
      <c r="E5103">
        <v>24</v>
      </c>
      <c r="F5103" t="s">
        <v>10123</v>
      </c>
      <c r="G5103">
        <v>730</v>
      </c>
      <c r="H5103">
        <v>1</v>
      </c>
      <c r="I5103" t="s">
        <v>81</v>
      </c>
      <c r="J5103">
        <v>0</v>
      </c>
      <c r="K5103">
        <v>2</v>
      </c>
      <c r="L5103">
        <v>2</v>
      </c>
      <c r="M5103">
        <v>209</v>
      </c>
      <c r="N5103">
        <v>227</v>
      </c>
      <c r="O5103">
        <v>7</v>
      </c>
      <c r="P5103" t="s">
        <v>100</v>
      </c>
      <c r="Q5103">
        <v>10</v>
      </c>
      <c r="R5103">
        <v>32</v>
      </c>
      <c r="S5103">
        <v>13</v>
      </c>
      <c r="T5103">
        <v>6</v>
      </c>
      <c r="U5103">
        <v>10</v>
      </c>
      <c r="V5103">
        <v>2</v>
      </c>
      <c r="W5103">
        <v>5</v>
      </c>
      <c r="X5103">
        <v>92</v>
      </c>
      <c r="Y5103">
        <v>36</v>
      </c>
      <c r="Z5103">
        <v>3</v>
      </c>
      <c r="AB5103">
        <v>1</v>
      </c>
      <c r="AC5103">
        <v>0</v>
      </c>
      <c r="AD5103">
        <v>0</v>
      </c>
      <c r="AE5103">
        <v>0</v>
      </c>
      <c r="AF5103">
        <v>0</v>
      </c>
      <c r="AK5103">
        <v>0</v>
      </c>
      <c r="AL5103">
        <v>1</v>
      </c>
      <c r="AM5103">
        <v>0</v>
      </c>
      <c r="AN5103">
        <v>0</v>
      </c>
      <c r="AQ5103">
        <v>0</v>
      </c>
      <c r="AT5103">
        <v>0</v>
      </c>
      <c r="AU5103">
        <v>16</v>
      </c>
      <c r="AV5103">
        <v>227</v>
      </c>
      <c r="AW5103">
        <v>227</v>
      </c>
      <c r="AX5103">
        <v>414</v>
      </c>
      <c r="BA5103">
        <v>1</v>
      </c>
      <c r="BC5103" s="2" t="s">
        <v>10318</v>
      </c>
      <c r="BD5103" s="4">
        <v>43283.484722222223</v>
      </c>
      <c r="BE5103" s="4">
        <v>43283.48982638889</v>
      </c>
      <c r="BF5103" s="4">
        <v>43283.48982638889</v>
      </c>
      <c r="BG5103" t="s">
        <v>83</v>
      </c>
      <c r="BH5103" t="s">
        <v>84</v>
      </c>
      <c r="BI5103" t="s">
        <v>85</v>
      </c>
    </row>
    <row r="5104" spans="1:61" x14ac:dyDescent="0.3">
      <c r="A5104" t="str">
        <f>"200730E0100"</f>
        <v>200730E0100</v>
      </c>
      <c r="B5104" s="2" t="s">
        <v>10319</v>
      </c>
      <c r="C5104">
        <v>20</v>
      </c>
      <c r="D5104" t="s">
        <v>79</v>
      </c>
      <c r="E5104">
        <v>24</v>
      </c>
      <c r="F5104" t="s">
        <v>10123</v>
      </c>
      <c r="G5104">
        <v>730</v>
      </c>
      <c r="H5104">
        <v>1</v>
      </c>
      <c r="I5104" t="s">
        <v>145</v>
      </c>
      <c r="J5104">
        <v>0</v>
      </c>
      <c r="K5104">
        <v>2</v>
      </c>
      <c r="L5104">
        <v>2</v>
      </c>
      <c r="M5104">
        <v>364</v>
      </c>
      <c r="N5104">
        <v>372</v>
      </c>
      <c r="O5104">
        <v>4</v>
      </c>
      <c r="P5104">
        <v>372</v>
      </c>
      <c r="Q5104">
        <v>31</v>
      </c>
      <c r="R5104">
        <v>123</v>
      </c>
      <c r="S5104">
        <v>2</v>
      </c>
      <c r="T5104">
        <v>20</v>
      </c>
      <c r="U5104">
        <v>11</v>
      </c>
      <c r="V5104">
        <v>2</v>
      </c>
      <c r="W5104">
        <v>4</v>
      </c>
      <c r="X5104">
        <v>93</v>
      </c>
      <c r="Y5104">
        <v>36</v>
      </c>
      <c r="Z5104">
        <v>6</v>
      </c>
      <c r="AB5104">
        <v>3</v>
      </c>
      <c r="AC5104">
        <v>0</v>
      </c>
      <c r="AD5104">
        <v>3</v>
      </c>
      <c r="AE5104">
        <v>0</v>
      </c>
      <c r="AF5104">
        <v>0</v>
      </c>
      <c r="AK5104">
        <v>0</v>
      </c>
      <c r="AL5104">
        <v>1</v>
      </c>
      <c r="AM5104">
        <v>0</v>
      </c>
      <c r="AN5104">
        <v>0</v>
      </c>
      <c r="AQ5104">
        <v>0</v>
      </c>
      <c r="AT5104">
        <v>0</v>
      </c>
      <c r="AU5104">
        <v>37</v>
      </c>
      <c r="AV5104">
        <v>372</v>
      </c>
      <c r="AW5104">
        <v>372</v>
      </c>
      <c r="AX5104">
        <v>714</v>
      </c>
      <c r="BA5104">
        <v>1</v>
      </c>
      <c r="BC5104" t="s">
        <v>10320</v>
      </c>
      <c r="BD5104" s="4">
        <v>43283.470833333333</v>
      </c>
      <c r="BE5104" s="4">
        <v>43283.475104166668</v>
      </c>
      <c r="BF5104" s="4">
        <v>43283.475104166668</v>
      </c>
      <c r="BG5104" t="s">
        <v>83</v>
      </c>
      <c r="BH5104" t="s">
        <v>84</v>
      </c>
      <c r="BI5104" t="s">
        <v>85</v>
      </c>
    </row>
    <row r="5105" spans="1:61" x14ac:dyDescent="0.3">
      <c r="A5105" t="str">
        <f>"200731B0100"</f>
        <v>200731B0100</v>
      </c>
      <c r="B5105" t="s">
        <v>10321</v>
      </c>
      <c r="C5105">
        <v>20</v>
      </c>
      <c r="D5105" t="s">
        <v>79</v>
      </c>
      <c r="E5105">
        <v>24</v>
      </c>
      <c r="F5105" t="s">
        <v>10123</v>
      </c>
      <c r="G5105">
        <v>731</v>
      </c>
      <c r="H5105">
        <v>1</v>
      </c>
      <c r="I5105" t="s">
        <v>81</v>
      </c>
      <c r="J5105">
        <v>0</v>
      </c>
      <c r="K5105">
        <v>2</v>
      </c>
      <c r="L5105">
        <v>2</v>
      </c>
      <c r="M5105">
        <v>188</v>
      </c>
      <c r="N5105">
        <v>306</v>
      </c>
      <c r="O5105">
        <v>0</v>
      </c>
      <c r="P5105">
        <v>306</v>
      </c>
      <c r="Q5105">
        <v>11</v>
      </c>
      <c r="R5105">
        <v>67</v>
      </c>
      <c r="S5105">
        <v>10</v>
      </c>
      <c r="T5105">
        <v>4</v>
      </c>
      <c r="U5105">
        <v>5</v>
      </c>
      <c r="V5105">
        <v>4</v>
      </c>
      <c r="W5105">
        <v>130</v>
      </c>
      <c r="X5105">
        <v>9</v>
      </c>
      <c r="Y5105">
        <v>41</v>
      </c>
      <c r="Z5105">
        <v>2</v>
      </c>
      <c r="AB5105">
        <v>0</v>
      </c>
      <c r="AC5105">
        <v>0</v>
      </c>
      <c r="AD5105">
        <v>0</v>
      </c>
      <c r="AE5105">
        <v>0</v>
      </c>
      <c r="AF5105">
        <v>0</v>
      </c>
      <c r="AK5105">
        <v>0</v>
      </c>
      <c r="AL5105">
        <v>0</v>
      </c>
      <c r="AM5105">
        <v>0</v>
      </c>
      <c r="AN5105">
        <v>0</v>
      </c>
      <c r="AQ5105">
        <v>0</v>
      </c>
      <c r="AT5105">
        <v>0</v>
      </c>
      <c r="AU5105">
        <v>23</v>
      </c>
      <c r="AV5105">
        <v>306</v>
      </c>
      <c r="AW5105">
        <v>306</v>
      </c>
      <c r="AX5105">
        <v>479</v>
      </c>
      <c r="BA5105">
        <v>1</v>
      </c>
      <c r="BC5105" t="s">
        <v>10322</v>
      </c>
      <c r="BD5105" s="4">
        <v>43283.480555555558</v>
      </c>
      <c r="BE5105" s="4">
        <v>43283.485069444447</v>
      </c>
      <c r="BF5105" s="4">
        <v>43283.485069444447</v>
      </c>
      <c r="BG5105" t="s">
        <v>83</v>
      </c>
      <c r="BH5105" t="s">
        <v>84</v>
      </c>
      <c r="BI5105" t="s">
        <v>85</v>
      </c>
    </row>
    <row r="5106" spans="1:61" x14ac:dyDescent="0.3">
      <c r="A5106" t="str">
        <f>"200731E0100"</f>
        <v>200731E0100</v>
      </c>
      <c r="B5106" s="2" t="s">
        <v>10323</v>
      </c>
      <c r="C5106">
        <v>20</v>
      </c>
      <c r="D5106" t="s">
        <v>79</v>
      </c>
      <c r="E5106">
        <v>24</v>
      </c>
      <c r="F5106" t="s">
        <v>10123</v>
      </c>
      <c r="G5106">
        <v>731</v>
      </c>
      <c r="H5106">
        <v>1</v>
      </c>
      <c r="I5106" t="s">
        <v>145</v>
      </c>
      <c r="J5106">
        <v>0</v>
      </c>
      <c r="K5106">
        <v>2</v>
      </c>
      <c r="L5106">
        <v>2</v>
      </c>
      <c r="M5106">
        <v>139</v>
      </c>
      <c r="N5106">
        <v>216</v>
      </c>
      <c r="O5106">
        <v>0</v>
      </c>
      <c r="P5106">
        <v>216</v>
      </c>
      <c r="Q5106">
        <v>2</v>
      </c>
      <c r="R5106">
        <v>96</v>
      </c>
      <c r="S5106">
        <v>0</v>
      </c>
      <c r="T5106">
        <v>5</v>
      </c>
      <c r="U5106">
        <v>1</v>
      </c>
      <c r="V5106">
        <v>2</v>
      </c>
      <c r="W5106">
        <v>77</v>
      </c>
      <c r="X5106">
        <v>3</v>
      </c>
      <c r="Y5106">
        <v>12</v>
      </c>
      <c r="Z5106">
        <v>1</v>
      </c>
      <c r="AB5106">
        <v>0</v>
      </c>
      <c r="AC5106">
        <v>0</v>
      </c>
      <c r="AD5106">
        <v>0</v>
      </c>
      <c r="AE5106">
        <v>0</v>
      </c>
      <c r="AF5106">
        <v>0</v>
      </c>
      <c r="AK5106">
        <v>0</v>
      </c>
      <c r="AL5106">
        <v>0</v>
      </c>
      <c r="AM5106">
        <v>0</v>
      </c>
      <c r="AN5106">
        <v>0</v>
      </c>
      <c r="AQ5106">
        <v>0</v>
      </c>
      <c r="AT5106">
        <v>0</v>
      </c>
      <c r="AU5106">
        <v>17</v>
      </c>
      <c r="AV5106">
        <v>216</v>
      </c>
      <c r="AW5106">
        <v>216</v>
      </c>
      <c r="AX5106">
        <v>333</v>
      </c>
      <c r="BA5106">
        <v>1</v>
      </c>
      <c r="BC5106" t="s">
        <v>10324</v>
      </c>
      <c r="BD5106" s="4">
        <v>43283.481249999997</v>
      </c>
      <c r="BE5106" s="4">
        <v>43283.484930555554</v>
      </c>
      <c r="BF5106" s="4">
        <v>43283.484930555554</v>
      </c>
      <c r="BG5106" t="s">
        <v>83</v>
      </c>
      <c r="BH5106" t="s">
        <v>84</v>
      </c>
      <c r="BI5106" t="s">
        <v>85</v>
      </c>
    </row>
    <row r="5107" spans="1:61" x14ac:dyDescent="0.3">
      <c r="A5107" t="str">
        <f>"200732B0100"</f>
        <v>200732B0100</v>
      </c>
      <c r="B5107" t="s">
        <v>10325</v>
      </c>
      <c r="C5107">
        <v>20</v>
      </c>
      <c r="D5107" t="s">
        <v>79</v>
      </c>
      <c r="E5107">
        <v>24</v>
      </c>
      <c r="F5107" t="s">
        <v>10123</v>
      </c>
      <c r="G5107">
        <v>732</v>
      </c>
      <c r="H5107">
        <v>1</v>
      </c>
      <c r="I5107" t="s">
        <v>81</v>
      </c>
      <c r="J5107">
        <v>0</v>
      </c>
      <c r="K5107">
        <v>2</v>
      </c>
      <c r="L5107">
        <v>2</v>
      </c>
      <c r="M5107">
        <v>266</v>
      </c>
      <c r="N5107">
        <v>348</v>
      </c>
      <c r="O5107">
        <v>64</v>
      </c>
      <c r="P5107">
        <v>348</v>
      </c>
      <c r="Q5107">
        <v>12</v>
      </c>
      <c r="R5107">
        <v>63</v>
      </c>
      <c r="S5107" t="s">
        <v>100</v>
      </c>
      <c r="T5107">
        <v>4</v>
      </c>
      <c r="U5107" t="s">
        <v>100</v>
      </c>
      <c r="V5107" t="s">
        <v>100</v>
      </c>
      <c r="W5107">
        <v>198</v>
      </c>
      <c r="X5107" t="s">
        <v>100</v>
      </c>
      <c r="Y5107">
        <v>32</v>
      </c>
      <c r="Z5107" t="s">
        <v>100</v>
      </c>
      <c r="AB5107" t="s">
        <v>100</v>
      </c>
      <c r="AC5107" t="s">
        <v>100</v>
      </c>
      <c r="AD5107" t="s">
        <v>100</v>
      </c>
      <c r="AE5107" t="s">
        <v>100</v>
      </c>
      <c r="AF5107" t="s">
        <v>100</v>
      </c>
      <c r="AK5107" t="s">
        <v>100</v>
      </c>
      <c r="AL5107" t="s">
        <v>100</v>
      </c>
      <c r="AM5107" t="s">
        <v>100</v>
      </c>
      <c r="AN5107" t="s">
        <v>100</v>
      </c>
      <c r="AQ5107" t="s">
        <v>100</v>
      </c>
      <c r="AT5107" t="s">
        <v>100</v>
      </c>
      <c r="AU5107">
        <v>39</v>
      </c>
      <c r="AV5107">
        <v>348</v>
      </c>
      <c r="AW5107">
        <v>348</v>
      </c>
      <c r="AX5107">
        <v>591</v>
      </c>
      <c r="AZ5107" t="s">
        <v>101</v>
      </c>
      <c r="BA5107">
        <v>1</v>
      </c>
      <c r="BC5107" t="s">
        <v>10326</v>
      </c>
      <c r="BD5107" s="4">
        <v>43283.751388888886</v>
      </c>
      <c r="BE5107" s="4">
        <v>43283.756122685183</v>
      </c>
      <c r="BF5107" s="4">
        <v>43283.756122685183</v>
      </c>
      <c r="BG5107" t="s">
        <v>83</v>
      </c>
      <c r="BH5107" t="s">
        <v>84</v>
      </c>
      <c r="BI5107" t="s">
        <v>85</v>
      </c>
    </row>
    <row r="5108" spans="1:61" x14ac:dyDescent="0.3">
      <c r="A5108" t="str">
        <f>"200732C0100"</f>
        <v>200732C0100</v>
      </c>
      <c r="B5108" t="s">
        <v>10327</v>
      </c>
      <c r="C5108">
        <v>20</v>
      </c>
      <c r="D5108" t="s">
        <v>79</v>
      </c>
      <c r="E5108">
        <v>24</v>
      </c>
      <c r="F5108" t="s">
        <v>10123</v>
      </c>
      <c r="G5108">
        <v>732</v>
      </c>
      <c r="H5108">
        <v>1</v>
      </c>
      <c r="I5108" t="s">
        <v>89</v>
      </c>
      <c r="J5108">
        <v>0</v>
      </c>
      <c r="K5108">
        <v>2</v>
      </c>
      <c r="L5108">
        <v>2</v>
      </c>
      <c r="M5108">
        <v>312</v>
      </c>
      <c r="N5108">
        <v>315</v>
      </c>
      <c r="O5108">
        <v>315</v>
      </c>
      <c r="P5108">
        <v>315</v>
      </c>
      <c r="Q5108">
        <v>17</v>
      </c>
      <c r="R5108">
        <v>45</v>
      </c>
      <c r="S5108" t="s">
        <v>100</v>
      </c>
      <c r="T5108">
        <v>8</v>
      </c>
      <c r="U5108" t="s">
        <v>100</v>
      </c>
      <c r="V5108" t="s">
        <v>100</v>
      </c>
      <c r="W5108">
        <v>160</v>
      </c>
      <c r="X5108" t="s">
        <v>100</v>
      </c>
      <c r="Y5108">
        <v>38</v>
      </c>
      <c r="Z5108" t="s">
        <v>100</v>
      </c>
      <c r="AB5108">
        <v>2</v>
      </c>
      <c r="AC5108" t="s">
        <v>100</v>
      </c>
      <c r="AD5108" t="s">
        <v>100</v>
      </c>
      <c r="AE5108" t="s">
        <v>100</v>
      </c>
      <c r="AF5108" t="s">
        <v>100</v>
      </c>
      <c r="AK5108" t="s">
        <v>100</v>
      </c>
      <c r="AL5108" t="s">
        <v>100</v>
      </c>
      <c r="AM5108" t="s">
        <v>100</v>
      </c>
      <c r="AN5108" t="s">
        <v>100</v>
      </c>
      <c r="AQ5108" t="s">
        <v>100</v>
      </c>
      <c r="AT5108" t="s">
        <v>100</v>
      </c>
      <c r="AU5108">
        <v>45</v>
      </c>
      <c r="AV5108">
        <v>315</v>
      </c>
      <c r="AW5108">
        <v>315</v>
      </c>
      <c r="AX5108">
        <v>591</v>
      </c>
      <c r="AZ5108" t="s">
        <v>101</v>
      </c>
      <c r="BA5108">
        <v>1</v>
      </c>
      <c r="BC5108" t="s">
        <v>10328</v>
      </c>
      <c r="BD5108" s="4">
        <v>43283.748611111114</v>
      </c>
      <c r="BE5108" s="4">
        <v>43283.75508101852</v>
      </c>
      <c r="BF5108" s="4">
        <v>43283.75508101852</v>
      </c>
      <c r="BG5108" t="s">
        <v>83</v>
      </c>
      <c r="BH5108" t="s">
        <v>84</v>
      </c>
      <c r="BI5108" t="s">
        <v>85</v>
      </c>
    </row>
    <row r="5109" spans="1:61" x14ac:dyDescent="0.3">
      <c r="A5109" t="str">
        <f>"200732C0200"</f>
        <v>200732C0200</v>
      </c>
      <c r="B5109" t="s">
        <v>10329</v>
      </c>
      <c r="C5109">
        <v>20</v>
      </c>
      <c r="D5109" t="s">
        <v>79</v>
      </c>
      <c r="E5109">
        <v>24</v>
      </c>
      <c r="F5109" t="s">
        <v>10123</v>
      </c>
      <c r="G5109">
        <v>732</v>
      </c>
      <c r="H5109">
        <v>2</v>
      </c>
      <c r="I5109" t="s">
        <v>89</v>
      </c>
      <c r="J5109">
        <v>0</v>
      </c>
      <c r="K5109">
        <v>2</v>
      </c>
      <c r="L5109">
        <v>2</v>
      </c>
      <c r="M5109">
        <v>287</v>
      </c>
      <c r="N5109">
        <v>326</v>
      </c>
      <c r="O5109">
        <v>3</v>
      </c>
      <c r="P5109">
        <v>326</v>
      </c>
      <c r="Q5109">
        <v>13</v>
      </c>
      <c r="R5109">
        <v>69</v>
      </c>
      <c r="S5109" t="s">
        <v>100</v>
      </c>
      <c r="T5109">
        <v>1</v>
      </c>
      <c r="U5109" t="s">
        <v>100</v>
      </c>
      <c r="V5109" t="s">
        <v>100</v>
      </c>
      <c r="W5109">
        <v>170</v>
      </c>
      <c r="X5109" t="s">
        <v>100</v>
      </c>
      <c r="Y5109">
        <v>25</v>
      </c>
      <c r="Z5109" t="s">
        <v>100</v>
      </c>
      <c r="AB5109" t="s">
        <v>100</v>
      </c>
      <c r="AC5109" t="s">
        <v>100</v>
      </c>
      <c r="AD5109" t="s">
        <v>100</v>
      </c>
      <c r="AE5109" t="s">
        <v>100</v>
      </c>
      <c r="AF5109" t="s">
        <v>100</v>
      </c>
      <c r="AK5109" t="s">
        <v>100</v>
      </c>
      <c r="AL5109" t="s">
        <v>100</v>
      </c>
      <c r="AM5109" t="s">
        <v>100</v>
      </c>
      <c r="AN5109" t="s">
        <v>100</v>
      </c>
      <c r="AQ5109" t="s">
        <v>100</v>
      </c>
      <c r="AT5109" t="s">
        <v>100</v>
      </c>
      <c r="AU5109">
        <v>45</v>
      </c>
      <c r="AV5109">
        <v>326</v>
      </c>
      <c r="AW5109">
        <v>323</v>
      </c>
      <c r="AX5109">
        <v>591</v>
      </c>
      <c r="AZ5109" t="s">
        <v>101</v>
      </c>
      <c r="BA5109">
        <v>1</v>
      </c>
      <c r="BC5109" t="s">
        <v>10330</v>
      </c>
      <c r="BD5109" s="4">
        <v>43283.788888888892</v>
      </c>
      <c r="BE5109" s="4">
        <v>43283.805324074077</v>
      </c>
      <c r="BF5109" s="4">
        <v>43283.805324074077</v>
      </c>
      <c r="BG5109" t="s">
        <v>83</v>
      </c>
      <c r="BH5109" t="s">
        <v>84</v>
      </c>
      <c r="BI5109" t="s">
        <v>85</v>
      </c>
    </row>
    <row r="5110" spans="1:61" x14ac:dyDescent="0.3">
      <c r="A5110" t="str">
        <f>"200732E0100"</f>
        <v>200732E0100</v>
      </c>
      <c r="B5110" s="2" t="s">
        <v>10331</v>
      </c>
      <c r="C5110">
        <v>20</v>
      </c>
      <c r="D5110" t="s">
        <v>79</v>
      </c>
      <c r="E5110">
        <v>24</v>
      </c>
      <c r="F5110" t="s">
        <v>10123</v>
      </c>
      <c r="G5110">
        <v>732</v>
      </c>
      <c r="H5110">
        <v>1</v>
      </c>
      <c r="I5110" t="s">
        <v>145</v>
      </c>
      <c r="J5110">
        <v>0</v>
      </c>
      <c r="K5110">
        <v>2</v>
      </c>
      <c r="L5110">
        <v>2</v>
      </c>
      <c r="M5110">
        <v>145</v>
      </c>
      <c r="N5110">
        <v>180</v>
      </c>
      <c r="O5110">
        <v>1</v>
      </c>
      <c r="P5110">
        <v>180</v>
      </c>
      <c r="Q5110">
        <v>8</v>
      </c>
      <c r="R5110">
        <v>30</v>
      </c>
      <c r="S5110" t="s">
        <v>100</v>
      </c>
      <c r="T5110" t="s">
        <v>100</v>
      </c>
      <c r="U5110" t="s">
        <v>100</v>
      </c>
      <c r="V5110" t="s">
        <v>100</v>
      </c>
      <c r="W5110">
        <v>113</v>
      </c>
      <c r="X5110" t="s">
        <v>100</v>
      </c>
      <c r="Y5110">
        <v>14</v>
      </c>
      <c r="Z5110" t="s">
        <v>100</v>
      </c>
      <c r="AB5110" t="s">
        <v>100</v>
      </c>
      <c r="AC5110" t="s">
        <v>100</v>
      </c>
      <c r="AD5110" t="s">
        <v>100</v>
      </c>
      <c r="AE5110" t="s">
        <v>100</v>
      </c>
      <c r="AF5110" t="s">
        <v>100</v>
      </c>
      <c r="AK5110" t="s">
        <v>100</v>
      </c>
      <c r="AL5110" t="s">
        <v>100</v>
      </c>
      <c r="AM5110" t="s">
        <v>100</v>
      </c>
      <c r="AN5110" t="s">
        <v>100</v>
      </c>
      <c r="AQ5110" t="s">
        <v>100</v>
      </c>
      <c r="AT5110" t="s">
        <v>100</v>
      </c>
      <c r="AU5110">
        <v>15</v>
      </c>
      <c r="AV5110">
        <v>180</v>
      </c>
      <c r="AW5110">
        <v>180</v>
      </c>
      <c r="AX5110">
        <v>296</v>
      </c>
      <c r="AZ5110" t="s">
        <v>101</v>
      </c>
      <c r="BA5110">
        <v>1</v>
      </c>
      <c r="BC5110" t="s">
        <v>10332</v>
      </c>
      <c r="BD5110" s="4">
        <v>43283.75277777778</v>
      </c>
      <c r="BE5110" s="4">
        <v>43283.757141203707</v>
      </c>
      <c r="BF5110" s="4">
        <v>43283.757141203707</v>
      </c>
      <c r="BG5110" t="s">
        <v>83</v>
      </c>
      <c r="BH5110" t="s">
        <v>84</v>
      </c>
      <c r="BI5110" t="s">
        <v>85</v>
      </c>
    </row>
    <row r="5111" spans="1:61" x14ac:dyDescent="0.3">
      <c r="A5111" t="str">
        <f>"200733B0100"</f>
        <v>200733B0100</v>
      </c>
      <c r="B5111" t="s">
        <v>10333</v>
      </c>
      <c r="C5111">
        <v>20</v>
      </c>
      <c r="D5111" t="s">
        <v>79</v>
      </c>
      <c r="E5111">
        <v>24</v>
      </c>
      <c r="F5111" t="s">
        <v>10123</v>
      </c>
      <c r="G5111">
        <v>733</v>
      </c>
      <c r="H5111">
        <v>1</v>
      </c>
      <c r="I5111" t="s">
        <v>81</v>
      </c>
      <c r="J5111">
        <v>0</v>
      </c>
      <c r="K5111">
        <v>2</v>
      </c>
      <c r="L5111">
        <v>2</v>
      </c>
      <c r="M5111" t="s">
        <v>100</v>
      </c>
      <c r="N5111" t="s">
        <v>100</v>
      </c>
      <c r="O5111" t="s">
        <v>100</v>
      </c>
      <c r="P5111" t="s">
        <v>100</v>
      </c>
      <c r="Q5111">
        <v>26</v>
      </c>
      <c r="R5111">
        <v>150</v>
      </c>
      <c r="S5111">
        <v>3</v>
      </c>
      <c r="T5111">
        <v>3</v>
      </c>
      <c r="U5111">
        <v>12</v>
      </c>
      <c r="V5111">
        <v>3</v>
      </c>
      <c r="W5111">
        <v>137</v>
      </c>
      <c r="X5111">
        <v>9</v>
      </c>
      <c r="Y5111">
        <v>91</v>
      </c>
      <c r="Z5111">
        <v>12</v>
      </c>
      <c r="AB5111">
        <v>1</v>
      </c>
      <c r="AC5111">
        <v>1</v>
      </c>
      <c r="AD5111">
        <v>0</v>
      </c>
      <c r="AE5111">
        <v>0</v>
      </c>
      <c r="AF5111">
        <v>0</v>
      </c>
      <c r="AK5111">
        <v>2</v>
      </c>
      <c r="AL5111">
        <v>2</v>
      </c>
      <c r="AM5111">
        <v>0</v>
      </c>
      <c r="AN5111">
        <v>0</v>
      </c>
      <c r="AQ5111">
        <v>0</v>
      </c>
      <c r="AT5111">
        <v>0</v>
      </c>
      <c r="AU5111">
        <v>22</v>
      </c>
      <c r="AV5111">
        <v>474</v>
      </c>
      <c r="AW5111">
        <v>474</v>
      </c>
      <c r="AX5111">
        <v>689</v>
      </c>
      <c r="BA5111">
        <v>1</v>
      </c>
      <c r="BC5111" t="s">
        <v>10334</v>
      </c>
      <c r="BD5111" s="4">
        <v>43283.752083333333</v>
      </c>
      <c r="BE5111" s="4">
        <v>43283.763958333337</v>
      </c>
      <c r="BF5111" s="4">
        <v>43283.763958333337</v>
      </c>
      <c r="BG5111" t="s">
        <v>83</v>
      </c>
      <c r="BH5111" t="s">
        <v>84</v>
      </c>
      <c r="BI5111" t="s">
        <v>85</v>
      </c>
    </row>
    <row r="5112" spans="1:61" x14ac:dyDescent="0.3">
      <c r="A5112" t="str">
        <f>"200733C0100"</f>
        <v>200733C0100</v>
      </c>
      <c r="B5112" t="s">
        <v>10335</v>
      </c>
      <c r="C5112">
        <v>20</v>
      </c>
      <c r="D5112" t="s">
        <v>79</v>
      </c>
      <c r="E5112">
        <v>24</v>
      </c>
      <c r="F5112" t="s">
        <v>10123</v>
      </c>
      <c r="G5112">
        <v>733</v>
      </c>
      <c r="H5112">
        <v>1</v>
      </c>
      <c r="I5112" t="s">
        <v>89</v>
      </c>
      <c r="J5112">
        <v>0</v>
      </c>
      <c r="K5112">
        <v>2</v>
      </c>
      <c r="L5112">
        <v>2</v>
      </c>
      <c r="M5112">
        <v>249</v>
      </c>
      <c r="N5112">
        <v>461</v>
      </c>
      <c r="O5112">
        <v>2</v>
      </c>
      <c r="P5112">
        <v>461</v>
      </c>
      <c r="Q5112">
        <v>21</v>
      </c>
      <c r="R5112">
        <v>152</v>
      </c>
      <c r="S5112">
        <v>4</v>
      </c>
      <c r="T5112">
        <v>9</v>
      </c>
      <c r="U5112">
        <v>8</v>
      </c>
      <c r="V5112">
        <v>5</v>
      </c>
      <c r="W5112">
        <v>142</v>
      </c>
      <c r="X5112">
        <v>3</v>
      </c>
      <c r="Y5112">
        <v>74</v>
      </c>
      <c r="Z5112">
        <v>13</v>
      </c>
      <c r="AB5112">
        <v>2</v>
      </c>
      <c r="AC5112">
        <v>0</v>
      </c>
      <c r="AD5112">
        <v>0</v>
      </c>
      <c r="AE5112">
        <v>0</v>
      </c>
      <c r="AF5112">
        <v>0</v>
      </c>
      <c r="AK5112">
        <v>0</v>
      </c>
      <c r="AL5112">
        <v>0</v>
      </c>
      <c r="AM5112">
        <v>0</v>
      </c>
      <c r="AN5112">
        <v>3</v>
      </c>
      <c r="AQ5112">
        <v>0</v>
      </c>
      <c r="AT5112">
        <v>0</v>
      </c>
      <c r="AU5112">
        <v>24</v>
      </c>
      <c r="AV5112">
        <v>460</v>
      </c>
      <c r="AW5112">
        <v>460</v>
      </c>
      <c r="AX5112">
        <v>688</v>
      </c>
      <c r="BA5112">
        <v>1</v>
      </c>
      <c r="BC5112" t="s">
        <v>10336</v>
      </c>
      <c r="BD5112" s="4">
        <v>43283.747916666667</v>
      </c>
      <c r="BE5112" s="4">
        <v>43283.752465277779</v>
      </c>
      <c r="BF5112" s="4">
        <v>43283.752465277779</v>
      </c>
      <c r="BG5112" t="s">
        <v>83</v>
      </c>
      <c r="BH5112" t="s">
        <v>84</v>
      </c>
      <c r="BI5112" t="s">
        <v>85</v>
      </c>
    </row>
    <row r="5113" spans="1:61" x14ac:dyDescent="0.3">
      <c r="A5113" t="str">
        <f>"200753B0100"</f>
        <v>200753B0100</v>
      </c>
      <c r="B5113" t="s">
        <v>10337</v>
      </c>
      <c r="C5113">
        <v>20</v>
      </c>
      <c r="D5113" t="s">
        <v>79</v>
      </c>
      <c r="E5113">
        <v>24</v>
      </c>
      <c r="F5113" t="s">
        <v>10123</v>
      </c>
      <c r="G5113">
        <v>753</v>
      </c>
      <c r="H5113">
        <v>1</v>
      </c>
      <c r="I5113" t="s">
        <v>81</v>
      </c>
      <c r="J5113">
        <v>0</v>
      </c>
      <c r="K5113">
        <v>2</v>
      </c>
      <c r="L5113">
        <v>2</v>
      </c>
      <c r="M5113">
        <v>298</v>
      </c>
      <c r="N5113">
        <v>270</v>
      </c>
      <c r="O5113">
        <v>1</v>
      </c>
      <c r="P5113">
        <v>270</v>
      </c>
      <c r="Q5113">
        <v>18</v>
      </c>
      <c r="R5113">
        <v>79</v>
      </c>
      <c r="S5113">
        <v>3</v>
      </c>
      <c r="T5113">
        <v>6</v>
      </c>
      <c r="U5113">
        <v>16</v>
      </c>
      <c r="V5113">
        <v>6</v>
      </c>
      <c r="W5113">
        <v>3</v>
      </c>
      <c r="X5113">
        <v>12</v>
      </c>
      <c r="Y5113">
        <v>77</v>
      </c>
      <c r="Z5113">
        <v>10</v>
      </c>
      <c r="AB5113">
        <v>0</v>
      </c>
      <c r="AC5113">
        <v>0</v>
      </c>
      <c r="AD5113">
        <v>0</v>
      </c>
      <c r="AE5113">
        <v>0</v>
      </c>
      <c r="AF5113">
        <v>0</v>
      </c>
      <c r="AK5113">
        <v>1</v>
      </c>
      <c r="AL5113">
        <v>2</v>
      </c>
      <c r="AM5113">
        <v>0</v>
      </c>
      <c r="AN5113">
        <v>2</v>
      </c>
      <c r="AQ5113">
        <v>0</v>
      </c>
      <c r="AT5113">
        <v>0</v>
      </c>
      <c r="AU5113">
        <v>35</v>
      </c>
      <c r="AV5113">
        <v>270</v>
      </c>
      <c r="AW5113">
        <v>270</v>
      </c>
      <c r="AX5113">
        <v>546</v>
      </c>
      <c r="BA5113">
        <v>1</v>
      </c>
      <c r="BC5113" t="s">
        <v>10338</v>
      </c>
      <c r="BD5113" s="4">
        <v>43283.073611111111</v>
      </c>
      <c r="BE5113" s="4">
        <v>43283.079699074071</v>
      </c>
      <c r="BF5113" s="4">
        <v>43283.079699074071</v>
      </c>
      <c r="BG5113" t="s">
        <v>83</v>
      </c>
      <c r="BH5113" t="s">
        <v>84</v>
      </c>
      <c r="BI5113" t="s">
        <v>548</v>
      </c>
    </row>
    <row r="5114" spans="1:61" x14ac:dyDescent="0.3">
      <c r="A5114" t="str">
        <f>"200753C0100"</f>
        <v>200753C0100</v>
      </c>
      <c r="B5114" t="s">
        <v>10339</v>
      </c>
      <c r="C5114">
        <v>20</v>
      </c>
      <c r="D5114" t="s">
        <v>79</v>
      </c>
      <c r="E5114">
        <v>24</v>
      </c>
      <c r="F5114" t="s">
        <v>10123</v>
      </c>
      <c r="G5114">
        <v>753</v>
      </c>
      <c r="H5114">
        <v>1</v>
      </c>
      <c r="I5114" t="s">
        <v>89</v>
      </c>
      <c r="J5114">
        <v>0</v>
      </c>
      <c r="K5114">
        <v>2</v>
      </c>
      <c r="L5114">
        <v>2</v>
      </c>
      <c r="M5114">
        <v>295</v>
      </c>
      <c r="N5114">
        <v>295</v>
      </c>
      <c r="O5114">
        <v>295</v>
      </c>
      <c r="P5114">
        <v>295</v>
      </c>
      <c r="Q5114">
        <v>23</v>
      </c>
      <c r="R5114">
        <v>71</v>
      </c>
      <c r="S5114">
        <v>4</v>
      </c>
      <c r="T5114">
        <v>8</v>
      </c>
      <c r="U5114">
        <v>37</v>
      </c>
      <c r="V5114">
        <v>5</v>
      </c>
      <c r="W5114">
        <v>6</v>
      </c>
      <c r="X5114">
        <v>6</v>
      </c>
      <c r="Y5114">
        <v>71</v>
      </c>
      <c r="Z5114">
        <v>5</v>
      </c>
      <c r="AB5114">
        <v>1</v>
      </c>
      <c r="AC5114">
        <v>0</v>
      </c>
      <c r="AD5114">
        <v>0</v>
      </c>
      <c r="AE5114">
        <v>0</v>
      </c>
      <c r="AF5114">
        <v>0</v>
      </c>
      <c r="AK5114">
        <v>1</v>
      </c>
      <c r="AL5114">
        <v>1</v>
      </c>
      <c r="AM5114">
        <v>0</v>
      </c>
      <c r="AN5114">
        <v>1</v>
      </c>
      <c r="AQ5114">
        <v>0</v>
      </c>
      <c r="AT5114" t="s">
        <v>100</v>
      </c>
      <c r="AU5114">
        <v>36</v>
      </c>
      <c r="AV5114">
        <v>275</v>
      </c>
      <c r="AW5114">
        <v>276</v>
      </c>
      <c r="AX5114">
        <v>546</v>
      </c>
      <c r="AZ5114" t="s">
        <v>101</v>
      </c>
      <c r="BA5114">
        <v>1</v>
      </c>
      <c r="BC5114" t="s">
        <v>10340</v>
      </c>
      <c r="BD5114" s="4">
        <v>43283.061111111114</v>
      </c>
      <c r="BE5114" s="4">
        <v>43283.065729166665</v>
      </c>
      <c r="BF5114" s="4">
        <v>43283.065729166665</v>
      </c>
      <c r="BG5114" t="s">
        <v>83</v>
      </c>
      <c r="BH5114" t="s">
        <v>84</v>
      </c>
      <c r="BI5114" t="s">
        <v>85</v>
      </c>
    </row>
    <row r="5115" spans="1:61" x14ac:dyDescent="0.3">
      <c r="A5115" t="str">
        <f>"200753C0200"</f>
        <v>200753C0200</v>
      </c>
      <c r="B5115" t="s">
        <v>10341</v>
      </c>
      <c r="C5115">
        <v>20</v>
      </c>
      <c r="D5115" t="s">
        <v>79</v>
      </c>
      <c r="E5115">
        <v>24</v>
      </c>
      <c r="F5115" t="s">
        <v>10123</v>
      </c>
      <c r="G5115">
        <v>753</v>
      </c>
      <c r="H5115">
        <v>2</v>
      </c>
      <c r="I5115" t="s">
        <v>89</v>
      </c>
      <c r="J5115">
        <v>0</v>
      </c>
      <c r="K5115">
        <v>2</v>
      </c>
      <c r="L5115">
        <v>2</v>
      </c>
      <c r="M5115">
        <v>307</v>
      </c>
      <c r="N5115">
        <v>261</v>
      </c>
      <c r="O5115">
        <v>3</v>
      </c>
      <c r="P5115">
        <v>261</v>
      </c>
      <c r="Q5115">
        <v>20</v>
      </c>
      <c r="R5115">
        <v>84</v>
      </c>
      <c r="S5115">
        <v>3</v>
      </c>
      <c r="T5115">
        <v>8</v>
      </c>
      <c r="U5115">
        <v>9</v>
      </c>
      <c r="V5115">
        <v>5</v>
      </c>
      <c r="W5115">
        <v>3</v>
      </c>
      <c r="X5115">
        <v>6</v>
      </c>
      <c r="Y5115">
        <v>65</v>
      </c>
      <c r="Z5115">
        <v>6</v>
      </c>
      <c r="AB5115">
        <v>2</v>
      </c>
      <c r="AC5115">
        <v>0</v>
      </c>
      <c r="AD5115">
        <v>0</v>
      </c>
      <c r="AE5115">
        <v>0</v>
      </c>
      <c r="AF5115">
        <v>0</v>
      </c>
      <c r="AK5115">
        <v>3</v>
      </c>
      <c r="AL5115">
        <v>0</v>
      </c>
      <c r="AM5115">
        <v>0</v>
      </c>
      <c r="AN5115">
        <v>0</v>
      </c>
      <c r="AQ5115">
        <v>0</v>
      </c>
      <c r="AT5115">
        <v>0</v>
      </c>
      <c r="AU5115">
        <v>39</v>
      </c>
      <c r="AV5115">
        <v>269</v>
      </c>
      <c r="AW5115">
        <v>253</v>
      </c>
      <c r="AX5115">
        <v>546</v>
      </c>
      <c r="BA5115">
        <v>1</v>
      </c>
      <c r="BC5115" t="s">
        <v>10342</v>
      </c>
      <c r="BD5115" s="4">
        <v>43283.05972222222</v>
      </c>
      <c r="BE5115" s="4">
        <v>43283.065034722225</v>
      </c>
      <c r="BF5115" s="4">
        <v>43283.065034722225</v>
      </c>
      <c r="BG5115" t="s">
        <v>83</v>
      </c>
      <c r="BH5115" t="s">
        <v>84</v>
      </c>
      <c r="BI5115" t="s">
        <v>85</v>
      </c>
    </row>
    <row r="5116" spans="1:61" x14ac:dyDescent="0.3">
      <c r="A5116" t="str">
        <f>"200754B0100"</f>
        <v>200754B0100</v>
      </c>
      <c r="B5116" t="s">
        <v>10343</v>
      </c>
      <c r="C5116">
        <v>20</v>
      </c>
      <c r="D5116" t="s">
        <v>79</v>
      </c>
      <c r="E5116">
        <v>24</v>
      </c>
      <c r="F5116" t="s">
        <v>10123</v>
      </c>
      <c r="G5116">
        <v>754</v>
      </c>
      <c r="H5116">
        <v>1</v>
      </c>
      <c r="I5116" t="s">
        <v>81</v>
      </c>
      <c r="J5116">
        <v>0</v>
      </c>
      <c r="K5116">
        <v>2</v>
      </c>
      <c r="L5116">
        <v>2</v>
      </c>
      <c r="M5116">
        <v>220</v>
      </c>
      <c r="N5116">
        <v>218</v>
      </c>
      <c r="O5116">
        <v>2</v>
      </c>
      <c r="P5116">
        <v>218</v>
      </c>
      <c r="Q5116">
        <v>25</v>
      </c>
      <c r="R5116">
        <v>31</v>
      </c>
      <c r="S5116">
        <v>6</v>
      </c>
      <c r="T5116">
        <v>2</v>
      </c>
      <c r="U5116">
        <v>25</v>
      </c>
      <c r="V5116">
        <v>3</v>
      </c>
      <c r="W5116">
        <v>4</v>
      </c>
      <c r="X5116">
        <v>2</v>
      </c>
      <c r="Y5116">
        <v>74</v>
      </c>
      <c r="Z5116">
        <v>9</v>
      </c>
      <c r="AB5116">
        <v>2</v>
      </c>
      <c r="AC5116">
        <v>0</v>
      </c>
      <c r="AD5116">
        <v>0</v>
      </c>
      <c r="AE5116">
        <v>0</v>
      </c>
      <c r="AF5116">
        <v>0</v>
      </c>
      <c r="AK5116">
        <v>6</v>
      </c>
      <c r="AL5116">
        <v>0</v>
      </c>
      <c r="AM5116">
        <v>3</v>
      </c>
      <c r="AN5116">
        <v>0</v>
      </c>
      <c r="AQ5116">
        <v>0</v>
      </c>
      <c r="AT5116">
        <v>0</v>
      </c>
      <c r="AU5116">
        <v>25</v>
      </c>
      <c r="AV5116">
        <v>218</v>
      </c>
      <c r="AW5116">
        <v>217</v>
      </c>
      <c r="AX5116">
        <v>417</v>
      </c>
      <c r="BA5116">
        <v>1</v>
      </c>
      <c r="BC5116" t="s">
        <v>10344</v>
      </c>
      <c r="BD5116" s="4">
        <v>43283.054861111108</v>
      </c>
      <c r="BE5116" s="4">
        <v>43283.060023148151</v>
      </c>
      <c r="BF5116" s="4">
        <v>43283.060023148151</v>
      </c>
      <c r="BG5116" t="s">
        <v>83</v>
      </c>
      <c r="BH5116" t="s">
        <v>84</v>
      </c>
      <c r="BI5116" t="s">
        <v>85</v>
      </c>
    </row>
    <row r="5117" spans="1:61" x14ac:dyDescent="0.3">
      <c r="A5117" t="str">
        <f>"200754C0100"</f>
        <v>200754C0100</v>
      </c>
      <c r="B5117" t="s">
        <v>10345</v>
      </c>
      <c r="C5117">
        <v>20</v>
      </c>
      <c r="D5117" t="s">
        <v>79</v>
      </c>
      <c r="E5117">
        <v>24</v>
      </c>
      <c r="F5117" t="s">
        <v>10123</v>
      </c>
      <c r="G5117">
        <v>754</v>
      </c>
      <c r="H5117">
        <v>1</v>
      </c>
      <c r="I5117" t="s">
        <v>89</v>
      </c>
      <c r="J5117">
        <v>0</v>
      </c>
      <c r="K5117">
        <v>2</v>
      </c>
      <c r="L5117">
        <v>2</v>
      </c>
      <c r="M5117">
        <v>256</v>
      </c>
      <c r="N5117">
        <v>183</v>
      </c>
      <c r="O5117">
        <v>0</v>
      </c>
      <c r="P5117">
        <v>183</v>
      </c>
      <c r="Q5117">
        <v>15</v>
      </c>
      <c r="R5117">
        <v>33</v>
      </c>
      <c r="S5117">
        <v>6</v>
      </c>
      <c r="T5117">
        <v>3</v>
      </c>
      <c r="U5117">
        <v>10</v>
      </c>
      <c r="V5117">
        <v>2</v>
      </c>
      <c r="W5117">
        <v>1</v>
      </c>
      <c r="X5117">
        <v>3</v>
      </c>
      <c r="Y5117">
        <v>76</v>
      </c>
      <c r="Z5117">
        <v>10</v>
      </c>
      <c r="AB5117">
        <v>1</v>
      </c>
      <c r="AC5117">
        <v>0</v>
      </c>
      <c r="AD5117">
        <v>0</v>
      </c>
      <c r="AE5117">
        <v>0</v>
      </c>
      <c r="AF5117">
        <v>0</v>
      </c>
      <c r="AK5117">
        <v>1</v>
      </c>
      <c r="AL5117">
        <v>2</v>
      </c>
      <c r="AM5117">
        <v>0</v>
      </c>
      <c r="AN5117">
        <v>3</v>
      </c>
      <c r="AQ5117">
        <v>0</v>
      </c>
      <c r="AT5117">
        <v>0</v>
      </c>
      <c r="AU5117">
        <v>17</v>
      </c>
      <c r="AV5117">
        <v>183</v>
      </c>
      <c r="AW5117">
        <v>183</v>
      </c>
      <c r="AX5117">
        <v>417</v>
      </c>
      <c r="BA5117">
        <v>1</v>
      </c>
      <c r="BC5117" t="s">
        <v>10346</v>
      </c>
      <c r="BD5117" s="4">
        <v>43283.053472222222</v>
      </c>
      <c r="BE5117" s="4">
        <v>43283.056944444441</v>
      </c>
      <c r="BF5117" s="4">
        <v>43283.056944444441</v>
      </c>
      <c r="BG5117" t="s">
        <v>83</v>
      </c>
      <c r="BH5117" t="s">
        <v>84</v>
      </c>
      <c r="BI5117" t="s">
        <v>85</v>
      </c>
    </row>
    <row r="5118" spans="1:61" x14ac:dyDescent="0.3">
      <c r="A5118" t="str">
        <f>"200754E0100"</f>
        <v>200754E0100</v>
      </c>
      <c r="B5118" s="2" t="s">
        <v>10347</v>
      </c>
      <c r="C5118">
        <v>20</v>
      </c>
      <c r="D5118" t="s">
        <v>79</v>
      </c>
      <c r="E5118">
        <v>24</v>
      </c>
      <c r="F5118" t="s">
        <v>10123</v>
      </c>
      <c r="G5118">
        <v>754</v>
      </c>
      <c r="H5118">
        <v>1</v>
      </c>
      <c r="I5118" t="s">
        <v>145</v>
      </c>
      <c r="J5118">
        <v>0</v>
      </c>
      <c r="K5118">
        <v>2</v>
      </c>
      <c r="L5118">
        <v>2</v>
      </c>
      <c r="M5118">
        <v>60</v>
      </c>
      <c r="N5118">
        <v>98</v>
      </c>
      <c r="O5118">
        <v>3</v>
      </c>
      <c r="P5118">
        <v>98</v>
      </c>
      <c r="Q5118">
        <v>11</v>
      </c>
      <c r="R5118">
        <v>29</v>
      </c>
      <c r="S5118">
        <v>1</v>
      </c>
      <c r="T5118">
        <v>1</v>
      </c>
      <c r="U5118">
        <v>1</v>
      </c>
      <c r="V5118">
        <v>1</v>
      </c>
      <c r="W5118">
        <v>3</v>
      </c>
      <c r="X5118">
        <v>5</v>
      </c>
      <c r="Y5118">
        <v>26</v>
      </c>
      <c r="Z5118">
        <v>1</v>
      </c>
      <c r="AB5118">
        <v>0</v>
      </c>
      <c r="AC5118">
        <v>0</v>
      </c>
      <c r="AD5118">
        <v>0</v>
      </c>
      <c r="AE5118">
        <v>0</v>
      </c>
      <c r="AF5118">
        <v>0</v>
      </c>
      <c r="AK5118">
        <v>5</v>
      </c>
      <c r="AL5118">
        <v>0</v>
      </c>
      <c r="AM5118">
        <v>1</v>
      </c>
      <c r="AN5118">
        <v>1</v>
      </c>
      <c r="AQ5118">
        <v>0</v>
      </c>
      <c r="AT5118">
        <v>0</v>
      </c>
      <c r="AU5118">
        <v>12</v>
      </c>
      <c r="AV5118">
        <v>98</v>
      </c>
      <c r="AW5118">
        <v>98</v>
      </c>
      <c r="AX5118">
        <v>136</v>
      </c>
      <c r="BA5118">
        <v>1</v>
      </c>
      <c r="BC5118" t="s">
        <v>10348</v>
      </c>
      <c r="BD5118" s="4">
        <v>43283.052777777775</v>
      </c>
      <c r="BE5118" s="4">
        <v>43283.056203703702</v>
      </c>
      <c r="BF5118" s="4">
        <v>43283.056203703702</v>
      </c>
      <c r="BG5118" t="s">
        <v>83</v>
      </c>
      <c r="BH5118" t="s">
        <v>84</v>
      </c>
      <c r="BI5118" t="s">
        <v>85</v>
      </c>
    </row>
    <row r="5119" spans="1:61" x14ac:dyDescent="0.3">
      <c r="A5119" t="str">
        <f>"200755B0100"</f>
        <v>200755B0100</v>
      </c>
      <c r="B5119" t="s">
        <v>10349</v>
      </c>
      <c r="C5119">
        <v>20</v>
      </c>
      <c r="D5119" t="s">
        <v>79</v>
      </c>
      <c r="E5119">
        <v>24</v>
      </c>
      <c r="F5119" t="s">
        <v>10123</v>
      </c>
      <c r="G5119">
        <v>755</v>
      </c>
      <c r="H5119">
        <v>1</v>
      </c>
      <c r="I5119" t="s">
        <v>81</v>
      </c>
      <c r="J5119">
        <v>0</v>
      </c>
      <c r="K5119">
        <v>2</v>
      </c>
      <c r="L5119">
        <v>2</v>
      </c>
      <c r="M5119">
        <v>159</v>
      </c>
      <c r="N5119" t="s">
        <v>100</v>
      </c>
      <c r="O5119">
        <v>0</v>
      </c>
      <c r="P5119">
        <v>239</v>
      </c>
      <c r="Q5119">
        <v>46</v>
      </c>
      <c r="R5119">
        <v>18</v>
      </c>
      <c r="S5119">
        <v>3</v>
      </c>
      <c r="T5119">
        <v>6</v>
      </c>
      <c r="U5119">
        <v>28</v>
      </c>
      <c r="V5119">
        <v>2</v>
      </c>
      <c r="W5119">
        <v>12</v>
      </c>
      <c r="X5119">
        <v>4</v>
      </c>
      <c r="Y5119">
        <v>74</v>
      </c>
      <c r="Z5119">
        <v>9</v>
      </c>
      <c r="AB5119">
        <v>2</v>
      </c>
      <c r="AC5119">
        <v>5</v>
      </c>
      <c r="AD5119">
        <v>2</v>
      </c>
      <c r="AE5119">
        <v>0</v>
      </c>
      <c r="AF5119">
        <v>1</v>
      </c>
      <c r="AK5119">
        <v>0</v>
      </c>
      <c r="AL5119">
        <v>0</v>
      </c>
      <c r="AM5119">
        <v>0</v>
      </c>
      <c r="AN5119">
        <v>0</v>
      </c>
      <c r="AQ5119">
        <v>0</v>
      </c>
      <c r="AT5119">
        <v>0</v>
      </c>
      <c r="AU5119">
        <v>27</v>
      </c>
      <c r="AV5119" t="s">
        <v>100</v>
      </c>
      <c r="AW5119">
        <v>239</v>
      </c>
      <c r="AX5119">
        <v>376</v>
      </c>
      <c r="BA5119">
        <v>1</v>
      </c>
      <c r="BC5119" t="s">
        <v>10350</v>
      </c>
      <c r="BD5119" s="4">
        <v>43283.04583333333</v>
      </c>
      <c r="BE5119" s="4">
        <v>43283.056134259263</v>
      </c>
      <c r="BF5119" s="4">
        <v>43283.056134259263</v>
      </c>
      <c r="BG5119" t="s">
        <v>83</v>
      </c>
      <c r="BH5119" t="s">
        <v>84</v>
      </c>
      <c r="BI5119" t="s">
        <v>85</v>
      </c>
    </row>
    <row r="5120" spans="1:61" x14ac:dyDescent="0.3">
      <c r="A5120" t="str">
        <f>"200794B0100"</f>
        <v>200794B0100</v>
      </c>
      <c r="B5120" t="s">
        <v>10351</v>
      </c>
      <c r="C5120">
        <v>20</v>
      </c>
      <c r="D5120" t="s">
        <v>79</v>
      </c>
      <c r="E5120">
        <v>24</v>
      </c>
      <c r="F5120" t="s">
        <v>10123</v>
      </c>
      <c r="G5120">
        <v>794</v>
      </c>
      <c r="H5120">
        <v>1</v>
      </c>
      <c r="I5120" t="s">
        <v>81</v>
      </c>
      <c r="J5120">
        <v>0</v>
      </c>
      <c r="K5120">
        <v>2</v>
      </c>
      <c r="L5120">
        <v>2</v>
      </c>
      <c r="M5120">
        <v>189</v>
      </c>
      <c r="N5120">
        <v>405</v>
      </c>
      <c r="O5120">
        <v>0</v>
      </c>
      <c r="P5120">
        <v>405</v>
      </c>
      <c r="Q5120">
        <v>31</v>
      </c>
      <c r="R5120">
        <v>68</v>
      </c>
      <c r="S5120">
        <v>2</v>
      </c>
      <c r="T5120">
        <v>6</v>
      </c>
      <c r="U5120">
        <v>11</v>
      </c>
      <c r="V5120">
        <v>6</v>
      </c>
      <c r="W5120">
        <v>1</v>
      </c>
      <c r="X5120">
        <v>11</v>
      </c>
      <c r="Y5120">
        <v>228</v>
      </c>
      <c r="Z5120">
        <v>12</v>
      </c>
      <c r="AB5120">
        <v>1</v>
      </c>
      <c r="AC5120">
        <v>0</v>
      </c>
      <c r="AD5120">
        <v>1</v>
      </c>
      <c r="AE5120">
        <v>0</v>
      </c>
      <c r="AF5120">
        <v>0</v>
      </c>
      <c r="AK5120">
        <v>3</v>
      </c>
      <c r="AL5120">
        <v>3</v>
      </c>
      <c r="AM5120">
        <v>1</v>
      </c>
      <c r="AN5120">
        <v>3</v>
      </c>
      <c r="AQ5120">
        <v>0</v>
      </c>
      <c r="AT5120">
        <v>1</v>
      </c>
      <c r="AU5120">
        <v>16</v>
      </c>
      <c r="AV5120">
        <v>405</v>
      </c>
      <c r="AW5120">
        <v>405</v>
      </c>
      <c r="AX5120">
        <v>572</v>
      </c>
      <c r="BA5120">
        <v>1</v>
      </c>
      <c r="BC5120" t="s">
        <v>10352</v>
      </c>
      <c r="BD5120" s="4">
        <v>43283.274305555555</v>
      </c>
      <c r="BE5120" s="4">
        <v>43283.302465277775</v>
      </c>
      <c r="BF5120" s="4">
        <v>43283.302465277775</v>
      </c>
      <c r="BG5120" t="s">
        <v>83</v>
      </c>
      <c r="BH5120" t="s">
        <v>84</v>
      </c>
      <c r="BI5120" t="s">
        <v>85</v>
      </c>
    </row>
    <row r="5121" spans="1:61" x14ac:dyDescent="0.3">
      <c r="A5121" t="str">
        <f>"200794C0100"</f>
        <v>200794C0100</v>
      </c>
      <c r="B5121" t="s">
        <v>10353</v>
      </c>
      <c r="C5121">
        <v>20</v>
      </c>
      <c r="D5121" t="s">
        <v>79</v>
      </c>
      <c r="E5121">
        <v>24</v>
      </c>
      <c r="F5121" t="s">
        <v>10123</v>
      </c>
      <c r="G5121">
        <v>794</v>
      </c>
      <c r="H5121">
        <v>1</v>
      </c>
      <c r="I5121" t="s">
        <v>89</v>
      </c>
      <c r="J5121">
        <v>0</v>
      </c>
      <c r="K5121">
        <v>2</v>
      </c>
      <c r="L5121">
        <v>2</v>
      </c>
      <c r="M5121">
        <v>223</v>
      </c>
      <c r="N5121">
        <v>371</v>
      </c>
      <c r="O5121">
        <v>0</v>
      </c>
      <c r="P5121">
        <v>371</v>
      </c>
      <c r="Q5121">
        <v>28</v>
      </c>
      <c r="R5121">
        <v>46</v>
      </c>
      <c r="S5121">
        <v>4</v>
      </c>
      <c r="T5121">
        <v>3</v>
      </c>
      <c r="U5121">
        <v>20</v>
      </c>
      <c r="V5121">
        <v>2</v>
      </c>
      <c r="W5121">
        <v>1</v>
      </c>
      <c r="X5121">
        <v>6</v>
      </c>
      <c r="Y5121">
        <v>212</v>
      </c>
      <c r="Z5121">
        <v>19</v>
      </c>
      <c r="AB5121">
        <v>5</v>
      </c>
      <c r="AC5121">
        <v>0</v>
      </c>
      <c r="AD5121">
        <v>0</v>
      </c>
      <c r="AE5121">
        <v>0</v>
      </c>
      <c r="AF5121">
        <v>0</v>
      </c>
      <c r="AK5121">
        <v>2</v>
      </c>
      <c r="AL5121">
        <v>1</v>
      </c>
      <c r="AM5121">
        <v>1</v>
      </c>
      <c r="AN5121">
        <v>2</v>
      </c>
      <c r="AQ5121">
        <v>0</v>
      </c>
      <c r="AT5121">
        <v>0</v>
      </c>
      <c r="AU5121">
        <v>19</v>
      </c>
      <c r="AV5121">
        <v>371</v>
      </c>
      <c r="AW5121">
        <v>371</v>
      </c>
      <c r="AX5121">
        <v>572</v>
      </c>
      <c r="BA5121">
        <v>1</v>
      </c>
      <c r="BC5121" t="s">
        <v>10354</v>
      </c>
      <c r="BD5121" s="4">
        <v>43283.272222222222</v>
      </c>
      <c r="BE5121" s="4">
        <v>43283.301574074074</v>
      </c>
      <c r="BF5121" s="4">
        <v>43283.301574074074</v>
      </c>
      <c r="BG5121" t="s">
        <v>83</v>
      </c>
      <c r="BH5121" t="s">
        <v>84</v>
      </c>
      <c r="BI5121" t="s">
        <v>85</v>
      </c>
    </row>
    <row r="5122" spans="1:61" x14ac:dyDescent="0.3">
      <c r="A5122" t="str">
        <f>"200794C0200"</f>
        <v>200794C0200</v>
      </c>
      <c r="B5122" t="s">
        <v>10355</v>
      </c>
      <c r="C5122">
        <v>20</v>
      </c>
      <c r="D5122" t="s">
        <v>79</v>
      </c>
      <c r="E5122">
        <v>24</v>
      </c>
      <c r="F5122" t="s">
        <v>10123</v>
      </c>
      <c r="G5122">
        <v>794</v>
      </c>
      <c r="H5122">
        <v>2</v>
      </c>
      <c r="I5122" t="s">
        <v>89</v>
      </c>
      <c r="J5122">
        <v>0</v>
      </c>
      <c r="K5122">
        <v>2</v>
      </c>
      <c r="L5122">
        <v>2</v>
      </c>
      <c r="M5122">
        <v>222</v>
      </c>
      <c r="N5122">
        <v>593</v>
      </c>
      <c r="O5122">
        <v>0</v>
      </c>
      <c r="P5122">
        <v>371</v>
      </c>
      <c r="Q5122">
        <v>14</v>
      </c>
      <c r="R5122">
        <v>58</v>
      </c>
      <c r="S5122">
        <v>1</v>
      </c>
      <c r="T5122">
        <v>2</v>
      </c>
      <c r="U5122">
        <v>12</v>
      </c>
      <c r="V5122">
        <v>3</v>
      </c>
      <c r="W5122">
        <v>5</v>
      </c>
      <c r="X5122">
        <v>5</v>
      </c>
      <c r="Y5122">
        <v>220</v>
      </c>
      <c r="Z5122">
        <v>15</v>
      </c>
      <c r="AB5122">
        <v>2</v>
      </c>
      <c r="AC5122">
        <v>0</v>
      </c>
      <c r="AD5122">
        <v>0</v>
      </c>
      <c r="AE5122">
        <v>0</v>
      </c>
      <c r="AF5122">
        <v>0</v>
      </c>
      <c r="AK5122">
        <v>3</v>
      </c>
      <c r="AL5122">
        <v>3</v>
      </c>
      <c r="AM5122">
        <v>0</v>
      </c>
      <c r="AN5122">
        <v>2</v>
      </c>
      <c r="AQ5122">
        <v>1</v>
      </c>
      <c r="AT5122">
        <v>0</v>
      </c>
      <c r="AU5122">
        <v>25</v>
      </c>
      <c r="AV5122">
        <v>371</v>
      </c>
      <c r="AW5122">
        <v>371</v>
      </c>
      <c r="AX5122">
        <v>571</v>
      </c>
      <c r="BA5122">
        <v>1</v>
      </c>
      <c r="BC5122" t="s">
        <v>10356</v>
      </c>
      <c r="BD5122" s="4">
        <v>43283.275000000001</v>
      </c>
      <c r="BE5122" s="4">
        <v>43283.302118055559</v>
      </c>
      <c r="BF5122" s="4">
        <v>43283.302118055559</v>
      </c>
      <c r="BG5122" t="s">
        <v>83</v>
      </c>
      <c r="BH5122" t="s">
        <v>84</v>
      </c>
      <c r="BI5122" t="s">
        <v>85</v>
      </c>
    </row>
    <row r="5123" spans="1:61" x14ac:dyDescent="0.3">
      <c r="A5123" t="str">
        <f>"200794E0100"</f>
        <v>200794E0100</v>
      </c>
      <c r="B5123" s="2" t="s">
        <v>10357</v>
      </c>
      <c r="C5123">
        <v>20</v>
      </c>
      <c r="D5123" t="s">
        <v>79</v>
      </c>
      <c r="E5123">
        <v>24</v>
      </c>
      <c r="F5123" t="s">
        <v>10123</v>
      </c>
      <c r="G5123">
        <v>794</v>
      </c>
      <c r="H5123">
        <v>1</v>
      </c>
      <c r="I5123" t="s">
        <v>145</v>
      </c>
      <c r="J5123">
        <v>0</v>
      </c>
      <c r="K5123">
        <v>2</v>
      </c>
      <c r="L5123">
        <v>2</v>
      </c>
      <c r="M5123">
        <v>143</v>
      </c>
      <c r="N5123">
        <v>266</v>
      </c>
      <c r="O5123">
        <v>0</v>
      </c>
      <c r="P5123">
        <v>266</v>
      </c>
      <c r="Q5123">
        <v>15</v>
      </c>
      <c r="R5123">
        <v>119</v>
      </c>
      <c r="S5123">
        <v>1</v>
      </c>
      <c r="T5123">
        <v>0</v>
      </c>
      <c r="U5123">
        <v>22</v>
      </c>
      <c r="V5123">
        <v>7</v>
      </c>
      <c r="W5123">
        <v>3</v>
      </c>
      <c r="X5123">
        <v>0</v>
      </c>
      <c r="Y5123">
        <v>81</v>
      </c>
      <c r="Z5123">
        <v>7</v>
      </c>
      <c r="AB5123">
        <v>0</v>
      </c>
      <c r="AC5123">
        <v>0</v>
      </c>
      <c r="AD5123">
        <v>0</v>
      </c>
      <c r="AE5123">
        <v>1</v>
      </c>
      <c r="AF5123">
        <v>0</v>
      </c>
      <c r="AK5123">
        <v>2</v>
      </c>
      <c r="AL5123">
        <v>0</v>
      </c>
      <c r="AM5123">
        <v>0</v>
      </c>
      <c r="AN5123">
        <v>0</v>
      </c>
      <c r="AQ5123">
        <v>0</v>
      </c>
      <c r="AT5123">
        <v>0</v>
      </c>
      <c r="AU5123">
        <v>8</v>
      </c>
      <c r="AV5123">
        <v>266</v>
      </c>
      <c r="AW5123">
        <v>266</v>
      </c>
      <c r="AX5123">
        <v>387</v>
      </c>
      <c r="BA5123">
        <v>1</v>
      </c>
      <c r="BC5123" t="s">
        <v>10358</v>
      </c>
      <c r="BD5123" s="4">
        <v>43283.275694444441</v>
      </c>
      <c r="BE5123" s="4">
        <v>43283.301504629628</v>
      </c>
      <c r="BF5123" s="4">
        <v>43283.301504629628</v>
      </c>
      <c r="BG5123" t="s">
        <v>83</v>
      </c>
      <c r="BH5123" t="s">
        <v>84</v>
      </c>
      <c r="BI5123" t="s">
        <v>85</v>
      </c>
    </row>
    <row r="5124" spans="1:61" x14ac:dyDescent="0.3">
      <c r="A5124" t="str">
        <f>"200831B0100"</f>
        <v>200831B0100</v>
      </c>
      <c r="B5124" t="s">
        <v>10359</v>
      </c>
      <c r="C5124">
        <v>20</v>
      </c>
      <c r="D5124" t="s">
        <v>79</v>
      </c>
      <c r="E5124">
        <v>24</v>
      </c>
      <c r="F5124" t="s">
        <v>10123</v>
      </c>
      <c r="G5124">
        <v>831</v>
      </c>
      <c r="H5124">
        <v>1</v>
      </c>
      <c r="I5124" t="s">
        <v>81</v>
      </c>
      <c r="J5124">
        <v>0</v>
      </c>
      <c r="K5124">
        <v>2</v>
      </c>
      <c r="L5124">
        <v>2</v>
      </c>
      <c r="M5124">
        <v>287</v>
      </c>
      <c r="N5124">
        <v>485</v>
      </c>
      <c r="O5124">
        <v>0</v>
      </c>
      <c r="P5124">
        <v>485</v>
      </c>
      <c r="Q5124">
        <v>10</v>
      </c>
      <c r="R5124">
        <v>18</v>
      </c>
      <c r="S5124">
        <v>5</v>
      </c>
      <c r="T5124">
        <v>5</v>
      </c>
      <c r="U5124">
        <v>32</v>
      </c>
      <c r="V5124">
        <v>14</v>
      </c>
      <c r="W5124">
        <v>36</v>
      </c>
      <c r="X5124">
        <v>12</v>
      </c>
      <c r="Y5124">
        <v>292</v>
      </c>
      <c r="Z5124">
        <v>19</v>
      </c>
      <c r="AB5124">
        <v>5</v>
      </c>
      <c r="AC5124">
        <v>0</v>
      </c>
      <c r="AD5124">
        <v>0</v>
      </c>
      <c r="AE5124">
        <v>0</v>
      </c>
      <c r="AF5124">
        <v>0</v>
      </c>
      <c r="AK5124">
        <v>5</v>
      </c>
      <c r="AL5124">
        <v>2</v>
      </c>
      <c r="AM5124">
        <v>1</v>
      </c>
      <c r="AN5124">
        <v>2</v>
      </c>
      <c r="AQ5124">
        <v>0</v>
      </c>
      <c r="AT5124">
        <v>0</v>
      </c>
      <c r="AU5124">
        <v>27</v>
      </c>
      <c r="AV5124">
        <v>485</v>
      </c>
      <c r="AW5124">
        <v>485</v>
      </c>
      <c r="AX5124">
        <v>750</v>
      </c>
      <c r="BA5124">
        <v>1</v>
      </c>
      <c r="BC5124" t="s">
        <v>10360</v>
      </c>
      <c r="BD5124" s="4">
        <v>43283.183333333334</v>
      </c>
      <c r="BE5124" s="4">
        <v>43283.201770833337</v>
      </c>
      <c r="BF5124" s="4">
        <v>43283.201770833337</v>
      </c>
      <c r="BG5124" t="s">
        <v>83</v>
      </c>
      <c r="BH5124" t="s">
        <v>84</v>
      </c>
      <c r="BI5124" t="s">
        <v>85</v>
      </c>
    </row>
    <row r="5125" spans="1:61" x14ac:dyDescent="0.3">
      <c r="A5125" t="str">
        <f>"200831C0100"</f>
        <v>200831C0100</v>
      </c>
      <c r="B5125" t="s">
        <v>10361</v>
      </c>
      <c r="C5125">
        <v>20</v>
      </c>
      <c r="D5125" t="s">
        <v>79</v>
      </c>
      <c r="E5125">
        <v>24</v>
      </c>
      <c r="F5125" t="s">
        <v>10123</v>
      </c>
      <c r="G5125">
        <v>831</v>
      </c>
      <c r="H5125">
        <v>1</v>
      </c>
      <c r="I5125" t="s">
        <v>89</v>
      </c>
      <c r="J5125">
        <v>0</v>
      </c>
      <c r="K5125">
        <v>2</v>
      </c>
      <c r="L5125">
        <v>2</v>
      </c>
      <c r="M5125">
        <v>310</v>
      </c>
      <c r="N5125">
        <v>462</v>
      </c>
      <c r="O5125">
        <v>0</v>
      </c>
      <c r="P5125">
        <v>462</v>
      </c>
      <c r="Q5125">
        <v>21</v>
      </c>
      <c r="R5125">
        <v>37</v>
      </c>
      <c r="S5125">
        <v>9</v>
      </c>
      <c r="T5125">
        <v>3</v>
      </c>
      <c r="U5125">
        <v>27</v>
      </c>
      <c r="V5125">
        <v>6</v>
      </c>
      <c r="W5125">
        <v>33</v>
      </c>
      <c r="X5125">
        <v>11</v>
      </c>
      <c r="Y5125">
        <v>262</v>
      </c>
      <c r="Z5125">
        <v>15</v>
      </c>
      <c r="AB5125">
        <v>3</v>
      </c>
      <c r="AC5125" t="s">
        <v>100</v>
      </c>
      <c r="AD5125">
        <v>1</v>
      </c>
      <c r="AE5125" t="s">
        <v>100</v>
      </c>
      <c r="AF5125" t="s">
        <v>100</v>
      </c>
      <c r="AK5125">
        <v>2</v>
      </c>
      <c r="AL5125">
        <v>1</v>
      </c>
      <c r="AM5125" t="s">
        <v>100</v>
      </c>
      <c r="AN5125">
        <v>1</v>
      </c>
      <c r="AQ5125" t="s">
        <v>100</v>
      </c>
      <c r="AT5125" t="s">
        <v>100</v>
      </c>
      <c r="AU5125">
        <v>30</v>
      </c>
      <c r="AV5125" t="s">
        <v>100</v>
      </c>
      <c r="AW5125">
        <v>462</v>
      </c>
      <c r="AX5125">
        <v>750</v>
      </c>
      <c r="AZ5125" t="s">
        <v>101</v>
      </c>
      <c r="BA5125">
        <v>1</v>
      </c>
      <c r="BC5125" t="s">
        <v>10362</v>
      </c>
      <c r="BD5125" s="4">
        <v>43283.182638888888</v>
      </c>
      <c r="BE5125" s="4">
        <v>43283.200833333336</v>
      </c>
      <c r="BF5125" s="4">
        <v>43283.200833333336</v>
      </c>
      <c r="BG5125" t="s">
        <v>83</v>
      </c>
      <c r="BH5125" t="s">
        <v>84</v>
      </c>
      <c r="BI5125" t="s">
        <v>85</v>
      </c>
    </row>
    <row r="5126" spans="1:61" x14ac:dyDescent="0.3">
      <c r="A5126" t="str">
        <f>"200832B0100"</f>
        <v>200832B0100</v>
      </c>
      <c r="B5126" t="s">
        <v>10363</v>
      </c>
      <c r="C5126">
        <v>20</v>
      </c>
      <c r="D5126" t="s">
        <v>79</v>
      </c>
      <c r="E5126">
        <v>24</v>
      </c>
      <c r="F5126" t="s">
        <v>10123</v>
      </c>
      <c r="G5126">
        <v>832</v>
      </c>
      <c r="H5126">
        <v>1</v>
      </c>
      <c r="I5126" t="s">
        <v>81</v>
      </c>
      <c r="J5126">
        <v>0</v>
      </c>
      <c r="K5126">
        <v>2</v>
      </c>
      <c r="L5126">
        <v>2</v>
      </c>
      <c r="M5126">
        <v>254</v>
      </c>
      <c r="N5126">
        <v>443</v>
      </c>
      <c r="O5126">
        <v>0</v>
      </c>
      <c r="P5126">
        <v>443</v>
      </c>
      <c r="Q5126">
        <v>17</v>
      </c>
      <c r="R5126">
        <v>25</v>
      </c>
      <c r="S5126">
        <v>13</v>
      </c>
      <c r="T5126">
        <v>1</v>
      </c>
      <c r="U5126">
        <v>28</v>
      </c>
      <c r="V5126">
        <v>29</v>
      </c>
      <c r="W5126">
        <v>24</v>
      </c>
      <c r="X5126">
        <v>11</v>
      </c>
      <c r="Y5126">
        <v>238</v>
      </c>
      <c r="Z5126">
        <v>10</v>
      </c>
      <c r="AB5126">
        <v>4</v>
      </c>
      <c r="AC5126">
        <v>0</v>
      </c>
      <c r="AD5126">
        <v>0</v>
      </c>
      <c r="AE5126">
        <v>0</v>
      </c>
      <c r="AF5126">
        <v>0</v>
      </c>
      <c r="AK5126">
        <v>8</v>
      </c>
      <c r="AL5126">
        <v>5</v>
      </c>
      <c r="AM5126">
        <v>2</v>
      </c>
      <c r="AN5126">
        <v>1</v>
      </c>
      <c r="AQ5126">
        <v>0</v>
      </c>
      <c r="AT5126">
        <v>0</v>
      </c>
      <c r="AU5126">
        <v>47</v>
      </c>
      <c r="AV5126">
        <v>443</v>
      </c>
      <c r="AW5126">
        <v>463</v>
      </c>
      <c r="AX5126">
        <v>675</v>
      </c>
      <c r="BA5126">
        <v>1</v>
      </c>
      <c r="BC5126" t="s">
        <v>10364</v>
      </c>
      <c r="BD5126" s="4">
        <v>43283.155555555553</v>
      </c>
      <c r="BE5126" s="4">
        <v>43283.178611111114</v>
      </c>
      <c r="BF5126" s="4">
        <v>43283.178611111114</v>
      </c>
      <c r="BG5126" t="s">
        <v>83</v>
      </c>
      <c r="BH5126" t="s">
        <v>84</v>
      </c>
      <c r="BI5126" t="s">
        <v>85</v>
      </c>
    </row>
    <row r="5127" spans="1:61" x14ac:dyDescent="0.3">
      <c r="A5127" t="str">
        <f>"200832C0100"</f>
        <v>200832C0100</v>
      </c>
      <c r="B5127" t="s">
        <v>10365</v>
      </c>
      <c r="C5127">
        <v>20</v>
      </c>
      <c r="D5127" t="s">
        <v>79</v>
      </c>
      <c r="E5127">
        <v>24</v>
      </c>
      <c r="F5127" t="s">
        <v>10123</v>
      </c>
      <c r="G5127">
        <v>832</v>
      </c>
      <c r="H5127">
        <v>1</v>
      </c>
      <c r="I5127" t="s">
        <v>89</v>
      </c>
      <c r="J5127">
        <v>0</v>
      </c>
      <c r="K5127">
        <v>2</v>
      </c>
      <c r="L5127">
        <v>2</v>
      </c>
      <c r="M5127">
        <v>273</v>
      </c>
      <c r="N5127">
        <v>423</v>
      </c>
      <c r="O5127">
        <v>0</v>
      </c>
      <c r="P5127">
        <v>423</v>
      </c>
      <c r="Q5127">
        <v>17</v>
      </c>
      <c r="R5127">
        <v>15</v>
      </c>
      <c r="S5127">
        <v>7</v>
      </c>
      <c r="T5127">
        <v>3</v>
      </c>
      <c r="U5127">
        <v>30</v>
      </c>
      <c r="V5127">
        <v>7</v>
      </c>
      <c r="W5127">
        <v>23</v>
      </c>
      <c r="X5127">
        <v>9</v>
      </c>
      <c r="Y5127">
        <v>252</v>
      </c>
      <c r="Z5127">
        <v>14</v>
      </c>
      <c r="AB5127">
        <v>1</v>
      </c>
      <c r="AC5127">
        <v>0</v>
      </c>
      <c r="AD5127">
        <v>0</v>
      </c>
      <c r="AE5127">
        <v>0</v>
      </c>
      <c r="AF5127">
        <v>0</v>
      </c>
      <c r="AK5127">
        <v>0</v>
      </c>
      <c r="AL5127">
        <v>0</v>
      </c>
      <c r="AM5127">
        <v>0</v>
      </c>
      <c r="AN5127">
        <v>0</v>
      </c>
      <c r="AQ5127">
        <v>0</v>
      </c>
      <c r="AT5127">
        <v>0</v>
      </c>
      <c r="AU5127">
        <v>45</v>
      </c>
      <c r="AV5127">
        <v>423</v>
      </c>
      <c r="AW5127">
        <v>423</v>
      </c>
      <c r="AX5127">
        <v>674</v>
      </c>
      <c r="BA5127">
        <v>1</v>
      </c>
      <c r="BC5127" t="s">
        <v>10366</v>
      </c>
      <c r="BD5127" s="4">
        <v>43283.154166666667</v>
      </c>
      <c r="BE5127" s="4">
        <v>43283.165347222224</v>
      </c>
      <c r="BF5127" s="4">
        <v>43283.165347222224</v>
      </c>
      <c r="BG5127" t="s">
        <v>83</v>
      </c>
      <c r="BH5127" t="s">
        <v>84</v>
      </c>
      <c r="BI5127" t="s">
        <v>85</v>
      </c>
    </row>
    <row r="5128" spans="1:61" x14ac:dyDescent="0.3">
      <c r="A5128" t="str">
        <f>"200833B0100"</f>
        <v>200833B0100</v>
      </c>
      <c r="B5128" t="s">
        <v>10367</v>
      </c>
      <c r="C5128">
        <v>20</v>
      </c>
      <c r="D5128" t="s">
        <v>79</v>
      </c>
      <c r="E5128">
        <v>24</v>
      </c>
      <c r="F5128" t="s">
        <v>10123</v>
      </c>
      <c r="G5128">
        <v>833</v>
      </c>
      <c r="H5128">
        <v>1</v>
      </c>
      <c r="I5128" t="s">
        <v>81</v>
      </c>
      <c r="J5128">
        <v>0</v>
      </c>
      <c r="K5128">
        <v>2</v>
      </c>
      <c r="L5128">
        <v>2</v>
      </c>
      <c r="M5128">
        <v>49</v>
      </c>
      <c r="N5128">
        <v>120</v>
      </c>
      <c r="O5128">
        <v>4</v>
      </c>
      <c r="P5128">
        <v>120</v>
      </c>
      <c r="Q5128">
        <v>19</v>
      </c>
      <c r="R5128">
        <v>32</v>
      </c>
      <c r="S5128">
        <v>6</v>
      </c>
      <c r="T5128">
        <v>2</v>
      </c>
      <c r="U5128">
        <v>9</v>
      </c>
      <c r="V5128">
        <v>2</v>
      </c>
      <c r="W5128">
        <v>2</v>
      </c>
      <c r="X5128">
        <v>2</v>
      </c>
      <c r="Y5128">
        <v>35</v>
      </c>
      <c r="Z5128">
        <v>3</v>
      </c>
      <c r="AB5128">
        <v>1</v>
      </c>
      <c r="AC5128">
        <v>0</v>
      </c>
      <c r="AD5128">
        <v>0</v>
      </c>
      <c r="AE5128">
        <v>0</v>
      </c>
      <c r="AF5128">
        <v>0</v>
      </c>
      <c r="AK5128">
        <v>1</v>
      </c>
      <c r="AL5128">
        <v>2</v>
      </c>
      <c r="AM5128">
        <v>0</v>
      </c>
      <c r="AN5128">
        <v>0</v>
      </c>
      <c r="AQ5128">
        <v>0</v>
      </c>
      <c r="AT5128">
        <v>0</v>
      </c>
      <c r="AU5128">
        <v>4</v>
      </c>
      <c r="AV5128">
        <v>120</v>
      </c>
      <c r="AW5128">
        <v>120</v>
      </c>
      <c r="AX5128">
        <v>147</v>
      </c>
      <c r="BA5128">
        <v>1</v>
      </c>
      <c r="BC5128" t="s">
        <v>10368</v>
      </c>
      <c r="BD5128" s="4">
        <v>43283.154861111114</v>
      </c>
      <c r="BE5128" s="4">
        <v>43283.163807870369</v>
      </c>
      <c r="BF5128" s="4">
        <v>43283.163807870369</v>
      </c>
      <c r="BG5128" t="s">
        <v>83</v>
      </c>
      <c r="BH5128" t="s">
        <v>84</v>
      </c>
      <c r="BI5128" t="s">
        <v>85</v>
      </c>
    </row>
    <row r="5129" spans="1:61" x14ac:dyDescent="0.3">
      <c r="A5129" t="str">
        <f>"200834B0100"</f>
        <v>200834B0100</v>
      </c>
      <c r="B5129" t="s">
        <v>10369</v>
      </c>
      <c r="C5129">
        <v>20</v>
      </c>
      <c r="D5129" t="s">
        <v>79</v>
      </c>
      <c r="E5129">
        <v>24</v>
      </c>
      <c r="F5129" t="s">
        <v>10123</v>
      </c>
      <c r="G5129">
        <v>834</v>
      </c>
      <c r="H5129">
        <v>1</v>
      </c>
      <c r="I5129" t="s">
        <v>81</v>
      </c>
      <c r="J5129">
        <v>0</v>
      </c>
      <c r="K5129">
        <v>2</v>
      </c>
      <c r="L5129">
        <v>2</v>
      </c>
      <c r="M5129">
        <v>230</v>
      </c>
      <c r="N5129">
        <v>213</v>
      </c>
      <c r="O5129">
        <v>0</v>
      </c>
      <c r="P5129">
        <v>213</v>
      </c>
      <c r="Q5129">
        <v>24</v>
      </c>
      <c r="R5129">
        <v>45</v>
      </c>
      <c r="S5129">
        <v>6</v>
      </c>
      <c r="T5129">
        <v>10</v>
      </c>
      <c r="U5129">
        <v>15</v>
      </c>
      <c r="V5129">
        <v>2</v>
      </c>
      <c r="W5129">
        <v>14</v>
      </c>
      <c r="X5129">
        <v>5</v>
      </c>
      <c r="Y5129">
        <v>76</v>
      </c>
      <c r="Z5129">
        <v>5</v>
      </c>
      <c r="AB5129">
        <v>1</v>
      </c>
      <c r="AC5129">
        <v>0</v>
      </c>
      <c r="AD5129">
        <v>0</v>
      </c>
      <c r="AE5129">
        <v>0</v>
      </c>
      <c r="AF5129">
        <v>0</v>
      </c>
      <c r="AK5129">
        <v>1</v>
      </c>
      <c r="AL5129">
        <v>0</v>
      </c>
      <c r="AM5129">
        <v>0</v>
      </c>
      <c r="AN5129">
        <v>1</v>
      </c>
      <c r="AQ5129">
        <v>0</v>
      </c>
      <c r="AT5129">
        <v>0</v>
      </c>
      <c r="AU5129">
        <v>8</v>
      </c>
      <c r="AV5129">
        <v>213</v>
      </c>
      <c r="AW5129">
        <v>213</v>
      </c>
      <c r="AX5129">
        <v>421</v>
      </c>
      <c r="BA5129">
        <v>1</v>
      </c>
      <c r="BC5129" t="s">
        <v>10370</v>
      </c>
      <c r="BD5129" s="4">
        <v>43283.183333333334</v>
      </c>
      <c r="BE5129" s="4">
        <v>43283.199999999997</v>
      </c>
      <c r="BF5129" s="4">
        <v>43283.199999999997</v>
      </c>
      <c r="BG5129" t="s">
        <v>83</v>
      </c>
      <c r="BH5129" t="s">
        <v>84</v>
      </c>
      <c r="BI5129" t="s">
        <v>85</v>
      </c>
    </row>
    <row r="5130" spans="1:61" x14ac:dyDescent="0.3">
      <c r="A5130" t="str">
        <f>"200897B0100"</f>
        <v>200897B0100</v>
      </c>
      <c r="B5130" t="s">
        <v>10371</v>
      </c>
      <c r="C5130">
        <v>20</v>
      </c>
      <c r="D5130" t="s">
        <v>79</v>
      </c>
      <c r="E5130">
        <v>24</v>
      </c>
      <c r="F5130" t="s">
        <v>10123</v>
      </c>
      <c r="G5130">
        <v>897</v>
      </c>
      <c r="H5130">
        <v>1</v>
      </c>
      <c r="I5130" t="s">
        <v>81</v>
      </c>
      <c r="J5130">
        <v>0</v>
      </c>
      <c r="K5130">
        <v>2</v>
      </c>
      <c r="L5130">
        <v>2</v>
      </c>
      <c r="M5130">
        <v>372</v>
      </c>
      <c r="N5130">
        <v>293</v>
      </c>
      <c r="O5130">
        <v>0</v>
      </c>
      <c r="P5130">
        <v>293</v>
      </c>
      <c r="Q5130">
        <v>12</v>
      </c>
      <c r="R5130">
        <v>64</v>
      </c>
      <c r="S5130">
        <v>8</v>
      </c>
      <c r="T5130">
        <v>12</v>
      </c>
      <c r="U5130">
        <v>31</v>
      </c>
      <c r="V5130">
        <v>6</v>
      </c>
      <c r="W5130">
        <v>1</v>
      </c>
      <c r="X5130">
        <v>9</v>
      </c>
      <c r="Y5130">
        <v>121</v>
      </c>
      <c r="Z5130">
        <v>4</v>
      </c>
      <c r="AB5130">
        <v>2</v>
      </c>
      <c r="AC5130">
        <v>0</v>
      </c>
      <c r="AD5130">
        <v>0</v>
      </c>
      <c r="AE5130">
        <v>0</v>
      </c>
      <c r="AF5130">
        <v>0</v>
      </c>
      <c r="AK5130">
        <v>1</v>
      </c>
      <c r="AL5130">
        <v>1</v>
      </c>
      <c r="AM5130">
        <v>1</v>
      </c>
      <c r="AN5130">
        <v>2</v>
      </c>
      <c r="AQ5130">
        <v>0</v>
      </c>
      <c r="AT5130">
        <v>0</v>
      </c>
      <c r="AU5130">
        <v>18</v>
      </c>
      <c r="AV5130">
        <v>293</v>
      </c>
      <c r="AW5130">
        <v>293</v>
      </c>
      <c r="AX5130">
        <v>643</v>
      </c>
      <c r="BA5130">
        <v>1</v>
      </c>
      <c r="BC5130" t="s">
        <v>10372</v>
      </c>
      <c r="BD5130" s="4">
        <v>43283.363888888889</v>
      </c>
      <c r="BE5130" s="4">
        <v>43283.374143518522</v>
      </c>
      <c r="BF5130" s="4">
        <v>43283.374143518522</v>
      </c>
      <c r="BG5130" t="s">
        <v>83</v>
      </c>
      <c r="BH5130" t="s">
        <v>84</v>
      </c>
      <c r="BI5130" t="s">
        <v>85</v>
      </c>
    </row>
    <row r="5131" spans="1:61" x14ac:dyDescent="0.3">
      <c r="A5131" t="str">
        <f>"200897E0100"</f>
        <v>200897E0100</v>
      </c>
      <c r="B5131" s="2" t="s">
        <v>10373</v>
      </c>
      <c r="C5131">
        <v>20</v>
      </c>
      <c r="D5131" t="s">
        <v>79</v>
      </c>
      <c r="E5131">
        <v>24</v>
      </c>
      <c r="F5131" t="s">
        <v>10123</v>
      </c>
      <c r="G5131">
        <v>897</v>
      </c>
      <c r="H5131">
        <v>1</v>
      </c>
      <c r="I5131" t="s">
        <v>145</v>
      </c>
      <c r="J5131">
        <v>0</v>
      </c>
      <c r="K5131">
        <v>2</v>
      </c>
      <c r="L5131">
        <v>2</v>
      </c>
      <c r="M5131">
        <v>96</v>
      </c>
      <c r="N5131">
        <v>258</v>
      </c>
      <c r="O5131">
        <v>0</v>
      </c>
      <c r="P5131" t="s">
        <v>315</v>
      </c>
      <c r="Q5131">
        <v>5</v>
      </c>
      <c r="R5131">
        <v>5</v>
      </c>
      <c r="S5131">
        <v>7</v>
      </c>
      <c r="T5131">
        <v>4</v>
      </c>
      <c r="U5131">
        <v>28</v>
      </c>
      <c r="V5131">
        <v>4</v>
      </c>
      <c r="W5131">
        <v>3</v>
      </c>
      <c r="X5131">
        <v>5</v>
      </c>
      <c r="Y5131">
        <v>76</v>
      </c>
      <c r="Z5131">
        <v>13</v>
      </c>
      <c r="AB5131">
        <v>0</v>
      </c>
      <c r="AC5131">
        <v>0</v>
      </c>
      <c r="AD5131">
        <v>0</v>
      </c>
      <c r="AE5131">
        <v>0</v>
      </c>
      <c r="AF5131">
        <v>0</v>
      </c>
      <c r="AK5131">
        <v>1</v>
      </c>
      <c r="AL5131">
        <v>1</v>
      </c>
      <c r="AM5131">
        <v>0</v>
      </c>
      <c r="AN5131">
        <v>0</v>
      </c>
      <c r="AQ5131">
        <v>0</v>
      </c>
      <c r="AT5131">
        <v>0</v>
      </c>
      <c r="AU5131">
        <v>10</v>
      </c>
      <c r="AV5131">
        <v>162</v>
      </c>
      <c r="AW5131">
        <v>162</v>
      </c>
      <c r="AX5131">
        <v>236</v>
      </c>
      <c r="BA5131">
        <v>1</v>
      </c>
      <c r="BC5131" t="s">
        <v>10374</v>
      </c>
      <c r="BD5131" s="4">
        <v>43283.352777777778</v>
      </c>
      <c r="BE5131" s="4">
        <v>43283.372696759259</v>
      </c>
      <c r="BF5131" s="4">
        <v>43283.372696759259</v>
      </c>
      <c r="BG5131" t="s">
        <v>83</v>
      </c>
      <c r="BH5131" t="s">
        <v>84</v>
      </c>
      <c r="BI5131" t="s">
        <v>85</v>
      </c>
    </row>
    <row r="5132" spans="1:61" x14ac:dyDescent="0.3">
      <c r="A5132" t="str">
        <f>"200898B0100"</f>
        <v>200898B0100</v>
      </c>
      <c r="B5132" t="s">
        <v>10375</v>
      </c>
      <c r="C5132">
        <v>20</v>
      </c>
      <c r="D5132" t="s">
        <v>79</v>
      </c>
      <c r="E5132">
        <v>24</v>
      </c>
      <c r="F5132" t="s">
        <v>10123</v>
      </c>
      <c r="G5132">
        <v>898</v>
      </c>
      <c r="H5132">
        <v>1</v>
      </c>
      <c r="I5132" t="s">
        <v>81</v>
      </c>
      <c r="J5132">
        <v>0</v>
      </c>
      <c r="K5132">
        <v>2</v>
      </c>
      <c r="L5132">
        <v>2</v>
      </c>
      <c r="M5132">
        <v>202</v>
      </c>
      <c r="N5132">
        <v>284</v>
      </c>
      <c r="O5132">
        <v>0</v>
      </c>
      <c r="P5132">
        <v>284</v>
      </c>
      <c r="Q5132">
        <v>16</v>
      </c>
      <c r="R5132">
        <v>17</v>
      </c>
      <c r="S5132">
        <v>19</v>
      </c>
      <c r="T5132">
        <v>10</v>
      </c>
      <c r="U5132">
        <v>30</v>
      </c>
      <c r="V5132">
        <v>4</v>
      </c>
      <c r="W5132">
        <v>2</v>
      </c>
      <c r="X5132">
        <v>9</v>
      </c>
      <c r="Y5132">
        <v>135</v>
      </c>
      <c r="Z5132">
        <v>13</v>
      </c>
      <c r="AB5132">
        <v>2</v>
      </c>
      <c r="AC5132">
        <v>0</v>
      </c>
      <c r="AD5132">
        <v>0</v>
      </c>
      <c r="AE5132">
        <v>0</v>
      </c>
      <c r="AF5132">
        <v>0</v>
      </c>
      <c r="AK5132">
        <v>4</v>
      </c>
      <c r="AL5132">
        <v>1</v>
      </c>
      <c r="AM5132">
        <v>0</v>
      </c>
      <c r="AN5132">
        <v>3</v>
      </c>
      <c r="AQ5132">
        <v>0</v>
      </c>
      <c r="AT5132" t="s">
        <v>100</v>
      </c>
      <c r="AU5132">
        <v>19</v>
      </c>
      <c r="AV5132">
        <v>284</v>
      </c>
      <c r="AW5132">
        <v>284</v>
      </c>
      <c r="AX5132">
        <v>464</v>
      </c>
      <c r="AZ5132" t="s">
        <v>101</v>
      </c>
      <c r="BA5132">
        <v>1</v>
      </c>
      <c r="BC5132" t="s">
        <v>10376</v>
      </c>
      <c r="BD5132" s="4">
        <v>43283.361805555556</v>
      </c>
      <c r="BE5132" s="4">
        <v>43283.391377314816</v>
      </c>
      <c r="BF5132" s="4">
        <v>43283.391377314816</v>
      </c>
      <c r="BG5132" t="s">
        <v>83</v>
      </c>
      <c r="BH5132" t="s">
        <v>84</v>
      </c>
      <c r="BI5132" t="s">
        <v>85</v>
      </c>
    </row>
    <row r="5133" spans="1:61" x14ac:dyDescent="0.3">
      <c r="A5133" t="str">
        <f>"200911B0100"</f>
        <v>200911B0100</v>
      </c>
      <c r="B5133" t="s">
        <v>10377</v>
      </c>
      <c r="C5133">
        <v>20</v>
      </c>
      <c r="D5133" t="s">
        <v>79</v>
      </c>
      <c r="E5133">
        <v>24</v>
      </c>
      <c r="F5133" t="s">
        <v>10123</v>
      </c>
      <c r="G5133">
        <v>911</v>
      </c>
      <c r="H5133">
        <v>1</v>
      </c>
      <c r="I5133" t="s">
        <v>81</v>
      </c>
      <c r="J5133">
        <v>0</v>
      </c>
      <c r="K5133">
        <v>2</v>
      </c>
      <c r="L5133">
        <v>2</v>
      </c>
      <c r="M5133">
        <v>191</v>
      </c>
      <c r="N5133">
        <v>234</v>
      </c>
      <c r="O5133">
        <v>1</v>
      </c>
      <c r="P5133">
        <v>234</v>
      </c>
      <c r="Q5133">
        <v>27</v>
      </c>
      <c r="R5133">
        <v>79</v>
      </c>
      <c r="S5133">
        <v>10</v>
      </c>
      <c r="T5133">
        <v>7</v>
      </c>
      <c r="U5133">
        <v>7</v>
      </c>
      <c r="V5133">
        <v>1</v>
      </c>
      <c r="W5133">
        <v>11</v>
      </c>
      <c r="X5133">
        <v>10</v>
      </c>
      <c r="Y5133">
        <v>65</v>
      </c>
      <c r="Z5133">
        <v>4</v>
      </c>
      <c r="AB5133">
        <v>2</v>
      </c>
      <c r="AC5133">
        <v>0</v>
      </c>
      <c r="AD5133">
        <v>0</v>
      </c>
      <c r="AE5133">
        <v>0</v>
      </c>
      <c r="AF5133">
        <v>0</v>
      </c>
      <c r="AK5133">
        <v>0</v>
      </c>
      <c r="AL5133">
        <v>0</v>
      </c>
      <c r="AM5133">
        <v>0</v>
      </c>
      <c r="AN5133">
        <v>0</v>
      </c>
      <c r="AQ5133">
        <v>1</v>
      </c>
      <c r="AT5133" t="s">
        <v>100</v>
      </c>
      <c r="AU5133">
        <v>10</v>
      </c>
      <c r="AV5133">
        <v>234</v>
      </c>
      <c r="AW5133">
        <v>234</v>
      </c>
      <c r="AX5133">
        <v>404</v>
      </c>
      <c r="AZ5133" t="s">
        <v>101</v>
      </c>
      <c r="BA5133">
        <v>1</v>
      </c>
      <c r="BC5133" t="s">
        <v>10378</v>
      </c>
      <c r="BD5133" s="4">
        <v>43283.043055555558</v>
      </c>
      <c r="BE5133" s="4">
        <v>43283.048831018517</v>
      </c>
      <c r="BF5133" s="4">
        <v>43283.048831018517</v>
      </c>
      <c r="BG5133" t="s">
        <v>83</v>
      </c>
      <c r="BH5133" t="s">
        <v>84</v>
      </c>
      <c r="BI5133" t="s">
        <v>85</v>
      </c>
    </row>
    <row r="5134" spans="1:61" x14ac:dyDescent="0.3">
      <c r="A5134" t="str">
        <f>"200911C0100"</f>
        <v>200911C0100</v>
      </c>
      <c r="B5134" t="s">
        <v>10379</v>
      </c>
      <c r="C5134">
        <v>20</v>
      </c>
      <c r="D5134" t="s">
        <v>79</v>
      </c>
      <c r="E5134">
        <v>24</v>
      </c>
      <c r="F5134" t="s">
        <v>10123</v>
      </c>
      <c r="G5134">
        <v>911</v>
      </c>
      <c r="H5134">
        <v>1</v>
      </c>
      <c r="I5134" t="s">
        <v>89</v>
      </c>
      <c r="J5134">
        <v>0</v>
      </c>
      <c r="K5134">
        <v>2</v>
      </c>
      <c r="L5134">
        <v>2</v>
      </c>
      <c r="M5134">
        <v>201</v>
      </c>
      <c r="N5134">
        <v>224</v>
      </c>
      <c r="O5134">
        <v>0</v>
      </c>
      <c r="P5134">
        <v>224</v>
      </c>
      <c r="Q5134">
        <v>20</v>
      </c>
      <c r="R5134">
        <v>99</v>
      </c>
      <c r="S5134">
        <v>3</v>
      </c>
      <c r="T5134">
        <v>4</v>
      </c>
      <c r="U5134">
        <v>8</v>
      </c>
      <c r="V5134">
        <v>1</v>
      </c>
      <c r="W5134">
        <v>12</v>
      </c>
      <c r="X5134">
        <v>3</v>
      </c>
      <c r="Y5134">
        <v>55</v>
      </c>
      <c r="Z5134">
        <v>3</v>
      </c>
      <c r="AB5134">
        <v>3</v>
      </c>
      <c r="AC5134">
        <v>0</v>
      </c>
      <c r="AD5134">
        <v>0</v>
      </c>
      <c r="AE5134">
        <v>0</v>
      </c>
      <c r="AF5134">
        <v>0</v>
      </c>
      <c r="AK5134">
        <v>0</v>
      </c>
      <c r="AL5134">
        <v>0</v>
      </c>
      <c r="AM5134">
        <v>0</v>
      </c>
      <c r="AN5134">
        <v>0</v>
      </c>
      <c r="AQ5134">
        <v>0</v>
      </c>
      <c r="AT5134">
        <v>0</v>
      </c>
      <c r="AU5134">
        <v>13</v>
      </c>
      <c r="AV5134">
        <v>224</v>
      </c>
      <c r="AW5134">
        <v>224</v>
      </c>
      <c r="AX5134">
        <v>403</v>
      </c>
      <c r="BA5134">
        <v>1</v>
      </c>
      <c r="BC5134" t="s">
        <v>10380</v>
      </c>
      <c r="BD5134" s="4">
        <v>43283.043749999997</v>
      </c>
      <c r="BE5134" s="4">
        <v>43283.048668981479</v>
      </c>
      <c r="BF5134" s="4">
        <v>43283.048668981479</v>
      </c>
      <c r="BG5134" t="s">
        <v>83</v>
      </c>
      <c r="BH5134" t="s">
        <v>84</v>
      </c>
      <c r="BI5134" t="s">
        <v>85</v>
      </c>
    </row>
    <row r="5135" spans="1:61" x14ac:dyDescent="0.3">
      <c r="A5135" t="str">
        <f>"200912B0100"</f>
        <v>200912B0100</v>
      </c>
      <c r="B5135" t="s">
        <v>10381</v>
      </c>
      <c r="C5135">
        <v>20</v>
      </c>
      <c r="D5135" t="s">
        <v>79</v>
      </c>
      <c r="E5135">
        <v>24</v>
      </c>
      <c r="F5135" t="s">
        <v>10123</v>
      </c>
      <c r="G5135">
        <v>912</v>
      </c>
      <c r="H5135">
        <v>1</v>
      </c>
      <c r="I5135" t="s">
        <v>81</v>
      </c>
      <c r="J5135">
        <v>0</v>
      </c>
      <c r="K5135">
        <v>2</v>
      </c>
      <c r="L5135">
        <v>2</v>
      </c>
      <c r="M5135">
        <v>148</v>
      </c>
      <c r="N5135">
        <v>70</v>
      </c>
      <c r="O5135">
        <v>5</v>
      </c>
      <c r="P5135">
        <v>70</v>
      </c>
      <c r="Q5135">
        <v>2</v>
      </c>
      <c r="R5135">
        <v>17</v>
      </c>
      <c r="S5135">
        <v>3</v>
      </c>
      <c r="T5135">
        <v>5</v>
      </c>
      <c r="U5135">
        <v>3</v>
      </c>
      <c r="V5135">
        <v>2</v>
      </c>
      <c r="W5135">
        <v>5</v>
      </c>
      <c r="X5135">
        <v>1</v>
      </c>
      <c r="Y5135">
        <v>21</v>
      </c>
      <c r="Z5135">
        <v>2</v>
      </c>
      <c r="AB5135">
        <v>0</v>
      </c>
      <c r="AC5135">
        <v>0</v>
      </c>
      <c r="AD5135">
        <v>0</v>
      </c>
      <c r="AE5135">
        <v>0</v>
      </c>
      <c r="AF5135">
        <v>0</v>
      </c>
      <c r="AK5135">
        <v>1</v>
      </c>
      <c r="AL5135">
        <v>0</v>
      </c>
      <c r="AM5135">
        <v>0</v>
      </c>
      <c r="AN5135">
        <v>0</v>
      </c>
      <c r="AQ5135">
        <v>0</v>
      </c>
      <c r="AT5135">
        <v>0</v>
      </c>
      <c r="AU5135">
        <v>8</v>
      </c>
      <c r="AV5135">
        <v>70</v>
      </c>
      <c r="AW5135">
        <v>70</v>
      </c>
      <c r="AX5135">
        <v>196</v>
      </c>
      <c r="BA5135">
        <v>1</v>
      </c>
      <c r="BC5135" t="s">
        <v>10382</v>
      </c>
      <c r="BD5135" s="4">
        <v>43283.003472222219</v>
      </c>
      <c r="BE5135" s="4">
        <v>43283.009722222225</v>
      </c>
      <c r="BF5135" s="4">
        <v>43283.009722222225</v>
      </c>
      <c r="BG5135" t="s">
        <v>83</v>
      </c>
      <c r="BH5135" t="s">
        <v>84</v>
      </c>
      <c r="BI5135" t="s">
        <v>85</v>
      </c>
    </row>
    <row r="5136" spans="1:61" x14ac:dyDescent="0.3">
      <c r="A5136" t="str">
        <f>"200912E0100"</f>
        <v>200912E0100</v>
      </c>
      <c r="B5136" s="2" t="s">
        <v>10383</v>
      </c>
      <c r="C5136">
        <v>20</v>
      </c>
      <c r="D5136" t="s">
        <v>79</v>
      </c>
      <c r="E5136">
        <v>24</v>
      </c>
      <c r="F5136" t="s">
        <v>10123</v>
      </c>
      <c r="G5136">
        <v>912</v>
      </c>
      <c r="H5136">
        <v>1</v>
      </c>
      <c r="I5136" t="s">
        <v>145</v>
      </c>
      <c r="J5136">
        <v>0</v>
      </c>
      <c r="K5136">
        <v>2</v>
      </c>
      <c r="L5136">
        <v>2</v>
      </c>
      <c r="M5136">
        <v>266</v>
      </c>
      <c r="N5136">
        <v>424</v>
      </c>
      <c r="O5136">
        <v>2</v>
      </c>
      <c r="P5136">
        <v>434</v>
      </c>
      <c r="Q5136">
        <v>26</v>
      </c>
      <c r="R5136">
        <v>62</v>
      </c>
      <c r="S5136">
        <v>11</v>
      </c>
      <c r="T5136">
        <v>8</v>
      </c>
      <c r="U5136">
        <v>31</v>
      </c>
      <c r="V5136">
        <v>8</v>
      </c>
      <c r="W5136">
        <v>4</v>
      </c>
      <c r="X5136">
        <v>10</v>
      </c>
      <c r="Y5136">
        <v>197</v>
      </c>
      <c r="Z5136">
        <v>45</v>
      </c>
      <c r="AB5136">
        <v>4</v>
      </c>
      <c r="AC5136">
        <v>0</v>
      </c>
      <c r="AD5136">
        <v>0</v>
      </c>
      <c r="AE5136">
        <v>0</v>
      </c>
      <c r="AF5136">
        <v>0</v>
      </c>
      <c r="AK5136">
        <v>0</v>
      </c>
      <c r="AL5136">
        <v>1</v>
      </c>
      <c r="AM5136">
        <v>0</v>
      </c>
      <c r="AN5136">
        <v>8</v>
      </c>
      <c r="AQ5136">
        <v>0</v>
      </c>
      <c r="AT5136">
        <v>0</v>
      </c>
      <c r="AU5136">
        <v>19</v>
      </c>
      <c r="AV5136">
        <v>434</v>
      </c>
      <c r="AW5136">
        <v>434</v>
      </c>
      <c r="AX5136">
        <v>678</v>
      </c>
      <c r="BA5136">
        <v>1</v>
      </c>
      <c r="BC5136" t="s">
        <v>10384</v>
      </c>
      <c r="BD5136" s="4">
        <v>43283.002083333333</v>
      </c>
      <c r="BE5136" s="4">
        <v>43283.009293981479</v>
      </c>
      <c r="BF5136" s="4">
        <v>43283.009293981479</v>
      </c>
      <c r="BG5136" t="s">
        <v>83</v>
      </c>
      <c r="BH5136" t="s">
        <v>84</v>
      </c>
      <c r="BI5136" t="s">
        <v>85</v>
      </c>
    </row>
    <row r="5137" spans="1:61" x14ac:dyDescent="0.3">
      <c r="A5137" t="str">
        <f>"200949B0100"</f>
        <v>200949B0100</v>
      </c>
      <c r="B5137" t="s">
        <v>10385</v>
      </c>
      <c r="C5137">
        <v>20</v>
      </c>
      <c r="D5137" t="s">
        <v>79</v>
      </c>
      <c r="E5137">
        <v>24</v>
      </c>
      <c r="F5137" t="s">
        <v>10123</v>
      </c>
      <c r="G5137">
        <v>949</v>
      </c>
      <c r="H5137">
        <v>1</v>
      </c>
      <c r="I5137" t="s">
        <v>81</v>
      </c>
      <c r="J5137">
        <v>0</v>
      </c>
      <c r="K5137">
        <v>2</v>
      </c>
      <c r="L5137">
        <v>2</v>
      </c>
      <c r="M5137">
        <v>310</v>
      </c>
      <c r="N5137">
        <v>357</v>
      </c>
      <c r="O5137">
        <v>0</v>
      </c>
      <c r="P5137">
        <v>357</v>
      </c>
      <c r="Q5137">
        <v>25</v>
      </c>
      <c r="R5137">
        <v>143</v>
      </c>
      <c r="S5137">
        <v>2</v>
      </c>
      <c r="T5137">
        <v>19</v>
      </c>
      <c r="U5137">
        <v>13</v>
      </c>
      <c r="V5137">
        <v>4</v>
      </c>
      <c r="W5137">
        <v>22</v>
      </c>
      <c r="X5137">
        <v>1</v>
      </c>
      <c r="Y5137">
        <v>93</v>
      </c>
      <c r="Z5137">
        <v>4</v>
      </c>
      <c r="AB5137">
        <v>0</v>
      </c>
      <c r="AC5137">
        <v>0</v>
      </c>
      <c r="AD5137">
        <v>0</v>
      </c>
      <c r="AE5137">
        <v>0</v>
      </c>
      <c r="AF5137">
        <v>0</v>
      </c>
      <c r="AK5137">
        <v>0</v>
      </c>
      <c r="AL5137">
        <v>2</v>
      </c>
      <c r="AM5137">
        <v>0</v>
      </c>
      <c r="AN5137">
        <v>6</v>
      </c>
      <c r="AQ5137">
        <v>0</v>
      </c>
      <c r="AT5137" t="s">
        <v>100</v>
      </c>
      <c r="AU5137">
        <v>23</v>
      </c>
      <c r="AV5137">
        <v>357</v>
      </c>
      <c r="AW5137">
        <v>357</v>
      </c>
      <c r="AX5137">
        <v>645</v>
      </c>
      <c r="AZ5137" t="s">
        <v>101</v>
      </c>
      <c r="BA5137">
        <v>1</v>
      </c>
      <c r="BC5137" t="s">
        <v>10386</v>
      </c>
      <c r="BD5137" s="4">
        <v>43283.040277777778</v>
      </c>
      <c r="BE5137" s="4">
        <v>43283.045902777776</v>
      </c>
      <c r="BF5137" s="4">
        <v>43283.045902777776</v>
      </c>
      <c r="BG5137" t="s">
        <v>83</v>
      </c>
      <c r="BH5137" t="s">
        <v>84</v>
      </c>
      <c r="BI5137" t="s">
        <v>85</v>
      </c>
    </row>
    <row r="5138" spans="1:61" x14ac:dyDescent="0.3">
      <c r="A5138" t="str">
        <f>"200949E0100"</f>
        <v>200949E0100</v>
      </c>
      <c r="B5138" s="2" t="s">
        <v>10387</v>
      </c>
      <c r="C5138">
        <v>20</v>
      </c>
      <c r="D5138" t="s">
        <v>79</v>
      </c>
      <c r="E5138">
        <v>24</v>
      </c>
      <c r="F5138" t="s">
        <v>10123</v>
      </c>
      <c r="G5138">
        <v>949</v>
      </c>
      <c r="H5138">
        <v>1</v>
      </c>
      <c r="I5138" t="s">
        <v>145</v>
      </c>
      <c r="J5138">
        <v>0</v>
      </c>
      <c r="K5138">
        <v>2</v>
      </c>
      <c r="L5138">
        <v>2</v>
      </c>
      <c r="M5138">
        <v>231</v>
      </c>
      <c r="N5138">
        <v>315</v>
      </c>
      <c r="O5138">
        <v>2</v>
      </c>
      <c r="P5138">
        <v>315</v>
      </c>
      <c r="Q5138">
        <v>7</v>
      </c>
      <c r="R5138">
        <v>136</v>
      </c>
      <c r="S5138">
        <v>4</v>
      </c>
      <c r="T5138">
        <v>9</v>
      </c>
      <c r="U5138">
        <v>13</v>
      </c>
      <c r="V5138">
        <v>5</v>
      </c>
      <c r="W5138">
        <v>9</v>
      </c>
      <c r="X5138">
        <v>4</v>
      </c>
      <c r="Y5138">
        <v>74</v>
      </c>
      <c r="Z5138">
        <v>28</v>
      </c>
      <c r="AB5138">
        <v>2</v>
      </c>
      <c r="AC5138">
        <v>0</v>
      </c>
      <c r="AD5138">
        <v>0</v>
      </c>
      <c r="AE5138">
        <v>0</v>
      </c>
      <c r="AF5138">
        <v>0</v>
      </c>
      <c r="AK5138">
        <v>1</v>
      </c>
      <c r="AL5138">
        <v>0</v>
      </c>
      <c r="AM5138">
        <v>0</v>
      </c>
      <c r="AN5138">
        <v>4</v>
      </c>
      <c r="AQ5138">
        <v>0</v>
      </c>
      <c r="AT5138">
        <v>0</v>
      </c>
      <c r="AU5138">
        <v>19</v>
      </c>
      <c r="AV5138">
        <v>315</v>
      </c>
      <c r="AW5138">
        <v>315</v>
      </c>
      <c r="AX5138">
        <v>524</v>
      </c>
      <c r="BA5138">
        <v>1</v>
      </c>
      <c r="BC5138" t="s">
        <v>10388</v>
      </c>
      <c r="BD5138" s="4">
        <v>43283.040972222225</v>
      </c>
      <c r="BE5138" s="4">
        <v>43283.04960648148</v>
      </c>
      <c r="BF5138" s="4">
        <v>43283.04960648148</v>
      </c>
      <c r="BG5138" t="s">
        <v>83</v>
      </c>
      <c r="BH5138" t="s">
        <v>84</v>
      </c>
      <c r="BI5138" t="s">
        <v>85</v>
      </c>
    </row>
    <row r="5139" spans="1:61" x14ac:dyDescent="0.3">
      <c r="A5139" t="str">
        <f>"200950B0100"</f>
        <v>200950B0100</v>
      </c>
      <c r="B5139" t="s">
        <v>10389</v>
      </c>
      <c r="C5139">
        <v>20</v>
      </c>
      <c r="D5139" t="s">
        <v>79</v>
      </c>
      <c r="E5139">
        <v>24</v>
      </c>
      <c r="F5139" t="s">
        <v>10123</v>
      </c>
      <c r="G5139">
        <v>950</v>
      </c>
      <c r="H5139">
        <v>1</v>
      </c>
      <c r="I5139" t="s">
        <v>81</v>
      </c>
      <c r="J5139">
        <v>0</v>
      </c>
      <c r="K5139">
        <v>2</v>
      </c>
      <c r="L5139">
        <v>2</v>
      </c>
      <c r="M5139">
        <v>135</v>
      </c>
      <c r="N5139">
        <v>209</v>
      </c>
      <c r="O5139">
        <v>0</v>
      </c>
      <c r="P5139">
        <v>209</v>
      </c>
      <c r="Q5139">
        <v>7</v>
      </c>
      <c r="R5139">
        <v>101</v>
      </c>
      <c r="S5139">
        <v>0</v>
      </c>
      <c r="T5139">
        <v>4</v>
      </c>
      <c r="U5139">
        <v>5</v>
      </c>
      <c r="V5139">
        <v>2</v>
      </c>
      <c r="W5139">
        <v>3</v>
      </c>
      <c r="X5139">
        <v>2</v>
      </c>
      <c r="Y5139">
        <v>50</v>
      </c>
      <c r="Z5139">
        <v>18</v>
      </c>
      <c r="AB5139">
        <v>1</v>
      </c>
      <c r="AC5139">
        <v>0</v>
      </c>
      <c r="AD5139">
        <v>0</v>
      </c>
      <c r="AE5139">
        <v>0</v>
      </c>
      <c r="AF5139">
        <v>0</v>
      </c>
      <c r="AK5139">
        <v>0</v>
      </c>
      <c r="AL5139">
        <v>0</v>
      </c>
      <c r="AM5139">
        <v>0</v>
      </c>
      <c r="AN5139">
        <v>5</v>
      </c>
      <c r="AQ5139">
        <v>0</v>
      </c>
      <c r="AT5139">
        <v>0</v>
      </c>
      <c r="AU5139">
        <v>11</v>
      </c>
      <c r="AV5139">
        <v>209</v>
      </c>
      <c r="AW5139">
        <v>209</v>
      </c>
      <c r="AX5139">
        <v>322</v>
      </c>
      <c r="BA5139">
        <v>1</v>
      </c>
      <c r="BC5139" t="s">
        <v>10390</v>
      </c>
      <c r="BD5139" s="4">
        <v>43283.175694444442</v>
      </c>
      <c r="BE5139" s="4">
        <v>43283.196284722224</v>
      </c>
      <c r="BF5139" s="4">
        <v>43283.196284722224</v>
      </c>
      <c r="BG5139" t="s">
        <v>83</v>
      </c>
      <c r="BH5139" t="s">
        <v>84</v>
      </c>
      <c r="BI5139" t="s">
        <v>85</v>
      </c>
    </row>
    <row r="5140" spans="1:61" x14ac:dyDescent="0.3">
      <c r="A5140" t="str">
        <f>"201204B0100"</f>
        <v>201204B0100</v>
      </c>
      <c r="B5140" t="s">
        <v>10391</v>
      </c>
      <c r="C5140">
        <v>20</v>
      </c>
      <c r="D5140" t="s">
        <v>79</v>
      </c>
      <c r="E5140">
        <v>24</v>
      </c>
      <c r="F5140" t="s">
        <v>10123</v>
      </c>
      <c r="G5140">
        <v>1204</v>
      </c>
      <c r="H5140">
        <v>1</v>
      </c>
      <c r="I5140" t="s">
        <v>81</v>
      </c>
      <c r="J5140">
        <v>0</v>
      </c>
      <c r="K5140">
        <v>1</v>
      </c>
      <c r="L5140">
        <v>2</v>
      </c>
      <c r="M5140">
        <v>236</v>
      </c>
      <c r="N5140">
        <v>285</v>
      </c>
      <c r="O5140">
        <v>0</v>
      </c>
      <c r="P5140">
        <v>285</v>
      </c>
      <c r="Q5140">
        <v>26</v>
      </c>
      <c r="R5140">
        <v>24</v>
      </c>
      <c r="S5140">
        <v>7</v>
      </c>
      <c r="T5140">
        <v>9</v>
      </c>
      <c r="U5140">
        <v>35</v>
      </c>
      <c r="V5140">
        <v>9</v>
      </c>
      <c r="W5140">
        <v>10</v>
      </c>
      <c r="X5140">
        <v>11</v>
      </c>
      <c r="Y5140">
        <v>93</v>
      </c>
      <c r="Z5140">
        <v>27</v>
      </c>
      <c r="AB5140">
        <v>2</v>
      </c>
      <c r="AC5140">
        <v>0</v>
      </c>
      <c r="AD5140">
        <v>0</v>
      </c>
      <c r="AE5140">
        <v>0</v>
      </c>
      <c r="AF5140">
        <v>0</v>
      </c>
      <c r="AK5140">
        <v>9</v>
      </c>
      <c r="AL5140">
        <v>3</v>
      </c>
      <c r="AM5140">
        <v>0</v>
      </c>
      <c r="AN5140">
        <v>4</v>
      </c>
      <c r="AQ5140">
        <v>0</v>
      </c>
      <c r="AT5140">
        <v>0</v>
      </c>
      <c r="AU5140">
        <v>16</v>
      </c>
      <c r="AV5140">
        <v>285</v>
      </c>
      <c r="AW5140">
        <v>285</v>
      </c>
      <c r="AX5140">
        <v>499</v>
      </c>
      <c r="BA5140">
        <v>1</v>
      </c>
      <c r="BC5140" t="s">
        <v>10392</v>
      </c>
      <c r="BD5140" s="4">
        <v>43283.322222222225</v>
      </c>
      <c r="BE5140" s="4">
        <v>43283.343518518515</v>
      </c>
      <c r="BF5140" s="4">
        <v>43283.343518518515</v>
      </c>
      <c r="BG5140" t="s">
        <v>83</v>
      </c>
      <c r="BH5140" t="s">
        <v>84</v>
      </c>
      <c r="BI5140" t="s">
        <v>85</v>
      </c>
    </row>
    <row r="5141" spans="1:61" x14ac:dyDescent="0.3">
      <c r="A5141" t="str">
        <f>"201210B0100"</f>
        <v>201210B0100</v>
      </c>
      <c r="B5141" t="s">
        <v>10393</v>
      </c>
      <c r="C5141">
        <v>20</v>
      </c>
      <c r="D5141" t="s">
        <v>79</v>
      </c>
      <c r="E5141">
        <v>24</v>
      </c>
      <c r="F5141" t="s">
        <v>10123</v>
      </c>
      <c r="G5141">
        <v>1210</v>
      </c>
      <c r="H5141">
        <v>1</v>
      </c>
      <c r="I5141" t="s">
        <v>81</v>
      </c>
      <c r="J5141">
        <v>0</v>
      </c>
      <c r="K5141">
        <v>2</v>
      </c>
      <c r="L5141">
        <v>2</v>
      </c>
      <c r="M5141">
        <v>165</v>
      </c>
      <c r="N5141">
        <v>344</v>
      </c>
      <c r="O5141">
        <v>0</v>
      </c>
      <c r="P5141">
        <v>344</v>
      </c>
      <c r="Q5141">
        <v>131</v>
      </c>
      <c r="R5141">
        <v>12</v>
      </c>
      <c r="S5141">
        <v>25</v>
      </c>
      <c r="T5141">
        <v>3</v>
      </c>
      <c r="U5141">
        <v>18</v>
      </c>
      <c r="V5141">
        <v>21</v>
      </c>
      <c r="W5141">
        <v>3</v>
      </c>
      <c r="X5141">
        <v>5</v>
      </c>
      <c r="Y5141">
        <v>95</v>
      </c>
      <c r="Z5141">
        <v>7</v>
      </c>
      <c r="AB5141">
        <v>2</v>
      </c>
      <c r="AC5141">
        <v>1</v>
      </c>
      <c r="AD5141">
        <v>0</v>
      </c>
      <c r="AE5141">
        <v>0</v>
      </c>
      <c r="AF5141">
        <v>0</v>
      </c>
      <c r="AK5141">
        <v>0</v>
      </c>
      <c r="AL5141">
        <v>0</v>
      </c>
      <c r="AM5141">
        <v>0</v>
      </c>
      <c r="AN5141">
        <v>1</v>
      </c>
      <c r="AQ5141">
        <v>0</v>
      </c>
      <c r="AT5141">
        <v>0</v>
      </c>
      <c r="AU5141">
        <v>20</v>
      </c>
      <c r="AV5141">
        <v>344</v>
      </c>
      <c r="AW5141">
        <v>344</v>
      </c>
      <c r="AX5141">
        <v>488</v>
      </c>
      <c r="BA5141">
        <v>1</v>
      </c>
      <c r="BC5141" t="s">
        <v>10394</v>
      </c>
      <c r="BD5141" s="4">
        <v>43283.457638888889</v>
      </c>
      <c r="BE5141" s="4">
        <v>43283.536354166667</v>
      </c>
      <c r="BF5141" s="4">
        <v>43283.536354166667</v>
      </c>
      <c r="BG5141" t="s">
        <v>83</v>
      </c>
      <c r="BH5141" t="s">
        <v>84</v>
      </c>
      <c r="BI5141" t="s">
        <v>85</v>
      </c>
    </row>
    <row r="5142" spans="1:61" x14ac:dyDescent="0.3">
      <c r="A5142" t="str">
        <f>"201211B0100"</f>
        <v>201211B0100</v>
      </c>
      <c r="B5142" t="s">
        <v>10395</v>
      </c>
      <c r="C5142">
        <v>20</v>
      </c>
      <c r="D5142" t="s">
        <v>79</v>
      </c>
      <c r="E5142">
        <v>24</v>
      </c>
      <c r="F5142" t="s">
        <v>10123</v>
      </c>
      <c r="G5142">
        <v>1211</v>
      </c>
      <c r="H5142">
        <v>1</v>
      </c>
      <c r="I5142" t="s">
        <v>81</v>
      </c>
      <c r="J5142">
        <v>0</v>
      </c>
      <c r="K5142">
        <v>2</v>
      </c>
      <c r="L5142">
        <v>2</v>
      </c>
      <c r="M5142">
        <v>183</v>
      </c>
      <c r="N5142">
        <v>225</v>
      </c>
      <c r="O5142">
        <v>0</v>
      </c>
      <c r="P5142">
        <v>225</v>
      </c>
      <c r="Q5142">
        <v>28</v>
      </c>
      <c r="R5142">
        <v>14</v>
      </c>
      <c r="S5142">
        <v>8</v>
      </c>
      <c r="T5142">
        <v>6</v>
      </c>
      <c r="U5142">
        <v>21</v>
      </c>
      <c r="V5142">
        <v>9</v>
      </c>
      <c r="W5142">
        <v>1</v>
      </c>
      <c r="X5142">
        <v>11</v>
      </c>
      <c r="Y5142">
        <v>110</v>
      </c>
      <c r="Z5142">
        <v>6</v>
      </c>
      <c r="AB5142">
        <v>0</v>
      </c>
      <c r="AC5142">
        <v>0</v>
      </c>
      <c r="AD5142">
        <v>0</v>
      </c>
      <c r="AE5142">
        <v>0</v>
      </c>
      <c r="AF5142">
        <v>0</v>
      </c>
      <c r="AK5142">
        <v>0</v>
      </c>
      <c r="AL5142">
        <v>0</v>
      </c>
      <c r="AM5142">
        <v>0</v>
      </c>
      <c r="AN5142">
        <v>0</v>
      </c>
      <c r="AQ5142">
        <v>0</v>
      </c>
      <c r="AT5142">
        <v>3</v>
      </c>
      <c r="AU5142">
        <v>8</v>
      </c>
      <c r="AV5142">
        <v>225</v>
      </c>
      <c r="AW5142">
        <v>225</v>
      </c>
      <c r="AX5142">
        <v>386</v>
      </c>
      <c r="BA5142">
        <v>1</v>
      </c>
      <c r="BC5142" t="s">
        <v>10396</v>
      </c>
      <c r="BD5142" s="4">
        <v>43283.361111111109</v>
      </c>
      <c r="BE5142" s="4">
        <v>43283.372083333335</v>
      </c>
      <c r="BF5142" s="4">
        <v>43283.372083333335</v>
      </c>
      <c r="BG5142" t="s">
        <v>83</v>
      </c>
      <c r="BH5142" t="s">
        <v>84</v>
      </c>
      <c r="BI5142" t="s">
        <v>85</v>
      </c>
    </row>
    <row r="5143" spans="1:61" x14ac:dyDescent="0.3">
      <c r="A5143" t="str">
        <f>"201212B0100"</f>
        <v>201212B0100</v>
      </c>
      <c r="B5143" t="s">
        <v>10397</v>
      </c>
      <c r="C5143">
        <v>20</v>
      </c>
      <c r="D5143" t="s">
        <v>79</v>
      </c>
      <c r="E5143">
        <v>24</v>
      </c>
      <c r="F5143" t="s">
        <v>10123</v>
      </c>
      <c r="G5143">
        <v>1212</v>
      </c>
      <c r="H5143">
        <v>1</v>
      </c>
      <c r="I5143" t="s">
        <v>81</v>
      </c>
      <c r="J5143">
        <v>0</v>
      </c>
      <c r="K5143">
        <v>2</v>
      </c>
      <c r="L5143">
        <v>2</v>
      </c>
      <c r="M5143">
        <v>315</v>
      </c>
      <c r="N5143">
        <v>562</v>
      </c>
      <c r="O5143">
        <v>0</v>
      </c>
      <c r="P5143">
        <v>247</v>
      </c>
      <c r="Q5143">
        <v>21</v>
      </c>
      <c r="R5143">
        <v>6</v>
      </c>
      <c r="S5143">
        <v>6</v>
      </c>
      <c r="T5143">
        <v>17</v>
      </c>
      <c r="U5143">
        <v>66</v>
      </c>
      <c r="V5143">
        <v>1</v>
      </c>
      <c r="W5143">
        <v>5</v>
      </c>
      <c r="X5143">
        <v>10</v>
      </c>
      <c r="Y5143">
        <v>75</v>
      </c>
      <c r="Z5143">
        <v>15</v>
      </c>
      <c r="AB5143">
        <v>3</v>
      </c>
      <c r="AC5143" t="s">
        <v>100</v>
      </c>
      <c r="AD5143" t="s">
        <v>100</v>
      </c>
      <c r="AE5143" t="s">
        <v>100</v>
      </c>
      <c r="AF5143" t="s">
        <v>100</v>
      </c>
      <c r="AK5143">
        <v>7</v>
      </c>
      <c r="AL5143">
        <v>3</v>
      </c>
      <c r="AM5143">
        <v>1</v>
      </c>
      <c r="AN5143">
        <v>2</v>
      </c>
      <c r="AQ5143">
        <v>1</v>
      </c>
      <c r="AT5143" t="s">
        <v>100</v>
      </c>
      <c r="AU5143">
        <v>9</v>
      </c>
      <c r="AV5143">
        <v>247</v>
      </c>
      <c r="AW5143">
        <v>248</v>
      </c>
      <c r="AX5143">
        <v>540</v>
      </c>
      <c r="AZ5143" t="s">
        <v>101</v>
      </c>
      <c r="BA5143">
        <v>1</v>
      </c>
      <c r="BC5143" t="s">
        <v>10398</v>
      </c>
      <c r="BD5143" s="4">
        <v>43283.425000000003</v>
      </c>
      <c r="BE5143" s="4">
        <v>43283.430277777778</v>
      </c>
      <c r="BF5143" s="4">
        <v>43283.430277777778</v>
      </c>
      <c r="BG5143" t="s">
        <v>83</v>
      </c>
      <c r="BH5143" t="s">
        <v>84</v>
      </c>
      <c r="BI5143" t="s">
        <v>85</v>
      </c>
    </row>
    <row r="5144" spans="1:61" x14ac:dyDescent="0.3">
      <c r="A5144" t="str">
        <f>"201212E0100"</f>
        <v>201212E0100</v>
      </c>
      <c r="B5144" s="2" t="s">
        <v>10399</v>
      </c>
      <c r="C5144">
        <v>20</v>
      </c>
      <c r="D5144" t="s">
        <v>79</v>
      </c>
      <c r="E5144">
        <v>24</v>
      </c>
      <c r="F5144" t="s">
        <v>10123</v>
      </c>
      <c r="G5144">
        <v>1212</v>
      </c>
      <c r="H5144">
        <v>1</v>
      </c>
      <c r="I5144" t="s">
        <v>145</v>
      </c>
      <c r="J5144">
        <v>0</v>
      </c>
      <c r="K5144">
        <v>2</v>
      </c>
      <c r="L5144">
        <v>2</v>
      </c>
      <c r="M5144">
        <v>232</v>
      </c>
      <c r="N5144">
        <v>291</v>
      </c>
      <c r="O5144">
        <v>0</v>
      </c>
      <c r="P5144">
        <v>291</v>
      </c>
      <c r="Q5144">
        <v>5</v>
      </c>
      <c r="R5144">
        <v>65</v>
      </c>
      <c r="S5144">
        <v>5</v>
      </c>
      <c r="T5144">
        <v>3</v>
      </c>
      <c r="U5144">
        <v>17</v>
      </c>
      <c r="V5144">
        <v>1</v>
      </c>
      <c r="W5144">
        <v>3</v>
      </c>
      <c r="X5144">
        <v>3</v>
      </c>
      <c r="Y5144">
        <v>142</v>
      </c>
      <c r="Z5144">
        <v>26</v>
      </c>
      <c r="AB5144">
        <v>3</v>
      </c>
      <c r="AC5144" t="s">
        <v>100</v>
      </c>
      <c r="AD5144" t="s">
        <v>100</v>
      </c>
      <c r="AE5144" t="s">
        <v>100</v>
      </c>
      <c r="AF5144" t="s">
        <v>100</v>
      </c>
      <c r="AK5144">
        <v>5</v>
      </c>
      <c r="AL5144">
        <v>2</v>
      </c>
      <c r="AM5144" t="s">
        <v>100</v>
      </c>
      <c r="AN5144">
        <v>3</v>
      </c>
      <c r="AQ5144" t="s">
        <v>100</v>
      </c>
      <c r="AT5144" t="s">
        <v>100</v>
      </c>
      <c r="AU5144">
        <v>8</v>
      </c>
      <c r="AV5144">
        <v>291</v>
      </c>
      <c r="AW5144">
        <v>291</v>
      </c>
      <c r="AX5144">
        <v>501</v>
      </c>
      <c r="AZ5144" t="s">
        <v>101</v>
      </c>
      <c r="BA5144">
        <v>1</v>
      </c>
      <c r="BC5144" t="s">
        <v>10400</v>
      </c>
      <c r="BD5144" s="4">
        <v>43283.808333333334</v>
      </c>
      <c r="BE5144" s="4">
        <v>43283.8124537037</v>
      </c>
      <c r="BF5144" s="4">
        <v>43283.8124537037</v>
      </c>
      <c r="BG5144" t="s">
        <v>83</v>
      </c>
      <c r="BH5144" t="s">
        <v>84</v>
      </c>
      <c r="BI5144" t="s">
        <v>85</v>
      </c>
    </row>
    <row r="5145" spans="1:61" x14ac:dyDescent="0.3">
      <c r="A5145" t="str">
        <f>"201276B0100"</f>
        <v>201276B0100</v>
      </c>
      <c r="B5145" t="s">
        <v>10401</v>
      </c>
      <c r="C5145">
        <v>20</v>
      </c>
      <c r="D5145" t="s">
        <v>79</v>
      </c>
      <c r="E5145">
        <v>24</v>
      </c>
      <c r="F5145" t="s">
        <v>10123</v>
      </c>
      <c r="G5145">
        <v>1276</v>
      </c>
      <c r="H5145">
        <v>1</v>
      </c>
      <c r="I5145" t="s">
        <v>81</v>
      </c>
      <c r="J5145">
        <v>0</v>
      </c>
      <c r="K5145">
        <v>2</v>
      </c>
      <c r="L5145">
        <v>2</v>
      </c>
      <c r="M5145">
        <v>257</v>
      </c>
      <c r="N5145">
        <v>306</v>
      </c>
      <c r="O5145">
        <v>3</v>
      </c>
      <c r="P5145">
        <v>306</v>
      </c>
      <c r="Q5145">
        <v>47</v>
      </c>
      <c r="R5145">
        <v>20</v>
      </c>
      <c r="S5145">
        <v>11</v>
      </c>
      <c r="T5145">
        <v>3</v>
      </c>
      <c r="U5145">
        <v>8</v>
      </c>
      <c r="V5145">
        <v>13</v>
      </c>
      <c r="W5145">
        <v>12</v>
      </c>
      <c r="X5145">
        <v>10</v>
      </c>
      <c r="Y5145">
        <v>148</v>
      </c>
      <c r="Z5145">
        <v>3</v>
      </c>
      <c r="AB5145">
        <v>1</v>
      </c>
      <c r="AC5145">
        <v>0</v>
      </c>
      <c r="AD5145">
        <v>2</v>
      </c>
      <c r="AE5145">
        <v>0</v>
      </c>
      <c r="AF5145">
        <v>0</v>
      </c>
      <c r="AK5145">
        <v>0</v>
      </c>
      <c r="AL5145">
        <v>0</v>
      </c>
      <c r="AM5145">
        <v>0</v>
      </c>
      <c r="AN5145">
        <v>0</v>
      </c>
      <c r="AQ5145">
        <v>0</v>
      </c>
      <c r="AT5145">
        <v>0</v>
      </c>
      <c r="AU5145">
        <v>28</v>
      </c>
      <c r="AV5145">
        <v>306</v>
      </c>
      <c r="AW5145">
        <v>306</v>
      </c>
      <c r="AX5145">
        <v>541</v>
      </c>
      <c r="BA5145">
        <v>1</v>
      </c>
      <c r="BC5145" t="s">
        <v>10402</v>
      </c>
      <c r="BD5145" s="4">
        <v>43283.265972222223</v>
      </c>
      <c r="BE5145" s="4">
        <v>43283.293703703705</v>
      </c>
      <c r="BF5145" s="4">
        <v>43283.293703703705</v>
      </c>
      <c r="BG5145" t="s">
        <v>83</v>
      </c>
      <c r="BH5145" t="s">
        <v>84</v>
      </c>
      <c r="BI5145" t="s">
        <v>85</v>
      </c>
    </row>
    <row r="5146" spans="1:61" x14ac:dyDescent="0.3">
      <c r="A5146" t="str">
        <f>"201277B0100"</f>
        <v>201277B0100</v>
      </c>
      <c r="B5146" t="s">
        <v>10403</v>
      </c>
      <c r="C5146">
        <v>20</v>
      </c>
      <c r="D5146" t="s">
        <v>79</v>
      </c>
      <c r="E5146">
        <v>24</v>
      </c>
      <c r="F5146" t="s">
        <v>10123</v>
      </c>
      <c r="G5146">
        <v>1277</v>
      </c>
      <c r="H5146">
        <v>1</v>
      </c>
      <c r="I5146" t="s">
        <v>81</v>
      </c>
      <c r="J5146">
        <v>0</v>
      </c>
      <c r="K5146">
        <v>2</v>
      </c>
      <c r="L5146">
        <v>2</v>
      </c>
      <c r="M5146">
        <v>197</v>
      </c>
      <c r="N5146">
        <v>242</v>
      </c>
      <c r="O5146">
        <v>2</v>
      </c>
      <c r="P5146" t="s">
        <v>315</v>
      </c>
      <c r="Q5146">
        <v>52</v>
      </c>
      <c r="R5146">
        <v>26</v>
      </c>
      <c r="S5146">
        <v>5</v>
      </c>
      <c r="T5146">
        <v>3</v>
      </c>
      <c r="U5146">
        <v>12</v>
      </c>
      <c r="V5146">
        <v>8</v>
      </c>
      <c r="W5146">
        <v>13</v>
      </c>
      <c r="X5146">
        <v>7</v>
      </c>
      <c r="Y5146">
        <v>90</v>
      </c>
      <c r="Z5146">
        <v>7</v>
      </c>
      <c r="AB5146">
        <v>0</v>
      </c>
      <c r="AC5146">
        <v>0</v>
      </c>
      <c r="AD5146">
        <v>0</v>
      </c>
      <c r="AE5146">
        <v>0</v>
      </c>
      <c r="AF5146">
        <v>0</v>
      </c>
      <c r="AK5146">
        <v>1</v>
      </c>
      <c r="AL5146">
        <v>0</v>
      </c>
      <c r="AM5146">
        <v>0</v>
      </c>
      <c r="AN5146">
        <v>1</v>
      </c>
      <c r="AQ5146">
        <v>0</v>
      </c>
      <c r="AT5146">
        <v>1</v>
      </c>
      <c r="AU5146">
        <v>16</v>
      </c>
      <c r="AV5146" t="s">
        <v>100</v>
      </c>
      <c r="AW5146">
        <v>242</v>
      </c>
      <c r="AX5146">
        <v>417</v>
      </c>
      <c r="BA5146">
        <v>1</v>
      </c>
      <c r="BC5146" t="s">
        <v>10404</v>
      </c>
      <c r="BD5146" s="4">
        <v>43283.273611111108</v>
      </c>
      <c r="BE5146" s="4">
        <v>43283.299224537041</v>
      </c>
      <c r="BF5146" s="4">
        <v>43283.299224537041</v>
      </c>
      <c r="BG5146" t="s">
        <v>83</v>
      </c>
      <c r="BH5146" t="s">
        <v>84</v>
      </c>
      <c r="BI5146" t="s">
        <v>85</v>
      </c>
    </row>
    <row r="5147" spans="1:61" x14ac:dyDescent="0.3">
      <c r="A5147" t="str">
        <f>"201310B0100"</f>
        <v>201310B0100</v>
      </c>
      <c r="B5147" t="s">
        <v>10405</v>
      </c>
      <c r="C5147">
        <v>20</v>
      </c>
      <c r="D5147" t="s">
        <v>79</v>
      </c>
      <c r="E5147">
        <v>24</v>
      </c>
      <c r="F5147" t="s">
        <v>10123</v>
      </c>
      <c r="G5147">
        <v>1310</v>
      </c>
      <c r="H5147">
        <v>1</v>
      </c>
      <c r="I5147" t="s">
        <v>81</v>
      </c>
      <c r="J5147">
        <v>0</v>
      </c>
      <c r="K5147">
        <v>2</v>
      </c>
      <c r="L5147">
        <v>2</v>
      </c>
      <c r="M5147">
        <v>111</v>
      </c>
      <c r="N5147" t="s">
        <v>100</v>
      </c>
      <c r="O5147" t="s">
        <v>100</v>
      </c>
      <c r="P5147" t="s">
        <v>100</v>
      </c>
      <c r="Q5147">
        <v>82</v>
      </c>
      <c r="R5147">
        <v>96</v>
      </c>
      <c r="S5147">
        <v>3</v>
      </c>
      <c r="T5147">
        <v>5</v>
      </c>
      <c r="U5147">
        <v>7</v>
      </c>
      <c r="V5147">
        <v>50</v>
      </c>
      <c r="W5147" t="s">
        <v>100</v>
      </c>
      <c r="X5147">
        <v>3</v>
      </c>
      <c r="Y5147" t="s">
        <v>100</v>
      </c>
      <c r="Z5147" t="s">
        <v>100</v>
      </c>
      <c r="AB5147" t="s">
        <v>100</v>
      </c>
      <c r="AC5147" t="s">
        <v>100</v>
      </c>
      <c r="AD5147" t="s">
        <v>100</v>
      </c>
      <c r="AE5147" t="s">
        <v>100</v>
      </c>
      <c r="AF5147" t="s">
        <v>100</v>
      </c>
      <c r="AK5147" t="s">
        <v>100</v>
      </c>
      <c r="AL5147" t="s">
        <v>100</v>
      </c>
      <c r="AM5147" t="s">
        <v>100</v>
      </c>
      <c r="AN5147" t="s">
        <v>100</v>
      </c>
      <c r="AQ5147" t="s">
        <v>100</v>
      </c>
      <c r="AT5147" t="s">
        <v>100</v>
      </c>
      <c r="AU5147" t="s">
        <v>100</v>
      </c>
      <c r="AV5147" t="s">
        <v>100</v>
      </c>
      <c r="AW5147">
        <v>246</v>
      </c>
      <c r="AX5147">
        <v>413</v>
      </c>
      <c r="AZ5147" t="s">
        <v>101</v>
      </c>
      <c r="BA5147">
        <v>1</v>
      </c>
      <c r="BC5147" t="s">
        <v>10406</v>
      </c>
      <c r="BD5147" s="4">
        <v>43283.26666666667</v>
      </c>
      <c r="BE5147" s="4">
        <v>43283.294328703705</v>
      </c>
      <c r="BF5147" s="4">
        <v>43283.294328703705</v>
      </c>
      <c r="BG5147" t="s">
        <v>83</v>
      </c>
      <c r="BH5147" t="s">
        <v>84</v>
      </c>
      <c r="BI5147" t="s">
        <v>85</v>
      </c>
    </row>
    <row r="5148" spans="1:61" x14ac:dyDescent="0.3">
      <c r="A5148" t="str">
        <f>"201310C0100"</f>
        <v>201310C0100</v>
      </c>
      <c r="B5148" t="s">
        <v>10407</v>
      </c>
      <c r="C5148">
        <v>20</v>
      </c>
      <c r="D5148" t="s">
        <v>79</v>
      </c>
      <c r="E5148">
        <v>24</v>
      </c>
      <c r="F5148" t="s">
        <v>10123</v>
      </c>
      <c r="G5148">
        <v>1310</v>
      </c>
      <c r="H5148">
        <v>1</v>
      </c>
      <c r="I5148" t="s">
        <v>89</v>
      </c>
      <c r="J5148">
        <v>0</v>
      </c>
      <c r="K5148">
        <v>2</v>
      </c>
      <c r="L5148">
        <v>2</v>
      </c>
      <c r="M5148">
        <v>133</v>
      </c>
      <c r="N5148">
        <v>301</v>
      </c>
      <c r="O5148">
        <v>0</v>
      </c>
      <c r="P5148">
        <v>301</v>
      </c>
      <c r="Q5148">
        <v>66</v>
      </c>
      <c r="R5148">
        <v>93</v>
      </c>
      <c r="S5148">
        <v>4</v>
      </c>
      <c r="T5148">
        <v>3</v>
      </c>
      <c r="U5148">
        <v>5</v>
      </c>
      <c r="V5148">
        <v>3</v>
      </c>
      <c r="W5148">
        <v>49</v>
      </c>
      <c r="X5148">
        <v>6</v>
      </c>
      <c r="Y5148">
        <v>38</v>
      </c>
      <c r="Z5148">
        <v>4</v>
      </c>
      <c r="AB5148">
        <v>3</v>
      </c>
      <c r="AC5148">
        <v>0</v>
      </c>
      <c r="AD5148">
        <v>2</v>
      </c>
      <c r="AE5148">
        <v>0</v>
      </c>
      <c r="AF5148">
        <v>0</v>
      </c>
      <c r="AK5148">
        <v>0</v>
      </c>
      <c r="AL5148">
        <v>0</v>
      </c>
      <c r="AM5148">
        <v>0</v>
      </c>
      <c r="AN5148">
        <v>1</v>
      </c>
      <c r="AQ5148">
        <v>0</v>
      </c>
      <c r="AT5148">
        <v>0</v>
      </c>
      <c r="AU5148">
        <v>24</v>
      </c>
      <c r="AV5148" t="s">
        <v>100</v>
      </c>
      <c r="AW5148">
        <v>301</v>
      </c>
      <c r="AX5148">
        <v>412</v>
      </c>
      <c r="BA5148">
        <v>1</v>
      </c>
      <c r="BC5148" t="s">
        <v>10408</v>
      </c>
      <c r="BD5148" s="4">
        <v>43283.270833333336</v>
      </c>
      <c r="BE5148" s="4">
        <v>43283.314756944441</v>
      </c>
      <c r="BF5148" s="4">
        <v>43283.314756944441</v>
      </c>
      <c r="BG5148" t="s">
        <v>83</v>
      </c>
      <c r="BH5148" t="s">
        <v>84</v>
      </c>
      <c r="BI5148" t="s">
        <v>85</v>
      </c>
    </row>
    <row r="5149" spans="1:61" x14ac:dyDescent="0.3">
      <c r="A5149" t="str">
        <f>"201310E0100"</f>
        <v>201310E0100</v>
      </c>
      <c r="B5149" s="2" t="s">
        <v>10409</v>
      </c>
      <c r="C5149">
        <v>20</v>
      </c>
      <c r="D5149" t="s">
        <v>79</v>
      </c>
      <c r="E5149">
        <v>24</v>
      </c>
      <c r="F5149" t="s">
        <v>10123</v>
      </c>
      <c r="G5149">
        <v>1310</v>
      </c>
      <c r="H5149">
        <v>1</v>
      </c>
      <c r="I5149" t="s">
        <v>145</v>
      </c>
      <c r="J5149">
        <v>0</v>
      </c>
      <c r="K5149">
        <v>2</v>
      </c>
      <c r="L5149">
        <v>2</v>
      </c>
      <c r="M5149">
        <v>99</v>
      </c>
      <c r="N5149">
        <v>294</v>
      </c>
      <c r="O5149">
        <v>1</v>
      </c>
      <c r="P5149">
        <v>294</v>
      </c>
      <c r="Q5149">
        <v>31</v>
      </c>
      <c r="R5149">
        <v>112</v>
      </c>
      <c r="S5149">
        <v>1</v>
      </c>
      <c r="T5149">
        <v>3</v>
      </c>
      <c r="U5149">
        <v>2</v>
      </c>
      <c r="V5149">
        <v>2</v>
      </c>
      <c r="W5149">
        <v>65</v>
      </c>
      <c r="X5149">
        <v>7</v>
      </c>
      <c r="Y5149">
        <v>42</v>
      </c>
      <c r="Z5149">
        <v>7</v>
      </c>
      <c r="AB5149">
        <v>0</v>
      </c>
      <c r="AC5149">
        <v>0</v>
      </c>
      <c r="AD5149">
        <v>0</v>
      </c>
      <c r="AE5149">
        <v>0</v>
      </c>
      <c r="AF5149">
        <v>0</v>
      </c>
      <c r="AK5149">
        <v>0</v>
      </c>
      <c r="AL5149">
        <v>0</v>
      </c>
      <c r="AM5149">
        <v>0</v>
      </c>
      <c r="AN5149">
        <v>0</v>
      </c>
      <c r="AQ5149">
        <v>0</v>
      </c>
      <c r="AT5149">
        <v>0</v>
      </c>
      <c r="AU5149">
        <v>22</v>
      </c>
      <c r="AV5149">
        <v>294</v>
      </c>
      <c r="AW5149">
        <v>294</v>
      </c>
      <c r="AX5149">
        <v>371</v>
      </c>
      <c r="BA5149">
        <v>1</v>
      </c>
      <c r="BC5149" t="s">
        <v>10410</v>
      </c>
      <c r="BD5149" s="4">
        <v>43283.272222222222</v>
      </c>
      <c r="BE5149" s="4">
        <v>43283.29928240741</v>
      </c>
      <c r="BF5149" s="4">
        <v>43283.29928240741</v>
      </c>
      <c r="BG5149" t="s">
        <v>83</v>
      </c>
      <c r="BH5149" t="s">
        <v>84</v>
      </c>
      <c r="BI5149" t="s">
        <v>85</v>
      </c>
    </row>
    <row r="5150" spans="1:61" x14ac:dyDescent="0.3">
      <c r="A5150" t="str">
        <f>"201311B0100"</f>
        <v>201311B0100</v>
      </c>
      <c r="B5150" t="s">
        <v>10411</v>
      </c>
      <c r="C5150">
        <v>20</v>
      </c>
      <c r="D5150" t="s">
        <v>79</v>
      </c>
      <c r="E5150">
        <v>24</v>
      </c>
      <c r="F5150" t="s">
        <v>10123</v>
      </c>
      <c r="G5150">
        <v>1311</v>
      </c>
      <c r="H5150">
        <v>1</v>
      </c>
      <c r="I5150" t="s">
        <v>81</v>
      </c>
      <c r="J5150">
        <v>0</v>
      </c>
      <c r="K5150">
        <v>2</v>
      </c>
      <c r="L5150">
        <v>2</v>
      </c>
      <c r="M5150">
        <v>208</v>
      </c>
      <c r="N5150">
        <v>507</v>
      </c>
      <c r="O5150">
        <v>2</v>
      </c>
      <c r="P5150">
        <v>507</v>
      </c>
      <c r="Q5150">
        <v>57</v>
      </c>
      <c r="R5150">
        <v>158</v>
      </c>
      <c r="S5150">
        <v>7</v>
      </c>
      <c r="T5150">
        <v>12</v>
      </c>
      <c r="U5150">
        <v>7</v>
      </c>
      <c r="V5150">
        <v>2</v>
      </c>
      <c r="W5150">
        <v>134</v>
      </c>
      <c r="X5150">
        <v>9</v>
      </c>
      <c r="Y5150">
        <v>76</v>
      </c>
      <c r="Z5150">
        <v>13</v>
      </c>
      <c r="AB5150">
        <v>0</v>
      </c>
      <c r="AC5150">
        <v>0</v>
      </c>
      <c r="AD5150">
        <v>0</v>
      </c>
      <c r="AE5150">
        <v>1</v>
      </c>
      <c r="AF5150">
        <v>0</v>
      </c>
      <c r="AK5150">
        <v>0</v>
      </c>
      <c r="AL5150">
        <v>1</v>
      </c>
      <c r="AM5150">
        <v>0</v>
      </c>
      <c r="AN5150">
        <v>1</v>
      </c>
      <c r="AQ5150">
        <v>0</v>
      </c>
      <c r="AT5150">
        <v>0</v>
      </c>
      <c r="AU5150">
        <v>29</v>
      </c>
      <c r="AV5150">
        <v>507</v>
      </c>
      <c r="AW5150">
        <v>507</v>
      </c>
      <c r="AX5150">
        <v>693</v>
      </c>
      <c r="BA5150">
        <v>1</v>
      </c>
      <c r="BC5150" t="s">
        <v>10412</v>
      </c>
      <c r="BD5150" s="4">
        <v>43283.265972222223</v>
      </c>
      <c r="BE5150" s="4">
        <v>43283.294236111113</v>
      </c>
      <c r="BF5150" s="4">
        <v>43283.294236111113</v>
      </c>
      <c r="BG5150" t="s">
        <v>83</v>
      </c>
      <c r="BH5150" t="s">
        <v>84</v>
      </c>
      <c r="BI5150" t="s">
        <v>85</v>
      </c>
    </row>
    <row r="5151" spans="1:61" x14ac:dyDescent="0.3">
      <c r="A5151" t="str">
        <f>"201312B0100"</f>
        <v>201312B0100</v>
      </c>
      <c r="B5151" t="s">
        <v>10413</v>
      </c>
      <c r="C5151">
        <v>20</v>
      </c>
      <c r="D5151" t="s">
        <v>79</v>
      </c>
      <c r="E5151">
        <v>24</v>
      </c>
      <c r="F5151" t="s">
        <v>10123</v>
      </c>
      <c r="G5151">
        <v>1312</v>
      </c>
      <c r="H5151">
        <v>1</v>
      </c>
      <c r="I5151" t="s">
        <v>81</v>
      </c>
      <c r="J5151">
        <v>0</v>
      </c>
      <c r="K5151">
        <v>2</v>
      </c>
      <c r="L5151">
        <v>2</v>
      </c>
      <c r="M5151">
        <v>76</v>
      </c>
      <c r="N5151">
        <v>179</v>
      </c>
      <c r="O5151">
        <v>179</v>
      </c>
      <c r="P5151">
        <v>179</v>
      </c>
      <c r="Q5151">
        <v>29</v>
      </c>
      <c r="R5151">
        <v>48</v>
      </c>
      <c r="S5151">
        <v>1</v>
      </c>
      <c r="T5151">
        <v>0</v>
      </c>
      <c r="U5151">
        <v>3</v>
      </c>
      <c r="V5151">
        <v>2</v>
      </c>
      <c r="W5151">
        <v>52</v>
      </c>
      <c r="X5151">
        <v>3</v>
      </c>
      <c r="Y5151">
        <v>29</v>
      </c>
      <c r="Z5151">
        <v>0</v>
      </c>
      <c r="AB5151">
        <v>0</v>
      </c>
      <c r="AC5151">
        <v>2</v>
      </c>
      <c r="AD5151">
        <v>0</v>
      </c>
      <c r="AE5151">
        <v>1</v>
      </c>
      <c r="AF5151">
        <v>0</v>
      </c>
      <c r="AK5151">
        <v>0</v>
      </c>
      <c r="AL5151">
        <v>0</v>
      </c>
      <c r="AM5151">
        <v>0</v>
      </c>
      <c r="AN5151">
        <v>0</v>
      </c>
      <c r="AQ5151">
        <v>1</v>
      </c>
      <c r="AT5151">
        <v>0</v>
      </c>
      <c r="AU5151">
        <v>8</v>
      </c>
      <c r="AV5151">
        <v>179</v>
      </c>
      <c r="AW5151">
        <v>179</v>
      </c>
      <c r="AX5151">
        <v>233</v>
      </c>
      <c r="BA5151">
        <v>1</v>
      </c>
      <c r="BC5151" t="s">
        <v>10414</v>
      </c>
      <c r="BD5151" s="4">
        <v>43283.270833333336</v>
      </c>
      <c r="BE5151" s="4">
        <v>43283.297083333331</v>
      </c>
      <c r="BF5151" s="4">
        <v>43283.297083333331</v>
      </c>
      <c r="BG5151" t="s">
        <v>83</v>
      </c>
      <c r="BH5151" t="s">
        <v>84</v>
      </c>
      <c r="BI5151" t="s">
        <v>85</v>
      </c>
    </row>
    <row r="5152" spans="1:61" x14ac:dyDescent="0.3">
      <c r="A5152" t="str">
        <f>"201313B0100"</f>
        <v>201313B0100</v>
      </c>
      <c r="B5152" t="s">
        <v>10415</v>
      </c>
      <c r="C5152">
        <v>20</v>
      </c>
      <c r="D5152" t="s">
        <v>79</v>
      </c>
      <c r="E5152">
        <v>24</v>
      </c>
      <c r="F5152" t="s">
        <v>10123</v>
      </c>
      <c r="G5152">
        <v>1313</v>
      </c>
      <c r="H5152">
        <v>1</v>
      </c>
      <c r="I5152" t="s">
        <v>81</v>
      </c>
      <c r="J5152">
        <v>0</v>
      </c>
      <c r="K5152">
        <v>2</v>
      </c>
      <c r="L5152">
        <v>2</v>
      </c>
      <c r="M5152">
        <v>64</v>
      </c>
      <c r="N5152">
        <v>252</v>
      </c>
      <c r="O5152">
        <v>5</v>
      </c>
      <c r="P5152">
        <v>252</v>
      </c>
      <c r="Q5152">
        <v>54</v>
      </c>
      <c r="R5152">
        <v>66</v>
      </c>
      <c r="S5152">
        <v>4</v>
      </c>
      <c r="T5152">
        <v>0</v>
      </c>
      <c r="U5152">
        <v>2</v>
      </c>
      <c r="V5152">
        <v>3</v>
      </c>
      <c r="W5152">
        <v>78</v>
      </c>
      <c r="X5152">
        <v>0</v>
      </c>
      <c r="Y5152">
        <v>23</v>
      </c>
      <c r="Z5152">
        <v>2</v>
      </c>
      <c r="AB5152">
        <v>0</v>
      </c>
      <c r="AC5152">
        <v>0</v>
      </c>
      <c r="AD5152">
        <v>1</v>
      </c>
      <c r="AE5152">
        <v>0</v>
      </c>
      <c r="AF5152">
        <v>0</v>
      </c>
      <c r="AK5152">
        <v>0</v>
      </c>
      <c r="AL5152">
        <v>0</v>
      </c>
      <c r="AM5152">
        <v>0</v>
      </c>
      <c r="AN5152">
        <v>0</v>
      </c>
      <c r="AQ5152">
        <v>0</v>
      </c>
      <c r="AT5152">
        <v>7</v>
      </c>
      <c r="AU5152">
        <v>13</v>
      </c>
      <c r="AV5152">
        <v>249</v>
      </c>
      <c r="AW5152">
        <v>253</v>
      </c>
      <c r="AX5152">
        <v>297</v>
      </c>
      <c r="BA5152">
        <v>1</v>
      </c>
      <c r="BC5152" t="s">
        <v>10416</v>
      </c>
      <c r="BD5152" s="4">
        <v>43283.272222222222</v>
      </c>
      <c r="BE5152" s="4">
        <v>43283.29892361111</v>
      </c>
      <c r="BF5152" s="4">
        <v>43283.29892361111</v>
      </c>
      <c r="BG5152" t="s">
        <v>83</v>
      </c>
      <c r="BH5152" t="s">
        <v>84</v>
      </c>
      <c r="BI5152" t="s">
        <v>85</v>
      </c>
    </row>
    <row r="5153" spans="1:61" x14ac:dyDescent="0.3">
      <c r="A5153" t="str">
        <f>"201345B0100"</f>
        <v>201345B0100</v>
      </c>
      <c r="B5153" t="s">
        <v>10417</v>
      </c>
      <c r="C5153">
        <v>20</v>
      </c>
      <c r="D5153" t="s">
        <v>79</v>
      </c>
      <c r="E5153">
        <v>24</v>
      </c>
      <c r="F5153" t="s">
        <v>10123</v>
      </c>
      <c r="G5153">
        <v>1345</v>
      </c>
      <c r="H5153">
        <v>1</v>
      </c>
      <c r="I5153" t="s">
        <v>81</v>
      </c>
      <c r="J5153">
        <v>0</v>
      </c>
      <c r="K5153">
        <v>2</v>
      </c>
      <c r="L5153">
        <v>2</v>
      </c>
      <c r="M5153">
        <v>397</v>
      </c>
      <c r="N5153" t="s">
        <v>100</v>
      </c>
      <c r="O5153" t="s">
        <v>100</v>
      </c>
      <c r="P5153" t="s">
        <v>100</v>
      </c>
      <c r="Q5153">
        <v>41</v>
      </c>
      <c r="R5153">
        <v>65</v>
      </c>
      <c r="S5153">
        <v>11</v>
      </c>
      <c r="T5153">
        <v>16</v>
      </c>
      <c r="U5153">
        <v>23</v>
      </c>
      <c r="V5153">
        <v>5</v>
      </c>
      <c r="W5153">
        <v>11</v>
      </c>
      <c r="X5153">
        <v>8</v>
      </c>
      <c r="Y5153">
        <v>120</v>
      </c>
      <c r="Z5153">
        <v>5</v>
      </c>
      <c r="AB5153">
        <v>2</v>
      </c>
      <c r="AC5153">
        <v>0</v>
      </c>
      <c r="AD5153">
        <v>1</v>
      </c>
      <c r="AE5153">
        <v>0</v>
      </c>
      <c r="AF5153">
        <v>1</v>
      </c>
      <c r="AK5153">
        <v>7</v>
      </c>
      <c r="AL5153">
        <v>0</v>
      </c>
      <c r="AM5153">
        <v>1</v>
      </c>
      <c r="AN5153">
        <v>1</v>
      </c>
      <c r="AQ5153">
        <v>2</v>
      </c>
      <c r="AT5153">
        <v>0</v>
      </c>
      <c r="AU5153">
        <v>23</v>
      </c>
      <c r="AV5153">
        <v>343</v>
      </c>
      <c r="AW5153">
        <v>343</v>
      </c>
      <c r="AX5153">
        <v>718</v>
      </c>
      <c r="BA5153">
        <v>1</v>
      </c>
      <c r="BC5153" t="s">
        <v>10418</v>
      </c>
      <c r="BD5153" s="4">
        <v>43283.10833333333</v>
      </c>
      <c r="BE5153" s="4">
        <v>43283.113159722219</v>
      </c>
      <c r="BF5153" s="4">
        <v>43283.113159722219</v>
      </c>
      <c r="BG5153" t="s">
        <v>83</v>
      </c>
      <c r="BH5153" t="s">
        <v>84</v>
      </c>
      <c r="BI5153" t="s">
        <v>85</v>
      </c>
    </row>
    <row r="5154" spans="1:61" x14ac:dyDescent="0.3">
      <c r="A5154" t="str">
        <f>"201345C0100"</f>
        <v>201345C0100</v>
      </c>
      <c r="B5154" t="s">
        <v>10419</v>
      </c>
      <c r="C5154">
        <v>20</v>
      </c>
      <c r="D5154" t="s">
        <v>79</v>
      </c>
      <c r="E5154">
        <v>24</v>
      </c>
      <c r="F5154" t="s">
        <v>10123</v>
      </c>
      <c r="G5154">
        <v>1345</v>
      </c>
      <c r="H5154">
        <v>1</v>
      </c>
      <c r="I5154" t="s">
        <v>89</v>
      </c>
      <c r="J5154">
        <v>0</v>
      </c>
      <c r="K5154">
        <v>2</v>
      </c>
      <c r="L5154">
        <v>2</v>
      </c>
      <c r="M5154">
        <v>383</v>
      </c>
      <c r="N5154">
        <v>356</v>
      </c>
      <c r="O5154">
        <v>2</v>
      </c>
      <c r="P5154">
        <v>356</v>
      </c>
      <c r="Q5154">
        <v>56</v>
      </c>
      <c r="R5154">
        <v>86</v>
      </c>
      <c r="S5154">
        <v>7</v>
      </c>
      <c r="T5154">
        <v>16</v>
      </c>
      <c r="U5154">
        <v>16</v>
      </c>
      <c r="V5154">
        <v>0</v>
      </c>
      <c r="W5154">
        <v>10</v>
      </c>
      <c r="X5154">
        <v>15</v>
      </c>
      <c r="Y5154">
        <v>112</v>
      </c>
      <c r="Z5154">
        <v>8</v>
      </c>
      <c r="AB5154">
        <v>1</v>
      </c>
      <c r="AC5154">
        <v>0</v>
      </c>
      <c r="AD5154">
        <v>0</v>
      </c>
      <c r="AE5154">
        <v>1</v>
      </c>
      <c r="AF5154">
        <v>0</v>
      </c>
      <c r="AK5154">
        <v>0</v>
      </c>
      <c r="AL5154">
        <v>6</v>
      </c>
      <c r="AM5154">
        <v>0</v>
      </c>
      <c r="AN5154">
        <v>4</v>
      </c>
      <c r="AQ5154">
        <v>0</v>
      </c>
      <c r="AT5154">
        <v>0</v>
      </c>
      <c r="AU5154">
        <v>18</v>
      </c>
      <c r="AV5154">
        <v>356</v>
      </c>
      <c r="AW5154">
        <v>356</v>
      </c>
      <c r="AX5154">
        <v>717</v>
      </c>
      <c r="BA5154">
        <v>1</v>
      </c>
      <c r="BC5154" t="s">
        <v>10420</v>
      </c>
      <c r="BD5154" s="4">
        <v>43283.109722222223</v>
      </c>
      <c r="BE5154" s="4">
        <v>43283.117905092593</v>
      </c>
      <c r="BF5154" s="4">
        <v>43283.117905092593</v>
      </c>
      <c r="BG5154" t="s">
        <v>83</v>
      </c>
      <c r="BH5154" t="s">
        <v>84</v>
      </c>
      <c r="BI5154" t="s">
        <v>85</v>
      </c>
    </row>
    <row r="5155" spans="1:61" x14ac:dyDescent="0.3">
      <c r="A5155" t="str">
        <f>"201346B0100"</f>
        <v>201346B0100</v>
      </c>
      <c r="B5155" t="s">
        <v>10421</v>
      </c>
      <c r="C5155">
        <v>20</v>
      </c>
      <c r="D5155" t="s">
        <v>79</v>
      </c>
      <c r="E5155">
        <v>24</v>
      </c>
      <c r="F5155" t="s">
        <v>10123</v>
      </c>
      <c r="G5155">
        <v>1346</v>
      </c>
      <c r="H5155">
        <v>1</v>
      </c>
      <c r="I5155" t="s">
        <v>81</v>
      </c>
      <c r="J5155">
        <v>0</v>
      </c>
      <c r="K5155">
        <v>2</v>
      </c>
      <c r="L5155">
        <v>2</v>
      </c>
      <c r="M5155">
        <v>412</v>
      </c>
      <c r="N5155">
        <v>324</v>
      </c>
      <c r="O5155">
        <v>4</v>
      </c>
      <c r="P5155">
        <v>324</v>
      </c>
      <c r="Q5155">
        <v>48</v>
      </c>
      <c r="R5155">
        <v>93</v>
      </c>
      <c r="S5155">
        <v>6</v>
      </c>
      <c r="T5155">
        <v>30</v>
      </c>
      <c r="U5155">
        <v>14</v>
      </c>
      <c r="V5155">
        <v>6</v>
      </c>
      <c r="W5155">
        <v>3</v>
      </c>
      <c r="X5155">
        <v>2</v>
      </c>
      <c r="Y5155">
        <v>89</v>
      </c>
      <c r="Z5155">
        <v>7</v>
      </c>
      <c r="AB5155">
        <v>2</v>
      </c>
      <c r="AC5155">
        <v>0</v>
      </c>
      <c r="AD5155">
        <v>0</v>
      </c>
      <c r="AE5155">
        <v>0</v>
      </c>
      <c r="AF5155">
        <v>0</v>
      </c>
      <c r="AK5155">
        <v>3</v>
      </c>
      <c r="AL5155">
        <v>0</v>
      </c>
      <c r="AM5155">
        <v>0</v>
      </c>
      <c r="AN5155">
        <v>3</v>
      </c>
      <c r="AQ5155">
        <v>1</v>
      </c>
      <c r="AT5155">
        <v>1</v>
      </c>
      <c r="AU5155">
        <v>14</v>
      </c>
      <c r="AV5155">
        <v>324</v>
      </c>
      <c r="AW5155">
        <v>322</v>
      </c>
      <c r="AX5155">
        <v>714</v>
      </c>
      <c r="BA5155">
        <v>1</v>
      </c>
      <c r="BC5155" t="s">
        <v>10422</v>
      </c>
      <c r="BD5155" s="4">
        <v>43283.109027777777</v>
      </c>
      <c r="BE5155" s="4">
        <v>43283.11645833333</v>
      </c>
      <c r="BF5155" s="4">
        <v>43283.11645833333</v>
      </c>
      <c r="BG5155" t="s">
        <v>83</v>
      </c>
      <c r="BH5155" t="s">
        <v>84</v>
      </c>
      <c r="BI5155" t="s">
        <v>85</v>
      </c>
    </row>
    <row r="5156" spans="1:61" x14ac:dyDescent="0.3">
      <c r="A5156" t="str">
        <f>"201347B0100"</f>
        <v>201347B0100</v>
      </c>
      <c r="B5156" t="s">
        <v>10423</v>
      </c>
      <c r="C5156">
        <v>20</v>
      </c>
      <c r="D5156" t="s">
        <v>79</v>
      </c>
      <c r="E5156">
        <v>24</v>
      </c>
      <c r="F5156" t="s">
        <v>10123</v>
      </c>
      <c r="G5156">
        <v>1347</v>
      </c>
      <c r="H5156">
        <v>1</v>
      </c>
      <c r="I5156" t="s">
        <v>81</v>
      </c>
      <c r="J5156">
        <v>0</v>
      </c>
      <c r="K5156">
        <v>2</v>
      </c>
      <c r="L5156">
        <v>2</v>
      </c>
      <c r="M5156">
        <v>219</v>
      </c>
      <c r="N5156">
        <v>415</v>
      </c>
      <c r="O5156" t="s">
        <v>100</v>
      </c>
      <c r="P5156">
        <v>415</v>
      </c>
      <c r="Q5156">
        <v>7</v>
      </c>
      <c r="R5156">
        <v>147</v>
      </c>
      <c r="S5156">
        <v>10</v>
      </c>
      <c r="T5156">
        <v>5</v>
      </c>
      <c r="U5156">
        <v>13</v>
      </c>
      <c r="V5156">
        <v>13</v>
      </c>
      <c r="W5156">
        <v>1</v>
      </c>
      <c r="X5156">
        <v>6</v>
      </c>
      <c r="Y5156">
        <v>178</v>
      </c>
      <c r="Z5156">
        <v>7</v>
      </c>
      <c r="AB5156">
        <v>2</v>
      </c>
      <c r="AC5156">
        <v>0</v>
      </c>
      <c r="AD5156">
        <v>0</v>
      </c>
      <c r="AE5156">
        <v>0</v>
      </c>
      <c r="AF5156">
        <v>0</v>
      </c>
      <c r="AK5156">
        <v>3</v>
      </c>
      <c r="AL5156">
        <v>2</v>
      </c>
      <c r="AM5156">
        <v>1</v>
      </c>
      <c r="AN5156">
        <v>1</v>
      </c>
      <c r="AQ5156">
        <v>0</v>
      </c>
      <c r="AT5156">
        <v>0</v>
      </c>
      <c r="AU5156">
        <v>19</v>
      </c>
      <c r="AV5156">
        <v>415</v>
      </c>
      <c r="AW5156">
        <v>415</v>
      </c>
      <c r="AX5156">
        <v>612</v>
      </c>
      <c r="BA5156">
        <v>1</v>
      </c>
      <c r="BC5156" t="s">
        <v>10424</v>
      </c>
      <c r="BD5156" s="4">
        <v>43283.349305555559</v>
      </c>
      <c r="BE5156" s="4">
        <v>43283.362881944442</v>
      </c>
      <c r="BF5156" s="4">
        <v>43283.362881944442</v>
      </c>
      <c r="BG5156" t="s">
        <v>83</v>
      </c>
      <c r="BH5156" t="s">
        <v>84</v>
      </c>
      <c r="BI5156" t="s">
        <v>85</v>
      </c>
    </row>
    <row r="5157" spans="1:61" x14ac:dyDescent="0.3">
      <c r="A5157" t="str">
        <f>"201347C0100"</f>
        <v>201347C0100</v>
      </c>
      <c r="B5157" t="s">
        <v>10425</v>
      </c>
      <c r="C5157">
        <v>20</v>
      </c>
      <c r="D5157" t="s">
        <v>79</v>
      </c>
      <c r="E5157">
        <v>24</v>
      </c>
      <c r="F5157" t="s">
        <v>10123</v>
      </c>
      <c r="G5157">
        <v>1347</v>
      </c>
      <c r="H5157">
        <v>1</v>
      </c>
      <c r="I5157" t="s">
        <v>89</v>
      </c>
      <c r="J5157">
        <v>0</v>
      </c>
      <c r="K5157">
        <v>2</v>
      </c>
      <c r="L5157">
        <v>2</v>
      </c>
      <c r="M5157">
        <v>198</v>
      </c>
      <c r="N5157">
        <v>435</v>
      </c>
      <c r="O5157">
        <v>0</v>
      </c>
      <c r="P5157">
        <v>435</v>
      </c>
      <c r="Q5157">
        <v>19</v>
      </c>
      <c r="R5157">
        <v>142</v>
      </c>
      <c r="S5157">
        <v>11</v>
      </c>
      <c r="T5157">
        <v>3</v>
      </c>
      <c r="U5157">
        <v>24</v>
      </c>
      <c r="V5157">
        <v>9</v>
      </c>
      <c r="W5157">
        <v>1</v>
      </c>
      <c r="X5157">
        <v>2</v>
      </c>
      <c r="Y5157">
        <v>187</v>
      </c>
      <c r="Z5157">
        <v>4</v>
      </c>
      <c r="AB5157">
        <v>0</v>
      </c>
      <c r="AC5157">
        <v>0</v>
      </c>
      <c r="AD5157">
        <v>1</v>
      </c>
      <c r="AE5157">
        <v>1</v>
      </c>
      <c r="AF5157">
        <v>0</v>
      </c>
      <c r="AK5157">
        <v>4</v>
      </c>
      <c r="AL5157">
        <v>2</v>
      </c>
      <c r="AM5157">
        <v>2</v>
      </c>
      <c r="AN5157">
        <v>0</v>
      </c>
      <c r="AQ5157">
        <v>1</v>
      </c>
      <c r="AT5157">
        <v>0</v>
      </c>
      <c r="AU5157">
        <v>21</v>
      </c>
      <c r="AV5157">
        <v>435</v>
      </c>
      <c r="AW5157">
        <v>434</v>
      </c>
      <c r="AX5157">
        <v>611</v>
      </c>
      <c r="BA5157">
        <v>1</v>
      </c>
      <c r="BC5157" t="s">
        <v>10426</v>
      </c>
      <c r="BD5157" s="4">
        <v>43282.352777777778</v>
      </c>
      <c r="BE5157" s="4">
        <v>43283.362928240742</v>
      </c>
      <c r="BF5157" s="4">
        <v>43283.362928240742</v>
      </c>
      <c r="BG5157" t="s">
        <v>83</v>
      </c>
      <c r="BH5157" t="s">
        <v>84</v>
      </c>
      <c r="BI5157" t="s">
        <v>85</v>
      </c>
    </row>
    <row r="5158" spans="1:61" x14ac:dyDescent="0.3">
      <c r="A5158" t="str">
        <f>"201348B0100"</f>
        <v>201348B0100</v>
      </c>
      <c r="B5158" t="s">
        <v>10427</v>
      </c>
      <c r="C5158">
        <v>20</v>
      </c>
      <c r="D5158" t="s">
        <v>79</v>
      </c>
      <c r="E5158">
        <v>24</v>
      </c>
      <c r="F5158" t="s">
        <v>10123</v>
      </c>
      <c r="G5158">
        <v>1348</v>
      </c>
      <c r="H5158">
        <v>1</v>
      </c>
      <c r="I5158" t="s">
        <v>81</v>
      </c>
      <c r="J5158">
        <v>0</v>
      </c>
      <c r="K5158">
        <v>2</v>
      </c>
      <c r="L5158">
        <v>2</v>
      </c>
      <c r="AX5158">
        <v>508</v>
      </c>
      <c r="AZ5158" t="s">
        <v>156</v>
      </c>
      <c r="BA5158">
        <v>0</v>
      </c>
      <c r="BC5158" t="s">
        <v>10428</v>
      </c>
      <c r="BD5158" s="4">
        <v>43283.81527777778</v>
      </c>
      <c r="BE5158" s="4">
        <v>43283.816828703704</v>
      </c>
      <c r="BF5158" s="4">
        <v>43283.816828703704</v>
      </c>
      <c r="BG5158" t="s">
        <v>83</v>
      </c>
      <c r="BH5158" t="s">
        <v>84</v>
      </c>
      <c r="BI5158" t="s">
        <v>85</v>
      </c>
    </row>
    <row r="5159" spans="1:61" x14ac:dyDescent="0.3">
      <c r="A5159" t="str">
        <f>"201348C0100"</f>
        <v>201348C0100</v>
      </c>
      <c r="B5159" t="s">
        <v>10429</v>
      </c>
      <c r="C5159">
        <v>20</v>
      </c>
      <c r="D5159" t="s">
        <v>79</v>
      </c>
      <c r="E5159">
        <v>24</v>
      </c>
      <c r="F5159" t="s">
        <v>10123</v>
      </c>
      <c r="G5159">
        <v>1348</v>
      </c>
      <c r="H5159">
        <v>1</v>
      </c>
      <c r="I5159" t="s">
        <v>89</v>
      </c>
      <c r="J5159">
        <v>0</v>
      </c>
      <c r="K5159">
        <v>2</v>
      </c>
      <c r="L5159">
        <v>2</v>
      </c>
      <c r="M5159" t="s">
        <v>315</v>
      </c>
      <c r="N5159">
        <v>274</v>
      </c>
      <c r="O5159">
        <v>0</v>
      </c>
      <c r="P5159">
        <v>274</v>
      </c>
      <c r="Q5159">
        <v>7</v>
      </c>
      <c r="R5159">
        <v>59</v>
      </c>
      <c r="S5159">
        <v>14</v>
      </c>
      <c r="T5159">
        <v>5</v>
      </c>
      <c r="U5159" t="s">
        <v>315</v>
      </c>
      <c r="V5159">
        <v>3</v>
      </c>
      <c r="W5159">
        <v>0</v>
      </c>
      <c r="X5159">
        <v>7</v>
      </c>
      <c r="Y5159">
        <v>99</v>
      </c>
      <c r="Z5159">
        <v>9</v>
      </c>
      <c r="AB5159">
        <v>1</v>
      </c>
      <c r="AC5159">
        <v>0</v>
      </c>
      <c r="AD5159" t="s">
        <v>315</v>
      </c>
      <c r="AE5159">
        <v>0</v>
      </c>
      <c r="AF5159">
        <v>0</v>
      </c>
      <c r="AK5159" t="s">
        <v>315</v>
      </c>
      <c r="AL5159">
        <v>1</v>
      </c>
      <c r="AM5159" t="s">
        <v>315</v>
      </c>
      <c r="AN5159">
        <v>3</v>
      </c>
      <c r="AQ5159">
        <v>0</v>
      </c>
      <c r="AT5159">
        <v>0</v>
      </c>
      <c r="AU5159" t="s">
        <v>315</v>
      </c>
      <c r="AV5159">
        <v>274</v>
      </c>
      <c r="AW5159">
        <v>208</v>
      </c>
      <c r="AX5159">
        <v>508</v>
      </c>
      <c r="AZ5159" t="s">
        <v>101</v>
      </c>
      <c r="BA5159">
        <v>1</v>
      </c>
      <c r="BC5159" t="s">
        <v>10430</v>
      </c>
      <c r="BD5159" s="4">
        <v>43283.345833333333</v>
      </c>
      <c r="BE5159" s="4">
        <v>43283.373611111114</v>
      </c>
      <c r="BF5159" s="4">
        <v>43283.373611111114</v>
      </c>
      <c r="BG5159" t="s">
        <v>83</v>
      </c>
      <c r="BH5159" t="s">
        <v>84</v>
      </c>
      <c r="BI5159" t="s">
        <v>85</v>
      </c>
    </row>
    <row r="5160" spans="1:61" x14ac:dyDescent="0.3">
      <c r="A5160" t="str">
        <f>"201348C0200"</f>
        <v>201348C0200</v>
      </c>
      <c r="B5160" t="s">
        <v>10431</v>
      </c>
      <c r="C5160">
        <v>20</v>
      </c>
      <c r="D5160" t="s">
        <v>79</v>
      </c>
      <c r="E5160">
        <v>24</v>
      </c>
      <c r="F5160" t="s">
        <v>10123</v>
      </c>
      <c r="G5160">
        <v>1348</v>
      </c>
      <c r="H5160">
        <v>2</v>
      </c>
      <c r="I5160" t="s">
        <v>89</v>
      </c>
      <c r="J5160">
        <v>0</v>
      </c>
      <c r="K5160">
        <v>2</v>
      </c>
      <c r="L5160">
        <v>2</v>
      </c>
      <c r="M5160">
        <v>261</v>
      </c>
      <c r="N5160">
        <v>269</v>
      </c>
      <c r="O5160">
        <v>0</v>
      </c>
      <c r="P5160">
        <v>269</v>
      </c>
      <c r="Q5160">
        <v>5</v>
      </c>
      <c r="R5160">
        <v>49</v>
      </c>
      <c r="S5160">
        <v>19</v>
      </c>
      <c r="T5160">
        <v>8</v>
      </c>
      <c r="U5160">
        <v>15</v>
      </c>
      <c r="V5160">
        <v>3</v>
      </c>
      <c r="W5160">
        <v>7</v>
      </c>
      <c r="X5160">
        <v>3</v>
      </c>
      <c r="Y5160">
        <v>123</v>
      </c>
      <c r="Z5160">
        <v>4</v>
      </c>
      <c r="AB5160">
        <v>0</v>
      </c>
      <c r="AC5160">
        <v>1</v>
      </c>
      <c r="AD5160">
        <v>0</v>
      </c>
      <c r="AE5160">
        <v>0</v>
      </c>
      <c r="AF5160">
        <v>1</v>
      </c>
      <c r="AK5160">
        <v>3</v>
      </c>
      <c r="AL5160">
        <v>1</v>
      </c>
      <c r="AM5160">
        <v>0</v>
      </c>
      <c r="AN5160">
        <v>1</v>
      </c>
      <c r="AQ5160">
        <v>2</v>
      </c>
      <c r="AT5160">
        <v>0</v>
      </c>
      <c r="AU5160">
        <v>24</v>
      </c>
      <c r="AV5160">
        <v>269</v>
      </c>
      <c r="AW5160">
        <v>269</v>
      </c>
      <c r="AX5160">
        <v>508</v>
      </c>
      <c r="BA5160">
        <v>1</v>
      </c>
      <c r="BC5160" t="s">
        <v>10432</v>
      </c>
      <c r="BD5160" s="4">
        <v>43283.345138888886</v>
      </c>
      <c r="BE5160" s="4">
        <v>43283.373171296298</v>
      </c>
      <c r="BF5160" s="4">
        <v>43283.373171296298</v>
      </c>
      <c r="BG5160" t="s">
        <v>83</v>
      </c>
      <c r="BH5160" t="s">
        <v>84</v>
      </c>
      <c r="BI5160" t="s">
        <v>85</v>
      </c>
    </row>
    <row r="5161" spans="1:61" x14ac:dyDescent="0.3">
      <c r="A5161" t="str">
        <f>"201349B0100"</f>
        <v>201349B0100</v>
      </c>
      <c r="B5161" t="s">
        <v>10433</v>
      </c>
      <c r="C5161">
        <v>20</v>
      </c>
      <c r="D5161" t="s">
        <v>79</v>
      </c>
      <c r="E5161">
        <v>24</v>
      </c>
      <c r="F5161" t="s">
        <v>10123</v>
      </c>
      <c r="G5161">
        <v>1349</v>
      </c>
      <c r="H5161">
        <v>1</v>
      </c>
      <c r="I5161" t="s">
        <v>81</v>
      </c>
      <c r="J5161">
        <v>0</v>
      </c>
      <c r="K5161">
        <v>2</v>
      </c>
      <c r="L5161">
        <v>2</v>
      </c>
      <c r="M5161">
        <v>183</v>
      </c>
      <c r="N5161">
        <v>209</v>
      </c>
      <c r="O5161">
        <v>0</v>
      </c>
      <c r="P5161">
        <v>209</v>
      </c>
      <c r="Q5161">
        <v>11</v>
      </c>
      <c r="R5161">
        <v>51</v>
      </c>
      <c r="S5161">
        <v>10</v>
      </c>
      <c r="T5161">
        <v>2</v>
      </c>
      <c r="U5161">
        <v>18</v>
      </c>
      <c r="V5161">
        <v>4</v>
      </c>
      <c r="W5161">
        <v>2</v>
      </c>
      <c r="X5161">
        <v>4</v>
      </c>
      <c r="Y5161">
        <v>80</v>
      </c>
      <c r="Z5161">
        <v>3</v>
      </c>
      <c r="AB5161">
        <v>2</v>
      </c>
      <c r="AC5161">
        <v>0</v>
      </c>
      <c r="AD5161">
        <v>0</v>
      </c>
      <c r="AE5161">
        <v>1</v>
      </c>
      <c r="AF5161">
        <v>1</v>
      </c>
      <c r="AK5161">
        <v>9</v>
      </c>
      <c r="AL5161">
        <v>2</v>
      </c>
      <c r="AM5161">
        <v>1</v>
      </c>
      <c r="AN5161">
        <v>0</v>
      </c>
      <c r="AQ5161">
        <v>2</v>
      </c>
      <c r="AT5161">
        <v>0</v>
      </c>
      <c r="AU5161">
        <v>6</v>
      </c>
      <c r="AV5161">
        <v>209</v>
      </c>
      <c r="AW5161">
        <v>209</v>
      </c>
      <c r="AX5161">
        <v>369</v>
      </c>
      <c r="BA5161">
        <v>1</v>
      </c>
      <c r="BC5161" t="s">
        <v>10434</v>
      </c>
      <c r="BD5161" s="4">
        <v>43282.354166666664</v>
      </c>
      <c r="BE5161" s="4">
        <v>43283.364618055559</v>
      </c>
      <c r="BF5161" s="4">
        <v>43283.364618055559</v>
      </c>
      <c r="BG5161" t="s">
        <v>83</v>
      </c>
      <c r="BH5161" t="s">
        <v>84</v>
      </c>
      <c r="BI5161" t="s">
        <v>85</v>
      </c>
    </row>
    <row r="5162" spans="1:61" x14ac:dyDescent="0.3">
      <c r="A5162" t="str">
        <f>"201349E0100"</f>
        <v>201349E0100</v>
      </c>
      <c r="B5162" s="2" t="s">
        <v>10435</v>
      </c>
      <c r="C5162">
        <v>20</v>
      </c>
      <c r="D5162" t="s">
        <v>79</v>
      </c>
      <c r="E5162">
        <v>24</v>
      </c>
      <c r="F5162" t="s">
        <v>10123</v>
      </c>
      <c r="G5162">
        <v>1349</v>
      </c>
      <c r="H5162">
        <v>1</v>
      </c>
      <c r="I5162" t="s">
        <v>145</v>
      </c>
      <c r="J5162">
        <v>0</v>
      </c>
      <c r="K5162">
        <v>2</v>
      </c>
      <c r="L5162">
        <v>2</v>
      </c>
      <c r="M5162">
        <v>97</v>
      </c>
      <c r="N5162">
        <v>90</v>
      </c>
      <c r="O5162">
        <v>0</v>
      </c>
      <c r="P5162">
        <v>90</v>
      </c>
      <c r="Q5162">
        <v>3</v>
      </c>
      <c r="R5162">
        <v>4</v>
      </c>
      <c r="S5162">
        <v>0</v>
      </c>
      <c r="T5162">
        <v>1</v>
      </c>
      <c r="U5162">
        <v>6</v>
      </c>
      <c r="V5162">
        <v>3</v>
      </c>
      <c r="W5162">
        <v>1</v>
      </c>
      <c r="X5162">
        <v>3</v>
      </c>
      <c r="Y5162">
        <v>57</v>
      </c>
      <c r="Z5162">
        <v>5</v>
      </c>
      <c r="AB5162">
        <v>0</v>
      </c>
      <c r="AC5162">
        <v>0</v>
      </c>
      <c r="AD5162">
        <v>0</v>
      </c>
      <c r="AE5162">
        <v>0</v>
      </c>
      <c r="AF5162">
        <v>0</v>
      </c>
      <c r="AK5162">
        <v>0</v>
      </c>
      <c r="AL5162">
        <v>0</v>
      </c>
      <c r="AM5162">
        <v>1</v>
      </c>
      <c r="AN5162">
        <v>0</v>
      </c>
      <c r="AQ5162">
        <v>1</v>
      </c>
      <c r="AT5162">
        <v>0</v>
      </c>
      <c r="AU5162">
        <v>5</v>
      </c>
      <c r="AV5162">
        <v>90</v>
      </c>
      <c r="AW5162">
        <v>90</v>
      </c>
      <c r="AX5162">
        <v>165</v>
      </c>
      <c r="BA5162">
        <v>1</v>
      </c>
      <c r="BC5162" s="2" t="s">
        <v>10436</v>
      </c>
      <c r="BD5162" s="4">
        <v>43283.143865740742</v>
      </c>
      <c r="BE5162" s="4">
        <v>43283.148958333331</v>
      </c>
      <c r="BF5162" s="4">
        <v>43283.148958333331</v>
      </c>
      <c r="BG5162" t="s">
        <v>373</v>
      </c>
      <c r="BH5162" t="s">
        <v>374</v>
      </c>
      <c r="BI5162" t="s">
        <v>85</v>
      </c>
    </row>
    <row r="5163" spans="1:61" x14ac:dyDescent="0.3">
      <c r="A5163" t="str">
        <f>"201350B0100"</f>
        <v>201350B0100</v>
      </c>
      <c r="B5163" t="s">
        <v>10437</v>
      </c>
      <c r="C5163">
        <v>20</v>
      </c>
      <c r="D5163" t="s">
        <v>79</v>
      </c>
      <c r="E5163">
        <v>24</v>
      </c>
      <c r="F5163" t="s">
        <v>10123</v>
      </c>
      <c r="G5163">
        <v>1350</v>
      </c>
      <c r="H5163">
        <v>1</v>
      </c>
      <c r="I5163" t="s">
        <v>81</v>
      </c>
      <c r="J5163">
        <v>0</v>
      </c>
      <c r="K5163">
        <v>2</v>
      </c>
      <c r="L5163">
        <v>2</v>
      </c>
      <c r="M5163">
        <v>205</v>
      </c>
      <c r="N5163">
        <v>242</v>
      </c>
      <c r="O5163">
        <v>0</v>
      </c>
      <c r="P5163">
        <v>235</v>
      </c>
      <c r="Q5163">
        <v>9</v>
      </c>
      <c r="R5163">
        <v>49</v>
      </c>
      <c r="S5163">
        <v>4</v>
      </c>
      <c r="T5163">
        <v>2</v>
      </c>
      <c r="U5163">
        <v>8</v>
      </c>
      <c r="V5163">
        <v>5</v>
      </c>
      <c r="W5163">
        <v>5</v>
      </c>
      <c r="X5163">
        <v>7</v>
      </c>
      <c r="Y5163">
        <v>122</v>
      </c>
      <c r="Z5163">
        <v>12</v>
      </c>
      <c r="AB5163">
        <v>0</v>
      </c>
      <c r="AC5163">
        <v>1</v>
      </c>
      <c r="AD5163">
        <v>0</v>
      </c>
      <c r="AE5163">
        <v>0</v>
      </c>
      <c r="AF5163">
        <v>0</v>
      </c>
      <c r="AK5163">
        <v>3</v>
      </c>
      <c r="AL5163">
        <v>0</v>
      </c>
      <c r="AM5163">
        <v>1</v>
      </c>
      <c r="AN5163">
        <v>2</v>
      </c>
      <c r="AQ5163">
        <v>0</v>
      </c>
      <c r="AT5163">
        <v>0</v>
      </c>
      <c r="AU5163">
        <v>12</v>
      </c>
      <c r="AV5163">
        <v>242</v>
      </c>
      <c r="AW5163">
        <v>242</v>
      </c>
      <c r="AX5163">
        <v>425</v>
      </c>
      <c r="BA5163">
        <v>1</v>
      </c>
      <c r="BC5163" t="s">
        <v>10438</v>
      </c>
      <c r="BD5163" s="4">
        <v>43283.345138888886</v>
      </c>
      <c r="BE5163" s="4">
        <v>43283.360196759262</v>
      </c>
      <c r="BF5163" s="4">
        <v>43283.360196759262</v>
      </c>
      <c r="BG5163" t="s">
        <v>83</v>
      </c>
      <c r="BH5163" t="s">
        <v>84</v>
      </c>
      <c r="BI5163" t="s">
        <v>85</v>
      </c>
    </row>
    <row r="5164" spans="1:61" x14ac:dyDescent="0.3">
      <c r="A5164" t="str">
        <f>"201350C0100"</f>
        <v>201350C0100</v>
      </c>
      <c r="B5164" t="s">
        <v>10439</v>
      </c>
      <c r="C5164">
        <v>20</v>
      </c>
      <c r="D5164" t="s">
        <v>79</v>
      </c>
      <c r="E5164">
        <v>24</v>
      </c>
      <c r="F5164" t="s">
        <v>10123</v>
      </c>
      <c r="G5164">
        <v>1350</v>
      </c>
      <c r="H5164">
        <v>1</v>
      </c>
      <c r="I5164" t="s">
        <v>89</v>
      </c>
      <c r="J5164">
        <v>0</v>
      </c>
      <c r="K5164">
        <v>2</v>
      </c>
      <c r="L5164">
        <v>2</v>
      </c>
      <c r="M5164">
        <v>201</v>
      </c>
      <c r="N5164">
        <v>245</v>
      </c>
      <c r="O5164">
        <v>0</v>
      </c>
      <c r="P5164">
        <v>245</v>
      </c>
      <c r="Q5164">
        <v>11</v>
      </c>
      <c r="R5164">
        <v>56</v>
      </c>
      <c r="S5164">
        <v>5</v>
      </c>
      <c r="T5164">
        <v>2</v>
      </c>
      <c r="U5164">
        <v>17</v>
      </c>
      <c r="V5164">
        <v>4</v>
      </c>
      <c r="W5164">
        <v>5</v>
      </c>
      <c r="X5164">
        <v>0</v>
      </c>
      <c r="Y5164">
        <v>108</v>
      </c>
      <c r="Z5164">
        <v>9</v>
      </c>
      <c r="AB5164">
        <v>2</v>
      </c>
      <c r="AC5164">
        <v>0</v>
      </c>
      <c r="AD5164">
        <v>0</v>
      </c>
      <c r="AE5164">
        <v>0</v>
      </c>
      <c r="AF5164">
        <v>0</v>
      </c>
      <c r="AK5164">
        <v>5</v>
      </c>
      <c r="AL5164">
        <v>2</v>
      </c>
      <c r="AM5164">
        <v>2</v>
      </c>
      <c r="AN5164">
        <v>3</v>
      </c>
      <c r="AQ5164">
        <v>0</v>
      </c>
      <c r="AT5164">
        <v>0</v>
      </c>
      <c r="AU5164">
        <v>14</v>
      </c>
      <c r="AV5164">
        <v>245</v>
      </c>
      <c r="AW5164">
        <v>245</v>
      </c>
      <c r="AX5164">
        <v>424</v>
      </c>
      <c r="BA5164">
        <v>1</v>
      </c>
      <c r="BC5164" t="s">
        <v>10440</v>
      </c>
      <c r="BD5164" s="4">
        <v>43283.345833333333</v>
      </c>
      <c r="BE5164" s="4">
        <v>43283.362673611111</v>
      </c>
      <c r="BF5164" s="4">
        <v>43283.362673611111</v>
      </c>
      <c r="BG5164" t="s">
        <v>83</v>
      </c>
      <c r="BH5164" t="s">
        <v>84</v>
      </c>
      <c r="BI5164" t="s">
        <v>85</v>
      </c>
    </row>
    <row r="5165" spans="1:61" x14ac:dyDescent="0.3">
      <c r="A5165" t="str">
        <f>"201351B0100"</f>
        <v>201351B0100</v>
      </c>
      <c r="B5165" t="s">
        <v>10441</v>
      </c>
      <c r="C5165">
        <v>20</v>
      </c>
      <c r="D5165" t="s">
        <v>79</v>
      </c>
      <c r="E5165">
        <v>24</v>
      </c>
      <c r="F5165" t="s">
        <v>10123</v>
      </c>
      <c r="G5165">
        <v>1351</v>
      </c>
      <c r="H5165">
        <v>1</v>
      </c>
      <c r="I5165" t="s">
        <v>81</v>
      </c>
      <c r="J5165">
        <v>0</v>
      </c>
      <c r="K5165">
        <v>2</v>
      </c>
      <c r="L5165">
        <v>2</v>
      </c>
      <c r="M5165">
        <v>218</v>
      </c>
      <c r="N5165">
        <v>0</v>
      </c>
      <c r="O5165">
        <v>169</v>
      </c>
      <c r="P5165">
        <v>169</v>
      </c>
      <c r="Q5165">
        <v>5</v>
      </c>
      <c r="R5165">
        <v>48</v>
      </c>
      <c r="S5165">
        <v>7</v>
      </c>
      <c r="T5165">
        <v>0</v>
      </c>
      <c r="U5165">
        <v>12</v>
      </c>
      <c r="V5165">
        <v>7</v>
      </c>
      <c r="W5165">
        <v>0</v>
      </c>
      <c r="X5165">
        <v>6</v>
      </c>
      <c r="Y5165">
        <v>62</v>
      </c>
      <c r="Z5165">
        <v>1</v>
      </c>
      <c r="AB5165">
        <v>0</v>
      </c>
      <c r="AC5165">
        <v>0</v>
      </c>
      <c r="AD5165">
        <v>0</v>
      </c>
      <c r="AE5165">
        <v>0</v>
      </c>
      <c r="AF5165">
        <v>0</v>
      </c>
      <c r="AK5165">
        <v>1</v>
      </c>
      <c r="AL5165">
        <v>1</v>
      </c>
      <c r="AM5165">
        <v>0</v>
      </c>
      <c r="AN5165">
        <v>5</v>
      </c>
      <c r="AQ5165">
        <v>0</v>
      </c>
      <c r="AT5165">
        <v>0</v>
      </c>
      <c r="AU5165">
        <v>14</v>
      </c>
      <c r="AV5165">
        <v>169</v>
      </c>
      <c r="AW5165">
        <v>169</v>
      </c>
      <c r="AX5165">
        <v>364</v>
      </c>
      <c r="BA5165">
        <v>1</v>
      </c>
      <c r="BC5165" t="s">
        <v>10442</v>
      </c>
      <c r="BD5165" s="4">
        <v>43283.349305555559</v>
      </c>
      <c r="BE5165" s="4">
        <v>43283.361990740741</v>
      </c>
      <c r="BF5165" s="4">
        <v>43283.361990740741</v>
      </c>
      <c r="BG5165" t="s">
        <v>83</v>
      </c>
      <c r="BH5165" t="s">
        <v>84</v>
      </c>
      <c r="BI5165" t="s">
        <v>85</v>
      </c>
    </row>
    <row r="5166" spans="1:61" x14ac:dyDescent="0.3">
      <c r="A5166" t="str">
        <f>"201396B0100"</f>
        <v>201396B0100</v>
      </c>
      <c r="B5166" t="s">
        <v>10443</v>
      </c>
      <c r="C5166">
        <v>20</v>
      </c>
      <c r="D5166" t="s">
        <v>79</v>
      </c>
      <c r="E5166">
        <v>24</v>
      </c>
      <c r="F5166" t="s">
        <v>10123</v>
      </c>
      <c r="G5166">
        <v>1396</v>
      </c>
      <c r="H5166">
        <v>1</v>
      </c>
      <c r="I5166" t="s">
        <v>81</v>
      </c>
      <c r="J5166">
        <v>0</v>
      </c>
      <c r="K5166">
        <v>2</v>
      </c>
      <c r="L5166">
        <v>2</v>
      </c>
      <c r="M5166">
        <v>262</v>
      </c>
      <c r="N5166">
        <v>561</v>
      </c>
      <c r="O5166">
        <v>0</v>
      </c>
      <c r="P5166">
        <v>561</v>
      </c>
      <c r="Q5166">
        <v>40</v>
      </c>
      <c r="R5166">
        <v>29</v>
      </c>
      <c r="S5166">
        <v>0</v>
      </c>
      <c r="T5166">
        <v>0</v>
      </c>
      <c r="U5166">
        <v>0</v>
      </c>
      <c r="V5166">
        <v>0</v>
      </c>
      <c r="W5166">
        <v>23</v>
      </c>
      <c r="X5166">
        <v>0</v>
      </c>
      <c r="Y5166">
        <v>179</v>
      </c>
      <c r="Z5166">
        <v>0</v>
      </c>
      <c r="AB5166">
        <v>0</v>
      </c>
      <c r="AC5166">
        <v>0</v>
      </c>
      <c r="AD5166">
        <v>0</v>
      </c>
      <c r="AE5166">
        <v>0</v>
      </c>
      <c r="AF5166">
        <v>0</v>
      </c>
      <c r="AK5166">
        <v>0</v>
      </c>
      <c r="AL5166">
        <v>0</v>
      </c>
      <c r="AM5166">
        <v>0</v>
      </c>
      <c r="AN5166">
        <v>0</v>
      </c>
      <c r="AQ5166">
        <v>0</v>
      </c>
      <c r="AT5166">
        <v>0</v>
      </c>
      <c r="AU5166">
        <v>27</v>
      </c>
      <c r="AV5166">
        <v>299</v>
      </c>
      <c r="AW5166">
        <v>298</v>
      </c>
      <c r="AX5166">
        <v>539</v>
      </c>
      <c r="BA5166">
        <v>1</v>
      </c>
      <c r="BC5166" t="s">
        <v>10444</v>
      </c>
      <c r="BD5166" s="4">
        <v>43283.472222222219</v>
      </c>
      <c r="BE5166" s="4">
        <v>43283.482291666667</v>
      </c>
      <c r="BF5166" s="4">
        <v>43283.482291666667</v>
      </c>
      <c r="BG5166" t="s">
        <v>83</v>
      </c>
      <c r="BH5166" t="s">
        <v>84</v>
      </c>
      <c r="BI5166" t="s">
        <v>85</v>
      </c>
    </row>
    <row r="5167" spans="1:61" x14ac:dyDescent="0.3">
      <c r="A5167" t="str">
        <f>"201396C0100"</f>
        <v>201396C0100</v>
      </c>
      <c r="B5167" t="s">
        <v>10445</v>
      </c>
      <c r="C5167">
        <v>20</v>
      </c>
      <c r="D5167" t="s">
        <v>79</v>
      </c>
      <c r="E5167">
        <v>24</v>
      </c>
      <c r="F5167" t="s">
        <v>10123</v>
      </c>
      <c r="G5167">
        <v>1396</v>
      </c>
      <c r="H5167">
        <v>1</v>
      </c>
      <c r="I5167" t="s">
        <v>89</v>
      </c>
      <c r="J5167">
        <v>0</v>
      </c>
      <c r="K5167">
        <v>2</v>
      </c>
      <c r="L5167">
        <v>2</v>
      </c>
      <c r="M5167">
        <v>281</v>
      </c>
      <c r="N5167">
        <v>230</v>
      </c>
      <c r="O5167">
        <v>0</v>
      </c>
      <c r="P5167">
        <v>230</v>
      </c>
      <c r="Q5167">
        <v>18</v>
      </c>
      <c r="R5167">
        <v>14</v>
      </c>
      <c r="S5167">
        <v>16</v>
      </c>
      <c r="T5167">
        <v>6</v>
      </c>
      <c r="U5167">
        <v>20</v>
      </c>
      <c r="V5167">
        <v>4</v>
      </c>
      <c r="W5167">
        <v>6</v>
      </c>
      <c r="X5167">
        <v>4</v>
      </c>
      <c r="Y5167">
        <v>116</v>
      </c>
      <c r="Z5167">
        <v>3</v>
      </c>
      <c r="AB5167">
        <v>1</v>
      </c>
      <c r="AC5167">
        <v>0</v>
      </c>
      <c r="AD5167">
        <v>1</v>
      </c>
      <c r="AE5167">
        <v>0</v>
      </c>
      <c r="AF5167">
        <v>0</v>
      </c>
      <c r="AK5167">
        <v>1</v>
      </c>
      <c r="AL5167">
        <v>0</v>
      </c>
      <c r="AM5167">
        <v>1</v>
      </c>
      <c r="AN5167">
        <v>1</v>
      </c>
      <c r="AQ5167">
        <v>0</v>
      </c>
      <c r="AT5167">
        <v>0</v>
      </c>
      <c r="AU5167">
        <v>18</v>
      </c>
      <c r="AV5167">
        <v>230</v>
      </c>
      <c r="AW5167">
        <v>230</v>
      </c>
      <c r="AX5167">
        <v>539</v>
      </c>
      <c r="BA5167">
        <v>1</v>
      </c>
      <c r="BC5167" t="s">
        <v>10446</v>
      </c>
      <c r="BD5167" s="4">
        <v>43283.609722222223</v>
      </c>
      <c r="BE5167" s="4">
        <v>43283.614016203705</v>
      </c>
      <c r="BF5167" s="4">
        <v>43283.614016203705</v>
      </c>
      <c r="BG5167" t="s">
        <v>83</v>
      </c>
      <c r="BH5167" t="s">
        <v>84</v>
      </c>
      <c r="BI5167" t="s">
        <v>548</v>
      </c>
    </row>
    <row r="5168" spans="1:61" x14ac:dyDescent="0.3">
      <c r="A5168" t="str">
        <f>"201397B0100"</f>
        <v>201397B0100</v>
      </c>
      <c r="B5168" t="s">
        <v>10447</v>
      </c>
      <c r="C5168">
        <v>20</v>
      </c>
      <c r="D5168" t="s">
        <v>79</v>
      </c>
      <c r="E5168">
        <v>24</v>
      </c>
      <c r="F5168" t="s">
        <v>10123</v>
      </c>
      <c r="G5168">
        <v>1397</v>
      </c>
      <c r="H5168">
        <v>1</v>
      </c>
      <c r="I5168" t="s">
        <v>81</v>
      </c>
      <c r="J5168">
        <v>0</v>
      </c>
      <c r="K5168">
        <v>2</v>
      </c>
      <c r="L5168">
        <v>2</v>
      </c>
      <c r="M5168">
        <v>288</v>
      </c>
      <c r="N5168">
        <v>500</v>
      </c>
      <c r="O5168">
        <v>6</v>
      </c>
      <c r="P5168">
        <v>222</v>
      </c>
      <c r="Q5168">
        <v>19</v>
      </c>
      <c r="R5168">
        <v>8</v>
      </c>
      <c r="S5168">
        <v>15</v>
      </c>
      <c r="T5168">
        <v>5</v>
      </c>
      <c r="U5168">
        <v>30</v>
      </c>
      <c r="V5168">
        <v>7</v>
      </c>
      <c r="W5168">
        <v>8</v>
      </c>
      <c r="X5168">
        <v>8</v>
      </c>
      <c r="Y5168">
        <v>93</v>
      </c>
      <c r="Z5168">
        <v>4</v>
      </c>
      <c r="AB5168">
        <v>3</v>
      </c>
      <c r="AC5168" t="s">
        <v>100</v>
      </c>
      <c r="AD5168" t="s">
        <v>100</v>
      </c>
      <c r="AE5168">
        <v>1</v>
      </c>
      <c r="AF5168">
        <v>1</v>
      </c>
      <c r="AK5168" t="s">
        <v>100</v>
      </c>
      <c r="AL5168">
        <v>1</v>
      </c>
      <c r="AM5168" t="s">
        <v>100</v>
      </c>
      <c r="AN5168" t="s">
        <v>100</v>
      </c>
      <c r="AQ5168" t="s">
        <v>100</v>
      </c>
      <c r="AT5168" t="s">
        <v>100</v>
      </c>
      <c r="AU5168">
        <v>19</v>
      </c>
      <c r="AV5168">
        <v>222</v>
      </c>
      <c r="AW5168">
        <v>222</v>
      </c>
      <c r="AX5168">
        <v>489</v>
      </c>
      <c r="AZ5168" t="s">
        <v>101</v>
      </c>
      <c r="BA5168">
        <v>1</v>
      </c>
      <c r="BC5168" t="s">
        <v>10448</v>
      </c>
      <c r="BD5168" s="4">
        <v>43283.482638888891</v>
      </c>
      <c r="BE5168" s="4">
        <v>43283.487395833334</v>
      </c>
      <c r="BF5168" s="4">
        <v>43283.487395833334</v>
      </c>
      <c r="BG5168" t="s">
        <v>83</v>
      </c>
      <c r="BH5168" t="s">
        <v>84</v>
      </c>
      <c r="BI5168" t="s">
        <v>85</v>
      </c>
    </row>
    <row r="5169" spans="1:61" x14ac:dyDescent="0.3">
      <c r="A5169" t="str">
        <f>"201397C0100"</f>
        <v>201397C0100</v>
      </c>
      <c r="B5169" t="s">
        <v>10449</v>
      </c>
      <c r="C5169">
        <v>20</v>
      </c>
      <c r="D5169" t="s">
        <v>79</v>
      </c>
      <c r="E5169">
        <v>24</v>
      </c>
      <c r="F5169" t="s">
        <v>10123</v>
      </c>
      <c r="G5169">
        <v>1397</v>
      </c>
      <c r="H5169">
        <v>1</v>
      </c>
      <c r="I5169" t="s">
        <v>89</v>
      </c>
      <c r="J5169">
        <v>0</v>
      </c>
      <c r="K5169">
        <v>2</v>
      </c>
      <c r="L5169">
        <v>2</v>
      </c>
      <c r="AX5169">
        <v>489</v>
      </c>
      <c r="AZ5169" t="s">
        <v>156</v>
      </c>
      <c r="BA5169">
        <v>0</v>
      </c>
      <c r="BC5169" t="s">
        <v>10450</v>
      </c>
      <c r="BD5169" s="4">
        <v>43283.818055555559</v>
      </c>
      <c r="BE5169" s="4">
        <v>43283.819212962961</v>
      </c>
      <c r="BF5169" s="4">
        <v>43283.819212962961</v>
      </c>
      <c r="BG5169" t="s">
        <v>83</v>
      </c>
      <c r="BH5169" t="s">
        <v>84</v>
      </c>
      <c r="BI5169" t="s">
        <v>85</v>
      </c>
    </row>
    <row r="5170" spans="1:61" x14ac:dyDescent="0.3">
      <c r="A5170" t="str">
        <f>"201419B0100"</f>
        <v>201419B0100</v>
      </c>
      <c r="B5170" t="s">
        <v>10451</v>
      </c>
      <c r="C5170">
        <v>20</v>
      </c>
      <c r="D5170" t="s">
        <v>79</v>
      </c>
      <c r="E5170">
        <v>24</v>
      </c>
      <c r="F5170" t="s">
        <v>10123</v>
      </c>
      <c r="G5170">
        <v>1419</v>
      </c>
      <c r="H5170">
        <v>1</v>
      </c>
      <c r="I5170" t="s">
        <v>81</v>
      </c>
      <c r="J5170">
        <v>0</v>
      </c>
      <c r="K5170">
        <v>2</v>
      </c>
      <c r="L5170">
        <v>2</v>
      </c>
      <c r="M5170">
        <v>188</v>
      </c>
      <c r="N5170">
        <v>405</v>
      </c>
      <c r="O5170">
        <v>0</v>
      </c>
      <c r="P5170">
        <v>405</v>
      </c>
      <c r="Q5170">
        <v>15</v>
      </c>
      <c r="R5170">
        <v>81</v>
      </c>
      <c r="S5170">
        <v>2</v>
      </c>
      <c r="T5170">
        <v>93</v>
      </c>
      <c r="U5170">
        <v>19</v>
      </c>
      <c r="V5170">
        <v>2</v>
      </c>
      <c r="W5170">
        <v>3</v>
      </c>
      <c r="X5170">
        <v>7</v>
      </c>
      <c r="Y5170">
        <v>151</v>
      </c>
      <c r="Z5170">
        <v>3</v>
      </c>
      <c r="AB5170">
        <v>2</v>
      </c>
      <c r="AC5170">
        <v>0</v>
      </c>
      <c r="AD5170">
        <v>0</v>
      </c>
      <c r="AE5170">
        <v>0</v>
      </c>
      <c r="AF5170">
        <v>0</v>
      </c>
      <c r="AK5170">
        <v>4</v>
      </c>
      <c r="AL5170">
        <v>1</v>
      </c>
      <c r="AM5170">
        <v>0</v>
      </c>
      <c r="AN5170">
        <v>2</v>
      </c>
      <c r="AQ5170">
        <v>0</v>
      </c>
      <c r="AT5170">
        <v>0</v>
      </c>
      <c r="AU5170">
        <v>19</v>
      </c>
      <c r="AV5170" t="s">
        <v>100</v>
      </c>
      <c r="AW5170">
        <v>404</v>
      </c>
      <c r="AX5170">
        <v>571</v>
      </c>
      <c r="BA5170">
        <v>1</v>
      </c>
      <c r="BC5170" t="s">
        <v>10452</v>
      </c>
      <c r="BD5170" s="4">
        <v>43283.285416666666</v>
      </c>
      <c r="BE5170" s="4">
        <v>43283.312222222223</v>
      </c>
      <c r="BF5170" s="4">
        <v>43283.312222222223</v>
      </c>
      <c r="BG5170" t="s">
        <v>83</v>
      </c>
      <c r="BH5170" t="s">
        <v>84</v>
      </c>
      <c r="BI5170" t="s">
        <v>85</v>
      </c>
    </row>
    <row r="5171" spans="1:61" x14ac:dyDescent="0.3">
      <c r="A5171" t="str">
        <f>"201419E0100"</f>
        <v>201419E0100</v>
      </c>
      <c r="B5171" s="2" t="s">
        <v>10453</v>
      </c>
      <c r="C5171">
        <v>20</v>
      </c>
      <c r="D5171" t="s">
        <v>79</v>
      </c>
      <c r="E5171">
        <v>24</v>
      </c>
      <c r="F5171" t="s">
        <v>10123</v>
      </c>
      <c r="G5171">
        <v>1419</v>
      </c>
      <c r="H5171">
        <v>1</v>
      </c>
      <c r="I5171" t="s">
        <v>145</v>
      </c>
      <c r="J5171">
        <v>0</v>
      </c>
      <c r="K5171">
        <v>2</v>
      </c>
      <c r="L5171">
        <v>2</v>
      </c>
      <c r="M5171">
        <v>173</v>
      </c>
      <c r="N5171">
        <v>242</v>
      </c>
      <c r="O5171">
        <v>2</v>
      </c>
      <c r="P5171">
        <v>242</v>
      </c>
      <c r="Q5171">
        <v>7</v>
      </c>
      <c r="R5171">
        <v>53</v>
      </c>
      <c r="S5171">
        <v>6</v>
      </c>
      <c r="T5171">
        <v>72</v>
      </c>
      <c r="U5171">
        <v>10</v>
      </c>
      <c r="V5171">
        <v>2</v>
      </c>
      <c r="W5171">
        <v>2</v>
      </c>
      <c r="X5171">
        <v>2</v>
      </c>
      <c r="Y5171">
        <v>52</v>
      </c>
      <c r="Z5171">
        <v>2</v>
      </c>
      <c r="AB5171">
        <v>0</v>
      </c>
      <c r="AC5171">
        <v>1</v>
      </c>
      <c r="AD5171">
        <v>0</v>
      </c>
      <c r="AE5171">
        <v>0</v>
      </c>
      <c r="AF5171">
        <v>0</v>
      </c>
      <c r="AK5171">
        <v>2</v>
      </c>
      <c r="AL5171">
        <v>1</v>
      </c>
      <c r="AM5171">
        <v>0</v>
      </c>
      <c r="AN5171">
        <v>1</v>
      </c>
      <c r="AQ5171">
        <v>0</v>
      </c>
      <c r="AT5171">
        <v>1</v>
      </c>
      <c r="AU5171">
        <v>28</v>
      </c>
      <c r="AV5171">
        <v>242</v>
      </c>
      <c r="AW5171">
        <v>242</v>
      </c>
      <c r="AX5171">
        <v>393</v>
      </c>
      <c r="BA5171">
        <v>1</v>
      </c>
      <c r="BC5171" t="s">
        <v>10454</v>
      </c>
      <c r="BD5171" s="4">
        <v>43283.158333333333</v>
      </c>
      <c r="BE5171" s="4">
        <v>43283.168414351851</v>
      </c>
      <c r="BF5171" s="4">
        <v>43283.168414351851</v>
      </c>
      <c r="BG5171" t="s">
        <v>83</v>
      </c>
      <c r="BH5171" t="s">
        <v>84</v>
      </c>
      <c r="BI5171" t="s">
        <v>85</v>
      </c>
    </row>
    <row r="5172" spans="1:61" x14ac:dyDescent="0.3">
      <c r="A5172" t="str">
        <f>"201420B0100"</f>
        <v>201420B0100</v>
      </c>
      <c r="B5172" t="s">
        <v>10455</v>
      </c>
      <c r="C5172">
        <v>20</v>
      </c>
      <c r="D5172" t="s">
        <v>79</v>
      </c>
      <c r="E5172">
        <v>24</v>
      </c>
      <c r="F5172" t="s">
        <v>10123</v>
      </c>
      <c r="G5172">
        <v>1420</v>
      </c>
      <c r="H5172">
        <v>1</v>
      </c>
      <c r="I5172" t="s">
        <v>81</v>
      </c>
      <c r="J5172">
        <v>0</v>
      </c>
      <c r="K5172">
        <v>2</v>
      </c>
      <c r="L5172">
        <v>2</v>
      </c>
      <c r="M5172">
        <v>171</v>
      </c>
      <c r="N5172">
        <v>273</v>
      </c>
      <c r="O5172">
        <v>0</v>
      </c>
      <c r="P5172">
        <v>273</v>
      </c>
      <c r="Q5172">
        <v>13</v>
      </c>
      <c r="R5172">
        <v>41</v>
      </c>
      <c r="S5172">
        <v>3</v>
      </c>
      <c r="T5172">
        <v>1</v>
      </c>
      <c r="U5172">
        <v>26</v>
      </c>
      <c r="V5172">
        <v>2</v>
      </c>
      <c r="W5172">
        <v>2</v>
      </c>
      <c r="X5172">
        <v>7</v>
      </c>
      <c r="Y5172">
        <v>153</v>
      </c>
      <c r="Z5172">
        <v>8</v>
      </c>
      <c r="AB5172">
        <v>0</v>
      </c>
      <c r="AC5172">
        <v>0</v>
      </c>
      <c r="AD5172">
        <v>0</v>
      </c>
      <c r="AE5172">
        <v>0</v>
      </c>
      <c r="AF5172">
        <v>0</v>
      </c>
      <c r="AK5172">
        <v>5</v>
      </c>
      <c r="AL5172">
        <v>2</v>
      </c>
      <c r="AM5172">
        <v>0</v>
      </c>
      <c r="AN5172">
        <v>4</v>
      </c>
      <c r="AQ5172">
        <v>0</v>
      </c>
      <c r="AT5172">
        <v>0</v>
      </c>
      <c r="AU5172">
        <v>6</v>
      </c>
      <c r="AV5172">
        <v>273</v>
      </c>
      <c r="AW5172">
        <v>273</v>
      </c>
      <c r="AX5172">
        <v>422</v>
      </c>
      <c r="BA5172">
        <v>1</v>
      </c>
      <c r="BC5172" t="s">
        <v>10456</v>
      </c>
      <c r="BD5172" s="4">
        <v>43283.286111111112</v>
      </c>
      <c r="BE5172" s="4">
        <v>43283.31391203704</v>
      </c>
      <c r="BF5172" s="4">
        <v>43283.31391203704</v>
      </c>
      <c r="BG5172" t="s">
        <v>83</v>
      </c>
      <c r="BH5172" t="s">
        <v>84</v>
      </c>
      <c r="BI5172" t="s">
        <v>85</v>
      </c>
    </row>
    <row r="5173" spans="1:61" x14ac:dyDescent="0.3">
      <c r="A5173" t="str">
        <f>"201420C0100"</f>
        <v>201420C0100</v>
      </c>
      <c r="B5173" t="s">
        <v>10457</v>
      </c>
      <c r="C5173">
        <v>20</v>
      </c>
      <c r="D5173" t="s">
        <v>79</v>
      </c>
      <c r="E5173">
        <v>24</v>
      </c>
      <c r="F5173" t="s">
        <v>10123</v>
      </c>
      <c r="G5173">
        <v>1420</v>
      </c>
      <c r="H5173">
        <v>1</v>
      </c>
      <c r="I5173" t="s">
        <v>89</v>
      </c>
      <c r="J5173">
        <v>0</v>
      </c>
      <c r="K5173">
        <v>2</v>
      </c>
      <c r="L5173">
        <v>2</v>
      </c>
      <c r="M5173">
        <v>193</v>
      </c>
      <c r="N5173">
        <v>250</v>
      </c>
      <c r="O5173">
        <v>0</v>
      </c>
      <c r="P5173">
        <v>250</v>
      </c>
      <c r="Q5173">
        <v>15</v>
      </c>
      <c r="R5173">
        <v>32</v>
      </c>
      <c r="S5173">
        <v>0</v>
      </c>
      <c r="T5173">
        <v>1</v>
      </c>
      <c r="U5173">
        <v>16</v>
      </c>
      <c r="V5173">
        <v>4</v>
      </c>
      <c r="W5173">
        <v>3</v>
      </c>
      <c r="X5173">
        <v>5</v>
      </c>
      <c r="Y5173">
        <v>157</v>
      </c>
      <c r="Z5173">
        <v>2</v>
      </c>
      <c r="AB5173">
        <v>0</v>
      </c>
      <c r="AC5173">
        <v>0</v>
      </c>
      <c r="AD5173">
        <v>0</v>
      </c>
      <c r="AE5173">
        <v>0</v>
      </c>
      <c r="AF5173">
        <v>0</v>
      </c>
      <c r="AK5173">
        <v>4</v>
      </c>
      <c r="AL5173">
        <v>1</v>
      </c>
      <c r="AM5173">
        <v>0</v>
      </c>
      <c r="AN5173">
        <v>2</v>
      </c>
      <c r="AQ5173">
        <v>0</v>
      </c>
      <c r="AT5173">
        <v>0</v>
      </c>
      <c r="AU5173">
        <v>8</v>
      </c>
      <c r="AV5173">
        <v>250</v>
      </c>
      <c r="AW5173">
        <v>250</v>
      </c>
      <c r="AX5173">
        <v>421</v>
      </c>
      <c r="BA5173">
        <v>1</v>
      </c>
      <c r="BC5173" t="s">
        <v>10458</v>
      </c>
      <c r="BD5173" s="4">
        <v>43283.283333333333</v>
      </c>
      <c r="BE5173" s="4">
        <v>43283.312106481484</v>
      </c>
      <c r="BF5173" s="4">
        <v>43283.312106481484</v>
      </c>
      <c r="BG5173" t="s">
        <v>83</v>
      </c>
      <c r="BH5173" t="s">
        <v>84</v>
      </c>
      <c r="BI5173" t="s">
        <v>85</v>
      </c>
    </row>
    <row r="5174" spans="1:61" x14ac:dyDescent="0.3">
      <c r="A5174" t="str">
        <f>"201421B0100"</f>
        <v>201421B0100</v>
      </c>
      <c r="B5174" t="s">
        <v>10459</v>
      </c>
      <c r="C5174">
        <v>20</v>
      </c>
      <c r="D5174" t="s">
        <v>79</v>
      </c>
      <c r="E5174">
        <v>24</v>
      </c>
      <c r="F5174" t="s">
        <v>10123</v>
      </c>
      <c r="G5174">
        <v>1421</v>
      </c>
      <c r="H5174">
        <v>1</v>
      </c>
      <c r="I5174" t="s">
        <v>81</v>
      </c>
      <c r="J5174">
        <v>0</v>
      </c>
      <c r="K5174">
        <v>2</v>
      </c>
      <c r="L5174">
        <v>2</v>
      </c>
      <c r="M5174">
        <v>212</v>
      </c>
      <c r="N5174">
        <v>343</v>
      </c>
      <c r="O5174">
        <v>0</v>
      </c>
      <c r="P5174">
        <v>343</v>
      </c>
      <c r="Q5174">
        <v>27</v>
      </c>
      <c r="R5174">
        <v>3</v>
      </c>
      <c r="S5174">
        <v>4</v>
      </c>
      <c r="T5174">
        <v>99</v>
      </c>
      <c r="U5174">
        <v>17</v>
      </c>
      <c r="V5174">
        <v>1</v>
      </c>
      <c r="W5174">
        <v>0</v>
      </c>
      <c r="X5174">
        <v>5</v>
      </c>
      <c r="Y5174">
        <v>158</v>
      </c>
      <c r="Z5174">
        <v>14</v>
      </c>
      <c r="AB5174">
        <v>0</v>
      </c>
      <c r="AC5174">
        <v>0</v>
      </c>
      <c r="AD5174">
        <v>0</v>
      </c>
      <c r="AE5174">
        <v>0</v>
      </c>
      <c r="AF5174">
        <v>0</v>
      </c>
      <c r="AK5174">
        <v>8</v>
      </c>
      <c r="AL5174">
        <v>1</v>
      </c>
      <c r="AM5174">
        <v>0</v>
      </c>
      <c r="AN5174">
        <v>1</v>
      </c>
      <c r="AQ5174">
        <v>0</v>
      </c>
      <c r="AT5174">
        <v>2</v>
      </c>
      <c r="AU5174">
        <v>3</v>
      </c>
      <c r="AV5174">
        <v>343</v>
      </c>
      <c r="AW5174">
        <v>343</v>
      </c>
      <c r="AX5174">
        <v>533</v>
      </c>
      <c r="BA5174">
        <v>1</v>
      </c>
      <c r="BC5174" t="s">
        <v>10460</v>
      </c>
      <c r="BD5174" s="4">
        <v>43283.15625</v>
      </c>
      <c r="BE5174" s="4">
        <v>43283.179409722223</v>
      </c>
      <c r="BF5174" s="4">
        <v>43283.179409722223</v>
      </c>
      <c r="BG5174" t="s">
        <v>83</v>
      </c>
      <c r="BH5174" t="s">
        <v>84</v>
      </c>
      <c r="BI5174" t="s">
        <v>85</v>
      </c>
    </row>
    <row r="5175" spans="1:61" x14ac:dyDescent="0.3">
      <c r="A5175" t="str">
        <f>"201421C0100"</f>
        <v>201421C0100</v>
      </c>
      <c r="B5175" t="s">
        <v>10461</v>
      </c>
      <c r="C5175">
        <v>20</v>
      </c>
      <c r="D5175" t="s">
        <v>79</v>
      </c>
      <c r="E5175">
        <v>24</v>
      </c>
      <c r="F5175" t="s">
        <v>10123</v>
      </c>
      <c r="G5175">
        <v>1421</v>
      </c>
      <c r="H5175">
        <v>1</v>
      </c>
      <c r="I5175" t="s">
        <v>89</v>
      </c>
      <c r="J5175">
        <v>0</v>
      </c>
      <c r="K5175">
        <v>2</v>
      </c>
      <c r="L5175">
        <v>2</v>
      </c>
      <c r="M5175">
        <v>224</v>
      </c>
      <c r="N5175">
        <v>330</v>
      </c>
      <c r="O5175">
        <v>0</v>
      </c>
      <c r="P5175">
        <v>330</v>
      </c>
      <c r="Q5175">
        <v>16</v>
      </c>
      <c r="R5175">
        <v>8</v>
      </c>
      <c r="S5175">
        <v>1</v>
      </c>
      <c r="T5175">
        <v>99</v>
      </c>
      <c r="U5175">
        <v>10</v>
      </c>
      <c r="V5175">
        <v>4</v>
      </c>
      <c r="W5175">
        <v>7</v>
      </c>
      <c r="X5175">
        <v>3</v>
      </c>
      <c r="Y5175">
        <v>156</v>
      </c>
      <c r="Z5175">
        <v>7</v>
      </c>
      <c r="AB5175">
        <v>1</v>
      </c>
      <c r="AC5175">
        <v>0</v>
      </c>
      <c r="AD5175">
        <v>0</v>
      </c>
      <c r="AE5175">
        <v>0</v>
      </c>
      <c r="AF5175">
        <v>0</v>
      </c>
      <c r="AK5175">
        <v>2</v>
      </c>
      <c r="AL5175">
        <v>0</v>
      </c>
      <c r="AM5175">
        <v>0</v>
      </c>
      <c r="AN5175">
        <v>2</v>
      </c>
      <c r="AQ5175">
        <v>0</v>
      </c>
      <c r="AT5175">
        <v>0</v>
      </c>
      <c r="AU5175">
        <v>14</v>
      </c>
      <c r="AV5175" t="s">
        <v>100</v>
      </c>
      <c r="AW5175">
        <v>330</v>
      </c>
      <c r="AX5175">
        <v>532</v>
      </c>
      <c r="BA5175">
        <v>1</v>
      </c>
      <c r="BC5175" t="s">
        <v>10462</v>
      </c>
      <c r="BD5175" s="4">
        <v>43283.156944444447</v>
      </c>
      <c r="BE5175" s="4">
        <v>43283.167615740742</v>
      </c>
      <c r="BF5175" s="4">
        <v>43283.167615740742</v>
      </c>
      <c r="BG5175" t="s">
        <v>83</v>
      </c>
      <c r="BH5175" t="s">
        <v>84</v>
      </c>
      <c r="BI5175" t="s">
        <v>85</v>
      </c>
    </row>
    <row r="5176" spans="1:61" x14ac:dyDescent="0.3">
      <c r="A5176" t="str">
        <f>"201511B0100"</f>
        <v>201511B0100</v>
      </c>
      <c r="B5176" t="s">
        <v>10463</v>
      </c>
      <c r="C5176">
        <v>20</v>
      </c>
      <c r="D5176" t="s">
        <v>79</v>
      </c>
      <c r="E5176">
        <v>24</v>
      </c>
      <c r="F5176" t="s">
        <v>10123</v>
      </c>
      <c r="G5176">
        <v>1511</v>
      </c>
      <c r="H5176">
        <v>1</v>
      </c>
      <c r="I5176" t="s">
        <v>81</v>
      </c>
      <c r="J5176">
        <v>0</v>
      </c>
      <c r="K5176">
        <v>2</v>
      </c>
      <c r="L5176">
        <v>2</v>
      </c>
      <c r="AX5176">
        <v>377</v>
      </c>
      <c r="AZ5176" t="s">
        <v>156</v>
      </c>
      <c r="BA5176">
        <v>0</v>
      </c>
      <c r="BC5176" t="s">
        <v>10464</v>
      </c>
      <c r="BD5176" s="4">
        <v>43283.818055555559</v>
      </c>
      <c r="BE5176" s="4">
        <v>43283.820289351854</v>
      </c>
      <c r="BF5176" s="4">
        <v>43283.820289351854</v>
      </c>
      <c r="BG5176" t="s">
        <v>83</v>
      </c>
      <c r="BH5176" t="s">
        <v>84</v>
      </c>
      <c r="BI5176" t="s">
        <v>85</v>
      </c>
    </row>
    <row r="5177" spans="1:61" x14ac:dyDescent="0.3">
      <c r="A5177" t="str">
        <f>"201511C0100"</f>
        <v>201511C0100</v>
      </c>
      <c r="B5177" t="s">
        <v>10465</v>
      </c>
      <c r="C5177">
        <v>20</v>
      </c>
      <c r="D5177" t="s">
        <v>79</v>
      </c>
      <c r="E5177">
        <v>24</v>
      </c>
      <c r="F5177" t="s">
        <v>10123</v>
      </c>
      <c r="G5177">
        <v>1511</v>
      </c>
      <c r="H5177">
        <v>1</v>
      </c>
      <c r="I5177" t="s">
        <v>89</v>
      </c>
      <c r="J5177">
        <v>0</v>
      </c>
      <c r="K5177">
        <v>2</v>
      </c>
      <c r="L5177">
        <v>2</v>
      </c>
      <c r="M5177">
        <v>201</v>
      </c>
      <c r="N5177">
        <v>197</v>
      </c>
      <c r="O5177">
        <v>7</v>
      </c>
      <c r="P5177">
        <v>197</v>
      </c>
      <c r="Q5177">
        <v>13</v>
      </c>
      <c r="R5177">
        <v>9</v>
      </c>
      <c r="S5177">
        <v>6</v>
      </c>
      <c r="T5177">
        <v>2</v>
      </c>
      <c r="U5177">
        <v>15</v>
      </c>
      <c r="V5177">
        <v>3</v>
      </c>
      <c r="W5177">
        <v>3</v>
      </c>
      <c r="X5177">
        <v>1</v>
      </c>
      <c r="Y5177">
        <v>116</v>
      </c>
      <c r="Z5177">
        <v>8</v>
      </c>
      <c r="AB5177">
        <v>1</v>
      </c>
      <c r="AC5177">
        <v>0</v>
      </c>
      <c r="AD5177">
        <v>0</v>
      </c>
      <c r="AE5177">
        <v>0</v>
      </c>
      <c r="AF5177">
        <v>0</v>
      </c>
      <c r="AK5177">
        <v>3</v>
      </c>
      <c r="AL5177">
        <v>0</v>
      </c>
      <c r="AM5177">
        <v>0</v>
      </c>
      <c r="AN5177">
        <v>3</v>
      </c>
      <c r="AQ5177">
        <v>0</v>
      </c>
      <c r="AT5177">
        <v>0</v>
      </c>
      <c r="AU5177">
        <v>14</v>
      </c>
      <c r="AV5177">
        <v>197</v>
      </c>
      <c r="AW5177">
        <v>197</v>
      </c>
      <c r="AX5177">
        <v>376</v>
      </c>
      <c r="BA5177">
        <v>1</v>
      </c>
      <c r="BC5177" t="s">
        <v>10466</v>
      </c>
      <c r="BD5177" s="4">
        <v>43283.320833333331</v>
      </c>
      <c r="BE5177" s="4">
        <v>43283.343530092592</v>
      </c>
      <c r="BF5177" s="4">
        <v>43283.343530092592</v>
      </c>
      <c r="BG5177" t="s">
        <v>83</v>
      </c>
      <c r="BH5177" t="s">
        <v>84</v>
      </c>
      <c r="BI5177" t="s">
        <v>85</v>
      </c>
    </row>
    <row r="5178" spans="1:61" x14ac:dyDescent="0.3">
      <c r="A5178" t="str">
        <f>"201614B0100"</f>
        <v>201614B0100</v>
      </c>
      <c r="B5178" t="s">
        <v>10467</v>
      </c>
      <c r="C5178">
        <v>20</v>
      </c>
      <c r="D5178" t="s">
        <v>79</v>
      </c>
      <c r="E5178">
        <v>24</v>
      </c>
      <c r="F5178" t="s">
        <v>10123</v>
      </c>
      <c r="G5178">
        <v>1614</v>
      </c>
      <c r="H5178">
        <v>1</v>
      </c>
      <c r="I5178" t="s">
        <v>81</v>
      </c>
      <c r="J5178">
        <v>0</v>
      </c>
      <c r="K5178">
        <v>2</v>
      </c>
      <c r="L5178">
        <v>2</v>
      </c>
      <c r="M5178">
        <v>215</v>
      </c>
      <c r="N5178">
        <v>572</v>
      </c>
      <c r="O5178">
        <v>0</v>
      </c>
      <c r="P5178">
        <v>357</v>
      </c>
      <c r="Q5178">
        <v>24</v>
      </c>
      <c r="R5178">
        <v>151</v>
      </c>
      <c r="S5178">
        <v>5</v>
      </c>
      <c r="T5178">
        <v>7</v>
      </c>
      <c r="U5178">
        <v>5</v>
      </c>
      <c r="V5178">
        <v>7</v>
      </c>
      <c r="W5178">
        <v>4</v>
      </c>
      <c r="X5178">
        <v>5</v>
      </c>
      <c r="Y5178">
        <v>98</v>
      </c>
      <c r="Z5178">
        <v>15</v>
      </c>
      <c r="AB5178">
        <v>1</v>
      </c>
      <c r="AC5178">
        <v>0</v>
      </c>
      <c r="AD5178">
        <v>0</v>
      </c>
      <c r="AE5178">
        <v>0</v>
      </c>
      <c r="AF5178">
        <v>0</v>
      </c>
      <c r="AK5178">
        <v>4</v>
      </c>
      <c r="AL5178">
        <v>3</v>
      </c>
      <c r="AM5178">
        <v>0</v>
      </c>
      <c r="AN5178">
        <v>3</v>
      </c>
      <c r="AQ5178">
        <v>1</v>
      </c>
      <c r="AT5178">
        <v>0</v>
      </c>
      <c r="AU5178">
        <v>24</v>
      </c>
      <c r="AV5178">
        <v>357</v>
      </c>
      <c r="AW5178">
        <v>357</v>
      </c>
      <c r="AX5178">
        <v>550</v>
      </c>
      <c r="BA5178">
        <v>1</v>
      </c>
      <c r="BC5178" t="s">
        <v>10468</v>
      </c>
      <c r="BD5178" s="4">
        <v>43283.261111111111</v>
      </c>
      <c r="BE5178" s="4">
        <v>43283.287905092591</v>
      </c>
      <c r="BF5178" s="4">
        <v>43283.287905092591</v>
      </c>
      <c r="BG5178" t="s">
        <v>83</v>
      </c>
      <c r="BH5178" t="s">
        <v>84</v>
      </c>
      <c r="BI5178" t="s">
        <v>85</v>
      </c>
    </row>
    <row r="5179" spans="1:61" x14ac:dyDescent="0.3">
      <c r="A5179" t="str">
        <f>"201614C0100"</f>
        <v>201614C0100</v>
      </c>
      <c r="B5179" t="s">
        <v>10469</v>
      </c>
      <c r="C5179">
        <v>20</v>
      </c>
      <c r="D5179" t="s">
        <v>79</v>
      </c>
      <c r="E5179">
        <v>24</v>
      </c>
      <c r="F5179" t="s">
        <v>10123</v>
      </c>
      <c r="G5179">
        <v>1614</v>
      </c>
      <c r="H5179">
        <v>1</v>
      </c>
      <c r="I5179" t="s">
        <v>89</v>
      </c>
      <c r="J5179">
        <v>0</v>
      </c>
      <c r="K5179">
        <v>2</v>
      </c>
      <c r="L5179">
        <v>2</v>
      </c>
      <c r="M5179">
        <v>228</v>
      </c>
      <c r="N5179">
        <v>344</v>
      </c>
      <c r="O5179">
        <v>0</v>
      </c>
      <c r="P5179">
        <v>344</v>
      </c>
      <c r="Q5179">
        <v>21</v>
      </c>
      <c r="R5179">
        <v>152</v>
      </c>
      <c r="S5179">
        <v>4</v>
      </c>
      <c r="T5179">
        <v>3</v>
      </c>
      <c r="U5179">
        <v>16</v>
      </c>
      <c r="V5179">
        <v>3</v>
      </c>
      <c r="W5179">
        <v>3</v>
      </c>
      <c r="X5179">
        <v>6</v>
      </c>
      <c r="Y5179">
        <v>105</v>
      </c>
      <c r="Z5179">
        <v>12</v>
      </c>
      <c r="AB5179">
        <v>2</v>
      </c>
      <c r="AC5179">
        <v>0</v>
      </c>
      <c r="AD5179">
        <v>0</v>
      </c>
      <c r="AE5179">
        <v>0</v>
      </c>
      <c r="AF5179">
        <v>0</v>
      </c>
      <c r="AK5179">
        <v>1</v>
      </c>
      <c r="AL5179">
        <v>0</v>
      </c>
      <c r="AM5179">
        <v>0</v>
      </c>
      <c r="AN5179">
        <v>1</v>
      </c>
      <c r="AQ5179">
        <v>0</v>
      </c>
      <c r="AT5179">
        <v>0</v>
      </c>
      <c r="AU5179">
        <v>15</v>
      </c>
      <c r="AV5179">
        <v>344</v>
      </c>
      <c r="AW5179">
        <v>344</v>
      </c>
      <c r="AX5179">
        <v>550</v>
      </c>
      <c r="BA5179">
        <v>1</v>
      </c>
      <c r="BC5179" t="s">
        <v>10470</v>
      </c>
      <c r="BD5179" s="4">
        <v>43283.271527777775</v>
      </c>
      <c r="BE5179" s="4">
        <v>43283.298078703701</v>
      </c>
      <c r="BF5179" s="4">
        <v>43283.298078703701</v>
      </c>
      <c r="BG5179" t="s">
        <v>83</v>
      </c>
      <c r="BH5179" t="s">
        <v>84</v>
      </c>
      <c r="BI5179" t="s">
        <v>85</v>
      </c>
    </row>
    <row r="5180" spans="1:61" x14ac:dyDescent="0.3">
      <c r="A5180" t="str">
        <f>"201615B0100"</f>
        <v>201615B0100</v>
      </c>
      <c r="B5180" t="s">
        <v>10471</v>
      </c>
      <c r="C5180">
        <v>20</v>
      </c>
      <c r="D5180" t="s">
        <v>79</v>
      </c>
      <c r="E5180">
        <v>24</v>
      </c>
      <c r="F5180" t="s">
        <v>10123</v>
      </c>
      <c r="G5180">
        <v>1615</v>
      </c>
      <c r="H5180">
        <v>1</v>
      </c>
      <c r="I5180" t="s">
        <v>81</v>
      </c>
      <c r="J5180">
        <v>0</v>
      </c>
      <c r="K5180">
        <v>2</v>
      </c>
      <c r="L5180">
        <v>2</v>
      </c>
      <c r="M5180">
        <v>207</v>
      </c>
      <c r="N5180">
        <v>411</v>
      </c>
      <c r="O5180">
        <v>0</v>
      </c>
      <c r="P5180">
        <v>411</v>
      </c>
      <c r="Q5180">
        <v>35</v>
      </c>
      <c r="R5180">
        <v>110</v>
      </c>
      <c r="S5180">
        <v>6</v>
      </c>
      <c r="T5180">
        <v>2</v>
      </c>
      <c r="U5180">
        <v>28</v>
      </c>
      <c r="V5180">
        <v>6</v>
      </c>
      <c r="W5180">
        <v>3</v>
      </c>
      <c r="X5180">
        <v>7</v>
      </c>
      <c r="Y5180">
        <v>140</v>
      </c>
      <c r="Z5180">
        <v>48</v>
      </c>
      <c r="AB5180">
        <v>0</v>
      </c>
      <c r="AC5180">
        <v>0</v>
      </c>
      <c r="AD5180">
        <v>0</v>
      </c>
      <c r="AE5180">
        <v>0</v>
      </c>
      <c r="AF5180">
        <v>0</v>
      </c>
      <c r="AK5180">
        <v>6</v>
      </c>
      <c r="AL5180">
        <v>0</v>
      </c>
      <c r="AM5180">
        <v>0</v>
      </c>
      <c r="AN5180">
        <v>3</v>
      </c>
      <c r="AQ5180">
        <v>1</v>
      </c>
      <c r="AT5180">
        <v>0</v>
      </c>
      <c r="AU5180">
        <v>15</v>
      </c>
      <c r="AV5180">
        <v>411</v>
      </c>
      <c r="AW5180">
        <v>410</v>
      </c>
      <c r="AX5180">
        <v>597</v>
      </c>
      <c r="BA5180">
        <v>1</v>
      </c>
      <c r="BC5180" t="s">
        <v>10472</v>
      </c>
      <c r="BD5180" s="4">
        <v>43283.265972222223</v>
      </c>
      <c r="BE5180" s="4">
        <v>43283.297372685185</v>
      </c>
      <c r="BF5180" s="4">
        <v>43283.297372685185</v>
      </c>
      <c r="BG5180" t="s">
        <v>83</v>
      </c>
      <c r="BH5180" t="s">
        <v>84</v>
      </c>
      <c r="BI5180" t="s">
        <v>85</v>
      </c>
    </row>
    <row r="5181" spans="1:61" x14ac:dyDescent="0.3">
      <c r="A5181" t="str">
        <f>"201616B0100"</f>
        <v>201616B0100</v>
      </c>
      <c r="B5181" t="s">
        <v>10473</v>
      </c>
      <c r="C5181">
        <v>20</v>
      </c>
      <c r="D5181" t="s">
        <v>79</v>
      </c>
      <c r="E5181">
        <v>24</v>
      </c>
      <c r="F5181" t="s">
        <v>10123</v>
      </c>
      <c r="G5181">
        <v>1616</v>
      </c>
      <c r="H5181">
        <v>1</v>
      </c>
      <c r="I5181" t="s">
        <v>81</v>
      </c>
      <c r="J5181">
        <v>0</v>
      </c>
      <c r="K5181">
        <v>2</v>
      </c>
      <c r="L5181">
        <v>2</v>
      </c>
      <c r="M5181">
        <v>284</v>
      </c>
      <c r="N5181">
        <v>412</v>
      </c>
      <c r="O5181">
        <v>7</v>
      </c>
      <c r="P5181">
        <v>412</v>
      </c>
      <c r="Q5181">
        <v>25</v>
      </c>
      <c r="R5181">
        <v>83</v>
      </c>
      <c r="S5181">
        <v>6</v>
      </c>
      <c r="T5181">
        <v>3</v>
      </c>
      <c r="U5181">
        <v>27</v>
      </c>
      <c r="V5181">
        <v>4</v>
      </c>
      <c r="W5181">
        <v>6</v>
      </c>
      <c r="X5181">
        <v>11</v>
      </c>
      <c r="Y5181">
        <v>192</v>
      </c>
      <c r="Z5181">
        <v>21</v>
      </c>
      <c r="AB5181">
        <v>1</v>
      </c>
      <c r="AC5181">
        <v>0</v>
      </c>
      <c r="AD5181">
        <v>0</v>
      </c>
      <c r="AE5181">
        <v>0</v>
      </c>
      <c r="AF5181">
        <v>0</v>
      </c>
      <c r="AK5181">
        <v>1</v>
      </c>
      <c r="AL5181">
        <v>3</v>
      </c>
      <c r="AM5181">
        <v>0</v>
      </c>
      <c r="AN5181">
        <v>2</v>
      </c>
      <c r="AQ5181">
        <v>0</v>
      </c>
      <c r="AT5181">
        <v>0</v>
      </c>
      <c r="AU5181">
        <v>27</v>
      </c>
      <c r="AV5181">
        <v>412</v>
      </c>
      <c r="AW5181">
        <v>412</v>
      </c>
      <c r="AX5181">
        <v>674</v>
      </c>
      <c r="BA5181">
        <v>1</v>
      </c>
      <c r="BC5181" s="2" t="s">
        <v>10474</v>
      </c>
      <c r="BD5181" s="4">
        <v>43283.272916666669</v>
      </c>
      <c r="BE5181" s="4">
        <v>43283.299328703702</v>
      </c>
      <c r="BF5181" s="4">
        <v>43283.299328703702</v>
      </c>
      <c r="BG5181" t="s">
        <v>83</v>
      </c>
      <c r="BH5181" t="s">
        <v>84</v>
      </c>
      <c r="BI5181" t="s">
        <v>85</v>
      </c>
    </row>
    <row r="5182" spans="1:61" x14ac:dyDescent="0.3">
      <c r="A5182" t="str">
        <f>"201616E0100"</f>
        <v>201616E0100</v>
      </c>
      <c r="B5182" s="2" t="s">
        <v>10475</v>
      </c>
      <c r="C5182">
        <v>20</v>
      </c>
      <c r="D5182" t="s">
        <v>79</v>
      </c>
      <c r="E5182">
        <v>24</v>
      </c>
      <c r="F5182" t="s">
        <v>10123</v>
      </c>
      <c r="G5182">
        <v>1616</v>
      </c>
      <c r="H5182">
        <v>1</v>
      </c>
      <c r="I5182" t="s">
        <v>145</v>
      </c>
      <c r="J5182">
        <v>0</v>
      </c>
      <c r="K5182">
        <v>2</v>
      </c>
      <c r="L5182">
        <v>2</v>
      </c>
      <c r="M5182">
        <v>82</v>
      </c>
      <c r="N5182">
        <v>238</v>
      </c>
      <c r="O5182">
        <v>0</v>
      </c>
      <c r="P5182">
        <v>238</v>
      </c>
      <c r="Q5182">
        <v>21</v>
      </c>
      <c r="R5182">
        <v>130</v>
      </c>
      <c r="S5182">
        <v>2</v>
      </c>
      <c r="T5182">
        <v>3</v>
      </c>
      <c r="U5182">
        <v>12</v>
      </c>
      <c r="V5182">
        <v>2</v>
      </c>
      <c r="W5182">
        <v>0</v>
      </c>
      <c r="X5182">
        <v>3</v>
      </c>
      <c r="Y5182">
        <v>44</v>
      </c>
      <c r="Z5182">
        <v>14</v>
      </c>
      <c r="AB5182">
        <v>0</v>
      </c>
      <c r="AC5182">
        <v>0</v>
      </c>
      <c r="AD5182">
        <v>1</v>
      </c>
      <c r="AE5182">
        <v>0</v>
      </c>
      <c r="AF5182">
        <v>0</v>
      </c>
      <c r="AK5182">
        <v>1</v>
      </c>
      <c r="AL5182">
        <v>1</v>
      </c>
      <c r="AM5182">
        <v>1</v>
      </c>
      <c r="AN5182">
        <v>1</v>
      </c>
      <c r="AQ5182">
        <v>0</v>
      </c>
      <c r="AT5182">
        <v>0</v>
      </c>
      <c r="AU5182">
        <v>2</v>
      </c>
      <c r="AV5182">
        <v>238</v>
      </c>
      <c r="AW5182">
        <v>238</v>
      </c>
      <c r="AX5182">
        <v>298</v>
      </c>
      <c r="BA5182">
        <v>1</v>
      </c>
      <c r="BC5182" t="s">
        <v>10476</v>
      </c>
      <c r="BD5182" s="4">
        <v>43283.268055555556</v>
      </c>
      <c r="BE5182" s="4">
        <v>43283.294606481482</v>
      </c>
      <c r="BF5182" s="4">
        <v>43283.294606481482</v>
      </c>
      <c r="BG5182" t="s">
        <v>83</v>
      </c>
      <c r="BH5182" t="s">
        <v>84</v>
      </c>
      <c r="BI5182" t="s">
        <v>85</v>
      </c>
    </row>
    <row r="5183" spans="1:61" x14ac:dyDescent="0.3">
      <c r="A5183" t="str">
        <f>"201641B0100"</f>
        <v>201641B0100</v>
      </c>
      <c r="B5183" t="s">
        <v>10477</v>
      </c>
      <c r="C5183">
        <v>20</v>
      </c>
      <c r="D5183" t="s">
        <v>79</v>
      </c>
      <c r="E5183">
        <v>24</v>
      </c>
      <c r="F5183" t="s">
        <v>10123</v>
      </c>
      <c r="G5183">
        <v>1641</v>
      </c>
      <c r="H5183">
        <v>1</v>
      </c>
      <c r="I5183" t="s">
        <v>81</v>
      </c>
      <c r="J5183">
        <v>0</v>
      </c>
      <c r="K5183">
        <v>2</v>
      </c>
      <c r="L5183">
        <v>2</v>
      </c>
      <c r="M5183">
        <v>290</v>
      </c>
      <c r="N5183">
        <v>268</v>
      </c>
      <c r="O5183">
        <v>0</v>
      </c>
      <c r="P5183">
        <v>268</v>
      </c>
      <c r="Q5183">
        <v>42</v>
      </c>
      <c r="R5183">
        <v>54</v>
      </c>
      <c r="S5183">
        <v>4</v>
      </c>
      <c r="T5183">
        <v>15</v>
      </c>
      <c r="U5183">
        <v>17</v>
      </c>
      <c r="V5183">
        <v>7</v>
      </c>
      <c r="W5183">
        <v>6</v>
      </c>
      <c r="X5183">
        <v>13</v>
      </c>
      <c r="Y5183">
        <v>87</v>
      </c>
      <c r="Z5183">
        <v>1</v>
      </c>
      <c r="AB5183">
        <v>4</v>
      </c>
      <c r="AC5183">
        <v>1</v>
      </c>
      <c r="AD5183" t="s">
        <v>100</v>
      </c>
      <c r="AE5183" t="s">
        <v>100</v>
      </c>
      <c r="AF5183" t="s">
        <v>100</v>
      </c>
      <c r="AK5183">
        <v>2</v>
      </c>
      <c r="AL5183" t="s">
        <v>100</v>
      </c>
      <c r="AM5183" t="s">
        <v>100</v>
      </c>
      <c r="AN5183" t="s">
        <v>100</v>
      </c>
      <c r="AQ5183" t="s">
        <v>100</v>
      </c>
      <c r="AT5183" t="s">
        <v>100</v>
      </c>
      <c r="AU5183">
        <v>15</v>
      </c>
      <c r="AV5183">
        <v>268</v>
      </c>
      <c r="AW5183">
        <v>268</v>
      </c>
      <c r="AX5183">
        <v>536</v>
      </c>
      <c r="AZ5183" t="s">
        <v>101</v>
      </c>
      <c r="BA5183">
        <v>1</v>
      </c>
      <c r="BC5183" t="s">
        <v>10478</v>
      </c>
      <c r="BD5183" s="4">
        <v>43283.276388888888</v>
      </c>
      <c r="BE5183" s="4">
        <v>43283.303472222222</v>
      </c>
      <c r="BF5183" s="4">
        <v>43283.303472222222</v>
      </c>
      <c r="BG5183" t="s">
        <v>83</v>
      </c>
      <c r="BH5183" t="s">
        <v>84</v>
      </c>
      <c r="BI5183" t="s">
        <v>85</v>
      </c>
    </row>
    <row r="5184" spans="1:61" x14ac:dyDescent="0.3">
      <c r="A5184" t="str">
        <f>"201641C0100"</f>
        <v>201641C0100</v>
      </c>
      <c r="B5184" t="s">
        <v>10479</v>
      </c>
      <c r="C5184">
        <v>20</v>
      </c>
      <c r="D5184" t="s">
        <v>79</v>
      </c>
      <c r="E5184">
        <v>24</v>
      </c>
      <c r="F5184" t="s">
        <v>10123</v>
      </c>
      <c r="G5184">
        <v>1641</v>
      </c>
      <c r="H5184">
        <v>1</v>
      </c>
      <c r="I5184" t="s">
        <v>89</v>
      </c>
      <c r="J5184">
        <v>0</v>
      </c>
      <c r="K5184">
        <v>2</v>
      </c>
      <c r="L5184">
        <v>2</v>
      </c>
      <c r="M5184">
        <v>283</v>
      </c>
      <c r="N5184">
        <v>0</v>
      </c>
      <c r="O5184">
        <v>0</v>
      </c>
      <c r="P5184">
        <v>275</v>
      </c>
      <c r="Q5184">
        <v>42</v>
      </c>
      <c r="R5184">
        <v>68</v>
      </c>
      <c r="S5184">
        <v>5</v>
      </c>
      <c r="T5184">
        <v>9</v>
      </c>
      <c r="U5184">
        <v>17</v>
      </c>
      <c r="V5184">
        <v>2</v>
      </c>
      <c r="W5184">
        <v>4</v>
      </c>
      <c r="X5184">
        <v>7</v>
      </c>
      <c r="Y5184">
        <v>86</v>
      </c>
      <c r="Z5184">
        <v>3</v>
      </c>
      <c r="AB5184">
        <v>3</v>
      </c>
      <c r="AC5184">
        <v>0</v>
      </c>
      <c r="AD5184">
        <v>0</v>
      </c>
      <c r="AE5184">
        <v>0</v>
      </c>
      <c r="AF5184">
        <v>0</v>
      </c>
      <c r="AK5184">
        <v>6</v>
      </c>
      <c r="AL5184">
        <v>0</v>
      </c>
      <c r="AM5184">
        <v>0</v>
      </c>
      <c r="AN5184">
        <v>0</v>
      </c>
      <c r="AQ5184">
        <v>1</v>
      </c>
      <c r="AT5184">
        <v>0</v>
      </c>
      <c r="AU5184">
        <v>22</v>
      </c>
      <c r="AV5184">
        <v>275</v>
      </c>
      <c r="AW5184">
        <v>275</v>
      </c>
      <c r="AX5184">
        <v>536</v>
      </c>
      <c r="BA5184">
        <v>1</v>
      </c>
      <c r="BC5184" t="s">
        <v>10480</v>
      </c>
      <c r="BD5184" s="4">
        <v>43283.277777777781</v>
      </c>
      <c r="BE5184" s="4">
        <v>43283.30678240741</v>
      </c>
      <c r="BF5184" s="4">
        <v>43283.30678240741</v>
      </c>
      <c r="BG5184" t="s">
        <v>83</v>
      </c>
      <c r="BH5184" t="s">
        <v>84</v>
      </c>
      <c r="BI5184" t="s">
        <v>85</v>
      </c>
    </row>
    <row r="5185" spans="1:61" x14ac:dyDescent="0.3">
      <c r="A5185" t="str">
        <f>"201641C0200"</f>
        <v>201641C0200</v>
      </c>
      <c r="B5185" t="s">
        <v>10481</v>
      </c>
      <c r="C5185">
        <v>20</v>
      </c>
      <c r="D5185" t="s">
        <v>79</v>
      </c>
      <c r="E5185">
        <v>24</v>
      </c>
      <c r="F5185" t="s">
        <v>10123</v>
      </c>
      <c r="G5185">
        <v>1641</v>
      </c>
      <c r="H5185">
        <v>2</v>
      </c>
      <c r="I5185" t="s">
        <v>89</v>
      </c>
      <c r="J5185">
        <v>0</v>
      </c>
      <c r="K5185">
        <v>2</v>
      </c>
      <c r="L5185">
        <v>2</v>
      </c>
      <c r="M5185">
        <v>274</v>
      </c>
      <c r="N5185">
        <v>283</v>
      </c>
      <c r="O5185">
        <v>0</v>
      </c>
      <c r="P5185">
        <v>283</v>
      </c>
      <c r="Q5185">
        <v>37</v>
      </c>
      <c r="R5185">
        <v>53</v>
      </c>
      <c r="S5185">
        <v>11</v>
      </c>
      <c r="T5185">
        <v>6</v>
      </c>
      <c r="U5185">
        <v>21</v>
      </c>
      <c r="V5185">
        <v>8</v>
      </c>
      <c r="W5185">
        <v>9</v>
      </c>
      <c r="X5185">
        <v>7</v>
      </c>
      <c r="Y5185">
        <v>88</v>
      </c>
      <c r="Z5185">
        <v>6</v>
      </c>
      <c r="AB5185">
        <v>3</v>
      </c>
      <c r="AC5185">
        <v>0</v>
      </c>
      <c r="AD5185">
        <v>1</v>
      </c>
      <c r="AE5185">
        <v>0</v>
      </c>
      <c r="AF5185">
        <v>0</v>
      </c>
      <c r="AK5185">
        <v>2</v>
      </c>
      <c r="AL5185">
        <v>2</v>
      </c>
      <c r="AM5185">
        <v>0</v>
      </c>
      <c r="AN5185">
        <v>0</v>
      </c>
      <c r="AQ5185">
        <v>0</v>
      </c>
      <c r="AT5185">
        <v>0</v>
      </c>
      <c r="AU5185">
        <v>29</v>
      </c>
      <c r="AV5185">
        <v>283</v>
      </c>
      <c r="AW5185">
        <v>283</v>
      </c>
      <c r="AX5185">
        <v>535</v>
      </c>
      <c r="BA5185">
        <v>1</v>
      </c>
      <c r="BC5185" t="s">
        <v>10482</v>
      </c>
      <c r="BD5185" s="4">
        <v>43283.277083333334</v>
      </c>
      <c r="BE5185" s="4">
        <v>43283.305752314816</v>
      </c>
      <c r="BF5185" s="4">
        <v>43283.305752314816</v>
      </c>
      <c r="BG5185" t="s">
        <v>83</v>
      </c>
      <c r="BH5185" t="s">
        <v>84</v>
      </c>
      <c r="BI5185" t="s">
        <v>85</v>
      </c>
    </row>
    <row r="5186" spans="1:61" x14ac:dyDescent="0.3">
      <c r="A5186" t="str">
        <f>"201652B0100"</f>
        <v>201652B0100</v>
      </c>
      <c r="B5186" t="s">
        <v>10483</v>
      </c>
      <c r="C5186">
        <v>20</v>
      </c>
      <c r="D5186" t="s">
        <v>79</v>
      </c>
      <c r="E5186">
        <v>24</v>
      </c>
      <c r="F5186" t="s">
        <v>10123</v>
      </c>
      <c r="G5186">
        <v>1652</v>
      </c>
      <c r="H5186">
        <v>1</v>
      </c>
      <c r="I5186" t="s">
        <v>81</v>
      </c>
      <c r="J5186">
        <v>0</v>
      </c>
      <c r="K5186">
        <v>1</v>
      </c>
      <c r="L5186">
        <v>2</v>
      </c>
      <c r="M5186">
        <v>275</v>
      </c>
      <c r="N5186">
        <v>409</v>
      </c>
      <c r="O5186">
        <v>0</v>
      </c>
      <c r="P5186">
        <v>409</v>
      </c>
      <c r="Q5186">
        <v>16</v>
      </c>
      <c r="R5186">
        <v>8</v>
      </c>
      <c r="S5186">
        <v>8</v>
      </c>
      <c r="T5186">
        <v>3</v>
      </c>
      <c r="U5186">
        <v>30</v>
      </c>
      <c r="V5186">
        <v>9</v>
      </c>
      <c r="W5186">
        <v>14</v>
      </c>
      <c r="X5186">
        <v>4</v>
      </c>
      <c r="Y5186">
        <v>267</v>
      </c>
      <c r="Z5186">
        <v>13</v>
      </c>
      <c r="AB5186">
        <v>1</v>
      </c>
      <c r="AC5186">
        <v>0</v>
      </c>
      <c r="AD5186">
        <v>0</v>
      </c>
      <c r="AE5186">
        <v>0</v>
      </c>
      <c r="AF5186">
        <v>0</v>
      </c>
      <c r="AK5186">
        <v>7</v>
      </c>
      <c r="AL5186">
        <v>0</v>
      </c>
      <c r="AM5186">
        <v>0</v>
      </c>
      <c r="AN5186">
        <v>0</v>
      </c>
      <c r="AQ5186">
        <v>0</v>
      </c>
      <c r="AT5186">
        <v>0</v>
      </c>
      <c r="AU5186">
        <v>29</v>
      </c>
      <c r="AV5186">
        <v>409</v>
      </c>
      <c r="AW5186">
        <v>409</v>
      </c>
      <c r="AX5186">
        <v>662</v>
      </c>
      <c r="BA5186">
        <v>1</v>
      </c>
      <c r="BC5186" t="s">
        <v>10484</v>
      </c>
      <c r="BD5186" s="4">
        <v>43283.322916666664</v>
      </c>
      <c r="BE5186" s="4">
        <v>43283.34511574074</v>
      </c>
      <c r="BF5186" s="4">
        <v>43283.34511574074</v>
      </c>
      <c r="BG5186" t="s">
        <v>83</v>
      </c>
      <c r="BH5186" t="s">
        <v>84</v>
      </c>
      <c r="BI5186" t="s">
        <v>85</v>
      </c>
    </row>
    <row r="5187" spans="1:61" x14ac:dyDescent="0.3">
      <c r="A5187" t="str">
        <f>"201653B0100"</f>
        <v>201653B0100</v>
      </c>
      <c r="B5187" t="s">
        <v>10485</v>
      </c>
      <c r="C5187">
        <v>20</v>
      </c>
      <c r="D5187" t="s">
        <v>79</v>
      </c>
      <c r="E5187">
        <v>24</v>
      </c>
      <c r="F5187" t="s">
        <v>10123</v>
      </c>
      <c r="G5187">
        <v>1653</v>
      </c>
      <c r="H5187">
        <v>1</v>
      </c>
      <c r="I5187" t="s">
        <v>81</v>
      </c>
      <c r="J5187">
        <v>0</v>
      </c>
      <c r="K5187">
        <v>2</v>
      </c>
      <c r="L5187">
        <v>2</v>
      </c>
      <c r="M5187">
        <v>252</v>
      </c>
      <c r="N5187">
        <v>324</v>
      </c>
      <c r="O5187">
        <v>1</v>
      </c>
      <c r="P5187">
        <v>324</v>
      </c>
      <c r="Q5187">
        <v>32</v>
      </c>
      <c r="R5187">
        <v>53</v>
      </c>
      <c r="S5187">
        <v>6</v>
      </c>
      <c r="T5187">
        <v>5</v>
      </c>
      <c r="U5187">
        <v>16</v>
      </c>
      <c r="V5187">
        <v>4</v>
      </c>
      <c r="W5187">
        <v>5</v>
      </c>
      <c r="X5187">
        <v>5</v>
      </c>
      <c r="Y5187">
        <v>156</v>
      </c>
      <c r="Z5187">
        <v>11</v>
      </c>
      <c r="AB5187">
        <v>5</v>
      </c>
      <c r="AC5187">
        <v>0</v>
      </c>
      <c r="AD5187">
        <v>0</v>
      </c>
      <c r="AE5187">
        <v>1</v>
      </c>
      <c r="AF5187">
        <v>0</v>
      </c>
      <c r="AK5187">
        <v>3</v>
      </c>
      <c r="AL5187">
        <v>2</v>
      </c>
      <c r="AM5187">
        <v>0</v>
      </c>
      <c r="AN5187">
        <v>1</v>
      </c>
      <c r="AQ5187">
        <v>1</v>
      </c>
      <c r="AT5187">
        <v>0</v>
      </c>
      <c r="AU5187">
        <v>18</v>
      </c>
      <c r="AV5187">
        <v>324</v>
      </c>
      <c r="AW5187">
        <v>324</v>
      </c>
      <c r="AX5187">
        <v>554</v>
      </c>
      <c r="BA5187">
        <v>1</v>
      </c>
      <c r="BC5187" t="s">
        <v>10486</v>
      </c>
      <c r="BD5187" s="4">
        <v>43283.092361111114</v>
      </c>
      <c r="BE5187" s="4">
        <v>43283.097048611111</v>
      </c>
      <c r="BF5187" s="4">
        <v>43283.097048611111</v>
      </c>
      <c r="BG5187" t="s">
        <v>83</v>
      </c>
      <c r="BH5187" t="s">
        <v>84</v>
      </c>
      <c r="BI5187" t="s">
        <v>85</v>
      </c>
    </row>
    <row r="5188" spans="1:61" x14ac:dyDescent="0.3">
      <c r="A5188" t="str">
        <f>"201653C0100"</f>
        <v>201653C0100</v>
      </c>
      <c r="B5188" t="s">
        <v>10487</v>
      </c>
      <c r="C5188">
        <v>20</v>
      </c>
      <c r="D5188" t="s">
        <v>79</v>
      </c>
      <c r="E5188">
        <v>24</v>
      </c>
      <c r="F5188" t="s">
        <v>10123</v>
      </c>
      <c r="G5188">
        <v>1653</v>
      </c>
      <c r="H5188">
        <v>1</v>
      </c>
      <c r="I5188" t="s">
        <v>89</v>
      </c>
      <c r="J5188">
        <v>0</v>
      </c>
      <c r="K5188">
        <v>2</v>
      </c>
      <c r="L5188">
        <v>2</v>
      </c>
      <c r="M5188">
        <v>269</v>
      </c>
      <c r="N5188">
        <v>306</v>
      </c>
      <c r="O5188">
        <v>0</v>
      </c>
      <c r="P5188">
        <v>306</v>
      </c>
      <c r="Q5188">
        <v>35</v>
      </c>
      <c r="R5188">
        <v>40</v>
      </c>
      <c r="S5188">
        <v>9</v>
      </c>
      <c r="T5188">
        <v>4</v>
      </c>
      <c r="U5188">
        <v>20</v>
      </c>
      <c r="V5188">
        <v>6</v>
      </c>
      <c r="W5188">
        <v>5</v>
      </c>
      <c r="X5188">
        <v>12</v>
      </c>
      <c r="Y5188">
        <v>142</v>
      </c>
      <c r="Z5188">
        <v>5</v>
      </c>
      <c r="AB5188">
        <v>5</v>
      </c>
      <c r="AC5188">
        <v>0</v>
      </c>
      <c r="AD5188">
        <v>1</v>
      </c>
      <c r="AE5188">
        <v>0</v>
      </c>
      <c r="AF5188">
        <v>0</v>
      </c>
      <c r="AK5188">
        <v>1</v>
      </c>
      <c r="AL5188">
        <v>0</v>
      </c>
      <c r="AM5188">
        <v>0</v>
      </c>
      <c r="AN5188">
        <v>3</v>
      </c>
      <c r="AQ5188">
        <v>0</v>
      </c>
      <c r="AT5188">
        <v>0</v>
      </c>
      <c r="AU5188">
        <v>18</v>
      </c>
      <c r="AV5188">
        <v>306</v>
      </c>
      <c r="AW5188">
        <v>306</v>
      </c>
      <c r="AX5188">
        <v>553</v>
      </c>
      <c r="BA5188">
        <v>1</v>
      </c>
      <c r="BC5188" t="s">
        <v>10488</v>
      </c>
      <c r="BD5188" s="4">
        <v>43283.09097222222</v>
      </c>
      <c r="BE5188" s="4">
        <v>43283.094351851854</v>
      </c>
      <c r="BF5188" s="4">
        <v>43283.094351851854</v>
      </c>
      <c r="BG5188" t="s">
        <v>83</v>
      </c>
      <c r="BH5188" t="s">
        <v>84</v>
      </c>
      <c r="BI5188" t="s">
        <v>85</v>
      </c>
    </row>
    <row r="5189" spans="1:61" x14ac:dyDescent="0.3">
      <c r="A5189" t="str">
        <f>"201668B0100"</f>
        <v>201668B0100</v>
      </c>
      <c r="B5189" t="s">
        <v>10489</v>
      </c>
      <c r="C5189">
        <v>20</v>
      </c>
      <c r="D5189" t="s">
        <v>79</v>
      </c>
      <c r="E5189">
        <v>24</v>
      </c>
      <c r="F5189" t="s">
        <v>10123</v>
      </c>
      <c r="G5189">
        <v>1668</v>
      </c>
      <c r="H5189">
        <v>1</v>
      </c>
      <c r="I5189" t="s">
        <v>81</v>
      </c>
      <c r="J5189">
        <v>0</v>
      </c>
      <c r="K5189">
        <v>2</v>
      </c>
      <c r="L5189">
        <v>2</v>
      </c>
      <c r="M5189">
        <v>433</v>
      </c>
      <c r="N5189" t="s">
        <v>100</v>
      </c>
      <c r="O5189">
        <v>0</v>
      </c>
      <c r="P5189">
        <v>411</v>
      </c>
      <c r="Q5189">
        <v>10</v>
      </c>
      <c r="R5189">
        <v>68</v>
      </c>
      <c r="S5189">
        <v>7</v>
      </c>
      <c r="T5189">
        <v>5</v>
      </c>
      <c r="U5189">
        <v>29</v>
      </c>
      <c r="V5189">
        <v>4</v>
      </c>
      <c r="W5189">
        <v>1</v>
      </c>
      <c r="X5189">
        <v>13</v>
      </c>
      <c r="Y5189">
        <v>219</v>
      </c>
      <c r="Z5189">
        <v>11</v>
      </c>
      <c r="AB5189">
        <v>5</v>
      </c>
      <c r="AC5189">
        <v>0</v>
      </c>
      <c r="AD5189">
        <v>0</v>
      </c>
      <c r="AE5189">
        <v>0</v>
      </c>
      <c r="AF5189">
        <v>0</v>
      </c>
      <c r="AK5189">
        <v>0</v>
      </c>
      <c r="AL5189">
        <v>0</v>
      </c>
      <c r="AM5189">
        <v>1</v>
      </c>
      <c r="AN5189">
        <v>4</v>
      </c>
      <c r="AQ5189">
        <v>22</v>
      </c>
      <c r="AT5189">
        <v>0</v>
      </c>
      <c r="AU5189">
        <v>22</v>
      </c>
      <c r="AV5189">
        <v>411</v>
      </c>
      <c r="AW5189">
        <v>421</v>
      </c>
      <c r="AX5189">
        <v>822</v>
      </c>
      <c r="BA5189">
        <v>1</v>
      </c>
      <c r="BC5189" t="s">
        <v>10490</v>
      </c>
      <c r="BD5189" s="4">
        <v>43283.260416666664</v>
      </c>
      <c r="BE5189" s="4">
        <v>43283.309733796297</v>
      </c>
      <c r="BF5189" s="4">
        <v>43283.309733796297</v>
      </c>
      <c r="BG5189" t="s">
        <v>83</v>
      </c>
      <c r="BH5189" t="s">
        <v>84</v>
      </c>
      <c r="BI5189" t="s">
        <v>85</v>
      </c>
    </row>
    <row r="5190" spans="1:61" x14ac:dyDescent="0.3">
      <c r="A5190" t="str">
        <f>"201668C0100"</f>
        <v>201668C0100</v>
      </c>
      <c r="B5190" t="s">
        <v>10491</v>
      </c>
      <c r="C5190">
        <v>20</v>
      </c>
      <c r="D5190" t="s">
        <v>79</v>
      </c>
      <c r="E5190">
        <v>24</v>
      </c>
      <c r="F5190" t="s">
        <v>10123</v>
      </c>
      <c r="G5190">
        <v>1668</v>
      </c>
      <c r="H5190">
        <v>1</v>
      </c>
      <c r="I5190" t="s">
        <v>89</v>
      </c>
      <c r="J5190">
        <v>0</v>
      </c>
      <c r="K5190">
        <v>2</v>
      </c>
      <c r="L5190">
        <v>2</v>
      </c>
      <c r="M5190">
        <v>356</v>
      </c>
      <c r="N5190">
        <v>302</v>
      </c>
      <c r="O5190">
        <v>0</v>
      </c>
      <c r="P5190">
        <v>302</v>
      </c>
      <c r="Q5190">
        <v>2</v>
      </c>
      <c r="R5190">
        <v>62</v>
      </c>
      <c r="S5190">
        <v>8</v>
      </c>
      <c r="T5190">
        <v>3</v>
      </c>
      <c r="U5190">
        <v>24</v>
      </c>
      <c r="V5190">
        <v>10</v>
      </c>
      <c r="W5190">
        <v>5</v>
      </c>
      <c r="X5190">
        <v>4</v>
      </c>
      <c r="Y5190">
        <v>136</v>
      </c>
      <c r="Z5190">
        <v>15</v>
      </c>
      <c r="AB5190">
        <v>1</v>
      </c>
      <c r="AC5190">
        <v>0</v>
      </c>
      <c r="AD5190">
        <v>1</v>
      </c>
      <c r="AE5190">
        <v>0</v>
      </c>
      <c r="AF5190">
        <v>0</v>
      </c>
      <c r="AK5190">
        <v>6</v>
      </c>
      <c r="AL5190">
        <v>2</v>
      </c>
      <c r="AM5190">
        <v>1</v>
      </c>
      <c r="AN5190">
        <v>2</v>
      </c>
      <c r="AQ5190">
        <v>0</v>
      </c>
      <c r="AT5190">
        <v>19</v>
      </c>
      <c r="AU5190">
        <v>301</v>
      </c>
      <c r="AV5190">
        <v>301</v>
      </c>
      <c r="AW5190">
        <v>602</v>
      </c>
      <c r="AX5190">
        <v>636</v>
      </c>
      <c r="BA5190">
        <v>1</v>
      </c>
      <c r="BC5190" t="s">
        <v>10492</v>
      </c>
      <c r="BD5190" s="4">
        <v>43283.302777777775</v>
      </c>
      <c r="BE5190" s="4">
        <v>43283.331122685187</v>
      </c>
      <c r="BF5190" s="4">
        <v>43283.331122685187</v>
      </c>
      <c r="BG5190" t="s">
        <v>83</v>
      </c>
      <c r="BH5190" t="s">
        <v>84</v>
      </c>
      <c r="BI5190" t="s">
        <v>85</v>
      </c>
    </row>
    <row r="5191" spans="1:61" x14ac:dyDescent="0.3">
      <c r="A5191" t="str">
        <f>"201669B0100"</f>
        <v>201669B0100</v>
      </c>
      <c r="B5191" t="s">
        <v>10493</v>
      </c>
      <c r="C5191">
        <v>20</v>
      </c>
      <c r="D5191" t="s">
        <v>79</v>
      </c>
      <c r="E5191">
        <v>24</v>
      </c>
      <c r="F5191" t="s">
        <v>10123</v>
      </c>
      <c r="G5191">
        <v>1669</v>
      </c>
      <c r="H5191">
        <v>1</v>
      </c>
      <c r="I5191" t="s">
        <v>81</v>
      </c>
      <c r="J5191">
        <v>0</v>
      </c>
      <c r="K5191">
        <v>2</v>
      </c>
      <c r="L5191">
        <v>2</v>
      </c>
      <c r="M5191">
        <v>246</v>
      </c>
      <c r="N5191">
        <v>228</v>
      </c>
      <c r="O5191">
        <v>4</v>
      </c>
      <c r="P5191">
        <v>228</v>
      </c>
      <c r="Q5191">
        <v>3</v>
      </c>
      <c r="R5191">
        <v>51</v>
      </c>
      <c r="S5191">
        <v>1</v>
      </c>
      <c r="T5191">
        <v>1</v>
      </c>
      <c r="U5191">
        <v>29</v>
      </c>
      <c r="V5191">
        <v>2</v>
      </c>
      <c r="W5191">
        <v>1</v>
      </c>
      <c r="X5191">
        <v>4</v>
      </c>
      <c r="Y5191">
        <v>109</v>
      </c>
      <c r="Z5191">
        <v>7</v>
      </c>
      <c r="AB5191">
        <v>1</v>
      </c>
      <c r="AC5191">
        <v>0</v>
      </c>
      <c r="AD5191">
        <v>0</v>
      </c>
      <c r="AE5191">
        <v>0</v>
      </c>
      <c r="AF5191">
        <v>0</v>
      </c>
      <c r="AK5191">
        <v>5</v>
      </c>
      <c r="AL5191">
        <v>3</v>
      </c>
      <c r="AM5191">
        <v>0</v>
      </c>
      <c r="AN5191">
        <v>2</v>
      </c>
      <c r="AQ5191">
        <v>0</v>
      </c>
      <c r="AT5191">
        <v>0</v>
      </c>
      <c r="AU5191">
        <v>9</v>
      </c>
      <c r="AV5191">
        <v>228</v>
      </c>
      <c r="AW5191">
        <v>228</v>
      </c>
      <c r="AX5191">
        <v>452</v>
      </c>
      <c r="BA5191">
        <v>1</v>
      </c>
      <c r="BC5191" t="s">
        <v>10494</v>
      </c>
      <c r="BD5191" s="4">
        <v>43283.262499999997</v>
      </c>
      <c r="BE5191" s="4">
        <v>43283.293726851851</v>
      </c>
      <c r="BF5191" s="4">
        <v>43283.293726851851</v>
      </c>
      <c r="BG5191" t="s">
        <v>83</v>
      </c>
      <c r="BH5191" t="s">
        <v>84</v>
      </c>
      <c r="BI5191" t="s">
        <v>85</v>
      </c>
    </row>
    <row r="5192" spans="1:61" x14ac:dyDescent="0.3">
      <c r="A5192" t="str">
        <f>"201669C0100"</f>
        <v>201669C0100</v>
      </c>
      <c r="B5192" t="s">
        <v>10495</v>
      </c>
      <c r="C5192">
        <v>20</v>
      </c>
      <c r="D5192" t="s">
        <v>79</v>
      </c>
      <c r="E5192">
        <v>24</v>
      </c>
      <c r="F5192" t="s">
        <v>10123</v>
      </c>
      <c r="G5192">
        <v>1669</v>
      </c>
      <c r="H5192">
        <v>1</v>
      </c>
      <c r="I5192" t="s">
        <v>89</v>
      </c>
      <c r="J5192">
        <v>0</v>
      </c>
      <c r="K5192">
        <v>2</v>
      </c>
      <c r="L5192">
        <v>2</v>
      </c>
      <c r="M5192">
        <v>224</v>
      </c>
      <c r="N5192">
        <v>249</v>
      </c>
      <c r="O5192">
        <v>1</v>
      </c>
      <c r="P5192">
        <v>249</v>
      </c>
      <c r="Q5192">
        <v>6</v>
      </c>
      <c r="R5192">
        <v>35</v>
      </c>
      <c r="S5192">
        <v>4</v>
      </c>
      <c r="T5192">
        <v>5</v>
      </c>
      <c r="U5192">
        <v>21</v>
      </c>
      <c r="V5192">
        <v>4</v>
      </c>
      <c r="W5192">
        <v>3</v>
      </c>
      <c r="X5192">
        <v>11</v>
      </c>
      <c r="Y5192">
        <v>142</v>
      </c>
      <c r="Z5192">
        <v>4</v>
      </c>
      <c r="AB5192">
        <v>0</v>
      </c>
      <c r="AC5192">
        <v>0</v>
      </c>
      <c r="AD5192">
        <v>0</v>
      </c>
      <c r="AE5192">
        <v>0</v>
      </c>
      <c r="AF5192">
        <v>0</v>
      </c>
      <c r="AK5192">
        <v>2</v>
      </c>
      <c r="AL5192">
        <v>1</v>
      </c>
      <c r="AM5192">
        <v>1</v>
      </c>
      <c r="AN5192">
        <v>1</v>
      </c>
      <c r="AQ5192">
        <v>2</v>
      </c>
      <c r="AT5192">
        <v>0</v>
      </c>
      <c r="AU5192">
        <v>7</v>
      </c>
      <c r="AV5192" t="s">
        <v>100</v>
      </c>
      <c r="AW5192">
        <v>249</v>
      </c>
      <c r="AX5192">
        <v>451</v>
      </c>
      <c r="BA5192">
        <v>1</v>
      </c>
      <c r="BC5192" t="s">
        <v>10496</v>
      </c>
      <c r="BD5192" s="4">
        <v>43283.261805555558</v>
      </c>
      <c r="BE5192" s="4">
        <v>43283.288819444446</v>
      </c>
      <c r="BF5192" s="4">
        <v>43283.288819444446</v>
      </c>
      <c r="BG5192" t="s">
        <v>83</v>
      </c>
      <c r="BH5192" t="s">
        <v>84</v>
      </c>
      <c r="BI5192" t="s">
        <v>85</v>
      </c>
    </row>
    <row r="5193" spans="1:61" x14ac:dyDescent="0.3">
      <c r="A5193" t="str">
        <f>"201676B0100"</f>
        <v>201676B0100</v>
      </c>
      <c r="B5193" t="s">
        <v>10497</v>
      </c>
      <c r="C5193">
        <v>20</v>
      </c>
      <c r="D5193" t="s">
        <v>79</v>
      </c>
      <c r="E5193">
        <v>24</v>
      </c>
      <c r="F5193" t="s">
        <v>10123</v>
      </c>
      <c r="G5193">
        <v>1676</v>
      </c>
      <c r="H5193">
        <v>1</v>
      </c>
      <c r="I5193" t="s">
        <v>81</v>
      </c>
      <c r="J5193">
        <v>0</v>
      </c>
      <c r="K5193">
        <v>1</v>
      </c>
      <c r="L5193">
        <v>2</v>
      </c>
      <c r="M5193">
        <v>125</v>
      </c>
      <c r="N5193">
        <v>231</v>
      </c>
      <c r="O5193">
        <v>0</v>
      </c>
      <c r="P5193">
        <v>231</v>
      </c>
      <c r="Q5193">
        <v>9</v>
      </c>
      <c r="R5193">
        <v>6</v>
      </c>
      <c r="S5193">
        <v>11</v>
      </c>
      <c r="T5193">
        <v>2</v>
      </c>
      <c r="U5193">
        <v>9</v>
      </c>
      <c r="V5193">
        <v>4</v>
      </c>
      <c r="W5193">
        <v>0</v>
      </c>
      <c r="X5193">
        <v>6</v>
      </c>
      <c r="Y5193">
        <v>172</v>
      </c>
      <c r="Z5193">
        <v>5</v>
      </c>
      <c r="AB5193">
        <v>1</v>
      </c>
      <c r="AC5193">
        <v>1</v>
      </c>
      <c r="AD5193">
        <v>0</v>
      </c>
      <c r="AE5193">
        <v>1</v>
      </c>
      <c r="AF5193">
        <v>0</v>
      </c>
      <c r="AK5193">
        <v>0</v>
      </c>
      <c r="AL5193">
        <v>0</v>
      </c>
      <c r="AM5193">
        <v>0</v>
      </c>
      <c r="AN5193">
        <v>0</v>
      </c>
      <c r="AQ5193">
        <v>0</v>
      </c>
      <c r="AT5193">
        <v>0</v>
      </c>
      <c r="AU5193">
        <v>4</v>
      </c>
      <c r="AV5193">
        <v>231</v>
      </c>
      <c r="AW5193">
        <v>231</v>
      </c>
      <c r="AX5193">
        <v>334</v>
      </c>
      <c r="BA5193">
        <v>1</v>
      </c>
      <c r="BC5193" t="s">
        <v>10498</v>
      </c>
      <c r="BD5193" s="4">
        <v>43283.31527777778</v>
      </c>
      <c r="BE5193" s="4">
        <v>43283.344814814816</v>
      </c>
      <c r="BF5193" s="4">
        <v>43283.344814814816</v>
      </c>
      <c r="BG5193" t="s">
        <v>83</v>
      </c>
      <c r="BH5193" t="s">
        <v>84</v>
      </c>
      <c r="BI5193" t="s">
        <v>85</v>
      </c>
    </row>
    <row r="5194" spans="1:61" x14ac:dyDescent="0.3">
      <c r="A5194" t="str">
        <f>"201709B0100"</f>
        <v>201709B0100</v>
      </c>
      <c r="B5194" t="s">
        <v>10499</v>
      </c>
      <c r="C5194">
        <v>20</v>
      </c>
      <c r="D5194" t="s">
        <v>79</v>
      </c>
      <c r="E5194">
        <v>24</v>
      </c>
      <c r="F5194" t="s">
        <v>10123</v>
      </c>
      <c r="G5194">
        <v>1709</v>
      </c>
      <c r="H5194">
        <v>1</v>
      </c>
      <c r="I5194" t="s">
        <v>81</v>
      </c>
      <c r="J5194">
        <v>0</v>
      </c>
      <c r="K5194">
        <v>2</v>
      </c>
      <c r="L5194">
        <v>2</v>
      </c>
      <c r="M5194">
        <v>301</v>
      </c>
      <c r="N5194">
        <v>268</v>
      </c>
      <c r="O5194">
        <v>1</v>
      </c>
      <c r="P5194">
        <v>268</v>
      </c>
      <c r="Q5194">
        <v>17</v>
      </c>
      <c r="R5194">
        <v>41</v>
      </c>
      <c r="S5194">
        <v>3</v>
      </c>
      <c r="T5194">
        <v>3</v>
      </c>
      <c r="U5194">
        <v>16</v>
      </c>
      <c r="V5194">
        <v>1</v>
      </c>
      <c r="W5194">
        <v>4</v>
      </c>
      <c r="X5194">
        <v>6</v>
      </c>
      <c r="Y5194">
        <v>154</v>
      </c>
      <c r="Z5194">
        <v>8</v>
      </c>
      <c r="AB5194">
        <v>2</v>
      </c>
      <c r="AC5194">
        <v>0</v>
      </c>
      <c r="AD5194">
        <v>0</v>
      </c>
      <c r="AE5194">
        <v>0</v>
      </c>
      <c r="AF5194">
        <v>0</v>
      </c>
      <c r="AK5194">
        <v>2</v>
      </c>
      <c r="AL5194">
        <v>0</v>
      </c>
      <c r="AM5194">
        <v>0</v>
      </c>
      <c r="AN5194">
        <v>1</v>
      </c>
      <c r="AQ5194">
        <v>0</v>
      </c>
      <c r="AT5194">
        <v>0</v>
      </c>
      <c r="AU5194">
        <v>10</v>
      </c>
      <c r="AV5194">
        <v>268</v>
      </c>
      <c r="AW5194">
        <v>268</v>
      </c>
      <c r="AX5194">
        <v>547</v>
      </c>
      <c r="BA5194">
        <v>1</v>
      </c>
      <c r="BC5194" t="s">
        <v>10500</v>
      </c>
      <c r="BD5194" s="4">
        <v>43283.179861111108</v>
      </c>
      <c r="BE5194" s="4">
        <v>43283.199699074074</v>
      </c>
      <c r="BF5194" s="4">
        <v>43283.199699074074</v>
      </c>
      <c r="BG5194" t="s">
        <v>83</v>
      </c>
      <c r="BH5194" t="s">
        <v>84</v>
      </c>
      <c r="BI5194" t="s">
        <v>85</v>
      </c>
    </row>
    <row r="5195" spans="1:61" x14ac:dyDescent="0.3">
      <c r="A5195" t="str">
        <f>"201709C0100"</f>
        <v>201709C0100</v>
      </c>
      <c r="B5195" t="s">
        <v>10501</v>
      </c>
      <c r="C5195">
        <v>20</v>
      </c>
      <c r="D5195" t="s">
        <v>79</v>
      </c>
      <c r="E5195">
        <v>24</v>
      </c>
      <c r="F5195" t="s">
        <v>10123</v>
      </c>
      <c r="G5195">
        <v>1709</v>
      </c>
      <c r="H5195">
        <v>1</v>
      </c>
      <c r="I5195" t="s">
        <v>89</v>
      </c>
      <c r="J5195">
        <v>0</v>
      </c>
      <c r="K5195">
        <v>2</v>
      </c>
      <c r="L5195">
        <v>2</v>
      </c>
      <c r="M5195">
        <v>320</v>
      </c>
      <c r="N5195">
        <v>249</v>
      </c>
      <c r="O5195">
        <v>3</v>
      </c>
      <c r="P5195">
        <v>249</v>
      </c>
      <c r="Q5195">
        <v>27</v>
      </c>
      <c r="R5195">
        <v>69</v>
      </c>
      <c r="S5195">
        <v>3</v>
      </c>
      <c r="T5195">
        <v>1</v>
      </c>
      <c r="U5195">
        <v>15</v>
      </c>
      <c r="V5195">
        <v>4</v>
      </c>
      <c r="W5195">
        <v>2</v>
      </c>
      <c r="X5195">
        <v>7</v>
      </c>
      <c r="Y5195">
        <v>101</v>
      </c>
      <c r="Z5195">
        <v>8</v>
      </c>
      <c r="AB5195">
        <v>1</v>
      </c>
      <c r="AC5195">
        <v>0</v>
      </c>
      <c r="AD5195">
        <v>0</v>
      </c>
      <c r="AE5195">
        <v>0</v>
      </c>
      <c r="AF5195">
        <v>0</v>
      </c>
      <c r="AK5195">
        <v>1</v>
      </c>
      <c r="AL5195">
        <v>0</v>
      </c>
      <c r="AM5195">
        <v>0</v>
      </c>
      <c r="AN5195">
        <v>1</v>
      </c>
      <c r="AQ5195">
        <v>0</v>
      </c>
      <c r="AT5195">
        <v>0</v>
      </c>
      <c r="AU5195">
        <v>9</v>
      </c>
      <c r="AV5195">
        <v>249</v>
      </c>
      <c r="AW5195">
        <v>249</v>
      </c>
      <c r="AX5195">
        <v>547</v>
      </c>
      <c r="BA5195">
        <v>1</v>
      </c>
      <c r="BC5195" t="s">
        <v>10502</v>
      </c>
      <c r="BD5195" s="4">
        <v>43283.178472222222</v>
      </c>
      <c r="BE5195" s="4">
        <v>43283.199236111112</v>
      </c>
      <c r="BF5195" s="4">
        <v>43283.199236111112</v>
      </c>
      <c r="BG5195" t="s">
        <v>83</v>
      </c>
      <c r="BH5195" t="s">
        <v>84</v>
      </c>
      <c r="BI5195" t="s">
        <v>85</v>
      </c>
    </row>
    <row r="5196" spans="1:61" x14ac:dyDescent="0.3">
      <c r="A5196" t="str">
        <f>"201709C0200"</f>
        <v>201709C0200</v>
      </c>
      <c r="B5196" t="s">
        <v>10503</v>
      </c>
      <c r="C5196">
        <v>20</v>
      </c>
      <c r="D5196" t="s">
        <v>79</v>
      </c>
      <c r="E5196">
        <v>24</v>
      </c>
      <c r="F5196" t="s">
        <v>10123</v>
      </c>
      <c r="G5196">
        <v>1709</v>
      </c>
      <c r="H5196">
        <v>2</v>
      </c>
      <c r="I5196" t="s">
        <v>89</v>
      </c>
      <c r="J5196">
        <v>0</v>
      </c>
      <c r="K5196">
        <v>2</v>
      </c>
      <c r="L5196">
        <v>2</v>
      </c>
      <c r="M5196">
        <v>354</v>
      </c>
      <c r="N5196">
        <v>215</v>
      </c>
      <c r="O5196">
        <v>3</v>
      </c>
      <c r="P5196">
        <v>215</v>
      </c>
      <c r="Q5196">
        <v>13</v>
      </c>
      <c r="R5196">
        <v>50</v>
      </c>
      <c r="S5196">
        <v>0</v>
      </c>
      <c r="T5196">
        <v>4</v>
      </c>
      <c r="U5196">
        <v>10</v>
      </c>
      <c r="V5196">
        <v>1</v>
      </c>
      <c r="W5196">
        <v>5</v>
      </c>
      <c r="X5196">
        <v>3</v>
      </c>
      <c r="Y5196">
        <v>111</v>
      </c>
      <c r="Z5196">
        <v>6</v>
      </c>
      <c r="AB5196">
        <v>1</v>
      </c>
      <c r="AC5196">
        <v>1</v>
      </c>
      <c r="AD5196">
        <v>0</v>
      </c>
      <c r="AE5196">
        <v>0</v>
      </c>
      <c r="AF5196">
        <v>0</v>
      </c>
      <c r="AK5196">
        <v>1</v>
      </c>
      <c r="AL5196">
        <v>0</v>
      </c>
      <c r="AM5196">
        <v>0</v>
      </c>
      <c r="AN5196">
        <v>0</v>
      </c>
      <c r="AQ5196">
        <v>0</v>
      </c>
      <c r="AT5196">
        <v>0</v>
      </c>
      <c r="AU5196">
        <v>9</v>
      </c>
      <c r="AV5196">
        <v>215</v>
      </c>
      <c r="AW5196">
        <v>215</v>
      </c>
      <c r="AX5196">
        <v>547</v>
      </c>
      <c r="BA5196">
        <v>1</v>
      </c>
      <c r="BC5196" t="s">
        <v>10504</v>
      </c>
      <c r="BD5196" s="4">
        <v>43283.180555555555</v>
      </c>
      <c r="BE5196" s="4">
        <v>43283.19798611111</v>
      </c>
      <c r="BF5196" s="4">
        <v>43283.19798611111</v>
      </c>
      <c r="BG5196" t="s">
        <v>83</v>
      </c>
      <c r="BH5196" t="s">
        <v>84</v>
      </c>
      <c r="BI5196" t="s">
        <v>85</v>
      </c>
    </row>
    <row r="5197" spans="1:61" x14ac:dyDescent="0.3">
      <c r="A5197" t="str">
        <f>"201710B0100"</f>
        <v>201710B0100</v>
      </c>
      <c r="B5197" t="s">
        <v>10505</v>
      </c>
      <c r="C5197">
        <v>20</v>
      </c>
      <c r="D5197" t="s">
        <v>79</v>
      </c>
      <c r="E5197">
        <v>24</v>
      </c>
      <c r="F5197" t="s">
        <v>10123</v>
      </c>
      <c r="G5197">
        <v>1710</v>
      </c>
      <c r="H5197">
        <v>1</v>
      </c>
      <c r="I5197" t="s">
        <v>81</v>
      </c>
      <c r="J5197">
        <v>0</v>
      </c>
      <c r="K5197">
        <v>2</v>
      </c>
      <c r="L5197">
        <v>2</v>
      </c>
      <c r="M5197">
        <v>347</v>
      </c>
      <c r="N5197">
        <v>300</v>
      </c>
      <c r="O5197">
        <v>0</v>
      </c>
      <c r="P5197">
        <v>300</v>
      </c>
      <c r="Q5197">
        <v>28</v>
      </c>
      <c r="R5197">
        <v>66</v>
      </c>
      <c r="S5197">
        <v>2</v>
      </c>
      <c r="T5197">
        <v>2</v>
      </c>
      <c r="U5197">
        <v>11</v>
      </c>
      <c r="V5197">
        <v>4</v>
      </c>
      <c r="W5197">
        <v>5</v>
      </c>
      <c r="X5197">
        <v>4</v>
      </c>
      <c r="Y5197">
        <v>154</v>
      </c>
      <c r="Z5197">
        <v>10</v>
      </c>
      <c r="AB5197">
        <v>2</v>
      </c>
      <c r="AC5197">
        <v>1</v>
      </c>
      <c r="AD5197">
        <v>0</v>
      </c>
      <c r="AE5197">
        <v>0</v>
      </c>
      <c r="AF5197">
        <v>0</v>
      </c>
      <c r="AK5197">
        <v>0</v>
      </c>
      <c r="AL5197">
        <v>0</v>
      </c>
      <c r="AM5197">
        <v>1</v>
      </c>
      <c r="AN5197">
        <v>0</v>
      </c>
      <c r="AQ5197">
        <v>0</v>
      </c>
      <c r="AT5197">
        <v>0</v>
      </c>
      <c r="AU5197">
        <v>10</v>
      </c>
      <c r="AV5197">
        <v>300</v>
      </c>
      <c r="AW5197">
        <v>300</v>
      </c>
      <c r="AX5197">
        <v>625</v>
      </c>
      <c r="BA5197">
        <v>1</v>
      </c>
      <c r="BC5197" t="s">
        <v>10506</v>
      </c>
      <c r="BD5197" s="4">
        <v>43283.180555555555</v>
      </c>
      <c r="BE5197" s="4">
        <v>43283.198101851849</v>
      </c>
      <c r="BF5197" s="4">
        <v>43283.198101851849</v>
      </c>
      <c r="BG5197" t="s">
        <v>83</v>
      </c>
      <c r="BH5197" t="s">
        <v>84</v>
      </c>
      <c r="BI5197" t="s">
        <v>85</v>
      </c>
    </row>
    <row r="5198" spans="1:61" x14ac:dyDescent="0.3">
      <c r="A5198" t="str">
        <f>"201710C0100"</f>
        <v>201710C0100</v>
      </c>
      <c r="B5198" t="s">
        <v>10507</v>
      </c>
      <c r="C5198">
        <v>20</v>
      </c>
      <c r="D5198" t="s">
        <v>79</v>
      </c>
      <c r="E5198">
        <v>24</v>
      </c>
      <c r="F5198" t="s">
        <v>10123</v>
      </c>
      <c r="G5198">
        <v>1710</v>
      </c>
      <c r="H5198">
        <v>1</v>
      </c>
      <c r="I5198" t="s">
        <v>89</v>
      </c>
      <c r="J5198">
        <v>0</v>
      </c>
      <c r="K5198">
        <v>2</v>
      </c>
      <c r="L5198">
        <v>2</v>
      </c>
      <c r="M5198">
        <v>336</v>
      </c>
      <c r="N5198">
        <v>310</v>
      </c>
      <c r="O5198">
        <v>0</v>
      </c>
      <c r="P5198">
        <v>310</v>
      </c>
      <c r="Q5198">
        <v>39</v>
      </c>
      <c r="R5198">
        <v>74</v>
      </c>
      <c r="S5198">
        <v>5</v>
      </c>
      <c r="T5198">
        <v>2</v>
      </c>
      <c r="U5198">
        <v>13</v>
      </c>
      <c r="V5198">
        <v>2</v>
      </c>
      <c r="W5198">
        <v>2</v>
      </c>
      <c r="X5198">
        <v>2</v>
      </c>
      <c r="Y5198">
        <v>148</v>
      </c>
      <c r="Z5198">
        <v>8</v>
      </c>
      <c r="AB5198">
        <v>0</v>
      </c>
      <c r="AC5198">
        <v>0</v>
      </c>
      <c r="AD5198">
        <v>0</v>
      </c>
      <c r="AE5198">
        <v>0</v>
      </c>
      <c r="AF5198">
        <v>0</v>
      </c>
      <c r="AK5198">
        <v>1</v>
      </c>
      <c r="AL5198">
        <v>1</v>
      </c>
      <c r="AM5198">
        <v>1</v>
      </c>
      <c r="AN5198">
        <v>0</v>
      </c>
      <c r="AQ5198">
        <v>2</v>
      </c>
      <c r="AT5198">
        <v>0</v>
      </c>
      <c r="AU5198">
        <v>11</v>
      </c>
      <c r="AV5198">
        <v>310</v>
      </c>
      <c r="AW5198">
        <v>311</v>
      </c>
      <c r="AX5198">
        <v>624</v>
      </c>
      <c r="BA5198">
        <v>1</v>
      </c>
      <c r="BC5198" t="s">
        <v>10508</v>
      </c>
      <c r="BD5198" s="4">
        <v>43283.181250000001</v>
      </c>
      <c r="BE5198" s="4">
        <v>43283.198449074072</v>
      </c>
      <c r="BF5198" s="4">
        <v>43283.198449074072</v>
      </c>
      <c r="BG5198" t="s">
        <v>83</v>
      </c>
      <c r="BH5198" t="s">
        <v>84</v>
      </c>
      <c r="BI5198" t="s">
        <v>85</v>
      </c>
    </row>
    <row r="5199" spans="1:61" x14ac:dyDescent="0.3">
      <c r="A5199" t="str">
        <f>"201711B0100"</f>
        <v>201711B0100</v>
      </c>
      <c r="B5199" t="s">
        <v>10509</v>
      </c>
      <c r="C5199">
        <v>20</v>
      </c>
      <c r="D5199" t="s">
        <v>79</v>
      </c>
      <c r="E5199">
        <v>24</v>
      </c>
      <c r="F5199" t="s">
        <v>10123</v>
      </c>
      <c r="G5199">
        <v>1711</v>
      </c>
      <c r="H5199">
        <v>1</v>
      </c>
      <c r="I5199" t="s">
        <v>81</v>
      </c>
      <c r="J5199">
        <v>0</v>
      </c>
      <c r="K5199">
        <v>1</v>
      </c>
      <c r="L5199">
        <v>2</v>
      </c>
      <c r="M5199">
        <v>299</v>
      </c>
      <c r="N5199" t="s">
        <v>100</v>
      </c>
      <c r="O5199">
        <v>2</v>
      </c>
      <c r="P5199">
        <v>264</v>
      </c>
      <c r="Q5199">
        <v>14</v>
      </c>
      <c r="R5199">
        <v>33</v>
      </c>
      <c r="S5199">
        <v>7</v>
      </c>
      <c r="T5199">
        <v>6</v>
      </c>
      <c r="U5199">
        <v>31</v>
      </c>
      <c r="V5199">
        <v>3</v>
      </c>
      <c r="W5199">
        <v>8</v>
      </c>
      <c r="X5199">
        <v>2</v>
      </c>
      <c r="Y5199">
        <v>121</v>
      </c>
      <c r="Z5199">
        <v>16</v>
      </c>
      <c r="AB5199">
        <v>5</v>
      </c>
      <c r="AC5199">
        <v>0</v>
      </c>
      <c r="AD5199">
        <v>0</v>
      </c>
      <c r="AE5199">
        <v>0</v>
      </c>
      <c r="AF5199">
        <v>0</v>
      </c>
      <c r="AK5199">
        <v>0</v>
      </c>
      <c r="AL5199">
        <v>0</v>
      </c>
      <c r="AM5199">
        <v>0</v>
      </c>
      <c r="AN5199">
        <v>0</v>
      </c>
      <c r="AQ5199">
        <v>0</v>
      </c>
      <c r="AT5199">
        <v>0</v>
      </c>
      <c r="AU5199">
        <v>17</v>
      </c>
      <c r="AV5199">
        <v>264</v>
      </c>
      <c r="AW5199">
        <v>263</v>
      </c>
      <c r="AX5199">
        <v>541</v>
      </c>
      <c r="BA5199">
        <v>1</v>
      </c>
      <c r="BC5199" t="s">
        <v>10510</v>
      </c>
      <c r="BD5199" s="4">
        <v>43283.277083333334</v>
      </c>
      <c r="BE5199" s="4">
        <v>43283.308518518519</v>
      </c>
      <c r="BF5199" s="4">
        <v>43283.308518518519</v>
      </c>
      <c r="BG5199" t="s">
        <v>83</v>
      </c>
      <c r="BH5199" t="s">
        <v>84</v>
      </c>
      <c r="BI5199" t="s">
        <v>85</v>
      </c>
    </row>
    <row r="5200" spans="1:61" x14ac:dyDescent="0.3">
      <c r="A5200" t="str">
        <f>"201769B0100"</f>
        <v>201769B0100</v>
      </c>
      <c r="B5200" t="s">
        <v>10511</v>
      </c>
      <c r="C5200">
        <v>20</v>
      </c>
      <c r="D5200" t="s">
        <v>79</v>
      </c>
      <c r="E5200">
        <v>24</v>
      </c>
      <c r="F5200" t="s">
        <v>10123</v>
      </c>
      <c r="G5200">
        <v>1769</v>
      </c>
      <c r="H5200">
        <v>1</v>
      </c>
      <c r="I5200" t="s">
        <v>81</v>
      </c>
      <c r="J5200">
        <v>0</v>
      </c>
      <c r="K5200">
        <v>1</v>
      </c>
      <c r="L5200">
        <v>2</v>
      </c>
      <c r="M5200">
        <v>200</v>
      </c>
      <c r="N5200">
        <v>225</v>
      </c>
      <c r="O5200">
        <v>0</v>
      </c>
      <c r="P5200">
        <v>225</v>
      </c>
      <c r="Q5200">
        <v>7</v>
      </c>
      <c r="R5200">
        <v>39</v>
      </c>
      <c r="S5200">
        <v>4</v>
      </c>
      <c r="T5200">
        <v>2</v>
      </c>
      <c r="U5200">
        <v>7</v>
      </c>
      <c r="V5200">
        <v>2</v>
      </c>
      <c r="W5200">
        <v>28</v>
      </c>
      <c r="X5200">
        <v>3</v>
      </c>
      <c r="Y5200">
        <v>98</v>
      </c>
      <c r="Z5200">
        <v>8</v>
      </c>
      <c r="AB5200">
        <v>1</v>
      </c>
      <c r="AC5200">
        <v>0</v>
      </c>
      <c r="AD5200">
        <v>0</v>
      </c>
      <c r="AE5200">
        <v>0</v>
      </c>
      <c r="AF5200">
        <v>0</v>
      </c>
      <c r="AK5200">
        <v>1</v>
      </c>
      <c r="AL5200">
        <v>0</v>
      </c>
      <c r="AM5200">
        <v>1</v>
      </c>
      <c r="AN5200">
        <v>0</v>
      </c>
      <c r="AQ5200">
        <v>0</v>
      </c>
      <c r="AT5200">
        <v>5</v>
      </c>
      <c r="AU5200">
        <v>19</v>
      </c>
      <c r="AV5200">
        <v>225</v>
      </c>
      <c r="AW5200">
        <v>225</v>
      </c>
      <c r="AX5200">
        <v>403</v>
      </c>
      <c r="BA5200">
        <v>1</v>
      </c>
      <c r="BC5200" t="s">
        <v>10512</v>
      </c>
      <c r="BD5200" s="4">
        <v>43283.24722222222</v>
      </c>
      <c r="BE5200" s="4">
        <v>43283.271782407406</v>
      </c>
      <c r="BF5200" s="4">
        <v>43283.271782407406</v>
      </c>
      <c r="BG5200" t="s">
        <v>83</v>
      </c>
      <c r="BH5200" t="s">
        <v>84</v>
      </c>
      <c r="BI5200" t="s">
        <v>85</v>
      </c>
    </row>
    <row r="5201" spans="1:61" x14ac:dyDescent="0.3">
      <c r="A5201" t="str">
        <f>"201769C0100"</f>
        <v>201769C0100</v>
      </c>
      <c r="B5201" t="s">
        <v>10513</v>
      </c>
      <c r="C5201">
        <v>20</v>
      </c>
      <c r="D5201" t="s">
        <v>79</v>
      </c>
      <c r="E5201">
        <v>24</v>
      </c>
      <c r="F5201" t="s">
        <v>10123</v>
      </c>
      <c r="G5201">
        <v>1769</v>
      </c>
      <c r="H5201">
        <v>1</v>
      </c>
      <c r="I5201" t="s">
        <v>89</v>
      </c>
      <c r="J5201">
        <v>0</v>
      </c>
      <c r="K5201">
        <v>1</v>
      </c>
      <c r="L5201">
        <v>2</v>
      </c>
      <c r="M5201">
        <v>223</v>
      </c>
      <c r="N5201">
        <v>203</v>
      </c>
      <c r="O5201">
        <v>2</v>
      </c>
      <c r="P5201">
        <v>201</v>
      </c>
      <c r="Q5201">
        <v>11</v>
      </c>
      <c r="R5201">
        <v>25</v>
      </c>
      <c r="S5201">
        <v>2</v>
      </c>
      <c r="T5201">
        <v>0</v>
      </c>
      <c r="U5201">
        <v>10</v>
      </c>
      <c r="V5201">
        <v>0</v>
      </c>
      <c r="W5201">
        <v>29</v>
      </c>
      <c r="X5201">
        <v>4</v>
      </c>
      <c r="Y5201">
        <v>83</v>
      </c>
      <c r="Z5201">
        <v>7</v>
      </c>
      <c r="AB5201">
        <v>0</v>
      </c>
      <c r="AC5201">
        <v>0</v>
      </c>
      <c r="AD5201">
        <v>0</v>
      </c>
      <c r="AE5201">
        <v>0</v>
      </c>
      <c r="AF5201">
        <v>0</v>
      </c>
      <c r="AK5201">
        <v>1</v>
      </c>
      <c r="AL5201">
        <v>0</v>
      </c>
      <c r="AM5201">
        <v>3</v>
      </c>
      <c r="AN5201">
        <v>0</v>
      </c>
      <c r="AQ5201">
        <v>0</v>
      </c>
      <c r="AT5201">
        <v>0</v>
      </c>
      <c r="AU5201">
        <v>26</v>
      </c>
      <c r="AV5201">
        <v>201</v>
      </c>
      <c r="AW5201">
        <v>201</v>
      </c>
      <c r="AX5201">
        <v>402</v>
      </c>
      <c r="BA5201">
        <v>1</v>
      </c>
      <c r="BC5201" t="s">
        <v>10514</v>
      </c>
      <c r="BD5201" s="4">
        <v>43283.246527777781</v>
      </c>
      <c r="BE5201" s="4">
        <v>43283.271226851852</v>
      </c>
      <c r="BF5201" s="4">
        <v>43283.271226851852</v>
      </c>
      <c r="BG5201" t="s">
        <v>83</v>
      </c>
      <c r="BH5201" t="s">
        <v>84</v>
      </c>
      <c r="BI5201" t="s">
        <v>85</v>
      </c>
    </row>
    <row r="5202" spans="1:61" x14ac:dyDescent="0.3">
      <c r="A5202" t="str">
        <f>"201770B0100"</f>
        <v>201770B0100</v>
      </c>
      <c r="B5202" t="s">
        <v>10515</v>
      </c>
      <c r="C5202">
        <v>20</v>
      </c>
      <c r="D5202" t="s">
        <v>79</v>
      </c>
      <c r="E5202">
        <v>24</v>
      </c>
      <c r="F5202" t="s">
        <v>10123</v>
      </c>
      <c r="G5202">
        <v>1770</v>
      </c>
      <c r="H5202">
        <v>1</v>
      </c>
      <c r="I5202" t="s">
        <v>81</v>
      </c>
      <c r="J5202">
        <v>0</v>
      </c>
      <c r="K5202">
        <v>1</v>
      </c>
      <c r="L5202">
        <v>2</v>
      </c>
      <c r="M5202">
        <v>209</v>
      </c>
      <c r="N5202">
        <v>192</v>
      </c>
      <c r="O5202">
        <v>1</v>
      </c>
      <c r="P5202">
        <v>192</v>
      </c>
      <c r="Q5202">
        <v>17</v>
      </c>
      <c r="R5202">
        <v>29</v>
      </c>
      <c r="S5202">
        <v>3</v>
      </c>
      <c r="T5202">
        <v>2</v>
      </c>
      <c r="U5202">
        <v>16</v>
      </c>
      <c r="V5202">
        <v>2</v>
      </c>
      <c r="W5202">
        <v>23</v>
      </c>
      <c r="X5202">
        <v>2</v>
      </c>
      <c r="Y5202">
        <v>65</v>
      </c>
      <c r="Z5202">
        <v>4</v>
      </c>
      <c r="AB5202">
        <v>2</v>
      </c>
      <c r="AC5202">
        <v>0</v>
      </c>
      <c r="AD5202">
        <v>0</v>
      </c>
      <c r="AE5202">
        <v>0</v>
      </c>
      <c r="AF5202">
        <v>0</v>
      </c>
      <c r="AK5202">
        <v>4</v>
      </c>
      <c r="AL5202">
        <v>0</v>
      </c>
      <c r="AM5202">
        <v>0</v>
      </c>
      <c r="AN5202">
        <v>2</v>
      </c>
      <c r="AQ5202">
        <v>0</v>
      </c>
      <c r="AT5202">
        <v>0</v>
      </c>
      <c r="AU5202">
        <v>21</v>
      </c>
      <c r="AV5202">
        <v>192</v>
      </c>
      <c r="AW5202">
        <v>192</v>
      </c>
      <c r="AX5202">
        <v>379</v>
      </c>
      <c r="BA5202">
        <v>1</v>
      </c>
      <c r="BC5202" t="s">
        <v>10516</v>
      </c>
      <c r="BD5202" s="4">
        <v>43283.249305555553</v>
      </c>
      <c r="BE5202" s="4">
        <v>43283.273981481485</v>
      </c>
      <c r="BF5202" s="4">
        <v>43283.273981481485</v>
      </c>
      <c r="BG5202" t="s">
        <v>83</v>
      </c>
      <c r="BH5202" t="s">
        <v>84</v>
      </c>
      <c r="BI5202" t="s">
        <v>85</v>
      </c>
    </row>
    <row r="5203" spans="1:61" x14ac:dyDescent="0.3">
      <c r="A5203" t="str">
        <f>"201770C0100"</f>
        <v>201770C0100</v>
      </c>
      <c r="B5203" t="s">
        <v>10517</v>
      </c>
      <c r="C5203">
        <v>20</v>
      </c>
      <c r="D5203" t="s">
        <v>79</v>
      </c>
      <c r="E5203">
        <v>24</v>
      </c>
      <c r="F5203" t="s">
        <v>10123</v>
      </c>
      <c r="G5203">
        <v>1770</v>
      </c>
      <c r="H5203">
        <v>1</v>
      </c>
      <c r="I5203" t="s">
        <v>89</v>
      </c>
      <c r="J5203">
        <v>0</v>
      </c>
      <c r="K5203">
        <v>1</v>
      </c>
      <c r="L5203">
        <v>2</v>
      </c>
      <c r="M5203">
        <v>212</v>
      </c>
      <c r="N5203">
        <v>188</v>
      </c>
      <c r="O5203">
        <v>0</v>
      </c>
      <c r="P5203">
        <v>0</v>
      </c>
      <c r="Q5203">
        <v>11</v>
      </c>
      <c r="R5203">
        <v>34</v>
      </c>
      <c r="S5203">
        <v>1</v>
      </c>
      <c r="T5203">
        <v>3</v>
      </c>
      <c r="U5203">
        <v>18</v>
      </c>
      <c r="V5203">
        <v>3</v>
      </c>
      <c r="W5203">
        <v>28</v>
      </c>
      <c r="X5203">
        <v>3</v>
      </c>
      <c r="Y5203">
        <v>65</v>
      </c>
      <c r="Z5203">
        <v>5</v>
      </c>
      <c r="AB5203">
        <v>1</v>
      </c>
      <c r="AC5203">
        <v>1</v>
      </c>
      <c r="AD5203">
        <v>1</v>
      </c>
      <c r="AE5203">
        <v>0</v>
      </c>
      <c r="AF5203">
        <v>0</v>
      </c>
      <c r="AK5203">
        <v>4</v>
      </c>
      <c r="AL5203">
        <v>0</v>
      </c>
      <c r="AM5203">
        <v>0</v>
      </c>
      <c r="AN5203">
        <v>1</v>
      </c>
      <c r="AQ5203">
        <v>0</v>
      </c>
      <c r="AT5203">
        <v>0</v>
      </c>
      <c r="AU5203">
        <v>8</v>
      </c>
      <c r="AV5203" t="s">
        <v>315</v>
      </c>
      <c r="AW5203">
        <v>187</v>
      </c>
      <c r="AX5203">
        <v>378</v>
      </c>
      <c r="BA5203">
        <v>1</v>
      </c>
      <c r="BC5203" t="s">
        <v>10518</v>
      </c>
      <c r="BD5203" s="4">
        <v>43283.249305555553</v>
      </c>
      <c r="BE5203" s="4">
        <v>43283.275173611109</v>
      </c>
      <c r="BF5203" s="4">
        <v>43283.275173611109</v>
      </c>
      <c r="BG5203" t="s">
        <v>83</v>
      </c>
      <c r="BH5203" t="s">
        <v>84</v>
      </c>
      <c r="BI5203" t="s">
        <v>85</v>
      </c>
    </row>
    <row r="5204" spans="1:61" x14ac:dyDescent="0.3">
      <c r="A5204" t="str">
        <f>"201770E0100"</f>
        <v>201770E0100</v>
      </c>
      <c r="B5204" s="2" t="s">
        <v>10519</v>
      </c>
      <c r="C5204">
        <v>20</v>
      </c>
      <c r="D5204" t="s">
        <v>79</v>
      </c>
      <c r="E5204">
        <v>24</v>
      </c>
      <c r="F5204" t="s">
        <v>10123</v>
      </c>
      <c r="G5204">
        <v>1770</v>
      </c>
      <c r="H5204">
        <v>1</v>
      </c>
      <c r="I5204" t="s">
        <v>145</v>
      </c>
      <c r="J5204">
        <v>0</v>
      </c>
      <c r="K5204">
        <v>1</v>
      </c>
      <c r="L5204">
        <v>2</v>
      </c>
      <c r="M5204">
        <v>159</v>
      </c>
      <c r="N5204">
        <v>176</v>
      </c>
      <c r="O5204">
        <v>2</v>
      </c>
      <c r="P5204">
        <v>176</v>
      </c>
      <c r="Q5204">
        <v>12</v>
      </c>
      <c r="R5204">
        <v>18</v>
      </c>
      <c r="S5204">
        <v>2</v>
      </c>
      <c r="T5204">
        <v>2</v>
      </c>
      <c r="U5204">
        <v>9</v>
      </c>
      <c r="V5204">
        <v>2</v>
      </c>
      <c r="W5204">
        <v>36</v>
      </c>
      <c r="X5204">
        <v>5</v>
      </c>
      <c r="Y5204">
        <v>54</v>
      </c>
      <c r="Z5204">
        <v>4</v>
      </c>
      <c r="AB5204">
        <v>0</v>
      </c>
      <c r="AC5204">
        <v>0</v>
      </c>
      <c r="AD5204">
        <v>0</v>
      </c>
      <c r="AE5204">
        <v>0</v>
      </c>
      <c r="AF5204">
        <v>0</v>
      </c>
      <c r="AK5204">
        <v>2</v>
      </c>
      <c r="AL5204">
        <v>1</v>
      </c>
      <c r="AM5204">
        <v>0</v>
      </c>
      <c r="AN5204">
        <v>1</v>
      </c>
      <c r="AQ5204">
        <v>0</v>
      </c>
      <c r="AT5204">
        <v>0</v>
      </c>
      <c r="AU5204">
        <v>28</v>
      </c>
      <c r="AV5204">
        <v>176</v>
      </c>
      <c r="AW5204">
        <v>176</v>
      </c>
      <c r="AX5204">
        <v>313</v>
      </c>
      <c r="BA5204">
        <v>1</v>
      </c>
      <c r="BC5204" t="s">
        <v>10520</v>
      </c>
      <c r="BD5204" s="4">
        <v>43283.245833333334</v>
      </c>
      <c r="BE5204" s="4">
        <v>43283.269594907404</v>
      </c>
      <c r="BF5204" s="4">
        <v>43283.269594907404</v>
      </c>
      <c r="BG5204" t="s">
        <v>83</v>
      </c>
      <c r="BH5204" t="s">
        <v>84</v>
      </c>
      <c r="BI5204" t="s">
        <v>85</v>
      </c>
    </row>
    <row r="5205" spans="1:61" x14ac:dyDescent="0.3">
      <c r="A5205" t="str">
        <f>"201770E0200"</f>
        <v>201770E0200</v>
      </c>
      <c r="B5205" s="2" t="s">
        <v>10521</v>
      </c>
      <c r="C5205">
        <v>20</v>
      </c>
      <c r="D5205" t="s">
        <v>79</v>
      </c>
      <c r="E5205">
        <v>24</v>
      </c>
      <c r="F5205" t="s">
        <v>10123</v>
      </c>
      <c r="G5205">
        <v>1770</v>
      </c>
      <c r="H5205">
        <v>2</v>
      </c>
      <c r="I5205" t="s">
        <v>145</v>
      </c>
      <c r="J5205">
        <v>0</v>
      </c>
      <c r="K5205">
        <v>1</v>
      </c>
      <c r="L5205">
        <v>2</v>
      </c>
      <c r="M5205">
        <v>123</v>
      </c>
      <c r="N5205">
        <v>218</v>
      </c>
      <c r="O5205">
        <v>0</v>
      </c>
      <c r="P5205" t="s">
        <v>100</v>
      </c>
      <c r="Q5205">
        <v>9</v>
      </c>
      <c r="R5205">
        <v>24</v>
      </c>
      <c r="S5205">
        <v>0</v>
      </c>
      <c r="T5205">
        <v>0</v>
      </c>
      <c r="U5205">
        <v>3</v>
      </c>
      <c r="V5205">
        <v>2</v>
      </c>
      <c r="W5205">
        <v>11</v>
      </c>
      <c r="X5205">
        <v>3</v>
      </c>
      <c r="Y5205">
        <v>20</v>
      </c>
      <c r="Z5205">
        <v>3</v>
      </c>
      <c r="AB5205">
        <v>0</v>
      </c>
      <c r="AC5205">
        <v>0</v>
      </c>
      <c r="AD5205">
        <v>0</v>
      </c>
      <c r="AE5205">
        <v>0</v>
      </c>
      <c r="AF5205">
        <v>0</v>
      </c>
      <c r="AK5205">
        <v>0</v>
      </c>
      <c r="AL5205">
        <v>0</v>
      </c>
      <c r="AM5205">
        <v>0</v>
      </c>
      <c r="AN5205">
        <v>0</v>
      </c>
      <c r="AQ5205">
        <v>0</v>
      </c>
      <c r="AT5205" t="s">
        <v>100</v>
      </c>
      <c r="AU5205">
        <v>13</v>
      </c>
      <c r="AV5205">
        <v>88</v>
      </c>
      <c r="AW5205">
        <v>88</v>
      </c>
      <c r="AX5205">
        <v>196</v>
      </c>
      <c r="AZ5205" t="s">
        <v>101</v>
      </c>
      <c r="BA5205">
        <v>1</v>
      </c>
      <c r="BC5205" t="s">
        <v>10522</v>
      </c>
      <c r="BD5205" s="4">
        <v>43283.245833333334</v>
      </c>
      <c r="BE5205" s="4">
        <v>43283.270995370367</v>
      </c>
      <c r="BF5205" s="4">
        <v>43283.270995370367</v>
      </c>
      <c r="BG5205" t="s">
        <v>83</v>
      </c>
      <c r="BH5205" t="s">
        <v>84</v>
      </c>
      <c r="BI5205" t="s">
        <v>85</v>
      </c>
    </row>
    <row r="5206" spans="1:61" x14ac:dyDescent="0.3">
      <c r="A5206" t="str">
        <f>"201882B0100"</f>
        <v>201882B0100</v>
      </c>
      <c r="B5206" t="s">
        <v>10523</v>
      </c>
      <c r="C5206">
        <v>20</v>
      </c>
      <c r="D5206" t="s">
        <v>79</v>
      </c>
      <c r="E5206">
        <v>24</v>
      </c>
      <c r="F5206" t="s">
        <v>10123</v>
      </c>
      <c r="G5206">
        <v>1882</v>
      </c>
      <c r="H5206">
        <v>1</v>
      </c>
      <c r="I5206" t="s">
        <v>81</v>
      </c>
      <c r="J5206">
        <v>0</v>
      </c>
      <c r="K5206">
        <v>2</v>
      </c>
      <c r="L5206">
        <v>2</v>
      </c>
      <c r="M5206">
        <v>153</v>
      </c>
      <c r="N5206">
        <v>251</v>
      </c>
      <c r="O5206">
        <v>0</v>
      </c>
      <c r="P5206">
        <v>251</v>
      </c>
      <c r="Q5206">
        <v>50</v>
      </c>
      <c r="R5206">
        <v>31</v>
      </c>
      <c r="S5206">
        <v>7</v>
      </c>
      <c r="T5206">
        <v>2</v>
      </c>
      <c r="U5206">
        <v>8</v>
      </c>
      <c r="V5206">
        <v>6</v>
      </c>
      <c r="W5206">
        <v>3</v>
      </c>
      <c r="X5206">
        <v>2</v>
      </c>
      <c r="Y5206">
        <v>118</v>
      </c>
      <c r="Z5206">
        <v>12</v>
      </c>
      <c r="AB5206">
        <v>1</v>
      </c>
      <c r="AC5206" t="s">
        <v>100</v>
      </c>
      <c r="AD5206" t="s">
        <v>100</v>
      </c>
      <c r="AE5206" t="s">
        <v>100</v>
      </c>
      <c r="AF5206" t="s">
        <v>100</v>
      </c>
      <c r="AK5206" t="s">
        <v>100</v>
      </c>
      <c r="AL5206" t="s">
        <v>100</v>
      </c>
      <c r="AM5206" t="s">
        <v>100</v>
      </c>
      <c r="AN5206" t="s">
        <v>100</v>
      </c>
      <c r="AQ5206" t="s">
        <v>100</v>
      </c>
      <c r="AT5206" t="s">
        <v>100</v>
      </c>
      <c r="AU5206">
        <v>11</v>
      </c>
      <c r="AV5206">
        <v>251</v>
      </c>
      <c r="AW5206">
        <v>251</v>
      </c>
      <c r="AX5206">
        <v>382</v>
      </c>
      <c r="AZ5206" t="s">
        <v>101</v>
      </c>
      <c r="BA5206">
        <v>1</v>
      </c>
      <c r="BC5206" t="s">
        <v>10524</v>
      </c>
      <c r="BD5206" s="4">
        <v>43283.267361111109</v>
      </c>
      <c r="BE5206" s="4">
        <v>43283.296736111108</v>
      </c>
      <c r="BF5206" s="4">
        <v>43283.296736111108</v>
      </c>
      <c r="BG5206" t="s">
        <v>83</v>
      </c>
      <c r="BH5206" t="s">
        <v>84</v>
      </c>
      <c r="BI5206" t="s">
        <v>85</v>
      </c>
    </row>
    <row r="5207" spans="1:61" x14ac:dyDescent="0.3">
      <c r="A5207" t="str">
        <f>"201882C0100"</f>
        <v>201882C0100</v>
      </c>
      <c r="B5207" t="s">
        <v>10525</v>
      </c>
      <c r="C5207">
        <v>20</v>
      </c>
      <c r="D5207" t="s">
        <v>79</v>
      </c>
      <c r="E5207">
        <v>24</v>
      </c>
      <c r="F5207" t="s">
        <v>10123</v>
      </c>
      <c r="G5207">
        <v>1882</v>
      </c>
      <c r="H5207">
        <v>1</v>
      </c>
      <c r="I5207" t="s">
        <v>89</v>
      </c>
      <c r="J5207">
        <v>0</v>
      </c>
      <c r="K5207">
        <v>2</v>
      </c>
      <c r="L5207">
        <v>2</v>
      </c>
      <c r="M5207">
        <v>164</v>
      </c>
      <c r="N5207">
        <v>239</v>
      </c>
      <c r="O5207">
        <v>4</v>
      </c>
      <c r="P5207">
        <v>239</v>
      </c>
      <c r="Q5207">
        <v>36</v>
      </c>
      <c r="R5207">
        <v>46</v>
      </c>
      <c r="S5207">
        <v>7</v>
      </c>
      <c r="T5207">
        <v>6</v>
      </c>
      <c r="U5207">
        <v>8</v>
      </c>
      <c r="V5207">
        <v>2</v>
      </c>
      <c r="W5207">
        <v>3</v>
      </c>
      <c r="X5207">
        <v>5</v>
      </c>
      <c r="Y5207">
        <v>96</v>
      </c>
      <c r="Z5207">
        <v>10</v>
      </c>
      <c r="AB5207">
        <v>4</v>
      </c>
      <c r="AC5207">
        <v>0</v>
      </c>
      <c r="AD5207">
        <v>0</v>
      </c>
      <c r="AE5207">
        <v>0</v>
      </c>
      <c r="AF5207">
        <v>0</v>
      </c>
      <c r="AK5207">
        <v>0</v>
      </c>
      <c r="AL5207">
        <v>0</v>
      </c>
      <c r="AM5207">
        <v>0</v>
      </c>
      <c r="AN5207">
        <v>2</v>
      </c>
      <c r="AQ5207">
        <v>0</v>
      </c>
      <c r="AT5207">
        <v>0</v>
      </c>
      <c r="AU5207">
        <v>14</v>
      </c>
      <c r="AV5207">
        <v>239</v>
      </c>
      <c r="AW5207">
        <v>239</v>
      </c>
      <c r="AX5207">
        <v>381</v>
      </c>
      <c r="BA5207">
        <v>1</v>
      </c>
      <c r="BC5207" t="s">
        <v>10526</v>
      </c>
      <c r="BD5207" s="4">
        <v>43283.265277777777</v>
      </c>
      <c r="BE5207" s="4">
        <v>43283.293078703704</v>
      </c>
      <c r="BF5207" s="4">
        <v>43283.293078703704</v>
      </c>
      <c r="BG5207" t="s">
        <v>83</v>
      </c>
      <c r="BH5207" t="s">
        <v>84</v>
      </c>
      <c r="BI5207" t="s">
        <v>85</v>
      </c>
    </row>
    <row r="5208" spans="1:61" x14ac:dyDescent="0.3">
      <c r="A5208" t="str">
        <f>"201883B0100"</f>
        <v>201883B0100</v>
      </c>
      <c r="B5208" t="s">
        <v>10527</v>
      </c>
      <c r="C5208">
        <v>20</v>
      </c>
      <c r="D5208" t="s">
        <v>79</v>
      </c>
      <c r="E5208">
        <v>24</v>
      </c>
      <c r="F5208" t="s">
        <v>10123</v>
      </c>
      <c r="G5208">
        <v>1883</v>
      </c>
      <c r="H5208">
        <v>1</v>
      </c>
      <c r="I5208" t="s">
        <v>81</v>
      </c>
      <c r="J5208">
        <v>0</v>
      </c>
      <c r="K5208">
        <v>2</v>
      </c>
      <c r="L5208">
        <v>2</v>
      </c>
      <c r="M5208">
        <v>129</v>
      </c>
      <c r="N5208">
        <v>128</v>
      </c>
      <c r="O5208">
        <v>1</v>
      </c>
      <c r="P5208">
        <v>128</v>
      </c>
      <c r="Q5208">
        <v>8</v>
      </c>
      <c r="R5208">
        <v>2</v>
      </c>
      <c r="S5208">
        <v>1</v>
      </c>
      <c r="T5208">
        <v>1</v>
      </c>
      <c r="U5208">
        <v>15</v>
      </c>
      <c r="V5208">
        <v>2</v>
      </c>
      <c r="W5208">
        <v>5</v>
      </c>
      <c r="X5208">
        <v>2</v>
      </c>
      <c r="Y5208">
        <v>58</v>
      </c>
      <c r="Z5208">
        <v>24</v>
      </c>
      <c r="AB5208">
        <v>1</v>
      </c>
      <c r="AC5208">
        <v>0</v>
      </c>
      <c r="AD5208">
        <v>0</v>
      </c>
      <c r="AE5208">
        <v>0</v>
      </c>
      <c r="AF5208">
        <v>0</v>
      </c>
      <c r="AK5208">
        <v>3</v>
      </c>
      <c r="AL5208">
        <v>0</v>
      </c>
      <c r="AM5208">
        <v>1</v>
      </c>
      <c r="AN5208">
        <v>0</v>
      </c>
      <c r="AQ5208">
        <v>0</v>
      </c>
      <c r="AT5208">
        <v>0</v>
      </c>
      <c r="AU5208">
        <v>5</v>
      </c>
      <c r="AV5208">
        <v>128</v>
      </c>
      <c r="AW5208">
        <v>128</v>
      </c>
      <c r="AX5208">
        <v>235</v>
      </c>
      <c r="BA5208">
        <v>1</v>
      </c>
      <c r="BC5208" t="s">
        <v>10528</v>
      </c>
      <c r="BD5208" s="4">
        <v>43283.273611111108</v>
      </c>
      <c r="BE5208" s="4">
        <v>43283.31653935185</v>
      </c>
      <c r="BF5208" s="4">
        <v>43283.31653935185</v>
      </c>
      <c r="BG5208" t="s">
        <v>83</v>
      </c>
      <c r="BH5208" t="s">
        <v>84</v>
      </c>
      <c r="BI5208" t="s">
        <v>85</v>
      </c>
    </row>
    <row r="5209" spans="1:61" x14ac:dyDescent="0.3">
      <c r="A5209" t="str">
        <f>"201884B0100"</f>
        <v>201884B0100</v>
      </c>
      <c r="B5209" t="s">
        <v>10529</v>
      </c>
      <c r="C5209">
        <v>20</v>
      </c>
      <c r="D5209" t="s">
        <v>79</v>
      </c>
      <c r="E5209">
        <v>24</v>
      </c>
      <c r="F5209" t="s">
        <v>10123</v>
      </c>
      <c r="G5209">
        <v>1884</v>
      </c>
      <c r="H5209">
        <v>1</v>
      </c>
      <c r="I5209" t="s">
        <v>81</v>
      </c>
      <c r="J5209">
        <v>0</v>
      </c>
      <c r="K5209">
        <v>2</v>
      </c>
      <c r="L5209">
        <v>2</v>
      </c>
      <c r="M5209">
        <v>204</v>
      </c>
      <c r="N5209">
        <v>249</v>
      </c>
      <c r="O5209">
        <v>3</v>
      </c>
      <c r="P5209">
        <v>249</v>
      </c>
      <c r="Q5209">
        <v>24</v>
      </c>
      <c r="R5209">
        <v>22</v>
      </c>
      <c r="S5209">
        <v>8</v>
      </c>
      <c r="T5209">
        <v>6</v>
      </c>
      <c r="U5209">
        <v>35</v>
      </c>
      <c r="V5209">
        <v>4</v>
      </c>
      <c r="W5209">
        <v>17</v>
      </c>
      <c r="X5209">
        <v>6</v>
      </c>
      <c r="Y5209">
        <v>103</v>
      </c>
      <c r="Z5209">
        <v>1</v>
      </c>
      <c r="AB5209">
        <v>0</v>
      </c>
      <c r="AC5209">
        <v>0</v>
      </c>
      <c r="AD5209">
        <v>0</v>
      </c>
      <c r="AE5209">
        <v>0</v>
      </c>
      <c r="AF5209">
        <v>1</v>
      </c>
      <c r="AK5209">
        <v>0</v>
      </c>
      <c r="AL5209">
        <v>1</v>
      </c>
      <c r="AM5209">
        <v>0</v>
      </c>
      <c r="AN5209">
        <v>1</v>
      </c>
      <c r="AQ5209">
        <v>0</v>
      </c>
      <c r="AT5209">
        <v>0</v>
      </c>
      <c r="AU5209">
        <v>14</v>
      </c>
      <c r="AV5209">
        <v>249</v>
      </c>
      <c r="AW5209">
        <v>243</v>
      </c>
      <c r="AX5209">
        <v>431</v>
      </c>
      <c r="BA5209">
        <v>1</v>
      </c>
      <c r="BC5209" t="s">
        <v>10530</v>
      </c>
      <c r="BD5209" s="4">
        <v>43283.263194444444</v>
      </c>
      <c r="BE5209" s="4">
        <v>43283.290266203701</v>
      </c>
      <c r="BF5209" s="4">
        <v>43283.290266203701</v>
      </c>
      <c r="BG5209" t="s">
        <v>83</v>
      </c>
      <c r="BH5209" t="s">
        <v>84</v>
      </c>
      <c r="BI5209" t="s">
        <v>85</v>
      </c>
    </row>
    <row r="5210" spans="1:61" x14ac:dyDescent="0.3">
      <c r="A5210" t="str">
        <f>"201885B0100"</f>
        <v>201885B0100</v>
      </c>
      <c r="B5210" t="s">
        <v>10531</v>
      </c>
      <c r="C5210">
        <v>20</v>
      </c>
      <c r="D5210" t="s">
        <v>79</v>
      </c>
      <c r="E5210">
        <v>24</v>
      </c>
      <c r="F5210" t="s">
        <v>10123</v>
      </c>
      <c r="G5210">
        <v>1885</v>
      </c>
      <c r="H5210">
        <v>1</v>
      </c>
      <c r="I5210" t="s">
        <v>81</v>
      </c>
      <c r="J5210">
        <v>0</v>
      </c>
      <c r="K5210">
        <v>2</v>
      </c>
      <c r="L5210">
        <v>2</v>
      </c>
      <c r="M5210">
        <v>161</v>
      </c>
      <c r="N5210">
        <v>222</v>
      </c>
      <c r="O5210">
        <v>1</v>
      </c>
      <c r="P5210">
        <v>222</v>
      </c>
      <c r="Q5210">
        <v>16</v>
      </c>
      <c r="R5210">
        <v>14</v>
      </c>
      <c r="S5210">
        <v>1</v>
      </c>
      <c r="T5210">
        <v>2</v>
      </c>
      <c r="U5210">
        <v>23</v>
      </c>
      <c r="V5210">
        <v>4</v>
      </c>
      <c r="W5210">
        <v>4</v>
      </c>
      <c r="X5210">
        <v>5</v>
      </c>
      <c r="Y5210">
        <v>118</v>
      </c>
      <c r="Z5210">
        <v>16</v>
      </c>
      <c r="AB5210">
        <v>0</v>
      </c>
      <c r="AC5210">
        <v>0</v>
      </c>
      <c r="AD5210">
        <v>1</v>
      </c>
      <c r="AE5210">
        <v>0</v>
      </c>
      <c r="AF5210">
        <v>0</v>
      </c>
      <c r="AK5210">
        <v>11</v>
      </c>
      <c r="AL5210">
        <v>1</v>
      </c>
      <c r="AM5210">
        <v>0</v>
      </c>
      <c r="AN5210">
        <v>3</v>
      </c>
      <c r="AQ5210">
        <v>0</v>
      </c>
      <c r="AT5210" t="s">
        <v>100</v>
      </c>
      <c r="AU5210">
        <v>6</v>
      </c>
      <c r="AV5210">
        <v>222</v>
      </c>
      <c r="AW5210">
        <v>225</v>
      </c>
      <c r="AX5210">
        <v>357</v>
      </c>
      <c r="AZ5210" t="s">
        <v>101</v>
      </c>
      <c r="BA5210">
        <v>1</v>
      </c>
      <c r="BC5210" s="2" t="s">
        <v>10532</v>
      </c>
      <c r="BD5210" s="4">
        <v>43283.270138888889</v>
      </c>
      <c r="BE5210" s="4">
        <v>43283.315381944441</v>
      </c>
      <c r="BF5210" s="4">
        <v>43283.315381944441</v>
      </c>
      <c r="BG5210" t="s">
        <v>83</v>
      </c>
      <c r="BH5210" t="s">
        <v>84</v>
      </c>
      <c r="BI5210" t="s">
        <v>85</v>
      </c>
    </row>
    <row r="5211" spans="1:61" x14ac:dyDescent="0.3">
      <c r="A5211" t="str">
        <f>"201886B0100"</f>
        <v>201886B0100</v>
      </c>
      <c r="B5211" t="s">
        <v>10533</v>
      </c>
      <c r="C5211">
        <v>20</v>
      </c>
      <c r="D5211" t="s">
        <v>79</v>
      </c>
      <c r="E5211">
        <v>24</v>
      </c>
      <c r="F5211" t="s">
        <v>10123</v>
      </c>
      <c r="G5211">
        <v>1886</v>
      </c>
      <c r="H5211">
        <v>1</v>
      </c>
      <c r="I5211" t="s">
        <v>81</v>
      </c>
      <c r="J5211">
        <v>0</v>
      </c>
      <c r="K5211">
        <v>2</v>
      </c>
      <c r="L5211">
        <v>2</v>
      </c>
      <c r="M5211">
        <v>376</v>
      </c>
      <c r="N5211">
        <v>297</v>
      </c>
      <c r="O5211">
        <v>2</v>
      </c>
      <c r="P5211">
        <v>297</v>
      </c>
      <c r="Q5211">
        <v>21</v>
      </c>
      <c r="R5211">
        <v>8</v>
      </c>
      <c r="S5211">
        <v>3</v>
      </c>
      <c r="T5211">
        <v>3</v>
      </c>
      <c r="U5211">
        <v>22</v>
      </c>
      <c r="V5211">
        <v>4</v>
      </c>
      <c r="W5211">
        <v>0</v>
      </c>
      <c r="X5211">
        <v>9</v>
      </c>
      <c r="Y5211">
        <v>147</v>
      </c>
      <c r="Z5211">
        <v>34</v>
      </c>
      <c r="AB5211">
        <v>1</v>
      </c>
      <c r="AC5211">
        <v>0</v>
      </c>
      <c r="AD5211">
        <v>1</v>
      </c>
      <c r="AE5211">
        <v>0</v>
      </c>
      <c r="AF5211">
        <v>1</v>
      </c>
      <c r="AK5211">
        <v>10</v>
      </c>
      <c r="AL5211">
        <v>3</v>
      </c>
      <c r="AM5211">
        <v>3</v>
      </c>
      <c r="AN5211">
        <v>9</v>
      </c>
      <c r="AQ5211">
        <v>0</v>
      </c>
      <c r="AT5211">
        <v>0</v>
      </c>
      <c r="AU5211">
        <v>18</v>
      </c>
      <c r="AV5211">
        <v>297</v>
      </c>
      <c r="AW5211">
        <v>297</v>
      </c>
      <c r="AX5211">
        <v>651</v>
      </c>
      <c r="BA5211">
        <v>1</v>
      </c>
      <c r="BC5211" t="s">
        <v>10534</v>
      </c>
      <c r="BD5211" s="4">
        <v>43283.271527777775</v>
      </c>
      <c r="BE5211" s="4">
        <v>43283.298981481479</v>
      </c>
      <c r="BF5211" s="4">
        <v>43283.298981481479</v>
      </c>
      <c r="BG5211" t="s">
        <v>83</v>
      </c>
      <c r="BH5211" t="s">
        <v>84</v>
      </c>
      <c r="BI5211" t="s">
        <v>85</v>
      </c>
    </row>
    <row r="5212" spans="1:61" x14ac:dyDescent="0.3">
      <c r="A5212" t="str">
        <f>"202144B0100"</f>
        <v>202144B0100</v>
      </c>
      <c r="B5212" t="s">
        <v>10535</v>
      </c>
      <c r="C5212">
        <v>20</v>
      </c>
      <c r="D5212" t="s">
        <v>79</v>
      </c>
      <c r="E5212">
        <v>24</v>
      </c>
      <c r="F5212" t="s">
        <v>10123</v>
      </c>
      <c r="G5212">
        <v>2144</v>
      </c>
      <c r="H5212">
        <v>1</v>
      </c>
      <c r="I5212" t="s">
        <v>81</v>
      </c>
      <c r="J5212">
        <v>0</v>
      </c>
      <c r="K5212">
        <v>2</v>
      </c>
      <c r="L5212">
        <v>2</v>
      </c>
      <c r="M5212">
        <v>339</v>
      </c>
      <c r="N5212">
        <v>753</v>
      </c>
      <c r="O5212">
        <v>0</v>
      </c>
      <c r="P5212">
        <v>414</v>
      </c>
      <c r="Q5212">
        <v>110</v>
      </c>
      <c r="R5212">
        <v>39</v>
      </c>
      <c r="S5212">
        <v>12</v>
      </c>
      <c r="T5212">
        <v>10</v>
      </c>
      <c r="U5212">
        <v>15</v>
      </c>
      <c r="V5212">
        <v>4</v>
      </c>
      <c r="W5212">
        <v>39</v>
      </c>
      <c r="X5212">
        <v>2</v>
      </c>
      <c r="Y5212">
        <v>126</v>
      </c>
      <c r="Z5212">
        <v>4</v>
      </c>
      <c r="AB5212">
        <v>0</v>
      </c>
      <c r="AC5212">
        <v>0</v>
      </c>
      <c r="AD5212">
        <v>2</v>
      </c>
      <c r="AE5212">
        <v>0</v>
      </c>
      <c r="AF5212">
        <v>0</v>
      </c>
      <c r="AK5212">
        <v>6</v>
      </c>
      <c r="AL5212">
        <v>1</v>
      </c>
      <c r="AM5212" t="s">
        <v>100</v>
      </c>
      <c r="AN5212">
        <v>1</v>
      </c>
      <c r="AQ5212">
        <v>0</v>
      </c>
      <c r="AT5212">
        <v>0</v>
      </c>
      <c r="AU5212">
        <v>43</v>
      </c>
      <c r="AV5212">
        <v>414</v>
      </c>
      <c r="AW5212">
        <v>414</v>
      </c>
      <c r="AX5212">
        <v>731</v>
      </c>
      <c r="AZ5212" t="s">
        <v>101</v>
      </c>
      <c r="BA5212">
        <v>1</v>
      </c>
      <c r="BC5212" t="s">
        <v>10536</v>
      </c>
      <c r="BD5212" s="4">
        <v>43283.423611111109</v>
      </c>
      <c r="BE5212" s="4">
        <v>43283.427905092591</v>
      </c>
      <c r="BF5212" s="4">
        <v>43283.427905092591</v>
      </c>
      <c r="BG5212" t="s">
        <v>83</v>
      </c>
      <c r="BH5212" t="s">
        <v>84</v>
      </c>
      <c r="BI5212" t="s">
        <v>85</v>
      </c>
    </row>
    <row r="5213" spans="1:61" x14ac:dyDescent="0.3">
      <c r="A5213" t="str">
        <f>"202145B0100"</f>
        <v>202145B0100</v>
      </c>
      <c r="B5213" t="s">
        <v>10537</v>
      </c>
      <c r="C5213">
        <v>20</v>
      </c>
      <c r="D5213" t="s">
        <v>79</v>
      </c>
      <c r="E5213">
        <v>24</v>
      </c>
      <c r="F5213" t="s">
        <v>10123</v>
      </c>
      <c r="G5213">
        <v>2145</v>
      </c>
      <c r="H5213">
        <v>1</v>
      </c>
      <c r="I5213" t="s">
        <v>81</v>
      </c>
      <c r="J5213">
        <v>0</v>
      </c>
      <c r="K5213">
        <v>2</v>
      </c>
      <c r="L5213">
        <v>2</v>
      </c>
      <c r="M5213">
        <v>122</v>
      </c>
      <c r="N5213">
        <v>163</v>
      </c>
      <c r="O5213">
        <v>0</v>
      </c>
      <c r="P5213">
        <v>163</v>
      </c>
      <c r="Q5213">
        <v>7</v>
      </c>
      <c r="R5213">
        <v>35</v>
      </c>
      <c r="S5213">
        <v>1</v>
      </c>
      <c r="T5213">
        <v>50</v>
      </c>
      <c r="U5213">
        <v>7</v>
      </c>
      <c r="V5213">
        <v>4</v>
      </c>
      <c r="W5213">
        <v>4</v>
      </c>
      <c r="X5213">
        <v>8</v>
      </c>
      <c r="Y5213">
        <v>31</v>
      </c>
      <c r="Z5213">
        <v>0</v>
      </c>
      <c r="AB5213">
        <v>0</v>
      </c>
      <c r="AC5213">
        <v>0</v>
      </c>
      <c r="AD5213">
        <v>0</v>
      </c>
      <c r="AE5213">
        <v>0</v>
      </c>
      <c r="AF5213">
        <v>1</v>
      </c>
      <c r="AK5213">
        <v>1</v>
      </c>
      <c r="AL5213">
        <v>0</v>
      </c>
      <c r="AM5213">
        <v>0</v>
      </c>
      <c r="AN5213">
        <v>1</v>
      </c>
      <c r="AQ5213">
        <v>0</v>
      </c>
      <c r="AT5213">
        <v>0</v>
      </c>
      <c r="AU5213">
        <v>13</v>
      </c>
      <c r="AV5213">
        <v>163</v>
      </c>
      <c r="AW5213">
        <v>163</v>
      </c>
      <c r="AX5213">
        <v>263</v>
      </c>
      <c r="BA5213">
        <v>1</v>
      </c>
      <c r="BC5213" t="s">
        <v>10538</v>
      </c>
      <c r="BD5213" s="4">
        <v>43283.363194444442</v>
      </c>
      <c r="BE5213" s="4">
        <v>43283.372812499998</v>
      </c>
      <c r="BF5213" s="4">
        <v>43283.372812499998</v>
      </c>
      <c r="BG5213" t="s">
        <v>83</v>
      </c>
      <c r="BH5213" t="s">
        <v>84</v>
      </c>
      <c r="BI5213" t="s">
        <v>85</v>
      </c>
    </row>
    <row r="5214" spans="1:61" x14ac:dyDescent="0.3">
      <c r="A5214" t="str">
        <f>"202146B0100"</f>
        <v>202146B0100</v>
      </c>
      <c r="B5214" t="s">
        <v>10539</v>
      </c>
      <c r="C5214">
        <v>20</v>
      </c>
      <c r="D5214" t="s">
        <v>79</v>
      </c>
      <c r="E5214">
        <v>24</v>
      </c>
      <c r="F5214" t="s">
        <v>10123</v>
      </c>
      <c r="G5214">
        <v>2146</v>
      </c>
      <c r="H5214">
        <v>1</v>
      </c>
      <c r="I5214" t="s">
        <v>81</v>
      </c>
      <c r="J5214">
        <v>0</v>
      </c>
      <c r="K5214">
        <v>2</v>
      </c>
      <c r="L5214">
        <v>2</v>
      </c>
      <c r="M5214">
        <v>252</v>
      </c>
      <c r="N5214">
        <v>222</v>
      </c>
      <c r="O5214">
        <v>0</v>
      </c>
      <c r="P5214">
        <v>222</v>
      </c>
      <c r="Q5214">
        <v>76</v>
      </c>
      <c r="R5214">
        <v>31</v>
      </c>
      <c r="S5214">
        <v>5</v>
      </c>
      <c r="T5214">
        <v>3</v>
      </c>
      <c r="U5214">
        <v>8</v>
      </c>
      <c r="V5214">
        <v>6</v>
      </c>
      <c r="W5214">
        <v>0</v>
      </c>
      <c r="X5214">
        <v>3</v>
      </c>
      <c r="Y5214">
        <v>70</v>
      </c>
      <c r="Z5214">
        <v>4</v>
      </c>
      <c r="AB5214">
        <v>1</v>
      </c>
      <c r="AC5214">
        <v>0</v>
      </c>
      <c r="AD5214">
        <v>1</v>
      </c>
      <c r="AE5214">
        <v>1</v>
      </c>
      <c r="AF5214">
        <v>0</v>
      </c>
      <c r="AK5214">
        <v>1</v>
      </c>
      <c r="AL5214">
        <v>0</v>
      </c>
      <c r="AM5214">
        <v>0</v>
      </c>
      <c r="AN5214">
        <v>2</v>
      </c>
      <c r="AQ5214">
        <v>0</v>
      </c>
      <c r="AT5214">
        <v>0</v>
      </c>
      <c r="AU5214">
        <v>10</v>
      </c>
      <c r="AV5214">
        <v>222</v>
      </c>
      <c r="AW5214">
        <v>222</v>
      </c>
      <c r="AX5214">
        <v>452</v>
      </c>
      <c r="BA5214">
        <v>1</v>
      </c>
      <c r="BC5214" t="s">
        <v>10540</v>
      </c>
      <c r="BD5214" s="4">
        <v>43283.424305555556</v>
      </c>
      <c r="BE5214" s="4">
        <v>43283.428749999999</v>
      </c>
      <c r="BF5214" s="4">
        <v>43283.428749999999</v>
      </c>
      <c r="BG5214" t="s">
        <v>83</v>
      </c>
      <c r="BH5214" t="s">
        <v>84</v>
      </c>
      <c r="BI5214" t="s">
        <v>85</v>
      </c>
    </row>
    <row r="5215" spans="1:61" x14ac:dyDescent="0.3">
      <c r="A5215" t="str">
        <f>"202147B0100"</f>
        <v>202147B0100</v>
      </c>
      <c r="B5215" t="s">
        <v>10541</v>
      </c>
      <c r="C5215">
        <v>20</v>
      </c>
      <c r="D5215" t="s">
        <v>79</v>
      </c>
      <c r="E5215">
        <v>24</v>
      </c>
      <c r="F5215" t="s">
        <v>10123</v>
      </c>
      <c r="G5215">
        <v>2147</v>
      </c>
      <c r="H5215">
        <v>1</v>
      </c>
      <c r="I5215" t="s">
        <v>81</v>
      </c>
      <c r="J5215">
        <v>0</v>
      </c>
      <c r="K5215">
        <v>2</v>
      </c>
      <c r="L5215">
        <v>2</v>
      </c>
      <c r="M5215">
        <v>315</v>
      </c>
      <c r="N5215">
        <v>214</v>
      </c>
      <c r="O5215">
        <v>0</v>
      </c>
      <c r="P5215">
        <v>189</v>
      </c>
      <c r="Q5215">
        <v>11</v>
      </c>
      <c r="R5215">
        <v>14</v>
      </c>
      <c r="S5215">
        <v>6</v>
      </c>
      <c r="T5215">
        <v>4</v>
      </c>
      <c r="U5215">
        <v>23</v>
      </c>
      <c r="V5215">
        <v>10</v>
      </c>
      <c r="W5215">
        <v>6</v>
      </c>
      <c r="X5215">
        <v>10</v>
      </c>
      <c r="Y5215">
        <v>97</v>
      </c>
      <c r="Z5215">
        <v>5</v>
      </c>
      <c r="AB5215">
        <v>0</v>
      </c>
      <c r="AC5215">
        <v>0</v>
      </c>
      <c r="AD5215" t="s">
        <v>100</v>
      </c>
      <c r="AE5215" t="s">
        <v>100</v>
      </c>
      <c r="AF5215" t="s">
        <v>100</v>
      </c>
      <c r="AK5215" t="s">
        <v>100</v>
      </c>
      <c r="AL5215">
        <v>3</v>
      </c>
      <c r="AM5215" t="s">
        <v>100</v>
      </c>
      <c r="AN5215" t="s">
        <v>100</v>
      </c>
      <c r="AQ5215" t="s">
        <v>100</v>
      </c>
      <c r="AT5215" t="s">
        <v>100</v>
      </c>
      <c r="AU5215">
        <v>25</v>
      </c>
      <c r="AV5215">
        <v>214</v>
      </c>
      <c r="AW5215">
        <v>214</v>
      </c>
      <c r="AX5215">
        <v>507</v>
      </c>
      <c r="AZ5215" t="s">
        <v>101</v>
      </c>
      <c r="BA5215">
        <v>1</v>
      </c>
      <c r="BC5215" t="s">
        <v>10542</v>
      </c>
      <c r="BD5215" s="4">
        <v>43283.350694444445</v>
      </c>
      <c r="BE5215" s="4">
        <v>43283.364942129629</v>
      </c>
      <c r="BF5215" s="4">
        <v>43283.364942129629</v>
      </c>
      <c r="BG5215" t="s">
        <v>83</v>
      </c>
      <c r="BH5215" t="s">
        <v>84</v>
      </c>
      <c r="BI5215" t="s">
        <v>85</v>
      </c>
    </row>
    <row r="5216" spans="1:61" x14ac:dyDescent="0.3">
      <c r="A5216" t="str">
        <f>"202189B0100"</f>
        <v>202189B0100</v>
      </c>
      <c r="B5216" t="s">
        <v>10543</v>
      </c>
      <c r="C5216">
        <v>20</v>
      </c>
      <c r="D5216" t="s">
        <v>79</v>
      </c>
      <c r="E5216">
        <v>24</v>
      </c>
      <c r="F5216" t="s">
        <v>10123</v>
      </c>
      <c r="G5216">
        <v>2189</v>
      </c>
      <c r="H5216">
        <v>1</v>
      </c>
      <c r="I5216" t="s">
        <v>81</v>
      </c>
      <c r="J5216">
        <v>0</v>
      </c>
      <c r="K5216">
        <v>2</v>
      </c>
      <c r="L5216">
        <v>2</v>
      </c>
      <c r="M5216">
        <v>287</v>
      </c>
      <c r="N5216">
        <v>411</v>
      </c>
      <c r="O5216">
        <v>0</v>
      </c>
      <c r="P5216">
        <v>411</v>
      </c>
      <c r="Q5216">
        <v>44</v>
      </c>
      <c r="R5216">
        <v>91</v>
      </c>
      <c r="S5216">
        <v>10</v>
      </c>
      <c r="T5216">
        <v>5</v>
      </c>
      <c r="U5216">
        <v>26</v>
      </c>
      <c r="V5216">
        <v>8</v>
      </c>
      <c r="W5216">
        <v>4</v>
      </c>
      <c r="X5216">
        <v>14</v>
      </c>
      <c r="Y5216">
        <v>167</v>
      </c>
      <c r="Z5216">
        <v>16</v>
      </c>
      <c r="AB5216">
        <v>0</v>
      </c>
      <c r="AC5216">
        <v>1</v>
      </c>
      <c r="AD5216">
        <v>0</v>
      </c>
      <c r="AE5216">
        <v>0</v>
      </c>
      <c r="AF5216">
        <v>0</v>
      </c>
      <c r="AK5216">
        <v>3</v>
      </c>
      <c r="AL5216">
        <v>3</v>
      </c>
      <c r="AM5216">
        <v>1</v>
      </c>
      <c r="AN5216">
        <v>1</v>
      </c>
      <c r="AQ5216">
        <v>2</v>
      </c>
      <c r="AT5216">
        <v>0</v>
      </c>
      <c r="AU5216">
        <v>15</v>
      </c>
      <c r="AV5216">
        <v>411</v>
      </c>
      <c r="AW5216">
        <v>411</v>
      </c>
      <c r="AX5216">
        <v>676</v>
      </c>
      <c r="BA5216">
        <v>1</v>
      </c>
      <c r="BC5216" t="s">
        <v>10544</v>
      </c>
      <c r="BD5216" s="4">
        <v>43283.270138888889</v>
      </c>
      <c r="BE5216" s="4">
        <v>43283.29996527778</v>
      </c>
      <c r="BF5216" s="4">
        <v>43283.29996527778</v>
      </c>
      <c r="BG5216" t="s">
        <v>83</v>
      </c>
      <c r="BH5216" t="s">
        <v>84</v>
      </c>
      <c r="BI5216" t="s">
        <v>85</v>
      </c>
    </row>
    <row r="5217" spans="1:61" x14ac:dyDescent="0.3">
      <c r="A5217" t="str">
        <f>"202264B0100"</f>
        <v>202264B0100</v>
      </c>
      <c r="B5217" t="s">
        <v>10545</v>
      </c>
      <c r="C5217">
        <v>20</v>
      </c>
      <c r="D5217" t="s">
        <v>79</v>
      </c>
      <c r="E5217">
        <v>24</v>
      </c>
      <c r="F5217" t="s">
        <v>10123</v>
      </c>
      <c r="G5217">
        <v>2264</v>
      </c>
      <c r="H5217">
        <v>1</v>
      </c>
      <c r="I5217" t="s">
        <v>81</v>
      </c>
      <c r="J5217">
        <v>0</v>
      </c>
      <c r="K5217">
        <v>2</v>
      </c>
      <c r="L5217">
        <v>2</v>
      </c>
      <c r="M5217">
        <v>296</v>
      </c>
      <c r="N5217">
        <v>276</v>
      </c>
      <c r="O5217">
        <v>0</v>
      </c>
      <c r="P5217">
        <v>278</v>
      </c>
      <c r="Q5217">
        <v>16</v>
      </c>
      <c r="R5217">
        <v>27</v>
      </c>
      <c r="S5217">
        <v>4</v>
      </c>
      <c r="T5217">
        <v>6</v>
      </c>
      <c r="U5217">
        <v>17</v>
      </c>
      <c r="V5217">
        <v>1</v>
      </c>
      <c r="W5217">
        <v>24</v>
      </c>
      <c r="X5217">
        <v>6</v>
      </c>
      <c r="Y5217">
        <v>123</v>
      </c>
      <c r="Z5217">
        <v>17</v>
      </c>
      <c r="AB5217">
        <v>2</v>
      </c>
      <c r="AC5217">
        <v>0</v>
      </c>
      <c r="AD5217">
        <v>0</v>
      </c>
      <c r="AE5217">
        <v>0</v>
      </c>
      <c r="AF5217">
        <v>0</v>
      </c>
      <c r="AK5217">
        <v>6</v>
      </c>
      <c r="AL5217">
        <v>0</v>
      </c>
      <c r="AM5217">
        <v>0</v>
      </c>
      <c r="AN5217">
        <v>2</v>
      </c>
      <c r="AQ5217">
        <v>0</v>
      </c>
      <c r="AT5217">
        <v>0</v>
      </c>
      <c r="AU5217">
        <v>27</v>
      </c>
      <c r="AV5217">
        <v>278</v>
      </c>
      <c r="AW5217">
        <v>278</v>
      </c>
      <c r="AX5217">
        <v>550</v>
      </c>
      <c r="BA5217">
        <v>1</v>
      </c>
      <c r="BC5217" t="s">
        <v>10546</v>
      </c>
      <c r="BD5217" s="4">
        <v>43283.14166666667</v>
      </c>
      <c r="BE5217" s="4">
        <v>43283.145486111112</v>
      </c>
      <c r="BF5217" s="4">
        <v>43283.145486111112</v>
      </c>
      <c r="BG5217" t="s">
        <v>83</v>
      </c>
      <c r="BH5217" t="s">
        <v>84</v>
      </c>
      <c r="BI5217" t="s">
        <v>85</v>
      </c>
    </row>
    <row r="5218" spans="1:61" x14ac:dyDescent="0.3">
      <c r="A5218" t="str">
        <f>"202264C0100"</f>
        <v>202264C0100</v>
      </c>
      <c r="B5218" t="s">
        <v>10547</v>
      </c>
      <c r="C5218">
        <v>20</v>
      </c>
      <c r="D5218" t="s">
        <v>79</v>
      </c>
      <c r="E5218">
        <v>24</v>
      </c>
      <c r="F5218" t="s">
        <v>10123</v>
      </c>
      <c r="G5218">
        <v>2264</v>
      </c>
      <c r="H5218">
        <v>1</v>
      </c>
      <c r="I5218" t="s">
        <v>89</v>
      </c>
      <c r="J5218">
        <v>0</v>
      </c>
      <c r="K5218">
        <v>2</v>
      </c>
      <c r="L5218">
        <v>2</v>
      </c>
      <c r="M5218">
        <v>260</v>
      </c>
      <c r="N5218">
        <v>311</v>
      </c>
      <c r="O5218">
        <v>0</v>
      </c>
      <c r="P5218">
        <v>311</v>
      </c>
      <c r="Q5218">
        <v>16</v>
      </c>
      <c r="R5218">
        <v>37</v>
      </c>
      <c r="S5218">
        <v>4</v>
      </c>
      <c r="T5218">
        <v>16</v>
      </c>
      <c r="U5218">
        <v>18</v>
      </c>
      <c r="V5218">
        <v>5</v>
      </c>
      <c r="W5218">
        <v>21</v>
      </c>
      <c r="X5218">
        <v>7</v>
      </c>
      <c r="Y5218">
        <v>136</v>
      </c>
      <c r="Z5218">
        <v>18</v>
      </c>
      <c r="AB5218">
        <v>0</v>
      </c>
      <c r="AC5218">
        <v>1</v>
      </c>
      <c r="AD5218">
        <v>0</v>
      </c>
      <c r="AE5218">
        <v>0</v>
      </c>
      <c r="AF5218">
        <v>0</v>
      </c>
      <c r="AK5218">
        <v>5</v>
      </c>
      <c r="AL5218">
        <v>0</v>
      </c>
      <c r="AM5218">
        <v>4</v>
      </c>
      <c r="AN5218">
        <v>0</v>
      </c>
      <c r="AQ5218">
        <v>0</v>
      </c>
      <c r="AT5218">
        <v>2</v>
      </c>
      <c r="AU5218">
        <v>17</v>
      </c>
      <c r="AV5218">
        <v>311</v>
      </c>
      <c r="AW5218">
        <v>307</v>
      </c>
      <c r="AX5218">
        <v>549</v>
      </c>
      <c r="BA5218">
        <v>1</v>
      </c>
      <c r="BC5218" t="s">
        <v>10548</v>
      </c>
      <c r="BD5218" s="4">
        <v>43283.143055555556</v>
      </c>
      <c r="BE5218" s="4">
        <v>43283.147962962961</v>
      </c>
      <c r="BF5218" s="4">
        <v>43283.147962962961</v>
      </c>
      <c r="BG5218" t="s">
        <v>83</v>
      </c>
      <c r="BH5218" t="s">
        <v>84</v>
      </c>
      <c r="BI5218" t="s">
        <v>85</v>
      </c>
    </row>
    <row r="5219" spans="1:61" x14ac:dyDescent="0.3">
      <c r="A5219" t="str">
        <f>"202264C0200"</f>
        <v>202264C0200</v>
      </c>
      <c r="B5219" t="s">
        <v>10549</v>
      </c>
      <c r="C5219">
        <v>20</v>
      </c>
      <c r="D5219" t="s">
        <v>79</v>
      </c>
      <c r="E5219">
        <v>24</v>
      </c>
      <c r="F5219" t="s">
        <v>10123</v>
      </c>
      <c r="G5219">
        <v>2264</v>
      </c>
      <c r="H5219">
        <v>2</v>
      </c>
      <c r="I5219" t="s">
        <v>89</v>
      </c>
      <c r="J5219">
        <v>0</v>
      </c>
      <c r="K5219">
        <v>2</v>
      </c>
      <c r="L5219">
        <v>2</v>
      </c>
      <c r="M5219">
        <v>285</v>
      </c>
      <c r="N5219">
        <v>286</v>
      </c>
      <c r="O5219">
        <v>0</v>
      </c>
      <c r="P5219">
        <v>284</v>
      </c>
      <c r="Q5219">
        <v>23</v>
      </c>
      <c r="R5219">
        <v>24</v>
      </c>
      <c r="S5219">
        <v>4</v>
      </c>
      <c r="T5219">
        <v>9</v>
      </c>
      <c r="U5219">
        <v>20</v>
      </c>
      <c r="V5219">
        <v>5</v>
      </c>
      <c r="W5219">
        <v>19</v>
      </c>
      <c r="X5219">
        <v>2</v>
      </c>
      <c r="Y5219">
        <v>139</v>
      </c>
      <c r="Z5219">
        <v>14</v>
      </c>
      <c r="AB5219">
        <v>4</v>
      </c>
      <c r="AC5219">
        <v>0</v>
      </c>
      <c r="AD5219">
        <v>0</v>
      </c>
      <c r="AE5219">
        <v>0</v>
      </c>
      <c r="AF5219">
        <v>0</v>
      </c>
      <c r="AK5219">
        <v>1</v>
      </c>
      <c r="AL5219">
        <v>1</v>
      </c>
      <c r="AM5219">
        <v>0</v>
      </c>
      <c r="AN5219">
        <v>2</v>
      </c>
      <c r="AQ5219">
        <v>0</v>
      </c>
      <c r="AT5219">
        <v>0</v>
      </c>
      <c r="AU5219">
        <v>17</v>
      </c>
      <c r="AV5219">
        <v>284</v>
      </c>
      <c r="AW5219">
        <v>284</v>
      </c>
      <c r="AX5219">
        <v>549</v>
      </c>
      <c r="BA5219">
        <v>1</v>
      </c>
      <c r="BC5219" t="s">
        <v>10550</v>
      </c>
      <c r="BD5219" s="4">
        <v>43283.146527777775</v>
      </c>
      <c r="BE5219" s="4">
        <v>43283.154328703706</v>
      </c>
      <c r="BF5219" s="4">
        <v>43283.154328703706</v>
      </c>
      <c r="BG5219" t="s">
        <v>83</v>
      </c>
      <c r="BH5219" t="s">
        <v>84</v>
      </c>
      <c r="BI5219" t="s">
        <v>85</v>
      </c>
    </row>
    <row r="5220" spans="1:61" x14ac:dyDescent="0.3">
      <c r="A5220" t="str">
        <f>"202290B0100"</f>
        <v>202290B0100</v>
      </c>
      <c r="B5220" t="s">
        <v>10551</v>
      </c>
      <c r="C5220">
        <v>20</v>
      </c>
      <c r="D5220" t="s">
        <v>79</v>
      </c>
      <c r="E5220">
        <v>24</v>
      </c>
      <c r="F5220" t="s">
        <v>10123</v>
      </c>
      <c r="G5220">
        <v>2290</v>
      </c>
      <c r="H5220">
        <v>1</v>
      </c>
      <c r="I5220" t="s">
        <v>81</v>
      </c>
      <c r="J5220">
        <v>0</v>
      </c>
      <c r="K5220">
        <v>2</v>
      </c>
      <c r="L5220">
        <v>2</v>
      </c>
      <c r="M5220">
        <v>207</v>
      </c>
      <c r="N5220">
        <v>0</v>
      </c>
      <c r="O5220">
        <v>0</v>
      </c>
      <c r="P5220">
        <v>330</v>
      </c>
      <c r="Q5220">
        <v>88</v>
      </c>
      <c r="R5220">
        <v>33</v>
      </c>
      <c r="S5220">
        <v>5</v>
      </c>
      <c r="T5220">
        <v>3</v>
      </c>
      <c r="U5220">
        <v>10</v>
      </c>
      <c r="V5220">
        <v>3</v>
      </c>
      <c r="W5220">
        <v>3</v>
      </c>
      <c r="X5220">
        <v>7</v>
      </c>
      <c r="Y5220">
        <v>131</v>
      </c>
      <c r="Z5220">
        <v>11</v>
      </c>
      <c r="AB5220">
        <v>8</v>
      </c>
      <c r="AC5220">
        <v>7</v>
      </c>
      <c r="AD5220" t="s">
        <v>100</v>
      </c>
      <c r="AE5220" t="s">
        <v>100</v>
      </c>
      <c r="AF5220" t="s">
        <v>100</v>
      </c>
      <c r="AK5220">
        <v>6</v>
      </c>
      <c r="AL5220" t="s">
        <v>100</v>
      </c>
      <c r="AM5220" t="s">
        <v>100</v>
      </c>
      <c r="AN5220" t="s">
        <v>100</v>
      </c>
      <c r="AQ5220" t="s">
        <v>100</v>
      </c>
      <c r="AT5220" t="s">
        <v>100</v>
      </c>
      <c r="AU5220">
        <v>15</v>
      </c>
      <c r="AV5220" t="s">
        <v>100</v>
      </c>
      <c r="AW5220">
        <v>330</v>
      </c>
      <c r="AX5220">
        <v>515</v>
      </c>
      <c r="AZ5220" t="s">
        <v>101</v>
      </c>
      <c r="BA5220">
        <v>1</v>
      </c>
      <c r="BC5220" t="s">
        <v>10552</v>
      </c>
      <c r="BD5220" s="4">
        <v>43283.04791666667</v>
      </c>
      <c r="BE5220" s="4">
        <v>43283.054456018515</v>
      </c>
      <c r="BF5220" s="4">
        <v>43283.054456018515</v>
      </c>
      <c r="BG5220" t="s">
        <v>83</v>
      </c>
      <c r="BH5220" t="s">
        <v>84</v>
      </c>
      <c r="BI5220" t="s">
        <v>85</v>
      </c>
    </row>
    <row r="5221" spans="1:61" x14ac:dyDescent="0.3">
      <c r="A5221" t="str">
        <f>"202450B0100"</f>
        <v>202450B0100</v>
      </c>
      <c r="B5221" t="s">
        <v>10553</v>
      </c>
      <c r="C5221">
        <v>20</v>
      </c>
      <c r="D5221" t="s">
        <v>79</v>
      </c>
      <c r="E5221">
        <v>24</v>
      </c>
      <c r="F5221" t="s">
        <v>10123</v>
      </c>
      <c r="G5221">
        <v>2450</v>
      </c>
      <c r="H5221">
        <v>1</v>
      </c>
      <c r="I5221" t="s">
        <v>81</v>
      </c>
      <c r="J5221">
        <v>0</v>
      </c>
      <c r="K5221">
        <v>2</v>
      </c>
      <c r="L5221">
        <v>2</v>
      </c>
      <c r="M5221">
        <v>307</v>
      </c>
      <c r="N5221">
        <v>453</v>
      </c>
      <c r="O5221">
        <v>1</v>
      </c>
      <c r="P5221">
        <v>453</v>
      </c>
      <c r="Q5221">
        <v>17</v>
      </c>
      <c r="R5221">
        <v>50</v>
      </c>
      <c r="S5221">
        <v>12</v>
      </c>
      <c r="T5221">
        <v>10</v>
      </c>
      <c r="U5221">
        <v>32</v>
      </c>
      <c r="V5221">
        <v>7</v>
      </c>
      <c r="W5221">
        <v>3</v>
      </c>
      <c r="X5221">
        <v>5</v>
      </c>
      <c r="Y5221">
        <v>269</v>
      </c>
      <c r="Z5221">
        <v>11</v>
      </c>
      <c r="AB5221">
        <v>2</v>
      </c>
      <c r="AC5221">
        <v>1</v>
      </c>
      <c r="AD5221">
        <v>0</v>
      </c>
      <c r="AE5221">
        <v>0</v>
      </c>
      <c r="AF5221">
        <v>0</v>
      </c>
      <c r="AK5221">
        <v>6</v>
      </c>
      <c r="AL5221">
        <v>2</v>
      </c>
      <c r="AM5221">
        <v>0</v>
      </c>
      <c r="AN5221">
        <v>2</v>
      </c>
      <c r="AQ5221">
        <v>4</v>
      </c>
      <c r="AT5221">
        <v>0</v>
      </c>
      <c r="AU5221">
        <v>20</v>
      </c>
      <c r="AV5221">
        <v>453</v>
      </c>
      <c r="AW5221">
        <v>453</v>
      </c>
      <c r="AX5221">
        <v>738</v>
      </c>
      <c r="BA5221">
        <v>1</v>
      </c>
      <c r="BC5221" t="s">
        <v>10554</v>
      </c>
      <c r="BD5221" s="4">
        <v>43283.34652777778</v>
      </c>
      <c r="BE5221" s="4">
        <v>43283.360694444447</v>
      </c>
      <c r="BF5221" s="4">
        <v>43283.360694444447</v>
      </c>
      <c r="BG5221" t="s">
        <v>83</v>
      </c>
      <c r="BH5221" t="s">
        <v>84</v>
      </c>
      <c r="BI5221" t="s">
        <v>85</v>
      </c>
    </row>
    <row r="5222" spans="1:61" x14ac:dyDescent="0.3">
      <c r="A5222" t="str">
        <f>"202450C0100"</f>
        <v>202450C0100</v>
      </c>
      <c r="B5222" t="s">
        <v>10555</v>
      </c>
      <c r="C5222">
        <v>20</v>
      </c>
      <c r="D5222" t="s">
        <v>79</v>
      </c>
      <c r="E5222">
        <v>24</v>
      </c>
      <c r="F5222" t="s">
        <v>10123</v>
      </c>
      <c r="G5222">
        <v>2450</v>
      </c>
      <c r="H5222">
        <v>1</v>
      </c>
      <c r="I5222" t="s">
        <v>89</v>
      </c>
      <c r="J5222">
        <v>0</v>
      </c>
      <c r="K5222">
        <v>2</v>
      </c>
      <c r="L5222">
        <v>2</v>
      </c>
      <c r="M5222">
        <v>348</v>
      </c>
      <c r="N5222">
        <v>411</v>
      </c>
      <c r="O5222">
        <v>0</v>
      </c>
      <c r="P5222">
        <v>411</v>
      </c>
      <c r="Q5222">
        <v>14</v>
      </c>
      <c r="R5222">
        <v>45</v>
      </c>
      <c r="S5222">
        <v>9</v>
      </c>
      <c r="T5222">
        <v>8</v>
      </c>
      <c r="U5222">
        <v>27</v>
      </c>
      <c r="V5222">
        <v>9</v>
      </c>
      <c r="W5222">
        <v>0</v>
      </c>
      <c r="X5222">
        <v>6</v>
      </c>
      <c r="Y5222">
        <v>258</v>
      </c>
      <c r="Z5222">
        <v>8</v>
      </c>
      <c r="AB5222">
        <v>1</v>
      </c>
      <c r="AC5222">
        <v>0</v>
      </c>
      <c r="AD5222">
        <v>0</v>
      </c>
      <c r="AE5222">
        <v>0</v>
      </c>
      <c r="AF5222">
        <v>0</v>
      </c>
      <c r="AK5222">
        <v>9</v>
      </c>
      <c r="AL5222">
        <v>1</v>
      </c>
      <c r="AM5222">
        <v>1</v>
      </c>
      <c r="AN5222">
        <v>2</v>
      </c>
      <c r="AQ5222">
        <v>0</v>
      </c>
      <c r="AT5222">
        <v>0</v>
      </c>
      <c r="AU5222">
        <v>13</v>
      </c>
      <c r="AV5222">
        <v>411</v>
      </c>
      <c r="AW5222">
        <v>411</v>
      </c>
      <c r="AX5222">
        <v>737</v>
      </c>
      <c r="BA5222">
        <v>1</v>
      </c>
      <c r="BC5222" t="s">
        <v>10556</v>
      </c>
      <c r="BD5222" s="4">
        <v>43283.395138888889</v>
      </c>
      <c r="BE5222" s="4">
        <v>43283.399988425925</v>
      </c>
      <c r="BF5222" s="4">
        <v>43283.399988425925</v>
      </c>
      <c r="BG5222" t="s">
        <v>83</v>
      </c>
      <c r="BH5222" t="s">
        <v>84</v>
      </c>
      <c r="BI5222" t="s">
        <v>85</v>
      </c>
    </row>
    <row r="5223" spans="1:61" x14ac:dyDescent="0.3">
      <c r="A5223" t="str">
        <f>"200638B0100"</f>
        <v>200638B0100</v>
      </c>
      <c r="B5223" t="s">
        <v>10557</v>
      </c>
      <c r="C5223">
        <v>20</v>
      </c>
      <c r="D5223" t="s">
        <v>79</v>
      </c>
      <c r="E5223">
        <v>25</v>
      </c>
      <c r="F5223" t="s">
        <v>10558</v>
      </c>
      <c r="G5223">
        <v>638</v>
      </c>
      <c r="H5223">
        <v>1</v>
      </c>
      <c r="I5223" t="s">
        <v>81</v>
      </c>
      <c r="J5223">
        <v>0</v>
      </c>
      <c r="K5223">
        <v>2</v>
      </c>
      <c r="L5223">
        <v>2</v>
      </c>
      <c r="M5223">
        <v>219</v>
      </c>
      <c r="N5223">
        <v>511</v>
      </c>
      <c r="O5223">
        <v>0</v>
      </c>
      <c r="P5223">
        <v>510</v>
      </c>
      <c r="Q5223">
        <v>47</v>
      </c>
      <c r="R5223">
        <v>84</v>
      </c>
      <c r="S5223">
        <v>21</v>
      </c>
      <c r="T5223">
        <v>3</v>
      </c>
      <c r="U5223">
        <v>24</v>
      </c>
      <c r="V5223">
        <v>24</v>
      </c>
      <c r="W5223">
        <v>1</v>
      </c>
      <c r="X5223">
        <v>8</v>
      </c>
      <c r="Y5223">
        <v>223</v>
      </c>
      <c r="Z5223">
        <v>19</v>
      </c>
      <c r="AA5223">
        <v>1</v>
      </c>
      <c r="AB5223">
        <v>7</v>
      </c>
      <c r="AC5223">
        <v>2</v>
      </c>
      <c r="AD5223">
        <v>1</v>
      </c>
      <c r="AE5223">
        <v>0</v>
      </c>
      <c r="AF5223">
        <v>0</v>
      </c>
      <c r="AG5223">
        <v>1</v>
      </c>
      <c r="AH5223">
        <v>2</v>
      </c>
      <c r="AI5223">
        <v>0</v>
      </c>
      <c r="AJ5223">
        <v>0</v>
      </c>
      <c r="AK5223">
        <v>8</v>
      </c>
      <c r="AL5223">
        <v>1</v>
      </c>
      <c r="AM5223">
        <v>0</v>
      </c>
      <c r="AN5223">
        <v>0</v>
      </c>
      <c r="AT5223">
        <v>0</v>
      </c>
      <c r="AU5223">
        <v>32</v>
      </c>
      <c r="AV5223">
        <v>510</v>
      </c>
      <c r="AW5223">
        <v>509</v>
      </c>
      <c r="AX5223">
        <v>708</v>
      </c>
      <c r="BA5223">
        <v>1</v>
      </c>
      <c r="BC5223" t="s">
        <v>10559</v>
      </c>
      <c r="BD5223" s="4">
        <v>43283.18472222222</v>
      </c>
      <c r="BE5223" s="4">
        <v>43283.204432870371</v>
      </c>
      <c r="BF5223" s="4">
        <v>43283.204432870371</v>
      </c>
      <c r="BG5223" t="s">
        <v>83</v>
      </c>
      <c r="BH5223" t="s">
        <v>84</v>
      </c>
      <c r="BI5223" t="s">
        <v>85</v>
      </c>
    </row>
    <row r="5224" spans="1:61" x14ac:dyDescent="0.3">
      <c r="A5224" t="str">
        <f>"200638C0100"</f>
        <v>200638C0100</v>
      </c>
      <c r="B5224" t="s">
        <v>10560</v>
      </c>
      <c r="C5224">
        <v>20</v>
      </c>
      <c r="D5224" t="s">
        <v>79</v>
      </c>
      <c r="E5224">
        <v>25</v>
      </c>
      <c r="F5224" t="s">
        <v>10558</v>
      </c>
      <c r="G5224">
        <v>638</v>
      </c>
      <c r="H5224">
        <v>1</v>
      </c>
      <c r="I5224" t="s">
        <v>89</v>
      </c>
      <c r="J5224">
        <v>0</v>
      </c>
      <c r="K5224">
        <v>2</v>
      </c>
      <c r="L5224">
        <v>2</v>
      </c>
      <c r="M5224">
        <v>211</v>
      </c>
      <c r="N5224">
        <v>464</v>
      </c>
      <c r="O5224">
        <v>0</v>
      </c>
      <c r="P5224">
        <v>0</v>
      </c>
      <c r="Q5224">
        <v>49</v>
      </c>
      <c r="R5224">
        <v>82</v>
      </c>
      <c r="S5224">
        <v>16</v>
      </c>
      <c r="T5224">
        <v>7</v>
      </c>
      <c r="U5224">
        <v>38</v>
      </c>
      <c r="V5224">
        <v>9</v>
      </c>
      <c r="W5224">
        <v>1</v>
      </c>
      <c r="X5224">
        <v>6</v>
      </c>
      <c r="Y5224">
        <v>185</v>
      </c>
      <c r="Z5224">
        <v>14</v>
      </c>
      <c r="AA5224">
        <v>1</v>
      </c>
      <c r="AB5224">
        <v>7</v>
      </c>
      <c r="AC5224">
        <v>1</v>
      </c>
      <c r="AD5224">
        <v>1</v>
      </c>
      <c r="AE5224">
        <v>0</v>
      </c>
      <c r="AF5224">
        <v>1</v>
      </c>
      <c r="AG5224">
        <v>4</v>
      </c>
      <c r="AH5224">
        <v>0</v>
      </c>
      <c r="AI5224">
        <v>1</v>
      </c>
      <c r="AJ5224">
        <v>0</v>
      </c>
      <c r="AK5224">
        <v>8</v>
      </c>
      <c r="AL5224">
        <v>1</v>
      </c>
      <c r="AM5224">
        <v>1</v>
      </c>
      <c r="AN5224">
        <v>1</v>
      </c>
      <c r="AT5224">
        <v>0</v>
      </c>
      <c r="AU5224">
        <v>29</v>
      </c>
      <c r="AV5224" t="s">
        <v>315</v>
      </c>
      <c r="AW5224">
        <v>463</v>
      </c>
      <c r="AX5224">
        <v>653</v>
      </c>
      <c r="BA5224">
        <v>1</v>
      </c>
      <c r="BC5224" t="s">
        <v>10561</v>
      </c>
      <c r="BD5224" s="4">
        <v>43283.181944444441</v>
      </c>
      <c r="BE5224" s="4">
        <v>43283.203553240739</v>
      </c>
      <c r="BF5224" s="4">
        <v>43283.203553240739</v>
      </c>
      <c r="BG5224" t="s">
        <v>83</v>
      </c>
      <c r="BH5224" t="s">
        <v>84</v>
      </c>
      <c r="BI5224" t="s">
        <v>85</v>
      </c>
    </row>
    <row r="5225" spans="1:61" x14ac:dyDescent="0.3">
      <c r="A5225" t="str">
        <f>"200640B0100"</f>
        <v>200640B0100</v>
      </c>
      <c r="B5225" t="s">
        <v>10562</v>
      </c>
      <c r="C5225">
        <v>20</v>
      </c>
      <c r="D5225" t="s">
        <v>79</v>
      </c>
      <c r="E5225">
        <v>25</v>
      </c>
      <c r="F5225" t="s">
        <v>10558</v>
      </c>
      <c r="G5225">
        <v>640</v>
      </c>
      <c r="H5225">
        <v>1</v>
      </c>
      <c r="I5225" t="s">
        <v>81</v>
      </c>
      <c r="J5225">
        <v>0</v>
      </c>
      <c r="K5225">
        <v>2</v>
      </c>
      <c r="L5225">
        <v>2</v>
      </c>
      <c r="M5225" t="s">
        <v>100</v>
      </c>
      <c r="N5225">
        <v>136</v>
      </c>
      <c r="O5225">
        <v>5</v>
      </c>
      <c r="P5225">
        <v>134</v>
      </c>
      <c r="Q5225">
        <v>19</v>
      </c>
      <c r="R5225">
        <v>24</v>
      </c>
      <c r="S5225">
        <v>2</v>
      </c>
      <c r="T5225">
        <v>5</v>
      </c>
      <c r="U5225">
        <v>9</v>
      </c>
      <c r="V5225">
        <v>0</v>
      </c>
      <c r="W5225">
        <v>2</v>
      </c>
      <c r="X5225">
        <v>1</v>
      </c>
      <c r="Y5225">
        <v>41</v>
      </c>
      <c r="Z5225">
        <v>15</v>
      </c>
      <c r="AA5225">
        <v>0</v>
      </c>
      <c r="AB5225">
        <v>1</v>
      </c>
      <c r="AC5225">
        <v>1</v>
      </c>
      <c r="AD5225">
        <v>0</v>
      </c>
      <c r="AE5225">
        <v>0</v>
      </c>
      <c r="AF5225">
        <v>0</v>
      </c>
      <c r="AG5225">
        <v>0</v>
      </c>
      <c r="AH5225">
        <v>1</v>
      </c>
      <c r="AI5225">
        <v>1</v>
      </c>
      <c r="AJ5225">
        <v>0</v>
      </c>
      <c r="AK5225">
        <v>3</v>
      </c>
      <c r="AL5225">
        <v>0</v>
      </c>
      <c r="AM5225">
        <v>0</v>
      </c>
      <c r="AN5225">
        <v>2</v>
      </c>
      <c r="AT5225">
        <v>0</v>
      </c>
      <c r="AU5225">
        <v>7</v>
      </c>
      <c r="AV5225">
        <v>134</v>
      </c>
      <c r="AW5225">
        <v>134</v>
      </c>
      <c r="AX5225">
        <v>261</v>
      </c>
      <c r="BA5225">
        <v>1</v>
      </c>
      <c r="BC5225" t="s">
        <v>10563</v>
      </c>
      <c r="BD5225" s="4">
        <v>43283.400694444441</v>
      </c>
      <c r="BE5225" s="4">
        <v>43283.429490740738</v>
      </c>
      <c r="BF5225" s="4">
        <v>43283.429490740738</v>
      </c>
      <c r="BG5225" t="s">
        <v>83</v>
      </c>
      <c r="BH5225" t="s">
        <v>84</v>
      </c>
      <c r="BI5225" t="s">
        <v>85</v>
      </c>
    </row>
    <row r="5226" spans="1:61" x14ac:dyDescent="0.3">
      <c r="A5226" t="str">
        <f>"200641B0100"</f>
        <v>200641B0100</v>
      </c>
      <c r="B5226" t="s">
        <v>10564</v>
      </c>
      <c r="C5226">
        <v>20</v>
      </c>
      <c r="D5226" t="s">
        <v>79</v>
      </c>
      <c r="E5226">
        <v>25</v>
      </c>
      <c r="F5226" t="s">
        <v>10558</v>
      </c>
      <c r="G5226">
        <v>641</v>
      </c>
      <c r="H5226">
        <v>1</v>
      </c>
      <c r="I5226" t="s">
        <v>81</v>
      </c>
      <c r="J5226">
        <v>0</v>
      </c>
      <c r="K5226">
        <v>2</v>
      </c>
      <c r="L5226">
        <v>2</v>
      </c>
      <c r="M5226">
        <v>70</v>
      </c>
      <c r="N5226">
        <v>146</v>
      </c>
      <c r="O5226">
        <v>5</v>
      </c>
      <c r="P5226">
        <v>146</v>
      </c>
      <c r="Q5226">
        <v>24</v>
      </c>
      <c r="R5226">
        <v>16</v>
      </c>
      <c r="S5226">
        <v>6</v>
      </c>
      <c r="T5226">
        <v>1</v>
      </c>
      <c r="U5226">
        <v>8</v>
      </c>
      <c r="V5226">
        <v>3</v>
      </c>
      <c r="W5226">
        <v>1</v>
      </c>
      <c r="X5226">
        <v>1</v>
      </c>
      <c r="Y5226">
        <v>52</v>
      </c>
      <c r="Z5226">
        <v>6</v>
      </c>
      <c r="AA5226">
        <v>1</v>
      </c>
      <c r="AB5226">
        <v>2</v>
      </c>
      <c r="AC5226">
        <v>1</v>
      </c>
      <c r="AD5226">
        <v>1</v>
      </c>
      <c r="AE5226">
        <v>0</v>
      </c>
      <c r="AF5226">
        <v>0</v>
      </c>
      <c r="AG5226">
        <v>0</v>
      </c>
      <c r="AH5226">
        <v>0</v>
      </c>
      <c r="AI5226">
        <v>0</v>
      </c>
      <c r="AJ5226">
        <v>0</v>
      </c>
      <c r="AK5226">
        <v>5</v>
      </c>
      <c r="AL5226">
        <v>1</v>
      </c>
      <c r="AM5226">
        <v>1</v>
      </c>
      <c r="AN5226">
        <v>2</v>
      </c>
      <c r="AT5226">
        <v>0</v>
      </c>
      <c r="AU5226">
        <v>14</v>
      </c>
      <c r="AV5226">
        <v>146</v>
      </c>
      <c r="AW5226">
        <v>146</v>
      </c>
      <c r="AX5226">
        <v>195</v>
      </c>
      <c r="BA5226">
        <v>1</v>
      </c>
      <c r="BC5226" t="s">
        <v>10565</v>
      </c>
      <c r="BD5226" s="4">
        <v>43283.4</v>
      </c>
      <c r="BE5226" s="4">
        <v>43283.428726851853</v>
      </c>
      <c r="BF5226" s="4">
        <v>43283.428726851853</v>
      </c>
      <c r="BG5226" t="s">
        <v>83</v>
      </c>
      <c r="BH5226" t="s">
        <v>84</v>
      </c>
      <c r="BI5226" t="s">
        <v>85</v>
      </c>
    </row>
    <row r="5227" spans="1:61" x14ac:dyDescent="0.3">
      <c r="A5227" t="str">
        <f>"200642B0100"</f>
        <v>200642B0100</v>
      </c>
      <c r="B5227" t="s">
        <v>10566</v>
      </c>
      <c r="C5227">
        <v>20</v>
      </c>
      <c r="D5227" t="s">
        <v>79</v>
      </c>
      <c r="E5227">
        <v>25</v>
      </c>
      <c r="F5227" t="s">
        <v>10558</v>
      </c>
      <c r="G5227">
        <v>642</v>
      </c>
      <c r="H5227">
        <v>1</v>
      </c>
      <c r="I5227" t="s">
        <v>81</v>
      </c>
      <c r="J5227">
        <v>0</v>
      </c>
      <c r="K5227">
        <v>2</v>
      </c>
      <c r="L5227">
        <v>2</v>
      </c>
      <c r="M5227">
        <v>183</v>
      </c>
      <c r="N5227">
        <v>366</v>
      </c>
      <c r="O5227">
        <v>3</v>
      </c>
      <c r="P5227">
        <v>366</v>
      </c>
      <c r="Q5227">
        <v>24</v>
      </c>
      <c r="R5227">
        <v>84</v>
      </c>
      <c r="S5227">
        <v>13</v>
      </c>
      <c r="T5227">
        <v>10</v>
      </c>
      <c r="U5227">
        <v>21</v>
      </c>
      <c r="V5227">
        <v>5</v>
      </c>
      <c r="W5227">
        <v>1</v>
      </c>
      <c r="X5227">
        <v>5</v>
      </c>
      <c r="Y5227">
        <v>164</v>
      </c>
      <c r="Z5227">
        <v>15</v>
      </c>
      <c r="AA5227">
        <v>1</v>
      </c>
      <c r="AB5227">
        <v>1</v>
      </c>
      <c r="AC5227">
        <v>1</v>
      </c>
      <c r="AD5227">
        <v>0</v>
      </c>
      <c r="AE5227">
        <v>0</v>
      </c>
      <c r="AF5227">
        <v>1</v>
      </c>
      <c r="AG5227">
        <v>3</v>
      </c>
      <c r="AH5227">
        <v>3</v>
      </c>
      <c r="AI5227">
        <v>0</v>
      </c>
      <c r="AJ5227">
        <v>0</v>
      </c>
      <c r="AK5227">
        <v>1</v>
      </c>
      <c r="AL5227">
        <v>2</v>
      </c>
      <c r="AM5227">
        <v>0</v>
      </c>
      <c r="AN5227">
        <v>2</v>
      </c>
      <c r="AT5227">
        <v>0</v>
      </c>
      <c r="AU5227">
        <v>9</v>
      </c>
      <c r="AV5227">
        <v>366</v>
      </c>
      <c r="AW5227">
        <v>366</v>
      </c>
      <c r="AX5227">
        <v>527</v>
      </c>
      <c r="BA5227">
        <v>1</v>
      </c>
      <c r="BC5227" t="s">
        <v>10567</v>
      </c>
      <c r="BD5227" s="4">
        <v>43283.402083333334</v>
      </c>
      <c r="BE5227" s="4">
        <v>43283.427708333336</v>
      </c>
      <c r="BF5227" s="4">
        <v>43283.427708333336</v>
      </c>
      <c r="BG5227" t="s">
        <v>83</v>
      </c>
      <c r="BH5227" t="s">
        <v>84</v>
      </c>
      <c r="BI5227" t="s">
        <v>85</v>
      </c>
    </row>
    <row r="5228" spans="1:61" x14ac:dyDescent="0.3">
      <c r="A5228" t="str">
        <f>"200807B0100"</f>
        <v>200807B0100</v>
      </c>
      <c r="B5228" t="s">
        <v>10568</v>
      </c>
      <c r="C5228">
        <v>20</v>
      </c>
      <c r="D5228" t="s">
        <v>79</v>
      </c>
      <c r="E5228">
        <v>25</v>
      </c>
      <c r="F5228" t="s">
        <v>10558</v>
      </c>
      <c r="G5228">
        <v>807</v>
      </c>
      <c r="H5228">
        <v>1</v>
      </c>
      <c r="I5228" t="s">
        <v>81</v>
      </c>
      <c r="J5228">
        <v>0</v>
      </c>
      <c r="K5228">
        <v>2</v>
      </c>
      <c r="L5228">
        <v>2</v>
      </c>
      <c r="AX5228">
        <v>376</v>
      </c>
      <c r="AZ5228" t="s">
        <v>932</v>
      </c>
      <c r="BA5228">
        <v>0</v>
      </c>
      <c r="BC5228" t="s">
        <v>10569</v>
      </c>
      <c r="BD5228" s="4">
        <v>43283.615972222222</v>
      </c>
      <c r="BE5228" s="4">
        <v>43283.620682870373</v>
      </c>
      <c r="BF5228" s="4">
        <v>43283.620682870373</v>
      </c>
      <c r="BG5228" t="s">
        <v>83</v>
      </c>
      <c r="BH5228" t="s">
        <v>84</v>
      </c>
      <c r="BI5228" t="s">
        <v>85</v>
      </c>
    </row>
    <row r="5229" spans="1:61" x14ac:dyDescent="0.3">
      <c r="A5229" t="str">
        <f>"200807E0100"</f>
        <v>200807E0100</v>
      </c>
      <c r="B5229" s="2" t="s">
        <v>10570</v>
      </c>
      <c r="C5229">
        <v>20</v>
      </c>
      <c r="D5229" t="s">
        <v>79</v>
      </c>
      <c r="E5229">
        <v>25</v>
      </c>
      <c r="F5229" t="s">
        <v>10558</v>
      </c>
      <c r="G5229">
        <v>807</v>
      </c>
      <c r="H5229">
        <v>1</v>
      </c>
      <c r="I5229" t="s">
        <v>145</v>
      </c>
      <c r="J5229">
        <v>0</v>
      </c>
      <c r="K5229">
        <v>2</v>
      </c>
      <c r="L5229">
        <v>2</v>
      </c>
      <c r="M5229">
        <v>167</v>
      </c>
      <c r="N5229" t="s">
        <v>315</v>
      </c>
      <c r="O5229">
        <v>1</v>
      </c>
      <c r="P5229">
        <v>216</v>
      </c>
      <c r="Q5229">
        <v>5</v>
      </c>
      <c r="R5229">
        <v>19</v>
      </c>
      <c r="S5229">
        <v>6</v>
      </c>
      <c r="T5229">
        <v>1</v>
      </c>
      <c r="U5229">
        <v>21</v>
      </c>
      <c r="V5229">
        <v>3</v>
      </c>
      <c r="W5229">
        <v>1</v>
      </c>
      <c r="X5229">
        <v>6</v>
      </c>
      <c r="Y5229">
        <v>109</v>
      </c>
      <c r="Z5229">
        <v>20</v>
      </c>
      <c r="AA5229">
        <v>2</v>
      </c>
      <c r="AB5229">
        <v>1</v>
      </c>
      <c r="AC5229">
        <v>0</v>
      </c>
      <c r="AD5229">
        <v>1</v>
      </c>
      <c r="AE5229">
        <v>0</v>
      </c>
      <c r="AF5229">
        <v>0</v>
      </c>
      <c r="AG5229">
        <v>0</v>
      </c>
      <c r="AH5229">
        <v>1</v>
      </c>
      <c r="AI5229">
        <v>0</v>
      </c>
      <c r="AJ5229">
        <v>0</v>
      </c>
      <c r="AK5229">
        <v>6</v>
      </c>
      <c r="AL5229">
        <v>1</v>
      </c>
      <c r="AM5229">
        <v>0</v>
      </c>
      <c r="AN5229">
        <v>0</v>
      </c>
      <c r="AT5229">
        <v>0</v>
      </c>
      <c r="AU5229">
        <v>13</v>
      </c>
      <c r="AV5229">
        <v>216</v>
      </c>
      <c r="AW5229">
        <v>216</v>
      </c>
      <c r="AX5229">
        <v>362</v>
      </c>
      <c r="BA5229">
        <v>1</v>
      </c>
      <c r="BC5229" t="s">
        <v>10571</v>
      </c>
      <c r="BD5229" s="4">
        <v>43283.344444444447</v>
      </c>
      <c r="BE5229" s="4">
        <v>43283.393240740741</v>
      </c>
      <c r="BF5229" s="4">
        <v>43283.393240740741</v>
      </c>
      <c r="BG5229" t="s">
        <v>83</v>
      </c>
      <c r="BH5229" t="s">
        <v>84</v>
      </c>
      <c r="BI5229" t="s">
        <v>85</v>
      </c>
    </row>
    <row r="5230" spans="1:61" x14ac:dyDescent="0.3">
      <c r="A5230" t="str">
        <f>"200808B0100"</f>
        <v>200808B0100</v>
      </c>
      <c r="B5230" t="s">
        <v>10572</v>
      </c>
      <c r="C5230">
        <v>20</v>
      </c>
      <c r="D5230" t="s">
        <v>79</v>
      </c>
      <c r="E5230">
        <v>25</v>
      </c>
      <c r="F5230" t="s">
        <v>10558</v>
      </c>
      <c r="G5230">
        <v>808</v>
      </c>
      <c r="H5230">
        <v>1</v>
      </c>
      <c r="I5230" t="s">
        <v>81</v>
      </c>
      <c r="J5230">
        <v>0</v>
      </c>
      <c r="K5230">
        <v>2</v>
      </c>
      <c r="L5230">
        <v>2</v>
      </c>
      <c r="AX5230">
        <v>408</v>
      </c>
      <c r="AZ5230" t="s">
        <v>932</v>
      </c>
      <c r="BA5230">
        <v>0</v>
      </c>
      <c r="BC5230" t="s">
        <v>10573</v>
      </c>
      <c r="BD5230" s="4">
        <v>43283.616666666669</v>
      </c>
      <c r="BE5230" s="4">
        <v>43283.621377314812</v>
      </c>
      <c r="BF5230" s="4">
        <v>43283.621377314812</v>
      </c>
      <c r="BG5230" t="s">
        <v>83</v>
      </c>
      <c r="BH5230" t="s">
        <v>84</v>
      </c>
      <c r="BI5230" t="s">
        <v>85</v>
      </c>
    </row>
    <row r="5231" spans="1:61" x14ac:dyDescent="0.3">
      <c r="A5231" t="str">
        <f>"200808C0100"</f>
        <v>200808C0100</v>
      </c>
      <c r="B5231" t="s">
        <v>10574</v>
      </c>
      <c r="C5231">
        <v>20</v>
      </c>
      <c r="D5231" t="s">
        <v>79</v>
      </c>
      <c r="E5231">
        <v>25</v>
      </c>
      <c r="F5231" t="s">
        <v>10558</v>
      </c>
      <c r="G5231">
        <v>808</v>
      </c>
      <c r="H5231">
        <v>1</v>
      </c>
      <c r="I5231" t="s">
        <v>89</v>
      </c>
      <c r="J5231">
        <v>0</v>
      </c>
      <c r="K5231">
        <v>2</v>
      </c>
      <c r="L5231">
        <v>2</v>
      </c>
      <c r="AX5231">
        <v>408</v>
      </c>
      <c r="AZ5231" t="s">
        <v>932</v>
      </c>
      <c r="BA5231">
        <v>0</v>
      </c>
      <c r="BC5231" t="s">
        <v>10575</v>
      </c>
      <c r="BD5231" s="4">
        <v>43283.647222222222</v>
      </c>
      <c r="BE5231" s="4">
        <v>43283.65179398148</v>
      </c>
      <c r="BF5231" s="4">
        <v>43283.65179398148</v>
      </c>
      <c r="BG5231" t="s">
        <v>83</v>
      </c>
      <c r="BH5231" t="s">
        <v>84</v>
      </c>
      <c r="BI5231" t="s">
        <v>85</v>
      </c>
    </row>
    <row r="5232" spans="1:61" x14ac:dyDescent="0.3">
      <c r="A5232" t="str">
        <f>"201306B0100"</f>
        <v>201306B0100</v>
      </c>
      <c r="B5232" t="s">
        <v>10576</v>
      </c>
      <c r="C5232">
        <v>20</v>
      </c>
      <c r="D5232" t="s">
        <v>79</v>
      </c>
      <c r="E5232">
        <v>25</v>
      </c>
      <c r="F5232" t="s">
        <v>10558</v>
      </c>
      <c r="G5232">
        <v>1306</v>
      </c>
      <c r="H5232">
        <v>1</v>
      </c>
      <c r="I5232" t="s">
        <v>81</v>
      </c>
      <c r="J5232">
        <v>0</v>
      </c>
      <c r="K5232">
        <v>2</v>
      </c>
      <c r="L5232">
        <v>2</v>
      </c>
      <c r="M5232">
        <v>317</v>
      </c>
      <c r="N5232">
        <v>445</v>
      </c>
      <c r="O5232">
        <v>0</v>
      </c>
      <c r="P5232">
        <v>445</v>
      </c>
      <c r="Q5232">
        <v>27</v>
      </c>
      <c r="R5232">
        <v>60</v>
      </c>
      <c r="S5232">
        <v>8</v>
      </c>
      <c r="T5232">
        <v>8</v>
      </c>
      <c r="U5232">
        <v>24</v>
      </c>
      <c r="V5232">
        <v>2</v>
      </c>
      <c r="W5232">
        <v>1</v>
      </c>
      <c r="X5232">
        <v>6</v>
      </c>
      <c r="Y5232">
        <v>251</v>
      </c>
      <c r="Z5232">
        <v>13</v>
      </c>
      <c r="AA5232">
        <v>2</v>
      </c>
      <c r="AB5232">
        <v>2</v>
      </c>
      <c r="AC5232">
        <v>0</v>
      </c>
      <c r="AD5232">
        <v>1</v>
      </c>
      <c r="AE5232">
        <v>0</v>
      </c>
      <c r="AF5232">
        <v>0</v>
      </c>
      <c r="AG5232">
        <v>1</v>
      </c>
      <c r="AH5232">
        <v>3</v>
      </c>
      <c r="AI5232">
        <v>0</v>
      </c>
      <c r="AJ5232">
        <v>0</v>
      </c>
      <c r="AK5232">
        <v>10</v>
      </c>
      <c r="AL5232">
        <v>2</v>
      </c>
      <c r="AM5232">
        <v>0</v>
      </c>
      <c r="AN5232">
        <v>0</v>
      </c>
      <c r="AT5232">
        <v>0</v>
      </c>
      <c r="AU5232">
        <v>24</v>
      </c>
      <c r="AV5232">
        <v>445</v>
      </c>
      <c r="AW5232">
        <v>445</v>
      </c>
      <c r="AX5232">
        <v>740</v>
      </c>
      <c r="BA5232">
        <v>1</v>
      </c>
      <c r="BC5232" t="s">
        <v>10577</v>
      </c>
      <c r="BD5232" s="4">
        <v>43283.408333333333</v>
      </c>
      <c r="BE5232" s="4">
        <v>43283.428819444445</v>
      </c>
      <c r="BF5232" s="4">
        <v>43283.428819444445</v>
      </c>
      <c r="BG5232" t="s">
        <v>83</v>
      </c>
      <c r="BH5232" t="s">
        <v>84</v>
      </c>
      <c r="BI5232" t="s">
        <v>85</v>
      </c>
    </row>
    <row r="5233" spans="1:61" x14ac:dyDescent="0.3">
      <c r="A5233" t="str">
        <f>"201307B0100"</f>
        <v>201307B0100</v>
      </c>
      <c r="B5233" t="s">
        <v>10578</v>
      </c>
      <c r="C5233">
        <v>20</v>
      </c>
      <c r="D5233" t="s">
        <v>79</v>
      </c>
      <c r="E5233">
        <v>25</v>
      </c>
      <c r="F5233" t="s">
        <v>10558</v>
      </c>
      <c r="G5233">
        <v>1307</v>
      </c>
      <c r="H5233">
        <v>1</v>
      </c>
      <c r="I5233" t="s">
        <v>81</v>
      </c>
      <c r="J5233">
        <v>0</v>
      </c>
      <c r="K5233">
        <v>2</v>
      </c>
      <c r="L5233">
        <v>2</v>
      </c>
      <c r="M5233">
        <v>156</v>
      </c>
      <c r="N5233">
        <v>191</v>
      </c>
      <c r="O5233">
        <v>1</v>
      </c>
      <c r="P5233">
        <v>191</v>
      </c>
      <c r="Q5233">
        <v>21</v>
      </c>
      <c r="R5233">
        <v>29</v>
      </c>
      <c r="S5233">
        <v>1</v>
      </c>
      <c r="T5233">
        <v>2</v>
      </c>
      <c r="U5233">
        <v>12</v>
      </c>
      <c r="V5233">
        <v>2</v>
      </c>
      <c r="W5233">
        <v>4</v>
      </c>
      <c r="X5233">
        <v>3</v>
      </c>
      <c r="Y5233">
        <v>103</v>
      </c>
      <c r="Z5233">
        <v>5</v>
      </c>
      <c r="AA5233">
        <v>1</v>
      </c>
      <c r="AB5233">
        <v>0</v>
      </c>
      <c r="AC5233">
        <v>1</v>
      </c>
      <c r="AD5233">
        <v>0</v>
      </c>
      <c r="AE5233">
        <v>0</v>
      </c>
      <c r="AF5233">
        <v>0</v>
      </c>
      <c r="AG5233">
        <v>1</v>
      </c>
      <c r="AH5233">
        <v>0</v>
      </c>
      <c r="AI5233">
        <v>0</v>
      </c>
      <c r="AJ5233">
        <v>0</v>
      </c>
      <c r="AK5233">
        <v>0</v>
      </c>
      <c r="AL5233">
        <v>1</v>
      </c>
      <c r="AM5233">
        <v>0</v>
      </c>
      <c r="AN5233">
        <v>0</v>
      </c>
      <c r="AT5233">
        <v>0</v>
      </c>
      <c r="AU5233">
        <v>5</v>
      </c>
      <c r="AV5233">
        <v>191</v>
      </c>
      <c r="AW5233">
        <v>191</v>
      </c>
      <c r="AX5233">
        <v>325</v>
      </c>
      <c r="BA5233">
        <v>1</v>
      </c>
      <c r="BC5233" t="s">
        <v>10579</v>
      </c>
      <c r="BD5233" s="4">
        <v>43283.40902777778</v>
      </c>
      <c r="BE5233" s="4">
        <v>43283.42728009259</v>
      </c>
      <c r="BF5233" s="4">
        <v>43283.42728009259</v>
      </c>
      <c r="BG5233" t="s">
        <v>83</v>
      </c>
      <c r="BH5233" t="s">
        <v>84</v>
      </c>
      <c r="BI5233" t="s">
        <v>85</v>
      </c>
    </row>
    <row r="5234" spans="1:61" x14ac:dyDescent="0.3">
      <c r="A5234" t="str">
        <f>"201308B0100"</f>
        <v>201308B0100</v>
      </c>
      <c r="B5234" t="s">
        <v>10580</v>
      </c>
      <c r="C5234">
        <v>20</v>
      </c>
      <c r="D5234" t="s">
        <v>79</v>
      </c>
      <c r="E5234">
        <v>25</v>
      </c>
      <c r="F5234" t="s">
        <v>10558</v>
      </c>
      <c r="G5234">
        <v>1308</v>
      </c>
      <c r="H5234">
        <v>1</v>
      </c>
      <c r="I5234" t="s">
        <v>81</v>
      </c>
      <c r="J5234">
        <v>0</v>
      </c>
      <c r="K5234">
        <v>2</v>
      </c>
      <c r="L5234">
        <v>2</v>
      </c>
      <c r="M5234">
        <v>113</v>
      </c>
      <c r="N5234">
        <v>113</v>
      </c>
      <c r="O5234">
        <v>4</v>
      </c>
      <c r="P5234">
        <v>127</v>
      </c>
      <c r="Q5234">
        <v>16</v>
      </c>
      <c r="R5234">
        <v>38</v>
      </c>
      <c r="S5234">
        <v>1</v>
      </c>
      <c r="T5234">
        <v>3</v>
      </c>
      <c r="U5234">
        <v>10</v>
      </c>
      <c r="V5234">
        <v>1</v>
      </c>
      <c r="W5234">
        <v>2</v>
      </c>
      <c r="X5234">
        <v>0</v>
      </c>
      <c r="Y5234">
        <v>34</v>
      </c>
      <c r="Z5234">
        <v>3</v>
      </c>
      <c r="AA5234">
        <v>0</v>
      </c>
      <c r="AB5234">
        <v>0</v>
      </c>
      <c r="AC5234">
        <v>0</v>
      </c>
      <c r="AD5234">
        <v>1</v>
      </c>
      <c r="AE5234">
        <v>0</v>
      </c>
      <c r="AF5234">
        <v>0</v>
      </c>
      <c r="AG5234">
        <v>1</v>
      </c>
      <c r="AH5234">
        <v>1</v>
      </c>
      <c r="AI5234">
        <v>0</v>
      </c>
      <c r="AJ5234">
        <v>0</v>
      </c>
      <c r="AK5234">
        <v>2</v>
      </c>
      <c r="AL5234">
        <v>0</v>
      </c>
      <c r="AM5234">
        <v>0</v>
      </c>
      <c r="AN5234">
        <v>2</v>
      </c>
      <c r="AT5234">
        <v>5</v>
      </c>
      <c r="AU5234">
        <v>7</v>
      </c>
      <c r="AV5234">
        <v>127</v>
      </c>
      <c r="AW5234">
        <v>127</v>
      </c>
      <c r="AX5234">
        <v>218</v>
      </c>
      <c r="BA5234">
        <v>1</v>
      </c>
      <c r="BC5234" t="s">
        <v>10581</v>
      </c>
      <c r="BD5234" s="4">
        <v>43283.407638888886</v>
      </c>
      <c r="BE5234" s="4">
        <v>43283.428553240738</v>
      </c>
      <c r="BF5234" s="4">
        <v>43283.428553240738</v>
      </c>
      <c r="BG5234" t="s">
        <v>83</v>
      </c>
      <c r="BH5234" t="s">
        <v>84</v>
      </c>
      <c r="BI5234" t="s">
        <v>85</v>
      </c>
    </row>
    <row r="5235" spans="1:61" x14ac:dyDescent="0.3">
      <c r="A5235" t="str">
        <f>"201309B0100"</f>
        <v>201309B0100</v>
      </c>
      <c r="B5235" t="s">
        <v>10582</v>
      </c>
      <c r="C5235">
        <v>20</v>
      </c>
      <c r="D5235" t="s">
        <v>79</v>
      </c>
      <c r="E5235">
        <v>25</v>
      </c>
      <c r="F5235" t="s">
        <v>10558</v>
      </c>
      <c r="G5235">
        <v>1309</v>
      </c>
      <c r="H5235">
        <v>1</v>
      </c>
      <c r="I5235" t="s">
        <v>81</v>
      </c>
      <c r="J5235">
        <v>0</v>
      </c>
      <c r="K5235">
        <v>2</v>
      </c>
      <c r="L5235">
        <v>2</v>
      </c>
      <c r="M5235">
        <v>108</v>
      </c>
      <c r="N5235">
        <v>164</v>
      </c>
      <c r="O5235">
        <v>2</v>
      </c>
      <c r="P5235">
        <v>164</v>
      </c>
      <c r="Q5235">
        <v>8</v>
      </c>
      <c r="R5235">
        <v>34</v>
      </c>
      <c r="S5235">
        <v>2</v>
      </c>
      <c r="T5235">
        <v>2</v>
      </c>
      <c r="U5235">
        <v>9</v>
      </c>
      <c r="V5235">
        <v>5</v>
      </c>
      <c r="W5235">
        <v>2</v>
      </c>
      <c r="X5235">
        <v>3</v>
      </c>
      <c r="Y5235">
        <v>84</v>
      </c>
      <c r="Z5235">
        <v>3</v>
      </c>
      <c r="AA5235">
        <v>3</v>
      </c>
      <c r="AB5235">
        <v>0</v>
      </c>
      <c r="AC5235">
        <v>0</v>
      </c>
      <c r="AD5235">
        <v>0</v>
      </c>
      <c r="AE5235">
        <v>0</v>
      </c>
      <c r="AF5235">
        <v>0</v>
      </c>
      <c r="AG5235">
        <v>0</v>
      </c>
      <c r="AH5235">
        <v>0</v>
      </c>
      <c r="AI5235">
        <v>0</v>
      </c>
      <c r="AJ5235">
        <v>0</v>
      </c>
      <c r="AK5235">
        <v>1</v>
      </c>
      <c r="AL5235">
        <v>0</v>
      </c>
      <c r="AM5235">
        <v>0</v>
      </c>
      <c r="AN5235">
        <v>0</v>
      </c>
      <c r="AT5235">
        <v>0</v>
      </c>
      <c r="AU5235">
        <v>3</v>
      </c>
      <c r="AV5235">
        <v>164</v>
      </c>
      <c r="AW5235">
        <v>159</v>
      </c>
      <c r="AX5235">
        <v>250</v>
      </c>
      <c r="BA5235">
        <v>1</v>
      </c>
      <c r="BC5235" t="s">
        <v>10583</v>
      </c>
      <c r="BD5235" s="4">
        <v>43283.409722222219</v>
      </c>
      <c r="BE5235" s="4">
        <v>43283.428888888891</v>
      </c>
      <c r="BF5235" s="4">
        <v>43283.428888888891</v>
      </c>
      <c r="BG5235" t="s">
        <v>83</v>
      </c>
      <c r="BH5235" t="s">
        <v>84</v>
      </c>
      <c r="BI5235" t="s">
        <v>85</v>
      </c>
    </row>
    <row r="5236" spans="1:61" x14ac:dyDescent="0.3">
      <c r="A5236" t="str">
        <f>"201463B0100"</f>
        <v>201463B0100</v>
      </c>
      <c r="B5236" t="s">
        <v>10584</v>
      </c>
      <c r="C5236">
        <v>20</v>
      </c>
      <c r="D5236" t="s">
        <v>79</v>
      </c>
      <c r="E5236">
        <v>25</v>
      </c>
      <c r="F5236" t="s">
        <v>10558</v>
      </c>
      <c r="G5236">
        <v>1463</v>
      </c>
      <c r="H5236">
        <v>1</v>
      </c>
      <c r="I5236" t="s">
        <v>81</v>
      </c>
      <c r="J5236">
        <v>0</v>
      </c>
      <c r="K5236">
        <v>2</v>
      </c>
      <c r="L5236">
        <v>2</v>
      </c>
      <c r="M5236">
        <v>306</v>
      </c>
      <c r="N5236">
        <v>373</v>
      </c>
      <c r="O5236">
        <v>3</v>
      </c>
      <c r="P5236">
        <v>370</v>
      </c>
      <c r="Q5236">
        <v>43</v>
      </c>
      <c r="R5236">
        <v>69</v>
      </c>
      <c r="S5236">
        <v>15</v>
      </c>
      <c r="T5236">
        <v>11</v>
      </c>
      <c r="U5236">
        <v>65</v>
      </c>
      <c r="V5236">
        <v>4</v>
      </c>
      <c r="W5236">
        <v>6</v>
      </c>
      <c r="X5236">
        <v>6</v>
      </c>
      <c r="Y5236">
        <v>116</v>
      </c>
      <c r="Z5236">
        <v>11</v>
      </c>
      <c r="AA5236">
        <v>1</v>
      </c>
      <c r="AB5236">
        <v>4</v>
      </c>
      <c r="AC5236">
        <v>0</v>
      </c>
      <c r="AD5236">
        <v>1</v>
      </c>
      <c r="AE5236">
        <v>0</v>
      </c>
      <c r="AF5236">
        <v>1</v>
      </c>
      <c r="AG5236">
        <v>3</v>
      </c>
      <c r="AH5236">
        <v>1</v>
      </c>
      <c r="AI5236">
        <v>1</v>
      </c>
      <c r="AJ5236">
        <v>0</v>
      </c>
      <c r="AK5236">
        <v>7</v>
      </c>
      <c r="AL5236">
        <v>0</v>
      </c>
      <c r="AM5236">
        <v>1</v>
      </c>
      <c r="AN5236">
        <v>2</v>
      </c>
      <c r="AT5236">
        <v>0</v>
      </c>
      <c r="AU5236">
        <v>27</v>
      </c>
      <c r="AV5236">
        <v>373</v>
      </c>
      <c r="AW5236">
        <v>395</v>
      </c>
      <c r="AX5236">
        <v>654</v>
      </c>
      <c r="BA5236">
        <v>1</v>
      </c>
      <c r="BC5236" t="s">
        <v>10585</v>
      </c>
      <c r="BD5236" s="4">
        <v>43283.25277777778</v>
      </c>
      <c r="BE5236" s="4">
        <v>43283.278981481482</v>
      </c>
      <c r="BF5236" s="4">
        <v>43283.278981481482</v>
      </c>
      <c r="BG5236" t="s">
        <v>83</v>
      </c>
      <c r="BH5236" t="s">
        <v>84</v>
      </c>
      <c r="BI5236" t="s">
        <v>85</v>
      </c>
    </row>
    <row r="5237" spans="1:61" x14ac:dyDescent="0.3">
      <c r="A5237" t="str">
        <f>"201463C0100"</f>
        <v>201463C0100</v>
      </c>
      <c r="B5237" t="s">
        <v>10586</v>
      </c>
      <c r="C5237">
        <v>20</v>
      </c>
      <c r="D5237" t="s">
        <v>79</v>
      </c>
      <c r="E5237">
        <v>25</v>
      </c>
      <c r="F5237" t="s">
        <v>10558</v>
      </c>
      <c r="G5237">
        <v>1463</v>
      </c>
      <c r="H5237">
        <v>1</v>
      </c>
      <c r="I5237" t="s">
        <v>89</v>
      </c>
      <c r="J5237">
        <v>0</v>
      </c>
      <c r="K5237">
        <v>2</v>
      </c>
      <c r="L5237">
        <v>2</v>
      </c>
      <c r="M5237">
        <v>288</v>
      </c>
      <c r="N5237">
        <v>387</v>
      </c>
      <c r="O5237">
        <v>1</v>
      </c>
      <c r="P5237">
        <v>387</v>
      </c>
      <c r="Q5237">
        <v>42</v>
      </c>
      <c r="R5237">
        <v>90</v>
      </c>
      <c r="S5237">
        <v>15</v>
      </c>
      <c r="T5237">
        <v>13</v>
      </c>
      <c r="U5237">
        <v>59</v>
      </c>
      <c r="V5237">
        <v>5</v>
      </c>
      <c r="W5237">
        <v>2</v>
      </c>
      <c r="X5237">
        <v>5</v>
      </c>
      <c r="Y5237">
        <v>94</v>
      </c>
      <c r="Z5237">
        <v>10</v>
      </c>
      <c r="AA5237">
        <v>2</v>
      </c>
      <c r="AB5237">
        <v>3</v>
      </c>
      <c r="AC5237">
        <v>0</v>
      </c>
      <c r="AD5237">
        <v>0</v>
      </c>
      <c r="AE5237">
        <v>0</v>
      </c>
      <c r="AF5237">
        <v>0</v>
      </c>
      <c r="AG5237">
        <v>2</v>
      </c>
      <c r="AH5237">
        <v>4</v>
      </c>
      <c r="AI5237">
        <v>0</v>
      </c>
      <c r="AJ5237">
        <v>0</v>
      </c>
      <c r="AK5237">
        <v>1</v>
      </c>
      <c r="AL5237">
        <v>2</v>
      </c>
      <c r="AM5237">
        <v>1</v>
      </c>
      <c r="AN5237">
        <v>1</v>
      </c>
      <c r="AT5237">
        <v>0</v>
      </c>
      <c r="AU5237">
        <v>36</v>
      </c>
      <c r="AV5237">
        <v>387</v>
      </c>
      <c r="AW5237">
        <v>387</v>
      </c>
      <c r="AX5237">
        <v>653</v>
      </c>
      <c r="BA5237">
        <v>1</v>
      </c>
      <c r="BC5237" t="s">
        <v>10587</v>
      </c>
      <c r="BD5237" s="4">
        <v>43283.254166666666</v>
      </c>
      <c r="BE5237" s="4">
        <v>43283.280752314815</v>
      </c>
      <c r="BF5237" s="4">
        <v>43283.280752314815</v>
      </c>
      <c r="BG5237" t="s">
        <v>83</v>
      </c>
      <c r="BH5237" t="s">
        <v>84</v>
      </c>
      <c r="BI5237" t="s">
        <v>85</v>
      </c>
    </row>
    <row r="5238" spans="1:61" x14ac:dyDescent="0.3">
      <c r="A5238" t="str">
        <f>"201463E0100"</f>
        <v>201463E0100</v>
      </c>
      <c r="B5238" s="2" t="s">
        <v>10588</v>
      </c>
      <c r="C5238">
        <v>20</v>
      </c>
      <c r="D5238" t="s">
        <v>79</v>
      </c>
      <c r="E5238">
        <v>25</v>
      </c>
      <c r="F5238" t="s">
        <v>10558</v>
      </c>
      <c r="G5238">
        <v>1463</v>
      </c>
      <c r="H5238">
        <v>1</v>
      </c>
      <c r="I5238" t="s">
        <v>145</v>
      </c>
      <c r="J5238">
        <v>0</v>
      </c>
      <c r="K5238">
        <v>2</v>
      </c>
      <c r="L5238">
        <v>2</v>
      </c>
      <c r="M5238" t="s">
        <v>315</v>
      </c>
      <c r="N5238">
        <v>396</v>
      </c>
      <c r="O5238">
        <v>0</v>
      </c>
      <c r="P5238">
        <v>224</v>
      </c>
      <c r="Q5238">
        <v>36</v>
      </c>
      <c r="R5238">
        <v>5</v>
      </c>
      <c r="S5238">
        <v>8</v>
      </c>
      <c r="T5238">
        <v>2</v>
      </c>
      <c r="U5238">
        <v>27</v>
      </c>
      <c r="V5238">
        <v>6</v>
      </c>
      <c r="W5238" t="s">
        <v>100</v>
      </c>
      <c r="X5238">
        <v>1</v>
      </c>
      <c r="Y5238">
        <v>105</v>
      </c>
      <c r="Z5238">
        <v>7</v>
      </c>
      <c r="AA5238" t="s">
        <v>100</v>
      </c>
      <c r="AB5238" t="s">
        <v>100</v>
      </c>
      <c r="AC5238" t="s">
        <v>100</v>
      </c>
      <c r="AD5238" t="s">
        <v>100</v>
      </c>
      <c r="AE5238" t="s">
        <v>100</v>
      </c>
      <c r="AF5238" t="s">
        <v>100</v>
      </c>
      <c r="AG5238" t="s">
        <v>100</v>
      </c>
      <c r="AH5238" t="s">
        <v>100</v>
      </c>
      <c r="AI5238" t="s">
        <v>100</v>
      </c>
      <c r="AJ5238">
        <v>1</v>
      </c>
      <c r="AK5238">
        <v>3</v>
      </c>
      <c r="AL5238">
        <v>1</v>
      </c>
      <c r="AM5238" t="s">
        <v>100</v>
      </c>
      <c r="AN5238" t="s">
        <v>100</v>
      </c>
      <c r="AT5238" t="s">
        <v>100</v>
      </c>
      <c r="AU5238">
        <v>22</v>
      </c>
      <c r="AV5238">
        <v>224</v>
      </c>
      <c r="AW5238">
        <v>224</v>
      </c>
      <c r="AX5238">
        <v>374</v>
      </c>
      <c r="AZ5238" t="s">
        <v>101</v>
      </c>
      <c r="BA5238">
        <v>1</v>
      </c>
      <c r="BC5238" t="s">
        <v>10589</v>
      </c>
      <c r="BD5238" s="4">
        <v>43283.254861111112</v>
      </c>
      <c r="BE5238" s="4">
        <v>43283.28025462963</v>
      </c>
      <c r="BF5238" s="4">
        <v>43283.28025462963</v>
      </c>
      <c r="BG5238" t="s">
        <v>83</v>
      </c>
      <c r="BH5238" t="s">
        <v>84</v>
      </c>
      <c r="BI5238" t="s">
        <v>85</v>
      </c>
    </row>
    <row r="5239" spans="1:61" x14ac:dyDescent="0.3">
      <c r="A5239" t="str">
        <f>"201464B0100"</f>
        <v>201464B0100</v>
      </c>
      <c r="B5239" t="s">
        <v>10590</v>
      </c>
      <c r="C5239">
        <v>20</v>
      </c>
      <c r="D5239" t="s">
        <v>79</v>
      </c>
      <c r="E5239">
        <v>25</v>
      </c>
      <c r="F5239" t="s">
        <v>10558</v>
      </c>
      <c r="G5239">
        <v>1464</v>
      </c>
      <c r="H5239">
        <v>1</v>
      </c>
      <c r="I5239" t="s">
        <v>81</v>
      </c>
      <c r="J5239">
        <v>0</v>
      </c>
      <c r="K5239">
        <v>2</v>
      </c>
      <c r="L5239">
        <v>2</v>
      </c>
      <c r="M5239">
        <v>246</v>
      </c>
      <c r="N5239">
        <v>342</v>
      </c>
      <c r="O5239">
        <v>0</v>
      </c>
      <c r="P5239">
        <v>342</v>
      </c>
      <c r="Q5239">
        <v>65</v>
      </c>
      <c r="R5239">
        <v>100</v>
      </c>
      <c r="S5239">
        <v>11</v>
      </c>
      <c r="T5239">
        <v>7</v>
      </c>
      <c r="U5239">
        <v>35</v>
      </c>
      <c r="V5239">
        <v>8</v>
      </c>
      <c r="W5239">
        <v>2</v>
      </c>
      <c r="X5239">
        <v>6</v>
      </c>
      <c r="Y5239">
        <v>60</v>
      </c>
      <c r="Z5239">
        <v>3</v>
      </c>
      <c r="AA5239">
        <v>1</v>
      </c>
      <c r="AB5239">
        <v>1</v>
      </c>
      <c r="AC5239">
        <v>0</v>
      </c>
      <c r="AD5239">
        <v>0</v>
      </c>
      <c r="AE5239">
        <v>0</v>
      </c>
      <c r="AF5239">
        <v>0</v>
      </c>
      <c r="AG5239">
        <v>1</v>
      </c>
      <c r="AH5239">
        <v>3</v>
      </c>
      <c r="AI5239">
        <v>1</v>
      </c>
      <c r="AJ5239">
        <v>0</v>
      </c>
      <c r="AK5239">
        <v>1</v>
      </c>
      <c r="AL5239">
        <v>2</v>
      </c>
      <c r="AM5239">
        <v>0</v>
      </c>
      <c r="AN5239">
        <v>0</v>
      </c>
      <c r="AT5239">
        <v>0</v>
      </c>
      <c r="AU5239">
        <v>35</v>
      </c>
      <c r="AV5239">
        <v>342</v>
      </c>
      <c r="AW5239">
        <v>342</v>
      </c>
      <c r="AX5239">
        <v>570</v>
      </c>
      <c r="BA5239">
        <v>1</v>
      </c>
      <c r="BC5239" t="s">
        <v>10591</v>
      </c>
      <c r="BD5239" s="4">
        <v>43283.253472222219</v>
      </c>
      <c r="BE5239" s="4">
        <v>43283.279236111113</v>
      </c>
      <c r="BF5239" s="4">
        <v>43283.279236111113</v>
      </c>
      <c r="BG5239" t="s">
        <v>83</v>
      </c>
      <c r="BH5239" t="s">
        <v>84</v>
      </c>
      <c r="BI5239" t="s">
        <v>85</v>
      </c>
    </row>
    <row r="5240" spans="1:61" x14ac:dyDescent="0.3">
      <c r="A5240" t="str">
        <f>"201464E0100"</f>
        <v>201464E0100</v>
      </c>
      <c r="B5240" s="2" t="s">
        <v>10592</v>
      </c>
      <c r="C5240">
        <v>20</v>
      </c>
      <c r="D5240" t="s">
        <v>79</v>
      </c>
      <c r="E5240">
        <v>25</v>
      </c>
      <c r="F5240" t="s">
        <v>10558</v>
      </c>
      <c r="G5240">
        <v>1464</v>
      </c>
      <c r="H5240">
        <v>1</v>
      </c>
      <c r="I5240" t="s">
        <v>145</v>
      </c>
      <c r="J5240">
        <v>0</v>
      </c>
      <c r="K5240">
        <v>2</v>
      </c>
      <c r="L5240">
        <v>2</v>
      </c>
      <c r="M5240">
        <v>138</v>
      </c>
      <c r="N5240">
        <v>142</v>
      </c>
      <c r="O5240">
        <v>3</v>
      </c>
      <c r="P5240">
        <v>142</v>
      </c>
      <c r="Q5240">
        <v>22</v>
      </c>
      <c r="R5240">
        <v>28</v>
      </c>
      <c r="S5240">
        <v>13</v>
      </c>
      <c r="T5240">
        <v>2</v>
      </c>
      <c r="U5240">
        <v>20</v>
      </c>
      <c r="V5240">
        <v>2</v>
      </c>
      <c r="W5240">
        <v>2</v>
      </c>
      <c r="X5240">
        <v>1</v>
      </c>
      <c r="Y5240">
        <v>32</v>
      </c>
      <c r="Z5240">
        <v>2</v>
      </c>
      <c r="AA5240">
        <v>0</v>
      </c>
      <c r="AB5240">
        <v>0</v>
      </c>
      <c r="AC5240">
        <v>0</v>
      </c>
      <c r="AD5240">
        <v>0</v>
      </c>
      <c r="AE5240">
        <v>0</v>
      </c>
      <c r="AF5240">
        <v>0</v>
      </c>
      <c r="AG5240">
        <v>1</v>
      </c>
      <c r="AH5240">
        <v>1</v>
      </c>
      <c r="AI5240">
        <v>0</v>
      </c>
      <c r="AJ5240">
        <v>0</v>
      </c>
      <c r="AK5240">
        <v>1</v>
      </c>
      <c r="AL5240">
        <v>1</v>
      </c>
      <c r="AM5240">
        <v>0</v>
      </c>
      <c r="AN5240">
        <v>6</v>
      </c>
      <c r="AT5240" t="s">
        <v>100</v>
      </c>
      <c r="AU5240">
        <v>14</v>
      </c>
      <c r="AV5240">
        <v>142</v>
      </c>
      <c r="AW5240">
        <v>148</v>
      </c>
      <c r="AX5240">
        <v>258</v>
      </c>
      <c r="AZ5240" t="s">
        <v>101</v>
      </c>
      <c r="BA5240">
        <v>1</v>
      </c>
      <c r="BC5240" t="s">
        <v>10593</v>
      </c>
      <c r="BD5240" s="4">
        <v>43283.254861111112</v>
      </c>
      <c r="BE5240" s="4">
        <v>43283.280740740738</v>
      </c>
      <c r="BF5240" s="4">
        <v>43283.280740740738</v>
      </c>
      <c r="BG5240" t="s">
        <v>83</v>
      </c>
      <c r="BH5240" t="s">
        <v>84</v>
      </c>
      <c r="BI5240" t="s">
        <v>85</v>
      </c>
    </row>
    <row r="5241" spans="1:61" x14ac:dyDescent="0.3">
      <c r="A5241" t="str">
        <f>"201516B0100"</f>
        <v>201516B0100</v>
      </c>
      <c r="B5241" t="s">
        <v>10594</v>
      </c>
      <c r="C5241">
        <v>20</v>
      </c>
      <c r="D5241" t="s">
        <v>79</v>
      </c>
      <c r="E5241">
        <v>25</v>
      </c>
      <c r="F5241" t="s">
        <v>10558</v>
      </c>
      <c r="G5241">
        <v>1516</v>
      </c>
      <c r="H5241">
        <v>1</v>
      </c>
      <c r="I5241" t="s">
        <v>81</v>
      </c>
      <c r="J5241">
        <v>0</v>
      </c>
      <c r="K5241">
        <v>2</v>
      </c>
      <c r="L5241">
        <v>2</v>
      </c>
      <c r="M5241">
        <v>225</v>
      </c>
      <c r="N5241">
        <v>474</v>
      </c>
      <c r="O5241">
        <v>5</v>
      </c>
      <c r="P5241">
        <v>474</v>
      </c>
      <c r="Q5241">
        <v>15</v>
      </c>
      <c r="R5241">
        <v>72</v>
      </c>
      <c r="S5241">
        <v>39</v>
      </c>
      <c r="T5241">
        <v>27</v>
      </c>
      <c r="U5241">
        <v>25</v>
      </c>
      <c r="V5241">
        <v>4</v>
      </c>
      <c r="W5241">
        <v>13</v>
      </c>
      <c r="X5241">
        <v>10</v>
      </c>
      <c r="Y5241">
        <v>195</v>
      </c>
      <c r="Z5241">
        <v>8</v>
      </c>
      <c r="AA5241">
        <v>1</v>
      </c>
      <c r="AB5241">
        <v>13</v>
      </c>
      <c r="AC5241">
        <v>1</v>
      </c>
      <c r="AD5241">
        <v>0</v>
      </c>
      <c r="AE5241">
        <v>0</v>
      </c>
      <c r="AF5241">
        <v>1</v>
      </c>
      <c r="AG5241">
        <v>2</v>
      </c>
      <c r="AH5241">
        <v>1</v>
      </c>
      <c r="AI5241">
        <v>0</v>
      </c>
      <c r="AJ5241">
        <v>0</v>
      </c>
      <c r="AK5241">
        <v>6</v>
      </c>
      <c r="AL5241">
        <v>3</v>
      </c>
      <c r="AM5241">
        <v>2</v>
      </c>
      <c r="AN5241">
        <v>2</v>
      </c>
      <c r="AT5241" t="s">
        <v>100</v>
      </c>
      <c r="AU5241">
        <v>34</v>
      </c>
      <c r="AV5241">
        <v>474</v>
      </c>
      <c r="AW5241">
        <v>474</v>
      </c>
      <c r="AX5241">
        <v>677</v>
      </c>
      <c r="AZ5241" t="s">
        <v>101</v>
      </c>
      <c r="BA5241">
        <v>1</v>
      </c>
      <c r="BC5241" t="s">
        <v>10595</v>
      </c>
      <c r="BD5241" s="4">
        <v>43283.064583333333</v>
      </c>
      <c r="BE5241" s="4">
        <v>43283.068738425929</v>
      </c>
      <c r="BF5241" s="4">
        <v>43283.068738425929</v>
      </c>
      <c r="BG5241" t="s">
        <v>83</v>
      </c>
      <c r="BH5241" t="s">
        <v>84</v>
      </c>
      <c r="BI5241" t="s">
        <v>85</v>
      </c>
    </row>
    <row r="5242" spans="1:61" x14ac:dyDescent="0.3">
      <c r="A5242" t="str">
        <f>"201516C0100"</f>
        <v>201516C0100</v>
      </c>
      <c r="B5242" t="s">
        <v>10596</v>
      </c>
      <c r="C5242">
        <v>20</v>
      </c>
      <c r="D5242" t="s">
        <v>79</v>
      </c>
      <c r="E5242">
        <v>25</v>
      </c>
      <c r="F5242" t="s">
        <v>10558</v>
      </c>
      <c r="G5242">
        <v>1516</v>
      </c>
      <c r="H5242">
        <v>1</v>
      </c>
      <c r="I5242" t="s">
        <v>89</v>
      </c>
      <c r="J5242">
        <v>0</v>
      </c>
      <c r="K5242">
        <v>2</v>
      </c>
      <c r="L5242">
        <v>2</v>
      </c>
      <c r="M5242">
        <v>246</v>
      </c>
      <c r="N5242">
        <v>451</v>
      </c>
      <c r="O5242">
        <v>8</v>
      </c>
      <c r="P5242">
        <v>451</v>
      </c>
      <c r="Q5242">
        <v>12</v>
      </c>
      <c r="R5242">
        <v>77</v>
      </c>
      <c r="S5242">
        <v>38</v>
      </c>
      <c r="T5242">
        <v>13</v>
      </c>
      <c r="U5242">
        <v>24</v>
      </c>
      <c r="V5242">
        <v>6</v>
      </c>
      <c r="W5242">
        <v>15</v>
      </c>
      <c r="X5242">
        <v>6</v>
      </c>
      <c r="Y5242">
        <v>194</v>
      </c>
      <c r="Z5242">
        <v>5</v>
      </c>
      <c r="AA5242">
        <v>1</v>
      </c>
      <c r="AB5242">
        <v>16</v>
      </c>
      <c r="AC5242">
        <v>2</v>
      </c>
      <c r="AD5242">
        <v>1</v>
      </c>
      <c r="AE5242">
        <v>0</v>
      </c>
      <c r="AF5242">
        <v>0</v>
      </c>
      <c r="AG5242">
        <v>1</v>
      </c>
      <c r="AH5242">
        <v>2</v>
      </c>
      <c r="AI5242">
        <v>0</v>
      </c>
      <c r="AJ5242">
        <v>0</v>
      </c>
      <c r="AK5242">
        <v>6</v>
      </c>
      <c r="AL5242">
        <v>1</v>
      </c>
      <c r="AM5242">
        <v>1</v>
      </c>
      <c r="AN5242">
        <v>2</v>
      </c>
      <c r="AT5242">
        <v>0</v>
      </c>
      <c r="AU5242">
        <v>28</v>
      </c>
      <c r="AV5242">
        <v>451</v>
      </c>
      <c r="AW5242">
        <v>451</v>
      </c>
      <c r="AX5242">
        <v>677</v>
      </c>
      <c r="BA5242">
        <v>1</v>
      </c>
      <c r="BC5242" t="s">
        <v>10597</v>
      </c>
      <c r="BD5242" s="4">
        <v>43283.066666666666</v>
      </c>
      <c r="BE5242" s="4">
        <v>43283.071979166663</v>
      </c>
      <c r="BF5242" s="4">
        <v>43283.071979166663</v>
      </c>
      <c r="BG5242" t="s">
        <v>83</v>
      </c>
      <c r="BH5242" t="s">
        <v>84</v>
      </c>
      <c r="BI5242" t="s">
        <v>85</v>
      </c>
    </row>
    <row r="5243" spans="1:61" x14ac:dyDescent="0.3">
      <c r="A5243" t="str">
        <f>"201516C0200"</f>
        <v>201516C0200</v>
      </c>
      <c r="B5243" t="s">
        <v>10598</v>
      </c>
      <c r="C5243">
        <v>20</v>
      </c>
      <c r="D5243" t="s">
        <v>79</v>
      </c>
      <c r="E5243">
        <v>25</v>
      </c>
      <c r="F5243" t="s">
        <v>10558</v>
      </c>
      <c r="G5243">
        <v>1516</v>
      </c>
      <c r="H5243">
        <v>2</v>
      </c>
      <c r="I5243" t="s">
        <v>89</v>
      </c>
      <c r="J5243">
        <v>0</v>
      </c>
      <c r="K5243">
        <v>2</v>
      </c>
      <c r="L5243">
        <v>2</v>
      </c>
      <c r="M5243">
        <v>227</v>
      </c>
      <c r="N5243">
        <v>475</v>
      </c>
      <c r="O5243">
        <v>12</v>
      </c>
      <c r="P5243">
        <v>473</v>
      </c>
      <c r="Q5243">
        <v>26</v>
      </c>
      <c r="R5243">
        <v>88</v>
      </c>
      <c r="S5243">
        <v>41</v>
      </c>
      <c r="T5243">
        <v>19</v>
      </c>
      <c r="U5243">
        <v>20</v>
      </c>
      <c r="V5243">
        <v>5</v>
      </c>
      <c r="W5243">
        <v>18</v>
      </c>
      <c r="X5243">
        <v>9</v>
      </c>
      <c r="Y5243">
        <v>194</v>
      </c>
      <c r="Z5243">
        <v>6</v>
      </c>
      <c r="AA5243">
        <v>5</v>
      </c>
      <c r="AB5243">
        <v>14</v>
      </c>
      <c r="AC5243">
        <v>2</v>
      </c>
      <c r="AD5243">
        <v>2</v>
      </c>
      <c r="AE5243">
        <v>0</v>
      </c>
      <c r="AF5243">
        <v>0</v>
      </c>
      <c r="AG5243">
        <v>3</v>
      </c>
      <c r="AH5243">
        <v>1</v>
      </c>
      <c r="AI5243">
        <v>0</v>
      </c>
      <c r="AJ5243">
        <v>1</v>
      </c>
      <c r="AK5243">
        <v>4</v>
      </c>
      <c r="AL5243">
        <v>1</v>
      </c>
      <c r="AM5243">
        <v>0</v>
      </c>
      <c r="AN5243">
        <v>1</v>
      </c>
      <c r="AT5243" t="s">
        <v>100</v>
      </c>
      <c r="AU5243">
        <v>13</v>
      </c>
      <c r="AV5243">
        <v>473</v>
      </c>
      <c r="AW5243">
        <v>473</v>
      </c>
      <c r="AX5243">
        <v>677</v>
      </c>
      <c r="AZ5243" t="s">
        <v>101</v>
      </c>
      <c r="BA5243">
        <v>1</v>
      </c>
      <c r="BC5243" t="s">
        <v>10599</v>
      </c>
      <c r="BD5243" s="4">
        <v>43283.06527777778</v>
      </c>
      <c r="BE5243" s="4">
        <v>43283.070381944446</v>
      </c>
      <c r="BF5243" s="4">
        <v>43283.070381944446</v>
      </c>
      <c r="BG5243" t="s">
        <v>83</v>
      </c>
      <c r="BH5243" t="s">
        <v>84</v>
      </c>
      <c r="BI5243" t="s">
        <v>85</v>
      </c>
    </row>
    <row r="5244" spans="1:61" x14ac:dyDescent="0.3">
      <c r="A5244" t="str">
        <f>"201517B0100"</f>
        <v>201517B0100</v>
      </c>
      <c r="B5244" t="s">
        <v>10600</v>
      </c>
      <c r="C5244">
        <v>20</v>
      </c>
      <c r="D5244" t="s">
        <v>79</v>
      </c>
      <c r="E5244">
        <v>25</v>
      </c>
      <c r="F5244" t="s">
        <v>10558</v>
      </c>
      <c r="G5244">
        <v>1517</v>
      </c>
      <c r="H5244">
        <v>1</v>
      </c>
      <c r="I5244" t="s">
        <v>81</v>
      </c>
      <c r="J5244">
        <v>0</v>
      </c>
      <c r="K5244">
        <v>2</v>
      </c>
      <c r="L5244">
        <v>2</v>
      </c>
      <c r="M5244">
        <v>236</v>
      </c>
      <c r="N5244">
        <v>458</v>
      </c>
      <c r="O5244">
        <v>5</v>
      </c>
      <c r="P5244">
        <v>458</v>
      </c>
      <c r="Q5244">
        <v>25</v>
      </c>
      <c r="R5244">
        <v>48</v>
      </c>
      <c r="S5244">
        <v>65</v>
      </c>
      <c r="T5244">
        <v>14</v>
      </c>
      <c r="U5244">
        <v>29</v>
      </c>
      <c r="V5244">
        <v>9</v>
      </c>
      <c r="W5244">
        <v>13</v>
      </c>
      <c r="X5244">
        <v>5</v>
      </c>
      <c r="Y5244">
        <v>185</v>
      </c>
      <c r="Z5244">
        <v>13</v>
      </c>
      <c r="AA5244">
        <v>1</v>
      </c>
      <c r="AB5244">
        <v>11</v>
      </c>
      <c r="AC5244">
        <v>2</v>
      </c>
      <c r="AD5244">
        <v>1</v>
      </c>
      <c r="AE5244">
        <v>0</v>
      </c>
      <c r="AF5244">
        <v>0</v>
      </c>
      <c r="AG5244">
        <v>3</v>
      </c>
      <c r="AH5244">
        <v>1</v>
      </c>
      <c r="AI5244">
        <v>0</v>
      </c>
      <c r="AJ5244">
        <v>0</v>
      </c>
      <c r="AK5244">
        <v>4</v>
      </c>
      <c r="AL5244">
        <v>2</v>
      </c>
      <c r="AM5244">
        <v>0</v>
      </c>
      <c r="AN5244">
        <v>1</v>
      </c>
      <c r="AT5244">
        <v>0</v>
      </c>
      <c r="AU5244">
        <v>26</v>
      </c>
      <c r="AV5244">
        <v>458</v>
      </c>
      <c r="AW5244">
        <v>458</v>
      </c>
      <c r="AX5244">
        <v>672</v>
      </c>
      <c r="BA5244">
        <v>1</v>
      </c>
      <c r="BC5244" t="s">
        <v>10601</v>
      </c>
      <c r="BD5244" s="4">
        <v>43283.175694444442</v>
      </c>
      <c r="BE5244" s="4">
        <v>43283.191608796296</v>
      </c>
      <c r="BF5244" s="4">
        <v>43283.191608796296</v>
      </c>
      <c r="BG5244" t="s">
        <v>83</v>
      </c>
      <c r="BH5244" t="s">
        <v>84</v>
      </c>
      <c r="BI5244" t="s">
        <v>85</v>
      </c>
    </row>
    <row r="5245" spans="1:61" x14ac:dyDescent="0.3">
      <c r="A5245" t="str">
        <f>"201517C0100"</f>
        <v>201517C0100</v>
      </c>
      <c r="B5245" t="s">
        <v>10602</v>
      </c>
      <c r="C5245">
        <v>20</v>
      </c>
      <c r="D5245" t="s">
        <v>79</v>
      </c>
      <c r="E5245">
        <v>25</v>
      </c>
      <c r="F5245" t="s">
        <v>10558</v>
      </c>
      <c r="G5245">
        <v>1517</v>
      </c>
      <c r="H5245">
        <v>1</v>
      </c>
      <c r="I5245" t="s">
        <v>89</v>
      </c>
      <c r="J5245">
        <v>0</v>
      </c>
      <c r="K5245">
        <v>2</v>
      </c>
      <c r="L5245">
        <v>2</v>
      </c>
      <c r="M5245">
        <v>263</v>
      </c>
      <c r="N5245">
        <v>860</v>
      </c>
      <c r="O5245">
        <v>430</v>
      </c>
      <c r="P5245">
        <v>430</v>
      </c>
      <c r="Q5245">
        <v>22</v>
      </c>
      <c r="R5245">
        <v>68</v>
      </c>
      <c r="S5245">
        <v>55</v>
      </c>
      <c r="T5245">
        <v>14</v>
      </c>
      <c r="U5245">
        <v>25</v>
      </c>
      <c r="V5245">
        <v>1</v>
      </c>
      <c r="W5245">
        <v>11</v>
      </c>
      <c r="X5245">
        <v>7</v>
      </c>
      <c r="Y5245">
        <v>166</v>
      </c>
      <c r="Z5245">
        <v>10</v>
      </c>
      <c r="AA5245">
        <v>1</v>
      </c>
      <c r="AB5245">
        <v>13</v>
      </c>
      <c r="AC5245">
        <v>0</v>
      </c>
      <c r="AD5245">
        <v>2</v>
      </c>
      <c r="AE5245">
        <v>0</v>
      </c>
      <c r="AF5245">
        <v>1</v>
      </c>
      <c r="AG5245">
        <v>1</v>
      </c>
      <c r="AH5245">
        <v>1</v>
      </c>
      <c r="AI5245">
        <v>0</v>
      </c>
      <c r="AJ5245">
        <v>0</v>
      </c>
      <c r="AK5245">
        <v>3</v>
      </c>
      <c r="AL5245">
        <v>1</v>
      </c>
      <c r="AM5245">
        <v>0</v>
      </c>
      <c r="AN5245">
        <v>2</v>
      </c>
      <c r="AT5245">
        <v>0</v>
      </c>
      <c r="AU5245">
        <v>22</v>
      </c>
      <c r="AV5245">
        <v>426</v>
      </c>
      <c r="AW5245">
        <v>426</v>
      </c>
      <c r="AX5245">
        <v>671</v>
      </c>
      <c r="BA5245">
        <v>1</v>
      </c>
      <c r="BC5245" t="s">
        <v>10603</v>
      </c>
      <c r="BD5245" s="4">
        <v>43283.178472222222</v>
      </c>
      <c r="BE5245" s="4">
        <v>43283.212002314816</v>
      </c>
      <c r="BF5245" s="4">
        <v>43283.212002314816</v>
      </c>
      <c r="BG5245" t="s">
        <v>83</v>
      </c>
      <c r="BH5245" t="s">
        <v>84</v>
      </c>
      <c r="BI5245" t="s">
        <v>85</v>
      </c>
    </row>
    <row r="5246" spans="1:61" x14ac:dyDescent="0.3">
      <c r="A5246" t="str">
        <f>"201518B0100"</f>
        <v>201518B0100</v>
      </c>
      <c r="B5246" t="s">
        <v>10604</v>
      </c>
      <c r="C5246">
        <v>20</v>
      </c>
      <c r="D5246" t="s">
        <v>79</v>
      </c>
      <c r="E5246">
        <v>25</v>
      </c>
      <c r="F5246" t="s">
        <v>10558</v>
      </c>
      <c r="G5246">
        <v>1518</v>
      </c>
      <c r="H5246">
        <v>1</v>
      </c>
      <c r="I5246" t="s">
        <v>81</v>
      </c>
      <c r="J5246">
        <v>0</v>
      </c>
      <c r="K5246">
        <v>2</v>
      </c>
      <c r="L5246">
        <v>2</v>
      </c>
      <c r="M5246">
        <v>288</v>
      </c>
      <c r="N5246">
        <v>458</v>
      </c>
      <c r="O5246">
        <v>6</v>
      </c>
      <c r="P5246">
        <v>461</v>
      </c>
      <c r="Q5246">
        <v>15</v>
      </c>
      <c r="R5246">
        <v>60</v>
      </c>
      <c r="S5246">
        <v>66</v>
      </c>
      <c r="T5246">
        <v>43</v>
      </c>
      <c r="U5246">
        <v>28</v>
      </c>
      <c r="V5246">
        <v>6</v>
      </c>
      <c r="W5246">
        <v>7</v>
      </c>
      <c r="X5246">
        <v>5</v>
      </c>
      <c r="Y5246">
        <v>166</v>
      </c>
      <c r="Z5246">
        <v>8</v>
      </c>
      <c r="AA5246">
        <v>3</v>
      </c>
      <c r="AB5246">
        <v>16</v>
      </c>
      <c r="AC5246">
        <v>2</v>
      </c>
      <c r="AD5246">
        <v>0</v>
      </c>
      <c r="AE5246">
        <v>0</v>
      </c>
      <c r="AF5246">
        <v>1</v>
      </c>
      <c r="AG5246">
        <v>7</v>
      </c>
      <c r="AH5246">
        <v>2</v>
      </c>
      <c r="AI5246">
        <v>0</v>
      </c>
      <c r="AJ5246">
        <v>0</v>
      </c>
      <c r="AK5246">
        <v>2</v>
      </c>
      <c r="AL5246">
        <v>0</v>
      </c>
      <c r="AM5246">
        <v>0</v>
      </c>
      <c r="AN5246">
        <v>0</v>
      </c>
      <c r="AT5246">
        <v>23</v>
      </c>
      <c r="AU5246">
        <v>23</v>
      </c>
      <c r="AV5246">
        <v>461</v>
      </c>
      <c r="AW5246">
        <v>483</v>
      </c>
      <c r="AX5246">
        <v>726</v>
      </c>
      <c r="BA5246">
        <v>1</v>
      </c>
      <c r="BC5246" t="s">
        <v>10605</v>
      </c>
      <c r="BD5246" s="4">
        <v>43283.213888888888</v>
      </c>
      <c r="BE5246" s="4">
        <v>43283.235821759263</v>
      </c>
      <c r="BF5246" s="4">
        <v>43283.235821759263</v>
      </c>
      <c r="BG5246" t="s">
        <v>83</v>
      </c>
      <c r="BH5246" t="s">
        <v>84</v>
      </c>
      <c r="BI5246" t="s">
        <v>85</v>
      </c>
    </row>
    <row r="5247" spans="1:61" x14ac:dyDescent="0.3">
      <c r="A5247" t="str">
        <f>"201518C0100"</f>
        <v>201518C0100</v>
      </c>
      <c r="B5247" t="s">
        <v>10606</v>
      </c>
      <c r="C5247">
        <v>20</v>
      </c>
      <c r="D5247" t="s">
        <v>79</v>
      </c>
      <c r="E5247">
        <v>25</v>
      </c>
      <c r="F5247" t="s">
        <v>10558</v>
      </c>
      <c r="G5247">
        <v>1518</v>
      </c>
      <c r="H5247">
        <v>1</v>
      </c>
      <c r="I5247" t="s">
        <v>89</v>
      </c>
      <c r="J5247">
        <v>0</v>
      </c>
      <c r="K5247">
        <v>2</v>
      </c>
      <c r="L5247">
        <v>2</v>
      </c>
      <c r="M5247">
        <v>283</v>
      </c>
      <c r="N5247">
        <v>464</v>
      </c>
      <c r="O5247">
        <v>2</v>
      </c>
      <c r="P5247">
        <v>462</v>
      </c>
      <c r="Q5247">
        <v>15</v>
      </c>
      <c r="R5247">
        <v>95</v>
      </c>
      <c r="S5247">
        <v>64</v>
      </c>
      <c r="T5247">
        <v>31</v>
      </c>
      <c r="U5247">
        <v>13</v>
      </c>
      <c r="V5247">
        <v>6</v>
      </c>
      <c r="W5247">
        <v>12</v>
      </c>
      <c r="X5247">
        <v>4</v>
      </c>
      <c r="Y5247">
        <v>148</v>
      </c>
      <c r="Z5247">
        <v>10</v>
      </c>
      <c r="AA5247">
        <v>1</v>
      </c>
      <c r="AB5247">
        <v>15</v>
      </c>
      <c r="AC5247">
        <v>1</v>
      </c>
      <c r="AD5247">
        <v>1</v>
      </c>
      <c r="AE5247">
        <v>0</v>
      </c>
      <c r="AF5247">
        <v>1</v>
      </c>
      <c r="AG5247">
        <v>4</v>
      </c>
      <c r="AH5247">
        <v>5</v>
      </c>
      <c r="AI5247">
        <v>1</v>
      </c>
      <c r="AJ5247">
        <v>0</v>
      </c>
      <c r="AK5247">
        <v>6</v>
      </c>
      <c r="AL5247">
        <v>0</v>
      </c>
      <c r="AM5247">
        <v>0</v>
      </c>
      <c r="AN5247">
        <v>0</v>
      </c>
      <c r="AT5247">
        <v>0</v>
      </c>
      <c r="AU5247">
        <v>29</v>
      </c>
      <c r="AV5247">
        <v>462</v>
      </c>
      <c r="AW5247">
        <v>462</v>
      </c>
      <c r="AX5247">
        <v>726</v>
      </c>
      <c r="BA5247">
        <v>1</v>
      </c>
      <c r="BC5247" t="s">
        <v>10607</v>
      </c>
      <c r="BD5247" s="4">
        <v>43283.218055555553</v>
      </c>
      <c r="BE5247" s="4">
        <v>43283.242430555554</v>
      </c>
      <c r="BF5247" s="4">
        <v>43283.242430555554</v>
      </c>
      <c r="BG5247" t="s">
        <v>83</v>
      </c>
      <c r="BH5247" t="s">
        <v>84</v>
      </c>
      <c r="BI5247" t="s">
        <v>85</v>
      </c>
    </row>
    <row r="5248" spans="1:61" x14ac:dyDescent="0.3">
      <c r="A5248" t="str">
        <f>"201518C0200"</f>
        <v>201518C0200</v>
      </c>
      <c r="B5248" t="s">
        <v>10608</v>
      </c>
      <c r="C5248">
        <v>20</v>
      </c>
      <c r="D5248" t="s">
        <v>79</v>
      </c>
      <c r="E5248">
        <v>25</v>
      </c>
      <c r="F5248" t="s">
        <v>10558</v>
      </c>
      <c r="G5248">
        <v>1518</v>
      </c>
      <c r="H5248">
        <v>2</v>
      </c>
      <c r="I5248" t="s">
        <v>89</v>
      </c>
      <c r="J5248">
        <v>0</v>
      </c>
      <c r="K5248">
        <v>2</v>
      </c>
      <c r="L5248">
        <v>2</v>
      </c>
      <c r="M5248">
        <v>281</v>
      </c>
      <c r="N5248">
        <v>467</v>
      </c>
      <c r="O5248">
        <v>5</v>
      </c>
      <c r="P5248">
        <v>468</v>
      </c>
      <c r="Q5248">
        <v>12</v>
      </c>
      <c r="R5248">
        <v>80</v>
      </c>
      <c r="S5248">
        <v>80</v>
      </c>
      <c r="T5248">
        <v>25</v>
      </c>
      <c r="U5248">
        <v>31</v>
      </c>
      <c r="V5248">
        <v>4</v>
      </c>
      <c r="W5248">
        <v>4</v>
      </c>
      <c r="X5248">
        <v>5</v>
      </c>
      <c r="Y5248">
        <v>164</v>
      </c>
      <c r="Z5248">
        <v>7</v>
      </c>
      <c r="AA5248">
        <v>2</v>
      </c>
      <c r="AB5248">
        <v>17</v>
      </c>
      <c r="AC5248">
        <v>1</v>
      </c>
      <c r="AD5248">
        <v>1</v>
      </c>
      <c r="AE5248">
        <v>0</v>
      </c>
      <c r="AF5248">
        <v>0</v>
      </c>
      <c r="AG5248">
        <v>1</v>
      </c>
      <c r="AH5248">
        <v>3</v>
      </c>
      <c r="AI5248">
        <v>0</v>
      </c>
      <c r="AJ5248">
        <v>0</v>
      </c>
      <c r="AK5248">
        <v>8</v>
      </c>
      <c r="AL5248">
        <v>1</v>
      </c>
      <c r="AM5248">
        <v>0</v>
      </c>
      <c r="AN5248">
        <v>0</v>
      </c>
      <c r="AT5248">
        <v>0</v>
      </c>
      <c r="AU5248">
        <v>22</v>
      </c>
      <c r="AV5248">
        <v>468</v>
      </c>
      <c r="AW5248">
        <v>468</v>
      </c>
      <c r="AX5248">
        <v>726</v>
      </c>
      <c r="BA5248">
        <v>1</v>
      </c>
      <c r="BC5248" t="s">
        <v>10609</v>
      </c>
      <c r="BD5248" s="4">
        <v>43283.217361111114</v>
      </c>
      <c r="BE5248" s="4">
        <v>43283.243784722225</v>
      </c>
      <c r="BF5248" s="4">
        <v>43283.243784722225</v>
      </c>
      <c r="BG5248" t="s">
        <v>83</v>
      </c>
      <c r="BH5248" t="s">
        <v>84</v>
      </c>
      <c r="BI5248" t="s">
        <v>85</v>
      </c>
    </row>
    <row r="5249" spans="1:61" x14ac:dyDescent="0.3">
      <c r="A5249" t="str">
        <f>"201518C0300"</f>
        <v>201518C0300</v>
      </c>
      <c r="B5249" t="s">
        <v>10610</v>
      </c>
      <c r="C5249">
        <v>20</v>
      </c>
      <c r="D5249" t="s">
        <v>79</v>
      </c>
      <c r="E5249">
        <v>25</v>
      </c>
      <c r="F5249" t="s">
        <v>10558</v>
      </c>
      <c r="G5249">
        <v>1518</v>
      </c>
      <c r="H5249">
        <v>3</v>
      </c>
      <c r="I5249" t="s">
        <v>89</v>
      </c>
      <c r="J5249">
        <v>0</v>
      </c>
      <c r="K5249">
        <v>2</v>
      </c>
      <c r="L5249">
        <v>2</v>
      </c>
      <c r="M5249">
        <v>244</v>
      </c>
      <c r="N5249">
        <v>510</v>
      </c>
      <c r="O5249">
        <v>6</v>
      </c>
      <c r="P5249">
        <v>502</v>
      </c>
      <c r="Q5249">
        <v>17</v>
      </c>
      <c r="R5249">
        <v>84</v>
      </c>
      <c r="S5249">
        <v>86</v>
      </c>
      <c r="T5249">
        <v>23</v>
      </c>
      <c r="U5249">
        <v>22</v>
      </c>
      <c r="V5249">
        <v>5</v>
      </c>
      <c r="W5249">
        <v>5</v>
      </c>
      <c r="X5249">
        <v>7</v>
      </c>
      <c r="Y5249">
        <v>165</v>
      </c>
      <c r="Z5249">
        <v>6</v>
      </c>
      <c r="AA5249">
        <v>4</v>
      </c>
      <c r="AB5249">
        <v>25</v>
      </c>
      <c r="AC5249">
        <v>3</v>
      </c>
      <c r="AD5249">
        <v>3</v>
      </c>
      <c r="AE5249">
        <v>0</v>
      </c>
      <c r="AF5249">
        <v>0</v>
      </c>
      <c r="AG5249">
        <v>1</v>
      </c>
      <c r="AH5249">
        <v>2</v>
      </c>
      <c r="AI5249">
        <v>0</v>
      </c>
      <c r="AJ5249">
        <v>1</v>
      </c>
      <c r="AK5249">
        <v>4</v>
      </c>
      <c r="AL5249">
        <v>2</v>
      </c>
      <c r="AM5249">
        <v>0</v>
      </c>
      <c r="AN5249">
        <v>1</v>
      </c>
      <c r="AT5249">
        <v>0</v>
      </c>
      <c r="AU5249">
        <v>0</v>
      </c>
      <c r="AV5249">
        <v>36</v>
      </c>
      <c r="AW5249">
        <v>466</v>
      </c>
      <c r="AX5249">
        <v>726</v>
      </c>
      <c r="BA5249">
        <v>1</v>
      </c>
      <c r="BC5249" t="s">
        <v>10611</v>
      </c>
      <c r="BD5249" s="4">
        <v>43283.217361111114</v>
      </c>
      <c r="BE5249" s="4">
        <v>43283.244444444441</v>
      </c>
      <c r="BF5249" s="4">
        <v>43283.244444444441</v>
      </c>
      <c r="BG5249" t="s">
        <v>83</v>
      </c>
      <c r="BH5249" t="s">
        <v>84</v>
      </c>
      <c r="BI5249" t="s">
        <v>85</v>
      </c>
    </row>
    <row r="5250" spans="1:61" x14ac:dyDescent="0.3">
      <c r="A5250" t="str">
        <f>"201518S0100"</f>
        <v>201518S0100</v>
      </c>
      <c r="B5250" t="s">
        <v>10612</v>
      </c>
      <c r="C5250">
        <v>20</v>
      </c>
      <c r="D5250" t="s">
        <v>79</v>
      </c>
      <c r="E5250">
        <v>25</v>
      </c>
      <c r="F5250" t="s">
        <v>10558</v>
      </c>
      <c r="G5250">
        <v>1518</v>
      </c>
      <c r="H5250">
        <v>1</v>
      </c>
      <c r="I5250" t="s">
        <v>104</v>
      </c>
      <c r="J5250">
        <v>0</v>
      </c>
      <c r="K5250">
        <v>2</v>
      </c>
      <c r="L5250">
        <v>3</v>
      </c>
      <c r="M5250">
        <v>337</v>
      </c>
      <c r="N5250">
        <v>49</v>
      </c>
      <c r="O5250">
        <v>0</v>
      </c>
      <c r="P5250">
        <v>49</v>
      </c>
      <c r="Q5250">
        <v>1</v>
      </c>
      <c r="R5250">
        <v>6</v>
      </c>
      <c r="S5250">
        <v>2</v>
      </c>
      <c r="T5250">
        <v>2</v>
      </c>
      <c r="U5250">
        <v>2</v>
      </c>
      <c r="V5250">
        <v>0</v>
      </c>
      <c r="W5250">
        <v>0</v>
      </c>
      <c r="X5250">
        <v>0</v>
      </c>
      <c r="Y5250">
        <v>30</v>
      </c>
      <c r="Z5250">
        <v>4</v>
      </c>
      <c r="AA5250">
        <v>0</v>
      </c>
      <c r="AB5250">
        <v>0</v>
      </c>
      <c r="AC5250">
        <v>0</v>
      </c>
      <c r="AD5250">
        <v>0</v>
      </c>
      <c r="AE5250">
        <v>0</v>
      </c>
      <c r="AF5250">
        <v>0</v>
      </c>
      <c r="AG5250">
        <v>0</v>
      </c>
      <c r="AH5250">
        <v>0</v>
      </c>
      <c r="AI5250">
        <v>0</v>
      </c>
      <c r="AJ5250">
        <v>0</v>
      </c>
      <c r="AK5250">
        <v>0</v>
      </c>
      <c r="AL5250">
        <v>0</v>
      </c>
      <c r="AM5250">
        <v>0</v>
      </c>
      <c r="AN5250">
        <v>0</v>
      </c>
      <c r="AT5250">
        <v>0</v>
      </c>
      <c r="AU5250">
        <v>2</v>
      </c>
      <c r="AV5250">
        <v>49</v>
      </c>
      <c r="AW5250">
        <v>49</v>
      </c>
      <c r="AX5250">
        <v>0</v>
      </c>
      <c r="BA5250">
        <v>1</v>
      </c>
      <c r="BC5250" t="s">
        <v>10613</v>
      </c>
      <c r="BD5250" s="4">
        <v>43283.178472222222</v>
      </c>
      <c r="BE5250" s="4">
        <v>43283.199907407405</v>
      </c>
      <c r="BF5250" s="4">
        <v>43283.199907407405</v>
      </c>
      <c r="BG5250" t="s">
        <v>83</v>
      </c>
      <c r="BH5250" t="s">
        <v>84</v>
      </c>
      <c r="BI5250" t="s">
        <v>85</v>
      </c>
    </row>
    <row r="5251" spans="1:61" x14ac:dyDescent="0.3">
      <c r="A5251" t="str">
        <f>"201519B0100"</f>
        <v>201519B0100</v>
      </c>
      <c r="B5251" t="s">
        <v>10614</v>
      </c>
      <c r="C5251">
        <v>20</v>
      </c>
      <c r="D5251" t="s">
        <v>79</v>
      </c>
      <c r="E5251">
        <v>25</v>
      </c>
      <c r="F5251" t="s">
        <v>10558</v>
      </c>
      <c r="G5251">
        <v>1519</v>
      </c>
      <c r="H5251">
        <v>1</v>
      </c>
      <c r="I5251" t="s">
        <v>81</v>
      </c>
      <c r="J5251">
        <v>0</v>
      </c>
      <c r="K5251">
        <v>2</v>
      </c>
      <c r="L5251">
        <v>2</v>
      </c>
      <c r="M5251">
        <v>239</v>
      </c>
      <c r="N5251">
        <v>495</v>
      </c>
      <c r="O5251">
        <v>2</v>
      </c>
      <c r="P5251">
        <v>495</v>
      </c>
      <c r="Q5251">
        <v>5</v>
      </c>
      <c r="R5251">
        <v>148</v>
      </c>
      <c r="S5251">
        <v>12</v>
      </c>
      <c r="T5251" t="s">
        <v>315</v>
      </c>
      <c r="U5251">
        <v>14</v>
      </c>
      <c r="V5251">
        <v>5</v>
      </c>
      <c r="W5251">
        <v>5</v>
      </c>
      <c r="X5251">
        <v>8</v>
      </c>
      <c r="Y5251">
        <v>115</v>
      </c>
      <c r="Z5251">
        <v>9</v>
      </c>
      <c r="AA5251">
        <v>5</v>
      </c>
      <c r="AB5251">
        <v>3</v>
      </c>
      <c r="AC5251">
        <v>4</v>
      </c>
      <c r="AD5251">
        <v>4</v>
      </c>
      <c r="AE5251">
        <v>0</v>
      </c>
      <c r="AF5251">
        <v>0</v>
      </c>
      <c r="AG5251">
        <v>2</v>
      </c>
      <c r="AH5251">
        <v>3</v>
      </c>
      <c r="AI5251">
        <v>0</v>
      </c>
      <c r="AJ5251">
        <v>0</v>
      </c>
      <c r="AK5251">
        <v>4</v>
      </c>
      <c r="AL5251">
        <v>0</v>
      </c>
      <c r="AM5251">
        <v>0</v>
      </c>
      <c r="AN5251">
        <v>1</v>
      </c>
      <c r="AT5251">
        <v>0</v>
      </c>
      <c r="AU5251">
        <v>21</v>
      </c>
      <c r="AV5251" t="s">
        <v>100</v>
      </c>
      <c r="AW5251">
        <v>368</v>
      </c>
      <c r="AX5251">
        <v>713</v>
      </c>
      <c r="AZ5251" t="s">
        <v>101</v>
      </c>
      <c r="BA5251">
        <v>1</v>
      </c>
      <c r="BC5251" t="s">
        <v>10615</v>
      </c>
      <c r="BD5251" s="4">
        <v>43283.537499999999</v>
      </c>
      <c r="BE5251" s="4">
        <v>43283.548148148147</v>
      </c>
      <c r="BF5251" s="4">
        <v>43283.548148148147</v>
      </c>
      <c r="BG5251" t="s">
        <v>83</v>
      </c>
      <c r="BH5251" t="s">
        <v>84</v>
      </c>
      <c r="BI5251" t="s">
        <v>548</v>
      </c>
    </row>
    <row r="5252" spans="1:61" x14ac:dyDescent="0.3">
      <c r="A5252" t="str">
        <f>"201519C0100"</f>
        <v>201519C0100</v>
      </c>
      <c r="B5252" t="s">
        <v>10616</v>
      </c>
      <c r="C5252">
        <v>20</v>
      </c>
      <c r="D5252" t="s">
        <v>79</v>
      </c>
      <c r="E5252">
        <v>25</v>
      </c>
      <c r="F5252" t="s">
        <v>10558</v>
      </c>
      <c r="G5252">
        <v>1519</v>
      </c>
      <c r="H5252">
        <v>1</v>
      </c>
      <c r="I5252" t="s">
        <v>89</v>
      </c>
      <c r="J5252">
        <v>0</v>
      </c>
      <c r="K5252">
        <v>2</v>
      </c>
      <c r="L5252">
        <v>2</v>
      </c>
      <c r="M5252">
        <v>255</v>
      </c>
      <c r="N5252">
        <v>480</v>
      </c>
      <c r="O5252">
        <v>2</v>
      </c>
      <c r="P5252">
        <v>480</v>
      </c>
      <c r="Q5252">
        <v>11</v>
      </c>
      <c r="R5252">
        <v>81</v>
      </c>
      <c r="S5252">
        <v>50</v>
      </c>
      <c r="T5252">
        <v>20</v>
      </c>
      <c r="U5252">
        <v>39</v>
      </c>
      <c r="V5252">
        <v>7</v>
      </c>
      <c r="W5252">
        <v>12</v>
      </c>
      <c r="X5252">
        <v>5</v>
      </c>
      <c r="Y5252">
        <v>185</v>
      </c>
      <c r="Z5252">
        <v>14</v>
      </c>
      <c r="AA5252">
        <v>4</v>
      </c>
      <c r="AB5252">
        <v>11</v>
      </c>
      <c r="AC5252">
        <v>1</v>
      </c>
      <c r="AD5252">
        <v>0</v>
      </c>
      <c r="AE5252">
        <v>0</v>
      </c>
      <c r="AF5252">
        <v>1</v>
      </c>
      <c r="AG5252">
        <v>5</v>
      </c>
      <c r="AH5252">
        <v>4</v>
      </c>
      <c r="AI5252">
        <v>0</v>
      </c>
      <c r="AJ5252">
        <v>0</v>
      </c>
      <c r="AK5252">
        <v>5</v>
      </c>
      <c r="AL5252">
        <v>0</v>
      </c>
      <c r="AM5252">
        <v>0</v>
      </c>
      <c r="AN5252">
        <v>3</v>
      </c>
      <c r="AT5252">
        <v>0</v>
      </c>
      <c r="AU5252">
        <v>22</v>
      </c>
      <c r="AV5252" t="s">
        <v>100</v>
      </c>
      <c r="AW5252">
        <v>480</v>
      </c>
      <c r="AX5252">
        <v>713</v>
      </c>
      <c r="BA5252">
        <v>1</v>
      </c>
      <c r="BC5252" t="s">
        <v>10617</v>
      </c>
      <c r="BD5252" s="4">
        <v>43283.538194444445</v>
      </c>
      <c r="BE5252" s="4">
        <v>43283.54247685185</v>
      </c>
      <c r="BF5252" s="4">
        <v>43283.54247685185</v>
      </c>
      <c r="BG5252" t="s">
        <v>83</v>
      </c>
      <c r="BH5252" t="s">
        <v>84</v>
      </c>
      <c r="BI5252" t="s">
        <v>548</v>
      </c>
    </row>
    <row r="5253" spans="1:61" x14ac:dyDescent="0.3">
      <c r="A5253" t="str">
        <f>"201519C0200"</f>
        <v>201519C0200</v>
      </c>
      <c r="B5253" t="s">
        <v>10618</v>
      </c>
      <c r="C5253">
        <v>20</v>
      </c>
      <c r="D5253" t="s">
        <v>79</v>
      </c>
      <c r="E5253">
        <v>25</v>
      </c>
      <c r="F5253" t="s">
        <v>10558</v>
      </c>
      <c r="G5253">
        <v>1519</v>
      </c>
      <c r="H5253">
        <v>2</v>
      </c>
      <c r="I5253" t="s">
        <v>89</v>
      </c>
      <c r="J5253">
        <v>0</v>
      </c>
      <c r="K5253">
        <v>2</v>
      </c>
      <c r="L5253">
        <v>2</v>
      </c>
      <c r="M5253">
        <v>257</v>
      </c>
      <c r="N5253">
        <v>478</v>
      </c>
      <c r="O5253">
        <v>2</v>
      </c>
      <c r="P5253" t="s">
        <v>100</v>
      </c>
      <c r="Q5253">
        <v>14</v>
      </c>
      <c r="R5253">
        <v>100</v>
      </c>
      <c r="S5253">
        <v>45</v>
      </c>
      <c r="T5253">
        <v>28</v>
      </c>
      <c r="U5253">
        <v>24</v>
      </c>
      <c r="V5253">
        <v>6</v>
      </c>
      <c r="W5253">
        <v>17</v>
      </c>
      <c r="X5253">
        <v>12</v>
      </c>
      <c r="Y5253">
        <v>171</v>
      </c>
      <c r="Z5253">
        <v>9</v>
      </c>
      <c r="AA5253">
        <v>1</v>
      </c>
      <c r="AB5253">
        <v>14</v>
      </c>
      <c r="AC5253">
        <v>0</v>
      </c>
      <c r="AD5253">
        <v>2</v>
      </c>
      <c r="AE5253">
        <v>0</v>
      </c>
      <c r="AF5253">
        <v>1</v>
      </c>
      <c r="AG5253">
        <v>3</v>
      </c>
      <c r="AH5253">
        <v>0</v>
      </c>
      <c r="AI5253">
        <v>2</v>
      </c>
      <c r="AJ5253">
        <v>0</v>
      </c>
      <c r="AK5253">
        <v>5</v>
      </c>
      <c r="AL5253">
        <v>1</v>
      </c>
      <c r="AM5253">
        <v>0</v>
      </c>
      <c r="AN5253">
        <v>0</v>
      </c>
      <c r="AT5253" t="s">
        <v>100</v>
      </c>
      <c r="AU5253">
        <v>23</v>
      </c>
      <c r="AV5253">
        <v>478</v>
      </c>
      <c r="AW5253">
        <v>478</v>
      </c>
      <c r="AX5253">
        <v>713</v>
      </c>
      <c r="AZ5253" t="s">
        <v>101</v>
      </c>
      <c r="BA5253">
        <v>1</v>
      </c>
      <c r="BC5253" t="s">
        <v>10619</v>
      </c>
      <c r="BD5253" s="4">
        <v>43283.537499999999</v>
      </c>
      <c r="BE5253" s="4">
        <v>43283.540729166663</v>
      </c>
      <c r="BF5253" s="4">
        <v>43283.540729166663</v>
      </c>
      <c r="BG5253" t="s">
        <v>83</v>
      </c>
      <c r="BH5253" t="s">
        <v>84</v>
      </c>
      <c r="BI5253" t="s">
        <v>85</v>
      </c>
    </row>
    <row r="5254" spans="1:61" x14ac:dyDescent="0.3">
      <c r="A5254" t="str">
        <f>"201519C0300"</f>
        <v>201519C0300</v>
      </c>
      <c r="B5254" t="s">
        <v>10620</v>
      </c>
      <c r="C5254">
        <v>20</v>
      </c>
      <c r="D5254" t="s">
        <v>79</v>
      </c>
      <c r="E5254">
        <v>25</v>
      </c>
      <c r="F5254" t="s">
        <v>10558</v>
      </c>
      <c r="G5254">
        <v>1519</v>
      </c>
      <c r="H5254">
        <v>3</v>
      </c>
      <c r="I5254" t="s">
        <v>89</v>
      </c>
      <c r="J5254">
        <v>0</v>
      </c>
      <c r="K5254">
        <v>2</v>
      </c>
      <c r="L5254">
        <v>2</v>
      </c>
      <c r="M5254">
        <v>254</v>
      </c>
      <c r="N5254">
        <v>481</v>
      </c>
      <c r="O5254">
        <v>3</v>
      </c>
      <c r="P5254">
        <v>481</v>
      </c>
      <c r="Q5254">
        <v>11</v>
      </c>
      <c r="R5254">
        <v>87</v>
      </c>
      <c r="S5254">
        <v>59</v>
      </c>
      <c r="T5254">
        <v>31</v>
      </c>
      <c r="U5254">
        <v>34</v>
      </c>
      <c r="V5254">
        <v>6</v>
      </c>
      <c r="W5254">
        <v>14</v>
      </c>
      <c r="X5254">
        <v>5</v>
      </c>
      <c r="Y5254">
        <v>170</v>
      </c>
      <c r="Z5254">
        <v>12</v>
      </c>
      <c r="AA5254">
        <v>3</v>
      </c>
      <c r="AB5254">
        <v>14</v>
      </c>
      <c r="AC5254">
        <v>1</v>
      </c>
      <c r="AD5254">
        <v>0</v>
      </c>
      <c r="AE5254">
        <v>0</v>
      </c>
      <c r="AF5254">
        <v>0</v>
      </c>
      <c r="AG5254">
        <v>5</v>
      </c>
      <c r="AH5254">
        <v>1</v>
      </c>
      <c r="AI5254">
        <v>0</v>
      </c>
      <c r="AJ5254">
        <v>0</v>
      </c>
      <c r="AK5254">
        <v>6</v>
      </c>
      <c r="AL5254">
        <v>0</v>
      </c>
      <c r="AM5254">
        <v>1</v>
      </c>
      <c r="AN5254">
        <v>1</v>
      </c>
      <c r="AT5254" t="s">
        <v>100</v>
      </c>
      <c r="AU5254">
        <v>19</v>
      </c>
      <c r="AV5254">
        <v>481</v>
      </c>
      <c r="AW5254">
        <v>480</v>
      </c>
      <c r="AX5254">
        <v>713</v>
      </c>
      <c r="AZ5254" t="s">
        <v>101</v>
      </c>
      <c r="BA5254">
        <v>1</v>
      </c>
      <c r="BC5254" t="s">
        <v>10621</v>
      </c>
      <c r="BD5254" s="4">
        <v>43283.184027777781</v>
      </c>
      <c r="BE5254" s="4">
        <v>43283.201342592591</v>
      </c>
      <c r="BF5254" s="4">
        <v>43283.201342592591</v>
      </c>
      <c r="BG5254" t="s">
        <v>83</v>
      </c>
      <c r="BH5254" t="s">
        <v>84</v>
      </c>
      <c r="BI5254" t="s">
        <v>85</v>
      </c>
    </row>
    <row r="5255" spans="1:61" x14ac:dyDescent="0.3">
      <c r="A5255" t="str">
        <f>"201519C0400"</f>
        <v>201519C0400</v>
      </c>
      <c r="B5255" t="s">
        <v>10622</v>
      </c>
      <c r="C5255">
        <v>20</v>
      </c>
      <c r="D5255" t="s">
        <v>79</v>
      </c>
      <c r="E5255">
        <v>25</v>
      </c>
      <c r="F5255" t="s">
        <v>10558</v>
      </c>
      <c r="G5255">
        <v>1519</v>
      </c>
      <c r="H5255">
        <v>4</v>
      </c>
      <c r="I5255" t="s">
        <v>89</v>
      </c>
      <c r="J5255">
        <v>0</v>
      </c>
      <c r="K5255">
        <v>2</v>
      </c>
      <c r="L5255">
        <v>2</v>
      </c>
      <c r="M5255">
        <v>232</v>
      </c>
      <c r="N5255">
        <v>506</v>
      </c>
      <c r="O5255">
        <v>3</v>
      </c>
      <c r="P5255" t="s">
        <v>100</v>
      </c>
      <c r="Q5255">
        <v>19</v>
      </c>
      <c r="R5255">
        <v>73</v>
      </c>
      <c r="S5255">
        <v>56</v>
      </c>
      <c r="T5255">
        <v>40</v>
      </c>
      <c r="U5255">
        <v>27</v>
      </c>
      <c r="V5255">
        <v>12</v>
      </c>
      <c r="W5255">
        <v>15</v>
      </c>
      <c r="X5255">
        <v>4</v>
      </c>
      <c r="Y5255">
        <v>183</v>
      </c>
      <c r="Z5255">
        <v>13</v>
      </c>
      <c r="AA5255">
        <v>3</v>
      </c>
      <c r="AB5255">
        <v>15</v>
      </c>
      <c r="AC5255">
        <v>0</v>
      </c>
      <c r="AD5255">
        <v>0</v>
      </c>
      <c r="AE5255">
        <v>0</v>
      </c>
      <c r="AF5255">
        <v>1</v>
      </c>
      <c r="AG5255">
        <v>6</v>
      </c>
      <c r="AH5255">
        <v>4</v>
      </c>
      <c r="AI5255">
        <v>2</v>
      </c>
      <c r="AJ5255">
        <v>0</v>
      </c>
      <c r="AK5255">
        <v>4</v>
      </c>
      <c r="AL5255">
        <v>4</v>
      </c>
      <c r="AM5255">
        <v>1</v>
      </c>
      <c r="AN5255">
        <v>1</v>
      </c>
      <c r="AT5255">
        <v>0</v>
      </c>
      <c r="AU5255">
        <v>20</v>
      </c>
      <c r="AV5255">
        <v>503</v>
      </c>
      <c r="AW5255">
        <v>503</v>
      </c>
      <c r="AX5255">
        <v>713</v>
      </c>
      <c r="BA5255">
        <v>1</v>
      </c>
      <c r="BC5255" t="s">
        <v>10623</v>
      </c>
      <c r="BD5255" s="4">
        <v>43283.182638888888</v>
      </c>
      <c r="BE5255" s="4">
        <v>43283.202291666668</v>
      </c>
      <c r="BF5255" s="4">
        <v>43283.202291666668</v>
      </c>
      <c r="BG5255" t="s">
        <v>83</v>
      </c>
      <c r="BH5255" t="s">
        <v>84</v>
      </c>
      <c r="BI5255" t="s">
        <v>85</v>
      </c>
    </row>
    <row r="5256" spans="1:61" x14ac:dyDescent="0.3">
      <c r="A5256" t="str">
        <f>"201519E0100"</f>
        <v>201519E0100</v>
      </c>
      <c r="B5256" s="2" t="s">
        <v>10624</v>
      </c>
      <c r="C5256">
        <v>20</v>
      </c>
      <c r="D5256" t="s">
        <v>79</v>
      </c>
      <c r="E5256">
        <v>25</v>
      </c>
      <c r="F5256" t="s">
        <v>10558</v>
      </c>
      <c r="G5256">
        <v>1519</v>
      </c>
      <c r="H5256">
        <v>1</v>
      </c>
      <c r="I5256" t="s">
        <v>145</v>
      </c>
      <c r="J5256">
        <v>0</v>
      </c>
      <c r="K5256">
        <v>2</v>
      </c>
      <c r="L5256">
        <v>2</v>
      </c>
      <c r="M5256">
        <v>158</v>
      </c>
      <c r="N5256">
        <v>291</v>
      </c>
      <c r="O5256">
        <v>2</v>
      </c>
      <c r="P5256">
        <v>291</v>
      </c>
      <c r="Q5256">
        <v>13</v>
      </c>
      <c r="R5256">
        <v>39</v>
      </c>
      <c r="S5256">
        <v>20</v>
      </c>
      <c r="T5256">
        <v>5</v>
      </c>
      <c r="U5256">
        <v>19</v>
      </c>
      <c r="V5256">
        <v>4</v>
      </c>
      <c r="W5256">
        <v>8</v>
      </c>
      <c r="X5256">
        <v>6</v>
      </c>
      <c r="Y5256">
        <v>128</v>
      </c>
      <c r="Z5256">
        <v>7</v>
      </c>
      <c r="AA5256">
        <v>3</v>
      </c>
      <c r="AB5256">
        <v>10</v>
      </c>
      <c r="AC5256">
        <v>1</v>
      </c>
      <c r="AD5256">
        <v>0</v>
      </c>
      <c r="AE5256">
        <v>0</v>
      </c>
      <c r="AF5256">
        <v>0</v>
      </c>
      <c r="AG5256">
        <v>1</v>
      </c>
      <c r="AH5256">
        <v>1</v>
      </c>
      <c r="AI5256">
        <v>0</v>
      </c>
      <c r="AJ5256">
        <v>0</v>
      </c>
      <c r="AK5256">
        <v>5</v>
      </c>
      <c r="AL5256">
        <v>2</v>
      </c>
      <c r="AM5256">
        <v>1</v>
      </c>
      <c r="AN5256">
        <v>0</v>
      </c>
      <c r="AT5256">
        <v>0</v>
      </c>
      <c r="AU5256">
        <v>18</v>
      </c>
      <c r="AV5256">
        <v>291</v>
      </c>
      <c r="AW5256">
        <v>291</v>
      </c>
      <c r="AX5256">
        <v>427</v>
      </c>
      <c r="BA5256">
        <v>1</v>
      </c>
      <c r="BC5256" t="s">
        <v>10625</v>
      </c>
      <c r="BD5256" s="4">
        <v>43283.280555555553</v>
      </c>
      <c r="BE5256" s="4">
        <v>43283.310289351852</v>
      </c>
      <c r="BF5256" s="4">
        <v>43283.310289351852</v>
      </c>
      <c r="BG5256" t="s">
        <v>83</v>
      </c>
      <c r="BH5256" t="s">
        <v>84</v>
      </c>
      <c r="BI5256" t="s">
        <v>85</v>
      </c>
    </row>
    <row r="5257" spans="1:61" x14ac:dyDescent="0.3">
      <c r="A5257" t="str">
        <f>"201520B0100"</f>
        <v>201520B0100</v>
      </c>
      <c r="B5257" t="s">
        <v>10626</v>
      </c>
      <c r="C5257">
        <v>20</v>
      </c>
      <c r="D5257" t="s">
        <v>79</v>
      </c>
      <c r="E5257">
        <v>25</v>
      </c>
      <c r="F5257" t="s">
        <v>10558</v>
      </c>
      <c r="G5257">
        <v>1520</v>
      </c>
      <c r="H5257">
        <v>1</v>
      </c>
      <c r="I5257" t="s">
        <v>81</v>
      </c>
      <c r="J5257">
        <v>0</v>
      </c>
      <c r="K5257">
        <v>2</v>
      </c>
      <c r="L5257">
        <v>2</v>
      </c>
      <c r="M5257">
        <v>162</v>
      </c>
      <c r="N5257">
        <v>384</v>
      </c>
      <c r="O5257">
        <v>4</v>
      </c>
      <c r="P5257">
        <v>382</v>
      </c>
      <c r="Q5257">
        <v>6</v>
      </c>
      <c r="R5257">
        <v>66</v>
      </c>
      <c r="S5257">
        <v>44</v>
      </c>
      <c r="T5257">
        <v>20</v>
      </c>
      <c r="U5257">
        <v>11</v>
      </c>
      <c r="V5257">
        <v>0</v>
      </c>
      <c r="W5257">
        <v>14</v>
      </c>
      <c r="X5257">
        <v>1</v>
      </c>
      <c r="Y5257">
        <v>168</v>
      </c>
      <c r="Z5257">
        <v>7</v>
      </c>
      <c r="AA5257">
        <v>8</v>
      </c>
      <c r="AB5257">
        <v>13</v>
      </c>
      <c r="AC5257">
        <v>0</v>
      </c>
      <c r="AD5257">
        <v>0</v>
      </c>
      <c r="AE5257">
        <v>0</v>
      </c>
      <c r="AF5257">
        <v>0</v>
      </c>
      <c r="AG5257">
        <v>2</v>
      </c>
      <c r="AH5257">
        <v>1</v>
      </c>
      <c r="AI5257">
        <v>0</v>
      </c>
      <c r="AJ5257">
        <v>0</v>
      </c>
      <c r="AK5257">
        <v>5</v>
      </c>
      <c r="AL5257">
        <v>1</v>
      </c>
      <c r="AM5257">
        <v>0</v>
      </c>
      <c r="AN5257">
        <v>2</v>
      </c>
      <c r="AT5257" t="s">
        <v>100</v>
      </c>
      <c r="AU5257">
        <v>13</v>
      </c>
      <c r="AV5257">
        <v>382</v>
      </c>
      <c r="AW5257">
        <v>382</v>
      </c>
      <c r="AX5257">
        <v>524</v>
      </c>
      <c r="AZ5257" t="s">
        <v>101</v>
      </c>
      <c r="BA5257">
        <v>1</v>
      </c>
      <c r="BC5257" t="s">
        <v>10627</v>
      </c>
      <c r="BD5257" s="4">
        <v>43283.136111111111</v>
      </c>
      <c r="BE5257" s="4">
        <v>43283.141782407409</v>
      </c>
      <c r="BF5257" s="4">
        <v>43283.141782407409</v>
      </c>
      <c r="BG5257" t="s">
        <v>83</v>
      </c>
      <c r="BH5257" t="s">
        <v>84</v>
      </c>
      <c r="BI5257" t="s">
        <v>85</v>
      </c>
    </row>
    <row r="5258" spans="1:61" x14ac:dyDescent="0.3">
      <c r="A5258" t="str">
        <f>"201520C0100"</f>
        <v>201520C0100</v>
      </c>
      <c r="B5258" t="s">
        <v>10628</v>
      </c>
      <c r="C5258">
        <v>20</v>
      </c>
      <c r="D5258" t="s">
        <v>79</v>
      </c>
      <c r="E5258">
        <v>25</v>
      </c>
      <c r="F5258" t="s">
        <v>10558</v>
      </c>
      <c r="G5258">
        <v>1520</v>
      </c>
      <c r="H5258">
        <v>1</v>
      </c>
      <c r="I5258" t="s">
        <v>89</v>
      </c>
      <c r="J5258">
        <v>0</v>
      </c>
      <c r="K5258">
        <v>2</v>
      </c>
      <c r="L5258">
        <v>2</v>
      </c>
      <c r="M5258">
        <v>193</v>
      </c>
      <c r="N5258">
        <v>353</v>
      </c>
      <c r="O5258">
        <v>2</v>
      </c>
      <c r="P5258">
        <v>353</v>
      </c>
      <c r="Q5258">
        <v>12</v>
      </c>
      <c r="R5258">
        <v>65</v>
      </c>
      <c r="S5258">
        <v>42</v>
      </c>
      <c r="T5258">
        <v>21</v>
      </c>
      <c r="U5258">
        <v>13</v>
      </c>
      <c r="V5258">
        <v>3</v>
      </c>
      <c r="W5258">
        <v>14</v>
      </c>
      <c r="X5258">
        <v>3</v>
      </c>
      <c r="Y5258">
        <v>124</v>
      </c>
      <c r="Z5258">
        <v>9</v>
      </c>
      <c r="AA5258">
        <v>3</v>
      </c>
      <c r="AB5258">
        <v>12</v>
      </c>
      <c r="AC5258">
        <v>0</v>
      </c>
      <c r="AD5258">
        <v>0</v>
      </c>
      <c r="AE5258">
        <v>0</v>
      </c>
      <c r="AF5258">
        <v>1</v>
      </c>
      <c r="AG5258">
        <v>4</v>
      </c>
      <c r="AH5258">
        <v>4</v>
      </c>
      <c r="AI5258">
        <v>0</v>
      </c>
      <c r="AJ5258">
        <v>0</v>
      </c>
      <c r="AK5258">
        <v>2</v>
      </c>
      <c r="AL5258">
        <v>0</v>
      </c>
      <c r="AM5258">
        <v>0</v>
      </c>
      <c r="AN5258">
        <v>1</v>
      </c>
      <c r="AT5258">
        <v>0</v>
      </c>
      <c r="AU5258">
        <v>20</v>
      </c>
      <c r="AV5258">
        <v>353</v>
      </c>
      <c r="AW5258">
        <v>353</v>
      </c>
      <c r="AX5258">
        <v>524</v>
      </c>
      <c r="BA5258">
        <v>1</v>
      </c>
      <c r="BC5258" t="s">
        <v>10629</v>
      </c>
      <c r="BD5258" s="4">
        <v>43283.136111111111</v>
      </c>
      <c r="BE5258" s="4">
        <v>43283.143078703702</v>
      </c>
      <c r="BF5258" s="4">
        <v>43283.143078703702</v>
      </c>
      <c r="BG5258" t="s">
        <v>83</v>
      </c>
      <c r="BH5258" t="s">
        <v>84</v>
      </c>
      <c r="BI5258" t="s">
        <v>85</v>
      </c>
    </row>
    <row r="5259" spans="1:61" x14ac:dyDescent="0.3">
      <c r="A5259" t="str">
        <f>"201520C0200"</f>
        <v>201520C0200</v>
      </c>
      <c r="B5259" t="s">
        <v>10630</v>
      </c>
      <c r="C5259">
        <v>20</v>
      </c>
      <c r="D5259" t="s">
        <v>79</v>
      </c>
      <c r="E5259">
        <v>25</v>
      </c>
      <c r="F5259" t="s">
        <v>10558</v>
      </c>
      <c r="G5259">
        <v>1520</v>
      </c>
      <c r="H5259">
        <v>2</v>
      </c>
      <c r="I5259" t="s">
        <v>89</v>
      </c>
      <c r="J5259">
        <v>0</v>
      </c>
      <c r="K5259">
        <v>2</v>
      </c>
      <c r="L5259">
        <v>2</v>
      </c>
      <c r="M5259">
        <v>151</v>
      </c>
      <c r="N5259">
        <v>394</v>
      </c>
      <c r="O5259">
        <v>4</v>
      </c>
      <c r="P5259">
        <v>394</v>
      </c>
      <c r="Q5259">
        <v>5</v>
      </c>
      <c r="R5259">
        <v>78</v>
      </c>
      <c r="S5259">
        <v>45</v>
      </c>
      <c r="T5259">
        <v>16</v>
      </c>
      <c r="U5259">
        <v>14</v>
      </c>
      <c r="V5259">
        <v>5</v>
      </c>
      <c r="W5259">
        <v>10</v>
      </c>
      <c r="X5259">
        <v>5</v>
      </c>
      <c r="Y5259">
        <v>166</v>
      </c>
      <c r="Z5259">
        <v>8</v>
      </c>
      <c r="AA5259">
        <v>1</v>
      </c>
      <c r="AB5259">
        <v>14</v>
      </c>
      <c r="AC5259">
        <v>0</v>
      </c>
      <c r="AD5259">
        <v>1</v>
      </c>
      <c r="AE5259">
        <v>0</v>
      </c>
      <c r="AF5259">
        <v>0</v>
      </c>
      <c r="AG5259">
        <v>2</v>
      </c>
      <c r="AH5259">
        <v>0</v>
      </c>
      <c r="AI5259">
        <v>0</v>
      </c>
      <c r="AJ5259">
        <v>0</v>
      </c>
      <c r="AK5259">
        <v>3</v>
      </c>
      <c r="AL5259">
        <v>1</v>
      </c>
      <c r="AM5259">
        <v>0</v>
      </c>
      <c r="AN5259">
        <v>1</v>
      </c>
      <c r="AT5259">
        <v>0</v>
      </c>
      <c r="AU5259">
        <v>19</v>
      </c>
      <c r="AV5259">
        <v>394</v>
      </c>
      <c r="AW5259">
        <v>394</v>
      </c>
      <c r="AX5259">
        <v>523</v>
      </c>
      <c r="BA5259">
        <v>1</v>
      </c>
      <c r="BC5259" t="s">
        <v>10631</v>
      </c>
      <c r="BD5259" s="4">
        <v>43283.135416666664</v>
      </c>
      <c r="BE5259" s="4">
        <v>43283.142696759256</v>
      </c>
      <c r="BF5259" s="4">
        <v>43283.142696759256</v>
      </c>
      <c r="BG5259" t="s">
        <v>83</v>
      </c>
      <c r="BH5259" t="s">
        <v>84</v>
      </c>
      <c r="BI5259" t="s">
        <v>85</v>
      </c>
    </row>
    <row r="5260" spans="1:61" x14ac:dyDescent="0.3">
      <c r="A5260" t="str">
        <f>"201521B0100"</f>
        <v>201521B0100</v>
      </c>
      <c r="B5260" t="s">
        <v>10632</v>
      </c>
      <c r="C5260">
        <v>20</v>
      </c>
      <c r="D5260" t="s">
        <v>79</v>
      </c>
      <c r="E5260">
        <v>25</v>
      </c>
      <c r="F5260" t="s">
        <v>10558</v>
      </c>
      <c r="G5260">
        <v>1521</v>
      </c>
      <c r="H5260">
        <v>1</v>
      </c>
      <c r="I5260" t="s">
        <v>81</v>
      </c>
      <c r="J5260">
        <v>0</v>
      </c>
      <c r="K5260">
        <v>2</v>
      </c>
      <c r="L5260">
        <v>2</v>
      </c>
      <c r="M5260">
        <v>133</v>
      </c>
      <c r="N5260">
        <v>270</v>
      </c>
      <c r="O5260">
        <v>10</v>
      </c>
      <c r="P5260">
        <v>270</v>
      </c>
      <c r="Q5260">
        <v>5</v>
      </c>
      <c r="R5260">
        <v>47</v>
      </c>
      <c r="S5260">
        <v>33</v>
      </c>
      <c r="T5260">
        <v>5</v>
      </c>
      <c r="U5260">
        <v>12</v>
      </c>
      <c r="V5260">
        <v>0</v>
      </c>
      <c r="W5260">
        <v>13</v>
      </c>
      <c r="X5260">
        <v>5</v>
      </c>
      <c r="Y5260">
        <v>109</v>
      </c>
      <c r="Z5260">
        <v>3</v>
      </c>
      <c r="AA5260">
        <v>1</v>
      </c>
      <c r="AB5260">
        <v>15</v>
      </c>
      <c r="AC5260">
        <v>1</v>
      </c>
      <c r="AD5260">
        <v>0</v>
      </c>
      <c r="AE5260">
        <v>0</v>
      </c>
      <c r="AF5260">
        <v>0</v>
      </c>
      <c r="AG5260">
        <v>3</v>
      </c>
      <c r="AH5260">
        <v>0</v>
      </c>
      <c r="AI5260">
        <v>0</v>
      </c>
      <c r="AJ5260">
        <v>0</v>
      </c>
      <c r="AK5260">
        <v>4</v>
      </c>
      <c r="AL5260">
        <v>1</v>
      </c>
      <c r="AM5260">
        <v>0</v>
      </c>
      <c r="AN5260">
        <v>0</v>
      </c>
      <c r="AT5260">
        <v>0</v>
      </c>
      <c r="AU5260">
        <v>13</v>
      </c>
      <c r="AV5260">
        <v>270</v>
      </c>
      <c r="AW5260">
        <v>270</v>
      </c>
      <c r="AX5260">
        <v>381</v>
      </c>
      <c r="BA5260">
        <v>1</v>
      </c>
      <c r="BC5260" t="s">
        <v>10633</v>
      </c>
      <c r="BD5260" s="4">
        <v>43283.53402777778</v>
      </c>
      <c r="BE5260" s="4">
        <v>43283.53974537037</v>
      </c>
      <c r="BF5260" s="4">
        <v>43283.53974537037</v>
      </c>
      <c r="BG5260" t="s">
        <v>83</v>
      </c>
      <c r="BH5260" t="s">
        <v>84</v>
      </c>
      <c r="BI5260" t="s">
        <v>548</v>
      </c>
    </row>
    <row r="5261" spans="1:61" x14ac:dyDescent="0.3">
      <c r="A5261" t="str">
        <f>"201521E0100"</f>
        <v>201521E0100</v>
      </c>
      <c r="B5261" s="2" t="s">
        <v>10634</v>
      </c>
      <c r="C5261">
        <v>20</v>
      </c>
      <c r="D5261" t="s">
        <v>79</v>
      </c>
      <c r="E5261">
        <v>25</v>
      </c>
      <c r="F5261" t="s">
        <v>10558</v>
      </c>
      <c r="G5261">
        <v>1521</v>
      </c>
      <c r="H5261">
        <v>1</v>
      </c>
      <c r="I5261" t="s">
        <v>145</v>
      </c>
      <c r="J5261">
        <v>0</v>
      </c>
      <c r="K5261">
        <v>2</v>
      </c>
      <c r="L5261">
        <v>2</v>
      </c>
      <c r="M5261">
        <v>179</v>
      </c>
      <c r="N5261">
        <v>362</v>
      </c>
      <c r="O5261">
        <v>8</v>
      </c>
      <c r="P5261">
        <v>362</v>
      </c>
      <c r="Q5261">
        <v>28</v>
      </c>
      <c r="R5261">
        <v>25</v>
      </c>
      <c r="S5261">
        <v>26</v>
      </c>
      <c r="T5261">
        <v>7</v>
      </c>
      <c r="U5261">
        <v>35</v>
      </c>
      <c r="V5261">
        <v>3</v>
      </c>
      <c r="W5261">
        <v>2</v>
      </c>
      <c r="X5261">
        <v>0</v>
      </c>
      <c r="Y5261">
        <v>187</v>
      </c>
      <c r="Z5261">
        <v>8</v>
      </c>
      <c r="AA5261">
        <v>0</v>
      </c>
      <c r="AB5261">
        <v>3</v>
      </c>
      <c r="AC5261">
        <v>1</v>
      </c>
      <c r="AD5261">
        <v>1</v>
      </c>
      <c r="AE5261">
        <v>1</v>
      </c>
      <c r="AF5261">
        <v>0</v>
      </c>
      <c r="AG5261">
        <v>0</v>
      </c>
      <c r="AH5261">
        <v>1</v>
      </c>
      <c r="AI5261">
        <v>1</v>
      </c>
      <c r="AJ5261">
        <v>0</v>
      </c>
      <c r="AK5261">
        <v>0</v>
      </c>
      <c r="AL5261">
        <v>13</v>
      </c>
      <c r="AM5261">
        <v>4</v>
      </c>
      <c r="AN5261">
        <v>0</v>
      </c>
      <c r="AT5261">
        <v>0</v>
      </c>
      <c r="AU5261">
        <v>18</v>
      </c>
      <c r="AV5261">
        <v>362</v>
      </c>
      <c r="AW5261">
        <v>364</v>
      </c>
      <c r="AX5261">
        <v>519</v>
      </c>
      <c r="BA5261">
        <v>1</v>
      </c>
      <c r="BC5261" t="s">
        <v>10635</v>
      </c>
      <c r="BD5261" s="4">
        <v>43283.118750000001</v>
      </c>
      <c r="BE5261" s="4">
        <v>43283.123993055553</v>
      </c>
      <c r="BF5261" s="4">
        <v>43283.123993055553</v>
      </c>
      <c r="BG5261" t="s">
        <v>83</v>
      </c>
      <c r="BH5261" t="s">
        <v>84</v>
      </c>
      <c r="BI5261" t="s">
        <v>85</v>
      </c>
    </row>
    <row r="5262" spans="1:61" x14ac:dyDescent="0.3">
      <c r="A5262" t="str">
        <f>"201522B0100"</f>
        <v>201522B0100</v>
      </c>
      <c r="B5262" t="s">
        <v>10636</v>
      </c>
      <c r="C5262">
        <v>20</v>
      </c>
      <c r="D5262" t="s">
        <v>79</v>
      </c>
      <c r="E5262">
        <v>25</v>
      </c>
      <c r="F5262" t="s">
        <v>10558</v>
      </c>
      <c r="G5262">
        <v>1522</v>
      </c>
      <c r="H5262">
        <v>1</v>
      </c>
      <c r="I5262" t="s">
        <v>81</v>
      </c>
      <c r="J5262">
        <v>0</v>
      </c>
      <c r="K5262">
        <v>2</v>
      </c>
      <c r="L5262">
        <v>2</v>
      </c>
      <c r="M5262">
        <v>198</v>
      </c>
      <c r="N5262">
        <v>480</v>
      </c>
      <c r="O5262">
        <v>8</v>
      </c>
      <c r="P5262">
        <v>480</v>
      </c>
      <c r="Q5262">
        <v>19</v>
      </c>
      <c r="R5262">
        <v>87</v>
      </c>
      <c r="S5262">
        <v>38</v>
      </c>
      <c r="T5262">
        <v>15</v>
      </c>
      <c r="U5262">
        <v>24</v>
      </c>
      <c r="V5262">
        <v>5</v>
      </c>
      <c r="W5262">
        <v>8</v>
      </c>
      <c r="X5262">
        <v>10</v>
      </c>
      <c r="Y5262">
        <v>200</v>
      </c>
      <c r="Z5262">
        <v>12</v>
      </c>
      <c r="AA5262">
        <v>0</v>
      </c>
      <c r="AB5262">
        <v>14</v>
      </c>
      <c r="AC5262">
        <v>0</v>
      </c>
      <c r="AD5262">
        <v>2</v>
      </c>
      <c r="AE5262">
        <v>1</v>
      </c>
      <c r="AF5262">
        <v>1</v>
      </c>
      <c r="AG5262">
        <v>2</v>
      </c>
      <c r="AH5262">
        <v>1</v>
      </c>
      <c r="AI5262">
        <v>4</v>
      </c>
      <c r="AJ5262">
        <v>0</v>
      </c>
      <c r="AK5262">
        <v>7</v>
      </c>
      <c r="AL5262">
        <v>2</v>
      </c>
      <c r="AM5262">
        <v>0</v>
      </c>
      <c r="AN5262">
        <v>0</v>
      </c>
      <c r="AT5262">
        <v>0</v>
      </c>
      <c r="AU5262">
        <v>27</v>
      </c>
      <c r="AV5262">
        <v>480</v>
      </c>
      <c r="AW5262">
        <v>479</v>
      </c>
      <c r="AX5262">
        <v>655</v>
      </c>
      <c r="BA5262">
        <v>1</v>
      </c>
      <c r="BC5262" t="s">
        <v>10637</v>
      </c>
      <c r="BD5262" s="4">
        <v>43283.111805555556</v>
      </c>
      <c r="BE5262" s="4">
        <v>43283.117800925924</v>
      </c>
      <c r="BF5262" s="4">
        <v>43283.117800925924</v>
      </c>
      <c r="BG5262" t="s">
        <v>83</v>
      </c>
      <c r="BH5262" t="s">
        <v>84</v>
      </c>
      <c r="BI5262" t="s">
        <v>85</v>
      </c>
    </row>
    <row r="5263" spans="1:61" x14ac:dyDescent="0.3">
      <c r="A5263" t="str">
        <f>"201522C0100"</f>
        <v>201522C0100</v>
      </c>
      <c r="B5263" t="s">
        <v>10638</v>
      </c>
      <c r="C5263">
        <v>20</v>
      </c>
      <c r="D5263" t="s">
        <v>79</v>
      </c>
      <c r="E5263">
        <v>25</v>
      </c>
      <c r="F5263" t="s">
        <v>10558</v>
      </c>
      <c r="G5263">
        <v>1522</v>
      </c>
      <c r="H5263">
        <v>1</v>
      </c>
      <c r="I5263" t="s">
        <v>89</v>
      </c>
      <c r="J5263">
        <v>0</v>
      </c>
      <c r="K5263">
        <v>2</v>
      </c>
      <c r="L5263">
        <v>2</v>
      </c>
      <c r="M5263">
        <v>241</v>
      </c>
      <c r="N5263">
        <v>436</v>
      </c>
      <c r="O5263">
        <v>6</v>
      </c>
      <c r="P5263">
        <v>436</v>
      </c>
      <c r="Q5263">
        <v>13</v>
      </c>
      <c r="R5263">
        <v>89</v>
      </c>
      <c r="S5263">
        <v>40</v>
      </c>
      <c r="T5263">
        <v>30</v>
      </c>
      <c r="U5263">
        <v>20</v>
      </c>
      <c r="V5263">
        <v>1</v>
      </c>
      <c r="W5263">
        <v>8</v>
      </c>
      <c r="X5263">
        <v>3</v>
      </c>
      <c r="Y5263">
        <v>157</v>
      </c>
      <c r="Z5263">
        <v>8</v>
      </c>
      <c r="AA5263">
        <v>3</v>
      </c>
      <c r="AB5263">
        <v>13</v>
      </c>
      <c r="AC5263">
        <v>0</v>
      </c>
      <c r="AD5263">
        <v>0</v>
      </c>
      <c r="AE5263">
        <v>0</v>
      </c>
      <c r="AF5263">
        <v>1</v>
      </c>
      <c r="AG5263">
        <v>2</v>
      </c>
      <c r="AH5263">
        <v>0</v>
      </c>
      <c r="AI5263">
        <v>1</v>
      </c>
      <c r="AJ5263">
        <v>0</v>
      </c>
      <c r="AK5263">
        <v>5</v>
      </c>
      <c r="AL5263">
        <v>2</v>
      </c>
      <c r="AM5263">
        <v>0</v>
      </c>
      <c r="AN5263">
        <v>1</v>
      </c>
      <c r="AT5263">
        <v>0</v>
      </c>
      <c r="AU5263">
        <v>39</v>
      </c>
      <c r="AV5263">
        <v>436</v>
      </c>
      <c r="AW5263">
        <v>436</v>
      </c>
      <c r="AX5263">
        <v>655</v>
      </c>
      <c r="BA5263">
        <v>1</v>
      </c>
      <c r="BC5263" t="s">
        <v>10639</v>
      </c>
      <c r="BD5263" s="4">
        <v>43283.113888888889</v>
      </c>
      <c r="BE5263" s="4">
        <v>43283.119976851849</v>
      </c>
      <c r="BF5263" s="4">
        <v>43283.119976851849</v>
      </c>
      <c r="BG5263" t="s">
        <v>83</v>
      </c>
      <c r="BH5263" t="s">
        <v>84</v>
      </c>
      <c r="BI5263" t="s">
        <v>85</v>
      </c>
    </row>
    <row r="5264" spans="1:61" x14ac:dyDescent="0.3">
      <c r="A5264" t="str">
        <f>"201522C0200"</f>
        <v>201522C0200</v>
      </c>
      <c r="B5264" t="s">
        <v>10640</v>
      </c>
      <c r="C5264">
        <v>20</v>
      </c>
      <c r="D5264" t="s">
        <v>79</v>
      </c>
      <c r="E5264">
        <v>25</v>
      </c>
      <c r="F5264" t="s">
        <v>10558</v>
      </c>
      <c r="G5264">
        <v>1522</v>
      </c>
      <c r="H5264">
        <v>2</v>
      </c>
      <c r="I5264" t="s">
        <v>89</v>
      </c>
      <c r="J5264">
        <v>0</v>
      </c>
      <c r="K5264">
        <v>2</v>
      </c>
      <c r="L5264">
        <v>2</v>
      </c>
      <c r="M5264">
        <v>256</v>
      </c>
      <c r="N5264">
        <v>420</v>
      </c>
      <c r="O5264">
        <v>3</v>
      </c>
      <c r="P5264">
        <v>420</v>
      </c>
      <c r="Q5264">
        <v>9</v>
      </c>
      <c r="R5264">
        <v>74</v>
      </c>
      <c r="S5264">
        <v>33</v>
      </c>
      <c r="T5264">
        <v>11</v>
      </c>
      <c r="U5264">
        <v>37</v>
      </c>
      <c r="V5264">
        <v>6</v>
      </c>
      <c r="W5264">
        <v>6</v>
      </c>
      <c r="X5264">
        <v>9</v>
      </c>
      <c r="Y5264">
        <v>165</v>
      </c>
      <c r="Z5264">
        <v>7</v>
      </c>
      <c r="AA5264">
        <v>3</v>
      </c>
      <c r="AB5264">
        <v>14</v>
      </c>
      <c r="AC5264">
        <v>4</v>
      </c>
      <c r="AD5264">
        <v>0</v>
      </c>
      <c r="AE5264">
        <v>0</v>
      </c>
      <c r="AF5264">
        <v>0</v>
      </c>
      <c r="AG5264">
        <v>5</v>
      </c>
      <c r="AH5264">
        <v>2</v>
      </c>
      <c r="AI5264">
        <v>1</v>
      </c>
      <c r="AJ5264">
        <v>0</v>
      </c>
      <c r="AK5264">
        <v>11</v>
      </c>
      <c r="AL5264">
        <v>5</v>
      </c>
      <c r="AM5264">
        <v>0</v>
      </c>
      <c r="AN5264">
        <v>1</v>
      </c>
      <c r="AT5264" t="s">
        <v>100</v>
      </c>
      <c r="AU5264">
        <v>17</v>
      </c>
      <c r="AV5264">
        <v>420</v>
      </c>
      <c r="AW5264">
        <v>420</v>
      </c>
      <c r="AX5264">
        <v>654</v>
      </c>
      <c r="AZ5264" t="s">
        <v>101</v>
      </c>
      <c r="BA5264">
        <v>1</v>
      </c>
      <c r="BC5264" t="s">
        <v>10641</v>
      </c>
      <c r="BD5264" s="4">
        <v>43283.111111111109</v>
      </c>
      <c r="BE5264" s="4">
        <v>43283.116493055553</v>
      </c>
      <c r="BF5264" s="4">
        <v>43283.116493055553</v>
      </c>
      <c r="BG5264" t="s">
        <v>83</v>
      </c>
      <c r="BH5264" t="s">
        <v>84</v>
      </c>
      <c r="BI5264" t="s">
        <v>85</v>
      </c>
    </row>
    <row r="5265" spans="1:61" x14ac:dyDescent="0.3">
      <c r="A5265" t="str">
        <f>"201522C0300"</f>
        <v>201522C0300</v>
      </c>
      <c r="B5265" t="s">
        <v>10642</v>
      </c>
      <c r="C5265">
        <v>20</v>
      </c>
      <c r="D5265" t="s">
        <v>79</v>
      </c>
      <c r="E5265">
        <v>25</v>
      </c>
      <c r="F5265" t="s">
        <v>10558</v>
      </c>
      <c r="G5265">
        <v>1522</v>
      </c>
      <c r="H5265">
        <v>3</v>
      </c>
      <c r="I5265" t="s">
        <v>89</v>
      </c>
      <c r="J5265">
        <v>0</v>
      </c>
      <c r="K5265">
        <v>2</v>
      </c>
      <c r="L5265">
        <v>2</v>
      </c>
      <c r="M5265">
        <v>223</v>
      </c>
      <c r="N5265">
        <v>453</v>
      </c>
      <c r="O5265">
        <v>7</v>
      </c>
      <c r="P5265">
        <v>453</v>
      </c>
      <c r="Q5265">
        <v>12</v>
      </c>
      <c r="R5265">
        <v>100</v>
      </c>
      <c r="S5265">
        <v>47</v>
      </c>
      <c r="T5265">
        <v>8</v>
      </c>
      <c r="U5265">
        <v>18</v>
      </c>
      <c r="V5265">
        <v>5</v>
      </c>
      <c r="W5265">
        <v>10</v>
      </c>
      <c r="X5265">
        <v>8</v>
      </c>
      <c r="Y5265">
        <v>167</v>
      </c>
      <c r="Z5265">
        <v>10</v>
      </c>
      <c r="AA5265">
        <v>4</v>
      </c>
      <c r="AB5265">
        <v>14</v>
      </c>
      <c r="AC5265">
        <v>1</v>
      </c>
      <c r="AD5265">
        <v>1</v>
      </c>
      <c r="AE5265">
        <v>0</v>
      </c>
      <c r="AF5265">
        <v>1</v>
      </c>
      <c r="AG5265">
        <v>3</v>
      </c>
      <c r="AH5265">
        <v>6</v>
      </c>
      <c r="AI5265">
        <v>1</v>
      </c>
      <c r="AJ5265">
        <v>0</v>
      </c>
      <c r="AK5265">
        <v>6</v>
      </c>
      <c r="AL5265">
        <v>1</v>
      </c>
      <c r="AM5265">
        <v>1</v>
      </c>
      <c r="AN5265">
        <v>0</v>
      </c>
      <c r="AT5265" t="s">
        <v>100</v>
      </c>
      <c r="AU5265">
        <v>29</v>
      </c>
      <c r="AV5265" t="s">
        <v>100</v>
      </c>
      <c r="AW5265">
        <v>453</v>
      </c>
      <c r="AX5265">
        <v>654</v>
      </c>
      <c r="AZ5265" t="s">
        <v>101</v>
      </c>
      <c r="BA5265">
        <v>1</v>
      </c>
      <c r="BC5265" t="s">
        <v>10643</v>
      </c>
      <c r="BD5265" s="4">
        <v>43283.112500000003</v>
      </c>
      <c r="BE5265" s="4">
        <v>43283.121342592596</v>
      </c>
      <c r="BF5265" s="4">
        <v>43283.121342592596</v>
      </c>
      <c r="BG5265" t="s">
        <v>83</v>
      </c>
      <c r="BH5265" t="s">
        <v>84</v>
      </c>
      <c r="BI5265" t="s">
        <v>85</v>
      </c>
    </row>
    <row r="5266" spans="1:61" x14ac:dyDescent="0.3">
      <c r="A5266" t="str">
        <f>"201523B0100"</f>
        <v>201523B0100</v>
      </c>
      <c r="B5266" t="s">
        <v>10644</v>
      </c>
      <c r="C5266">
        <v>20</v>
      </c>
      <c r="D5266" t="s">
        <v>79</v>
      </c>
      <c r="E5266">
        <v>25</v>
      </c>
      <c r="F5266" t="s">
        <v>10558</v>
      </c>
      <c r="G5266">
        <v>1523</v>
      </c>
      <c r="H5266">
        <v>1</v>
      </c>
      <c r="I5266" t="s">
        <v>81</v>
      </c>
      <c r="J5266">
        <v>0</v>
      </c>
      <c r="K5266">
        <v>2</v>
      </c>
      <c r="L5266">
        <v>2</v>
      </c>
      <c r="M5266">
        <v>168</v>
      </c>
      <c r="N5266">
        <v>305</v>
      </c>
      <c r="O5266">
        <v>3</v>
      </c>
      <c r="P5266">
        <v>305</v>
      </c>
      <c r="Q5266">
        <v>16</v>
      </c>
      <c r="R5266">
        <v>143</v>
      </c>
      <c r="S5266">
        <v>8</v>
      </c>
      <c r="T5266">
        <v>80</v>
      </c>
      <c r="U5266">
        <v>7</v>
      </c>
      <c r="V5266">
        <v>1</v>
      </c>
      <c r="W5266">
        <v>0</v>
      </c>
      <c r="X5266">
        <v>5</v>
      </c>
      <c r="Y5266">
        <v>34</v>
      </c>
      <c r="Z5266">
        <v>0</v>
      </c>
      <c r="AA5266">
        <v>0</v>
      </c>
      <c r="AB5266">
        <v>1</v>
      </c>
      <c r="AC5266">
        <v>0</v>
      </c>
      <c r="AD5266">
        <v>0</v>
      </c>
      <c r="AE5266">
        <v>0</v>
      </c>
      <c r="AF5266">
        <v>0</v>
      </c>
      <c r="AG5266">
        <v>0</v>
      </c>
      <c r="AH5266">
        <v>2</v>
      </c>
      <c r="AI5266">
        <v>0</v>
      </c>
      <c r="AJ5266">
        <v>0</v>
      </c>
      <c r="AK5266">
        <v>0</v>
      </c>
      <c r="AL5266">
        <v>1</v>
      </c>
      <c r="AM5266">
        <v>0</v>
      </c>
      <c r="AN5266">
        <v>0</v>
      </c>
      <c r="AT5266">
        <v>0</v>
      </c>
      <c r="AU5266">
        <v>7</v>
      </c>
      <c r="AV5266">
        <v>305</v>
      </c>
      <c r="AW5266">
        <v>305</v>
      </c>
      <c r="AX5266">
        <v>451</v>
      </c>
      <c r="BA5266">
        <v>1</v>
      </c>
      <c r="BC5266" t="s">
        <v>10645</v>
      </c>
      <c r="BD5266" s="4">
        <v>43283.180555555555</v>
      </c>
      <c r="BE5266" s="4">
        <v>43283.205104166664</v>
      </c>
      <c r="BF5266" s="4">
        <v>43283.205104166664</v>
      </c>
      <c r="BG5266" t="s">
        <v>83</v>
      </c>
      <c r="BH5266" t="s">
        <v>84</v>
      </c>
      <c r="BI5266" t="s">
        <v>85</v>
      </c>
    </row>
    <row r="5267" spans="1:61" x14ac:dyDescent="0.3">
      <c r="A5267" t="str">
        <f>"201523C0100"</f>
        <v>201523C0100</v>
      </c>
      <c r="B5267" t="s">
        <v>10646</v>
      </c>
      <c r="C5267">
        <v>20</v>
      </c>
      <c r="D5267" t="s">
        <v>79</v>
      </c>
      <c r="E5267">
        <v>25</v>
      </c>
      <c r="F5267" t="s">
        <v>10558</v>
      </c>
      <c r="G5267">
        <v>1523</v>
      </c>
      <c r="H5267">
        <v>1</v>
      </c>
      <c r="I5267" t="s">
        <v>89</v>
      </c>
      <c r="J5267">
        <v>0</v>
      </c>
      <c r="K5267">
        <v>2</v>
      </c>
      <c r="L5267">
        <v>2</v>
      </c>
      <c r="M5267">
        <v>151</v>
      </c>
      <c r="N5267">
        <v>322</v>
      </c>
      <c r="O5267">
        <v>2</v>
      </c>
      <c r="P5267">
        <v>322</v>
      </c>
      <c r="Q5267">
        <v>14</v>
      </c>
      <c r="R5267">
        <v>153</v>
      </c>
      <c r="S5267">
        <v>4</v>
      </c>
      <c r="T5267">
        <v>101</v>
      </c>
      <c r="U5267">
        <v>6</v>
      </c>
      <c r="V5267">
        <v>2</v>
      </c>
      <c r="W5267">
        <v>0</v>
      </c>
      <c r="X5267">
        <v>3</v>
      </c>
      <c r="Y5267">
        <v>20</v>
      </c>
      <c r="Z5267">
        <v>2</v>
      </c>
      <c r="AA5267">
        <v>0</v>
      </c>
      <c r="AB5267">
        <v>1</v>
      </c>
      <c r="AC5267">
        <v>0</v>
      </c>
      <c r="AD5267">
        <v>0</v>
      </c>
      <c r="AE5267">
        <v>0</v>
      </c>
      <c r="AF5267">
        <v>0</v>
      </c>
      <c r="AG5267">
        <v>0</v>
      </c>
      <c r="AH5267">
        <v>1</v>
      </c>
      <c r="AI5267">
        <v>0</v>
      </c>
      <c r="AJ5267">
        <v>0</v>
      </c>
      <c r="AK5267">
        <v>1</v>
      </c>
      <c r="AL5267">
        <v>0</v>
      </c>
      <c r="AM5267">
        <v>0</v>
      </c>
      <c r="AN5267">
        <v>0</v>
      </c>
      <c r="AT5267">
        <v>0</v>
      </c>
      <c r="AU5267">
        <v>14</v>
      </c>
      <c r="AV5267">
        <v>322</v>
      </c>
      <c r="AW5267">
        <v>322</v>
      </c>
      <c r="AX5267">
        <v>451</v>
      </c>
      <c r="BA5267">
        <v>1</v>
      </c>
      <c r="BC5267" t="s">
        <v>10647</v>
      </c>
      <c r="BD5267" s="4">
        <v>43283.180555555555</v>
      </c>
      <c r="BE5267" s="4">
        <v>43283.21261574074</v>
      </c>
      <c r="BF5267" s="4">
        <v>43283.21261574074</v>
      </c>
      <c r="BG5267" t="s">
        <v>83</v>
      </c>
      <c r="BH5267" t="s">
        <v>84</v>
      </c>
      <c r="BI5267" t="s">
        <v>85</v>
      </c>
    </row>
    <row r="5268" spans="1:61" x14ac:dyDescent="0.3">
      <c r="A5268" t="str">
        <f>"201524B0100"</f>
        <v>201524B0100</v>
      </c>
      <c r="B5268" t="s">
        <v>10648</v>
      </c>
      <c r="C5268">
        <v>20</v>
      </c>
      <c r="D5268" t="s">
        <v>79</v>
      </c>
      <c r="E5268">
        <v>25</v>
      </c>
      <c r="F5268" t="s">
        <v>10558</v>
      </c>
      <c r="G5268">
        <v>1524</v>
      </c>
      <c r="H5268">
        <v>1</v>
      </c>
      <c r="I5268" t="s">
        <v>81</v>
      </c>
      <c r="J5268">
        <v>0</v>
      </c>
      <c r="K5268">
        <v>2</v>
      </c>
      <c r="L5268">
        <v>2</v>
      </c>
      <c r="M5268">
        <v>177</v>
      </c>
      <c r="N5268">
        <v>284</v>
      </c>
      <c r="O5268">
        <v>0</v>
      </c>
      <c r="P5268">
        <v>0</v>
      </c>
      <c r="Q5268">
        <v>15</v>
      </c>
      <c r="R5268">
        <v>55</v>
      </c>
      <c r="S5268">
        <v>15</v>
      </c>
      <c r="T5268">
        <v>5</v>
      </c>
      <c r="U5268">
        <v>12</v>
      </c>
      <c r="V5268">
        <v>2</v>
      </c>
      <c r="W5268">
        <v>4</v>
      </c>
      <c r="X5268">
        <v>5</v>
      </c>
      <c r="Y5268">
        <v>125</v>
      </c>
      <c r="Z5268">
        <v>7</v>
      </c>
      <c r="AA5268">
        <v>1</v>
      </c>
      <c r="AB5268">
        <v>8</v>
      </c>
      <c r="AC5268" t="s">
        <v>100</v>
      </c>
      <c r="AD5268">
        <v>1</v>
      </c>
      <c r="AE5268" t="s">
        <v>100</v>
      </c>
      <c r="AF5268" t="s">
        <v>100</v>
      </c>
      <c r="AG5268">
        <v>2</v>
      </c>
      <c r="AH5268" t="s">
        <v>100</v>
      </c>
      <c r="AI5268" t="s">
        <v>100</v>
      </c>
      <c r="AJ5268">
        <v>1</v>
      </c>
      <c r="AK5268">
        <v>6</v>
      </c>
      <c r="AL5268" t="s">
        <v>100</v>
      </c>
      <c r="AM5268" t="s">
        <v>100</v>
      </c>
      <c r="AN5268" t="s">
        <v>100</v>
      </c>
      <c r="AT5268">
        <v>19</v>
      </c>
      <c r="AU5268" t="s">
        <v>100</v>
      </c>
      <c r="AV5268">
        <v>283</v>
      </c>
      <c r="AW5268">
        <v>283</v>
      </c>
      <c r="AX5268">
        <v>438</v>
      </c>
      <c r="AZ5268" t="s">
        <v>101</v>
      </c>
      <c r="BA5268">
        <v>1</v>
      </c>
      <c r="BC5268" t="s">
        <v>10649</v>
      </c>
      <c r="BD5268" s="4">
        <v>43283.181250000001</v>
      </c>
      <c r="BE5268" s="4">
        <v>43283.203912037039</v>
      </c>
      <c r="BF5268" s="4">
        <v>43283.203912037039</v>
      </c>
      <c r="BG5268" t="s">
        <v>83</v>
      </c>
      <c r="BH5268" t="s">
        <v>84</v>
      </c>
      <c r="BI5268" t="s">
        <v>85</v>
      </c>
    </row>
    <row r="5269" spans="1:61" x14ac:dyDescent="0.3">
      <c r="A5269" t="str">
        <f>"201525B0100"</f>
        <v>201525B0100</v>
      </c>
      <c r="B5269" t="s">
        <v>10650</v>
      </c>
      <c r="C5269">
        <v>20</v>
      </c>
      <c r="D5269" t="s">
        <v>79</v>
      </c>
      <c r="E5269">
        <v>25</v>
      </c>
      <c r="F5269" t="s">
        <v>10558</v>
      </c>
      <c r="G5269">
        <v>1525</v>
      </c>
      <c r="H5269">
        <v>1</v>
      </c>
      <c r="I5269" t="s">
        <v>81</v>
      </c>
      <c r="J5269">
        <v>0</v>
      </c>
      <c r="K5269">
        <v>2</v>
      </c>
      <c r="L5269">
        <v>2</v>
      </c>
      <c r="M5269">
        <v>202</v>
      </c>
      <c r="N5269">
        <v>400</v>
      </c>
      <c r="O5269">
        <v>3</v>
      </c>
      <c r="P5269">
        <v>399</v>
      </c>
      <c r="Q5269">
        <v>7</v>
      </c>
      <c r="R5269">
        <v>105</v>
      </c>
      <c r="S5269">
        <v>15</v>
      </c>
      <c r="T5269">
        <v>36</v>
      </c>
      <c r="U5269">
        <v>50</v>
      </c>
      <c r="V5269">
        <v>6</v>
      </c>
      <c r="W5269">
        <v>2</v>
      </c>
      <c r="X5269">
        <v>3</v>
      </c>
      <c r="Y5269">
        <v>7</v>
      </c>
      <c r="Z5269">
        <v>5</v>
      </c>
      <c r="AA5269">
        <v>3</v>
      </c>
      <c r="AB5269">
        <v>6</v>
      </c>
      <c r="AC5269">
        <v>0</v>
      </c>
      <c r="AD5269">
        <v>0</v>
      </c>
      <c r="AE5269">
        <v>0</v>
      </c>
      <c r="AF5269">
        <v>0</v>
      </c>
      <c r="AG5269">
        <v>6</v>
      </c>
      <c r="AH5269">
        <v>5</v>
      </c>
      <c r="AI5269">
        <v>2</v>
      </c>
      <c r="AJ5269">
        <v>1</v>
      </c>
      <c r="AK5269">
        <v>6</v>
      </c>
      <c r="AL5269">
        <v>0</v>
      </c>
      <c r="AM5269">
        <v>0</v>
      </c>
      <c r="AN5269">
        <v>1</v>
      </c>
      <c r="AT5269">
        <v>0</v>
      </c>
      <c r="AU5269">
        <v>33</v>
      </c>
      <c r="AV5269">
        <v>399</v>
      </c>
      <c r="AW5269">
        <v>299</v>
      </c>
      <c r="AX5269">
        <v>580</v>
      </c>
      <c r="BA5269">
        <v>1</v>
      </c>
      <c r="BC5269" t="s">
        <v>10651</v>
      </c>
      <c r="BD5269" s="4">
        <v>43283.401388888888</v>
      </c>
      <c r="BE5269" s="4">
        <v>43283.427662037036</v>
      </c>
      <c r="BF5269" s="4">
        <v>43283.427662037036</v>
      </c>
      <c r="BG5269" t="s">
        <v>83</v>
      </c>
      <c r="BH5269" t="s">
        <v>84</v>
      </c>
      <c r="BI5269" t="s">
        <v>85</v>
      </c>
    </row>
    <row r="5270" spans="1:61" x14ac:dyDescent="0.3">
      <c r="A5270" t="str">
        <f>"201525C0100"</f>
        <v>201525C0100</v>
      </c>
      <c r="B5270" t="s">
        <v>10652</v>
      </c>
      <c r="C5270">
        <v>20</v>
      </c>
      <c r="D5270" t="s">
        <v>79</v>
      </c>
      <c r="E5270">
        <v>25</v>
      </c>
      <c r="F5270" t="s">
        <v>10558</v>
      </c>
      <c r="G5270">
        <v>1525</v>
      </c>
      <c r="H5270">
        <v>1</v>
      </c>
      <c r="I5270" t="s">
        <v>89</v>
      </c>
      <c r="J5270">
        <v>0</v>
      </c>
      <c r="K5270">
        <v>2</v>
      </c>
      <c r="L5270">
        <v>2</v>
      </c>
      <c r="AX5270">
        <v>580</v>
      </c>
      <c r="AZ5270" t="s">
        <v>932</v>
      </c>
      <c r="BA5270">
        <v>0</v>
      </c>
      <c r="BC5270" t="s">
        <v>10653</v>
      </c>
      <c r="BD5270" s="4">
        <v>43283.616666666669</v>
      </c>
      <c r="BE5270" s="4">
        <v>43283.62159722222</v>
      </c>
      <c r="BF5270" s="4">
        <v>43283.62159722222</v>
      </c>
      <c r="BG5270" t="s">
        <v>83</v>
      </c>
      <c r="BH5270" t="s">
        <v>84</v>
      </c>
      <c r="BI5270" t="s">
        <v>85</v>
      </c>
    </row>
    <row r="5271" spans="1:61" x14ac:dyDescent="0.3">
      <c r="A5271" t="str">
        <f>"201527B0100"</f>
        <v>201527B0100</v>
      </c>
      <c r="B5271" t="s">
        <v>10654</v>
      </c>
      <c r="C5271">
        <v>20</v>
      </c>
      <c r="D5271" t="s">
        <v>79</v>
      </c>
      <c r="E5271">
        <v>25</v>
      </c>
      <c r="F5271" t="s">
        <v>10558</v>
      </c>
      <c r="G5271">
        <v>1527</v>
      </c>
      <c r="H5271">
        <v>1</v>
      </c>
      <c r="I5271" t="s">
        <v>81</v>
      </c>
      <c r="J5271">
        <v>0</v>
      </c>
      <c r="K5271">
        <v>2</v>
      </c>
      <c r="L5271">
        <v>2</v>
      </c>
      <c r="M5271">
        <v>272</v>
      </c>
      <c r="N5271">
        <v>473</v>
      </c>
      <c r="O5271">
        <v>3</v>
      </c>
      <c r="P5271">
        <v>473</v>
      </c>
      <c r="Q5271">
        <v>33</v>
      </c>
      <c r="R5271">
        <v>87</v>
      </c>
      <c r="S5271">
        <v>46</v>
      </c>
      <c r="T5271">
        <v>11</v>
      </c>
      <c r="U5271">
        <v>29</v>
      </c>
      <c r="V5271">
        <v>8</v>
      </c>
      <c r="W5271">
        <v>6</v>
      </c>
      <c r="X5271">
        <v>5</v>
      </c>
      <c r="Y5271">
        <v>179</v>
      </c>
      <c r="Z5271">
        <v>11</v>
      </c>
      <c r="AA5271">
        <v>2</v>
      </c>
      <c r="AB5271">
        <v>6</v>
      </c>
      <c r="AC5271">
        <v>0</v>
      </c>
      <c r="AD5271">
        <v>1</v>
      </c>
      <c r="AE5271">
        <v>0</v>
      </c>
      <c r="AF5271">
        <v>0</v>
      </c>
      <c r="AG5271">
        <v>0</v>
      </c>
      <c r="AH5271">
        <v>1</v>
      </c>
      <c r="AI5271">
        <v>1</v>
      </c>
      <c r="AJ5271">
        <v>0</v>
      </c>
      <c r="AK5271">
        <v>6</v>
      </c>
      <c r="AL5271">
        <v>6</v>
      </c>
      <c r="AM5271">
        <v>0</v>
      </c>
      <c r="AN5271">
        <v>3</v>
      </c>
      <c r="AT5271">
        <v>0</v>
      </c>
      <c r="AU5271">
        <v>33</v>
      </c>
      <c r="AV5271">
        <v>473</v>
      </c>
      <c r="AW5271">
        <v>474</v>
      </c>
      <c r="AX5271">
        <v>723</v>
      </c>
      <c r="BA5271">
        <v>1</v>
      </c>
      <c r="BC5271" t="s">
        <v>10655</v>
      </c>
      <c r="BD5271" s="4">
        <v>43283.381944444445</v>
      </c>
      <c r="BE5271" s="4">
        <v>43283.387546296297</v>
      </c>
      <c r="BF5271" s="4">
        <v>43283.387546296297</v>
      </c>
      <c r="BG5271" t="s">
        <v>83</v>
      </c>
      <c r="BH5271" t="s">
        <v>84</v>
      </c>
      <c r="BI5271" t="s">
        <v>85</v>
      </c>
    </row>
    <row r="5272" spans="1:61" x14ac:dyDescent="0.3">
      <c r="A5272" t="str">
        <f>"201527C0100"</f>
        <v>201527C0100</v>
      </c>
      <c r="B5272" t="s">
        <v>10656</v>
      </c>
      <c r="C5272">
        <v>20</v>
      </c>
      <c r="D5272" t="s">
        <v>79</v>
      </c>
      <c r="E5272">
        <v>25</v>
      </c>
      <c r="F5272" t="s">
        <v>10558</v>
      </c>
      <c r="G5272">
        <v>1527</v>
      </c>
      <c r="H5272">
        <v>1</v>
      </c>
      <c r="I5272" t="s">
        <v>89</v>
      </c>
      <c r="J5272">
        <v>0</v>
      </c>
      <c r="K5272">
        <v>2</v>
      </c>
      <c r="L5272">
        <v>2</v>
      </c>
      <c r="M5272">
        <v>302</v>
      </c>
      <c r="N5272">
        <v>443</v>
      </c>
      <c r="O5272">
        <v>2</v>
      </c>
      <c r="P5272">
        <v>443</v>
      </c>
      <c r="Q5272">
        <v>26</v>
      </c>
      <c r="R5272">
        <v>85</v>
      </c>
      <c r="S5272">
        <v>46</v>
      </c>
      <c r="T5272">
        <v>9</v>
      </c>
      <c r="U5272">
        <v>37</v>
      </c>
      <c r="V5272">
        <v>6</v>
      </c>
      <c r="W5272">
        <v>6</v>
      </c>
      <c r="X5272">
        <v>10</v>
      </c>
      <c r="Y5272">
        <v>160</v>
      </c>
      <c r="Z5272">
        <v>16</v>
      </c>
      <c r="AA5272">
        <v>1</v>
      </c>
      <c r="AB5272">
        <v>1</v>
      </c>
      <c r="AC5272">
        <v>1</v>
      </c>
      <c r="AD5272">
        <v>1</v>
      </c>
      <c r="AE5272">
        <v>0</v>
      </c>
      <c r="AF5272">
        <v>0</v>
      </c>
      <c r="AG5272">
        <v>2</v>
      </c>
      <c r="AH5272">
        <v>3</v>
      </c>
      <c r="AI5272">
        <v>0</v>
      </c>
      <c r="AJ5272">
        <v>0</v>
      </c>
      <c r="AK5272">
        <v>8</v>
      </c>
      <c r="AL5272">
        <v>0</v>
      </c>
      <c r="AM5272">
        <v>1</v>
      </c>
      <c r="AN5272">
        <v>0</v>
      </c>
      <c r="AT5272">
        <v>0</v>
      </c>
      <c r="AU5272">
        <v>24</v>
      </c>
      <c r="AV5272">
        <v>443</v>
      </c>
      <c r="AW5272">
        <v>443</v>
      </c>
      <c r="AX5272">
        <v>723</v>
      </c>
      <c r="BA5272">
        <v>1</v>
      </c>
      <c r="BC5272" t="s">
        <v>10657</v>
      </c>
      <c r="BD5272" s="4">
        <v>43283.384027777778</v>
      </c>
      <c r="BE5272" s="4">
        <v>43283.391840277778</v>
      </c>
      <c r="BF5272" s="4">
        <v>43283.391840277778</v>
      </c>
      <c r="BG5272" t="s">
        <v>83</v>
      </c>
      <c r="BH5272" t="s">
        <v>84</v>
      </c>
      <c r="BI5272" t="s">
        <v>85</v>
      </c>
    </row>
    <row r="5273" spans="1:61" x14ac:dyDescent="0.3">
      <c r="A5273" t="str">
        <f>"201527C0200"</f>
        <v>201527C0200</v>
      </c>
      <c r="B5273" t="s">
        <v>10658</v>
      </c>
      <c r="C5273">
        <v>20</v>
      </c>
      <c r="D5273" t="s">
        <v>79</v>
      </c>
      <c r="E5273">
        <v>25</v>
      </c>
      <c r="F5273" t="s">
        <v>10558</v>
      </c>
      <c r="G5273">
        <v>1527</v>
      </c>
      <c r="H5273">
        <v>2</v>
      </c>
      <c r="I5273" t="s">
        <v>89</v>
      </c>
      <c r="J5273">
        <v>0</v>
      </c>
      <c r="K5273">
        <v>2</v>
      </c>
      <c r="L5273">
        <v>2</v>
      </c>
      <c r="M5273">
        <v>304</v>
      </c>
      <c r="N5273">
        <v>442</v>
      </c>
      <c r="O5273">
        <v>1</v>
      </c>
      <c r="P5273">
        <v>441</v>
      </c>
      <c r="Q5273">
        <v>37</v>
      </c>
      <c r="R5273">
        <v>76</v>
      </c>
      <c r="S5273">
        <v>43</v>
      </c>
      <c r="T5273">
        <v>14</v>
      </c>
      <c r="U5273">
        <v>29</v>
      </c>
      <c r="V5273">
        <v>4</v>
      </c>
      <c r="W5273">
        <v>2</v>
      </c>
      <c r="X5273">
        <v>9</v>
      </c>
      <c r="Y5273">
        <v>145</v>
      </c>
      <c r="Z5273">
        <v>13</v>
      </c>
      <c r="AA5273">
        <v>1</v>
      </c>
      <c r="AB5273">
        <v>1</v>
      </c>
      <c r="AC5273">
        <v>1</v>
      </c>
      <c r="AD5273">
        <v>3</v>
      </c>
      <c r="AE5273">
        <v>0</v>
      </c>
      <c r="AF5273">
        <v>0</v>
      </c>
      <c r="AG5273">
        <v>0</v>
      </c>
      <c r="AH5273">
        <v>4</v>
      </c>
      <c r="AI5273">
        <v>0</v>
      </c>
      <c r="AJ5273">
        <v>0</v>
      </c>
      <c r="AK5273">
        <v>12</v>
      </c>
      <c r="AL5273">
        <v>1</v>
      </c>
      <c r="AM5273">
        <v>2</v>
      </c>
      <c r="AN5273">
        <v>3</v>
      </c>
      <c r="AT5273">
        <v>0</v>
      </c>
      <c r="AU5273">
        <v>35</v>
      </c>
      <c r="AV5273">
        <v>441</v>
      </c>
      <c r="AW5273">
        <v>435</v>
      </c>
      <c r="AX5273">
        <v>723</v>
      </c>
      <c r="BA5273">
        <v>1</v>
      </c>
      <c r="BC5273" t="s">
        <v>10659</v>
      </c>
      <c r="BD5273" s="4">
        <v>43283.384722222225</v>
      </c>
      <c r="BE5273" s="4">
        <v>43283.39702546296</v>
      </c>
      <c r="BF5273" s="4">
        <v>43283.39702546296</v>
      </c>
      <c r="BG5273" t="s">
        <v>83</v>
      </c>
      <c r="BH5273" t="s">
        <v>84</v>
      </c>
      <c r="BI5273" t="s">
        <v>85</v>
      </c>
    </row>
    <row r="5274" spans="1:61" x14ac:dyDescent="0.3">
      <c r="A5274" t="str">
        <f>"201528B0100"</f>
        <v>201528B0100</v>
      </c>
      <c r="B5274" t="s">
        <v>10660</v>
      </c>
      <c r="C5274">
        <v>20</v>
      </c>
      <c r="D5274" t="s">
        <v>79</v>
      </c>
      <c r="E5274">
        <v>25</v>
      </c>
      <c r="F5274" t="s">
        <v>10558</v>
      </c>
      <c r="G5274">
        <v>1528</v>
      </c>
      <c r="H5274">
        <v>1</v>
      </c>
      <c r="I5274" t="s">
        <v>81</v>
      </c>
      <c r="J5274">
        <v>0</v>
      </c>
      <c r="K5274">
        <v>2</v>
      </c>
      <c r="L5274">
        <v>2</v>
      </c>
      <c r="M5274">
        <v>203</v>
      </c>
      <c r="N5274">
        <v>332</v>
      </c>
      <c r="O5274">
        <v>4</v>
      </c>
      <c r="P5274">
        <v>332</v>
      </c>
      <c r="Q5274">
        <v>21</v>
      </c>
      <c r="R5274">
        <v>63</v>
      </c>
      <c r="S5274">
        <v>28</v>
      </c>
      <c r="T5274">
        <v>18</v>
      </c>
      <c r="U5274">
        <v>20</v>
      </c>
      <c r="V5274">
        <v>6</v>
      </c>
      <c r="W5274">
        <v>8</v>
      </c>
      <c r="X5274">
        <v>6</v>
      </c>
      <c r="Y5274">
        <v>104</v>
      </c>
      <c r="Z5274">
        <v>9</v>
      </c>
      <c r="AA5274">
        <v>0</v>
      </c>
      <c r="AB5274">
        <v>9</v>
      </c>
      <c r="AC5274">
        <v>2</v>
      </c>
      <c r="AD5274">
        <v>0</v>
      </c>
      <c r="AE5274">
        <v>0</v>
      </c>
      <c r="AF5274">
        <v>0</v>
      </c>
      <c r="AG5274">
        <v>3</v>
      </c>
      <c r="AH5274">
        <v>4</v>
      </c>
      <c r="AI5274">
        <v>0</v>
      </c>
      <c r="AJ5274">
        <v>0</v>
      </c>
      <c r="AK5274">
        <v>4</v>
      </c>
      <c r="AL5274">
        <v>3</v>
      </c>
      <c r="AM5274">
        <v>0</v>
      </c>
      <c r="AN5274">
        <v>0</v>
      </c>
      <c r="AT5274">
        <v>0</v>
      </c>
      <c r="AU5274">
        <v>24</v>
      </c>
      <c r="AV5274">
        <v>332</v>
      </c>
      <c r="AW5274">
        <v>332</v>
      </c>
      <c r="AX5274">
        <v>513</v>
      </c>
      <c r="BA5274">
        <v>1</v>
      </c>
      <c r="BC5274" t="s">
        <v>10661</v>
      </c>
      <c r="BD5274" s="4">
        <v>43283.388194444444</v>
      </c>
      <c r="BE5274" s="4">
        <v>43283.39634259259</v>
      </c>
      <c r="BF5274" s="4">
        <v>43283.39634259259</v>
      </c>
      <c r="BG5274" t="s">
        <v>83</v>
      </c>
      <c r="BH5274" t="s">
        <v>84</v>
      </c>
      <c r="BI5274" t="s">
        <v>85</v>
      </c>
    </row>
    <row r="5275" spans="1:61" x14ac:dyDescent="0.3">
      <c r="A5275" t="str">
        <f>"201528C0100"</f>
        <v>201528C0100</v>
      </c>
      <c r="B5275" t="s">
        <v>10662</v>
      </c>
      <c r="C5275">
        <v>20</v>
      </c>
      <c r="D5275" t="s">
        <v>79</v>
      </c>
      <c r="E5275">
        <v>25</v>
      </c>
      <c r="F5275" t="s">
        <v>10558</v>
      </c>
      <c r="G5275">
        <v>1528</v>
      </c>
      <c r="H5275">
        <v>1</v>
      </c>
      <c r="I5275" t="s">
        <v>89</v>
      </c>
      <c r="J5275">
        <v>0</v>
      </c>
      <c r="K5275">
        <v>2</v>
      </c>
      <c r="L5275">
        <v>2</v>
      </c>
      <c r="M5275">
        <v>196</v>
      </c>
      <c r="N5275">
        <v>339</v>
      </c>
      <c r="O5275">
        <v>3</v>
      </c>
      <c r="P5275">
        <v>339</v>
      </c>
      <c r="Q5275">
        <v>20</v>
      </c>
      <c r="R5275">
        <v>63</v>
      </c>
      <c r="S5275">
        <v>41</v>
      </c>
      <c r="T5275">
        <v>16</v>
      </c>
      <c r="U5275">
        <v>23</v>
      </c>
      <c r="V5275">
        <v>3</v>
      </c>
      <c r="W5275">
        <v>7</v>
      </c>
      <c r="X5275">
        <v>9</v>
      </c>
      <c r="Y5275">
        <v>111</v>
      </c>
      <c r="Z5275">
        <v>9</v>
      </c>
      <c r="AA5275">
        <v>0</v>
      </c>
      <c r="AB5275">
        <v>4</v>
      </c>
      <c r="AC5275">
        <v>2</v>
      </c>
      <c r="AD5275">
        <v>0</v>
      </c>
      <c r="AE5275">
        <v>0</v>
      </c>
      <c r="AF5275">
        <v>0</v>
      </c>
      <c r="AG5275">
        <v>0</v>
      </c>
      <c r="AH5275">
        <v>2</v>
      </c>
      <c r="AI5275">
        <v>0</v>
      </c>
      <c r="AJ5275">
        <v>0</v>
      </c>
      <c r="AK5275">
        <v>3</v>
      </c>
      <c r="AL5275">
        <v>0</v>
      </c>
      <c r="AM5275">
        <v>1</v>
      </c>
      <c r="AN5275">
        <v>0</v>
      </c>
      <c r="AT5275">
        <v>0</v>
      </c>
      <c r="AU5275">
        <v>25</v>
      </c>
      <c r="AV5275">
        <v>339</v>
      </c>
      <c r="AW5275">
        <v>339</v>
      </c>
      <c r="AX5275">
        <v>513</v>
      </c>
      <c r="BA5275">
        <v>1</v>
      </c>
      <c r="BC5275" t="s">
        <v>10663</v>
      </c>
      <c r="BD5275" s="4">
        <v>43283.384027777778</v>
      </c>
      <c r="BE5275" s="4">
        <v>43283.392094907409</v>
      </c>
      <c r="BF5275" s="4">
        <v>43283.392094907409</v>
      </c>
      <c r="BG5275" t="s">
        <v>83</v>
      </c>
      <c r="BH5275" t="s">
        <v>84</v>
      </c>
      <c r="BI5275" t="s">
        <v>85</v>
      </c>
    </row>
    <row r="5276" spans="1:61" x14ac:dyDescent="0.3">
      <c r="A5276" t="str">
        <f>"201528C0200"</f>
        <v>201528C0200</v>
      </c>
      <c r="B5276" t="s">
        <v>10664</v>
      </c>
      <c r="C5276">
        <v>20</v>
      </c>
      <c r="D5276" t="s">
        <v>79</v>
      </c>
      <c r="E5276">
        <v>25</v>
      </c>
      <c r="F5276" t="s">
        <v>10558</v>
      </c>
      <c r="G5276">
        <v>1528</v>
      </c>
      <c r="H5276">
        <v>2</v>
      </c>
      <c r="I5276" t="s">
        <v>89</v>
      </c>
      <c r="J5276">
        <v>0</v>
      </c>
      <c r="K5276">
        <v>2</v>
      </c>
      <c r="L5276">
        <v>2</v>
      </c>
      <c r="M5276">
        <v>199</v>
      </c>
      <c r="N5276">
        <v>335</v>
      </c>
      <c r="O5276">
        <v>4</v>
      </c>
      <c r="P5276">
        <v>335</v>
      </c>
      <c r="Q5276">
        <v>22</v>
      </c>
      <c r="R5276">
        <v>74</v>
      </c>
      <c r="S5276">
        <v>42</v>
      </c>
      <c r="T5276">
        <v>15</v>
      </c>
      <c r="U5276">
        <v>16</v>
      </c>
      <c r="V5276">
        <v>3</v>
      </c>
      <c r="W5276">
        <v>10</v>
      </c>
      <c r="X5276">
        <v>3</v>
      </c>
      <c r="Y5276">
        <v>102</v>
      </c>
      <c r="Z5276">
        <v>9</v>
      </c>
      <c r="AA5276">
        <v>1</v>
      </c>
      <c r="AB5276">
        <v>4</v>
      </c>
      <c r="AC5276">
        <v>0</v>
      </c>
      <c r="AD5276">
        <v>1</v>
      </c>
      <c r="AE5276">
        <v>0</v>
      </c>
      <c r="AF5276">
        <v>0</v>
      </c>
      <c r="AG5276">
        <v>0</v>
      </c>
      <c r="AH5276">
        <v>3</v>
      </c>
      <c r="AI5276">
        <v>0</v>
      </c>
      <c r="AJ5276">
        <v>0</v>
      </c>
      <c r="AK5276">
        <v>3</v>
      </c>
      <c r="AL5276">
        <v>0</v>
      </c>
      <c r="AM5276">
        <v>1</v>
      </c>
      <c r="AN5276">
        <v>1</v>
      </c>
      <c r="AT5276">
        <v>0</v>
      </c>
      <c r="AU5276">
        <v>25</v>
      </c>
      <c r="AV5276">
        <v>335</v>
      </c>
      <c r="AW5276">
        <v>335</v>
      </c>
      <c r="AX5276">
        <v>513</v>
      </c>
      <c r="BA5276">
        <v>1</v>
      </c>
      <c r="BC5276" t="s">
        <v>10665</v>
      </c>
      <c r="BD5276" s="4">
        <v>43283.387499999997</v>
      </c>
      <c r="BE5276" s="4">
        <v>43283.395821759259</v>
      </c>
      <c r="BF5276" s="4">
        <v>43283.395821759259</v>
      </c>
      <c r="BG5276" t="s">
        <v>83</v>
      </c>
      <c r="BH5276" t="s">
        <v>84</v>
      </c>
      <c r="BI5276" t="s">
        <v>85</v>
      </c>
    </row>
    <row r="5277" spans="1:61" x14ac:dyDescent="0.3">
      <c r="A5277" t="str">
        <f>"201529B0100"</f>
        <v>201529B0100</v>
      </c>
      <c r="B5277" t="s">
        <v>10666</v>
      </c>
      <c r="C5277">
        <v>20</v>
      </c>
      <c r="D5277" t="s">
        <v>79</v>
      </c>
      <c r="E5277">
        <v>25</v>
      </c>
      <c r="F5277" t="s">
        <v>10558</v>
      </c>
      <c r="G5277">
        <v>1529</v>
      </c>
      <c r="H5277">
        <v>1</v>
      </c>
      <c r="I5277" t="s">
        <v>81</v>
      </c>
      <c r="J5277">
        <v>0</v>
      </c>
      <c r="K5277">
        <v>2</v>
      </c>
      <c r="L5277">
        <v>2</v>
      </c>
      <c r="M5277">
        <v>232</v>
      </c>
      <c r="N5277">
        <v>514</v>
      </c>
      <c r="O5277">
        <v>0</v>
      </c>
      <c r="P5277">
        <v>512</v>
      </c>
      <c r="Q5277">
        <v>29</v>
      </c>
      <c r="R5277">
        <v>126</v>
      </c>
      <c r="S5277">
        <v>98</v>
      </c>
      <c r="T5277">
        <v>21</v>
      </c>
      <c r="U5277">
        <v>25</v>
      </c>
      <c r="V5277">
        <v>8</v>
      </c>
      <c r="W5277">
        <v>9</v>
      </c>
      <c r="X5277">
        <v>8</v>
      </c>
      <c r="Y5277">
        <v>139</v>
      </c>
      <c r="Z5277">
        <v>12</v>
      </c>
      <c r="AA5277">
        <v>2</v>
      </c>
      <c r="AB5277">
        <v>5</v>
      </c>
      <c r="AC5277">
        <v>0</v>
      </c>
      <c r="AD5277">
        <v>0</v>
      </c>
      <c r="AE5277">
        <v>0</v>
      </c>
      <c r="AF5277">
        <v>0</v>
      </c>
      <c r="AG5277">
        <v>0</v>
      </c>
      <c r="AH5277">
        <v>4</v>
      </c>
      <c r="AI5277">
        <v>0</v>
      </c>
      <c r="AJ5277">
        <v>0</v>
      </c>
      <c r="AK5277">
        <v>4</v>
      </c>
      <c r="AL5277">
        <v>0</v>
      </c>
      <c r="AM5277">
        <v>0</v>
      </c>
      <c r="AN5277">
        <v>1</v>
      </c>
      <c r="AT5277">
        <v>0</v>
      </c>
      <c r="AU5277">
        <v>21</v>
      </c>
      <c r="AV5277">
        <v>512</v>
      </c>
      <c r="AW5277">
        <v>512</v>
      </c>
      <c r="AX5277">
        <v>724</v>
      </c>
      <c r="BA5277">
        <v>1</v>
      </c>
      <c r="BC5277" t="s">
        <v>10667</v>
      </c>
      <c r="BD5277" s="4">
        <v>43283.05972222222</v>
      </c>
      <c r="BE5277" s="4">
        <v>43283.065300925926</v>
      </c>
      <c r="BF5277" s="4">
        <v>43283.065300925926</v>
      </c>
      <c r="BG5277" t="s">
        <v>83</v>
      </c>
      <c r="BH5277" t="s">
        <v>84</v>
      </c>
      <c r="BI5277" t="s">
        <v>85</v>
      </c>
    </row>
    <row r="5278" spans="1:61" x14ac:dyDescent="0.3">
      <c r="A5278" t="str">
        <f>"201529C0100"</f>
        <v>201529C0100</v>
      </c>
      <c r="B5278" t="s">
        <v>10668</v>
      </c>
      <c r="C5278">
        <v>20</v>
      </c>
      <c r="D5278" t="s">
        <v>79</v>
      </c>
      <c r="E5278">
        <v>25</v>
      </c>
      <c r="F5278" t="s">
        <v>10558</v>
      </c>
      <c r="G5278">
        <v>1529</v>
      </c>
      <c r="H5278">
        <v>1</v>
      </c>
      <c r="I5278" t="s">
        <v>89</v>
      </c>
      <c r="J5278">
        <v>0</v>
      </c>
      <c r="K5278">
        <v>2</v>
      </c>
      <c r="L5278">
        <v>2</v>
      </c>
      <c r="M5278">
        <v>237</v>
      </c>
      <c r="N5278">
        <v>509</v>
      </c>
      <c r="O5278" t="s">
        <v>315</v>
      </c>
      <c r="P5278" t="s">
        <v>315</v>
      </c>
      <c r="Q5278">
        <v>24</v>
      </c>
      <c r="R5278">
        <v>133</v>
      </c>
      <c r="S5278">
        <v>73</v>
      </c>
      <c r="T5278">
        <v>14</v>
      </c>
      <c r="U5278">
        <v>39</v>
      </c>
      <c r="V5278">
        <v>8</v>
      </c>
      <c r="W5278">
        <v>5</v>
      </c>
      <c r="X5278">
        <v>8</v>
      </c>
      <c r="Y5278">
        <v>149</v>
      </c>
      <c r="Z5278">
        <v>15</v>
      </c>
      <c r="AA5278">
        <v>0</v>
      </c>
      <c r="AB5278">
        <v>9</v>
      </c>
      <c r="AC5278">
        <v>1</v>
      </c>
      <c r="AD5278">
        <v>0</v>
      </c>
      <c r="AE5278">
        <v>0</v>
      </c>
      <c r="AF5278">
        <v>0</v>
      </c>
      <c r="AG5278">
        <v>0</v>
      </c>
      <c r="AH5278">
        <v>4</v>
      </c>
      <c r="AI5278">
        <v>0</v>
      </c>
      <c r="AJ5278">
        <v>0</v>
      </c>
      <c r="AK5278">
        <v>6</v>
      </c>
      <c r="AL5278">
        <v>2</v>
      </c>
      <c r="AM5278">
        <v>0</v>
      </c>
      <c r="AN5278">
        <v>1</v>
      </c>
      <c r="AT5278">
        <v>0</v>
      </c>
      <c r="AU5278">
        <v>17</v>
      </c>
      <c r="AV5278">
        <v>354</v>
      </c>
      <c r="AW5278">
        <v>508</v>
      </c>
      <c r="AX5278">
        <v>724</v>
      </c>
      <c r="BA5278">
        <v>1</v>
      </c>
      <c r="BC5278" t="s">
        <v>10669</v>
      </c>
      <c r="BD5278" s="4">
        <v>43283.060416666667</v>
      </c>
      <c r="BE5278" s="4">
        <v>43283.066562499997</v>
      </c>
      <c r="BF5278" s="4">
        <v>43283.066562499997</v>
      </c>
      <c r="BG5278" t="s">
        <v>83</v>
      </c>
      <c r="BH5278" t="s">
        <v>84</v>
      </c>
      <c r="BI5278" t="s">
        <v>85</v>
      </c>
    </row>
    <row r="5279" spans="1:61" x14ac:dyDescent="0.3">
      <c r="A5279" t="str">
        <f>"201529C0200"</f>
        <v>201529C0200</v>
      </c>
      <c r="B5279" t="s">
        <v>10670</v>
      </c>
      <c r="C5279">
        <v>20</v>
      </c>
      <c r="D5279" t="s">
        <v>79</v>
      </c>
      <c r="E5279">
        <v>25</v>
      </c>
      <c r="F5279" t="s">
        <v>10558</v>
      </c>
      <c r="G5279">
        <v>1529</v>
      </c>
      <c r="H5279">
        <v>2</v>
      </c>
      <c r="I5279" t="s">
        <v>89</v>
      </c>
      <c r="J5279">
        <v>0</v>
      </c>
      <c r="K5279">
        <v>2</v>
      </c>
      <c r="L5279">
        <v>2</v>
      </c>
      <c r="M5279">
        <v>264</v>
      </c>
      <c r="N5279">
        <v>482</v>
      </c>
      <c r="O5279">
        <v>1</v>
      </c>
      <c r="P5279">
        <v>482</v>
      </c>
      <c r="Q5279">
        <v>31</v>
      </c>
      <c r="R5279">
        <v>91</v>
      </c>
      <c r="S5279">
        <v>52</v>
      </c>
      <c r="T5279">
        <v>30</v>
      </c>
      <c r="U5279">
        <v>26</v>
      </c>
      <c r="V5279">
        <v>8</v>
      </c>
      <c r="W5279">
        <v>9</v>
      </c>
      <c r="X5279">
        <v>4</v>
      </c>
      <c r="Y5279">
        <v>150</v>
      </c>
      <c r="Z5279">
        <v>13</v>
      </c>
      <c r="AA5279">
        <v>1</v>
      </c>
      <c r="AB5279">
        <v>6</v>
      </c>
      <c r="AC5279">
        <v>0</v>
      </c>
      <c r="AD5279">
        <v>1</v>
      </c>
      <c r="AE5279">
        <v>1</v>
      </c>
      <c r="AF5279">
        <v>0</v>
      </c>
      <c r="AG5279">
        <v>3</v>
      </c>
      <c r="AH5279">
        <v>2</v>
      </c>
      <c r="AI5279">
        <v>0</v>
      </c>
      <c r="AJ5279">
        <v>0</v>
      </c>
      <c r="AK5279">
        <v>3</v>
      </c>
      <c r="AL5279">
        <v>0</v>
      </c>
      <c r="AM5279">
        <v>0</v>
      </c>
      <c r="AN5279">
        <v>1</v>
      </c>
      <c r="AT5279">
        <v>0</v>
      </c>
      <c r="AU5279">
        <v>48</v>
      </c>
      <c r="AV5279">
        <v>482</v>
      </c>
      <c r="AW5279">
        <v>480</v>
      </c>
      <c r="AX5279">
        <v>724</v>
      </c>
      <c r="BA5279">
        <v>1</v>
      </c>
      <c r="BC5279" t="s">
        <v>10671</v>
      </c>
      <c r="BD5279" s="4">
        <v>43283.05972222222</v>
      </c>
      <c r="BE5279" s="4">
        <v>43283.065081018518</v>
      </c>
      <c r="BF5279" s="4">
        <v>43283.065081018518</v>
      </c>
      <c r="BG5279" t="s">
        <v>83</v>
      </c>
      <c r="BH5279" t="s">
        <v>84</v>
      </c>
      <c r="BI5279" t="s">
        <v>85</v>
      </c>
    </row>
    <row r="5280" spans="1:61" x14ac:dyDescent="0.3">
      <c r="A5280" t="str">
        <f>"201529E0100"</f>
        <v>201529E0100</v>
      </c>
      <c r="B5280" s="2" t="s">
        <v>10672</v>
      </c>
      <c r="C5280">
        <v>20</v>
      </c>
      <c r="D5280" t="s">
        <v>79</v>
      </c>
      <c r="E5280">
        <v>25</v>
      </c>
      <c r="F5280" t="s">
        <v>10558</v>
      </c>
      <c r="G5280">
        <v>1529</v>
      </c>
      <c r="H5280">
        <v>1</v>
      </c>
      <c r="I5280" t="s">
        <v>145</v>
      </c>
      <c r="J5280">
        <v>0</v>
      </c>
      <c r="K5280">
        <v>2</v>
      </c>
      <c r="L5280">
        <v>2</v>
      </c>
      <c r="M5280">
        <v>87</v>
      </c>
      <c r="N5280">
        <v>199</v>
      </c>
      <c r="O5280">
        <v>8</v>
      </c>
      <c r="P5280">
        <v>199</v>
      </c>
      <c r="Q5280">
        <v>4</v>
      </c>
      <c r="R5280">
        <v>57</v>
      </c>
      <c r="S5280">
        <v>13</v>
      </c>
      <c r="T5280">
        <v>15</v>
      </c>
      <c r="U5280">
        <v>23</v>
      </c>
      <c r="V5280">
        <v>2</v>
      </c>
      <c r="W5280">
        <v>2</v>
      </c>
      <c r="X5280">
        <v>4</v>
      </c>
      <c r="Y5280">
        <v>47</v>
      </c>
      <c r="Z5280">
        <v>7</v>
      </c>
      <c r="AA5280">
        <v>1</v>
      </c>
      <c r="AB5280">
        <v>0</v>
      </c>
      <c r="AC5280">
        <v>0</v>
      </c>
      <c r="AD5280">
        <v>0</v>
      </c>
      <c r="AE5280">
        <v>0</v>
      </c>
      <c r="AF5280">
        <v>0</v>
      </c>
      <c r="AG5280">
        <v>3</v>
      </c>
      <c r="AH5280">
        <v>2</v>
      </c>
      <c r="AI5280">
        <v>1</v>
      </c>
      <c r="AJ5280">
        <v>0</v>
      </c>
      <c r="AK5280">
        <v>2</v>
      </c>
      <c r="AL5280">
        <v>1</v>
      </c>
      <c r="AM5280">
        <v>0</v>
      </c>
      <c r="AN5280">
        <v>0</v>
      </c>
      <c r="AT5280">
        <v>0</v>
      </c>
      <c r="AU5280">
        <v>15</v>
      </c>
      <c r="AV5280">
        <v>199</v>
      </c>
      <c r="AW5280">
        <v>199</v>
      </c>
      <c r="AX5280">
        <v>264</v>
      </c>
      <c r="BA5280">
        <v>1</v>
      </c>
      <c r="BC5280" t="s">
        <v>10673</v>
      </c>
      <c r="BD5280" s="4">
        <v>43283.02847222222</v>
      </c>
      <c r="BE5280" s="4">
        <v>43283.03365740741</v>
      </c>
      <c r="BF5280" s="4">
        <v>43283.03365740741</v>
      </c>
      <c r="BG5280" t="s">
        <v>83</v>
      </c>
      <c r="BH5280" t="s">
        <v>84</v>
      </c>
      <c r="BI5280" t="s">
        <v>85</v>
      </c>
    </row>
    <row r="5281" spans="1:61" x14ac:dyDescent="0.3">
      <c r="A5281" t="str">
        <f>"201529E0200"</f>
        <v>201529E0200</v>
      </c>
      <c r="B5281" s="2" t="s">
        <v>10674</v>
      </c>
      <c r="C5281">
        <v>20</v>
      </c>
      <c r="D5281" t="s">
        <v>79</v>
      </c>
      <c r="E5281">
        <v>25</v>
      </c>
      <c r="F5281" t="s">
        <v>10558</v>
      </c>
      <c r="G5281">
        <v>1529</v>
      </c>
      <c r="H5281">
        <v>2</v>
      </c>
      <c r="I5281" t="s">
        <v>145</v>
      </c>
      <c r="J5281">
        <v>0</v>
      </c>
      <c r="K5281">
        <v>2</v>
      </c>
      <c r="L5281">
        <v>2</v>
      </c>
      <c r="M5281">
        <v>54</v>
      </c>
      <c r="N5281">
        <v>180</v>
      </c>
      <c r="O5281">
        <v>9</v>
      </c>
      <c r="P5281">
        <v>180</v>
      </c>
      <c r="Q5281">
        <v>14</v>
      </c>
      <c r="R5281">
        <v>39</v>
      </c>
      <c r="S5281">
        <v>49</v>
      </c>
      <c r="T5281">
        <v>10</v>
      </c>
      <c r="U5281">
        <v>9</v>
      </c>
      <c r="V5281">
        <v>1</v>
      </c>
      <c r="W5281">
        <v>3</v>
      </c>
      <c r="X5281">
        <v>5</v>
      </c>
      <c r="Y5281">
        <v>28</v>
      </c>
      <c r="Z5281">
        <v>4</v>
      </c>
      <c r="AA5281">
        <v>0</v>
      </c>
      <c r="AB5281">
        <v>2</v>
      </c>
      <c r="AC5281">
        <v>1</v>
      </c>
      <c r="AD5281">
        <v>0</v>
      </c>
      <c r="AE5281">
        <v>0</v>
      </c>
      <c r="AF5281">
        <v>0</v>
      </c>
      <c r="AG5281">
        <v>2</v>
      </c>
      <c r="AH5281">
        <v>0</v>
      </c>
      <c r="AI5281">
        <v>0</v>
      </c>
      <c r="AJ5281">
        <v>0</v>
      </c>
      <c r="AK5281">
        <v>1</v>
      </c>
      <c r="AL5281">
        <v>0</v>
      </c>
      <c r="AM5281">
        <v>0</v>
      </c>
      <c r="AN5281">
        <v>0</v>
      </c>
      <c r="AT5281">
        <v>0</v>
      </c>
      <c r="AU5281">
        <v>12</v>
      </c>
      <c r="AV5281">
        <v>180</v>
      </c>
      <c r="AW5281">
        <v>180</v>
      </c>
      <c r="AX5281">
        <v>212</v>
      </c>
      <c r="BA5281">
        <v>1</v>
      </c>
      <c r="BC5281" t="s">
        <v>10675</v>
      </c>
      <c r="BD5281" s="4">
        <v>43283.146527777775</v>
      </c>
      <c r="BE5281" s="4">
        <v>43283.163900462961</v>
      </c>
      <c r="BF5281" s="4">
        <v>43283.163900462961</v>
      </c>
      <c r="BG5281" t="s">
        <v>83</v>
      </c>
      <c r="BH5281" t="s">
        <v>84</v>
      </c>
      <c r="BI5281" t="s">
        <v>85</v>
      </c>
    </row>
    <row r="5282" spans="1:61" x14ac:dyDescent="0.3">
      <c r="A5282" t="str">
        <f>"201530B0100"</f>
        <v>201530B0100</v>
      </c>
      <c r="B5282" t="s">
        <v>10676</v>
      </c>
      <c r="C5282">
        <v>20</v>
      </c>
      <c r="D5282" t="s">
        <v>79</v>
      </c>
      <c r="E5282">
        <v>25</v>
      </c>
      <c r="F5282" t="s">
        <v>10558</v>
      </c>
      <c r="G5282">
        <v>1530</v>
      </c>
      <c r="H5282">
        <v>1</v>
      </c>
      <c r="I5282" t="s">
        <v>81</v>
      </c>
      <c r="J5282">
        <v>0</v>
      </c>
      <c r="K5282">
        <v>2</v>
      </c>
      <c r="L5282">
        <v>2</v>
      </c>
      <c r="M5282">
        <v>184</v>
      </c>
      <c r="N5282">
        <v>342</v>
      </c>
      <c r="O5282">
        <v>3</v>
      </c>
      <c r="P5282">
        <v>342</v>
      </c>
      <c r="Q5282">
        <v>20</v>
      </c>
      <c r="R5282">
        <v>54</v>
      </c>
      <c r="S5282">
        <v>51</v>
      </c>
      <c r="T5282">
        <v>27</v>
      </c>
      <c r="U5282">
        <v>33</v>
      </c>
      <c r="V5282">
        <v>6</v>
      </c>
      <c r="W5282">
        <v>2</v>
      </c>
      <c r="X5282">
        <v>4</v>
      </c>
      <c r="Y5282">
        <v>81</v>
      </c>
      <c r="Z5282">
        <v>17</v>
      </c>
      <c r="AA5282">
        <v>0</v>
      </c>
      <c r="AB5282">
        <v>9</v>
      </c>
      <c r="AC5282">
        <v>0</v>
      </c>
      <c r="AD5282">
        <v>1</v>
      </c>
      <c r="AE5282">
        <v>0</v>
      </c>
      <c r="AF5282">
        <v>0</v>
      </c>
      <c r="AG5282">
        <v>0</v>
      </c>
      <c r="AH5282">
        <v>2</v>
      </c>
      <c r="AI5282">
        <v>0</v>
      </c>
      <c r="AJ5282">
        <v>3</v>
      </c>
      <c r="AK5282">
        <v>4</v>
      </c>
      <c r="AL5282">
        <v>2</v>
      </c>
      <c r="AM5282">
        <v>0</v>
      </c>
      <c r="AN5282">
        <v>1</v>
      </c>
      <c r="AT5282" t="s">
        <v>100</v>
      </c>
      <c r="AU5282">
        <v>25</v>
      </c>
      <c r="AV5282">
        <v>342</v>
      </c>
      <c r="AW5282">
        <v>342</v>
      </c>
      <c r="AX5282">
        <v>504</v>
      </c>
      <c r="AZ5282" t="s">
        <v>101</v>
      </c>
      <c r="BA5282">
        <v>1</v>
      </c>
      <c r="BC5282" t="s">
        <v>10677</v>
      </c>
      <c r="BD5282" s="4">
        <v>43283.265972222223</v>
      </c>
      <c r="BE5282" s="4">
        <v>43283.295023148145</v>
      </c>
      <c r="BF5282" s="4">
        <v>43283.295023148145</v>
      </c>
      <c r="BG5282" t="s">
        <v>83</v>
      </c>
      <c r="BH5282" t="s">
        <v>84</v>
      </c>
      <c r="BI5282" t="s">
        <v>85</v>
      </c>
    </row>
    <row r="5283" spans="1:61" x14ac:dyDescent="0.3">
      <c r="A5283" t="str">
        <f>"201530C0100"</f>
        <v>201530C0100</v>
      </c>
      <c r="B5283" t="s">
        <v>10678</v>
      </c>
      <c r="C5283">
        <v>20</v>
      </c>
      <c r="D5283" t="s">
        <v>79</v>
      </c>
      <c r="E5283">
        <v>25</v>
      </c>
      <c r="F5283" t="s">
        <v>10558</v>
      </c>
      <c r="G5283">
        <v>1530</v>
      </c>
      <c r="H5283">
        <v>1</v>
      </c>
      <c r="I5283" t="s">
        <v>89</v>
      </c>
      <c r="J5283">
        <v>0</v>
      </c>
      <c r="K5283">
        <v>2</v>
      </c>
      <c r="L5283">
        <v>2</v>
      </c>
      <c r="M5283">
        <v>166</v>
      </c>
      <c r="N5283">
        <v>360</v>
      </c>
      <c r="O5283">
        <v>3</v>
      </c>
      <c r="P5283">
        <v>360</v>
      </c>
      <c r="Q5283">
        <v>18</v>
      </c>
      <c r="R5283">
        <v>57</v>
      </c>
      <c r="S5283">
        <v>64</v>
      </c>
      <c r="T5283">
        <v>24</v>
      </c>
      <c r="U5283">
        <v>29</v>
      </c>
      <c r="V5283">
        <v>6</v>
      </c>
      <c r="W5283">
        <v>3</v>
      </c>
      <c r="X5283">
        <v>7</v>
      </c>
      <c r="Y5283">
        <v>97</v>
      </c>
      <c r="Z5283">
        <v>12</v>
      </c>
      <c r="AA5283">
        <v>0</v>
      </c>
      <c r="AB5283">
        <v>13</v>
      </c>
      <c r="AC5283">
        <v>0</v>
      </c>
      <c r="AD5283">
        <v>2</v>
      </c>
      <c r="AE5283">
        <v>0</v>
      </c>
      <c r="AF5283">
        <v>0</v>
      </c>
      <c r="AG5283">
        <v>0</v>
      </c>
      <c r="AH5283">
        <v>0</v>
      </c>
      <c r="AI5283">
        <v>0</v>
      </c>
      <c r="AJ5283">
        <v>1</v>
      </c>
      <c r="AK5283">
        <v>0</v>
      </c>
      <c r="AL5283">
        <v>1</v>
      </c>
      <c r="AM5283">
        <v>1</v>
      </c>
      <c r="AN5283">
        <v>1</v>
      </c>
      <c r="AT5283">
        <v>0</v>
      </c>
      <c r="AU5283">
        <v>24</v>
      </c>
      <c r="AV5283">
        <v>360</v>
      </c>
      <c r="AW5283">
        <v>360</v>
      </c>
      <c r="AX5283">
        <v>504</v>
      </c>
      <c r="BA5283">
        <v>1</v>
      </c>
      <c r="BC5283" t="s">
        <v>10679</v>
      </c>
      <c r="BD5283" s="4">
        <v>43283.26666666667</v>
      </c>
      <c r="BE5283" s="4">
        <v>43283.293229166666</v>
      </c>
      <c r="BF5283" s="4">
        <v>43283.293229166666</v>
      </c>
      <c r="BG5283" t="s">
        <v>83</v>
      </c>
      <c r="BH5283" t="s">
        <v>84</v>
      </c>
      <c r="BI5283" t="s">
        <v>85</v>
      </c>
    </row>
    <row r="5284" spans="1:61" x14ac:dyDescent="0.3">
      <c r="A5284" t="str">
        <f>"201530C0200"</f>
        <v>201530C0200</v>
      </c>
      <c r="B5284" t="s">
        <v>10680</v>
      </c>
      <c r="C5284">
        <v>20</v>
      </c>
      <c r="D5284" t="s">
        <v>79</v>
      </c>
      <c r="E5284">
        <v>25</v>
      </c>
      <c r="F5284" t="s">
        <v>10558</v>
      </c>
      <c r="G5284">
        <v>1530</v>
      </c>
      <c r="H5284">
        <v>2</v>
      </c>
      <c r="I5284" t="s">
        <v>89</v>
      </c>
      <c r="J5284">
        <v>0</v>
      </c>
      <c r="K5284">
        <v>2</v>
      </c>
      <c r="L5284">
        <v>2</v>
      </c>
      <c r="M5284">
        <v>171</v>
      </c>
      <c r="N5284">
        <v>353</v>
      </c>
      <c r="O5284">
        <v>4</v>
      </c>
      <c r="P5284">
        <v>353</v>
      </c>
      <c r="Q5284">
        <v>21</v>
      </c>
      <c r="R5284">
        <v>50</v>
      </c>
      <c r="S5284">
        <v>59</v>
      </c>
      <c r="T5284">
        <v>26</v>
      </c>
      <c r="U5284">
        <v>25</v>
      </c>
      <c r="V5284">
        <v>1</v>
      </c>
      <c r="W5284">
        <v>1</v>
      </c>
      <c r="X5284">
        <v>9</v>
      </c>
      <c r="Y5284">
        <v>91</v>
      </c>
      <c r="Z5284">
        <v>7</v>
      </c>
      <c r="AA5284">
        <v>2</v>
      </c>
      <c r="AB5284">
        <v>7</v>
      </c>
      <c r="AC5284">
        <v>1</v>
      </c>
      <c r="AD5284">
        <v>2</v>
      </c>
      <c r="AE5284">
        <v>0</v>
      </c>
      <c r="AF5284">
        <v>0</v>
      </c>
      <c r="AG5284">
        <v>2</v>
      </c>
      <c r="AH5284">
        <v>2</v>
      </c>
      <c r="AI5284">
        <v>2</v>
      </c>
      <c r="AJ5284">
        <v>0</v>
      </c>
      <c r="AK5284">
        <v>1</v>
      </c>
      <c r="AL5284">
        <v>1</v>
      </c>
      <c r="AM5284">
        <v>1</v>
      </c>
      <c r="AN5284">
        <v>1</v>
      </c>
      <c r="AT5284">
        <v>0</v>
      </c>
      <c r="AU5284">
        <v>41</v>
      </c>
      <c r="AV5284">
        <v>353</v>
      </c>
      <c r="AW5284">
        <v>353</v>
      </c>
      <c r="AX5284">
        <v>503</v>
      </c>
      <c r="BA5284">
        <v>1</v>
      </c>
      <c r="BC5284" t="s">
        <v>10681</v>
      </c>
      <c r="BD5284" s="4">
        <v>43283.26666666667</v>
      </c>
      <c r="BE5284" s="4">
        <v>43283.293738425928</v>
      </c>
      <c r="BF5284" s="4">
        <v>43283.293738425928</v>
      </c>
      <c r="BG5284" t="s">
        <v>83</v>
      </c>
      <c r="BH5284" t="s">
        <v>84</v>
      </c>
      <c r="BI5284" t="s">
        <v>85</v>
      </c>
    </row>
    <row r="5285" spans="1:61" x14ac:dyDescent="0.3">
      <c r="A5285" t="str">
        <f>"201531B0100"</f>
        <v>201531B0100</v>
      </c>
      <c r="B5285" t="s">
        <v>10682</v>
      </c>
      <c r="C5285">
        <v>20</v>
      </c>
      <c r="D5285" t="s">
        <v>79</v>
      </c>
      <c r="E5285">
        <v>25</v>
      </c>
      <c r="F5285" t="s">
        <v>10558</v>
      </c>
      <c r="G5285">
        <v>1531</v>
      </c>
      <c r="H5285">
        <v>1</v>
      </c>
      <c r="I5285" t="s">
        <v>81</v>
      </c>
      <c r="J5285">
        <v>0</v>
      </c>
      <c r="K5285">
        <v>2</v>
      </c>
      <c r="L5285">
        <v>2</v>
      </c>
      <c r="M5285" t="s">
        <v>315</v>
      </c>
      <c r="N5285" t="s">
        <v>315</v>
      </c>
      <c r="O5285" t="s">
        <v>315</v>
      </c>
      <c r="P5285" t="s">
        <v>315</v>
      </c>
      <c r="Q5285" t="s">
        <v>315</v>
      </c>
      <c r="R5285" t="s">
        <v>315</v>
      </c>
      <c r="S5285" t="s">
        <v>315</v>
      </c>
      <c r="T5285" t="s">
        <v>315</v>
      </c>
      <c r="U5285" t="s">
        <v>315</v>
      </c>
      <c r="V5285" t="s">
        <v>315</v>
      </c>
      <c r="W5285">
        <v>1</v>
      </c>
      <c r="X5285">
        <v>8</v>
      </c>
      <c r="Y5285" t="s">
        <v>315</v>
      </c>
      <c r="Z5285" t="s">
        <v>315</v>
      </c>
      <c r="AA5285">
        <v>1</v>
      </c>
      <c r="AB5285">
        <v>9</v>
      </c>
      <c r="AC5285">
        <v>0</v>
      </c>
      <c r="AD5285">
        <v>0</v>
      </c>
      <c r="AE5285">
        <v>0</v>
      </c>
      <c r="AF5285">
        <v>0</v>
      </c>
      <c r="AG5285">
        <v>3</v>
      </c>
      <c r="AH5285">
        <v>2</v>
      </c>
      <c r="AI5285">
        <v>1</v>
      </c>
      <c r="AJ5285">
        <v>0</v>
      </c>
      <c r="AK5285">
        <v>4</v>
      </c>
      <c r="AL5285">
        <v>2</v>
      </c>
      <c r="AM5285">
        <v>0</v>
      </c>
      <c r="AN5285">
        <v>1</v>
      </c>
      <c r="AT5285">
        <v>0</v>
      </c>
      <c r="AU5285">
        <v>11</v>
      </c>
      <c r="AV5285" t="s">
        <v>100</v>
      </c>
      <c r="AW5285">
        <v>43</v>
      </c>
      <c r="AX5285">
        <v>561</v>
      </c>
      <c r="AZ5285" t="s">
        <v>101</v>
      </c>
      <c r="BA5285">
        <v>1</v>
      </c>
      <c r="BC5285" t="s">
        <v>10683</v>
      </c>
      <c r="BD5285" s="4">
        <v>43283.155555555553</v>
      </c>
      <c r="BE5285" s="4">
        <v>43283.188217592593</v>
      </c>
      <c r="BF5285" s="4">
        <v>43283.188217592593</v>
      </c>
      <c r="BG5285" t="s">
        <v>83</v>
      </c>
      <c r="BH5285" t="s">
        <v>84</v>
      </c>
      <c r="BI5285" t="s">
        <v>85</v>
      </c>
    </row>
    <row r="5286" spans="1:61" x14ac:dyDescent="0.3">
      <c r="A5286" t="str">
        <f>"201531C0100"</f>
        <v>201531C0100</v>
      </c>
      <c r="B5286" t="s">
        <v>10684</v>
      </c>
      <c r="C5286">
        <v>20</v>
      </c>
      <c r="D5286" t="s">
        <v>79</v>
      </c>
      <c r="E5286">
        <v>25</v>
      </c>
      <c r="F5286" t="s">
        <v>10558</v>
      </c>
      <c r="G5286">
        <v>1531</v>
      </c>
      <c r="H5286">
        <v>1</v>
      </c>
      <c r="I5286" t="s">
        <v>89</v>
      </c>
      <c r="J5286">
        <v>0</v>
      </c>
      <c r="K5286">
        <v>2</v>
      </c>
      <c r="L5286">
        <v>2</v>
      </c>
      <c r="M5286">
        <v>166</v>
      </c>
      <c r="N5286">
        <v>417</v>
      </c>
      <c r="O5286">
        <v>1</v>
      </c>
      <c r="P5286">
        <v>417</v>
      </c>
      <c r="Q5286">
        <v>14</v>
      </c>
      <c r="R5286">
        <v>123</v>
      </c>
      <c r="S5286">
        <v>54</v>
      </c>
      <c r="T5286">
        <v>43</v>
      </c>
      <c r="U5286">
        <v>38</v>
      </c>
      <c r="V5286">
        <v>4</v>
      </c>
      <c r="W5286">
        <v>3</v>
      </c>
      <c r="X5286">
        <v>4</v>
      </c>
      <c r="Y5286">
        <v>97</v>
      </c>
      <c r="Z5286">
        <v>7</v>
      </c>
      <c r="AA5286">
        <v>0</v>
      </c>
      <c r="AB5286">
        <v>2</v>
      </c>
      <c r="AC5286">
        <v>0</v>
      </c>
      <c r="AD5286">
        <v>0</v>
      </c>
      <c r="AE5286">
        <v>0</v>
      </c>
      <c r="AF5286">
        <v>0</v>
      </c>
      <c r="AG5286">
        <v>3</v>
      </c>
      <c r="AH5286">
        <v>2</v>
      </c>
      <c r="AI5286">
        <v>0</v>
      </c>
      <c r="AJ5286">
        <v>0</v>
      </c>
      <c r="AK5286">
        <v>1</v>
      </c>
      <c r="AL5286">
        <v>2</v>
      </c>
      <c r="AM5286">
        <v>0</v>
      </c>
      <c r="AN5286">
        <v>0</v>
      </c>
      <c r="AT5286" t="s">
        <v>100</v>
      </c>
      <c r="AU5286">
        <v>19</v>
      </c>
      <c r="AV5286">
        <v>417</v>
      </c>
      <c r="AW5286">
        <v>416</v>
      </c>
      <c r="AX5286">
        <v>561</v>
      </c>
      <c r="AZ5286" t="s">
        <v>101</v>
      </c>
      <c r="BA5286">
        <v>1</v>
      </c>
      <c r="BC5286" t="s">
        <v>10685</v>
      </c>
      <c r="BD5286" s="4">
        <v>43283.144444444442</v>
      </c>
      <c r="BE5286" s="4">
        <v>43283.152604166666</v>
      </c>
      <c r="BF5286" s="4">
        <v>43283.152604166666</v>
      </c>
      <c r="BG5286" t="s">
        <v>83</v>
      </c>
      <c r="BH5286" t="s">
        <v>84</v>
      </c>
      <c r="BI5286" t="s">
        <v>85</v>
      </c>
    </row>
    <row r="5287" spans="1:61" x14ac:dyDescent="0.3">
      <c r="A5287" t="str">
        <f>"201531C0200"</f>
        <v>201531C0200</v>
      </c>
      <c r="B5287" t="s">
        <v>10686</v>
      </c>
      <c r="C5287">
        <v>20</v>
      </c>
      <c r="D5287" t="s">
        <v>79</v>
      </c>
      <c r="E5287">
        <v>25</v>
      </c>
      <c r="F5287" t="s">
        <v>10558</v>
      </c>
      <c r="G5287">
        <v>1531</v>
      </c>
      <c r="H5287">
        <v>2</v>
      </c>
      <c r="I5287" t="s">
        <v>89</v>
      </c>
      <c r="J5287">
        <v>0</v>
      </c>
      <c r="K5287">
        <v>2</v>
      </c>
      <c r="L5287">
        <v>2</v>
      </c>
      <c r="M5287">
        <v>180</v>
      </c>
      <c r="N5287">
        <v>403</v>
      </c>
      <c r="O5287">
        <v>1</v>
      </c>
      <c r="P5287">
        <v>403</v>
      </c>
      <c r="Q5287">
        <v>24</v>
      </c>
      <c r="R5287">
        <v>104</v>
      </c>
      <c r="S5287">
        <v>30</v>
      </c>
      <c r="T5287">
        <v>43</v>
      </c>
      <c r="U5287">
        <v>29</v>
      </c>
      <c r="V5287">
        <v>8</v>
      </c>
      <c r="W5287">
        <v>3</v>
      </c>
      <c r="X5287">
        <v>13</v>
      </c>
      <c r="Y5287">
        <v>106</v>
      </c>
      <c r="Z5287">
        <v>8</v>
      </c>
      <c r="AA5287">
        <v>1</v>
      </c>
      <c r="AB5287">
        <v>5</v>
      </c>
      <c r="AC5287">
        <v>1</v>
      </c>
      <c r="AD5287">
        <v>1</v>
      </c>
      <c r="AE5287">
        <v>0</v>
      </c>
      <c r="AF5287">
        <v>0</v>
      </c>
      <c r="AG5287">
        <v>0</v>
      </c>
      <c r="AH5287">
        <v>4</v>
      </c>
      <c r="AI5287">
        <v>0</v>
      </c>
      <c r="AJ5287">
        <v>0</v>
      </c>
      <c r="AK5287">
        <v>0</v>
      </c>
      <c r="AL5287">
        <v>4</v>
      </c>
      <c r="AM5287">
        <v>1</v>
      </c>
      <c r="AN5287">
        <v>1</v>
      </c>
      <c r="AT5287">
        <v>0</v>
      </c>
      <c r="AU5287">
        <v>17</v>
      </c>
      <c r="AV5287">
        <v>403</v>
      </c>
      <c r="AW5287">
        <v>403</v>
      </c>
      <c r="AX5287">
        <v>561</v>
      </c>
      <c r="BA5287">
        <v>1</v>
      </c>
      <c r="BC5287" t="s">
        <v>10687</v>
      </c>
      <c r="BD5287" s="4">
        <v>43283.145833333336</v>
      </c>
      <c r="BE5287" s="4">
        <v>43283.153749999998</v>
      </c>
      <c r="BF5287" s="4">
        <v>43283.153749999998</v>
      </c>
      <c r="BG5287" t="s">
        <v>83</v>
      </c>
      <c r="BH5287" t="s">
        <v>84</v>
      </c>
      <c r="BI5287" t="s">
        <v>85</v>
      </c>
    </row>
    <row r="5288" spans="1:61" x14ac:dyDescent="0.3">
      <c r="A5288" t="str">
        <f>"201532B0100"</f>
        <v>201532B0100</v>
      </c>
      <c r="B5288" t="s">
        <v>10688</v>
      </c>
      <c r="C5288">
        <v>20</v>
      </c>
      <c r="D5288" t="s">
        <v>79</v>
      </c>
      <c r="E5288">
        <v>25</v>
      </c>
      <c r="F5288" t="s">
        <v>10558</v>
      </c>
      <c r="G5288">
        <v>1532</v>
      </c>
      <c r="H5288">
        <v>1</v>
      </c>
      <c r="I5288" t="s">
        <v>81</v>
      </c>
      <c r="J5288">
        <v>0</v>
      </c>
      <c r="K5288">
        <v>2</v>
      </c>
      <c r="L5288">
        <v>2</v>
      </c>
      <c r="M5288">
        <v>252</v>
      </c>
      <c r="N5288">
        <v>397</v>
      </c>
      <c r="O5288">
        <v>2</v>
      </c>
      <c r="P5288">
        <v>397</v>
      </c>
      <c r="Q5288">
        <v>5</v>
      </c>
      <c r="R5288">
        <v>115</v>
      </c>
      <c r="S5288">
        <v>48</v>
      </c>
      <c r="T5288">
        <v>18</v>
      </c>
      <c r="U5288">
        <v>24</v>
      </c>
      <c r="V5288">
        <v>4</v>
      </c>
      <c r="W5288">
        <v>8</v>
      </c>
      <c r="X5288">
        <v>9</v>
      </c>
      <c r="Y5288">
        <v>116</v>
      </c>
      <c r="Z5288">
        <v>5</v>
      </c>
      <c r="AA5288">
        <v>0</v>
      </c>
      <c r="AB5288">
        <v>12</v>
      </c>
      <c r="AC5288">
        <v>0</v>
      </c>
      <c r="AD5288">
        <v>0</v>
      </c>
      <c r="AE5288">
        <v>0</v>
      </c>
      <c r="AF5288">
        <v>0</v>
      </c>
      <c r="AG5288">
        <v>1</v>
      </c>
      <c r="AH5288">
        <v>3</v>
      </c>
      <c r="AI5288">
        <v>0</v>
      </c>
      <c r="AJ5288">
        <v>0</v>
      </c>
      <c r="AK5288">
        <v>1</v>
      </c>
      <c r="AL5288">
        <v>0</v>
      </c>
      <c r="AM5288">
        <v>0</v>
      </c>
      <c r="AN5288">
        <v>2</v>
      </c>
      <c r="AT5288">
        <v>0</v>
      </c>
      <c r="AU5288">
        <v>26</v>
      </c>
      <c r="AV5288">
        <v>397</v>
      </c>
      <c r="AW5288">
        <v>397</v>
      </c>
      <c r="AX5288">
        <v>627</v>
      </c>
      <c r="BA5288">
        <v>1</v>
      </c>
      <c r="BC5288" t="s">
        <v>10689</v>
      </c>
      <c r="BD5288" s="4">
        <v>43283.211805555555</v>
      </c>
      <c r="BE5288" s="4">
        <v>43283.233877314815</v>
      </c>
      <c r="BF5288" s="4">
        <v>43283.233877314815</v>
      </c>
      <c r="BG5288" t="s">
        <v>83</v>
      </c>
      <c r="BH5288" t="s">
        <v>84</v>
      </c>
      <c r="BI5288" t="s">
        <v>85</v>
      </c>
    </row>
    <row r="5289" spans="1:61" x14ac:dyDescent="0.3">
      <c r="A5289" t="str">
        <f>"201532E0100"</f>
        <v>201532E0100</v>
      </c>
      <c r="B5289" s="2" t="s">
        <v>10690</v>
      </c>
      <c r="C5289">
        <v>20</v>
      </c>
      <c r="D5289" t="s">
        <v>79</v>
      </c>
      <c r="E5289">
        <v>25</v>
      </c>
      <c r="F5289" t="s">
        <v>10558</v>
      </c>
      <c r="G5289">
        <v>1532</v>
      </c>
      <c r="H5289">
        <v>1</v>
      </c>
      <c r="I5289" t="s">
        <v>145</v>
      </c>
      <c r="J5289">
        <v>0</v>
      </c>
      <c r="K5289">
        <v>2</v>
      </c>
      <c r="L5289">
        <v>2</v>
      </c>
      <c r="M5289">
        <v>227</v>
      </c>
      <c r="N5289">
        <v>446</v>
      </c>
      <c r="O5289">
        <v>7</v>
      </c>
      <c r="P5289">
        <v>446</v>
      </c>
      <c r="Q5289">
        <v>17</v>
      </c>
      <c r="R5289">
        <v>47</v>
      </c>
      <c r="S5289">
        <v>49</v>
      </c>
      <c r="T5289">
        <v>31</v>
      </c>
      <c r="U5289">
        <v>47</v>
      </c>
      <c r="V5289">
        <v>10</v>
      </c>
      <c r="W5289">
        <v>7</v>
      </c>
      <c r="X5289">
        <v>7</v>
      </c>
      <c r="Y5289">
        <v>164</v>
      </c>
      <c r="Z5289">
        <v>7</v>
      </c>
      <c r="AA5289">
        <v>3</v>
      </c>
      <c r="AB5289">
        <v>3</v>
      </c>
      <c r="AC5289">
        <v>0</v>
      </c>
      <c r="AD5289">
        <v>2</v>
      </c>
      <c r="AE5289">
        <v>0</v>
      </c>
      <c r="AF5289">
        <v>1</v>
      </c>
      <c r="AG5289">
        <v>0</v>
      </c>
      <c r="AH5289">
        <v>1</v>
      </c>
      <c r="AI5289">
        <v>0</v>
      </c>
      <c r="AJ5289">
        <v>0</v>
      </c>
      <c r="AK5289">
        <v>8</v>
      </c>
      <c r="AL5289">
        <v>1</v>
      </c>
      <c r="AM5289">
        <v>1</v>
      </c>
      <c r="AN5289">
        <v>1</v>
      </c>
      <c r="AT5289">
        <v>0</v>
      </c>
      <c r="AU5289">
        <v>39</v>
      </c>
      <c r="AV5289">
        <v>446</v>
      </c>
      <c r="AW5289">
        <v>446</v>
      </c>
      <c r="AX5289">
        <v>651</v>
      </c>
      <c r="BA5289">
        <v>1</v>
      </c>
      <c r="BC5289" t="s">
        <v>10691</v>
      </c>
      <c r="BD5289" s="4">
        <v>43283.212500000001</v>
      </c>
      <c r="BE5289" s="4">
        <v>43283.234780092593</v>
      </c>
      <c r="BF5289" s="4">
        <v>43283.234780092593</v>
      </c>
      <c r="BG5289" t="s">
        <v>83</v>
      </c>
      <c r="BH5289" t="s">
        <v>84</v>
      </c>
      <c r="BI5289" t="s">
        <v>85</v>
      </c>
    </row>
    <row r="5290" spans="1:61" x14ac:dyDescent="0.3">
      <c r="A5290" t="str">
        <f>"201533B0100"</f>
        <v>201533B0100</v>
      </c>
      <c r="B5290" t="s">
        <v>10692</v>
      </c>
      <c r="C5290">
        <v>20</v>
      </c>
      <c r="D5290" t="s">
        <v>79</v>
      </c>
      <c r="E5290">
        <v>25</v>
      </c>
      <c r="F5290" t="s">
        <v>10558</v>
      </c>
      <c r="G5290">
        <v>1533</v>
      </c>
      <c r="H5290">
        <v>1</v>
      </c>
      <c r="I5290" t="s">
        <v>81</v>
      </c>
      <c r="J5290">
        <v>0</v>
      </c>
      <c r="K5290">
        <v>2</v>
      </c>
      <c r="L5290">
        <v>2</v>
      </c>
      <c r="M5290">
        <v>251</v>
      </c>
      <c r="N5290">
        <v>475</v>
      </c>
      <c r="O5290">
        <v>3</v>
      </c>
      <c r="P5290">
        <v>475</v>
      </c>
      <c r="Q5290">
        <v>18</v>
      </c>
      <c r="R5290">
        <v>72</v>
      </c>
      <c r="S5290">
        <v>33</v>
      </c>
      <c r="T5290">
        <v>9</v>
      </c>
      <c r="U5290">
        <v>27</v>
      </c>
      <c r="V5290">
        <v>9</v>
      </c>
      <c r="W5290">
        <v>7</v>
      </c>
      <c r="X5290">
        <v>9</v>
      </c>
      <c r="Y5290">
        <v>239</v>
      </c>
      <c r="Z5290">
        <v>10</v>
      </c>
      <c r="AA5290">
        <v>0</v>
      </c>
      <c r="AB5290">
        <v>10</v>
      </c>
      <c r="AC5290">
        <v>0</v>
      </c>
      <c r="AD5290">
        <v>0</v>
      </c>
      <c r="AE5290">
        <v>0</v>
      </c>
      <c r="AF5290">
        <v>0</v>
      </c>
      <c r="AG5290">
        <v>5</v>
      </c>
      <c r="AH5290">
        <v>1</v>
      </c>
      <c r="AI5290">
        <v>2</v>
      </c>
      <c r="AJ5290">
        <v>0</v>
      </c>
      <c r="AK5290">
        <v>8</v>
      </c>
      <c r="AL5290">
        <v>4</v>
      </c>
      <c r="AM5290">
        <v>0</v>
      </c>
      <c r="AN5290">
        <v>0</v>
      </c>
      <c r="AT5290">
        <v>0</v>
      </c>
      <c r="AU5290">
        <v>12</v>
      </c>
      <c r="AV5290">
        <v>475</v>
      </c>
      <c r="AW5290">
        <v>475</v>
      </c>
      <c r="AX5290">
        <v>708</v>
      </c>
      <c r="BA5290">
        <v>1</v>
      </c>
      <c r="BC5290" t="s">
        <v>10693</v>
      </c>
      <c r="BD5290" s="4">
        <v>43283.193055555559</v>
      </c>
      <c r="BE5290" s="4">
        <v>43283.211284722223</v>
      </c>
      <c r="BF5290" s="4">
        <v>43283.211284722223</v>
      </c>
      <c r="BG5290" t="s">
        <v>83</v>
      </c>
      <c r="BH5290" t="s">
        <v>84</v>
      </c>
      <c r="BI5290" t="s">
        <v>85</v>
      </c>
    </row>
    <row r="5291" spans="1:61" x14ac:dyDescent="0.3">
      <c r="A5291" t="str">
        <f>"201533C0100"</f>
        <v>201533C0100</v>
      </c>
      <c r="B5291" t="s">
        <v>10694</v>
      </c>
      <c r="C5291">
        <v>20</v>
      </c>
      <c r="D5291" t="s">
        <v>79</v>
      </c>
      <c r="E5291">
        <v>25</v>
      </c>
      <c r="F5291" t="s">
        <v>10558</v>
      </c>
      <c r="G5291">
        <v>1533</v>
      </c>
      <c r="H5291">
        <v>1</v>
      </c>
      <c r="I5291" t="s">
        <v>89</v>
      </c>
      <c r="J5291">
        <v>0</v>
      </c>
      <c r="K5291">
        <v>2</v>
      </c>
      <c r="L5291">
        <v>2</v>
      </c>
      <c r="M5291">
        <v>249</v>
      </c>
      <c r="N5291">
        <v>480</v>
      </c>
      <c r="O5291">
        <v>1</v>
      </c>
      <c r="P5291">
        <v>480</v>
      </c>
      <c r="Q5291">
        <v>11</v>
      </c>
      <c r="R5291">
        <v>59</v>
      </c>
      <c r="S5291">
        <v>28</v>
      </c>
      <c r="T5291">
        <v>13</v>
      </c>
      <c r="U5291">
        <v>20</v>
      </c>
      <c r="V5291">
        <v>9</v>
      </c>
      <c r="W5291">
        <v>11</v>
      </c>
      <c r="X5291">
        <v>4</v>
      </c>
      <c r="Y5291">
        <v>264</v>
      </c>
      <c r="Z5291">
        <v>16</v>
      </c>
      <c r="AA5291">
        <v>0</v>
      </c>
      <c r="AB5291">
        <v>8</v>
      </c>
      <c r="AC5291">
        <v>1</v>
      </c>
      <c r="AD5291">
        <v>0</v>
      </c>
      <c r="AE5291">
        <v>0</v>
      </c>
      <c r="AF5291">
        <v>0</v>
      </c>
      <c r="AG5291">
        <v>4</v>
      </c>
      <c r="AH5291">
        <v>1</v>
      </c>
      <c r="AI5291">
        <v>1</v>
      </c>
      <c r="AJ5291">
        <v>0</v>
      </c>
      <c r="AK5291">
        <v>8</v>
      </c>
      <c r="AL5291">
        <v>3</v>
      </c>
      <c r="AM5291">
        <v>0</v>
      </c>
      <c r="AN5291">
        <v>2</v>
      </c>
      <c r="AT5291">
        <v>0</v>
      </c>
      <c r="AU5291">
        <v>17</v>
      </c>
      <c r="AV5291">
        <v>480</v>
      </c>
      <c r="AW5291">
        <v>480</v>
      </c>
      <c r="AX5291">
        <v>708</v>
      </c>
      <c r="BA5291">
        <v>1</v>
      </c>
      <c r="BC5291" t="s">
        <v>10695</v>
      </c>
      <c r="BD5291" s="4">
        <v>43283.193749999999</v>
      </c>
      <c r="BE5291" s="4">
        <v>43283.211539351854</v>
      </c>
      <c r="BF5291" s="4">
        <v>43283.211539351854</v>
      </c>
      <c r="BG5291" t="s">
        <v>83</v>
      </c>
      <c r="BH5291" t="s">
        <v>84</v>
      </c>
      <c r="BI5291" t="s">
        <v>85</v>
      </c>
    </row>
    <row r="5292" spans="1:61" x14ac:dyDescent="0.3">
      <c r="A5292" t="str">
        <f>"201533C0200"</f>
        <v>201533C0200</v>
      </c>
      <c r="B5292" t="s">
        <v>10696</v>
      </c>
      <c r="C5292">
        <v>20</v>
      </c>
      <c r="D5292" t="s">
        <v>79</v>
      </c>
      <c r="E5292">
        <v>25</v>
      </c>
      <c r="F5292" t="s">
        <v>10558</v>
      </c>
      <c r="G5292">
        <v>1533</v>
      </c>
      <c r="H5292">
        <v>2</v>
      </c>
      <c r="I5292" t="s">
        <v>89</v>
      </c>
      <c r="J5292">
        <v>0</v>
      </c>
      <c r="K5292">
        <v>2</v>
      </c>
      <c r="L5292">
        <v>2</v>
      </c>
      <c r="M5292">
        <v>261</v>
      </c>
      <c r="N5292">
        <v>468</v>
      </c>
      <c r="O5292">
        <v>4</v>
      </c>
      <c r="P5292">
        <v>467</v>
      </c>
      <c r="Q5292">
        <v>7</v>
      </c>
      <c r="R5292">
        <v>67</v>
      </c>
      <c r="S5292">
        <v>16</v>
      </c>
      <c r="T5292">
        <v>2</v>
      </c>
      <c r="U5292">
        <v>24</v>
      </c>
      <c r="V5292">
        <v>6</v>
      </c>
      <c r="W5292">
        <v>8</v>
      </c>
      <c r="X5292">
        <v>4</v>
      </c>
      <c r="Y5292">
        <v>284</v>
      </c>
      <c r="Z5292">
        <v>12</v>
      </c>
      <c r="AA5292">
        <v>10</v>
      </c>
      <c r="AB5292">
        <v>10</v>
      </c>
      <c r="AC5292">
        <v>0</v>
      </c>
      <c r="AD5292">
        <v>0</v>
      </c>
      <c r="AE5292">
        <v>0</v>
      </c>
      <c r="AF5292">
        <v>0</v>
      </c>
      <c r="AG5292">
        <v>2</v>
      </c>
      <c r="AH5292">
        <v>0</v>
      </c>
      <c r="AI5292">
        <v>0</v>
      </c>
      <c r="AJ5292">
        <v>0</v>
      </c>
      <c r="AK5292">
        <v>3</v>
      </c>
      <c r="AL5292">
        <v>1</v>
      </c>
      <c r="AM5292">
        <v>0</v>
      </c>
      <c r="AN5292">
        <v>2</v>
      </c>
      <c r="AT5292" t="s">
        <v>100</v>
      </c>
      <c r="AU5292">
        <v>13</v>
      </c>
      <c r="AV5292">
        <v>467</v>
      </c>
      <c r="AW5292">
        <v>471</v>
      </c>
      <c r="AX5292">
        <v>707</v>
      </c>
      <c r="AZ5292" t="s">
        <v>101</v>
      </c>
      <c r="BA5292">
        <v>1</v>
      </c>
      <c r="BC5292" t="s">
        <v>10697</v>
      </c>
      <c r="BD5292" s="4">
        <v>43283.193749999999</v>
      </c>
      <c r="BE5292" s="4">
        <v>43283.213113425925</v>
      </c>
      <c r="BF5292" s="4">
        <v>43283.213113425925</v>
      </c>
      <c r="BG5292" t="s">
        <v>83</v>
      </c>
      <c r="BH5292" t="s">
        <v>84</v>
      </c>
      <c r="BI5292" t="s">
        <v>85</v>
      </c>
    </row>
    <row r="5293" spans="1:61" x14ac:dyDescent="0.3">
      <c r="A5293" t="str">
        <f>"201534B0100"</f>
        <v>201534B0100</v>
      </c>
      <c r="B5293" t="s">
        <v>10698</v>
      </c>
      <c r="C5293">
        <v>20</v>
      </c>
      <c r="D5293" t="s">
        <v>79</v>
      </c>
      <c r="E5293">
        <v>25</v>
      </c>
      <c r="F5293" t="s">
        <v>10558</v>
      </c>
      <c r="G5293">
        <v>1534</v>
      </c>
      <c r="H5293">
        <v>1</v>
      </c>
      <c r="I5293" t="s">
        <v>81</v>
      </c>
      <c r="J5293">
        <v>0</v>
      </c>
      <c r="K5293">
        <v>2</v>
      </c>
      <c r="L5293">
        <v>2</v>
      </c>
      <c r="M5293">
        <v>219</v>
      </c>
      <c r="N5293" t="s">
        <v>100</v>
      </c>
      <c r="O5293" t="s">
        <v>100</v>
      </c>
      <c r="P5293" t="s">
        <v>100</v>
      </c>
      <c r="Q5293">
        <v>20</v>
      </c>
      <c r="R5293">
        <v>63</v>
      </c>
      <c r="S5293">
        <v>37</v>
      </c>
      <c r="T5293">
        <v>17</v>
      </c>
      <c r="U5293">
        <v>27</v>
      </c>
      <c r="V5293">
        <v>1</v>
      </c>
      <c r="W5293">
        <v>2</v>
      </c>
      <c r="X5293">
        <v>5</v>
      </c>
      <c r="Y5293">
        <v>193</v>
      </c>
      <c r="Z5293">
        <v>9</v>
      </c>
      <c r="AA5293">
        <v>0</v>
      </c>
      <c r="AB5293">
        <v>4</v>
      </c>
      <c r="AC5293">
        <v>1</v>
      </c>
      <c r="AD5293">
        <v>0</v>
      </c>
      <c r="AE5293">
        <v>1</v>
      </c>
      <c r="AF5293">
        <v>1</v>
      </c>
      <c r="AG5293">
        <v>5</v>
      </c>
      <c r="AH5293">
        <v>1</v>
      </c>
      <c r="AI5293">
        <v>0</v>
      </c>
      <c r="AJ5293">
        <v>0</v>
      </c>
      <c r="AK5293">
        <v>9</v>
      </c>
      <c r="AL5293">
        <v>3</v>
      </c>
      <c r="AM5293">
        <v>0</v>
      </c>
      <c r="AN5293">
        <v>1</v>
      </c>
      <c r="AT5293" t="s">
        <v>100</v>
      </c>
      <c r="AU5293">
        <v>10</v>
      </c>
      <c r="AV5293" t="s">
        <v>100</v>
      </c>
      <c r="AW5293">
        <v>410</v>
      </c>
      <c r="AX5293">
        <v>601</v>
      </c>
      <c r="AZ5293" t="s">
        <v>101</v>
      </c>
      <c r="BA5293">
        <v>1</v>
      </c>
      <c r="BC5293" t="s">
        <v>10699</v>
      </c>
      <c r="BD5293" s="4">
        <v>43283.177083333336</v>
      </c>
      <c r="BE5293" s="4">
        <v>43283.195567129631</v>
      </c>
      <c r="BF5293" s="4">
        <v>43283.195567129631</v>
      </c>
      <c r="BG5293" t="s">
        <v>83</v>
      </c>
      <c r="BH5293" t="s">
        <v>84</v>
      </c>
      <c r="BI5293" t="s">
        <v>85</v>
      </c>
    </row>
    <row r="5294" spans="1:61" x14ac:dyDescent="0.3">
      <c r="A5294" t="str">
        <f>"201534C0100"</f>
        <v>201534C0100</v>
      </c>
      <c r="B5294" t="s">
        <v>10700</v>
      </c>
      <c r="C5294">
        <v>20</v>
      </c>
      <c r="D5294" t="s">
        <v>79</v>
      </c>
      <c r="E5294">
        <v>25</v>
      </c>
      <c r="F5294" t="s">
        <v>10558</v>
      </c>
      <c r="G5294">
        <v>1534</v>
      </c>
      <c r="H5294">
        <v>1</v>
      </c>
      <c r="I5294" t="s">
        <v>89</v>
      </c>
      <c r="J5294">
        <v>0</v>
      </c>
      <c r="K5294">
        <v>2</v>
      </c>
      <c r="L5294">
        <v>2</v>
      </c>
      <c r="M5294">
        <v>197</v>
      </c>
      <c r="N5294">
        <v>126</v>
      </c>
      <c r="O5294">
        <v>4</v>
      </c>
      <c r="P5294">
        <v>425</v>
      </c>
      <c r="Q5294">
        <v>12</v>
      </c>
      <c r="R5294">
        <v>68</v>
      </c>
      <c r="S5294">
        <v>37</v>
      </c>
      <c r="T5294">
        <v>13</v>
      </c>
      <c r="U5294">
        <v>32</v>
      </c>
      <c r="V5294">
        <v>3</v>
      </c>
      <c r="W5294">
        <v>6</v>
      </c>
      <c r="X5294">
        <v>10</v>
      </c>
      <c r="Y5294">
        <v>195</v>
      </c>
      <c r="Z5294">
        <v>11</v>
      </c>
      <c r="AA5294">
        <v>2</v>
      </c>
      <c r="AB5294">
        <v>8</v>
      </c>
      <c r="AC5294">
        <v>1</v>
      </c>
      <c r="AD5294">
        <v>0</v>
      </c>
      <c r="AE5294">
        <v>0</v>
      </c>
      <c r="AF5294">
        <v>0</v>
      </c>
      <c r="AG5294">
        <v>0</v>
      </c>
      <c r="AH5294">
        <v>1</v>
      </c>
      <c r="AI5294">
        <v>0</v>
      </c>
      <c r="AJ5294">
        <v>0</v>
      </c>
      <c r="AK5294">
        <v>8</v>
      </c>
      <c r="AL5294">
        <v>1</v>
      </c>
      <c r="AM5294">
        <v>0</v>
      </c>
      <c r="AN5294">
        <v>2</v>
      </c>
      <c r="AT5294" t="s">
        <v>100</v>
      </c>
      <c r="AU5294">
        <v>15</v>
      </c>
      <c r="AV5294">
        <v>425</v>
      </c>
      <c r="AW5294">
        <v>425</v>
      </c>
      <c r="AX5294">
        <v>601</v>
      </c>
      <c r="AZ5294" t="s">
        <v>101</v>
      </c>
      <c r="BA5294">
        <v>1</v>
      </c>
      <c r="BC5294" t="s">
        <v>10701</v>
      </c>
      <c r="BD5294" s="4">
        <v>43283.175000000003</v>
      </c>
      <c r="BE5294" s="4">
        <v>43283.191122685188</v>
      </c>
      <c r="BF5294" s="4">
        <v>43283.191122685188</v>
      </c>
      <c r="BG5294" t="s">
        <v>83</v>
      </c>
      <c r="BH5294" t="s">
        <v>84</v>
      </c>
      <c r="BI5294" t="s">
        <v>85</v>
      </c>
    </row>
    <row r="5295" spans="1:61" x14ac:dyDescent="0.3">
      <c r="A5295" t="str">
        <f>"201534C0200"</f>
        <v>201534C0200</v>
      </c>
      <c r="B5295" t="s">
        <v>10702</v>
      </c>
      <c r="C5295">
        <v>20</v>
      </c>
      <c r="D5295" t="s">
        <v>79</v>
      </c>
      <c r="E5295">
        <v>25</v>
      </c>
      <c r="F5295" t="s">
        <v>10558</v>
      </c>
      <c r="G5295">
        <v>1534</v>
      </c>
      <c r="H5295">
        <v>2</v>
      </c>
      <c r="I5295" t="s">
        <v>89</v>
      </c>
      <c r="J5295">
        <v>0</v>
      </c>
      <c r="K5295">
        <v>2</v>
      </c>
      <c r="L5295">
        <v>2</v>
      </c>
      <c r="M5295">
        <v>211</v>
      </c>
      <c r="N5295">
        <v>411</v>
      </c>
      <c r="O5295">
        <v>7</v>
      </c>
      <c r="P5295">
        <v>412</v>
      </c>
      <c r="Q5295">
        <v>17</v>
      </c>
      <c r="R5295">
        <v>75</v>
      </c>
      <c r="S5295">
        <v>40</v>
      </c>
      <c r="T5295">
        <v>8</v>
      </c>
      <c r="U5295">
        <v>26</v>
      </c>
      <c r="V5295">
        <v>7</v>
      </c>
      <c r="W5295">
        <v>5</v>
      </c>
      <c r="X5295">
        <v>3</v>
      </c>
      <c r="Y5295">
        <v>182</v>
      </c>
      <c r="Z5295">
        <v>11</v>
      </c>
      <c r="AA5295">
        <v>2</v>
      </c>
      <c r="AB5295">
        <v>2</v>
      </c>
      <c r="AC5295">
        <v>1</v>
      </c>
      <c r="AD5295">
        <v>0</v>
      </c>
      <c r="AE5295">
        <v>0</v>
      </c>
      <c r="AF5295">
        <v>0</v>
      </c>
      <c r="AG5295">
        <v>1</v>
      </c>
      <c r="AH5295">
        <v>0</v>
      </c>
      <c r="AI5295">
        <v>0</v>
      </c>
      <c r="AJ5295">
        <v>0</v>
      </c>
      <c r="AK5295">
        <v>6</v>
      </c>
      <c r="AL5295">
        <v>2</v>
      </c>
      <c r="AM5295">
        <v>1</v>
      </c>
      <c r="AN5295">
        <v>1</v>
      </c>
      <c r="AT5295">
        <v>0</v>
      </c>
      <c r="AU5295">
        <v>22</v>
      </c>
      <c r="AV5295">
        <v>412</v>
      </c>
      <c r="AW5295">
        <v>412</v>
      </c>
      <c r="AX5295">
        <v>600</v>
      </c>
      <c r="BA5295">
        <v>1</v>
      </c>
      <c r="BC5295" t="s">
        <v>10703</v>
      </c>
      <c r="BD5295" s="4">
        <v>43283.174305555556</v>
      </c>
      <c r="BE5295" s="4">
        <v>43283.188877314817</v>
      </c>
      <c r="BF5295" s="4">
        <v>43283.188877314817</v>
      </c>
      <c r="BG5295" t="s">
        <v>83</v>
      </c>
      <c r="BH5295" t="s">
        <v>84</v>
      </c>
      <c r="BI5295" t="s">
        <v>85</v>
      </c>
    </row>
    <row r="5296" spans="1:61" x14ac:dyDescent="0.3">
      <c r="A5296" t="str">
        <f>"201816B0100"</f>
        <v>201816B0100</v>
      </c>
      <c r="B5296" t="s">
        <v>10704</v>
      </c>
      <c r="C5296">
        <v>20</v>
      </c>
      <c r="D5296" t="s">
        <v>79</v>
      </c>
      <c r="E5296">
        <v>25</v>
      </c>
      <c r="F5296" t="s">
        <v>10558</v>
      </c>
      <c r="G5296">
        <v>1816</v>
      </c>
      <c r="H5296">
        <v>1</v>
      </c>
      <c r="I5296" t="s">
        <v>81</v>
      </c>
      <c r="J5296">
        <v>0</v>
      </c>
      <c r="K5296">
        <v>2</v>
      </c>
      <c r="L5296">
        <v>2</v>
      </c>
      <c r="M5296">
        <v>185</v>
      </c>
      <c r="N5296">
        <v>467</v>
      </c>
      <c r="O5296">
        <v>0</v>
      </c>
      <c r="P5296">
        <v>467</v>
      </c>
      <c r="Q5296">
        <v>16</v>
      </c>
      <c r="R5296">
        <v>93</v>
      </c>
      <c r="S5296">
        <v>7</v>
      </c>
      <c r="T5296">
        <v>2</v>
      </c>
      <c r="U5296">
        <v>22</v>
      </c>
      <c r="V5296">
        <v>3</v>
      </c>
      <c r="W5296">
        <v>3</v>
      </c>
      <c r="X5296">
        <v>1</v>
      </c>
      <c r="Y5296">
        <v>333</v>
      </c>
      <c r="Z5296">
        <v>12</v>
      </c>
      <c r="AA5296">
        <v>0</v>
      </c>
      <c r="AB5296">
        <v>3</v>
      </c>
      <c r="AC5296">
        <v>1</v>
      </c>
      <c r="AD5296">
        <v>0</v>
      </c>
      <c r="AE5296">
        <v>0</v>
      </c>
      <c r="AF5296">
        <v>0</v>
      </c>
      <c r="AG5296">
        <v>1</v>
      </c>
      <c r="AH5296">
        <v>1</v>
      </c>
      <c r="AI5296">
        <v>1</v>
      </c>
      <c r="AJ5296">
        <v>0</v>
      </c>
      <c r="AK5296">
        <v>1</v>
      </c>
      <c r="AL5296">
        <v>6</v>
      </c>
      <c r="AM5296">
        <v>0</v>
      </c>
      <c r="AN5296">
        <v>2</v>
      </c>
      <c r="AT5296">
        <v>0</v>
      </c>
      <c r="AU5296">
        <v>9</v>
      </c>
      <c r="AV5296">
        <v>467</v>
      </c>
      <c r="AW5296">
        <v>517</v>
      </c>
      <c r="AX5296">
        <v>629</v>
      </c>
      <c r="BA5296">
        <v>1</v>
      </c>
      <c r="BC5296" t="s">
        <v>10705</v>
      </c>
      <c r="BD5296" s="4">
        <v>43283.290277777778</v>
      </c>
      <c r="BE5296" s="4">
        <v>43283.320243055554</v>
      </c>
      <c r="BF5296" s="4">
        <v>43283.320243055554</v>
      </c>
      <c r="BG5296" t="s">
        <v>83</v>
      </c>
      <c r="BH5296" t="s">
        <v>84</v>
      </c>
      <c r="BI5296" t="s">
        <v>85</v>
      </c>
    </row>
    <row r="5297" spans="1:61" x14ac:dyDescent="0.3">
      <c r="A5297" t="str">
        <f>"201816C0100"</f>
        <v>201816C0100</v>
      </c>
      <c r="B5297" t="s">
        <v>10706</v>
      </c>
      <c r="C5297">
        <v>20</v>
      </c>
      <c r="D5297" t="s">
        <v>79</v>
      </c>
      <c r="E5297">
        <v>25</v>
      </c>
      <c r="F5297" t="s">
        <v>10558</v>
      </c>
      <c r="G5297">
        <v>1816</v>
      </c>
      <c r="H5297">
        <v>1</v>
      </c>
      <c r="I5297" t="s">
        <v>89</v>
      </c>
      <c r="J5297">
        <v>0</v>
      </c>
      <c r="K5297">
        <v>1</v>
      </c>
      <c r="L5297">
        <v>2</v>
      </c>
      <c r="M5297">
        <v>186</v>
      </c>
      <c r="N5297">
        <v>447</v>
      </c>
      <c r="O5297">
        <v>0</v>
      </c>
      <c r="P5297">
        <v>447</v>
      </c>
      <c r="Q5297">
        <v>20</v>
      </c>
      <c r="R5297">
        <v>70</v>
      </c>
      <c r="S5297">
        <v>6</v>
      </c>
      <c r="T5297">
        <v>4</v>
      </c>
      <c r="U5297">
        <v>25</v>
      </c>
      <c r="V5297">
        <v>2</v>
      </c>
      <c r="W5297">
        <v>1</v>
      </c>
      <c r="X5297">
        <v>6</v>
      </c>
      <c r="Y5297">
        <v>273</v>
      </c>
      <c r="Z5297">
        <v>13</v>
      </c>
      <c r="AA5297">
        <v>1</v>
      </c>
      <c r="AB5297">
        <v>5</v>
      </c>
      <c r="AC5297">
        <v>0</v>
      </c>
      <c r="AD5297">
        <v>0</v>
      </c>
      <c r="AE5297">
        <v>0</v>
      </c>
      <c r="AF5297">
        <v>0</v>
      </c>
      <c r="AG5297">
        <v>2</v>
      </c>
      <c r="AH5297">
        <v>5</v>
      </c>
      <c r="AI5297">
        <v>0</v>
      </c>
      <c r="AJ5297">
        <v>0</v>
      </c>
      <c r="AK5297">
        <v>6</v>
      </c>
      <c r="AL5297">
        <v>0</v>
      </c>
      <c r="AM5297">
        <v>0</v>
      </c>
      <c r="AN5297">
        <v>1</v>
      </c>
      <c r="AT5297">
        <v>0</v>
      </c>
      <c r="AU5297">
        <v>8</v>
      </c>
      <c r="AV5297">
        <v>447</v>
      </c>
      <c r="AW5297">
        <v>448</v>
      </c>
      <c r="AX5297">
        <v>629</v>
      </c>
      <c r="BA5297">
        <v>1</v>
      </c>
      <c r="BC5297" t="s">
        <v>10707</v>
      </c>
      <c r="BD5297" s="4">
        <v>43283.290972222225</v>
      </c>
      <c r="BE5297" s="4">
        <v>43283.323368055557</v>
      </c>
      <c r="BF5297" s="4">
        <v>43283.323368055557</v>
      </c>
      <c r="BG5297" t="s">
        <v>83</v>
      </c>
      <c r="BH5297" t="s">
        <v>84</v>
      </c>
      <c r="BI5297" t="s">
        <v>85</v>
      </c>
    </row>
    <row r="5298" spans="1:61" x14ac:dyDescent="0.3">
      <c r="A5298" t="str">
        <f>"201816E0100"</f>
        <v>201816E0100</v>
      </c>
      <c r="B5298" s="2" t="s">
        <v>10708</v>
      </c>
      <c r="C5298">
        <v>20</v>
      </c>
      <c r="D5298" t="s">
        <v>79</v>
      </c>
      <c r="E5298">
        <v>25</v>
      </c>
      <c r="F5298" t="s">
        <v>10558</v>
      </c>
      <c r="G5298">
        <v>1816</v>
      </c>
      <c r="H5298">
        <v>1</v>
      </c>
      <c r="I5298" t="s">
        <v>145</v>
      </c>
      <c r="J5298">
        <v>0</v>
      </c>
      <c r="K5298">
        <v>1</v>
      </c>
      <c r="L5298">
        <v>2</v>
      </c>
      <c r="M5298">
        <v>96</v>
      </c>
      <c r="N5298">
        <v>180</v>
      </c>
      <c r="O5298">
        <v>3</v>
      </c>
      <c r="P5298">
        <v>180</v>
      </c>
      <c r="Q5298">
        <v>3</v>
      </c>
      <c r="R5298">
        <v>13</v>
      </c>
      <c r="S5298">
        <v>5</v>
      </c>
      <c r="T5298">
        <v>2</v>
      </c>
      <c r="U5298">
        <v>13</v>
      </c>
      <c r="V5298">
        <v>2</v>
      </c>
      <c r="W5298">
        <v>0</v>
      </c>
      <c r="X5298">
        <v>1</v>
      </c>
      <c r="Y5298">
        <v>120</v>
      </c>
      <c r="Z5298">
        <v>5</v>
      </c>
      <c r="AA5298">
        <v>0</v>
      </c>
      <c r="AB5298">
        <v>0</v>
      </c>
      <c r="AC5298">
        <v>0</v>
      </c>
      <c r="AD5298">
        <v>0</v>
      </c>
      <c r="AE5298">
        <v>0</v>
      </c>
      <c r="AF5298">
        <v>0</v>
      </c>
      <c r="AG5298">
        <v>0</v>
      </c>
      <c r="AH5298">
        <v>1</v>
      </c>
      <c r="AI5298">
        <v>0</v>
      </c>
      <c r="AJ5298">
        <v>0</v>
      </c>
      <c r="AK5298">
        <v>7</v>
      </c>
      <c r="AL5298">
        <v>1</v>
      </c>
      <c r="AM5298">
        <v>2</v>
      </c>
      <c r="AN5298">
        <v>0</v>
      </c>
      <c r="AT5298">
        <v>0</v>
      </c>
      <c r="AU5298">
        <v>5</v>
      </c>
      <c r="AV5298">
        <v>180</v>
      </c>
      <c r="AW5298">
        <v>180</v>
      </c>
      <c r="AX5298">
        <v>255</v>
      </c>
      <c r="BA5298">
        <v>1</v>
      </c>
      <c r="BC5298" t="s">
        <v>10709</v>
      </c>
      <c r="BD5298" s="4">
        <v>43283.291666666664</v>
      </c>
      <c r="BE5298" s="4">
        <v>43283.319432870368</v>
      </c>
      <c r="BF5298" s="4">
        <v>43283.319432870368</v>
      </c>
      <c r="BG5298" t="s">
        <v>83</v>
      </c>
      <c r="BH5298" t="s">
        <v>84</v>
      </c>
      <c r="BI5298" t="s">
        <v>85</v>
      </c>
    </row>
    <row r="5299" spans="1:61" x14ac:dyDescent="0.3">
      <c r="A5299" t="str">
        <f>"201817B0100"</f>
        <v>201817B0100</v>
      </c>
      <c r="B5299" t="s">
        <v>10710</v>
      </c>
      <c r="C5299">
        <v>20</v>
      </c>
      <c r="D5299" t="s">
        <v>79</v>
      </c>
      <c r="E5299">
        <v>25</v>
      </c>
      <c r="F5299" t="s">
        <v>10558</v>
      </c>
      <c r="G5299">
        <v>1817</v>
      </c>
      <c r="H5299">
        <v>1</v>
      </c>
      <c r="I5299" t="s">
        <v>81</v>
      </c>
      <c r="J5299">
        <v>0</v>
      </c>
      <c r="K5299">
        <v>1</v>
      </c>
      <c r="L5299">
        <v>2</v>
      </c>
      <c r="M5299">
        <v>363</v>
      </c>
      <c r="N5299">
        <v>752</v>
      </c>
      <c r="O5299">
        <v>1</v>
      </c>
      <c r="P5299">
        <v>389</v>
      </c>
      <c r="Q5299">
        <v>15</v>
      </c>
      <c r="R5299">
        <v>28</v>
      </c>
      <c r="S5299">
        <v>3</v>
      </c>
      <c r="T5299">
        <v>7</v>
      </c>
      <c r="U5299">
        <v>15</v>
      </c>
      <c r="V5299">
        <v>6</v>
      </c>
      <c r="W5299">
        <v>2</v>
      </c>
      <c r="X5299">
        <v>1</v>
      </c>
      <c r="Y5299">
        <v>279</v>
      </c>
      <c r="Z5299">
        <v>9</v>
      </c>
      <c r="AA5299">
        <v>0</v>
      </c>
      <c r="AB5299">
        <v>5</v>
      </c>
      <c r="AC5299">
        <v>0</v>
      </c>
      <c r="AD5299">
        <v>0</v>
      </c>
      <c r="AE5299">
        <v>0</v>
      </c>
      <c r="AF5299">
        <v>0</v>
      </c>
      <c r="AG5299">
        <v>0</v>
      </c>
      <c r="AH5299">
        <v>0</v>
      </c>
      <c r="AI5299">
        <v>0</v>
      </c>
      <c r="AJ5299">
        <v>0</v>
      </c>
      <c r="AK5299">
        <v>6</v>
      </c>
      <c r="AL5299">
        <v>2</v>
      </c>
      <c r="AM5299">
        <v>0</v>
      </c>
      <c r="AN5299">
        <v>1</v>
      </c>
      <c r="AT5299">
        <v>0</v>
      </c>
      <c r="AU5299">
        <v>10</v>
      </c>
      <c r="AV5299">
        <v>389</v>
      </c>
      <c r="AW5299">
        <v>389</v>
      </c>
      <c r="AX5299">
        <v>730</v>
      </c>
      <c r="BA5299">
        <v>1</v>
      </c>
      <c r="BC5299" t="s">
        <v>10711</v>
      </c>
      <c r="BD5299" s="4">
        <v>43283.289583333331</v>
      </c>
      <c r="BE5299" s="4">
        <v>43283.320879629631</v>
      </c>
      <c r="BF5299" s="4">
        <v>43283.320879629631</v>
      </c>
      <c r="BG5299" t="s">
        <v>83</v>
      </c>
      <c r="BH5299" t="s">
        <v>84</v>
      </c>
      <c r="BI5299" t="s">
        <v>85</v>
      </c>
    </row>
    <row r="5300" spans="1:61" x14ac:dyDescent="0.3">
      <c r="A5300" t="str">
        <f>"201817C0100"</f>
        <v>201817C0100</v>
      </c>
      <c r="B5300" t="s">
        <v>10712</v>
      </c>
      <c r="C5300">
        <v>20</v>
      </c>
      <c r="D5300" t="s">
        <v>79</v>
      </c>
      <c r="E5300">
        <v>25</v>
      </c>
      <c r="F5300" t="s">
        <v>10558</v>
      </c>
      <c r="G5300">
        <v>1817</v>
      </c>
      <c r="H5300">
        <v>1</v>
      </c>
      <c r="I5300" t="s">
        <v>89</v>
      </c>
      <c r="J5300">
        <v>0</v>
      </c>
      <c r="K5300">
        <v>1</v>
      </c>
      <c r="L5300">
        <v>2</v>
      </c>
      <c r="M5300">
        <v>357</v>
      </c>
      <c r="N5300">
        <v>393</v>
      </c>
      <c r="O5300">
        <v>3</v>
      </c>
      <c r="P5300">
        <v>393</v>
      </c>
      <c r="Q5300">
        <v>33</v>
      </c>
      <c r="R5300">
        <v>30</v>
      </c>
      <c r="S5300">
        <v>6</v>
      </c>
      <c r="T5300">
        <v>5</v>
      </c>
      <c r="U5300">
        <v>12</v>
      </c>
      <c r="V5300">
        <v>4</v>
      </c>
      <c r="W5300">
        <v>3</v>
      </c>
      <c r="X5300">
        <v>5</v>
      </c>
      <c r="Y5300">
        <v>254</v>
      </c>
      <c r="Z5300">
        <v>7</v>
      </c>
      <c r="AA5300">
        <v>0</v>
      </c>
      <c r="AB5300">
        <v>10</v>
      </c>
      <c r="AC5300">
        <v>0</v>
      </c>
      <c r="AD5300">
        <v>0</v>
      </c>
      <c r="AE5300">
        <v>0</v>
      </c>
      <c r="AF5300">
        <v>0</v>
      </c>
      <c r="AG5300">
        <v>0</v>
      </c>
      <c r="AH5300">
        <v>1</v>
      </c>
      <c r="AI5300">
        <v>0</v>
      </c>
      <c r="AJ5300">
        <v>0</v>
      </c>
      <c r="AK5300">
        <v>7</v>
      </c>
      <c r="AL5300">
        <v>1</v>
      </c>
      <c r="AM5300">
        <v>0</v>
      </c>
      <c r="AN5300">
        <v>1</v>
      </c>
      <c r="AT5300">
        <v>1</v>
      </c>
      <c r="AU5300">
        <v>13</v>
      </c>
      <c r="AV5300">
        <v>393</v>
      </c>
      <c r="AW5300">
        <v>393</v>
      </c>
      <c r="AX5300">
        <v>730</v>
      </c>
      <c r="BA5300">
        <v>1</v>
      </c>
      <c r="BC5300" t="s">
        <v>10713</v>
      </c>
      <c r="BD5300" s="4">
        <v>43283.290277777778</v>
      </c>
      <c r="BE5300" s="4">
        <v>43283.341261574074</v>
      </c>
      <c r="BF5300" s="4">
        <v>43283.341261574074</v>
      </c>
      <c r="BG5300" t="s">
        <v>83</v>
      </c>
      <c r="BH5300" t="s">
        <v>84</v>
      </c>
      <c r="BI5300" t="s">
        <v>85</v>
      </c>
    </row>
    <row r="5301" spans="1:61" x14ac:dyDescent="0.3">
      <c r="A5301" t="str">
        <f>"201817C0200"</f>
        <v>201817C0200</v>
      </c>
      <c r="B5301" t="s">
        <v>10714</v>
      </c>
      <c r="C5301">
        <v>20</v>
      </c>
      <c r="D5301" t="s">
        <v>79</v>
      </c>
      <c r="E5301">
        <v>25</v>
      </c>
      <c r="F5301" t="s">
        <v>10558</v>
      </c>
      <c r="G5301">
        <v>1817</v>
      </c>
      <c r="H5301">
        <v>2</v>
      </c>
      <c r="I5301" t="s">
        <v>89</v>
      </c>
      <c r="J5301">
        <v>0</v>
      </c>
      <c r="K5301">
        <v>2</v>
      </c>
      <c r="L5301">
        <v>2</v>
      </c>
      <c r="M5301">
        <v>351</v>
      </c>
      <c r="N5301">
        <v>401</v>
      </c>
      <c r="O5301">
        <v>3</v>
      </c>
      <c r="P5301" t="s">
        <v>100</v>
      </c>
      <c r="Q5301">
        <v>21</v>
      </c>
      <c r="R5301">
        <v>23</v>
      </c>
      <c r="S5301">
        <v>10</v>
      </c>
      <c r="T5301">
        <v>7</v>
      </c>
      <c r="U5301">
        <v>22</v>
      </c>
      <c r="V5301">
        <v>4</v>
      </c>
      <c r="W5301">
        <v>5</v>
      </c>
      <c r="X5301">
        <v>7</v>
      </c>
      <c r="Y5301">
        <v>267</v>
      </c>
      <c r="Z5301">
        <v>9</v>
      </c>
      <c r="AA5301">
        <v>1</v>
      </c>
      <c r="AB5301">
        <v>2</v>
      </c>
      <c r="AC5301">
        <v>0</v>
      </c>
      <c r="AD5301">
        <v>2</v>
      </c>
      <c r="AE5301">
        <v>0</v>
      </c>
      <c r="AF5301">
        <v>0</v>
      </c>
      <c r="AG5301">
        <v>0</v>
      </c>
      <c r="AH5301">
        <v>2</v>
      </c>
      <c r="AI5301">
        <v>0</v>
      </c>
      <c r="AJ5301">
        <v>0</v>
      </c>
      <c r="AK5301">
        <v>6</v>
      </c>
      <c r="AL5301">
        <v>0</v>
      </c>
      <c r="AM5301">
        <v>4</v>
      </c>
      <c r="AN5301">
        <v>0</v>
      </c>
      <c r="AT5301">
        <v>0</v>
      </c>
      <c r="AU5301">
        <v>8</v>
      </c>
      <c r="AV5301">
        <v>400</v>
      </c>
      <c r="AW5301">
        <v>400</v>
      </c>
      <c r="AX5301">
        <v>730</v>
      </c>
      <c r="BA5301">
        <v>1</v>
      </c>
      <c r="BC5301" t="s">
        <v>10715</v>
      </c>
      <c r="BD5301" s="4">
        <v>43283.288194444445</v>
      </c>
      <c r="BE5301" s="4">
        <v>43283.315381944441</v>
      </c>
      <c r="BF5301" s="4">
        <v>43283.315381944441</v>
      </c>
      <c r="BG5301" t="s">
        <v>83</v>
      </c>
      <c r="BH5301" t="s">
        <v>84</v>
      </c>
      <c r="BI5301" t="s">
        <v>85</v>
      </c>
    </row>
    <row r="5302" spans="1:61" x14ac:dyDescent="0.3">
      <c r="A5302" t="str">
        <f>"201817C0300"</f>
        <v>201817C0300</v>
      </c>
      <c r="B5302" t="s">
        <v>10716</v>
      </c>
      <c r="C5302">
        <v>20</v>
      </c>
      <c r="D5302" t="s">
        <v>79</v>
      </c>
      <c r="E5302">
        <v>25</v>
      </c>
      <c r="F5302" t="s">
        <v>10558</v>
      </c>
      <c r="G5302">
        <v>1817</v>
      </c>
      <c r="H5302">
        <v>3</v>
      </c>
      <c r="I5302" t="s">
        <v>89</v>
      </c>
      <c r="J5302">
        <v>0</v>
      </c>
      <c r="K5302">
        <v>1</v>
      </c>
      <c r="L5302">
        <v>2</v>
      </c>
      <c r="M5302">
        <v>331</v>
      </c>
      <c r="N5302">
        <v>4</v>
      </c>
      <c r="O5302">
        <v>1</v>
      </c>
      <c r="P5302">
        <v>421</v>
      </c>
      <c r="Q5302">
        <v>29</v>
      </c>
      <c r="R5302">
        <v>25</v>
      </c>
      <c r="S5302">
        <v>14</v>
      </c>
      <c r="T5302">
        <v>7</v>
      </c>
      <c r="U5302">
        <v>11</v>
      </c>
      <c r="V5302">
        <v>8</v>
      </c>
      <c r="W5302">
        <v>2</v>
      </c>
      <c r="X5302">
        <v>3</v>
      </c>
      <c r="Y5302">
        <v>270</v>
      </c>
      <c r="Z5302">
        <v>8</v>
      </c>
      <c r="AA5302">
        <v>0</v>
      </c>
      <c r="AB5302">
        <v>4</v>
      </c>
      <c r="AC5302">
        <v>0</v>
      </c>
      <c r="AD5302">
        <v>2</v>
      </c>
      <c r="AE5302">
        <v>0</v>
      </c>
      <c r="AF5302">
        <v>0</v>
      </c>
      <c r="AG5302">
        <v>2</v>
      </c>
      <c r="AH5302">
        <v>1</v>
      </c>
      <c r="AI5302">
        <v>0</v>
      </c>
      <c r="AJ5302">
        <v>0</v>
      </c>
      <c r="AK5302">
        <v>15</v>
      </c>
      <c r="AL5302">
        <v>3</v>
      </c>
      <c r="AM5302">
        <v>1</v>
      </c>
      <c r="AN5302">
        <v>1</v>
      </c>
      <c r="AT5302">
        <v>0</v>
      </c>
      <c r="AU5302">
        <v>14</v>
      </c>
      <c r="AV5302">
        <v>421</v>
      </c>
      <c r="AW5302">
        <v>420</v>
      </c>
      <c r="AX5302">
        <v>730</v>
      </c>
      <c r="BA5302">
        <v>1</v>
      </c>
      <c r="BC5302" t="s">
        <v>10717</v>
      </c>
      <c r="BD5302" s="4">
        <v>43283.28402777778</v>
      </c>
      <c r="BE5302" s="4">
        <v>43283.312905092593</v>
      </c>
      <c r="BF5302" s="4">
        <v>43283.312905092593</v>
      </c>
      <c r="BG5302" t="s">
        <v>83</v>
      </c>
      <c r="BH5302" t="s">
        <v>84</v>
      </c>
      <c r="BI5302" t="s">
        <v>85</v>
      </c>
    </row>
    <row r="5303" spans="1:61" x14ac:dyDescent="0.3">
      <c r="A5303" t="str">
        <f>"201817C0400"</f>
        <v>201817C0400</v>
      </c>
      <c r="B5303" t="s">
        <v>10718</v>
      </c>
      <c r="C5303">
        <v>20</v>
      </c>
      <c r="D5303" t="s">
        <v>79</v>
      </c>
      <c r="E5303">
        <v>25</v>
      </c>
      <c r="F5303" t="s">
        <v>10558</v>
      </c>
      <c r="G5303">
        <v>1817</v>
      </c>
      <c r="H5303">
        <v>4</v>
      </c>
      <c r="I5303" t="s">
        <v>89</v>
      </c>
      <c r="J5303">
        <v>0</v>
      </c>
      <c r="K5303">
        <v>1</v>
      </c>
      <c r="L5303">
        <v>2</v>
      </c>
      <c r="M5303">
        <v>330</v>
      </c>
      <c r="N5303">
        <v>417</v>
      </c>
      <c r="O5303">
        <v>4</v>
      </c>
      <c r="P5303">
        <v>417</v>
      </c>
      <c r="Q5303">
        <v>21</v>
      </c>
      <c r="R5303">
        <v>32</v>
      </c>
      <c r="S5303">
        <v>14</v>
      </c>
      <c r="T5303">
        <v>4</v>
      </c>
      <c r="U5303">
        <v>15</v>
      </c>
      <c r="V5303">
        <v>5</v>
      </c>
      <c r="W5303">
        <v>2</v>
      </c>
      <c r="X5303">
        <v>7</v>
      </c>
      <c r="Y5303">
        <v>273</v>
      </c>
      <c r="Z5303">
        <v>24</v>
      </c>
      <c r="AA5303">
        <v>1</v>
      </c>
      <c r="AB5303">
        <v>4</v>
      </c>
      <c r="AC5303">
        <v>0</v>
      </c>
      <c r="AD5303">
        <v>0</v>
      </c>
      <c r="AE5303">
        <v>0</v>
      </c>
      <c r="AF5303">
        <v>0</v>
      </c>
      <c r="AG5303">
        <v>3</v>
      </c>
      <c r="AH5303">
        <v>0</v>
      </c>
      <c r="AI5303">
        <v>0</v>
      </c>
      <c r="AJ5303">
        <v>0</v>
      </c>
      <c r="AK5303">
        <v>5</v>
      </c>
      <c r="AL5303">
        <v>5</v>
      </c>
      <c r="AM5303">
        <v>0</v>
      </c>
      <c r="AN5303">
        <v>2</v>
      </c>
      <c r="AT5303">
        <v>1</v>
      </c>
      <c r="AU5303">
        <v>10</v>
      </c>
      <c r="AV5303">
        <v>417</v>
      </c>
      <c r="AW5303">
        <v>428</v>
      </c>
      <c r="AX5303">
        <v>729</v>
      </c>
      <c r="BA5303">
        <v>1</v>
      </c>
      <c r="BC5303" t="s">
        <v>10719</v>
      </c>
      <c r="BD5303" s="4">
        <v>43283.28402777778</v>
      </c>
      <c r="BE5303" s="4">
        <v>43283.312662037039</v>
      </c>
      <c r="BF5303" s="4">
        <v>43283.312662037039</v>
      </c>
      <c r="BG5303" t="s">
        <v>83</v>
      </c>
      <c r="BH5303" t="s">
        <v>84</v>
      </c>
      <c r="BI5303" t="s">
        <v>85</v>
      </c>
    </row>
    <row r="5304" spans="1:61" x14ac:dyDescent="0.3">
      <c r="A5304" t="str">
        <f>"201818B0100"</f>
        <v>201818B0100</v>
      </c>
      <c r="B5304" t="s">
        <v>10720</v>
      </c>
      <c r="C5304">
        <v>20</v>
      </c>
      <c r="D5304" t="s">
        <v>79</v>
      </c>
      <c r="E5304">
        <v>25</v>
      </c>
      <c r="F5304" t="s">
        <v>10558</v>
      </c>
      <c r="G5304">
        <v>1818</v>
      </c>
      <c r="H5304">
        <v>1</v>
      </c>
      <c r="I5304" t="s">
        <v>81</v>
      </c>
      <c r="J5304">
        <v>0</v>
      </c>
      <c r="K5304">
        <v>2</v>
      </c>
      <c r="L5304">
        <v>2</v>
      </c>
      <c r="M5304">
        <v>222</v>
      </c>
      <c r="N5304">
        <v>371</v>
      </c>
      <c r="O5304">
        <v>3</v>
      </c>
      <c r="P5304">
        <v>371</v>
      </c>
      <c r="Q5304">
        <v>8</v>
      </c>
      <c r="R5304">
        <v>37</v>
      </c>
      <c r="S5304">
        <v>2</v>
      </c>
      <c r="T5304">
        <v>3</v>
      </c>
      <c r="U5304">
        <v>21</v>
      </c>
      <c r="V5304">
        <v>5</v>
      </c>
      <c r="W5304">
        <v>1</v>
      </c>
      <c r="X5304">
        <v>1</v>
      </c>
      <c r="Y5304">
        <v>239</v>
      </c>
      <c r="Z5304">
        <v>23</v>
      </c>
      <c r="AA5304">
        <v>0</v>
      </c>
      <c r="AB5304">
        <v>3</v>
      </c>
      <c r="AC5304">
        <v>0</v>
      </c>
      <c r="AD5304">
        <v>0</v>
      </c>
      <c r="AE5304">
        <v>0</v>
      </c>
      <c r="AF5304">
        <v>0</v>
      </c>
      <c r="AG5304">
        <v>1</v>
      </c>
      <c r="AH5304">
        <v>1</v>
      </c>
      <c r="AI5304">
        <v>1</v>
      </c>
      <c r="AJ5304">
        <v>0</v>
      </c>
      <c r="AK5304">
        <v>9</v>
      </c>
      <c r="AL5304">
        <v>2</v>
      </c>
      <c r="AM5304">
        <v>0</v>
      </c>
      <c r="AN5304">
        <v>2</v>
      </c>
      <c r="AT5304">
        <v>0</v>
      </c>
      <c r="AU5304">
        <v>12</v>
      </c>
      <c r="AV5304">
        <v>371</v>
      </c>
      <c r="AW5304">
        <v>371</v>
      </c>
      <c r="AX5304">
        <v>571</v>
      </c>
      <c r="BA5304">
        <v>1</v>
      </c>
      <c r="BC5304" t="s">
        <v>10721</v>
      </c>
      <c r="BD5304" s="4">
        <v>43283.286111111112</v>
      </c>
      <c r="BE5304" s="4">
        <v>43283.313969907409</v>
      </c>
      <c r="BF5304" s="4">
        <v>43283.313969907409</v>
      </c>
      <c r="BG5304" t="s">
        <v>83</v>
      </c>
      <c r="BH5304" t="s">
        <v>84</v>
      </c>
      <c r="BI5304" t="s">
        <v>85</v>
      </c>
    </row>
    <row r="5305" spans="1:61" x14ac:dyDescent="0.3">
      <c r="A5305" t="str">
        <f>"201818C0100"</f>
        <v>201818C0100</v>
      </c>
      <c r="B5305" t="s">
        <v>10722</v>
      </c>
      <c r="C5305">
        <v>20</v>
      </c>
      <c r="D5305" t="s">
        <v>79</v>
      </c>
      <c r="E5305">
        <v>25</v>
      </c>
      <c r="F5305" t="s">
        <v>10558</v>
      </c>
      <c r="G5305">
        <v>1818</v>
      </c>
      <c r="H5305">
        <v>1</v>
      </c>
      <c r="I5305" t="s">
        <v>89</v>
      </c>
      <c r="J5305">
        <v>0</v>
      </c>
      <c r="K5305">
        <v>2</v>
      </c>
      <c r="L5305">
        <v>2</v>
      </c>
      <c r="M5305">
        <v>245</v>
      </c>
      <c r="N5305">
        <v>348</v>
      </c>
      <c r="O5305">
        <v>2</v>
      </c>
      <c r="P5305">
        <v>346</v>
      </c>
      <c r="Q5305">
        <v>12</v>
      </c>
      <c r="R5305">
        <v>16</v>
      </c>
      <c r="S5305">
        <v>2</v>
      </c>
      <c r="T5305">
        <v>3</v>
      </c>
      <c r="U5305">
        <v>15</v>
      </c>
      <c r="V5305">
        <v>1</v>
      </c>
      <c r="W5305">
        <v>2</v>
      </c>
      <c r="X5305">
        <v>0</v>
      </c>
      <c r="Y5305">
        <v>251</v>
      </c>
      <c r="Z5305">
        <v>21</v>
      </c>
      <c r="AA5305">
        <v>1</v>
      </c>
      <c r="AB5305">
        <v>2</v>
      </c>
      <c r="AC5305">
        <v>0</v>
      </c>
      <c r="AD5305">
        <v>0</v>
      </c>
      <c r="AE5305">
        <v>0</v>
      </c>
      <c r="AF5305">
        <v>0</v>
      </c>
      <c r="AG5305">
        <v>1</v>
      </c>
      <c r="AH5305">
        <v>1</v>
      </c>
      <c r="AI5305">
        <v>0</v>
      </c>
      <c r="AJ5305">
        <v>0</v>
      </c>
      <c r="AK5305">
        <v>6</v>
      </c>
      <c r="AL5305">
        <v>0</v>
      </c>
      <c r="AM5305">
        <v>2</v>
      </c>
      <c r="AN5305">
        <v>2</v>
      </c>
      <c r="AT5305">
        <v>0</v>
      </c>
      <c r="AU5305">
        <v>8</v>
      </c>
      <c r="AV5305">
        <v>346</v>
      </c>
      <c r="AW5305">
        <v>346</v>
      </c>
      <c r="AX5305">
        <v>571</v>
      </c>
      <c r="BA5305">
        <v>1</v>
      </c>
      <c r="BC5305" t="s">
        <v>10723</v>
      </c>
      <c r="BD5305" s="4">
        <v>43283.288194444445</v>
      </c>
      <c r="BE5305" s="4">
        <v>43283.32335648148</v>
      </c>
      <c r="BF5305" s="4">
        <v>43283.32335648148</v>
      </c>
      <c r="BG5305" t="s">
        <v>83</v>
      </c>
      <c r="BH5305" t="s">
        <v>84</v>
      </c>
      <c r="BI5305" t="s">
        <v>85</v>
      </c>
    </row>
    <row r="5306" spans="1:61" x14ac:dyDescent="0.3">
      <c r="A5306" t="str">
        <f>"201818C0200"</f>
        <v>201818C0200</v>
      </c>
      <c r="B5306" t="s">
        <v>10724</v>
      </c>
      <c r="C5306">
        <v>20</v>
      </c>
      <c r="D5306" t="s">
        <v>79</v>
      </c>
      <c r="E5306">
        <v>25</v>
      </c>
      <c r="F5306" t="s">
        <v>10558</v>
      </c>
      <c r="G5306">
        <v>1818</v>
      </c>
      <c r="H5306">
        <v>2</v>
      </c>
      <c r="I5306" t="s">
        <v>89</v>
      </c>
      <c r="J5306">
        <v>0</v>
      </c>
      <c r="K5306">
        <v>2</v>
      </c>
      <c r="L5306">
        <v>2</v>
      </c>
      <c r="M5306">
        <v>219</v>
      </c>
      <c r="N5306">
        <v>375</v>
      </c>
      <c r="O5306">
        <v>1</v>
      </c>
      <c r="P5306">
        <v>372</v>
      </c>
      <c r="Q5306">
        <v>14</v>
      </c>
      <c r="R5306">
        <v>4</v>
      </c>
      <c r="S5306">
        <v>2</v>
      </c>
      <c r="T5306">
        <v>0</v>
      </c>
      <c r="U5306">
        <v>23</v>
      </c>
      <c r="V5306">
        <v>5</v>
      </c>
      <c r="W5306">
        <v>3</v>
      </c>
      <c r="X5306">
        <v>1</v>
      </c>
      <c r="Y5306">
        <v>254</v>
      </c>
      <c r="Z5306">
        <v>17</v>
      </c>
      <c r="AA5306">
        <v>0</v>
      </c>
      <c r="AB5306">
        <v>2</v>
      </c>
      <c r="AC5306">
        <v>0</v>
      </c>
      <c r="AD5306">
        <v>1</v>
      </c>
      <c r="AE5306">
        <v>0</v>
      </c>
      <c r="AF5306">
        <v>0</v>
      </c>
      <c r="AG5306">
        <v>1</v>
      </c>
      <c r="AH5306">
        <v>0</v>
      </c>
      <c r="AI5306">
        <v>0</v>
      </c>
      <c r="AJ5306">
        <v>0</v>
      </c>
      <c r="AK5306">
        <v>6</v>
      </c>
      <c r="AL5306">
        <v>2</v>
      </c>
      <c r="AM5306">
        <v>0</v>
      </c>
      <c r="AN5306">
        <v>1</v>
      </c>
      <c r="AT5306">
        <v>0</v>
      </c>
      <c r="AU5306">
        <v>6</v>
      </c>
      <c r="AV5306" t="s">
        <v>315</v>
      </c>
      <c r="AW5306">
        <v>342</v>
      </c>
      <c r="AX5306">
        <v>570</v>
      </c>
      <c r="BA5306">
        <v>1</v>
      </c>
      <c r="BC5306" t="s">
        <v>10725</v>
      </c>
      <c r="BD5306" s="4">
        <v>43283.287499999999</v>
      </c>
      <c r="BE5306" s="4">
        <v>43283.335451388892</v>
      </c>
      <c r="BF5306" s="4">
        <v>43283.335451388892</v>
      </c>
      <c r="BG5306" t="s">
        <v>83</v>
      </c>
      <c r="BH5306" t="s">
        <v>84</v>
      </c>
      <c r="BI5306" t="s">
        <v>85</v>
      </c>
    </row>
    <row r="5307" spans="1:61" x14ac:dyDescent="0.3">
      <c r="A5307" t="str">
        <f>"201819B0100"</f>
        <v>201819B0100</v>
      </c>
      <c r="B5307" t="s">
        <v>10726</v>
      </c>
      <c r="C5307">
        <v>20</v>
      </c>
      <c r="D5307" t="s">
        <v>79</v>
      </c>
      <c r="E5307">
        <v>25</v>
      </c>
      <c r="F5307" t="s">
        <v>10558</v>
      </c>
      <c r="G5307">
        <v>1819</v>
      </c>
      <c r="H5307">
        <v>1</v>
      </c>
      <c r="I5307" t="s">
        <v>81</v>
      </c>
      <c r="J5307">
        <v>0</v>
      </c>
      <c r="K5307">
        <v>2</v>
      </c>
      <c r="L5307">
        <v>2</v>
      </c>
      <c r="M5307">
        <v>183</v>
      </c>
      <c r="N5307">
        <v>439</v>
      </c>
      <c r="O5307">
        <v>3</v>
      </c>
      <c r="P5307">
        <v>254</v>
      </c>
      <c r="Q5307">
        <v>11</v>
      </c>
      <c r="R5307">
        <v>15</v>
      </c>
      <c r="S5307">
        <v>3</v>
      </c>
      <c r="T5307">
        <v>2</v>
      </c>
      <c r="U5307">
        <v>10</v>
      </c>
      <c r="V5307">
        <v>2</v>
      </c>
      <c r="W5307">
        <v>2</v>
      </c>
      <c r="X5307">
        <v>2</v>
      </c>
      <c r="Y5307">
        <v>197</v>
      </c>
      <c r="Z5307">
        <v>3</v>
      </c>
      <c r="AA5307">
        <v>1</v>
      </c>
      <c r="AB5307">
        <v>0</v>
      </c>
      <c r="AC5307">
        <v>0</v>
      </c>
      <c r="AD5307">
        <v>0</v>
      </c>
      <c r="AE5307">
        <v>0</v>
      </c>
      <c r="AF5307">
        <v>0</v>
      </c>
      <c r="AG5307">
        <v>1</v>
      </c>
      <c r="AH5307">
        <v>0</v>
      </c>
      <c r="AI5307">
        <v>0</v>
      </c>
      <c r="AJ5307">
        <v>0</v>
      </c>
      <c r="AK5307">
        <v>0</v>
      </c>
      <c r="AL5307">
        <v>0</v>
      </c>
      <c r="AM5307">
        <v>0</v>
      </c>
      <c r="AN5307">
        <v>0</v>
      </c>
      <c r="AT5307">
        <v>0</v>
      </c>
      <c r="AU5307">
        <v>7</v>
      </c>
      <c r="AV5307">
        <v>257</v>
      </c>
      <c r="AW5307">
        <v>256</v>
      </c>
      <c r="AX5307">
        <v>418</v>
      </c>
      <c r="BA5307">
        <v>1</v>
      </c>
      <c r="BC5307" t="s">
        <v>10727</v>
      </c>
      <c r="BD5307" s="4">
        <v>43283.282638888886</v>
      </c>
      <c r="BE5307" s="4">
        <v>43283.31349537037</v>
      </c>
      <c r="BF5307" s="4">
        <v>43283.31349537037</v>
      </c>
      <c r="BG5307" t="s">
        <v>83</v>
      </c>
      <c r="BH5307" t="s">
        <v>84</v>
      </c>
      <c r="BI5307" t="s">
        <v>85</v>
      </c>
    </row>
    <row r="5308" spans="1:61" x14ac:dyDescent="0.3">
      <c r="A5308" t="str">
        <f>"201819C0100"</f>
        <v>201819C0100</v>
      </c>
      <c r="B5308" t="s">
        <v>10728</v>
      </c>
      <c r="C5308">
        <v>20</v>
      </c>
      <c r="D5308" t="s">
        <v>79</v>
      </c>
      <c r="E5308">
        <v>25</v>
      </c>
      <c r="F5308" t="s">
        <v>10558</v>
      </c>
      <c r="G5308">
        <v>1819</v>
      </c>
      <c r="H5308">
        <v>1</v>
      </c>
      <c r="I5308" t="s">
        <v>89</v>
      </c>
      <c r="J5308">
        <v>0</v>
      </c>
      <c r="K5308">
        <v>2</v>
      </c>
      <c r="L5308">
        <v>2</v>
      </c>
      <c r="M5308">
        <v>177</v>
      </c>
      <c r="N5308">
        <v>264</v>
      </c>
      <c r="O5308">
        <v>3</v>
      </c>
      <c r="P5308">
        <v>262</v>
      </c>
      <c r="Q5308">
        <v>17</v>
      </c>
      <c r="R5308">
        <v>20</v>
      </c>
      <c r="S5308">
        <v>6</v>
      </c>
      <c r="T5308">
        <v>0</v>
      </c>
      <c r="U5308">
        <v>12</v>
      </c>
      <c r="V5308">
        <v>7</v>
      </c>
      <c r="W5308">
        <v>1</v>
      </c>
      <c r="X5308">
        <v>1</v>
      </c>
      <c r="Y5308">
        <v>178</v>
      </c>
      <c r="Z5308">
        <v>4</v>
      </c>
      <c r="AA5308">
        <v>0</v>
      </c>
      <c r="AB5308">
        <v>1</v>
      </c>
      <c r="AC5308">
        <v>0</v>
      </c>
      <c r="AD5308">
        <v>1</v>
      </c>
      <c r="AE5308">
        <v>0</v>
      </c>
      <c r="AF5308">
        <v>0</v>
      </c>
      <c r="AG5308">
        <v>0</v>
      </c>
      <c r="AH5308">
        <v>2</v>
      </c>
      <c r="AI5308">
        <v>0</v>
      </c>
      <c r="AJ5308">
        <v>1</v>
      </c>
      <c r="AK5308">
        <v>4</v>
      </c>
      <c r="AL5308">
        <v>1</v>
      </c>
      <c r="AM5308">
        <v>0</v>
      </c>
      <c r="AN5308">
        <v>3</v>
      </c>
      <c r="AT5308">
        <v>0</v>
      </c>
      <c r="AU5308">
        <v>3</v>
      </c>
      <c r="AV5308">
        <v>262</v>
      </c>
      <c r="AW5308">
        <v>262</v>
      </c>
      <c r="AX5308">
        <v>418</v>
      </c>
      <c r="BA5308">
        <v>1</v>
      </c>
      <c r="BC5308" t="s">
        <v>10729</v>
      </c>
      <c r="BD5308" s="4">
        <v>43283.288888888892</v>
      </c>
      <c r="BE5308" s="4">
        <v>43283.320891203701</v>
      </c>
      <c r="BF5308" s="4">
        <v>43283.320891203701</v>
      </c>
      <c r="BG5308" t="s">
        <v>83</v>
      </c>
      <c r="BH5308" t="s">
        <v>84</v>
      </c>
      <c r="BI5308" t="s">
        <v>85</v>
      </c>
    </row>
    <row r="5309" spans="1:61" x14ac:dyDescent="0.3">
      <c r="A5309" t="str">
        <f>"201820B0100"</f>
        <v>201820B0100</v>
      </c>
      <c r="B5309" t="s">
        <v>10730</v>
      </c>
      <c r="C5309">
        <v>20</v>
      </c>
      <c r="D5309" t="s">
        <v>79</v>
      </c>
      <c r="E5309">
        <v>25</v>
      </c>
      <c r="F5309" t="s">
        <v>10558</v>
      </c>
      <c r="G5309">
        <v>1820</v>
      </c>
      <c r="H5309">
        <v>1</v>
      </c>
      <c r="I5309" t="s">
        <v>81</v>
      </c>
      <c r="J5309">
        <v>0</v>
      </c>
      <c r="K5309">
        <v>2</v>
      </c>
      <c r="L5309">
        <v>2</v>
      </c>
      <c r="M5309">
        <v>327</v>
      </c>
      <c r="N5309">
        <v>390</v>
      </c>
      <c r="O5309">
        <v>2</v>
      </c>
      <c r="P5309">
        <v>390</v>
      </c>
      <c r="Q5309">
        <v>19</v>
      </c>
      <c r="R5309">
        <v>28</v>
      </c>
      <c r="S5309">
        <v>2</v>
      </c>
      <c r="T5309">
        <v>1</v>
      </c>
      <c r="U5309">
        <v>19</v>
      </c>
      <c r="V5309">
        <v>5</v>
      </c>
      <c r="W5309">
        <v>5</v>
      </c>
      <c r="X5309">
        <v>1</v>
      </c>
      <c r="Y5309">
        <v>248</v>
      </c>
      <c r="Z5309">
        <v>14</v>
      </c>
      <c r="AA5309">
        <v>2</v>
      </c>
      <c r="AB5309">
        <v>9</v>
      </c>
      <c r="AC5309">
        <v>1</v>
      </c>
      <c r="AD5309">
        <v>0</v>
      </c>
      <c r="AE5309">
        <v>0</v>
      </c>
      <c r="AF5309">
        <v>0</v>
      </c>
      <c r="AG5309">
        <v>1</v>
      </c>
      <c r="AH5309">
        <v>0</v>
      </c>
      <c r="AI5309">
        <v>0</v>
      </c>
      <c r="AJ5309">
        <v>0</v>
      </c>
      <c r="AK5309">
        <v>13</v>
      </c>
      <c r="AL5309">
        <v>4</v>
      </c>
      <c r="AM5309">
        <v>2</v>
      </c>
      <c r="AN5309">
        <v>4</v>
      </c>
      <c r="AT5309">
        <v>0</v>
      </c>
      <c r="AU5309">
        <v>10</v>
      </c>
      <c r="AV5309">
        <v>388</v>
      </c>
      <c r="AW5309">
        <v>388</v>
      </c>
      <c r="AX5309">
        <v>695</v>
      </c>
      <c r="BA5309">
        <v>1</v>
      </c>
      <c r="BC5309" t="s">
        <v>10731</v>
      </c>
      <c r="BD5309" s="4">
        <v>43283.281944444447</v>
      </c>
      <c r="BE5309" s="4">
        <v>43283.312407407408</v>
      </c>
      <c r="BF5309" s="4">
        <v>43283.312407407408</v>
      </c>
      <c r="BG5309" t="s">
        <v>83</v>
      </c>
      <c r="BH5309" t="s">
        <v>84</v>
      </c>
      <c r="BI5309" t="s">
        <v>85</v>
      </c>
    </row>
    <row r="5310" spans="1:61" x14ac:dyDescent="0.3">
      <c r="A5310" t="str">
        <f>"201820C0100"</f>
        <v>201820C0100</v>
      </c>
      <c r="B5310" t="s">
        <v>10732</v>
      </c>
      <c r="C5310">
        <v>20</v>
      </c>
      <c r="D5310" t="s">
        <v>79</v>
      </c>
      <c r="E5310">
        <v>25</v>
      </c>
      <c r="F5310" t="s">
        <v>10558</v>
      </c>
      <c r="G5310">
        <v>1820</v>
      </c>
      <c r="H5310">
        <v>1</v>
      </c>
      <c r="I5310" t="s">
        <v>89</v>
      </c>
      <c r="J5310">
        <v>0</v>
      </c>
      <c r="K5310">
        <v>2</v>
      </c>
      <c r="L5310">
        <v>2</v>
      </c>
      <c r="M5310">
        <v>291</v>
      </c>
      <c r="N5310">
        <v>426</v>
      </c>
      <c r="O5310">
        <v>2</v>
      </c>
      <c r="P5310">
        <v>426</v>
      </c>
      <c r="Q5310">
        <v>14</v>
      </c>
      <c r="R5310">
        <v>26</v>
      </c>
      <c r="S5310">
        <v>2</v>
      </c>
      <c r="T5310">
        <v>5</v>
      </c>
      <c r="U5310">
        <v>17</v>
      </c>
      <c r="V5310">
        <v>3</v>
      </c>
      <c r="W5310">
        <v>4</v>
      </c>
      <c r="X5310">
        <v>2</v>
      </c>
      <c r="Y5310">
        <v>313</v>
      </c>
      <c r="Z5310">
        <v>11</v>
      </c>
      <c r="AA5310">
        <v>0</v>
      </c>
      <c r="AB5310">
        <v>6</v>
      </c>
      <c r="AC5310">
        <v>1</v>
      </c>
      <c r="AD5310">
        <v>0</v>
      </c>
      <c r="AE5310">
        <v>0</v>
      </c>
      <c r="AF5310">
        <v>0</v>
      </c>
      <c r="AG5310">
        <v>0</v>
      </c>
      <c r="AH5310">
        <v>0</v>
      </c>
      <c r="AI5310">
        <v>0</v>
      </c>
      <c r="AJ5310">
        <v>0</v>
      </c>
      <c r="AK5310">
        <v>7</v>
      </c>
      <c r="AL5310">
        <v>2</v>
      </c>
      <c r="AM5310">
        <v>0</v>
      </c>
      <c r="AN5310">
        <v>3</v>
      </c>
      <c r="AT5310">
        <v>0</v>
      </c>
      <c r="AU5310">
        <v>10</v>
      </c>
      <c r="AV5310">
        <v>426</v>
      </c>
      <c r="AW5310">
        <v>426</v>
      </c>
      <c r="AX5310">
        <v>695</v>
      </c>
      <c r="BA5310">
        <v>1</v>
      </c>
      <c r="BC5310" t="s">
        <v>10733</v>
      </c>
      <c r="BD5310" s="4">
        <v>43282.456944444442</v>
      </c>
      <c r="BE5310" s="4">
        <v>43283.32104166667</v>
      </c>
      <c r="BF5310" s="4">
        <v>43283.32104166667</v>
      </c>
      <c r="BG5310" t="s">
        <v>83</v>
      </c>
      <c r="BH5310" t="s">
        <v>84</v>
      </c>
      <c r="BI5310" t="s">
        <v>85</v>
      </c>
    </row>
    <row r="5311" spans="1:61" x14ac:dyDescent="0.3">
      <c r="A5311" t="str">
        <f>"201820C0200"</f>
        <v>201820C0200</v>
      </c>
      <c r="B5311" t="s">
        <v>10734</v>
      </c>
      <c r="C5311">
        <v>20</v>
      </c>
      <c r="D5311" t="s">
        <v>79</v>
      </c>
      <c r="E5311">
        <v>25</v>
      </c>
      <c r="F5311" t="s">
        <v>10558</v>
      </c>
      <c r="G5311">
        <v>1820</v>
      </c>
      <c r="H5311">
        <v>2</v>
      </c>
      <c r="I5311" t="s">
        <v>89</v>
      </c>
      <c r="J5311">
        <v>0</v>
      </c>
      <c r="K5311">
        <v>2</v>
      </c>
      <c r="L5311">
        <v>2</v>
      </c>
      <c r="M5311">
        <v>288</v>
      </c>
      <c r="N5311">
        <v>429</v>
      </c>
      <c r="O5311">
        <v>3</v>
      </c>
      <c r="P5311">
        <v>429</v>
      </c>
      <c r="Q5311">
        <v>14</v>
      </c>
      <c r="R5311">
        <v>27</v>
      </c>
      <c r="S5311">
        <v>7</v>
      </c>
      <c r="T5311">
        <v>2</v>
      </c>
      <c r="U5311">
        <v>30</v>
      </c>
      <c r="V5311">
        <v>2</v>
      </c>
      <c r="W5311">
        <v>1</v>
      </c>
      <c r="X5311">
        <v>7</v>
      </c>
      <c r="Y5311">
        <v>298</v>
      </c>
      <c r="Z5311">
        <v>1</v>
      </c>
      <c r="AA5311">
        <v>0</v>
      </c>
      <c r="AB5311">
        <v>1</v>
      </c>
      <c r="AC5311">
        <v>0</v>
      </c>
      <c r="AD5311">
        <v>1</v>
      </c>
      <c r="AE5311">
        <v>0</v>
      </c>
      <c r="AF5311">
        <v>0</v>
      </c>
      <c r="AG5311">
        <v>0</v>
      </c>
      <c r="AH5311">
        <v>1</v>
      </c>
      <c r="AI5311">
        <v>0</v>
      </c>
      <c r="AJ5311">
        <v>1</v>
      </c>
      <c r="AK5311">
        <v>12</v>
      </c>
      <c r="AL5311">
        <v>2</v>
      </c>
      <c r="AM5311">
        <v>10</v>
      </c>
      <c r="AN5311">
        <v>3</v>
      </c>
      <c r="AT5311">
        <v>0</v>
      </c>
      <c r="AU5311">
        <v>13</v>
      </c>
      <c r="AV5311">
        <v>433</v>
      </c>
      <c r="AW5311">
        <v>433</v>
      </c>
      <c r="AX5311">
        <v>695</v>
      </c>
      <c r="BA5311">
        <v>1</v>
      </c>
      <c r="BC5311" t="s">
        <v>10735</v>
      </c>
      <c r="BD5311" s="4">
        <v>43283.286805555559</v>
      </c>
      <c r="BE5311" s="4">
        <v>43283.316122685188</v>
      </c>
      <c r="BF5311" s="4">
        <v>43283.316122685188</v>
      </c>
      <c r="BG5311" t="s">
        <v>83</v>
      </c>
      <c r="BH5311" t="s">
        <v>84</v>
      </c>
      <c r="BI5311" t="s">
        <v>85</v>
      </c>
    </row>
    <row r="5312" spans="1:61" x14ac:dyDescent="0.3">
      <c r="A5312" t="str">
        <f>"201820C0300"</f>
        <v>201820C0300</v>
      </c>
      <c r="B5312" t="s">
        <v>10736</v>
      </c>
      <c r="C5312">
        <v>20</v>
      </c>
      <c r="D5312" t="s">
        <v>79</v>
      </c>
      <c r="E5312">
        <v>25</v>
      </c>
      <c r="F5312" t="s">
        <v>10558</v>
      </c>
      <c r="G5312">
        <v>1820</v>
      </c>
      <c r="H5312">
        <v>3</v>
      </c>
      <c r="I5312" t="s">
        <v>89</v>
      </c>
      <c r="J5312">
        <v>0</v>
      </c>
      <c r="K5312">
        <v>2</v>
      </c>
      <c r="L5312">
        <v>2</v>
      </c>
      <c r="M5312">
        <v>314</v>
      </c>
      <c r="N5312">
        <v>400</v>
      </c>
      <c r="O5312">
        <v>3</v>
      </c>
      <c r="P5312">
        <v>399</v>
      </c>
      <c r="Q5312">
        <v>12</v>
      </c>
      <c r="R5312">
        <v>33</v>
      </c>
      <c r="S5312">
        <v>4</v>
      </c>
      <c r="T5312">
        <v>3</v>
      </c>
      <c r="U5312">
        <v>16</v>
      </c>
      <c r="V5312">
        <v>6</v>
      </c>
      <c r="W5312">
        <v>2</v>
      </c>
      <c r="X5312">
        <v>0</v>
      </c>
      <c r="Y5312">
        <v>270</v>
      </c>
      <c r="Z5312">
        <v>14</v>
      </c>
      <c r="AA5312">
        <v>2</v>
      </c>
      <c r="AB5312">
        <v>3</v>
      </c>
      <c r="AC5312">
        <v>1</v>
      </c>
      <c r="AD5312">
        <v>0</v>
      </c>
      <c r="AE5312">
        <v>0</v>
      </c>
      <c r="AF5312">
        <v>0</v>
      </c>
      <c r="AG5312">
        <v>2</v>
      </c>
      <c r="AH5312">
        <v>0</v>
      </c>
      <c r="AI5312">
        <v>0</v>
      </c>
      <c r="AJ5312">
        <v>0</v>
      </c>
      <c r="AK5312">
        <v>16</v>
      </c>
      <c r="AL5312">
        <v>6</v>
      </c>
      <c r="AM5312">
        <v>0</v>
      </c>
      <c r="AN5312">
        <v>0</v>
      </c>
      <c r="AT5312">
        <v>0</v>
      </c>
      <c r="AU5312">
        <v>9</v>
      </c>
      <c r="AV5312" t="s">
        <v>100</v>
      </c>
      <c r="AW5312">
        <v>399</v>
      </c>
      <c r="AX5312">
        <v>694</v>
      </c>
      <c r="BA5312">
        <v>1</v>
      </c>
      <c r="BC5312" t="s">
        <v>10737</v>
      </c>
      <c r="BD5312" s="4">
        <v>43283.285416666666</v>
      </c>
      <c r="BE5312" s="4">
        <v>43283.31391203704</v>
      </c>
      <c r="BF5312" s="4">
        <v>43283.31391203704</v>
      </c>
      <c r="BG5312" t="s">
        <v>83</v>
      </c>
      <c r="BH5312" t="s">
        <v>84</v>
      </c>
      <c r="BI5312" t="s">
        <v>85</v>
      </c>
    </row>
    <row r="5313" spans="1:61" x14ac:dyDescent="0.3">
      <c r="A5313" t="str">
        <f>"201821B0100"</f>
        <v>201821B0100</v>
      </c>
      <c r="B5313" t="s">
        <v>10738</v>
      </c>
      <c r="C5313">
        <v>20</v>
      </c>
      <c r="D5313" t="s">
        <v>79</v>
      </c>
      <c r="E5313">
        <v>25</v>
      </c>
      <c r="F5313" t="s">
        <v>10558</v>
      </c>
      <c r="G5313">
        <v>1821</v>
      </c>
      <c r="H5313">
        <v>1</v>
      </c>
      <c r="I5313" t="s">
        <v>81</v>
      </c>
      <c r="J5313">
        <v>0</v>
      </c>
      <c r="K5313">
        <v>2</v>
      </c>
      <c r="L5313">
        <v>2</v>
      </c>
      <c r="M5313">
        <v>113</v>
      </c>
      <c r="N5313">
        <v>212</v>
      </c>
      <c r="O5313">
        <v>2</v>
      </c>
      <c r="P5313">
        <v>212</v>
      </c>
      <c r="Q5313">
        <v>7</v>
      </c>
      <c r="R5313">
        <v>19</v>
      </c>
      <c r="S5313">
        <v>2</v>
      </c>
      <c r="T5313">
        <v>3</v>
      </c>
      <c r="U5313">
        <v>11</v>
      </c>
      <c r="V5313">
        <v>2</v>
      </c>
      <c r="W5313">
        <v>1</v>
      </c>
      <c r="X5313">
        <v>0</v>
      </c>
      <c r="Y5313">
        <v>147</v>
      </c>
      <c r="Z5313">
        <v>9</v>
      </c>
      <c r="AA5313">
        <v>1</v>
      </c>
      <c r="AB5313">
        <v>1</v>
      </c>
      <c r="AC5313">
        <v>0</v>
      </c>
      <c r="AD5313">
        <v>1</v>
      </c>
      <c r="AE5313">
        <v>0</v>
      </c>
      <c r="AF5313">
        <v>0</v>
      </c>
      <c r="AG5313">
        <v>1</v>
      </c>
      <c r="AH5313">
        <v>4</v>
      </c>
      <c r="AI5313">
        <v>0</v>
      </c>
      <c r="AJ5313">
        <v>0</v>
      </c>
      <c r="AK5313">
        <v>1</v>
      </c>
      <c r="AL5313">
        <v>0</v>
      </c>
      <c r="AM5313">
        <v>0</v>
      </c>
      <c r="AN5313">
        <v>1</v>
      </c>
      <c r="AT5313">
        <v>0</v>
      </c>
      <c r="AU5313">
        <v>1</v>
      </c>
      <c r="AV5313">
        <v>212</v>
      </c>
      <c r="AW5313">
        <v>212</v>
      </c>
      <c r="AX5313">
        <v>303</v>
      </c>
      <c r="BA5313">
        <v>1</v>
      </c>
      <c r="BC5313" t="s">
        <v>10739</v>
      </c>
      <c r="BD5313" s="4">
        <v>43283.277083333334</v>
      </c>
      <c r="BE5313" s="4">
        <v>43283.650439814817</v>
      </c>
      <c r="BF5313" s="4">
        <v>43283.650439814817</v>
      </c>
      <c r="BG5313" t="s">
        <v>83</v>
      </c>
      <c r="BH5313" t="s">
        <v>84</v>
      </c>
      <c r="BI5313" t="s">
        <v>85</v>
      </c>
    </row>
    <row r="5314" spans="1:61" x14ac:dyDescent="0.3">
      <c r="A5314" t="str">
        <f>"201821E0100"</f>
        <v>201821E0100</v>
      </c>
      <c r="B5314" s="2" t="s">
        <v>10740</v>
      </c>
      <c r="C5314">
        <v>20</v>
      </c>
      <c r="D5314" t="s">
        <v>79</v>
      </c>
      <c r="E5314">
        <v>25</v>
      </c>
      <c r="F5314" t="s">
        <v>10558</v>
      </c>
      <c r="G5314">
        <v>1821</v>
      </c>
      <c r="H5314">
        <v>1</v>
      </c>
      <c r="I5314" t="s">
        <v>145</v>
      </c>
      <c r="J5314">
        <v>0</v>
      </c>
      <c r="K5314">
        <v>2</v>
      </c>
      <c r="L5314">
        <v>2</v>
      </c>
      <c r="M5314">
        <v>270</v>
      </c>
      <c r="N5314">
        <v>425</v>
      </c>
      <c r="O5314">
        <v>1</v>
      </c>
      <c r="P5314">
        <v>425</v>
      </c>
      <c r="Q5314">
        <v>38</v>
      </c>
      <c r="R5314">
        <v>77</v>
      </c>
      <c r="S5314">
        <v>7</v>
      </c>
      <c r="T5314">
        <v>7</v>
      </c>
      <c r="U5314">
        <v>29</v>
      </c>
      <c r="V5314">
        <v>8</v>
      </c>
      <c r="W5314">
        <v>5</v>
      </c>
      <c r="X5314">
        <v>4</v>
      </c>
      <c r="Y5314">
        <v>212</v>
      </c>
      <c r="Z5314">
        <v>15</v>
      </c>
      <c r="AA5314">
        <v>0</v>
      </c>
      <c r="AB5314">
        <v>1</v>
      </c>
      <c r="AC5314">
        <v>0</v>
      </c>
      <c r="AD5314">
        <v>0</v>
      </c>
      <c r="AE5314">
        <v>0</v>
      </c>
      <c r="AF5314">
        <v>0</v>
      </c>
      <c r="AG5314">
        <v>2</v>
      </c>
      <c r="AH5314">
        <v>3</v>
      </c>
      <c r="AI5314">
        <v>0</v>
      </c>
      <c r="AJ5314">
        <v>0</v>
      </c>
      <c r="AK5314">
        <v>6</v>
      </c>
      <c r="AL5314">
        <v>0</v>
      </c>
      <c r="AM5314">
        <v>2</v>
      </c>
      <c r="AN5314">
        <v>1</v>
      </c>
      <c r="AT5314">
        <v>0</v>
      </c>
      <c r="AU5314">
        <v>8</v>
      </c>
      <c r="AV5314">
        <v>425</v>
      </c>
      <c r="AW5314">
        <v>425</v>
      </c>
      <c r="AX5314">
        <v>673</v>
      </c>
      <c r="BA5314">
        <v>1</v>
      </c>
      <c r="BC5314" t="s">
        <v>10741</v>
      </c>
      <c r="BD5314" s="4">
        <v>43283.279861111114</v>
      </c>
      <c r="BE5314" s="4">
        <v>43283.312071759261</v>
      </c>
      <c r="BF5314" s="4">
        <v>43283.312071759261</v>
      </c>
      <c r="BG5314" t="s">
        <v>83</v>
      </c>
      <c r="BH5314" t="s">
        <v>84</v>
      </c>
      <c r="BI5314" t="s">
        <v>85</v>
      </c>
    </row>
    <row r="5315" spans="1:61" x14ac:dyDescent="0.3">
      <c r="A5315" t="str">
        <f>"201822B0100"</f>
        <v>201822B0100</v>
      </c>
      <c r="B5315" t="s">
        <v>10742</v>
      </c>
      <c r="C5315">
        <v>20</v>
      </c>
      <c r="D5315" t="s">
        <v>79</v>
      </c>
      <c r="E5315">
        <v>25</v>
      </c>
      <c r="F5315" t="s">
        <v>10558</v>
      </c>
      <c r="G5315">
        <v>1822</v>
      </c>
      <c r="H5315">
        <v>1</v>
      </c>
      <c r="I5315" t="s">
        <v>81</v>
      </c>
      <c r="J5315">
        <v>0</v>
      </c>
      <c r="K5315">
        <v>1</v>
      </c>
      <c r="L5315">
        <v>2</v>
      </c>
      <c r="M5315">
        <v>274</v>
      </c>
      <c r="N5315">
        <v>408</v>
      </c>
      <c r="O5315">
        <v>1</v>
      </c>
      <c r="P5315">
        <v>408</v>
      </c>
      <c r="Q5315">
        <v>42</v>
      </c>
      <c r="R5315">
        <v>123</v>
      </c>
      <c r="S5315">
        <v>19</v>
      </c>
      <c r="T5315">
        <v>3</v>
      </c>
      <c r="U5315">
        <v>22</v>
      </c>
      <c r="V5315">
        <v>2</v>
      </c>
      <c r="W5315">
        <v>4</v>
      </c>
      <c r="X5315">
        <v>4</v>
      </c>
      <c r="Y5315">
        <v>154</v>
      </c>
      <c r="Z5315">
        <v>14</v>
      </c>
      <c r="AA5315">
        <v>1</v>
      </c>
      <c r="AB5315">
        <v>2</v>
      </c>
      <c r="AC5315">
        <v>0</v>
      </c>
      <c r="AD5315">
        <v>0</v>
      </c>
      <c r="AE5315">
        <v>0</v>
      </c>
      <c r="AF5315">
        <v>0</v>
      </c>
      <c r="AG5315">
        <v>2</v>
      </c>
      <c r="AH5315">
        <v>0</v>
      </c>
      <c r="AI5315">
        <v>0</v>
      </c>
      <c r="AJ5315">
        <v>0</v>
      </c>
      <c r="AK5315">
        <v>4</v>
      </c>
      <c r="AL5315">
        <v>0</v>
      </c>
      <c r="AM5315">
        <v>0</v>
      </c>
      <c r="AN5315">
        <v>0</v>
      </c>
      <c r="AT5315">
        <v>0</v>
      </c>
      <c r="AU5315">
        <v>12</v>
      </c>
      <c r="AV5315">
        <v>408</v>
      </c>
      <c r="AW5315">
        <v>408</v>
      </c>
      <c r="AX5315">
        <v>660</v>
      </c>
      <c r="BA5315">
        <v>1</v>
      </c>
      <c r="BC5315" t="s">
        <v>10743</v>
      </c>
      <c r="BD5315" s="4">
        <v>43283.299305555556</v>
      </c>
      <c r="BE5315" s="4">
        <v>43283.331516203703</v>
      </c>
      <c r="BF5315" s="4">
        <v>43283.331516203703</v>
      </c>
      <c r="BG5315" t="s">
        <v>83</v>
      </c>
      <c r="BH5315" t="s">
        <v>84</v>
      </c>
      <c r="BI5315" t="s">
        <v>85</v>
      </c>
    </row>
    <row r="5316" spans="1:61" x14ac:dyDescent="0.3">
      <c r="A5316" t="str">
        <f>"201822E0100"</f>
        <v>201822E0100</v>
      </c>
      <c r="B5316" s="2" t="s">
        <v>10744</v>
      </c>
      <c r="C5316">
        <v>20</v>
      </c>
      <c r="D5316" t="s">
        <v>79</v>
      </c>
      <c r="E5316">
        <v>25</v>
      </c>
      <c r="F5316" t="s">
        <v>10558</v>
      </c>
      <c r="G5316">
        <v>1822</v>
      </c>
      <c r="H5316">
        <v>1</v>
      </c>
      <c r="I5316" t="s">
        <v>145</v>
      </c>
      <c r="J5316">
        <v>0</v>
      </c>
      <c r="K5316">
        <v>1</v>
      </c>
      <c r="L5316">
        <v>2</v>
      </c>
      <c r="M5316">
        <v>280</v>
      </c>
      <c r="N5316">
        <v>460</v>
      </c>
      <c r="O5316">
        <v>0</v>
      </c>
      <c r="P5316">
        <v>460</v>
      </c>
      <c r="Q5316">
        <v>55</v>
      </c>
      <c r="R5316">
        <v>89</v>
      </c>
      <c r="S5316">
        <v>11</v>
      </c>
      <c r="T5316">
        <v>9</v>
      </c>
      <c r="U5316">
        <v>33</v>
      </c>
      <c r="V5316">
        <v>2</v>
      </c>
      <c r="W5316">
        <v>3</v>
      </c>
      <c r="X5316">
        <v>9</v>
      </c>
      <c r="Y5316">
        <v>207</v>
      </c>
      <c r="Z5316">
        <v>9</v>
      </c>
      <c r="AA5316">
        <v>2</v>
      </c>
      <c r="AB5316">
        <v>0</v>
      </c>
      <c r="AC5316">
        <v>0</v>
      </c>
      <c r="AD5316">
        <v>1</v>
      </c>
      <c r="AE5316">
        <v>0</v>
      </c>
      <c r="AF5316">
        <v>0</v>
      </c>
      <c r="AG5316">
        <v>1</v>
      </c>
      <c r="AH5316">
        <v>2</v>
      </c>
      <c r="AI5316">
        <v>1</v>
      </c>
      <c r="AJ5316">
        <v>0</v>
      </c>
      <c r="AK5316">
        <v>0</v>
      </c>
      <c r="AL5316">
        <v>7</v>
      </c>
      <c r="AM5316">
        <v>1</v>
      </c>
      <c r="AN5316">
        <v>0</v>
      </c>
      <c r="AT5316">
        <v>0</v>
      </c>
      <c r="AU5316">
        <v>14</v>
      </c>
      <c r="AV5316">
        <v>460</v>
      </c>
      <c r="AW5316">
        <v>456</v>
      </c>
      <c r="AX5316">
        <v>718</v>
      </c>
      <c r="BA5316">
        <v>1</v>
      </c>
      <c r="BC5316" t="s">
        <v>10745</v>
      </c>
      <c r="BD5316" s="4">
        <v>43283.3</v>
      </c>
      <c r="BE5316" s="4">
        <v>43283.329745370371</v>
      </c>
      <c r="BF5316" s="4">
        <v>43283.329745370371</v>
      </c>
      <c r="BG5316" t="s">
        <v>83</v>
      </c>
      <c r="BH5316" t="s">
        <v>84</v>
      </c>
      <c r="BI5316" t="s">
        <v>85</v>
      </c>
    </row>
    <row r="5317" spans="1:61" x14ac:dyDescent="0.3">
      <c r="A5317" t="str">
        <f>"201823B0100"</f>
        <v>201823B0100</v>
      </c>
      <c r="B5317" t="s">
        <v>10746</v>
      </c>
      <c r="C5317">
        <v>20</v>
      </c>
      <c r="D5317" t="s">
        <v>79</v>
      </c>
      <c r="E5317">
        <v>25</v>
      </c>
      <c r="F5317" t="s">
        <v>10558</v>
      </c>
      <c r="G5317">
        <v>1823</v>
      </c>
      <c r="H5317">
        <v>1</v>
      </c>
      <c r="I5317" t="s">
        <v>81</v>
      </c>
      <c r="J5317">
        <v>0</v>
      </c>
      <c r="K5317">
        <v>2</v>
      </c>
      <c r="L5317">
        <v>2</v>
      </c>
      <c r="M5317">
        <v>162</v>
      </c>
      <c r="N5317">
        <v>498</v>
      </c>
      <c r="O5317">
        <v>0</v>
      </c>
      <c r="P5317">
        <v>336</v>
      </c>
      <c r="Q5317">
        <v>6</v>
      </c>
      <c r="R5317">
        <v>53</v>
      </c>
      <c r="S5317">
        <v>5</v>
      </c>
      <c r="T5317">
        <v>5</v>
      </c>
      <c r="U5317">
        <v>23</v>
      </c>
      <c r="V5317">
        <v>3</v>
      </c>
      <c r="W5317">
        <v>0</v>
      </c>
      <c r="X5317">
        <v>5</v>
      </c>
      <c r="Y5317">
        <v>199</v>
      </c>
      <c r="Z5317">
        <v>16</v>
      </c>
      <c r="AA5317">
        <v>0</v>
      </c>
      <c r="AB5317">
        <v>2</v>
      </c>
      <c r="AC5317">
        <v>0</v>
      </c>
      <c r="AD5317">
        <v>0</v>
      </c>
      <c r="AE5317">
        <v>0</v>
      </c>
      <c r="AF5317">
        <v>0</v>
      </c>
      <c r="AG5317">
        <v>0</v>
      </c>
      <c r="AH5317">
        <v>1</v>
      </c>
      <c r="AI5317">
        <v>0</v>
      </c>
      <c r="AJ5317">
        <v>0</v>
      </c>
      <c r="AK5317">
        <v>6</v>
      </c>
      <c r="AL5317">
        <v>1</v>
      </c>
      <c r="AM5317">
        <v>2</v>
      </c>
      <c r="AN5317">
        <v>1</v>
      </c>
      <c r="AT5317">
        <v>0</v>
      </c>
      <c r="AU5317">
        <v>8</v>
      </c>
      <c r="AV5317">
        <v>336</v>
      </c>
      <c r="AW5317">
        <v>336</v>
      </c>
      <c r="AX5317">
        <v>476</v>
      </c>
      <c r="BA5317">
        <v>1</v>
      </c>
      <c r="BC5317" t="s">
        <v>10747</v>
      </c>
      <c r="BD5317" s="4">
        <v>43283.302777777775</v>
      </c>
      <c r="BE5317" s="4">
        <v>43283.33221064815</v>
      </c>
      <c r="BF5317" s="4">
        <v>43283.33221064815</v>
      </c>
      <c r="BG5317" t="s">
        <v>83</v>
      </c>
      <c r="BH5317" t="s">
        <v>84</v>
      </c>
      <c r="BI5317" t="s">
        <v>85</v>
      </c>
    </row>
    <row r="5318" spans="1:61" x14ac:dyDescent="0.3">
      <c r="A5318" t="str">
        <f>"201823E0100"</f>
        <v>201823E0100</v>
      </c>
      <c r="B5318" s="2" t="s">
        <v>10748</v>
      </c>
      <c r="C5318">
        <v>20</v>
      </c>
      <c r="D5318" t="s">
        <v>79</v>
      </c>
      <c r="E5318">
        <v>25</v>
      </c>
      <c r="F5318" t="s">
        <v>10558</v>
      </c>
      <c r="G5318">
        <v>1823</v>
      </c>
      <c r="H5318">
        <v>1</v>
      </c>
      <c r="I5318" t="s">
        <v>145</v>
      </c>
      <c r="J5318">
        <v>0</v>
      </c>
      <c r="K5318">
        <v>2</v>
      </c>
      <c r="L5318">
        <v>2</v>
      </c>
      <c r="M5318" t="s">
        <v>315</v>
      </c>
      <c r="N5318" t="s">
        <v>315</v>
      </c>
      <c r="O5318" t="s">
        <v>315</v>
      </c>
      <c r="P5318" t="s">
        <v>315</v>
      </c>
      <c r="Q5318">
        <v>20</v>
      </c>
      <c r="R5318">
        <v>45</v>
      </c>
      <c r="S5318">
        <v>12</v>
      </c>
      <c r="T5318">
        <v>3</v>
      </c>
      <c r="U5318">
        <v>16</v>
      </c>
      <c r="V5318">
        <v>4</v>
      </c>
      <c r="W5318">
        <v>3</v>
      </c>
      <c r="X5318" t="s">
        <v>100</v>
      </c>
      <c r="Y5318">
        <v>161</v>
      </c>
      <c r="Z5318">
        <v>5</v>
      </c>
      <c r="AA5318" t="s">
        <v>100</v>
      </c>
      <c r="AB5318">
        <v>2</v>
      </c>
      <c r="AC5318">
        <v>0</v>
      </c>
      <c r="AD5318">
        <v>0</v>
      </c>
      <c r="AE5318">
        <v>0</v>
      </c>
      <c r="AF5318">
        <v>0</v>
      </c>
      <c r="AG5318">
        <v>0</v>
      </c>
      <c r="AH5318">
        <v>0</v>
      </c>
      <c r="AI5318">
        <v>0</v>
      </c>
      <c r="AJ5318" t="s">
        <v>100</v>
      </c>
      <c r="AK5318">
        <v>3</v>
      </c>
      <c r="AL5318">
        <v>1</v>
      </c>
      <c r="AM5318">
        <v>0</v>
      </c>
      <c r="AN5318">
        <v>0</v>
      </c>
      <c r="AT5318">
        <v>0</v>
      </c>
      <c r="AU5318">
        <v>9</v>
      </c>
      <c r="AV5318">
        <v>284</v>
      </c>
      <c r="AW5318">
        <v>284</v>
      </c>
      <c r="AX5318">
        <v>536</v>
      </c>
      <c r="AZ5318" t="s">
        <v>101</v>
      </c>
      <c r="BA5318">
        <v>1</v>
      </c>
      <c r="BC5318" t="s">
        <v>10749</v>
      </c>
      <c r="BD5318" s="4">
        <v>43283.309027777781</v>
      </c>
      <c r="BE5318" s="4">
        <v>43283.364259259259</v>
      </c>
      <c r="BF5318" s="4">
        <v>43283.364259259259</v>
      </c>
      <c r="BG5318" t="s">
        <v>83</v>
      </c>
      <c r="BH5318" t="s">
        <v>84</v>
      </c>
      <c r="BI5318" t="s">
        <v>85</v>
      </c>
    </row>
    <row r="5319" spans="1:61" x14ac:dyDescent="0.3">
      <c r="A5319" t="str">
        <f>"201823E0200"</f>
        <v>201823E0200</v>
      </c>
      <c r="B5319" s="2" t="s">
        <v>10750</v>
      </c>
      <c r="C5319">
        <v>20</v>
      </c>
      <c r="D5319" t="s">
        <v>79</v>
      </c>
      <c r="E5319">
        <v>25</v>
      </c>
      <c r="F5319" t="s">
        <v>10558</v>
      </c>
      <c r="G5319">
        <v>1823</v>
      </c>
      <c r="H5319">
        <v>2</v>
      </c>
      <c r="I5319" t="s">
        <v>145</v>
      </c>
      <c r="J5319">
        <v>0</v>
      </c>
      <c r="K5319">
        <v>2</v>
      </c>
      <c r="L5319">
        <v>2</v>
      </c>
      <c r="M5319">
        <v>94</v>
      </c>
      <c r="N5319">
        <v>159</v>
      </c>
      <c r="O5319">
        <v>7</v>
      </c>
      <c r="P5319">
        <v>159</v>
      </c>
      <c r="Q5319">
        <v>10</v>
      </c>
      <c r="R5319">
        <v>44</v>
      </c>
      <c r="S5319">
        <v>1</v>
      </c>
      <c r="T5319">
        <v>5</v>
      </c>
      <c r="U5319">
        <v>9</v>
      </c>
      <c r="V5319">
        <v>0</v>
      </c>
      <c r="W5319">
        <v>0</v>
      </c>
      <c r="X5319">
        <v>1</v>
      </c>
      <c r="Y5319">
        <v>70</v>
      </c>
      <c r="Z5319">
        <v>3</v>
      </c>
      <c r="AA5319">
        <v>1</v>
      </c>
      <c r="AB5319">
        <v>0</v>
      </c>
      <c r="AC5319">
        <v>0</v>
      </c>
      <c r="AD5319">
        <v>3</v>
      </c>
      <c r="AE5319">
        <v>0</v>
      </c>
      <c r="AF5319">
        <v>0</v>
      </c>
      <c r="AG5319">
        <v>1</v>
      </c>
      <c r="AH5319">
        <v>2</v>
      </c>
      <c r="AI5319">
        <v>1</v>
      </c>
      <c r="AJ5319">
        <v>0</v>
      </c>
      <c r="AK5319">
        <v>2</v>
      </c>
      <c r="AL5319">
        <v>1</v>
      </c>
      <c r="AM5319">
        <v>0</v>
      </c>
      <c r="AN5319">
        <v>2</v>
      </c>
      <c r="AT5319">
        <v>0</v>
      </c>
      <c r="AU5319">
        <v>3</v>
      </c>
      <c r="AV5319" t="s">
        <v>100</v>
      </c>
      <c r="AW5319">
        <v>159</v>
      </c>
      <c r="AX5319">
        <v>231</v>
      </c>
      <c r="BA5319">
        <v>1</v>
      </c>
      <c r="BC5319" t="s">
        <v>10751</v>
      </c>
      <c r="BD5319" s="4">
        <v>43283.306250000001</v>
      </c>
      <c r="BE5319" s="4">
        <v>43283.33388888889</v>
      </c>
      <c r="BF5319" s="4">
        <v>43283.33388888889</v>
      </c>
      <c r="BG5319" t="s">
        <v>83</v>
      </c>
      <c r="BH5319" t="s">
        <v>84</v>
      </c>
      <c r="BI5319" t="s">
        <v>85</v>
      </c>
    </row>
    <row r="5320" spans="1:61" x14ac:dyDescent="0.3">
      <c r="A5320" t="str">
        <f>"201824B0100"</f>
        <v>201824B0100</v>
      </c>
      <c r="B5320" t="s">
        <v>10752</v>
      </c>
      <c r="C5320">
        <v>20</v>
      </c>
      <c r="D5320" t="s">
        <v>79</v>
      </c>
      <c r="E5320">
        <v>25</v>
      </c>
      <c r="F5320" t="s">
        <v>10558</v>
      </c>
      <c r="G5320">
        <v>1824</v>
      </c>
      <c r="H5320">
        <v>1</v>
      </c>
      <c r="I5320" t="s">
        <v>81</v>
      </c>
      <c r="J5320">
        <v>0</v>
      </c>
      <c r="K5320">
        <v>2</v>
      </c>
      <c r="L5320">
        <v>2</v>
      </c>
      <c r="M5320">
        <v>232</v>
      </c>
      <c r="N5320">
        <v>359</v>
      </c>
      <c r="O5320">
        <v>0</v>
      </c>
      <c r="P5320">
        <v>359</v>
      </c>
      <c r="Q5320">
        <v>20</v>
      </c>
      <c r="R5320">
        <v>34</v>
      </c>
      <c r="S5320">
        <v>8</v>
      </c>
      <c r="T5320">
        <v>6</v>
      </c>
      <c r="U5320">
        <v>16</v>
      </c>
      <c r="V5320">
        <v>8</v>
      </c>
      <c r="W5320">
        <v>0</v>
      </c>
      <c r="X5320">
        <v>3</v>
      </c>
      <c r="Y5320">
        <v>223</v>
      </c>
      <c r="Z5320">
        <v>13</v>
      </c>
      <c r="AA5320">
        <v>1</v>
      </c>
      <c r="AB5320">
        <v>7</v>
      </c>
      <c r="AC5320">
        <v>0</v>
      </c>
      <c r="AD5320">
        <v>0</v>
      </c>
      <c r="AE5320">
        <v>0</v>
      </c>
      <c r="AF5320">
        <v>0</v>
      </c>
      <c r="AG5320">
        <v>0</v>
      </c>
      <c r="AH5320">
        <v>1</v>
      </c>
      <c r="AI5320">
        <v>0</v>
      </c>
      <c r="AJ5320">
        <v>0</v>
      </c>
      <c r="AK5320">
        <v>7</v>
      </c>
      <c r="AL5320">
        <v>6</v>
      </c>
      <c r="AM5320">
        <v>0</v>
      </c>
      <c r="AN5320">
        <v>2</v>
      </c>
      <c r="AT5320">
        <v>0</v>
      </c>
      <c r="AU5320">
        <v>4</v>
      </c>
      <c r="AV5320">
        <v>359</v>
      </c>
      <c r="AW5320">
        <v>359</v>
      </c>
      <c r="AX5320">
        <v>569</v>
      </c>
      <c r="BA5320">
        <v>1</v>
      </c>
      <c r="BC5320" t="s">
        <v>10753</v>
      </c>
      <c r="BD5320" s="4">
        <v>43283.275694444441</v>
      </c>
      <c r="BE5320" s="4">
        <v>43283.308541666665</v>
      </c>
      <c r="BF5320" s="4">
        <v>43283.308541666665</v>
      </c>
      <c r="BG5320" t="s">
        <v>83</v>
      </c>
      <c r="BH5320" t="s">
        <v>84</v>
      </c>
      <c r="BI5320" t="s">
        <v>85</v>
      </c>
    </row>
    <row r="5321" spans="1:61" x14ac:dyDescent="0.3">
      <c r="A5321" t="str">
        <f>"201824C0100"</f>
        <v>201824C0100</v>
      </c>
      <c r="B5321" t="s">
        <v>10754</v>
      </c>
      <c r="C5321">
        <v>20</v>
      </c>
      <c r="D5321" t="s">
        <v>79</v>
      </c>
      <c r="E5321">
        <v>25</v>
      </c>
      <c r="F5321" t="s">
        <v>10558</v>
      </c>
      <c r="G5321">
        <v>1824</v>
      </c>
      <c r="H5321">
        <v>1</v>
      </c>
      <c r="I5321" t="s">
        <v>89</v>
      </c>
      <c r="J5321">
        <v>0</v>
      </c>
      <c r="K5321">
        <v>2</v>
      </c>
      <c r="L5321">
        <v>2</v>
      </c>
      <c r="M5321">
        <v>241</v>
      </c>
      <c r="N5321">
        <v>243</v>
      </c>
      <c r="O5321">
        <v>243</v>
      </c>
      <c r="P5321">
        <v>243</v>
      </c>
      <c r="Q5321">
        <v>15</v>
      </c>
      <c r="R5321">
        <v>21</v>
      </c>
      <c r="S5321">
        <v>9</v>
      </c>
      <c r="T5321">
        <v>6</v>
      </c>
      <c r="U5321">
        <v>12</v>
      </c>
      <c r="V5321">
        <v>3</v>
      </c>
      <c r="W5321">
        <v>3</v>
      </c>
      <c r="X5321">
        <v>4</v>
      </c>
      <c r="Y5321">
        <v>237</v>
      </c>
      <c r="Z5321">
        <v>10</v>
      </c>
      <c r="AA5321">
        <v>0</v>
      </c>
      <c r="AB5321">
        <v>2</v>
      </c>
      <c r="AC5321">
        <v>0</v>
      </c>
      <c r="AD5321">
        <v>0</v>
      </c>
      <c r="AE5321">
        <v>0</v>
      </c>
      <c r="AF5321">
        <v>0</v>
      </c>
      <c r="AG5321">
        <v>0</v>
      </c>
      <c r="AH5321">
        <v>2</v>
      </c>
      <c r="AI5321">
        <v>0</v>
      </c>
      <c r="AJ5321">
        <v>9</v>
      </c>
      <c r="AK5321">
        <v>1</v>
      </c>
      <c r="AL5321">
        <v>0</v>
      </c>
      <c r="AM5321">
        <v>1</v>
      </c>
      <c r="AN5321">
        <v>0</v>
      </c>
      <c r="AT5321">
        <v>0</v>
      </c>
      <c r="AU5321">
        <v>12</v>
      </c>
      <c r="AV5321">
        <v>347</v>
      </c>
      <c r="AW5321">
        <v>347</v>
      </c>
      <c r="AX5321">
        <v>568</v>
      </c>
      <c r="BA5321">
        <v>1</v>
      </c>
      <c r="BC5321" t="s">
        <v>10755</v>
      </c>
      <c r="BD5321" s="4">
        <v>43283.28125</v>
      </c>
      <c r="BE5321" s="4">
        <v>43283.310185185182</v>
      </c>
      <c r="BF5321" s="4">
        <v>43283.310185185182</v>
      </c>
      <c r="BG5321" t="s">
        <v>83</v>
      </c>
      <c r="BH5321" t="s">
        <v>84</v>
      </c>
      <c r="BI5321" t="s">
        <v>85</v>
      </c>
    </row>
    <row r="5322" spans="1:61" x14ac:dyDescent="0.3">
      <c r="A5322" t="str">
        <f>"201824C0200"</f>
        <v>201824C0200</v>
      </c>
      <c r="B5322" t="s">
        <v>10756</v>
      </c>
      <c r="C5322">
        <v>20</v>
      </c>
      <c r="D5322" t="s">
        <v>79</v>
      </c>
      <c r="E5322">
        <v>25</v>
      </c>
      <c r="F5322" t="s">
        <v>10558</v>
      </c>
      <c r="G5322">
        <v>1824</v>
      </c>
      <c r="H5322">
        <v>2</v>
      </c>
      <c r="I5322" t="s">
        <v>89</v>
      </c>
      <c r="J5322">
        <v>0</v>
      </c>
      <c r="K5322">
        <v>2</v>
      </c>
      <c r="L5322">
        <v>2</v>
      </c>
      <c r="M5322" t="s">
        <v>100</v>
      </c>
      <c r="N5322" t="s">
        <v>100</v>
      </c>
      <c r="O5322" t="s">
        <v>100</v>
      </c>
      <c r="P5322" t="s">
        <v>100</v>
      </c>
      <c r="Q5322">
        <v>19</v>
      </c>
      <c r="R5322">
        <v>37</v>
      </c>
      <c r="S5322">
        <v>4</v>
      </c>
      <c r="T5322">
        <v>7</v>
      </c>
      <c r="U5322">
        <v>18</v>
      </c>
      <c r="V5322">
        <v>5</v>
      </c>
      <c r="W5322">
        <v>5</v>
      </c>
      <c r="X5322">
        <v>3</v>
      </c>
      <c r="Y5322">
        <v>223</v>
      </c>
      <c r="Z5322">
        <v>15</v>
      </c>
      <c r="AA5322">
        <v>1</v>
      </c>
      <c r="AB5322">
        <v>0</v>
      </c>
      <c r="AC5322">
        <v>0</v>
      </c>
      <c r="AD5322">
        <v>1</v>
      </c>
      <c r="AE5322">
        <v>0</v>
      </c>
      <c r="AF5322">
        <v>0</v>
      </c>
      <c r="AG5322">
        <v>0</v>
      </c>
      <c r="AH5322">
        <v>3</v>
      </c>
      <c r="AI5322">
        <v>0</v>
      </c>
      <c r="AJ5322">
        <v>0</v>
      </c>
      <c r="AK5322">
        <v>10</v>
      </c>
      <c r="AL5322">
        <v>2</v>
      </c>
      <c r="AM5322">
        <v>0</v>
      </c>
      <c r="AN5322">
        <v>4</v>
      </c>
      <c r="AT5322">
        <v>0</v>
      </c>
      <c r="AU5322">
        <v>17</v>
      </c>
      <c r="AV5322">
        <v>374</v>
      </c>
      <c r="AW5322">
        <v>374</v>
      </c>
      <c r="AX5322">
        <v>568</v>
      </c>
      <c r="BA5322">
        <v>1</v>
      </c>
      <c r="BC5322" t="s">
        <v>10757</v>
      </c>
      <c r="BD5322" s="4">
        <v>43283.276388888888</v>
      </c>
      <c r="BE5322" s="4">
        <v>43283.308368055557</v>
      </c>
      <c r="BF5322" s="4">
        <v>43283.308368055557</v>
      </c>
      <c r="BG5322" t="s">
        <v>83</v>
      </c>
      <c r="BH5322" t="s">
        <v>84</v>
      </c>
      <c r="BI5322" t="s">
        <v>85</v>
      </c>
    </row>
    <row r="5323" spans="1:61" x14ac:dyDescent="0.3">
      <c r="A5323" t="str">
        <f>"201824E0100"</f>
        <v>201824E0100</v>
      </c>
      <c r="B5323" s="2" t="s">
        <v>10758</v>
      </c>
      <c r="C5323">
        <v>20</v>
      </c>
      <c r="D5323" t="s">
        <v>79</v>
      </c>
      <c r="E5323">
        <v>25</v>
      </c>
      <c r="F5323" t="s">
        <v>10558</v>
      </c>
      <c r="G5323">
        <v>1824</v>
      </c>
      <c r="H5323">
        <v>1</v>
      </c>
      <c r="I5323" t="s">
        <v>145</v>
      </c>
      <c r="J5323">
        <v>0</v>
      </c>
      <c r="K5323">
        <v>2</v>
      </c>
      <c r="L5323">
        <v>2</v>
      </c>
      <c r="M5323">
        <v>248</v>
      </c>
      <c r="N5323" t="s">
        <v>315</v>
      </c>
      <c r="O5323">
        <v>3</v>
      </c>
      <c r="P5323">
        <v>412</v>
      </c>
      <c r="Q5323">
        <v>30</v>
      </c>
      <c r="R5323">
        <v>27</v>
      </c>
      <c r="S5323">
        <v>7</v>
      </c>
      <c r="T5323">
        <v>3</v>
      </c>
      <c r="U5323">
        <v>22</v>
      </c>
      <c r="V5323">
        <v>2</v>
      </c>
      <c r="W5323">
        <v>1</v>
      </c>
      <c r="X5323">
        <v>1</v>
      </c>
      <c r="Y5323">
        <v>266</v>
      </c>
      <c r="Z5323">
        <v>13</v>
      </c>
      <c r="AA5323">
        <v>0</v>
      </c>
      <c r="AB5323">
        <v>6</v>
      </c>
      <c r="AC5323">
        <v>1</v>
      </c>
      <c r="AD5323">
        <v>0</v>
      </c>
      <c r="AE5323">
        <v>0</v>
      </c>
      <c r="AF5323">
        <v>0</v>
      </c>
      <c r="AG5323">
        <v>1</v>
      </c>
      <c r="AH5323">
        <v>0</v>
      </c>
      <c r="AI5323">
        <v>0</v>
      </c>
      <c r="AJ5323">
        <v>0</v>
      </c>
      <c r="AK5323">
        <v>13</v>
      </c>
      <c r="AL5323">
        <v>4</v>
      </c>
      <c r="AM5323">
        <v>0</v>
      </c>
      <c r="AN5323">
        <v>1</v>
      </c>
      <c r="AT5323">
        <v>0</v>
      </c>
      <c r="AU5323">
        <v>14</v>
      </c>
      <c r="AV5323">
        <v>412</v>
      </c>
      <c r="AW5323">
        <v>412</v>
      </c>
      <c r="AX5323">
        <v>638</v>
      </c>
      <c r="BA5323">
        <v>1</v>
      </c>
      <c r="BC5323" t="s">
        <v>10759</v>
      </c>
      <c r="BD5323" s="4">
        <v>43283.276388888888</v>
      </c>
      <c r="BE5323" s="4">
        <v>43283.307916666665</v>
      </c>
      <c r="BF5323" s="4">
        <v>43283.307916666665</v>
      </c>
      <c r="BG5323" t="s">
        <v>83</v>
      </c>
      <c r="BH5323" t="s">
        <v>84</v>
      </c>
      <c r="BI5323" t="s">
        <v>85</v>
      </c>
    </row>
    <row r="5324" spans="1:61" x14ac:dyDescent="0.3">
      <c r="A5324" t="str">
        <f>"201825B0100"</f>
        <v>201825B0100</v>
      </c>
      <c r="B5324" t="s">
        <v>10760</v>
      </c>
      <c r="C5324">
        <v>20</v>
      </c>
      <c r="D5324" t="s">
        <v>79</v>
      </c>
      <c r="E5324">
        <v>25</v>
      </c>
      <c r="F5324" t="s">
        <v>10558</v>
      </c>
      <c r="G5324">
        <v>1825</v>
      </c>
      <c r="H5324">
        <v>1</v>
      </c>
      <c r="I5324" t="s">
        <v>81</v>
      </c>
      <c r="J5324">
        <v>0</v>
      </c>
      <c r="K5324">
        <v>2</v>
      </c>
      <c r="L5324">
        <v>2</v>
      </c>
      <c r="M5324">
        <v>283</v>
      </c>
      <c r="N5324">
        <v>411</v>
      </c>
      <c r="O5324">
        <v>0</v>
      </c>
      <c r="P5324">
        <v>411</v>
      </c>
      <c r="Q5324">
        <v>19</v>
      </c>
      <c r="R5324">
        <v>61</v>
      </c>
      <c r="S5324">
        <v>6</v>
      </c>
      <c r="T5324">
        <v>1</v>
      </c>
      <c r="U5324">
        <v>22</v>
      </c>
      <c r="V5324">
        <v>8</v>
      </c>
      <c r="W5324">
        <v>0</v>
      </c>
      <c r="X5324">
        <v>21</v>
      </c>
      <c r="Y5324">
        <v>237</v>
      </c>
      <c r="Z5324">
        <v>9</v>
      </c>
      <c r="AA5324">
        <v>0</v>
      </c>
      <c r="AB5324">
        <v>0</v>
      </c>
      <c r="AC5324">
        <v>0</v>
      </c>
      <c r="AD5324">
        <v>0</v>
      </c>
      <c r="AE5324">
        <v>0</v>
      </c>
      <c r="AF5324">
        <v>0</v>
      </c>
      <c r="AG5324">
        <v>1</v>
      </c>
      <c r="AH5324">
        <v>0</v>
      </c>
      <c r="AI5324">
        <v>0</v>
      </c>
      <c r="AJ5324">
        <v>0</v>
      </c>
      <c r="AK5324">
        <v>11</v>
      </c>
      <c r="AL5324">
        <v>0</v>
      </c>
      <c r="AM5324">
        <v>0</v>
      </c>
      <c r="AN5324">
        <v>4</v>
      </c>
      <c r="AT5324">
        <v>0</v>
      </c>
      <c r="AU5324">
        <v>11</v>
      </c>
      <c r="AV5324">
        <v>411</v>
      </c>
      <c r="AW5324">
        <v>411</v>
      </c>
      <c r="AX5324">
        <v>672</v>
      </c>
      <c r="BA5324">
        <v>1</v>
      </c>
      <c r="BC5324" t="s">
        <v>10761</v>
      </c>
      <c r="BD5324" s="4">
        <v>43283.291666666664</v>
      </c>
      <c r="BE5324" s="4">
        <v>43283.322881944441</v>
      </c>
      <c r="BF5324" s="4">
        <v>43283.322881944441</v>
      </c>
      <c r="BG5324" t="s">
        <v>83</v>
      </c>
      <c r="BH5324" t="s">
        <v>84</v>
      </c>
      <c r="BI5324" t="s">
        <v>85</v>
      </c>
    </row>
    <row r="5325" spans="1:61" x14ac:dyDescent="0.3">
      <c r="A5325" t="str">
        <f>"201825C0100"</f>
        <v>201825C0100</v>
      </c>
      <c r="B5325" t="s">
        <v>10762</v>
      </c>
      <c r="C5325">
        <v>20</v>
      </c>
      <c r="D5325" t="s">
        <v>79</v>
      </c>
      <c r="E5325">
        <v>25</v>
      </c>
      <c r="F5325" t="s">
        <v>10558</v>
      </c>
      <c r="G5325">
        <v>1825</v>
      </c>
      <c r="H5325">
        <v>1</v>
      </c>
      <c r="I5325" t="s">
        <v>89</v>
      </c>
      <c r="J5325">
        <v>0</v>
      </c>
      <c r="K5325">
        <v>2</v>
      </c>
      <c r="L5325">
        <v>2</v>
      </c>
      <c r="M5325">
        <v>285</v>
      </c>
      <c r="N5325">
        <v>408</v>
      </c>
      <c r="O5325">
        <v>3</v>
      </c>
      <c r="P5325">
        <v>408</v>
      </c>
      <c r="Q5325">
        <v>17</v>
      </c>
      <c r="R5325">
        <v>40</v>
      </c>
      <c r="S5325">
        <v>5</v>
      </c>
      <c r="T5325">
        <v>7</v>
      </c>
      <c r="U5325">
        <v>23</v>
      </c>
      <c r="V5325">
        <v>7</v>
      </c>
      <c r="W5325">
        <v>4</v>
      </c>
      <c r="X5325">
        <v>17</v>
      </c>
      <c r="Y5325">
        <v>253</v>
      </c>
      <c r="Z5325">
        <v>12</v>
      </c>
      <c r="AA5325">
        <v>0</v>
      </c>
      <c r="AB5325">
        <v>2</v>
      </c>
      <c r="AC5325">
        <v>0</v>
      </c>
      <c r="AD5325">
        <v>1</v>
      </c>
      <c r="AE5325">
        <v>0</v>
      </c>
      <c r="AF5325">
        <v>0</v>
      </c>
      <c r="AG5325">
        <v>2</v>
      </c>
      <c r="AH5325">
        <v>0</v>
      </c>
      <c r="AI5325">
        <v>0</v>
      </c>
      <c r="AJ5325">
        <v>0</v>
      </c>
      <c r="AK5325">
        <v>8</v>
      </c>
      <c r="AL5325">
        <v>1</v>
      </c>
      <c r="AM5325">
        <v>0</v>
      </c>
      <c r="AN5325">
        <v>0</v>
      </c>
      <c r="AT5325">
        <v>0</v>
      </c>
      <c r="AU5325">
        <v>9</v>
      </c>
      <c r="AV5325">
        <v>408</v>
      </c>
      <c r="AW5325">
        <v>408</v>
      </c>
      <c r="AX5325">
        <v>671</v>
      </c>
      <c r="BA5325">
        <v>1</v>
      </c>
      <c r="BC5325" t="s">
        <v>10763</v>
      </c>
      <c r="BD5325" s="4">
        <v>43283.302083333336</v>
      </c>
      <c r="BE5325" s="4">
        <v>43283.347013888888</v>
      </c>
      <c r="BF5325" s="4">
        <v>43283.347013888888</v>
      </c>
      <c r="BG5325" t="s">
        <v>83</v>
      </c>
      <c r="BH5325" t="s">
        <v>84</v>
      </c>
      <c r="BI5325" t="s">
        <v>85</v>
      </c>
    </row>
    <row r="5326" spans="1:61" x14ac:dyDescent="0.3">
      <c r="A5326" t="str">
        <f>"201825E0100"</f>
        <v>201825E0100</v>
      </c>
      <c r="B5326" s="2" t="s">
        <v>10764</v>
      </c>
      <c r="C5326">
        <v>20</v>
      </c>
      <c r="D5326" t="s">
        <v>79</v>
      </c>
      <c r="E5326">
        <v>25</v>
      </c>
      <c r="F5326" t="s">
        <v>10558</v>
      </c>
      <c r="G5326">
        <v>1825</v>
      </c>
      <c r="H5326">
        <v>1</v>
      </c>
      <c r="I5326" t="s">
        <v>145</v>
      </c>
      <c r="J5326">
        <v>0</v>
      </c>
      <c r="K5326">
        <v>2</v>
      </c>
      <c r="L5326">
        <v>2</v>
      </c>
      <c r="M5326">
        <v>112</v>
      </c>
      <c r="N5326">
        <v>220</v>
      </c>
      <c r="O5326">
        <v>1</v>
      </c>
      <c r="P5326">
        <v>220</v>
      </c>
      <c r="Q5326">
        <v>19</v>
      </c>
      <c r="R5326">
        <v>16</v>
      </c>
      <c r="S5326">
        <v>5</v>
      </c>
      <c r="T5326">
        <v>4</v>
      </c>
      <c r="U5326">
        <v>13</v>
      </c>
      <c r="V5326">
        <v>1</v>
      </c>
      <c r="W5326">
        <v>4</v>
      </c>
      <c r="X5326" t="s">
        <v>100</v>
      </c>
      <c r="Y5326">
        <v>137</v>
      </c>
      <c r="Z5326">
        <v>7</v>
      </c>
      <c r="AA5326" t="s">
        <v>100</v>
      </c>
      <c r="AB5326" t="s">
        <v>100</v>
      </c>
      <c r="AC5326" t="s">
        <v>100</v>
      </c>
      <c r="AD5326" t="s">
        <v>100</v>
      </c>
      <c r="AE5326">
        <v>1</v>
      </c>
      <c r="AF5326" t="s">
        <v>100</v>
      </c>
      <c r="AG5326" t="s">
        <v>100</v>
      </c>
      <c r="AH5326" t="s">
        <v>100</v>
      </c>
      <c r="AI5326" t="s">
        <v>100</v>
      </c>
      <c r="AJ5326" t="s">
        <v>100</v>
      </c>
      <c r="AK5326">
        <v>4</v>
      </c>
      <c r="AL5326" t="s">
        <v>100</v>
      </c>
      <c r="AM5326" t="s">
        <v>100</v>
      </c>
      <c r="AN5326">
        <v>1</v>
      </c>
      <c r="AT5326" t="s">
        <v>100</v>
      </c>
      <c r="AU5326" t="s">
        <v>100</v>
      </c>
      <c r="AV5326" t="s">
        <v>100</v>
      </c>
      <c r="AW5326">
        <v>212</v>
      </c>
      <c r="AX5326">
        <v>310</v>
      </c>
      <c r="AZ5326" t="s">
        <v>101</v>
      </c>
      <c r="BA5326">
        <v>1</v>
      </c>
      <c r="BC5326" t="s">
        <v>10765</v>
      </c>
      <c r="BD5326" s="4">
        <v>43283.443055555559</v>
      </c>
      <c r="BE5326" s="4">
        <v>43283.451273148145</v>
      </c>
      <c r="BF5326" s="4">
        <v>43283.451273148145</v>
      </c>
      <c r="BG5326" t="s">
        <v>83</v>
      </c>
      <c r="BH5326" t="s">
        <v>84</v>
      </c>
      <c r="BI5326" t="s">
        <v>85</v>
      </c>
    </row>
    <row r="5327" spans="1:61" x14ac:dyDescent="0.3">
      <c r="A5327" t="str">
        <f>"201841B0100"</f>
        <v>201841B0100</v>
      </c>
      <c r="B5327" t="s">
        <v>10766</v>
      </c>
      <c r="C5327">
        <v>20</v>
      </c>
      <c r="D5327" t="s">
        <v>79</v>
      </c>
      <c r="E5327">
        <v>25</v>
      </c>
      <c r="F5327" t="s">
        <v>10558</v>
      </c>
      <c r="G5327">
        <v>1841</v>
      </c>
      <c r="H5327">
        <v>1</v>
      </c>
      <c r="I5327" t="s">
        <v>81</v>
      </c>
      <c r="J5327">
        <v>0</v>
      </c>
      <c r="K5327">
        <v>2</v>
      </c>
      <c r="L5327">
        <v>2</v>
      </c>
      <c r="M5327">
        <v>264</v>
      </c>
      <c r="N5327" t="s">
        <v>100</v>
      </c>
      <c r="O5327" t="s">
        <v>100</v>
      </c>
      <c r="P5327">
        <v>473</v>
      </c>
      <c r="Q5327">
        <v>12</v>
      </c>
      <c r="R5327">
        <v>104</v>
      </c>
      <c r="S5327">
        <v>4</v>
      </c>
      <c r="T5327">
        <v>19</v>
      </c>
      <c r="U5327">
        <v>8</v>
      </c>
      <c r="V5327">
        <v>64</v>
      </c>
      <c r="W5327">
        <v>11</v>
      </c>
      <c r="X5327">
        <v>66</v>
      </c>
      <c r="Y5327">
        <v>138</v>
      </c>
      <c r="Z5327">
        <v>5</v>
      </c>
      <c r="AA5327">
        <v>5</v>
      </c>
      <c r="AB5327">
        <v>2</v>
      </c>
      <c r="AC5327">
        <v>0</v>
      </c>
      <c r="AD5327">
        <v>0</v>
      </c>
      <c r="AE5327">
        <v>1</v>
      </c>
      <c r="AF5327">
        <v>0</v>
      </c>
      <c r="AG5327">
        <v>3</v>
      </c>
      <c r="AH5327">
        <v>1</v>
      </c>
      <c r="AI5327">
        <v>5</v>
      </c>
      <c r="AJ5327">
        <v>0</v>
      </c>
      <c r="AK5327">
        <v>1</v>
      </c>
      <c r="AL5327">
        <v>0</v>
      </c>
      <c r="AM5327">
        <v>0</v>
      </c>
      <c r="AN5327">
        <v>2</v>
      </c>
      <c r="AT5327" t="s">
        <v>100</v>
      </c>
      <c r="AU5327">
        <v>23</v>
      </c>
      <c r="AV5327">
        <v>474</v>
      </c>
      <c r="AW5327">
        <v>474</v>
      </c>
      <c r="AX5327">
        <v>715</v>
      </c>
      <c r="AZ5327" t="s">
        <v>101</v>
      </c>
      <c r="BA5327">
        <v>1</v>
      </c>
      <c r="BC5327" t="s">
        <v>10767</v>
      </c>
      <c r="BD5327" s="4">
        <v>43283.42083333333</v>
      </c>
      <c r="BE5327" s="4">
        <v>43283.432523148149</v>
      </c>
      <c r="BF5327" s="4">
        <v>43283.432523148149</v>
      </c>
      <c r="BG5327" t="s">
        <v>83</v>
      </c>
      <c r="BH5327" t="s">
        <v>84</v>
      </c>
      <c r="BI5327" t="s">
        <v>85</v>
      </c>
    </row>
    <row r="5328" spans="1:61" x14ac:dyDescent="0.3">
      <c r="A5328" t="str">
        <f>"201841C0100"</f>
        <v>201841C0100</v>
      </c>
      <c r="B5328" t="s">
        <v>10768</v>
      </c>
      <c r="C5328">
        <v>20</v>
      </c>
      <c r="D5328" t="s">
        <v>79</v>
      </c>
      <c r="E5328">
        <v>25</v>
      </c>
      <c r="F5328" t="s">
        <v>10558</v>
      </c>
      <c r="G5328">
        <v>1841</v>
      </c>
      <c r="H5328">
        <v>1</v>
      </c>
      <c r="I5328" t="s">
        <v>89</v>
      </c>
      <c r="J5328">
        <v>0</v>
      </c>
      <c r="K5328">
        <v>2</v>
      </c>
      <c r="L5328">
        <v>2</v>
      </c>
      <c r="M5328">
        <v>282</v>
      </c>
      <c r="N5328">
        <v>455</v>
      </c>
      <c r="O5328">
        <v>4</v>
      </c>
      <c r="P5328">
        <v>450</v>
      </c>
      <c r="Q5328">
        <v>11</v>
      </c>
      <c r="R5328">
        <v>80</v>
      </c>
      <c r="S5328">
        <v>10</v>
      </c>
      <c r="T5328">
        <v>10</v>
      </c>
      <c r="U5328">
        <v>7</v>
      </c>
      <c r="V5328">
        <v>64</v>
      </c>
      <c r="W5328">
        <v>11</v>
      </c>
      <c r="X5328">
        <v>48</v>
      </c>
      <c r="Y5328">
        <v>153</v>
      </c>
      <c r="Z5328">
        <v>10</v>
      </c>
      <c r="AA5328">
        <v>4</v>
      </c>
      <c r="AB5328">
        <v>5</v>
      </c>
      <c r="AC5328">
        <v>1</v>
      </c>
      <c r="AD5328">
        <v>0</v>
      </c>
      <c r="AE5328">
        <v>1</v>
      </c>
      <c r="AF5328">
        <v>0</v>
      </c>
      <c r="AG5328">
        <v>8</v>
      </c>
      <c r="AH5328">
        <v>4</v>
      </c>
      <c r="AI5328">
        <v>5</v>
      </c>
      <c r="AJ5328">
        <v>0</v>
      </c>
      <c r="AK5328">
        <v>1</v>
      </c>
      <c r="AL5328">
        <v>0</v>
      </c>
      <c r="AM5328">
        <v>0</v>
      </c>
      <c r="AN5328">
        <v>0</v>
      </c>
      <c r="AT5328" t="s">
        <v>100</v>
      </c>
      <c r="AU5328">
        <v>17</v>
      </c>
      <c r="AV5328">
        <v>450</v>
      </c>
      <c r="AW5328">
        <v>450</v>
      </c>
      <c r="AX5328">
        <v>715</v>
      </c>
      <c r="AZ5328" t="s">
        <v>101</v>
      </c>
      <c r="BA5328">
        <v>1</v>
      </c>
      <c r="BC5328" t="s">
        <v>10769</v>
      </c>
      <c r="BD5328" s="4">
        <v>43283.421527777777</v>
      </c>
      <c r="BE5328" s="4">
        <v>43283.432650462964</v>
      </c>
      <c r="BF5328" s="4">
        <v>43283.432650462964</v>
      </c>
      <c r="BG5328" t="s">
        <v>83</v>
      </c>
      <c r="BH5328" t="s">
        <v>84</v>
      </c>
      <c r="BI5328" t="s">
        <v>85</v>
      </c>
    </row>
    <row r="5329" spans="1:61" x14ac:dyDescent="0.3">
      <c r="A5329" t="str">
        <f>"201841C0200"</f>
        <v>201841C0200</v>
      </c>
      <c r="B5329" t="s">
        <v>10770</v>
      </c>
      <c r="C5329">
        <v>20</v>
      </c>
      <c r="D5329" t="s">
        <v>79</v>
      </c>
      <c r="E5329">
        <v>25</v>
      </c>
      <c r="F5329" t="s">
        <v>10558</v>
      </c>
      <c r="G5329">
        <v>1841</v>
      </c>
      <c r="H5329">
        <v>2</v>
      </c>
      <c r="I5329" t="s">
        <v>89</v>
      </c>
      <c r="J5329">
        <v>0</v>
      </c>
      <c r="K5329">
        <v>2</v>
      </c>
      <c r="L5329">
        <v>2</v>
      </c>
      <c r="M5329">
        <v>257</v>
      </c>
      <c r="N5329">
        <v>477</v>
      </c>
      <c r="O5329">
        <v>3</v>
      </c>
      <c r="P5329">
        <v>474</v>
      </c>
      <c r="Q5329">
        <v>13</v>
      </c>
      <c r="R5329">
        <v>80</v>
      </c>
      <c r="S5329">
        <v>7</v>
      </c>
      <c r="T5329">
        <v>8</v>
      </c>
      <c r="U5329">
        <v>5</v>
      </c>
      <c r="V5329">
        <v>62</v>
      </c>
      <c r="W5329">
        <v>5</v>
      </c>
      <c r="X5329">
        <v>58</v>
      </c>
      <c r="Y5329">
        <v>167</v>
      </c>
      <c r="Z5329">
        <v>13</v>
      </c>
      <c r="AA5329">
        <v>1</v>
      </c>
      <c r="AB5329">
        <v>1</v>
      </c>
      <c r="AC5329">
        <v>3</v>
      </c>
      <c r="AD5329">
        <v>1</v>
      </c>
      <c r="AE5329">
        <v>0</v>
      </c>
      <c r="AF5329">
        <v>1</v>
      </c>
      <c r="AG5329">
        <v>7</v>
      </c>
      <c r="AH5329">
        <v>1</v>
      </c>
      <c r="AI5329">
        <v>2</v>
      </c>
      <c r="AJ5329">
        <v>0</v>
      </c>
      <c r="AK5329">
        <v>1</v>
      </c>
      <c r="AL5329">
        <v>1</v>
      </c>
      <c r="AM5329">
        <v>0</v>
      </c>
      <c r="AN5329">
        <v>0</v>
      </c>
      <c r="AT5329">
        <v>0</v>
      </c>
      <c r="AU5329">
        <v>37</v>
      </c>
      <c r="AV5329">
        <v>474</v>
      </c>
      <c r="AW5329">
        <v>474</v>
      </c>
      <c r="AX5329">
        <v>714</v>
      </c>
      <c r="BA5329">
        <v>1</v>
      </c>
      <c r="BC5329" t="s">
        <v>10771</v>
      </c>
      <c r="BD5329" s="4">
        <v>43283.423611111109</v>
      </c>
      <c r="BE5329" s="4">
        <v>43283.438078703701</v>
      </c>
      <c r="BF5329" s="4">
        <v>43283.438078703701</v>
      </c>
      <c r="BG5329" t="s">
        <v>83</v>
      </c>
      <c r="BH5329" t="s">
        <v>84</v>
      </c>
      <c r="BI5329" t="s">
        <v>85</v>
      </c>
    </row>
    <row r="5330" spans="1:61" x14ac:dyDescent="0.3">
      <c r="A5330" t="str">
        <f>"201841C0300"</f>
        <v>201841C0300</v>
      </c>
      <c r="B5330" t="s">
        <v>10772</v>
      </c>
      <c r="C5330">
        <v>20</v>
      </c>
      <c r="D5330" t="s">
        <v>79</v>
      </c>
      <c r="E5330">
        <v>25</v>
      </c>
      <c r="F5330" t="s">
        <v>10558</v>
      </c>
      <c r="G5330">
        <v>1841</v>
      </c>
      <c r="H5330">
        <v>3</v>
      </c>
      <c r="I5330" t="s">
        <v>89</v>
      </c>
      <c r="J5330">
        <v>0</v>
      </c>
      <c r="K5330">
        <v>2</v>
      </c>
      <c r="L5330">
        <v>2</v>
      </c>
      <c r="M5330">
        <v>246</v>
      </c>
      <c r="N5330">
        <v>489</v>
      </c>
      <c r="O5330">
        <v>8</v>
      </c>
      <c r="P5330">
        <v>500</v>
      </c>
      <c r="Q5330">
        <v>11</v>
      </c>
      <c r="R5330">
        <v>89</v>
      </c>
      <c r="S5330">
        <v>2</v>
      </c>
      <c r="T5330">
        <v>17</v>
      </c>
      <c r="U5330">
        <v>1</v>
      </c>
      <c r="V5330">
        <v>63</v>
      </c>
      <c r="W5330">
        <v>26</v>
      </c>
      <c r="X5330">
        <v>47</v>
      </c>
      <c r="Y5330">
        <v>169</v>
      </c>
      <c r="Z5330">
        <v>10</v>
      </c>
      <c r="AA5330">
        <v>5</v>
      </c>
      <c r="AB5330" t="s">
        <v>100</v>
      </c>
      <c r="AC5330">
        <v>2</v>
      </c>
      <c r="AD5330" t="s">
        <v>100</v>
      </c>
      <c r="AE5330">
        <v>1</v>
      </c>
      <c r="AF5330" t="s">
        <v>100</v>
      </c>
      <c r="AG5330">
        <v>6</v>
      </c>
      <c r="AH5330" t="s">
        <v>100</v>
      </c>
      <c r="AI5330">
        <v>3</v>
      </c>
      <c r="AJ5330" t="s">
        <v>100</v>
      </c>
      <c r="AK5330">
        <v>2</v>
      </c>
      <c r="AL5330" t="s">
        <v>100</v>
      </c>
      <c r="AM5330">
        <v>11</v>
      </c>
      <c r="AN5330">
        <v>1</v>
      </c>
      <c r="AT5330">
        <v>6</v>
      </c>
      <c r="AU5330">
        <v>28</v>
      </c>
      <c r="AV5330">
        <v>500</v>
      </c>
      <c r="AW5330">
        <v>500</v>
      </c>
      <c r="AX5330">
        <v>714</v>
      </c>
      <c r="AZ5330" t="s">
        <v>101</v>
      </c>
      <c r="BA5330">
        <v>1</v>
      </c>
      <c r="BC5330" t="s">
        <v>10773</v>
      </c>
      <c r="BD5330" s="4">
        <v>43283.421527777777</v>
      </c>
      <c r="BE5330" s="4">
        <v>43283.432303240741</v>
      </c>
      <c r="BF5330" s="4">
        <v>43283.432303240741</v>
      </c>
      <c r="BG5330" t="s">
        <v>83</v>
      </c>
      <c r="BH5330" t="s">
        <v>84</v>
      </c>
      <c r="BI5330" t="s">
        <v>85</v>
      </c>
    </row>
    <row r="5331" spans="1:61" x14ac:dyDescent="0.3">
      <c r="A5331" t="str">
        <f>"201842B0100"</f>
        <v>201842B0100</v>
      </c>
      <c r="B5331" t="s">
        <v>10774</v>
      </c>
      <c r="C5331">
        <v>20</v>
      </c>
      <c r="D5331" t="s">
        <v>79</v>
      </c>
      <c r="E5331">
        <v>25</v>
      </c>
      <c r="F5331" t="s">
        <v>10558</v>
      </c>
      <c r="G5331">
        <v>1842</v>
      </c>
      <c r="H5331">
        <v>1</v>
      </c>
      <c r="I5331" t="s">
        <v>81</v>
      </c>
      <c r="J5331">
        <v>0</v>
      </c>
      <c r="K5331">
        <v>2</v>
      </c>
      <c r="L5331">
        <v>2</v>
      </c>
      <c r="M5331">
        <v>245</v>
      </c>
      <c r="N5331" t="s">
        <v>315</v>
      </c>
      <c r="O5331">
        <v>3</v>
      </c>
      <c r="P5331">
        <v>421</v>
      </c>
      <c r="Q5331">
        <v>8</v>
      </c>
      <c r="R5331">
        <v>94</v>
      </c>
      <c r="S5331">
        <v>7</v>
      </c>
      <c r="T5331">
        <v>7</v>
      </c>
      <c r="U5331">
        <v>10</v>
      </c>
      <c r="V5331">
        <v>38</v>
      </c>
      <c r="W5331">
        <v>2</v>
      </c>
      <c r="X5331">
        <v>48</v>
      </c>
      <c r="Y5331">
        <v>165</v>
      </c>
      <c r="Z5331">
        <v>7</v>
      </c>
      <c r="AA5331">
        <v>5</v>
      </c>
      <c r="AB5331">
        <v>4</v>
      </c>
      <c r="AC5331">
        <v>2</v>
      </c>
      <c r="AD5331">
        <v>0</v>
      </c>
      <c r="AE5331">
        <v>0</v>
      </c>
      <c r="AF5331">
        <v>0</v>
      </c>
      <c r="AG5331">
        <v>2</v>
      </c>
      <c r="AH5331">
        <v>1</v>
      </c>
      <c r="AI5331">
        <v>2</v>
      </c>
      <c r="AJ5331">
        <v>0</v>
      </c>
      <c r="AK5331">
        <v>2</v>
      </c>
      <c r="AL5331">
        <v>2</v>
      </c>
      <c r="AM5331">
        <v>0</v>
      </c>
      <c r="AN5331">
        <v>1</v>
      </c>
      <c r="AT5331">
        <v>0</v>
      </c>
      <c r="AU5331">
        <v>18</v>
      </c>
      <c r="AV5331">
        <v>424</v>
      </c>
      <c r="AW5331">
        <v>425</v>
      </c>
      <c r="AX5331">
        <v>659</v>
      </c>
      <c r="BA5331">
        <v>1</v>
      </c>
      <c r="BC5331" t="s">
        <v>10775</v>
      </c>
      <c r="BD5331" s="4">
        <v>43283.195138888892</v>
      </c>
      <c r="BE5331" s="4">
        <v>43283.212627314817</v>
      </c>
      <c r="BF5331" s="4">
        <v>43283.212627314817</v>
      </c>
      <c r="BG5331" t="s">
        <v>83</v>
      </c>
      <c r="BH5331" t="s">
        <v>84</v>
      </c>
      <c r="BI5331" t="s">
        <v>85</v>
      </c>
    </row>
    <row r="5332" spans="1:61" x14ac:dyDescent="0.3">
      <c r="A5332" t="str">
        <f>"201842C0100"</f>
        <v>201842C0100</v>
      </c>
      <c r="B5332" t="s">
        <v>10776</v>
      </c>
      <c r="C5332">
        <v>20</v>
      </c>
      <c r="D5332" t="s">
        <v>79</v>
      </c>
      <c r="E5332">
        <v>25</v>
      </c>
      <c r="F5332" t="s">
        <v>10558</v>
      </c>
      <c r="G5332">
        <v>1842</v>
      </c>
      <c r="H5332">
        <v>1</v>
      </c>
      <c r="I5332" t="s">
        <v>89</v>
      </c>
      <c r="J5332">
        <v>0</v>
      </c>
      <c r="K5332">
        <v>2</v>
      </c>
      <c r="L5332">
        <v>2</v>
      </c>
      <c r="M5332">
        <v>277</v>
      </c>
      <c r="N5332">
        <v>404</v>
      </c>
      <c r="O5332">
        <v>4</v>
      </c>
      <c r="P5332">
        <v>397</v>
      </c>
      <c r="Q5332">
        <v>17</v>
      </c>
      <c r="R5332">
        <v>61</v>
      </c>
      <c r="S5332">
        <v>3</v>
      </c>
      <c r="T5332">
        <v>5</v>
      </c>
      <c r="U5332">
        <v>7</v>
      </c>
      <c r="V5332">
        <v>40</v>
      </c>
      <c r="W5332">
        <v>5</v>
      </c>
      <c r="X5332">
        <v>51</v>
      </c>
      <c r="Y5332">
        <v>154</v>
      </c>
      <c r="Z5332">
        <v>6</v>
      </c>
      <c r="AA5332">
        <v>5</v>
      </c>
      <c r="AB5332">
        <v>4</v>
      </c>
      <c r="AC5332">
        <v>3</v>
      </c>
      <c r="AD5332">
        <v>0</v>
      </c>
      <c r="AE5332">
        <v>1</v>
      </c>
      <c r="AF5332">
        <v>0</v>
      </c>
      <c r="AG5332">
        <v>2</v>
      </c>
      <c r="AH5332">
        <v>2</v>
      </c>
      <c r="AI5332">
        <v>5</v>
      </c>
      <c r="AJ5332">
        <v>0</v>
      </c>
      <c r="AK5332">
        <v>1</v>
      </c>
      <c r="AL5332">
        <v>0</v>
      </c>
      <c r="AM5332">
        <v>0</v>
      </c>
      <c r="AN5332">
        <v>1</v>
      </c>
      <c r="AT5332">
        <v>0</v>
      </c>
      <c r="AU5332">
        <v>31</v>
      </c>
      <c r="AV5332">
        <v>404</v>
      </c>
      <c r="AW5332">
        <v>404</v>
      </c>
      <c r="AX5332">
        <v>659</v>
      </c>
      <c r="BA5332">
        <v>1</v>
      </c>
      <c r="BC5332" t="s">
        <v>10777</v>
      </c>
      <c r="BD5332" s="4">
        <v>43283.459027777775</v>
      </c>
      <c r="BE5332" s="4">
        <v>43283.470069444447</v>
      </c>
      <c r="BF5332" s="4">
        <v>43283.470069444447</v>
      </c>
      <c r="BG5332" t="s">
        <v>83</v>
      </c>
      <c r="BH5332" t="s">
        <v>84</v>
      </c>
      <c r="BI5332" t="s">
        <v>85</v>
      </c>
    </row>
    <row r="5333" spans="1:61" x14ac:dyDescent="0.3">
      <c r="A5333" t="str">
        <f>"201842C0200"</f>
        <v>201842C0200</v>
      </c>
      <c r="B5333" t="s">
        <v>10778</v>
      </c>
      <c r="C5333">
        <v>20</v>
      </c>
      <c r="D5333" t="s">
        <v>79</v>
      </c>
      <c r="E5333">
        <v>25</v>
      </c>
      <c r="F5333" t="s">
        <v>10558</v>
      </c>
      <c r="G5333">
        <v>1842</v>
      </c>
      <c r="H5333">
        <v>2</v>
      </c>
      <c r="I5333" t="s">
        <v>89</v>
      </c>
      <c r="J5333">
        <v>0</v>
      </c>
      <c r="K5333">
        <v>2</v>
      </c>
      <c r="L5333">
        <v>2</v>
      </c>
      <c r="M5333">
        <v>275</v>
      </c>
      <c r="N5333">
        <v>405</v>
      </c>
      <c r="O5333">
        <v>10</v>
      </c>
      <c r="P5333">
        <v>405</v>
      </c>
      <c r="Q5333">
        <v>2</v>
      </c>
      <c r="R5333">
        <v>60</v>
      </c>
      <c r="S5333">
        <v>6</v>
      </c>
      <c r="T5333">
        <v>17</v>
      </c>
      <c r="U5333">
        <v>9</v>
      </c>
      <c r="V5333">
        <v>49</v>
      </c>
      <c r="W5333">
        <v>4</v>
      </c>
      <c r="X5333">
        <v>54</v>
      </c>
      <c r="Y5333">
        <v>149</v>
      </c>
      <c r="Z5333">
        <v>4</v>
      </c>
      <c r="AA5333">
        <v>5</v>
      </c>
      <c r="AB5333">
        <v>8</v>
      </c>
      <c r="AC5333">
        <v>1</v>
      </c>
      <c r="AD5333">
        <v>0</v>
      </c>
      <c r="AE5333">
        <v>2</v>
      </c>
      <c r="AF5333">
        <v>2</v>
      </c>
      <c r="AG5333">
        <v>6</v>
      </c>
      <c r="AH5333">
        <v>1</v>
      </c>
      <c r="AI5333">
        <v>3</v>
      </c>
      <c r="AJ5333">
        <v>0</v>
      </c>
      <c r="AK5333">
        <v>3</v>
      </c>
      <c r="AL5333">
        <v>0</v>
      </c>
      <c r="AM5333">
        <v>0</v>
      </c>
      <c r="AN5333">
        <v>1</v>
      </c>
      <c r="AT5333">
        <v>0</v>
      </c>
      <c r="AU5333">
        <v>21</v>
      </c>
      <c r="AV5333">
        <v>407</v>
      </c>
      <c r="AW5333">
        <v>407</v>
      </c>
      <c r="AX5333">
        <v>659</v>
      </c>
      <c r="BA5333">
        <v>1</v>
      </c>
      <c r="BC5333" t="s">
        <v>10779</v>
      </c>
      <c r="BD5333" s="4">
        <v>43283.459722222222</v>
      </c>
      <c r="BE5333" s="4">
        <v>43283.469259259262</v>
      </c>
      <c r="BF5333" s="4">
        <v>43283.469259259262</v>
      </c>
      <c r="BG5333" t="s">
        <v>83</v>
      </c>
      <c r="BH5333" t="s">
        <v>84</v>
      </c>
      <c r="BI5333" t="s">
        <v>85</v>
      </c>
    </row>
    <row r="5334" spans="1:61" x14ac:dyDescent="0.3">
      <c r="A5334" t="str">
        <f>"201842C0300"</f>
        <v>201842C0300</v>
      </c>
      <c r="B5334" t="s">
        <v>10780</v>
      </c>
      <c r="C5334">
        <v>20</v>
      </c>
      <c r="D5334" t="s">
        <v>79</v>
      </c>
      <c r="E5334">
        <v>25</v>
      </c>
      <c r="F5334" t="s">
        <v>10558</v>
      </c>
      <c r="G5334">
        <v>1842</v>
      </c>
      <c r="H5334">
        <v>3</v>
      </c>
      <c r="I5334" t="s">
        <v>89</v>
      </c>
      <c r="J5334">
        <v>0</v>
      </c>
      <c r="K5334">
        <v>2</v>
      </c>
      <c r="L5334">
        <v>2</v>
      </c>
      <c r="M5334">
        <v>252</v>
      </c>
      <c r="N5334">
        <v>428</v>
      </c>
      <c r="O5334">
        <v>4</v>
      </c>
      <c r="P5334">
        <v>428</v>
      </c>
      <c r="Q5334">
        <v>10</v>
      </c>
      <c r="R5334">
        <v>84</v>
      </c>
      <c r="S5334">
        <v>4</v>
      </c>
      <c r="T5334">
        <v>6</v>
      </c>
      <c r="U5334">
        <v>4</v>
      </c>
      <c r="V5334">
        <v>65</v>
      </c>
      <c r="W5334">
        <v>7</v>
      </c>
      <c r="X5334">
        <v>45</v>
      </c>
      <c r="Y5334">
        <v>155</v>
      </c>
      <c r="Z5334">
        <v>6</v>
      </c>
      <c r="AA5334">
        <v>3</v>
      </c>
      <c r="AB5334">
        <v>2</v>
      </c>
      <c r="AC5334">
        <v>2</v>
      </c>
      <c r="AD5334">
        <v>0</v>
      </c>
      <c r="AE5334">
        <v>0</v>
      </c>
      <c r="AF5334">
        <v>1</v>
      </c>
      <c r="AG5334">
        <v>4</v>
      </c>
      <c r="AH5334">
        <v>2</v>
      </c>
      <c r="AI5334">
        <v>2</v>
      </c>
      <c r="AJ5334">
        <v>0</v>
      </c>
      <c r="AK5334">
        <v>1</v>
      </c>
      <c r="AL5334">
        <v>0</v>
      </c>
      <c r="AM5334">
        <v>0</v>
      </c>
      <c r="AN5334">
        <v>0</v>
      </c>
      <c r="AT5334" t="s">
        <v>100</v>
      </c>
      <c r="AU5334">
        <v>25</v>
      </c>
      <c r="AV5334">
        <v>428</v>
      </c>
      <c r="AW5334">
        <v>428</v>
      </c>
      <c r="AX5334">
        <v>658</v>
      </c>
      <c r="AZ5334" t="s">
        <v>101</v>
      </c>
      <c r="BA5334">
        <v>1</v>
      </c>
      <c r="BC5334" t="s">
        <v>10781</v>
      </c>
      <c r="BD5334" s="4">
        <v>43283.463888888888</v>
      </c>
      <c r="BE5334" s="4">
        <v>43283.469537037039</v>
      </c>
      <c r="BF5334" s="4">
        <v>43283.469537037039</v>
      </c>
      <c r="BG5334" t="s">
        <v>83</v>
      </c>
      <c r="BH5334" t="s">
        <v>84</v>
      </c>
      <c r="BI5334" t="s">
        <v>85</v>
      </c>
    </row>
    <row r="5335" spans="1:61" x14ac:dyDescent="0.3">
      <c r="A5335" t="str">
        <f>"201842C0400"</f>
        <v>201842C0400</v>
      </c>
      <c r="B5335" t="s">
        <v>10782</v>
      </c>
      <c r="C5335">
        <v>20</v>
      </c>
      <c r="D5335" t="s">
        <v>79</v>
      </c>
      <c r="E5335">
        <v>25</v>
      </c>
      <c r="F5335" t="s">
        <v>10558</v>
      </c>
      <c r="G5335">
        <v>1842</v>
      </c>
      <c r="H5335">
        <v>4</v>
      </c>
      <c r="I5335" t="s">
        <v>89</v>
      </c>
      <c r="J5335">
        <v>0</v>
      </c>
      <c r="K5335">
        <v>2</v>
      </c>
      <c r="L5335">
        <v>2</v>
      </c>
      <c r="M5335">
        <v>240</v>
      </c>
      <c r="N5335">
        <v>441</v>
      </c>
      <c r="O5335">
        <v>14</v>
      </c>
      <c r="P5335">
        <v>436</v>
      </c>
      <c r="Q5335">
        <v>14</v>
      </c>
      <c r="R5335">
        <v>83</v>
      </c>
      <c r="S5335">
        <v>10</v>
      </c>
      <c r="T5335">
        <v>9</v>
      </c>
      <c r="U5335">
        <v>13</v>
      </c>
      <c r="V5335">
        <v>59</v>
      </c>
      <c r="W5335">
        <v>8</v>
      </c>
      <c r="X5335">
        <v>36</v>
      </c>
      <c r="Y5335">
        <v>166</v>
      </c>
      <c r="Z5335">
        <v>5</v>
      </c>
      <c r="AA5335">
        <v>5</v>
      </c>
      <c r="AB5335">
        <v>1</v>
      </c>
      <c r="AC5335">
        <v>0</v>
      </c>
      <c r="AD5335">
        <v>0</v>
      </c>
      <c r="AE5335">
        <v>0</v>
      </c>
      <c r="AF5335">
        <v>0</v>
      </c>
      <c r="AG5335">
        <v>4</v>
      </c>
      <c r="AH5335">
        <v>0</v>
      </c>
      <c r="AI5335">
        <v>1</v>
      </c>
      <c r="AJ5335">
        <v>0</v>
      </c>
      <c r="AK5335">
        <v>0</v>
      </c>
      <c r="AL5335">
        <v>1</v>
      </c>
      <c r="AM5335">
        <v>0</v>
      </c>
      <c r="AN5335">
        <v>1</v>
      </c>
      <c r="AT5335">
        <v>0</v>
      </c>
      <c r="AU5335">
        <v>20</v>
      </c>
      <c r="AV5335">
        <v>436</v>
      </c>
      <c r="AW5335">
        <v>436</v>
      </c>
      <c r="AX5335">
        <v>658</v>
      </c>
      <c r="BA5335">
        <v>1</v>
      </c>
      <c r="BC5335" t="s">
        <v>10783</v>
      </c>
      <c r="BD5335" s="4">
        <v>43283.463194444441</v>
      </c>
      <c r="BE5335" s="4">
        <v>43283.470509259256</v>
      </c>
      <c r="BF5335" s="4">
        <v>43283.470509259256</v>
      </c>
      <c r="BG5335" t="s">
        <v>83</v>
      </c>
      <c r="BH5335" t="s">
        <v>84</v>
      </c>
      <c r="BI5335" t="s">
        <v>85</v>
      </c>
    </row>
    <row r="5336" spans="1:61" x14ac:dyDescent="0.3">
      <c r="A5336" t="str">
        <f>"201842E0100"</f>
        <v>201842E0100</v>
      </c>
      <c r="B5336" s="2" t="s">
        <v>10784</v>
      </c>
      <c r="C5336">
        <v>20</v>
      </c>
      <c r="D5336" t="s">
        <v>79</v>
      </c>
      <c r="E5336">
        <v>25</v>
      </c>
      <c r="F5336" t="s">
        <v>10558</v>
      </c>
      <c r="G5336">
        <v>1842</v>
      </c>
      <c r="H5336">
        <v>1</v>
      </c>
      <c r="I5336" t="s">
        <v>145</v>
      </c>
      <c r="J5336">
        <v>0</v>
      </c>
      <c r="K5336">
        <v>2</v>
      </c>
      <c r="L5336">
        <v>2</v>
      </c>
      <c r="M5336">
        <v>288</v>
      </c>
      <c r="N5336">
        <v>361</v>
      </c>
      <c r="O5336">
        <v>10</v>
      </c>
      <c r="P5336">
        <v>361</v>
      </c>
      <c r="Q5336">
        <v>9</v>
      </c>
      <c r="R5336">
        <v>45</v>
      </c>
      <c r="S5336">
        <v>6</v>
      </c>
      <c r="T5336">
        <v>8</v>
      </c>
      <c r="U5336">
        <v>8</v>
      </c>
      <c r="V5336">
        <v>58</v>
      </c>
      <c r="W5336">
        <v>7</v>
      </c>
      <c r="X5336">
        <v>47</v>
      </c>
      <c r="Y5336">
        <v>106</v>
      </c>
      <c r="Z5336">
        <v>6</v>
      </c>
      <c r="AA5336">
        <v>4</v>
      </c>
      <c r="AB5336">
        <v>4</v>
      </c>
      <c r="AC5336">
        <v>3</v>
      </c>
      <c r="AD5336">
        <v>0</v>
      </c>
      <c r="AE5336">
        <v>1</v>
      </c>
      <c r="AF5336">
        <v>1</v>
      </c>
      <c r="AG5336">
        <v>7</v>
      </c>
      <c r="AH5336">
        <v>1</v>
      </c>
      <c r="AI5336">
        <v>4</v>
      </c>
      <c r="AJ5336">
        <v>0</v>
      </c>
      <c r="AK5336">
        <v>7</v>
      </c>
      <c r="AL5336">
        <v>0</v>
      </c>
      <c r="AM5336">
        <v>0</v>
      </c>
      <c r="AN5336">
        <v>0</v>
      </c>
      <c r="AT5336">
        <v>0</v>
      </c>
      <c r="AU5336">
        <v>29</v>
      </c>
      <c r="AV5336" t="s">
        <v>100</v>
      </c>
      <c r="AW5336">
        <v>361</v>
      </c>
      <c r="AX5336">
        <v>627</v>
      </c>
      <c r="BA5336">
        <v>1</v>
      </c>
      <c r="BC5336" t="s">
        <v>10785</v>
      </c>
      <c r="BD5336" s="4">
        <v>43283.195833333331</v>
      </c>
      <c r="BE5336" s="4">
        <v>43283.212627314817</v>
      </c>
      <c r="BF5336" s="4">
        <v>43283.212627314817</v>
      </c>
      <c r="BG5336" t="s">
        <v>83</v>
      </c>
      <c r="BH5336" t="s">
        <v>84</v>
      </c>
      <c r="BI5336" t="s">
        <v>85</v>
      </c>
    </row>
    <row r="5337" spans="1:61" x14ac:dyDescent="0.3">
      <c r="A5337" t="str">
        <f>"201842E0200"</f>
        <v>201842E0200</v>
      </c>
      <c r="B5337" s="2" t="s">
        <v>10786</v>
      </c>
      <c r="C5337">
        <v>20</v>
      </c>
      <c r="D5337" t="s">
        <v>79</v>
      </c>
      <c r="E5337">
        <v>25</v>
      </c>
      <c r="F5337" t="s">
        <v>10558</v>
      </c>
      <c r="G5337">
        <v>1842</v>
      </c>
      <c r="H5337">
        <v>2</v>
      </c>
      <c r="I5337" t="s">
        <v>145</v>
      </c>
      <c r="J5337">
        <v>0</v>
      </c>
      <c r="K5337">
        <v>2</v>
      </c>
      <c r="L5337">
        <v>2</v>
      </c>
      <c r="M5337">
        <v>236</v>
      </c>
      <c r="N5337">
        <v>394</v>
      </c>
      <c r="O5337">
        <v>11</v>
      </c>
      <c r="P5337">
        <v>393</v>
      </c>
      <c r="Q5337">
        <v>4</v>
      </c>
      <c r="R5337">
        <v>88</v>
      </c>
      <c r="S5337">
        <v>6</v>
      </c>
      <c r="T5337">
        <v>7</v>
      </c>
      <c r="U5337">
        <v>5</v>
      </c>
      <c r="V5337">
        <v>56</v>
      </c>
      <c r="W5337">
        <v>4</v>
      </c>
      <c r="X5337">
        <v>66</v>
      </c>
      <c r="Y5337">
        <v>101</v>
      </c>
      <c r="Z5337">
        <v>5</v>
      </c>
      <c r="AA5337">
        <v>2</v>
      </c>
      <c r="AB5337">
        <v>1</v>
      </c>
      <c r="AC5337">
        <v>3</v>
      </c>
      <c r="AD5337">
        <v>0</v>
      </c>
      <c r="AE5337">
        <v>1</v>
      </c>
      <c r="AF5337">
        <v>2</v>
      </c>
      <c r="AG5337">
        <v>7</v>
      </c>
      <c r="AH5337">
        <v>0</v>
      </c>
      <c r="AI5337">
        <v>3</v>
      </c>
      <c r="AJ5337">
        <v>4</v>
      </c>
      <c r="AK5337">
        <v>1</v>
      </c>
      <c r="AL5337">
        <v>0</v>
      </c>
      <c r="AM5337">
        <v>0</v>
      </c>
      <c r="AN5337">
        <v>2</v>
      </c>
      <c r="AT5337">
        <v>0</v>
      </c>
      <c r="AU5337">
        <v>26</v>
      </c>
      <c r="AV5337" t="s">
        <v>100</v>
      </c>
      <c r="AW5337">
        <v>394</v>
      </c>
      <c r="AX5337">
        <v>608</v>
      </c>
      <c r="BA5337">
        <v>1</v>
      </c>
      <c r="BC5337" t="s">
        <v>10787</v>
      </c>
      <c r="BD5337" s="4">
        <v>43283.464583333334</v>
      </c>
      <c r="BE5337" s="4">
        <v>43283.471087962964</v>
      </c>
      <c r="BF5337" s="4">
        <v>43283.471087962964</v>
      </c>
      <c r="BG5337" t="s">
        <v>83</v>
      </c>
      <c r="BH5337" t="s">
        <v>84</v>
      </c>
      <c r="BI5337" t="s">
        <v>85</v>
      </c>
    </row>
    <row r="5338" spans="1:61" x14ac:dyDescent="0.3">
      <c r="A5338" t="str">
        <f>"201842E0201"</f>
        <v>201842E0201</v>
      </c>
      <c r="B5338" s="2" t="s">
        <v>10788</v>
      </c>
      <c r="C5338">
        <v>20</v>
      </c>
      <c r="D5338" t="s">
        <v>79</v>
      </c>
      <c r="E5338">
        <v>25</v>
      </c>
      <c r="F5338" t="s">
        <v>10558</v>
      </c>
      <c r="G5338">
        <v>1842</v>
      </c>
      <c r="H5338">
        <v>2</v>
      </c>
      <c r="I5338" t="s">
        <v>145</v>
      </c>
      <c r="J5338">
        <v>1</v>
      </c>
      <c r="K5338">
        <v>2</v>
      </c>
      <c r="L5338">
        <v>2</v>
      </c>
      <c r="M5338">
        <v>227</v>
      </c>
      <c r="N5338">
        <v>402</v>
      </c>
      <c r="O5338">
        <v>11</v>
      </c>
      <c r="P5338">
        <v>402</v>
      </c>
      <c r="Q5338">
        <v>7</v>
      </c>
      <c r="R5338">
        <v>73</v>
      </c>
      <c r="S5338">
        <v>3</v>
      </c>
      <c r="T5338">
        <v>12</v>
      </c>
      <c r="U5338">
        <v>11</v>
      </c>
      <c r="V5338">
        <v>66</v>
      </c>
      <c r="W5338">
        <v>7</v>
      </c>
      <c r="X5338">
        <v>50</v>
      </c>
      <c r="Y5338">
        <v>113</v>
      </c>
      <c r="Z5338">
        <v>4</v>
      </c>
      <c r="AA5338">
        <v>8</v>
      </c>
      <c r="AB5338">
        <v>4</v>
      </c>
      <c r="AC5338">
        <v>2</v>
      </c>
      <c r="AD5338">
        <v>0</v>
      </c>
      <c r="AE5338">
        <v>0</v>
      </c>
      <c r="AF5338">
        <v>0</v>
      </c>
      <c r="AG5338">
        <v>7</v>
      </c>
      <c r="AH5338">
        <v>0</v>
      </c>
      <c r="AI5338">
        <v>2</v>
      </c>
      <c r="AJ5338">
        <v>0</v>
      </c>
      <c r="AK5338">
        <v>2</v>
      </c>
      <c r="AL5338">
        <v>0</v>
      </c>
      <c r="AM5338">
        <v>0</v>
      </c>
      <c r="AN5338">
        <v>1</v>
      </c>
      <c r="AT5338">
        <v>0</v>
      </c>
      <c r="AU5338">
        <v>30</v>
      </c>
      <c r="AV5338">
        <v>402</v>
      </c>
      <c r="AW5338">
        <v>402</v>
      </c>
      <c r="AX5338">
        <v>607</v>
      </c>
      <c r="BA5338">
        <v>1</v>
      </c>
      <c r="BC5338" t="s">
        <v>10789</v>
      </c>
      <c r="BD5338" s="4">
        <v>43283.46597222222</v>
      </c>
      <c r="BE5338" s="4">
        <v>43283.474803240744</v>
      </c>
      <c r="BF5338" s="4">
        <v>43283.474803240744</v>
      </c>
      <c r="BG5338" t="s">
        <v>83</v>
      </c>
      <c r="BH5338" t="s">
        <v>84</v>
      </c>
      <c r="BI5338" t="s">
        <v>85</v>
      </c>
    </row>
    <row r="5339" spans="1:61" x14ac:dyDescent="0.3">
      <c r="A5339" t="str">
        <f>"201843B0100"</f>
        <v>201843B0100</v>
      </c>
      <c r="B5339" t="s">
        <v>10790</v>
      </c>
      <c r="C5339">
        <v>20</v>
      </c>
      <c r="D5339" t="s">
        <v>79</v>
      </c>
      <c r="E5339">
        <v>25</v>
      </c>
      <c r="F5339" t="s">
        <v>10558</v>
      </c>
      <c r="G5339">
        <v>1843</v>
      </c>
      <c r="H5339">
        <v>1</v>
      </c>
      <c r="I5339" t="s">
        <v>81</v>
      </c>
      <c r="J5339">
        <v>0</v>
      </c>
      <c r="K5339">
        <v>2</v>
      </c>
      <c r="L5339">
        <v>2</v>
      </c>
      <c r="M5339" t="s">
        <v>315</v>
      </c>
      <c r="N5339" t="s">
        <v>315</v>
      </c>
      <c r="O5339" t="s">
        <v>315</v>
      </c>
      <c r="P5339" t="s">
        <v>315</v>
      </c>
      <c r="Q5339" t="s">
        <v>315</v>
      </c>
      <c r="R5339" t="s">
        <v>315</v>
      </c>
      <c r="S5339" t="s">
        <v>315</v>
      </c>
      <c r="T5339" t="s">
        <v>315</v>
      </c>
      <c r="U5339" t="s">
        <v>315</v>
      </c>
      <c r="V5339" t="s">
        <v>315</v>
      </c>
      <c r="W5339" t="s">
        <v>315</v>
      </c>
      <c r="X5339" t="s">
        <v>315</v>
      </c>
      <c r="Y5339" t="s">
        <v>315</v>
      </c>
      <c r="Z5339" t="s">
        <v>315</v>
      </c>
      <c r="AA5339" t="s">
        <v>315</v>
      </c>
      <c r="AB5339" t="s">
        <v>315</v>
      </c>
      <c r="AC5339" t="s">
        <v>315</v>
      </c>
      <c r="AD5339" t="s">
        <v>315</v>
      </c>
      <c r="AE5339" t="s">
        <v>315</v>
      </c>
      <c r="AF5339" t="s">
        <v>315</v>
      </c>
      <c r="AG5339" t="s">
        <v>315</v>
      </c>
      <c r="AH5339" t="s">
        <v>315</v>
      </c>
      <c r="AI5339" t="s">
        <v>315</v>
      </c>
      <c r="AJ5339" t="s">
        <v>315</v>
      </c>
      <c r="AK5339" t="s">
        <v>315</v>
      </c>
      <c r="AL5339" t="s">
        <v>315</v>
      </c>
      <c r="AM5339" t="s">
        <v>315</v>
      </c>
      <c r="AN5339" t="s">
        <v>315</v>
      </c>
      <c r="AT5339" t="s">
        <v>315</v>
      </c>
      <c r="AU5339" t="s">
        <v>315</v>
      </c>
      <c r="AX5339">
        <v>271</v>
      </c>
      <c r="AZ5339" t="s">
        <v>794</v>
      </c>
      <c r="BA5339">
        <v>0</v>
      </c>
      <c r="BC5339" t="s">
        <v>10791</v>
      </c>
      <c r="BD5339" s="4">
        <v>43283.198611111111</v>
      </c>
      <c r="BE5339" s="4">
        <v>43283.226956018516</v>
      </c>
      <c r="BF5339" s="4">
        <v>43283.226956018516</v>
      </c>
      <c r="BG5339" t="s">
        <v>83</v>
      </c>
      <c r="BH5339" t="s">
        <v>84</v>
      </c>
      <c r="BI5339" t="s">
        <v>85</v>
      </c>
    </row>
    <row r="5340" spans="1:61" x14ac:dyDescent="0.3">
      <c r="A5340" t="str">
        <f>"201844B0100"</f>
        <v>201844B0100</v>
      </c>
      <c r="B5340" t="s">
        <v>10792</v>
      </c>
      <c r="C5340">
        <v>20</v>
      </c>
      <c r="D5340" t="s">
        <v>79</v>
      </c>
      <c r="E5340">
        <v>25</v>
      </c>
      <c r="F5340" t="s">
        <v>10558</v>
      </c>
      <c r="G5340">
        <v>1844</v>
      </c>
      <c r="H5340">
        <v>1</v>
      </c>
      <c r="I5340" t="s">
        <v>81</v>
      </c>
      <c r="J5340">
        <v>0</v>
      </c>
      <c r="K5340">
        <v>2</v>
      </c>
      <c r="L5340">
        <v>2</v>
      </c>
      <c r="M5340">
        <v>198</v>
      </c>
      <c r="N5340">
        <v>504</v>
      </c>
      <c r="O5340">
        <v>13</v>
      </c>
      <c r="P5340">
        <v>504</v>
      </c>
      <c r="Q5340">
        <v>39</v>
      </c>
      <c r="R5340">
        <v>132</v>
      </c>
      <c r="S5340">
        <v>3</v>
      </c>
      <c r="T5340">
        <v>12</v>
      </c>
      <c r="U5340">
        <v>4</v>
      </c>
      <c r="V5340">
        <v>80</v>
      </c>
      <c r="W5340">
        <v>3</v>
      </c>
      <c r="X5340">
        <v>102</v>
      </c>
      <c r="Y5340">
        <v>89</v>
      </c>
      <c r="Z5340">
        <v>6</v>
      </c>
      <c r="AA5340">
        <v>4</v>
      </c>
      <c r="AB5340">
        <v>0</v>
      </c>
      <c r="AC5340">
        <v>1</v>
      </c>
      <c r="AD5340">
        <v>1</v>
      </c>
      <c r="AE5340">
        <v>2</v>
      </c>
      <c r="AF5340">
        <v>3</v>
      </c>
      <c r="AG5340">
        <v>4</v>
      </c>
      <c r="AH5340">
        <v>0</v>
      </c>
      <c r="AI5340">
        <v>4</v>
      </c>
      <c r="AJ5340">
        <v>0</v>
      </c>
      <c r="AK5340">
        <v>1</v>
      </c>
      <c r="AL5340">
        <v>1</v>
      </c>
      <c r="AM5340">
        <v>0</v>
      </c>
      <c r="AN5340">
        <v>0</v>
      </c>
      <c r="AT5340">
        <v>0</v>
      </c>
      <c r="AU5340">
        <v>26</v>
      </c>
      <c r="AV5340">
        <v>517</v>
      </c>
      <c r="AW5340">
        <v>517</v>
      </c>
      <c r="AX5340">
        <v>691</v>
      </c>
      <c r="BA5340">
        <v>1</v>
      </c>
      <c r="BC5340" t="s">
        <v>10793</v>
      </c>
      <c r="BD5340" s="4">
        <v>43283.414583333331</v>
      </c>
      <c r="BE5340" s="4">
        <v>43283.433055555557</v>
      </c>
      <c r="BF5340" s="4">
        <v>43283.433055555557</v>
      </c>
      <c r="BG5340" t="s">
        <v>83</v>
      </c>
      <c r="BH5340" t="s">
        <v>84</v>
      </c>
      <c r="BI5340" t="s">
        <v>85</v>
      </c>
    </row>
    <row r="5341" spans="1:61" x14ac:dyDescent="0.3">
      <c r="A5341" t="str">
        <f>"201844E0100"</f>
        <v>201844E0100</v>
      </c>
      <c r="B5341" s="2" t="s">
        <v>10794</v>
      </c>
      <c r="C5341">
        <v>20</v>
      </c>
      <c r="D5341" t="s">
        <v>79</v>
      </c>
      <c r="E5341">
        <v>25</v>
      </c>
      <c r="F5341" t="s">
        <v>10558</v>
      </c>
      <c r="G5341">
        <v>1844</v>
      </c>
      <c r="H5341">
        <v>1</v>
      </c>
      <c r="I5341" t="s">
        <v>145</v>
      </c>
      <c r="J5341">
        <v>0</v>
      </c>
      <c r="K5341">
        <v>2</v>
      </c>
      <c r="L5341">
        <v>2</v>
      </c>
      <c r="M5341">
        <v>132</v>
      </c>
      <c r="N5341">
        <v>358</v>
      </c>
      <c r="O5341">
        <v>7</v>
      </c>
      <c r="P5341">
        <v>358</v>
      </c>
      <c r="Q5341">
        <v>11</v>
      </c>
      <c r="R5341">
        <v>47</v>
      </c>
      <c r="S5341">
        <v>2</v>
      </c>
      <c r="T5341">
        <v>17</v>
      </c>
      <c r="U5341">
        <v>9</v>
      </c>
      <c r="V5341">
        <v>73</v>
      </c>
      <c r="W5341">
        <v>2</v>
      </c>
      <c r="X5341">
        <v>63</v>
      </c>
      <c r="Y5341">
        <v>61</v>
      </c>
      <c r="Z5341">
        <v>6</v>
      </c>
      <c r="AA5341">
        <v>7</v>
      </c>
      <c r="AB5341">
        <v>0</v>
      </c>
      <c r="AC5341">
        <v>0</v>
      </c>
      <c r="AD5341">
        <v>0</v>
      </c>
      <c r="AE5341">
        <v>0</v>
      </c>
      <c r="AF5341">
        <v>2</v>
      </c>
      <c r="AG5341">
        <v>18</v>
      </c>
      <c r="AH5341">
        <v>1</v>
      </c>
      <c r="AI5341">
        <v>2</v>
      </c>
      <c r="AJ5341">
        <v>1</v>
      </c>
      <c r="AK5341">
        <v>0</v>
      </c>
      <c r="AL5341">
        <v>1</v>
      </c>
      <c r="AM5341">
        <v>0</v>
      </c>
      <c r="AN5341">
        <v>0</v>
      </c>
      <c r="AT5341">
        <v>0</v>
      </c>
      <c r="AU5341">
        <v>28</v>
      </c>
      <c r="AV5341">
        <v>351</v>
      </c>
      <c r="AW5341">
        <v>351</v>
      </c>
      <c r="AX5341">
        <v>461</v>
      </c>
      <c r="BA5341">
        <v>1</v>
      </c>
      <c r="BC5341" t="s">
        <v>10795</v>
      </c>
      <c r="BD5341" s="4">
        <v>43283.467361111114</v>
      </c>
      <c r="BE5341" s="4">
        <v>43283.474050925928</v>
      </c>
      <c r="BF5341" s="4">
        <v>43283.474050925928</v>
      </c>
      <c r="BG5341" t="s">
        <v>83</v>
      </c>
      <c r="BH5341" t="s">
        <v>84</v>
      </c>
      <c r="BI5341" t="s">
        <v>85</v>
      </c>
    </row>
    <row r="5342" spans="1:61" x14ac:dyDescent="0.3">
      <c r="A5342" t="str">
        <f>"201844E0200"</f>
        <v>201844E0200</v>
      </c>
      <c r="B5342" s="2" t="s">
        <v>10796</v>
      </c>
      <c r="C5342">
        <v>20</v>
      </c>
      <c r="D5342" t="s">
        <v>79</v>
      </c>
      <c r="E5342">
        <v>25</v>
      </c>
      <c r="F5342" t="s">
        <v>10558</v>
      </c>
      <c r="G5342">
        <v>1844</v>
      </c>
      <c r="H5342">
        <v>2</v>
      </c>
      <c r="I5342" t="s">
        <v>145</v>
      </c>
      <c r="J5342">
        <v>0</v>
      </c>
      <c r="K5342">
        <v>2</v>
      </c>
      <c r="L5342">
        <v>2</v>
      </c>
      <c r="M5342">
        <v>116</v>
      </c>
      <c r="N5342">
        <v>353</v>
      </c>
      <c r="O5342">
        <v>20</v>
      </c>
      <c r="P5342">
        <v>353</v>
      </c>
      <c r="Q5342">
        <v>8</v>
      </c>
      <c r="R5342">
        <v>58</v>
      </c>
      <c r="S5342">
        <v>4</v>
      </c>
      <c r="T5342">
        <v>9</v>
      </c>
      <c r="U5342">
        <v>11</v>
      </c>
      <c r="V5342">
        <v>54</v>
      </c>
      <c r="W5342">
        <v>2</v>
      </c>
      <c r="X5342">
        <v>39</v>
      </c>
      <c r="Y5342">
        <v>110</v>
      </c>
      <c r="Z5342">
        <v>4</v>
      </c>
      <c r="AA5342">
        <v>11</v>
      </c>
      <c r="AB5342">
        <v>1</v>
      </c>
      <c r="AC5342">
        <v>1</v>
      </c>
      <c r="AD5342">
        <v>0</v>
      </c>
      <c r="AE5342">
        <v>0</v>
      </c>
      <c r="AF5342">
        <v>1</v>
      </c>
      <c r="AG5342">
        <v>0</v>
      </c>
      <c r="AH5342">
        <v>3</v>
      </c>
      <c r="AI5342">
        <v>4</v>
      </c>
      <c r="AJ5342">
        <v>0</v>
      </c>
      <c r="AK5342">
        <v>3</v>
      </c>
      <c r="AL5342">
        <v>5</v>
      </c>
      <c r="AM5342">
        <v>0</v>
      </c>
      <c r="AN5342">
        <v>0</v>
      </c>
      <c r="AT5342">
        <v>0</v>
      </c>
      <c r="AU5342">
        <v>25</v>
      </c>
      <c r="AV5342">
        <v>353</v>
      </c>
      <c r="AW5342">
        <v>353</v>
      </c>
      <c r="AX5342">
        <v>447</v>
      </c>
      <c r="BA5342">
        <v>1</v>
      </c>
      <c r="BC5342" t="s">
        <v>10797</v>
      </c>
      <c r="BD5342" s="4">
        <v>43283.412499999999</v>
      </c>
      <c r="BE5342" s="4">
        <v>43283.432488425926</v>
      </c>
      <c r="BF5342" s="4">
        <v>43283.432488425926</v>
      </c>
      <c r="BG5342" t="s">
        <v>83</v>
      </c>
      <c r="BH5342" t="s">
        <v>84</v>
      </c>
      <c r="BI5342" t="s">
        <v>85</v>
      </c>
    </row>
    <row r="5343" spans="1:61" x14ac:dyDescent="0.3">
      <c r="A5343" t="str">
        <f>"201844E0300"</f>
        <v>201844E0300</v>
      </c>
      <c r="B5343" s="2" t="s">
        <v>10798</v>
      </c>
      <c r="C5343">
        <v>20</v>
      </c>
      <c r="D5343" t="s">
        <v>79</v>
      </c>
      <c r="E5343">
        <v>25</v>
      </c>
      <c r="F5343" t="s">
        <v>10558</v>
      </c>
      <c r="G5343">
        <v>1844</v>
      </c>
      <c r="H5343">
        <v>3</v>
      </c>
      <c r="I5343" t="s">
        <v>145</v>
      </c>
      <c r="J5343">
        <v>0</v>
      </c>
      <c r="K5343">
        <v>2</v>
      </c>
      <c r="L5343">
        <v>2</v>
      </c>
      <c r="M5343">
        <v>209</v>
      </c>
      <c r="N5343">
        <v>469</v>
      </c>
      <c r="O5343">
        <v>17</v>
      </c>
      <c r="P5343">
        <v>469</v>
      </c>
      <c r="Q5343">
        <v>22</v>
      </c>
      <c r="R5343">
        <v>77</v>
      </c>
      <c r="S5343">
        <v>11</v>
      </c>
      <c r="T5343">
        <v>12</v>
      </c>
      <c r="U5343">
        <v>15</v>
      </c>
      <c r="V5343">
        <v>44</v>
      </c>
      <c r="W5343">
        <v>4</v>
      </c>
      <c r="X5343">
        <v>69</v>
      </c>
      <c r="Y5343">
        <v>130</v>
      </c>
      <c r="Z5343">
        <v>8</v>
      </c>
      <c r="AA5343">
        <v>34</v>
      </c>
      <c r="AB5343">
        <v>0</v>
      </c>
      <c r="AC5343">
        <v>1</v>
      </c>
      <c r="AD5343">
        <v>0</v>
      </c>
      <c r="AE5343">
        <v>0</v>
      </c>
      <c r="AF5343">
        <v>0</v>
      </c>
      <c r="AG5343">
        <v>3</v>
      </c>
      <c r="AH5343">
        <v>3</v>
      </c>
      <c r="AI5343">
        <v>1</v>
      </c>
      <c r="AJ5343">
        <v>0</v>
      </c>
      <c r="AK5343">
        <v>0</v>
      </c>
      <c r="AL5343">
        <v>1</v>
      </c>
      <c r="AM5343">
        <v>0</v>
      </c>
      <c r="AN5343">
        <v>0</v>
      </c>
      <c r="AT5343">
        <v>0</v>
      </c>
      <c r="AU5343">
        <v>34</v>
      </c>
      <c r="AV5343">
        <v>469</v>
      </c>
      <c r="AW5343">
        <v>469</v>
      </c>
      <c r="AX5343">
        <v>659</v>
      </c>
      <c r="BA5343">
        <v>1</v>
      </c>
      <c r="BC5343" s="2" t="s">
        <v>10799</v>
      </c>
      <c r="BD5343" s="4">
        <v>43283.411805555559</v>
      </c>
      <c r="BE5343" s="4">
        <v>43283.428043981483</v>
      </c>
      <c r="BF5343" s="4">
        <v>43283.428043981483</v>
      </c>
      <c r="BG5343" t="s">
        <v>83</v>
      </c>
      <c r="BH5343" t="s">
        <v>84</v>
      </c>
      <c r="BI5343" t="s">
        <v>85</v>
      </c>
    </row>
    <row r="5344" spans="1:61" x14ac:dyDescent="0.3">
      <c r="A5344" t="str">
        <f>"201845B0100"</f>
        <v>201845B0100</v>
      </c>
      <c r="B5344" t="s">
        <v>10800</v>
      </c>
      <c r="C5344">
        <v>20</v>
      </c>
      <c r="D5344" t="s">
        <v>79</v>
      </c>
      <c r="E5344">
        <v>25</v>
      </c>
      <c r="F5344" t="s">
        <v>10558</v>
      </c>
      <c r="G5344">
        <v>1845</v>
      </c>
      <c r="H5344">
        <v>1</v>
      </c>
      <c r="I5344" t="s">
        <v>81</v>
      </c>
      <c r="J5344">
        <v>0</v>
      </c>
      <c r="K5344">
        <v>2</v>
      </c>
      <c r="L5344">
        <v>2</v>
      </c>
      <c r="M5344">
        <v>298</v>
      </c>
      <c r="N5344">
        <v>463</v>
      </c>
      <c r="O5344">
        <v>11</v>
      </c>
      <c r="P5344">
        <v>463</v>
      </c>
      <c r="Q5344">
        <v>11</v>
      </c>
      <c r="R5344">
        <v>51</v>
      </c>
      <c r="S5344">
        <v>4</v>
      </c>
      <c r="T5344">
        <v>12</v>
      </c>
      <c r="U5344">
        <v>10</v>
      </c>
      <c r="V5344">
        <v>60</v>
      </c>
      <c r="W5344">
        <v>3</v>
      </c>
      <c r="X5344">
        <v>54</v>
      </c>
      <c r="Y5344">
        <v>206</v>
      </c>
      <c r="Z5344">
        <v>11</v>
      </c>
      <c r="AA5344">
        <v>3</v>
      </c>
      <c r="AB5344">
        <v>10</v>
      </c>
      <c r="AC5344">
        <v>2</v>
      </c>
      <c r="AD5344">
        <v>0</v>
      </c>
      <c r="AE5344">
        <v>0</v>
      </c>
      <c r="AF5344">
        <v>0</v>
      </c>
      <c r="AG5344">
        <v>5</v>
      </c>
      <c r="AH5344">
        <v>1</v>
      </c>
      <c r="AI5344">
        <v>2</v>
      </c>
      <c r="AJ5344">
        <v>0</v>
      </c>
      <c r="AK5344">
        <v>3</v>
      </c>
      <c r="AL5344">
        <v>0</v>
      </c>
      <c r="AM5344">
        <v>0</v>
      </c>
      <c r="AN5344">
        <v>1</v>
      </c>
      <c r="AT5344">
        <v>0</v>
      </c>
      <c r="AU5344">
        <v>14</v>
      </c>
      <c r="AV5344">
        <v>463</v>
      </c>
      <c r="AW5344">
        <v>463</v>
      </c>
      <c r="AX5344">
        <v>741</v>
      </c>
      <c r="BA5344">
        <v>1</v>
      </c>
      <c r="BC5344" t="s">
        <v>10801</v>
      </c>
      <c r="BD5344" s="4">
        <v>43283.361111111109</v>
      </c>
      <c r="BE5344" s="4">
        <v>43283.373310185183</v>
      </c>
      <c r="BF5344" s="4">
        <v>43283.373310185183</v>
      </c>
      <c r="BG5344" t="s">
        <v>83</v>
      </c>
      <c r="BH5344" t="s">
        <v>84</v>
      </c>
      <c r="BI5344" t="s">
        <v>85</v>
      </c>
    </row>
    <row r="5345" spans="1:61" x14ac:dyDescent="0.3">
      <c r="A5345" t="str">
        <f>"201845C0100"</f>
        <v>201845C0100</v>
      </c>
      <c r="B5345" t="s">
        <v>10802</v>
      </c>
      <c r="C5345">
        <v>20</v>
      </c>
      <c r="D5345" t="s">
        <v>79</v>
      </c>
      <c r="E5345">
        <v>25</v>
      </c>
      <c r="F5345" t="s">
        <v>10558</v>
      </c>
      <c r="G5345">
        <v>1845</v>
      </c>
      <c r="H5345">
        <v>1</v>
      </c>
      <c r="I5345" t="s">
        <v>89</v>
      </c>
      <c r="J5345">
        <v>0</v>
      </c>
      <c r="K5345">
        <v>2</v>
      </c>
      <c r="L5345">
        <v>2</v>
      </c>
      <c r="M5345">
        <v>292</v>
      </c>
      <c r="N5345">
        <v>763</v>
      </c>
      <c r="O5345">
        <v>0</v>
      </c>
      <c r="P5345">
        <v>469</v>
      </c>
      <c r="Q5345">
        <v>15</v>
      </c>
      <c r="R5345">
        <v>48</v>
      </c>
      <c r="S5345">
        <v>4</v>
      </c>
      <c r="T5345">
        <v>10</v>
      </c>
      <c r="U5345">
        <v>8</v>
      </c>
      <c r="V5345">
        <v>46</v>
      </c>
      <c r="W5345">
        <v>2</v>
      </c>
      <c r="X5345">
        <v>57</v>
      </c>
      <c r="Y5345">
        <v>208</v>
      </c>
      <c r="Z5345">
        <v>21</v>
      </c>
      <c r="AA5345">
        <v>8</v>
      </c>
      <c r="AB5345">
        <v>9</v>
      </c>
      <c r="AC5345">
        <v>0</v>
      </c>
      <c r="AD5345">
        <v>0</v>
      </c>
      <c r="AE5345">
        <v>0</v>
      </c>
      <c r="AF5345">
        <v>1</v>
      </c>
      <c r="AG5345">
        <v>4</v>
      </c>
      <c r="AH5345">
        <v>3</v>
      </c>
      <c r="AI5345">
        <v>0</v>
      </c>
      <c r="AJ5345">
        <v>0</v>
      </c>
      <c r="AK5345">
        <v>2</v>
      </c>
      <c r="AL5345">
        <v>1</v>
      </c>
      <c r="AM5345">
        <v>2</v>
      </c>
      <c r="AN5345">
        <v>0</v>
      </c>
      <c r="AT5345">
        <v>0</v>
      </c>
      <c r="AU5345">
        <v>19</v>
      </c>
      <c r="AV5345">
        <v>469</v>
      </c>
      <c r="AW5345">
        <v>468</v>
      </c>
      <c r="AX5345">
        <v>741</v>
      </c>
      <c r="BA5345">
        <v>1</v>
      </c>
      <c r="BC5345" t="s">
        <v>10803</v>
      </c>
      <c r="BD5345" s="4">
        <v>43283.364583333336</v>
      </c>
      <c r="BE5345" s="4">
        <v>43283.392962962964</v>
      </c>
      <c r="BF5345" s="4">
        <v>43283.392962962964</v>
      </c>
      <c r="BG5345" t="s">
        <v>83</v>
      </c>
      <c r="BH5345" t="s">
        <v>84</v>
      </c>
      <c r="BI5345" t="s">
        <v>85</v>
      </c>
    </row>
    <row r="5346" spans="1:61" x14ac:dyDescent="0.3">
      <c r="A5346" t="str">
        <f>"201845C0200"</f>
        <v>201845C0200</v>
      </c>
      <c r="B5346" t="s">
        <v>10804</v>
      </c>
      <c r="C5346">
        <v>20</v>
      </c>
      <c r="D5346" t="s">
        <v>79</v>
      </c>
      <c r="E5346">
        <v>25</v>
      </c>
      <c r="F5346" t="s">
        <v>10558</v>
      </c>
      <c r="G5346">
        <v>1845</v>
      </c>
      <c r="H5346">
        <v>2</v>
      </c>
      <c r="I5346" t="s">
        <v>89</v>
      </c>
      <c r="J5346">
        <v>0</v>
      </c>
      <c r="K5346">
        <v>2</v>
      </c>
      <c r="L5346">
        <v>2</v>
      </c>
      <c r="M5346">
        <v>308</v>
      </c>
      <c r="N5346">
        <v>455</v>
      </c>
      <c r="O5346">
        <v>2</v>
      </c>
      <c r="P5346" t="s">
        <v>100</v>
      </c>
      <c r="Q5346">
        <v>16</v>
      </c>
      <c r="R5346">
        <v>29</v>
      </c>
      <c r="S5346">
        <v>5</v>
      </c>
      <c r="T5346">
        <v>10</v>
      </c>
      <c r="U5346">
        <v>7</v>
      </c>
      <c r="V5346">
        <v>69</v>
      </c>
      <c r="W5346">
        <v>5</v>
      </c>
      <c r="X5346">
        <v>69</v>
      </c>
      <c r="Y5346">
        <v>187</v>
      </c>
      <c r="Z5346">
        <v>12</v>
      </c>
      <c r="AA5346">
        <v>4</v>
      </c>
      <c r="AB5346">
        <v>13</v>
      </c>
      <c r="AC5346">
        <v>0</v>
      </c>
      <c r="AD5346">
        <v>0</v>
      </c>
      <c r="AE5346">
        <v>0</v>
      </c>
      <c r="AF5346">
        <v>1</v>
      </c>
      <c r="AG5346">
        <v>0</v>
      </c>
      <c r="AH5346">
        <v>0</v>
      </c>
      <c r="AI5346">
        <v>0</v>
      </c>
      <c r="AJ5346">
        <v>0</v>
      </c>
      <c r="AK5346">
        <v>4</v>
      </c>
      <c r="AL5346">
        <v>0</v>
      </c>
      <c r="AM5346">
        <v>0</v>
      </c>
      <c r="AN5346">
        <v>0</v>
      </c>
      <c r="AT5346">
        <v>0</v>
      </c>
      <c r="AU5346">
        <v>21</v>
      </c>
      <c r="AV5346" t="s">
        <v>100</v>
      </c>
      <c r="AW5346">
        <v>452</v>
      </c>
      <c r="AX5346">
        <v>741</v>
      </c>
      <c r="BA5346">
        <v>1</v>
      </c>
      <c r="BC5346" t="s">
        <v>10805</v>
      </c>
      <c r="BD5346" s="4">
        <v>43283.368750000001</v>
      </c>
      <c r="BE5346" s="4">
        <v>43283.377997685187</v>
      </c>
      <c r="BF5346" s="4">
        <v>43283.377997685187</v>
      </c>
      <c r="BG5346" t="s">
        <v>83</v>
      </c>
      <c r="BH5346" t="s">
        <v>84</v>
      </c>
      <c r="BI5346" t="s">
        <v>85</v>
      </c>
    </row>
    <row r="5347" spans="1:61" x14ac:dyDescent="0.3">
      <c r="A5347" t="str">
        <f>"201845C0300"</f>
        <v>201845C0300</v>
      </c>
      <c r="B5347" t="s">
        <v>10806</v>
      </c>
      <c r="C5347">
        <v>20</v>
      </c>
      <c r="D5347" t="s">
        <v>79</v>
      </c>
      <c r="E5347">
        <v>25</v>
      </c>
      <c r="F5347" t="s">
        <v>10558</v>
      </c>
      <c r="G5347">
        <v>1845</v>
      </c>
      <c r="H5347">
        <v>3</v>
      </c>
      <c r="I5347" t="s">
        <v>89</v>
      </c>
      <c r="J5347">
        <v>0</v>
      </c>
      <c r="K5347">
        <v>2</v>
      </c>
      <c r="L5347">
        <v>2</v>
      </c>
      <c r="M5347">
        <v>294</v>
      </c>
      <c r="N5347">
        <v>469</v>
      </c>
      <c r="O5347">
        <v>3</v>
      </c>
      <c r="P5347">
        <v>469</v>
      </c>
      <c r="Q5347">
        <v>15</v>
      </c>
      <c r="R5347">
        <v>46</v>
      </c>
      <c r="S5347">
        <v>4</v>
      </c>
      <c r="T5347">
        <v>8</v>
      </c>
      <c r="U5347">
        <v>8</v>
      </c>
      <c r="V5347">
        <v>63</v>
      </c>
      <c r="W5347">
        <v>5</v>
      </c>
      <c r="X5347">
        <v>52</v>
      </c>
      <c r="Y5347">
        <v>204</v>
      </c>
      <c r="Z5347">
        <v>15</v>
      </c>
      <c r="AA5347">
        <v>6</v>
      </c>
      <c r="AB5347">
        <v>7</v>
      </c>
      <c r="AC5347">
        <v>1</v>
      </c>
      <c r="AD5347">
        <v>0</v>
      </c>
      <c r="AE5347">
        <v>0</v>
      </c>
      <c r="AF5347">
        <v>1</v>
      </c>
      <c r="AG5347">
        <v>4</v>
      </c>
      <c r="AH5347">
        <v>0</v>
      </c>
      <c r="AI5347">
        <v>1</v>
      </c>
      <c r="AJ5347">
        <v>1</v>
      </c>
      <c r="AK5347">
        <v>4</v>
      </c>
      <c r="AL5347">
        <v>3</v>
      </c>
      <c r="AM5347">
        <v>0</v>
      </c>
      <c r="AN5347">
        <v>2</v>
      </c>
      <c r="AT5347" t="s">
        <v>100</v>
      </c>
      <c r="AU5347">
        <v>16</v>
      </c>
      <c r="AV5347" t="s">
        <v>100</v>
      </c>
      <c r="AW5347">
        <v>466</v>
      </c>
      <c r="AX5347">
        <v>741</v>
      </c>
      <c r="AZ5347" t="s">
        <v>101</v>
      </c>
      <c r="BA5347">
        <v>1</v>
      </c>
      <c r="BC5347" t="s">
        <v>10807</v>
      </c>
      <c r="BD5347" s="4">
        <v>43283.359722222223</v>
      </c>
      <c r="BE5347" s="4">
        <v>43283.374097222222</v>
      </c>
      <c r="BF5347" s="4">
        <v>43283.374097222222</v>
      </c>
      <c r="BG5347" t="s">
        <v>83</v>
      </c>
      <c r="BH5347" t="s">
        <v>84</v>
      </c>
      <c r="BI5347" t="s">
        <v>85</v>
      </c>
    </row>
    <row r="5348" spans="1:61" x14ac:dyDescent="0.3">
      <c r="A5348" t="str">
        <f>"201845C0400"</f>
        <v>201845C0400</v>
      </c>
      <c r="B5348" t="s">
        <v>10808</v>
      </c>
      <c r="C5348">
        <v>20</v>
      </c>
      <c r="D5348" t="s">
        <v>79</v>
      </c>
      <c r="E5348">
        <v>25</v>
      </c>
      <c r="F5348" t="s">
        <v>10558</v>
      </c>
      <c r="G5348">
        <v>1845</v>
      </c>
      <c r="H5348">
        <v>4</v>
      </c>
      <c r="I5348" t="s">
        <v>89</v>
      </c>
      <c r="J5348">
        <v>0</v>
      </c>
      <c r="K5348">
        <v>2</v>
      </c>
      <c r="L5348">
        <v>2</v>
      </c>
      <c r="M5348">
        <v>283</v>
      </c>
      <c r="N5348">
        <v>480</v>
      </c>
      <c r="O5348">
        <v>7</v>
      </c>
      <c r="P5348">
        <v>480</v>
      </c>
      <c r="Q5348">
        <v>14</v>
      </c>
      <c r="R5348">
        <v>36</v>
      </c>
      <c r="S5348">
        <v>5</v>
      </c>
      <c r="T5348">
        <v>27</v>
      </c>
      <c r="U5348">
        <v>10</v>
      </c>
      <c r="V5348">
        <v>51</v>
      </c>
      <c r="W5348">
        <v>5</v>
      </c>
      <c r="X5348">
        <v>59</v>
      </c>
      <c r="Y5348">
        <v>211</v>
      </c>
      <c r="Z5348">
        <v>11</v>
      </c>
      <c r="AA5348">
        <v>8</v>
      </c>
      <c r="AB5348">
        <v>10</v>
      </c>
      <c r="AC5348">
        <v>1</v>
      </c>
      <c r="AD5348" t="s">
        <v>100</v>
      </c>
      <c r="AE5348" t="s">
        <v>100</v>
      </c>
      <c r="AF5348" t="s">
        <v>100</v>
      </c>
      <c r="AG5348">
        <v>2</v>
      </c>
      <c r="AH5348">
        <v>3</v>
      </c>
      <c r="AI5348">
        <v>3</v>
      </c>
      <c r="AJ5348">
        <v>2</v>
      </c>
      <c r="AK5348" t="s">
        <v>100</v>
      </c>
      <c r="AL5348" t="s">
        <v>100</v>
      </c>
      <c r="AM5348" t="s">
        <v>100</v>
      </c>
      <c r="AN5348">
        <v>1</v>
      </c>
      <c r="AT5348" t="s">
        <v>100</v>
      </c>
      <c r="AU5348">
        <v>21</v>
      </c>
      <c r="AV5348">
        <v>480</v>
      </c>
      <c r="AW5348">
        <v>480</v>
      </c>
      <c r="AX5348">
        <v>741</v>
      </c>
      <c r="AZ5348" t="s">
        <v>101</v>
      </c>
      <c r="BA5348">
        <v>1</v>
      </c>
      <c r="BC5348" t="s">
        <v>10809</v>
      </c>
      <c r="BD5348" s="4">
        <v>43283.363888888889</v>
      </c>
      <c r="BE5348" s="4">
        <v>43283.376087962963</v>
      </c>
      <c r="BF5348" s="4">
        <v>43283.376087962963</v>
      </c>
      <c r="BG5348" t="s">
        <v>83</v>
      </c>
      <c r="BH5348" t="s">
        <v>84</v>
      </c>
      <c r="BI5348" t="s">
        <v>85</v>
      </c>
    </row>
    <row r="5349" spans="1:61" x14ac:dyDescent="0.3">
      <c r="A5349" t="str">
        <f>"201845C0500"</f>
        <v>201845C0500</v>
      </c>
      <c r="B5349" t="s">
        <v>10810</v>
      </c>
      <c r="C5349">
        <v>20</v>
      </c>
      <c r="D5349" t="s">
        <v>79</v>
      </c>
      <c r="E5349">
        <v>25</v>
      </c>
      <c r="F5349" t="s">
        <v>10558</v>
      </c>
      <c r="G5349">
        <v>1845</v>
      </c>
      <c r="H5349">
        <v>5</v>
      </c>
      <c r="I5349" t="s">
        <v>89</v>
      </c>
      <c r="J5349">
        <v>0</v>
      </c>
      <c r="K5349">
        <v>2</v>
      </c>
      <c r="L5349">
        <v>2</v>
      </c>
      <c r="M5349">
        <v>773</v>
      </c>
      <c r="N5349">
        <v>463</v>
      </c>
      <c r="O5349">
        <v>7</v>
      </c>
      <c r="P5349">
        <v>463</v>
      </c>
      <c r="Q5349">
        <v>9</v>
      </c>
      <c r="R5349">
        <v>52</v>
      </c>
      <c r="S5349">
        <v>8</v>
      </c>
      <c r="T5349">
        <v>18</v>
      </c>
      <c r="U5349">
        <v>5</v>
      </c>
      <c r="V5349">
        <v>39</v>
      </c>
      <c r="W5349">
        <v>5</v>
      </c>
      <c r="X5349">
        <v>62</v>
      </c>
      <c r="Y5349">
        <v>205</v>
      </c>
      <c r="Z5349">
        <v>12</v>
      </c>
      <c r="AA5349">
        <v>5</v>
      </c>
      <c r="AB5349">
        <v>10</v>
      </c>
      <c r="AC5349">
        <v>1</v>
      </c>
      <c r="AD5349">
        <v>0</v>
      </c>
      <c r="AE5349">
        <v>0</v>
      </c>
      <c r="AF5349">
        <v>0</v>
      </c>
      <c r="AG5349">
        <v>0</v>
      </c>
      <c r="AH5349">
        <v>0</v>
      </c>
      <c r="AI5349">
        <v>0</v>
      </c>
      <c r="AJ5349">
        <v>0</v>
      </c>
      <c r="AK5349">
        <v>1</v>
      </c>
      <c r="AL5349">
        <v>1</v>
      </c>
      <c r="AM5349">
        <v>0</v>
      </c>
      <c r="AN5349">
        <v>1</v>
      </c>
      <c r="AT5349">
        <v>0</v>
      </c>
      <c r="AU5349">
        <v>28</v>
      </c>
      <c r="AV5349">
        <v>463</v>
      </c>
      <c r="AW5349">
        <v>462</v>
      </c>
      <c r="AX5349">
        <v>741</v>
      </c>
      <c r="BA5349">
        <v>1</v>
      </c>
      <c r="BC5349" t="s">
        <v>10811</v>
      </c>
      <c r="BD5349" s="4">
        <v>43283.131157407406</v>
      </c>
      <c r="BE5349" s="4">
        <v>43283.136620370373</v>
      </c>
      <c r="BF5349" s="4">
        <v>43283.136620370373</v>
      </c>
      <c r="BG5349" t="s">
        <v>373</v>
      </c>
      <c r="BH5349" t="s">
        <v>374</v>
      </c>
      <c r="BI5349" t="s">
        <v>85</v>
      </c>
    </row>
    <row r="5350" spans="1:61" x14ac:dyDescent="0.3">
      <c r="A5350" t="str">
        <f>"201845S0100"</f>
        <v>201845S0100</v>
      </c>
      <c r="B5350" t="s">
        <v>10812</v>
      </c>
      <c r="C5350">
        <v>20</v>
      </c>
      <c r="D5350" t="s">
        <v>79</v>
      </c>
      <c r="E5350">
        <v>25</v>
      </c>
      <c r="F5350" t="s">
        <v>10558</v>
      </c>
      <c r="G5350">
        <v>1845</v>
      </c>
      <c r="H5350">
        <v>1</v>
      </c>
      <c r="I5350" t="s">
        <v>104</v>
      </c>
      <c r="J5350">
        <v>0</v>
      </c>
      <c r="K5350">
        <v>2</v>
      </c>
      <c r="L5350">
        <v>3</v>
      </c>
      <c r="AX5350">
        <v>0</v>
      </c>
      <c r="AZ5350" t="s">
        <v>932</v>
      </c>
      <c r="BA5350">
        <v>0</v>
      </c>
      <c r="BC5350" t="s">
        <v>10813</v>
      </c>
      <c r="BD5350" s="4">
        <v>43283.616666666669</v>
      </c>
      <c r="BE5350" s="4">
        <v>43283.622071759259</v>
      </c>
      <c r="BF5350" s="4">
        <v>43283.622071759259</v>
      </c>
      <c r="BG5350" t="s">
        <v>83</v>
      </c>
      <c r="BH5350" t="s">
        <v>84</v>
      </c>
      <c r="BI5350" t="s">
        <v>85</v>
      </c>
    </row>
    <row r="5351" spans="1:61" x14ac:dyDescent="0.3">
      <c r="A5351" t="str">
        <f>"201846B0100"</f>
        <v>201846B0100</v>
      </c>
      <c r="B5351" t="s">
        <v>10814</v>
      </c>
      <c r="C5351">
        <v>20</v>
      </c>
      <c r="D5351" t="s">
        <v>79</v>
      </c>
      <c r="E5351">
        <v>25</v>
      </c>
      <c r="F5351" t="s">
        <v>10558</v>
      </c>
      <c r="G5351">
        <v>1846</v>
      </c>
      <c r="H5351">
        <v>1</v>
      </c>
      <c r="I5351" t="s">
        <v>81</v>
      </c>
      <c r="J5351">
        <v>0</v>
      </c>
      <c r="K5351">
        <v>1</v>
      </c>
      <c r="L5351">
        <v>2</v>
      </c>
      <c r="M5351">
        <v>291</v>
      </c>
      <c r="N5351">
        <v>461</v>
      </c>
      <c r="O5351">
        <v>14</v>
      </c>
      <c r="P5351">
        <v>464</v>
      </c>
      <c r="Q5351">
        <v>24</v>
      </c>
      <c r="R5351">
        <v>59</v>
      </c>
      <c r="S5351">
        <v>4</v>
      </c>
      <c r="T5351">
        <v>12</v>
      </c>
      <c r="U5351">
        <v>11</v>
      </c>
      <c r="V5351">
        <v>39</v>
      </c>
      <c r="W5351">
        <v>3</v>
      </c>
      <c r="X5351">
        <v>44</v>
      </c>
      <c r="Y5351">
        <v>201</v>
      </c>
      <c r="Z5351">
        <v>19</v>
      </c>
      <c r="AA5351">
        <v>3</v>
      </c>
      <c r="AB5351">
        <v>11</v>
      </c>
      <c r="AC5351">
        <v>1</v>
      </c>
      <c r="AD5351">
        <v>0</v>
      </c>
      <c r="AE5351">
        <v>0</v>
      </c>
      <c r="AF5351">
        <v>0</v>
      </c>
      <c r="AG5351">
        <v>2</v>
      </c>
      <c r="AH5351">
        <v>0</v>
      </c>
      <c r="AI5351">
        <v>1</v>
      </c>
      <c r="AJ5351">
        <v>1</v>
      </c>
      <c r="AK5351">
        <v>6</v>
      </c>
      <c r="AL5351">
        <v>0</v>
      </c>
      <c r="AM5351">
        <v>0</v>
      </c>
      <c r="AN5351">
        <v>5</v>
      </c>
      <c r="AT5351">
        <v>0</v>
      </c>
      <c r="AU5351">
        <v>18</v>
      </c>
      <c r="AV5351">
        <v>464</v>
      </c>
      <c r="AW5351">
        <v>464</v>
      </c>
      <c r="AX5351">
        <v>735</v>
      </c>
      <c r="BA5351">
        <v>1</v>
      </c>
      <c r="BC5351" t="s">
        <v>10815</v>
      </c>
      <c r="BD5351" s="4">
        <v>43283.369444444441</v>
      </c>
      <c r="BE5351" s="4">
        <v>43283.378125000003</v>
      </c>
      <c r="BF5351" s="4">
        <v>43283.378125000003</v>
      </c>
      <c r="BG5351" t="s">
        <v>83</v>
      </c>
      <c r="BH5351" t="s">
        <v>84</v>
      </c>
      <c r="BI5351" t="s">
        <v>85</v>
      </c>
    </row>
    <row r="5352" spans="1:61" x14ac:dyDescent="0.3">
      <c r="A5352" t="str">
        <f>"201846C0100"</f>
        <v>201846C0100</v>
      </c>
      <c r="B5352" t="s">
        <v>10816</v>
      </c>
      <c r="C5352">
        <v>20</v>
      </c>
      <c r="D5352" t="s">
        <v>79</v>
      </c>
      <c r="E5352">
        <v>25</v>
      </c>
      <c r="F5352" t="s">
        <v>10558</v>
      </c>
      <c r="G5352">
        <v>1846</v>
      </c>
      <c r="H5352">
        <v>1</v>
      </c>
      <c r="I5352" t="s">
        <v>89</v>
      </c>
      <c r="J5352">
        <v>0</v>
      </c>
      <c r="K5352">
        <v>2</v>
      </c>
      <c r="L5352">
        <v>2</v>
      </c>
      <c r="M5352">
        <v>327</v>
      </c>
      <c r="N5352">
        <v>431</v>
      </c>
      <c r="O5352">
        <v>7</v>
      </c>
      <c r="P5352">
        <v>435</v>
      </c>
      <c r="Q5352">
        <v>26</v>
      </c>
      <c r="R5352">
        <v>48</v>
      </c>
      <c r="S5352">
        <v>3</v>
      </c>
      <c r="T5352">
        <v>10</v>
      </c>
      <c r="U5352">
        <v>8</v>
      </c>
      <c r="V5352">
        <v>42</v>
      </c>
      <c r="W5352">
        <v>4</v>
      </c>
      <c r="X5352">
        <v>40</v>
      </c>
      <c r="Y5352">
        <v>208</v>
      </c>
      <c r="Z5352">
        <v>11</v>
      </c>
      <c r="AA5352">
        <v>4</v>
      </c>
      <c r="AB5352">
        <v>8</v>
      </c>
      <c r="AC5352">
        <v>1</v>
      </c>
      <c r="AD5352" t="s">
        <v>100</v>
      </c>
      <c r="AE5352" t="s">
        <v>100</v>
      </c>
      <c r="AF5352" t="s">
        <v>100</v>
      </c>
      <c r="AG5352">
        <v>2</v>
      </c>
      <c r="AH5352" t="s">
        <v>100</v>
      </c>
      <c r="AI5352">
        <v>1</v>
      </c>
      <c r="AJ5352" t="s">
        <v>100</v>
      </c>
      <c r="AK5352" t="s">
        <v>100</v>
      </c>
      <c r="AL5352" t="s">
        <v>100</v>
      </c>
      <c r="AM5352" t="s">
        <v>100</v>
      </c>
      <c r="AN5352">
        <v>1</v>
      </c>
      <c r="AT5352">
        <v>1</v>
      </c>
      <c r="AU5352">
        <v>17</v>
      </c>
      <c r="AV5352">
        <v>435</v>
      </c>
      <c r="AW5352">
        <v>435</v>
      </c>
      <c r="AX5352">
        <v>735</v>
      </c>
      <c r="AZ5352" t="s">
        <v>101</v>
      </c>
      <c r="BA5352">
        <v>1</v>
      </c>
      <c r="BC5352" t="s">
        <v>10817</v>
      </c>
      <c r="BD5352" s="4">
        <v>43283.370138888888</v>
      </c>
      <c r="BE5352" s="4">
        <v>43283.379351851851</v>
      </c>
      <c r="BF5352" s="4">
        <v>43283.379351851851</v>
      </c>
      <c r="BG5352" t="s">
        <v>83</v>
      </c>
      <c r="BH5352" t="s">
        <v>84</v>
      </c>
      <c r="BI5352" t="s">
        <v>85</v>
      </c>
    </row>
    <row r="5353" spans="1:61" x14ac:dyDescent="0.3">
      <c r="A5353" t="str">
        <f>"201846C0200"</f>
        <v>201846C0200</v>
      </c>
      <c r="B5353" t="s">
        <v>10818</v>
      </c>
      <c r="C5353">
        <v>20</v>
      </c>
      <c r="D5353" t="s">
        <v>79</v>
      </c>
      <c r="E5353">
        <v>25</v>
      </c>
      <c r="F5353" t="s">
        <v>10558</v>
      </c>
      <c r="G5353">
        <v>1846</v>
      </c>
      <c r="H5353">
        <v>2</v>
      </c>
      <c r="I5353" t="s">
        <v>89</v>
      </c>
      <c r="J5353">
        <v>0</v>
      </c>
      <c r="K5353">
        <v>2</v>
      </c>
      <c r="L5353">
        <v>2</v>
      </c>
      <c r="M5353">
        <v>316</v>
      </c>
      <c r="N5353">
        <v>442</v>
      </c>
      <c r="O5353">
        <v>0</v>
      </c>
      <c r="P5353">
        <v>442</v>
      </c>
      <c r="Q5353">
        <v>21</v>
      </c>
      <c r="R5353">
        <v>41</v>
      </c>
      <c r="S5353">
        <v>7</v>
      </c>
      <c r="T5353">
        <v>8</v>
      </c>
      <c r="U5353">
        <v>8</v>
      </c>
      <c r="V5353">
        <v>51</v>
      </c>
      <c r="W5353">
        <v>2</v>
      </c>
      <c r="X5353">
        <v>48</v>
      </c>
      <c r="Y5353">
        <v>191</v>
      </c>
      <c r="Z5353">
        <v>18</v>
      </c>
      <c r="AA5353">
        <v>6</v>
      </c>
      <c r="AB5353">
        <v>14</v>
      </c>
      <c r="AC5353">
        <v>0</v>
      </c>
      <c r="AD5353">
        <v>0</v>
      </c>
      <c r="AE5353">
        <v>0</v>
      </c>
      <c r="AF5353">
        <v>0</v>
      </c>
      <c r="AG5353">
        <v>1</v>
      </c>
      <c r="AH5353">
        <v>1</v>
      </c>
      <c r="AI5353">
        <v>2</v>
      </c>
      <c r="AJ5353">
        <v>0</v>
      </c>
      <c r="AK5353">
        <v>4</v>
      </c>
      <c r="AL5353">
        <v>0</v>
      </c>
      <c r="AM5353">
        <v>1</v>
      </c>
      <c r="AN5353">
        <v>0</v>
      </c>
      <c r="AT5353">
        <v>0</v>
      </c>
      <c r="AU5353">
        <v>18</v>
      </c>
      <c r="AV5353">
        <v>442</v>
      </c>
      <c r="AW5353">
        <v>442</v>
      </c>
      <c r="AX5353">
        <v>735</v>
      </c>
      <c r="BA5353">
        <v>1</v>
      </c>
      <c r="BC5353" t="s">
        <v>10819</v>
      </c>
      <c r="BD5353" s="4">
        <v>43283.538888888892</v>
      </c>
      <c r="BE5353" s="4">
        <v>43283.546180555553</v>
      </c>
      <c r="BF5353" s="4">
        <v>43283.546180555553</v>
      </c>
      <c r="BG5353" t="s">
        <v>83</v>
      </c>
      <c r="BH5353" t="s">
        <v>84</v>
      </c>
      <c r="BI5353" t="s">
        <v>548</v>
      </c>
    </row>
    <row r="5354" spans="1:61" x14ac:dyDescent="0.3">
      <c r="A5354" t="str">
        <f>"201846C0300"</f>
        <v>201846C0300</v>
      </c>
      <c r="B5354" t="s">
        <v>10820</v>
      </c>
      <c r="C5354">
        <v>20</v>
      </c>
      <c r="D5354" t="s">
        <v>79</v>
      </c>
      <c r="E5354">
        <v>25</v>
      </c>
      <c r="F5354" t="s">
        <v>10558</v>
      </c>
      <c r="G5354">
        <v>1846</v>
      </c>
      <c r="H5354">
        <v>3</v>
      </c>
      <c r="I5354" t="s">
        <v>89</v>
      </c>
      <c r="J5354">
        <v>0</v>
      </c>
      <c r="K5354">
        <v>2</v>
      </c>
      <c r="L5354">
        <v>2</v>
      </c>
      <c r="M5354">
        <v>282</v>
      </c>
      <c r="N5354">
        <v>481</v>
      </c>
      <c r="O5354">
        <v>4</v>
      </c>
      <c r="P5354">
        <v>475</v>
      </c>
      <c r="Q5354">
        <v>27</v>
      </c>
      <c r="R5354">
        <v>40</v>
      </c>
      <c r="S5354">
        <v>2</v>
      </c>
      <c r="T5354">
        <v>13</v>
      </c>
      <c r="U5354">
        <v>7</v>
      </c>
      <c r="V5354">
        <v>49</v>
      </c>
      <c r="W5354">
        <v>6</v>
      </c>
      <c r="X5354">
        <v>54</v>
      </c>
      <c r="Y5354">
        <v>207</v>
      </c>
      <c r="Z5354">
        <v>20</v>
      </c>
      <c r="AA5354">
        <v>5</v>
      </c>
      <c r="AB5354">
        <v>15</v>
      </c>
      <c r="AC5354">
        <v>0</v>
      </c>
      <c r="AD5354">
        <v>1</v>
      </c>
      <c r="AE5354">
        <v>0</v>
      </c>
      <c r="AF5354">
        <v>0</v>
      </c>
      <c r="AG5354">
        <v>1</v>
      </c>
      <c r="AH5354">
        <v>1</v>
      </c>
      <c r="AI5354">
        <v>1</v>
      </c>
      <c r="AJ5354">
        <v>0</v>
      </c>
      <c r="AK5354">
        <v>5</v>
      </c>
      <c r="AL5354">
        <v>1</v>
      </c>
      <c r="AM5354">
        <v>1</v>
      </c>
      <c r="AN5354">
        <v>1</v>
      </c>
      <c r="AT5354">
        <v>0</v>
      </c>
      <c r="AU5354">
        <v>17</v>
      </c>
      <c r="AV5354">
        <v>475</v>
      </c>
      <c r="AW5354">
        <v>474</v>
      </c>
      <c r="AX5354">
        <v>735</v>
      </c>
      <c r="BA5354">
        <v>1</v>
      </c>
      <c r="BC5354" t="s">
        <v>10821</v>
      </c>
      <c r="BD5354" s="4">
        <v>43283.37222222222</v>
      </c>
      <c r="BE5354" s="4">
        <v>43283.38208333333</v>
      </c>
      <c r="BF5354" s="4">
        <v>43283.38208333333</v>
      </c>
      <c r="BG5354" t="s">
        <v>83</v>
      </c>
      <c r="BH5354" t="s">
        <v>84</v>
      </c>
      <c r="BI5354" t="s">
        <v>85</v>
      </c>
    </row>
    <row r="5355" spans="1:61" x14ac:dyDescent="0.3">
      <c r="A5355" t="str">
        <f>"201846C0400"</f>
        <v>201846C0400</v>
      </c>
      <c r="B5355" t="s">
        <v>10822</v>
      </c>
      <c r="C5355">
        <v>20</v>
      </c>
      <c r="D5355" t="s">
        <v>79</v>
      </c>
      <c r="E5355">
        <v>25</v>
      </c>
      <c r="F5355" t="s">
        <v>10558</v>
      </c>
      <c r="G5355">
        <v>1846</v>
      </c>
      <c r="H5355">
        <v>4</v>
      </c>
      <c r="I5355" t="s">
        <v>89</v>
      </c>
      <c r="J5355">
        <v>0</v>
      </c>
      <c r="K5355">
        <v>2</v>
      </c>
      <c r="L5355">
        <v>2</v>
      </c>
      <c r="M5355">
        <v>287</v>
      </c>
      <c r="N5355">
        <v>466</v>
      </c>
      <c r="O5355">
        <v>5</v>
      </c>
      <c r="P5355">
        <v>469</v>
      </c>
      <c r="Q5355">
        <v>22</v>
      </c>
      <c r="R5355">
        <v>42</v>
      </c>
      <c r="S5355">
        <v>8</v>
      </c>
      <c r="T5355">
        <v>3</v>
      </c>
      <c r="U5355">
        <v>7</v>
      </c>
      <c r="V5355">
        <v>56</v>
      </c>
      <c r="W5355">
        <v>2</v>
      </c>
      <c r="X5355">
        <v>43</v>
      </c>
      <c r="Y5355">
        <v>213</v>
      </c>
      <c r="Z5355">
        <v>23</v>
      </c>
      <c r="AA5355">
        <v>13</v>
      </c>
      <c r="AB5355">
        <v>11</v>
      </c>
      <c r="AC5355">
        <v>0</v>
      </c>
      <c r="AD5355">
        <v>0</v>
      </c>
      <c r="AE5355">
        <v>0</v>
      </c>
      <c r="AF5355">
        <v>1</v>
      </c>
      <c r="AG5355">
        <v>1</v>
      </c>
      <c r="AH5355">
        <v>1</v>
      </c>
      <c r="AI5355">
        <v>1</v>
      </c>
      <c r="AJ5355">
        <v>0</v>
      </c>
      <c r="AK5355">
        <v>5</v>
      </c>
      <c r="AL5355">
        <v>3</v>
      </c>
      <c r="AM5355">
        <v>0</v>
      </c>
      <c r="AN5355">
        <v>2</v>
      </c>
      <c r="AT5355">
        <v>0</v>
      </c>
      <c r="AU5355">
        <v>12</v>
      </c>
      <c r="AV5355" t="s">
        <v>100</v>
      </c>
      <c r="AW5355">
        <v>469</v>
      </c>
      <c r="AX5355">
        <v>734</v>
      </c>
      <c r="BA5355">
        <v>1</v>
      </c>
      <c r="BC5355" t="s">
        <v>10823</v>
      </c>
      <c r="BD5355" s="4">
        <v>43283.372916666667</v>
      </c>
      <c r="BE5355" s="4">
        <v>43283.380104166667</v>
      </c>
      <c r="BF5355" s="4">
        <v>43283.380104166667</v>
      </c>
      <c r="BG5355" t="s">
        <v>83</v>
      </c>
      <c r="BH5355" t="s">
        <v>84</v>
      </c>
      <c r="BI5355" t="s">
        <v>85</v>
      </c>
    </row>
    <row r="5356" spans="1:61" x14ac:dyDescent="0.3">
      <c r="A5356" t="str">
        <f>"201846C0500"</f>
        <v>201846C0500</v>
      </c>
      <c r="B5356" t="s">
        <v>10824</v>
      </c>
      <c r="C5356">
        <v>20</v>
      </c>
      <c r="D5356" t="s">
        <v>79</v>
      </c>
      <c r="E5356">
        <v>25</v>
      </c>
      <c r="F5356" t="s">
        <v>10558</v>
      </c>
      <c r="G5356">
        <v>1846</v>
      </c>
      <c r="H5356">
        <v>5</v>
      </c>
      <c r="I5356" t="s">
        <v>89</v>
      </c>
      <c r="J5356">
        <v>0</v>
      </c>
      <c r="K5356">
        <v>2</v>
      </c>
      <c r="L5356">
        <v>2</v>
      </c>
      <c r="AX5356">
        <v>734</v>
      </c>
      <c r="AZ5356" t="s">
        <v>932</v>
      </c>
      <c r="BA5356">
        <v>0</v>
      </c>
      <c r="BC5356" t="s">
        <v>10825</v>
      </c>
      <c r="BD5356" s="4">
        <v>43283.616666666669</v>
      </c>
      <c r="BE5356" s="4">
        <v>43283.62228009259</v>
      </c>
      <c r="BF5356" s="4">
        <v>43283.62228009259</v>
      </c>
      <c r="BG5356" t="s">
        <v>83</v>
      </c>
      <c r="BH5356" t="s">
        <v>84</v>
      </c>
      <c r="BI5356" t="s">
        <v>85</v>
      </c>
    </row>
    <row r="5357" spans="1:61" x14ac:dyDescent="0.3">
      <c r="A5357" t="str">
        <f>"201846C0600"</f>
        <v>201846C0600</v>
      </c>
      <c r="B5357" t="s">
        <v>10826</v>
      </c>
      <c r="C5357">
        <v>20</v>
      </c>
      <c r="D5357" t="s">
        <v>79</v>
      </c>
      <c r="E5357">
        <v>25</v>
      </c>
      <c r="F5357" t="s">
        <v>10558</v>
      </c>
      <c r="G5357">
        <v>1846</v>
      </c>
      <c r="H5357">
        <v>6</v>
      </c>
      <c r="I5357" t="s">
        <v>89</v>
      </c>
      <c r="J5357">
        <v>0</v>
      </c>
      <c r="K5357">
        <v>2</v>
      </c>
      <c r="L5357">
        <v>2</v>
      </c>
      <c r="M5357">
        <v>300</v>
      </c>
      <c r="N5357">
        <v>456</v>
      </c>
      <c r="O5357">
        <v>0</v>
      </c>
      <c r="P5357">
        <v>456</v>
      </c>
      <c r="Q5357">
        <v>20</v>
      </c>
      <c r="R5357">
        <v>38</v>
      </c>
      <c r="S5357">
        <v>4</v>
      </c>
      <c r="T5357">
        <v>9</v>
      </c>
      <c r="U5357">
        <v>10</v>
      </c>
      <c r="V5357">
        <v>44</v>
      </c>
      <c r="W5357">
        <v>3</v>
      </c>
      <c r="X5357">
        <v>51</v>
      </c>
      <c r="Y5357">
        <v>210</v>
      </c>
      <c r="Z5357">
        <v>18</v>
      </c>
      <c r="AA5357">
        <v>8</v>
      </c>
      <c r="AB5357">
        <v>14</v>
      </c>
      <c r="AC5357">
        <v>0</v>
      </c>
      <c r="AD5357">
        <v>0</v>
      </c>
      <c r="AE5357">
        <v>0</v>
      </c>
      <c r="AF5357">
        <v>0</v>
      </c>
      <c r="AG5357">
        <v>3</v>
      </c>
      <c r="AH5357">
        <v>0</v>
      </c>
      <c r="AI5357">
        <v>0</v>
      </c>
      <c r="AJ5357">
        <v>1</v>
      </c>
      <c r="AK5357">
        <v>4</v>
      </c>
      <c r="AL5357">
        <v>0</v>
      </c>
      <c r="AM5357">
        <v>0</v>
      </c>
      <c r="AN5357">
        <v>0</v>
      </c>
      <c r="AT5357">
        <v>0</v>
      </c>
      <c r="AU5357">
        <v>18</v>
      </c>
      <c r="AV5357">
        <v>456</v>
      </c>
      <c r="AW5357">
        <v>455</v>
      </c>
      <c r="AX5357">
        <v>734</v>
      </c>
      <c r="BA5357">
        <v>1</v>
      </c>
      <c r="BC5357" t="s">
        <v>10827</v>
      </c>
      <c r="BD5357" s="4">
        <v>43283.539583333331</v>
      </c>
      <c r="BE5357" s="4">
        <v>43283.544490740744</v>
      </c>
      <c r="BF5357" s="4">
        <v>43283.544490740744</v>
      </c>
      <c r="BG5357" t="s">
        <v>83</v>
      </c>
      <c r="BH5357" t="s">
        <v>84</v>
      </c>
      <c r="BI5357" t="s">
        <v>548</v>
      </c>
    </row>
    <row r="5358" spans="1:61" x14ac:dyDescent="0.3">
      <c r="A5358" t="str">
        <f>"201846C0700"</f>
        <v>201846C0700</v>
      </c>
      <c r="B5358" t="s">
        <v>10828</v>
      </c>
      <c r="C5358">
        <v>20</v>
      </c>
      <c r="D5358" t="s">
        <v>79</v>
      </c>
      <c r="E5358">
        <v>25</v>
      </c>
      <c r="F5358" t="s">
        <v>10558</v>
      </c>
      <c r="G5358">
        <v>1846</v>
      </c>
      <c r="H5358">
        <v>7</v>
      </c>
      <c r="I5358" t="s">
        <v>89</v>
      </c>
      <c r="J5358">
        <v>0</v>
      </c>
      <c r="K5358">
        <v>2</v>
      </c>
      <c r="L5358">
        <v>2</v>
      </c>
      <c r="M5358">
        <v>308</v>
      </c>
      <c r="N5358">
        <v>448</v>
      </c>
      <c r="O5358">
        <v>2</v>
      </c>
      <c r="P5358">
        <v>448</v>
      </c>
      <c r="Q5358">
        <v>22</v>
      </c>
      <c r="R5358">
        <v>47</v>
      </c>
      <c r="S5358">
        <v>3</v>
      </c>
      <c r="T5358">
        <v>7</v>
      </c>
      <c r="U5358">
        <v>4</v>
      </c>
      <c r="V5358">
        <v>49</v>
      </c>
      <c r="W5358">
        <v>2</v>
      </c>
      <c r="X5358">
        <v>38</v>
      </c>
      <c r="Y5358">
        <v>210</v>
      </c>
      <c r="Z5358">
        <v>22</v>
      </c>
      <c r="AA5358">
        <v>13</v>
      </c>
      <c r="AB5358">
        <v>7</v>
      </c>
      <c r="AC5358">
        <v>2</v>
      </c>
      <c r="AD5358">
        <v>0</v>
      </c>
      <c r="AE5358">
        <v>0</v>
      </c>
      <c r="AF5358">
        <v>1</v>
      </c>
      <c r="AG5358">
        <v>1</v>
      </c>
      <c r="AH5358">
        <v>0</v>
      </c>
      <c r="AI5358">
        <v>2</v>
      </c>
      <c r="AJ5358">
        <v>0</v>
      </c>
      <c r="AK5358">
        <v>1</v>
      </c>
      <c r="AL5358">
        <v>0</v>
      </c>
      <c r="AM5358">
        <v>0</v>
      </c>
      <c r="AN5358">
        <v>1</v>
      </c>
      <c r="AT5358">
        <v>0</v>
      </c>
      <c r="AU5358">
        <v>16</v>
      </c>
      <c r="AV5358" t="s">
        <v>100</v>
      </c>
      <c r="AW5358">
        <v>448</v>
      </c>
      <c r="AX5358">
        <v>734</v>
      </c>
      <c r="BA5358">
        <v>1</v>
      </c>
      <c r="BC5358" t="s">
        <v>10829</v>
      </c>
      <c r="BD5358" s="4">
        <v>43283.374305555553</v>
      </c>
      <c r="BE5358" s="4">
        <v>43283.390509259261</v>
      </c>
      <c r="BF5358" s="4">
        <v>43283.390509259261</v>
      </c>
      <c r="BG5358" t="s">
        <v>83</v>
      </c>
      <c r="BH5358" t="s">
        <v>84</v>
      </c>
      <c r="BI5358" t="s">
        <v>85</v>
      </c>
    </row>
    <row r="5359" spans="1:61" x14ac:dyDescent="0.3">
      <c r="A5359" t="str">
        <f>"201846C0800"</f>
        <v>201846C0800</v>
      </c>
      <c r="B5359" t="s">
        <v>10830</v>
      </c>
      <c r="C5359">
        <v>20</v>
      </c>
      <c r="D5359" t="s">
        <v>79</v>
      </c>
      <c r="E5359">
        <v>25</v>
      </c>
      <c r="F5359" t="s">
        <v>10558</v>
      </c>
      <c r="G5359">
        <v>1846</v>
      </c>
      <c r="H5359">
        <v>8</v>
      </c>
      <c r="I5359" t="s">
        <v>89</v>
      </c>
      <c r="J5359">
        <v>0</v>
      </c>
      <c r="K5359">
        <v>2</v>
      </c>
      <c r="L5359">
        <v>2</v>
      </c>
      <c r="M5359">
        <v>306</v>
      </c>
      <c r="N5359">
        <v>449</v>
      </c>
      <c r="O5359">
        <v>1</v>
      </c>
      <c r="P5359">
        <v>449</v>
      </c>
      <c r="Q5359">
        <v>21</v>
      </c>
      <c r="R5359">
        <v>46</v>
      </c>
      <c r="S5359">
        <v>6</v>
      </c>
      <c r="T5359">
        <v>5</v>
      </c>
      <c r="U5359">
        <v>10</v>
      </c>
      <c r="V5359">
        <v>56</v>
      </c>
      <c r="W5359">
        <v>2</v>
      </c>
      <c r="X5359">
        <v>49</v>
      </c>
      <c r="Y5359">
        <v>180</v>
      </c>
      <c r="Z5359">
        <v>19</v>
      </c>
      <c r="AA5359">
        <v>6</v>
      </c>
      <c r="AB5359">
        <v>5</v>
      </c>
      <c r="AC5359">
        <v>0</v>
      </c>
      <c r="AD5359">
        <v>0</v>
      </c>
      <c r="AE5359">
        <v>1</v>
      </c>
      <c r="AF5359">
        <v>0</v>
      </c>
      <c r="AG5359">
        <v>3</v>
      </c>
      <c r="AH5359">
        <v>1</v>
      </c>
      <c r="AI5359">
        <v>0</v>
      </c>
      <c r="AJ5359">
        <v>0</v>
      </c>
      <c r="AK5359">
        <v>1</v>
      </c>
      <c r="AL5359">
        <v>1</v>
      </c>
      <c r="AM5359">
        <v>0</v>
      </c>
      <c r="AN5359">
        <v>2</v>
      </c>
      <c r="AT5359">
        <v>0</v>
      </c>
      <c r="AU5359">
        <v>33</v>
      </c>
      <c r="AV5359">
        <v>450</v>
      </c>
      <c r="AW5359">
        <v>447</v>
      </c>
      <c r="AX5359">
        <v>734</v>
      </c>
      <c r="BA5359">
        <v>1</v>
      </c>
      <c r="BC5359" t="s">
        <v>10831</v>
      </c>
      <c r="BD5359" s="4">
        <v>43283.374305555553</v>
      </c>
      <c r="BE5359" s="4">
        <v>43283.388935185183</v>
      </c>
      <c r="BF5359" s="4">
        <v>43283.388935185183</v>
      </c>
      <c r="BG5359" t="s">
        <v>83</v>
      </c>
      <c r="BH5359" t="s">
        <v>84</v>
      </c>
      <c r="BI5359" t="s">
        <v>85</v>
      </c>
    </row>
    <row r="5360" spans="1:61" x14ac:dyDescent="0.3">
      <c r="A5360" t="str">
        <f>"201846C0900"</f>
        <v>201846C0900</v>
      </c>
      <c r="B5360" t="s">
        <v>10832</v>
      </c>
      <c r="C5360">
        <v>20</v>
      </c>
      <c r="D5360" t="s">
        <v>79</v>
      </c>
      <c r="E5360">
        <v>25</v>
      </c>
      <c r="F5360" t="s">
        <v>10558</v>
      </c>
      <c r="G5360">
        <v>1846</v>
      </c>
      <c r="H5360">
        <v>9</v>
      </c>
      <c r="I5360" t="s">
        <v>89</v>
      </c>
      <c r="J5360">
        <v>0</v>
      </c>
      <c r="K5360">
        <v>2</v>
      </c>
      <c r="L5360">
        <v>2</v>
      </c>
      <c r="M5360">
        <v>303</v>
      </c>
      <c r="N5360">
        <v>453</v>
      </c>
      <c r="O5360">
        <v>9</v>
      </c>
      <c r="P5360">
        <v>444</v>
      </c>
      <c r="Q5360">
        <v>17</v>
      </c>
      <c r="R5360">
        <v>51</v>
      </c>
      <c r="S5360">
        <v>6</v>
      </c>
      <c r="T5360">
        <v>9</v>
      </c>
      <c r="U5360">
        <v>11</v>
      </c>
      <c r="V5360">
        <v>65</v>
      </c>
      <c r="W5360">
        <v>3</v>
      </c>
      <c r="X5360">
        <v>43</v>
      </c>
      <c r="Y5360">
        <v>197</v>
      </c>
      <c r="Z5360">
        <v>8</v>
      </c>
      <c r="AA5360">
        <v>9</v>
      </c>
      <c r="AB5360">
        <v>12</v>
      </c>
      <c r="AC5360">
        <v>0</v>
      </c>
      <c r="AD5360">
        <v>0</v>
      </c>
      <c r="AE5360">
        <v>2</v>
      </c>
      <c r="AF5360">
        <v>0</v>
      </c>
      <c r="AG5360">
        <v>3</v>
      </c>
      <c r="AH5360">
        <v>1</v>
      </c>
      <c r="AI5360">
        <v>0</v>
      </c>
      <c r="AJ5360">
        <v>2</v>
      </c>
      <c r="AK5360">
        <v>3</v>
      </c>
      <c r="AL5360">
        <v>2</v>
      </c>
      <c r="AM5360">
        <v>0</v>
      </c>
      <c r="AN5360">
        <v>0</v>
      </c>
      <c r="AT5360">
        <v>0</v>
      </c>
      <c r="AU5360">
        <v>11</v>
      </c>
      <c r="AV5360">
        <v>455</v>
      </c>
      <c r="AW5360">
        <v>455</v>
      </c>
      <c r="AX5360">
        <v>734</v>
      </c>
      <c r="BA5360">
        <v>1</v>
      </c>
      <c r="BC5360" t="s">
        <v>10833</v>
      </c>
      <c r="BD5360" s="4">
        <v>43283.381249999999</v>
      </c>
      <c r="BE5360" s="4">
        <v>43283.386712962965</v>
      </c>
      <c r="BF5360" s="4">
        <v>43283.386712962965</v>
      </c>
      <c r="BG5360" t="s">
        <v>83</v>
      </c>
      <c r="BH5360" t="s">
        <v>84</v>
      </c>
      <c r="BI5360" t="s">
        <v>85</v>
      </c>
    </row>
    <row r="5361" spans="1:61" x14ac:dyDescent="0.3">
      <c r="A5361" t="str">
        <f>"201846C1000"</f>
        <v>201846C1000</v>
      </c>
      <c r="B5361" t="s">
        <v>10834</v>
      </c>
      <c r="C5361">
        <v>20</v>
      </c>
      <c r="D5361" t="s">
        <v>79</v>
      </c>
      <c r="E5361">
        <v>25</v>
      </c>
      <c r="F5361" t="s">
        <v>10558</v>
      </c>
      <c r="G5361">
        <v>1846</v>
      </c>
      <c r="H5361">
        <v>10</v>
      </c>
      <c r="I5361" t="s">
        <v>89</v>
      </c>
      <c r="J5361">
        <v>0</v>
      </c>
      <c r="K5361">
        <v>2</v>
      </c>
      <c r="L5361">
        <v>2</v>
      </c>
      <c r="M5361" t="s">
        <v>315</v>
      </c>
      <c r="N5361" t="s">
        <v>315</v>
      </c>
      <c r="O5361" t="s">
        <v>315</v>
      </c>
      <c r="P5361" t="s">
        <v>315</v>
      </c>
      <c r="Q5361">
        <v>22</v>
      </c>
      <c r="R5361">
        <v>46</v>
      </c>
      <c r="S5361">
        <v>3</v>
      </c>
      <c r="T5361">
        <v>4</v>
      </c>
      <c r="U5361">
        <v>6</v>
      </c>
      <c r="V5361">
        <v>40</v>
      </c>
      <c r="W5361">
        <v>5</v>
      </c>
      <c r="X5361">
        <v>42</v>
      </c>
      <c r="Y5361">
        <v>227</v>
      </c>
      <c r="Z5361">
        <v>12</v>
      </c>
      <c r="AA5361">
        <v>8</v>
      </c>
      <c r="AB5361">
        <v>11</v>
      </c>
      <c r="AC5361">
        <v>2</v>
      </c>
      <c r="AD5361">
        <v>1</v>
      </c>
      <c r="AE5361">
        <v>0</v>
      </c>
      <c r="AF5361">
        <v>0</v>
      </c>
      <c r="AG5361">
        <v>4</v>
      </c>
      <c r="AH5361">
        <v>0</v>
      </c>
      <c r="AI5361">
        <v>4</v>
      </c>
      <c r="AJ5361">
        <v>0</v>
      </c>
      <c r="AK5361">
        <v>4</v>
      </c>
      <c r="AL5361">
        <v>0</v>
      </c>
      <c r="AM5361">
        <v>0</v>
      </c>
      <c r="AN5361">
        <v>2</v>
      </c>
      <c r="AT5361">
        <v>0</v>
      </c>
      <c r="AU5361">
        <v>12</v>
      </c>
      <c r="AV5361">
        <v>455</v>
      </c>
      <c r="AW5361">
        <v>455</v>
      </c>
      <c r="AX5361">
        <v>734</v>
      </c>
      <c r="BA5361">
        <v>1</v>
      </c>
      <c r="BC5361" t="s">
        <v>10835</v>
      </c>
      <c r="BD5361" s="4">
        <v>43283.380555555559</v>
      </c>
      <c r="BE5361" s="4">
        <v>43283.416863425926</v>
      </c>
      <c r="BF5361" s="4">
        <v>43283.416863425926</v>
      </c>
      <c r="BG5361" t="s">
        <v>83</v>
      </c>
      <c r="BH5361" t="s">
        <v>84</v>
      </c>
      <c r="BI5361" t="s">
        <v>85</v>
      </c>
    </row>
    <row r="5362" spans="1:61" x14ac:dyDescent="0.3">
      <c r="A5362" t="str">
        <f>"201846C1100"</f>
        <v>201846C1100</v>
      </c>
      <c r="B5362" t="s">
        <v>10836</v>
      </c>
      <c r="C5362">
        <v>20</v>
      </c>
      <c r="D5362" t="s">
        <v>79</v>
      </c>
      <c r="E5362">
        <v>25</v>
      </c>
      <c r="F5362" t="s">
        <v>10558</v>
      </c>
      <c r="G5362">
        <v>1846</v>
      </c>
      <c r="H5362">
        <v>11</v>
      </c>
      <c r="I5362" t="s">
        <v>89</v>
      </c>
      <c r="J5362">
        <v>0</v>
      </c>
      <c r="K5362">
        <v>2</v>
      </c>
      <c r="L5362">
        <v>2</v>
      </c>
      <c r="M5362">
        <v>317</v>
      </c>
      <c r="N5362">
        <v>439</v>
      </c>
      <c r="O5362">
        <v>1</v>
      </c>
      <c r="P5362">
        <v>432</v>
      </c>
      <c r="Q5362">
        <v>24</v>
      </c>
      <c r="R5362">
        <v>47</v>
      </c>
      <c r="S5362">
        <v>2</v>
      </c>
      <c r="T5362">
        <v>16</v>
      </c>
      <c r="U5362">
        <v>4</v>
      </c>
      <c r="V5362">
        <v>40</v>
      </c>
      <c r="W5362">
        <v>3</v>
      </c>
      <c r="X5362">
        <v>43</v>
      </c>
      <c r="Y5362">
        <v>212</v>
      </c>
      <c r="Z5362">
        <v>14</v>
      </c>
      <c r="AA5362">
        <v>4</v>
      </c>
      <c r="AB5362">
        <v>7</v>
      </c>
      <c r="AC5362">
        <v>0</v>
      </c>
      <c r="AD5362">
        <v>1</v>
      </c>
      <c r="AE5362">
        <v>0</v>
      </c>
      <c r="AF5362">
        <v>0</v>
      </c>
      <c r="AG5362">
        <v>1</v>
      </c>
      <c r="AH5362">
        <v>0</v>
      </c>
      <c r="AI5362">
        <v>0</v>
      </c>
      <c r="AJ5362">
        <v>0</v>
      </c>
      <c r="AK5362">
        <v>2</v>
      </c>
      <c r="AL5362">
        <v>0</v>
      </c>
      <c r="AM5362">
        <v>0</v>
      </c>
      <c r="AN5362">
        <v>0</v>
      </c>
      <c r="AT5362">
        <v>0</v>
      </c>
      <c r="AU5362">
        <v>12</v>
      </c>
      <c r="AV5362">
        <v>432</v>
      </c>
      <c r="AW5362">
        <v>432</v>
      </c>
      <c r="AX5362">
        <v>734</v>
      </c>
      <c r="BA5362">
        <v>1</v>
      </c>
      <c r="BC5362" t="s">
        <v>10837</v>
      </c>
      <c r="BD5362" s="4">
        <v>43283.535416666666</v>
      </c>
      <c r="BE5362" s="4">
        <v>43283.541273148148</v>
      </c>
      <c r="BF5362" s="4">
        <v>43283.541273148148</v>
      </c>
      <c r="BG5362" t="s">
        <v>83</v>
      </c>
      <c r="BH5362" t="s">
        <v>84</v>
      </c>
      <c r="BI5362" t="s">
        <v>548</v>
      </c>
    </row>
    <row r="5363" spans="1:61" x14ac:dyDescent="0.3">
      <c r="A5363" t="str">
        <f>"201846C1200"</f>
        <v>201846C1200</v>
      </c>
      <c r="B5363" t="s">
        <v>10838</v>
      </c>
      <c r="C5363">
        <v>20</v>
      </c>
      <c r="D5363" t="s">
        <v>79</v>
      </c>
      <c r="E5363">
        <v>25</v>
      </c>
      <c r="F5363" t="s">
        <v>10558</v>
      </c>
      <c r="G5363">
        <v>1846</v>
      </c>
      <c r="H5363">
        <v>12</v>
      </c>
      <c r="I5363" t="s">
        <v>89</v>
      </c>
      <c r="J5363">
        <v>0</v>
      </c>
      <c r="K5363">
        <v>2</v>
      </c>
      <c r="L5363">
        <v>2</v>
      </c>
      <c r="AX5363">
        <v>734</v>
      </c>
      <c r="AZ5363" t="s">
        <v>932</v>
      </c>
      <c r="BA5363">
        <v>0</v>
      </c>
      <c r="BC5363" t="s">
        <v>10839</v>
      </c>
      <c r="BD5363" s="4">
        <v>43283.616666666669</v>
      </c>
      <c r="BE5363" s="4">
        <v>43283.622696759259</v>
      </c>
      <c r="BF5363" s="4">
        <v>43283.622696759259</v>
      </c>
      <c r="BG5363" t="s">
        <v>83</v>
      </c>
      <c r="BH5363" t="s">
        <v>84</v>
      </c>
      <c r="BI5363" t="s">
        <v>85</v>
      </c>
    </row>
    <row r="5364" spans="1:61" x14ac:dyDescent="0.3">
      <c r="A5364" t="str">
        <f>"201846C1300"</f>
        <v>201846C1300</v>
      </c>
      <c r="B5364" t="s">
        <v>10840</v>
      </c>
      <c r="C5364">
        <v>20</v>
      </c>
      <c r="D5364" t="s">
        <v>79</v>
      </c>
      <c r="E5364">
        <v>25</v>
      </c>
      <c r="F5364" t="s">
        <v>10558</v>
      </c>
      <c r="G5364">
        <v>1846</v>
      </c>
      <c r="H5364">
        <v>13</v>
      </c>
      <c r="I5364" t="s">
        <v>89</v>
      </c>
      <c r="J5364">
        <v>0</v>
      </c>
      <c r="K5364">
        <v>2</v>
      </c>
      <c r="L5364">
        <v>2</v>
      </c>
      <c r="M5364">
        <v>319</v>
      </c>
      <c r="N5364">
        <v>437</v>
      </c>
      <c r="O5364">
        <v>2</v>
      </c>
      <c r="P5364">
        <v>437</v>
      </c>
      <c r="Q5364">
        <v>26</v>
      </c>
      <c r="R5364">
        <v>37</v>
      </c>
      <c r="S5364">
        <v>3</v>
      </c>
      <c r="T5364">
        <v>10</v>
      </c>
      <c r="U5364">
        <v>14</v>
      </c>
      <c r="V5364">
        <v>43</v>
      </c>
      <c r="W5364">
        <v>4</v>
      </c>
      <c r="X5364">
        <v>39</v>
      </c>
      <c r="Y5364">
        <v>195</v>
      </c>
      <c r="Z5364">
        <v>19</v>
      </c>
      <c r="AA5364">
        <v>4</v>
      </c>
      <c r="AB5364">
        <v>14</v>
      </c>
      <c r="AC5364">
        <v>1</v>
      </c>
      <c r="AD5364">
        <v>0</v>
      </c>
      <c r="AE5364">
        <v>0</v>
      </c>
      <c r="AF5364">
        <v>0</v>
      </c>
      <c r="AG5364">
        <v>1</v>
      </c>
      <c r="AH5364">
        <v>0</v>
      </c>
      <c r="AI5364">
        <v>2</v>
      </c>
      <c r="AJ5364">
        <v>0</v>
      </c>
      <c r="AK5364">
        <v>4</v>
      </c>
      <c r="AL5364">
        <v>2</v>
      </c>
      <c r="AM5364">
        <v>0</v>
      </c>
      <c r="AN5364">
        <v>2</v>
      </c>
      <c r="AT5364">
        <v>0</v>
      </c>
      <c r="AU5364">
        <v>16</v>
      </c>
      <c r="AV5364">
        <v>436</v>
      </c>
      <c r="AW5364">
        <v>436</v>
      </c>
      <c r="AX5364">
        <v>734</v>
      </c>
      <c r="BA5364">
        <v>1</v>
      </c>
      <c r="BC5364" t="s">
        <v>10841</v>
      </c>
      <c r="BD5364" s="4">
        <v>43283.378472222219</v>
      </c>
      <c r="BE5364" s="4">
        <v>43283.388287037036</v>
      </c>
      <c r="BF5364" s="4">
        <v>43283.388287037036</v>
      </c>
      <c r="BG5364" t="s">
        <v>83</v>
      </c>
      <c r="BH5364" t="s">
        <v>84</v>
      </c>
      <c r="BI5364" t="s">
        <v>85</v>
      </c>
    </row>
    <row r="5365" spans="1:61" x14ac:dyDescent="0.3">
      <c r="A5365" t="str">
        <f>"201847B0100"</f>
        <v>201847B0100</v>
      </c>
      <c r="B5365" t="s">
        <v>10842</v>
      </c>
      <c r="C5365">
        <v>20</v>
      </c>
      <c r="D5365" t="s">
        <v>79</v>
      </c>
      <c r="E5365">
        <v>25</v>
      </c>
      <c r="F5365" t="s">
        <v>10558</v>
      </c>
      <c r="G5365">
        <v>1847</v>
      </c>
      <c r="H5365">
        <v>1</v>
      </c>
      <c r="I5365" t="s">
        <v>81</v>
      </c>
      <c r="J5365">
        <v>0</v>
      </c>
      <c r="K5365">
        <v>2</v>
      </c>
      <c r="L5365">
        <v>2</v>
      </c>
      <c r="M5365">
        <v>176</v>
      </c>
      <c r="N5365">
        <v>293</v>
      </c>
      <c r="O5365">
        <v>13</v>
      </c>
      <c r="P5365">
        <v>293</v>
      </c>
      <c r="Q5365">
        <v>15</v>
      </c>
      <c r="R5365">
        <v>49</v>
      </c>
      <c r="S5365">
        <v>2</v>
      </c>
      <c r="T5365">
        <v>8</v>
      </c>
      <c r="U5365">
        <v>6</v>
      </c>
      <c r="V5365">
        <v>37</v>
      </c>
      <c r="W5365">
        <v>1</v>
      </c>
      <c r="X5365">
        <v>38</v>
      </c>
      <c r="Y5365">
        <v>93</v>
      </c>
      <c r="Z5365">
        <v>5</v>
      </c>
      <c r="AA5365">
        <v>6</v>
      </c>
      <c r="AB5365">
        <v>7</v>
      </c>
      <c r="AC5365">
        <v>2</v>
      </c>
      <c r="AD5365">
        <v>0</v>
      </c>
      <c r="AE5365">
        <v>0</v>
      </c>
      <c r="AF5365">
        <v>0</v>
      </c>
      <c r="AG5365">
        <v>1</v>
      </c>
      <c r="AH5365">
        <v>0</v>
      </c>
      <c r="AI5365">
        <v>2</v>
      </c>
      <c r="AJ5365">
        <v>1</v>
      </c>
      <c r="AK5365">
        <v>1</v>
      </c>
      <c r="AL5365">
        <v>2</v>
      </c>
      <c r="AM5365">
        <v>0</v>
      </c>
      <c r="AN5365">
        <v>2</v>
      </c>
      <c r="AT5365">
        <v>0</v>
      </c>
      <c r="AU5365">
        <v>15</v>
      </c>
      <c r="AV5365">
        <v>293</v>
      </c>
      <c r="AW5365">
        <v>293</v>
      </c>
      <c r="AX5365">
        <v>447</v>
      </c>
      <c r="BA5365">
        <v>1</v>
      </c>
      <c r="BC5365" t="s">
        <v>10843</v>
      </c>
      <c r="BD5365" s="4">
        <v>43283.361805555556</v>
      </c>
      <c r="BE5365" s="4">
        <v>43283.372766203705</v>
      </c>
      <c r="BF5365" s="4">
        <v>43283.372766203705</v>
      </c>
      <c r="BG5365" t="s">
        <v>83</v>
      </c>
      <c r="BH5365" t="s">
        <v>84</v>
      </c>
      <c r="BI5365" t="s">
        <v>85</v>
      </c>
    </row>
    <row r="5366" spans="1:61" x14ac:dyDescent="0.3">
      <c r="A5366" t="str">
        <f>"201847C0100"</f>
        <v>201847C0100</v>
      </c>
      <c r="B5366" t="s">
        <v>10844</v>
      </c>
      <c r="C5366">
        <v>20</v>
      </c>
      <c r="D5366" t="s">
        <v>79</v>
      </c>
      <c r="E5366">
        <v>25</v>
      </c>
      <c r="F5366" t="s">
        <v>10558</v>
      </c>
      <c r="G5366">
        <v>1847</v>
      </c>
      <c r="H5366">
        <v>1</v>
      </c>
      <c r="I5366" t="s">
        <v>89</v>
      </c>
      <c r="J5366">
        <v>0</v>
      </c>
      <c r="K5366">
        <v>2</v>
      </c>
      <c r="L5366">
        <v>2</v>
      </c>
      <c r="AX5366">
        <v>446</v>
      </c>
      <c r="AZ5366" t="s">
        <v>932</v>
      </c>
      <c r="BA5366">
        <v>0</v>
      </c>
      <c r="BC5366" t="s">
        <v>10845</v>
      </c>
      <c r="BD5366" s="4">
        <v>43283.616666666669</v>
      </c>
      <c r="BE5366" s="4">
        <v>43283.622939814813</v>
      </c>
      <c r="BF5366" s="4">
        <v>43283.622939814813</v>
      </c>
      <c r="BG5366" t="s">
        <v>83</v>
      </c>
      <c r="BH5366" t="s">
        <v>84</v>
      </c>
      <c r="BI5366" t="s">
        <v>85</v>
      </c>
    </row>
    <row r="5367" spans="1:61" x14ac:dyDescent="0.3">
      <c r="A5367" t="str">
        <f>"201847S0100"</f>
        <v>201847S0100</v>
      </c>
      <c r="B5367" t="s">
        <v>10846</v>
      </c>
      <c r="C5367">
        <v>20</v>
      </c>
      <c r="D5367" t="s">
        <v>79</v>
      </c>
      <c r="E5367">
        <v>25</v>
      </c>
      <c r="F5367" t="s">
        <v>10558</v>
      </c>
      <c r="G5367">
        <v>1847</v>
      </c>
      <c r="H5367">
        <v>1</v>
      </c>
      <c r="I5367" t="s">
        <v>104</v>
      </c>
      <c r="J5367">
        <v>0</v>
      </c>
      <c r="K5367">
        <v>2</v>
      </c>
      <c r="L5367">
        <v>3</v>
      </c>
      <c r="M5367">
        <v>478</v>
      </c>
      <c r="N5367">
        <v>24</v>
      </c>
      <c r="O5367">
        <v>0</v>
      </c>
      <c r="P5367">
        <v>24</v>
      </c>
      <c r="Q5367">
        <v>1</v>
      </c>
      <c r="R5367">
        <v>6</v>
      </c>
      <c r="S5367">
        <v>0</v>
      </c>
      <c r="T5367">
        <v>0</v>
      </c>
      <c r="U5367">
        <v>2</v>
      </c>
      <c r="V5367">
        <v>0</v>
      </c>
      <c r="W5367">
        <v>0</v>
      </c>
      <c r="X5367">
        <v>2</v>
      </c>
      <c r="Y5367">
        <v>11</v>
      </c>
      <c r="Z5367">
        <v>0</v>
      </c>
      <c r="AA5367">
        <v>0</v>
      </c>
      <c r="AB5367">
        <v>0</v>
      </c>
      <c r="AC5367">
        <v>0</v>
      </c>
      <c r="AD5367">
        <v>0</v>
      </c>
      <c r="AE5367">
        <v>0</v>
      </c>
      <c r="AF5367">
        <v>0</v>
      </c>
      <c r="AG5367">
        <v>0</v>
      </c>
      <c r="AH5367">
        <v>0</v>
      </c>
      <c r="AI5367">
        <v>0</v>
      </c>
      <c r="AJ5367">
        <v>0</v>
      </c>
      <c r="AK5367">
        <v>0</v>
      </c>
      <c r="AL5367">
        <v>0</v>
      </c>
      <c r="AM5367">
        <v>0</v>
      </c>
      <c r="AN5367">
        <v>0</v>
      </c>
      <c r="AT5367">
        <v>0</v>
      </c>
      <c r="AU5367">
        <v>2</v>
      </c>
      <c r="AV5367">
        <v>24</v>
      </c>
      <c r="AW5367">
        <v>24</v>
      </c>
      <c r="AX5367">
        <v>0</v>
      </c>
      <c r="BA5367">
        <v>1</v>
      </c>
      <c r="BC5367" t="s">
        <v>10847</v>
      </c>
      <c r="BD5367" s="4">
        <v>43283.368055555555</v>
      </c>
      <c r="BE5367" s="4">
        <v>43283.37767361111</v>
      </c>
      <c r="BF5367" s="4">
        <v>43283.37767361111</v>
      </c>
      <c r="BG5367" t="s">
        <v>83</v>
      </c>
      <c r="BH5367" t="s">
        <v>84</v>
      </c>
      <c r="BI5367" t="s">
        <v>85</v>
      </c>
    </row>
    <row r="5368" spans="1:61" x14ac:dyDescent="0.3">
      <c r="A5368" t="str">
        <f>"201848B0100"</f>
        <v>201848B0100</v>
      </c>
      <c r="B5368" t="s">
        <v>10848</v>
      </c>
      <c r="C5368">
        <v>20</v>
      </c>
      <c r="D5368" t="s">
        <v>79</v>
      </c>
      <c r="E5368">
        <v>25</v>
      </c>
      <c r="F5368" t="s">
        <v>10558</v>
      </c>
      <c r="G5368">
        <v>1848</v>
      </c>
      <c r="H5368">
        <v>1</v>
      </c>
      <c r="I5368" t="s">
        <v>81</v>
      </c>
      <c r="J5368">
        <v>0</v>
      </c>
      <c r="K5368">
        <v>2</v>
      </c>
      <c r="L5368">
        <v>2</v>
      </c>
      <c r="M5368">
        <v>111</v>
      </c>
      <c r="N5368">
        <v>410</v>
      </c>
      <c r="O5368">
        <v>7</v>
      </c>
      <c r="P5368">
        <v>410</v>
      </c>
      <c r="Q5368">
        <v>7</v>
      </c>
      <c r="R5368">
        <v>109</v>
      </c>
      <c r="S5368">
        <v>4</v>
      </c>
      <c r="T5368">
        <v>41</v>
      </c>
      <c r="U5368">
        <v>5</v>
      </c>
      <c r="V5368">
        <v>43</v>
      </c>
      <c r="W5368">
        <v>3</v>
      </c>
      <c r="X5368">
        <v>70</v>
      </c>
      <c r="Y5368">
        <v>64</v>
      </c>
      <c r="Z5368">
        <v>6</v>
      </c>
      <c r="AA5368">
        <v>12</v>
      </c>
      <c r="AB5368">
        <v>2</v>
      </c>
      <c r="AC5368">
        <v>2</v>
      </c>
      <c r="AD5368">
        <v>1</v>
      </c>
      <c r="AE5368">
        <v>0</v>
      </c>
      <c r="AF5368">
        <v>0</v>
      </c>
      <c r="AG5368">
        <v>13</v>
      </c>
      <c r="AH5368">
        <v>1</v>
      </c>
      <c r="AI5368">
        <v>3</v>
      </c>
      <c r="AJ5368">
        <v>1</v>
      </c>
      <c r="AK5368">
        <v>0</v>
      </c>
      <c r="AL5368">
        <v>0</v>
      </c>
      <c r="AM5368">
        <v>0</v>
      </c>
      <c r="AN5368">
        <v>1</v>
      </c>
      <c r="AT5368">
        <v>0</v>
      </c>
      <c r="AU5368">
        <v>22</v>
      </c>
      <c r="AV5368">
        <v>410</v>
      </c>
      <c r="AW5368">
        <v>410</v>
      </c>
      <c r="AX5368">
        <v>499</v>
      </c>
      <c r="BA5368">
        <v>1</v>
      </c>
      <c r="BC5368" t="s">
        <v>10849</v>
      </c>
      <c r="BD5368" s="4">
        <v>43283.210416666669</v>
      </c>
      <c r="BE5368" s="4">
        <v>43283.232256944444</v>
      </c>
      <c r="BF5368" s="4">
        <v>43283.232256944444</v>
      </c>
      <c r="BG5368" t="s">
        <v>83</v>
      </c>
      <c r="BH5368" t="s">
        <v>84</v>
      </c>
      <c r="BI5368" t="s">
        <v>85</v>
      </c>
    </row>
    <row r="5369" spans="1:61" x14ac:dyDescent="0.3">
      <c r="A5369" t="str">
        <f>"201848E0100"</f>
        <v>201848E0100</v>
      </c>
      <c r="B5369" s="2" t="s">
        <v>10850</v>
      </c>
      <c r="C5369">
        <v>20</v>
      </c>
      <c r="D5369" t="s">
        <v>79</v>
      </c>
      <c r="E5369">
        <v>25</v>
      </c>
      <c r="F5369" t="s">
        <v>10558</v>
      </c>
      <c r="G5369">
        <v>1848</v>
      </c>
      <c r="H5369">
        <v>1</v>
      </c>
      <c r="I5369" t="s">
        <v>145</v>
      </c>
      <c r="J5369">
        <v>0</v>
      </c>
      <c r="K5369">
        <v>2</v>
      </c>
      <c r="L5369">
        <v>2</v>
      </c>
      <c r="AX5369">
        <v>508</v>
      </c>
      <c r="AZ5369" t="s">
        <v>932</v>
      </c>
      <c r="BA5369">
        <v>0</v>
      </c>
      <c r="BC5369" t="s">
        <v>10851</v>
      </c>
      <c r="BD5369" s="4">
        <v>43283.616666666669</v>
      </c>
      <c r="BE5369" s="4">
        <v>43283.623553240737</v>
      </c>
      <c r="BF5369" s="4">
        <v>43283.623553240737</v>
      </c>
      <c r="BG5369" t="s">
        <v>83</v>
      </c>
      <c r="BH5369" t="s">
        <v>84</v>
      </c>
      <c r="BI5369" t="s">
        <v>85</v>
      </c>
    </row>
    <row r="5370" spans="1:61" x14ac:dyDescent="0.3">
      <c r="A5370" t="str">
        <f>"201848E0101"</f>
        <v>201848E0101</v>
      </c>
      <c r="B5370" s="2" t="s">
        <v>10852</v>
      </c>
      <c r="C5370">
        <v>20</v>
      </c>
      <c r="D5370" t="s">
        <v>79</v>
      </c>
      <c r="E5370">
        <v>25</v>
      </c>
      <c r="F5370" t="s">
        <v>10558</v>
      </c>
      <c r="G5370">
        <v>1848</v>
      </c>
      <c r="H5370">
        <v>1</v>
      </c>
      <c r="I5370" t="s">
        <v>145</v>
      </c>
      <c r="J5370">
        <v>1</v>
      </c>
      <c r="K5370">
        <v>2</v>
      </c>
      <c r="L5370">
        <v>2</v>
      </c>
      <c r="AX5370">
        <v>508</v>
      </c>
      <c r="AZ5370" t="s">
        <v>932</v>
      </c>
      <c r="BA5370">
        <v>0</v>
      </c>
      <c r="BC5370" t="s">
        <v>10853</v>
      </c>
      <c r="BD5370" s="4">
        <v>43283.617361111108</v>
      </c>
      <c r="BE5370" s="4">
        <v>43283.623935185184</v>
      </c>
      <c r="BF5370" s="4">
        <v>43283.623935185184</v>
      </c>
      <c r="BG5370" t="s">
        <v>83</v>
      </c>
      <c r="BH5370" t="s">
        <v>84</v>
      </c>
      <c r="BI5370" t="s">
        <v>85</v>
      </c>
    </row>
    <row r="5371" spans="1:61" x14ac:dyDescent="0.3">
      <c r="A5371" t="str">
        <f>"201848E0200"</f>
        <v>201848E0200</v>
      </c>
      <c r="B5371" s="2" t="s">
        <v>10854</v>
      </c>
      <c r="C5371">
        <v>20</v>
      </c>
      <c r="D5371" t="s">
        <v>79</v>
      </c>
      <c r="E5371">
        <v>25</v>
      </c>
      <c r="F5371" t="s">
        <v>10558</v>
      </c>
      <c r="G5371">
        <v>1848</v>
      </c>
      <c r="H5371">
        <v>2</v>
      </c>
      <c r="I5371" t="s">
        <v>145</v>
      </c>
      <c r="J5371">
        <v>0</v>
      </c>
      <c r="K5371">
        <v>2</v>
      </c>
      <c r="L5371">
        <v>2</v>
      </c>
      <c r="M5371">
        <v>119</v>
      </c>
      <c r="N5371">
        <v>319</v>
      </c>
      <c r="O5371">
        <v>5</v>
      </c>
      <c r="P5371">
        <v>319</v>
      </c>
      <c r="Q5371">
        <v>15</v>
      </c>
      <c r="R5371">
        <v>40</v>
      </c>
      <c r="S5371">
        <v>3</v>
      </c>
      <c r="T5371">
        <v>7</v>
      </c>
      <c r="U5371">
        <v>4</v>
      </c>
      <c r="V5371">
        <v>43</v>
      </c>
      <c r="W5371">
        <v>8</v>
      </c>
      <c r="X5371">
        <v>37</v>
      </c>
      <c r="Y5371">
        <v>102</v>
      </c>
      <c r="Z5371">
        <v>5</v>
      </c>
      <c r="AA5371">
        <v>18</v>
      </c>
      <c r="AB5371">
        <v>1</v>
      </c>
      <c r="AC5371">
        <v>0</v>
      </c>
      <c r="AD5371">
        <v>0</v>
      </c>
      <c r="AE5371">
        <v>0</v>
      </c>
      <c r="AF5371">
        <v>1</v>
      </c>
      <c r="AG5371">
        <v>1</v>
      </c>
      <c r="AH5371">
        <v>0</v>
      </c>
      <c r="AI5371">
        <v>2</v>
      </c>
      <c r="AJ5371">
        <v>1</v>
      </c>
      <c r="AK5371">
        <v>0</v>
      </c>
      <c r="AL5371">
        <v>0</v>
      </c>
      <c r="AM5371">
        <v>0</v>
      </c>
      <c r="AN5371">
        <v>1</v>
      </c>
      <c r="AT5371">
        <v>0</v>
      </c>
      <c r="AU5371">
        <v>19</v>
      </c>
      <c r="AV5371" t="s">
        <v>100</v>
      </c>
      <c r="AW5371">
        <v>308</v>
      </c>
      <c r="AX5371">
        <v>416</v>
      </c>
      <c r="BA5371">
        <v>1</v>
      </c>
      <c r="BC5371" t="s">
        <v>10855</v>
      </c>
      <c r="BD5371" s="4">
        <v>43283.203472222223</v>
      </c>
      <c r="BE5371" s="4">
        <v>43283.220937500002</v>
      </c>
      <c r="BF5371" s="4">
        <v>43283.220937500002</v>
      </c>
      <c r="BG5371" t="s">
        <v>83</v>
      </c>
      <c r="BH5371" t="s">
        <v>84</v>
      </c>
      <c r="BI5371" t="s">
        <v>85</v>
      </c>
    </row>
    <row r="5372" spans="1:61" x14ac:dyDescent="0.3">
      <c r="A5372" t="str">
        <f>"201848E0300"</f>
        <v>201848E0300</v>
      </c>
      <c r="B5372" s="2" t="s">
        <v>10856</v>
      </c>
      <c r="C5372">
        <v>20</v>
      </c>
      <c r="D5372" t="s">
        <v>79</v>
      </c>
      <c r="E5372">
        <v>25</v>
      </c>
      <c r="F5372" t="s">
        <v>10558</v>
      </c>
      <c r="G5372">
        <v>1848</v>
      </c>
      <c r="H5372">
        <v>3</v>
      </c>
      <c r="I5372" t="s">
        <v>145</v>
      </c>
      <c r="J5372">
        <v>0</v>
      </c>
      <c r="K5372">
        <v>2</v>
      </c>
      <c r="L5372">
        <v>2</v>
      </c>
      <c r="M5372">
        <v>187</v>
      </c>
      <c r="N5372">
        <v>387</v>
      </c>
      <c r="O5372">
        <v>5</v>
      </c>
      <c r="P5372">
        <v>387</v>
      </c>
      <c r="Q5372">
        <v>19</v>
      </c>
      <c r="R5372">
        <v>44</v>
      </c>
      <c r="S5372">
        <v>9</v>
      </c>
      <c r="T5372">
        <v>16</v>
      </c>
      <c r="U5372">
        <v>7</v>
      </c>
      <c r="V5372">
        <v>46</v>
      </c>
      <c r="W5372">
        <v>8</v>
      </c>
      <c r="X5372">
        <v>44</v>
      </c>
      <c r="Y5372">
        <v>138</v>
      </c>
      <c r="Z5372">
        <v>7</v>
      </c>
      <c r="AA5372">
        <v>6</v>
      </c>
      <c r="AB5372">
        <v>6</v>
      </c>
      <c r="AC5372">
        <v>0</v>
      </c>
      <c r="AD5372">
        <v>0</v>
      </c>
      <c r="AE5372">
        <v>0</v>
      </c>
      <c r="AF5372">
        <v>0</v>
      </c>
      <c r="AG5372">
        <v>4</v>
      </c>
      <c r="AH5372">
        <v>0</v>
      </c>
      <c r="AI5372">
        <v>2</v>
      </c>
      <c r="AJ5372">
        <v>0</v>
      </c>
      <c r="AK5372">
        <v>5</v>
      </c>
      <c r="AL5372">
        <v>2</v>
      </c>
      <c r="AM5372">
        <v>1</v>
      </c>
      <c r="AN5372">
        <v>0</v>
      </c>
      <c r="AT5372">
        <v>0</v>
      </c>
      <c r="AU5372">
        <v>23</v>
      </c>
      <c r="AV5372">
        <v>387</v>
      </c>
      <c r="AW5372">
        <v>387</v>
      </c>
      <c r="AX5372">
        <v>552</v>
      </c>
      <c r="BA5372">
        <v>1</v>
      </c>
      <c r="BC5372" t="s">
        <v>10857</v>
      </c>
      <c r="BD5372" s="4">
        <v>43283.214583333334</v>
      </c>
      <c r="BE5372" s="4">
        <v>43283.237337962964</v>
      </c>
      <c r="BF5372" s="4">
        <v>43283.237337962964</v>
      </c>
      <c r="BG5372" t="s">
        <v>83</v>
      </c>
      <c r="BH5372" t="s">
        <v>84</v>
      </c>
      <c r="BI5372" t="s">
        <v>85</v>
      </c>
    </row>
    <row r="5373" spans="1:61" x14ac:dyDescent="0.3">
      <c r="A5373" t="str">
        <f>"201848E0301"</f>
        <v>201848E0301</v>
      </c>
      <c r="B5373" s="2" t="s">
        <v>10858</v>
      </c>
      <c r="C5373">
        <v>20</v>
      </c>
      <c r="D5373" t="s">
        <v>79</v>
      </c>
      <c r="E5373">
        <v>25</v>
      </c>
      <c r="F5373" t="s">
        <v>10558</v>
      </c>
      <c r="G5373">
        <v>1848</v>
      </c>
      <c r="H5373">
        <v>3</v>
      </c>
      <c r="I5373" t="s">
        <v>145</v>
      </c>
      <c r="J5373">
        <v>1</v>
      </c>
      <c r="K5373">
        <v>2</v>
      </c>
      <c r="L5373">
        <v>2</v>
      </c>
      <c r="M5373">
        <v>187</v>
      </c>
      <c r="N5373">
        <v>387</v>
      </c>
      <c r="O5373">
        <v>8</v>
      </c>
      <c r="P5373">
        <v>387</v>
      </c>
      <c r="Q5373">
        <v>14</v>
      </c>
      <c r="R5373">
        <v>47</v>
      </c>
      <c r="S5373">
        <v>9</v>
      </c>
      <c r="T5373">
        <v>10</v>
      </c>
      <c r="U5373">
        <v>18</v>
      </c>
      <c r="V5373">
        <v>43</v>
      </c>
      <c r="W5373">
        <v>7</v>
      </c>
      <c r="X5373">
        <v>33</v>
      </c>
      <c r="Y5373">
        <v>171</v>
      </c>
      <c r="Z5373">
        <v>6</v>
      </c>
      <c r="AA5373">
        <v>1</v>
      </c>
      <c r="AB5373">
        <v>7</v>
      </c>
      <c r="AC5373">
        <v>1</v>
      </c>
      <c r="AD5373">
        <v>0</v>
      </c>
      <c r="AE5373">
        <v>0</v>
      </c>
      <c r="AF5373">
        <v>0</v>
      </c>
      <c r="AG5373">
        <v>0</v>
      </c>
      <c r="AH5373">
        <v>1</v>
      </c>
      <c r="AI5373">
        <v>0</v>
      </c>
      <c r="AJ5373">
        <v>0</v>
      </c>
      <c r="AK5373">
        <v>2</v>
      </c>
      <c r="AL5373">
        <v>0</v>
      </c>
      <c r="AM5373">
        <v>0</v>
      </c>
      <c r="AN5373">
        <v>0</v>
      </c>
      <c r="AT5373">
        <v>0</v>
      </c>
      <c r="AU5373">
        <v>17</v>
      </c>
      <c r="AV5373">
        <v>387</v>
      </c>
      <c r="AW5373">
        <v>387</v>
      </c>
      <c r="AX5373">
        <v>552</v>
      </c>
      <c r="BA5373">
        <v>1</v>
      </c>
      <c r="BC5373" t="s">
        <v>10859</v>
      </c>
      <c r="BD5373" s="4">
        <v>43283.215277777781</v>
      </c>
      <c r="BE5373" s="4">
        <v>43283.237164351849</v>
      </c>
      <c r="BF5373" s="4">
        <v>43283.237164351849</v>
      </c>
      <c r="BG5373" t="s">
        <v>83</v>
      </c>
      <c r="BH5373" t="s">
        <v>84</v>
      </c>
      <c r="BI5373" t="s">
        <v>85</v>
      </c>
    </row>
    <row r="5374" spans="1:61" x14ac:dyDescent="0.3">
      <c r="A5374" t="str">
        <f>"201848E0400"</f>
        <v>201848E0400</v>
      </c>
      <c r="B5374" s="2" t="s">
        <v>10860</v>
      </c>
      <c r="C5374">
        <v>20</v>
      </c>
      <c r="D5374" t="s">
        <v>79</v>
      </c>
      <c r="E5374">
        <v>25</v>
      </c>
      <c r="F5374" t="s">
        <v>10558</v>
      </c>
      <c r="G5374">
        <v>1848</v>
      </c>
      <c r="H5374">
        <v>4</v>
      </c>
      <c r="I5374" t="s">
        <v>145</v>
      </c>
      <c r="J5374">
        <v>0</v>
      </c>
      <c r="K5374">
        <v>2</v>
      </c>
      <c r="L5374">
        <v>2</v>
      </c>
      <c r="M5374">
        <v>231</v>
      </c>
      <c r="N5374">
        <v>316</v>
      </c>
      <c r="O5374">
        <v>3</v>
      </c>
      <c r="P5374">
        <v>316</v>
      </c>
      <c r="Q5374">
        <v>10</v>
      </c>
      <c r="R5374">
        <v>32</v>
      </c>
      <c r="S5374">
        <v>3</v>
      </c>
      <c r="T5374">
        <v>7</v>
      </c>
      <c r="U5374">
        <v>14</v>
      </c>
      <c r="V5374">
        <v>24</v>
      </c>
      <c r="W5374">
        <v>2</v>
      </c>
      <c r="X5374">
        <v>33</v>
      </c>
      <c r="Y5374">
        <v>150</v>
      </c>
      <c r="Z5374">
        <v>8</v>
      </c>
      <c r="AA5374">
        <v>2</v>
      </c>
      <c r="AB5374">
        <v>4</v>
      </c>
      <c r="AC5374">
        <v>1</v>
      </c>
      <c r="AD5374">
        <v>0</v>
      </c>
      <c r="AE5374">
        <v>0</v>
      </c>
      <c r="AF5374">
        <v>0</v>
      </c>
      <c r="AG5374">
        <v>4</v>
      </c>
      <c r="AH5374">
        <v>0</v>
      </c>
      <c r="AI5374">
        <v>0</v>
      </c>
      <c r="AJ5374">
        <v>0</v>
      </c>
      <c r="AK5374">
        <v>2</v>
      </c>
      <c r="AL5374">
        <v>2</v>
      </c>
      <c r="AM5374">
        <v>0</v>
      </c>
      <c r="AN5374">
        <v>3</v>
      </c>
      <c r="AT5374">
        <v>0</v>
      </c>
      <c r="AU5374">
        <v>15</v>
      </c>
      <c r="AV5374">
        <v>316</v>
      </c>
      <c r="AW5374">
        <v>316</v>
      </c>
      <c r="AX5374">
        <v>525</v>
      </c>
      <c r="BA5374">
        <v>1</v>
      </c>
      <c r="BC5374" t="s">
        <v>10861</v>
      </c>
      <c r="BD5374" s="4">
        <v>43283.203472222223</v>
      </c>
      <c r="BE5374" s="4">
        <v>43283.221932870372</v>
      </c>
      <c r="BF5374" s="4">
        <v>43283.221932870372</v>
      </c>
      <c r="BG5374" t="s">
        <v>83</v>
      </c>
      <c r="BH5374" t="s">
        <v>84</v>
      </c>
      <c r="BI5374" t="s">
        <v>85</v>
      </c>
    </row>
    <row r="5375" spans="1:61" x14ac:dyDescent="0.3">
      <c r="A5375" t="str">
        <f>"201849B0100"</f>
        <v>201849B0100</v>
      </c>
      <c r="B5375" t="s">
        <v>10862</v>
      </c>
      <c r="C5375">
        <v>20</v>
      </c>
      <c r="D5375" t="s">
        <v>79</v>
      </c>
      <c r="E5375">
        <v>25</v>
      </c>
      <c r="F5375" t="s">
        <v>10558</v>
      </c>
      <c r="G5375">
        <v>1849</v>
      </c>
      <c r="H5375">
        <v>1</v>
      </c>
      <c r="I5375" t="s">
        <v>81</v>
      </c>
      <c r="J5375">
        <v>0</v>
      </c>
      <c r="K5375">
        <v>2</v>
      </c>
      <c r="L5375">
        <v>2</v>
      </c>
      <c r="M5375">
        <v>210</v>
      </c>
      <c r="N5375">
        <v>410</v>
      </c>
      <c r="O5375">
        <v>4</v>
      </c>
      <c r="P5375">
        <v>410</v>
      </c>
      <c r="Q5375">
        <v>10</v>
      </c>
      <c r="R5375">
        <v>99</v>
      </c>
      <c r="S5375">
        <v>9</v>
      </c>
      <c r="T5375">
        <v>7</v>
      </c>
      <c r="U5375">
        <v>12</v>
      </c>
      <c r="V5375">
        <v>54</v>
      </c>
      <c r="W5375">
        <v>4</v>
      </c>
      <c r="X5375">
        <v>45</v>
      </c>
      <c r="Y5375">
        <v>124</v>
      </c>
      <c r="Z5375">
        <v>5</v>
      </c>
      <c r="AA5375">
        <v>3</v>
      </c>
      <c r="AB5375">
        <v>4</v>
      </c>
      <c r="AC5375">
        <v>1</v>
      </c>
      <c r="AD5375">
        <v>0</v>
      </c>
      <c r="AE5375">
        <v>1</v>
      </c>
      <c r="AF5375">
        <v>1</v>
      </c>
      <c r="AG5375">
        <v>3</v>
      </c>
      <c r="AH5375">
        <v>2</v>
      </c>
      <c r="AI5375">
        <v>1</v>
      </c>
      <c r="AJ5375">
        <v>0</v>
      </c>
      <c r="AK5375">
        <v>1</v>
      </c>
      <c r="AL5375">
        <v>0</v>
      </c>
      <c r="AM5375">
        <v>0</v>
      </c>
      <c r="AN5375">
        <v>2</v>
      </c>
      <c r="AT5375" t="s">
        <v>100</v>
      </c>
      <c r="AU5375">
        <v>22</v>
      </c>
      <c r="AV5375">
        <v>410</v>
      </c>
      <c r="AW5375">
        <v>410</v>
      </c>
      <c r="AX5375">
        <v>598</v>
      </c>
      <c r="AZ5375" t="s">
        <v>101</v>
      </c>
      <c r="BA5375">
        <v>1</v>
      </c>
      <c r="BC5375" t="s">
        <v>10863</v>
      </c>
      <c r="BD5375" s="4">
        <v>43283.466666666667</v>
      </c>
      <c r="BE5375" s="4">
        <v>43283.472361111111</v>
      </c>
      <c r="BF5375" s="4">
        <v>43283.472361111111</v>
      </c>
      <c r="BG5375" t="s">
        <v>83</v>
      </c>
      <c r="BH5375" t="s">
        <v>84</v>
      </c>
      <c r="BI5375" t="s">
        <v>85</v>
      </c>
    </row>
    <row r="5376" spans="1:61" x14ac:dyDescent="0.3">
      <c r="A5376" t="str">
        <f>"201849C0100"</f>
        <v>201849C0100</v>
      </c>
      <c r="B5376" t="s">
        <v>10864</v>
      </c>
      <c r="C5376">
        <v>20</v>
      </c>
      <c r="D5376" t="s">
        <v>79</v>
      </c>
      <c r="E5376">
        <v>25</v>
      </c>
      <c r="F5376" t="s">
        <v>10558</v>
      </c>
      <c r="G5376">
        <v>1849</v>
      </c>
      <c r="H5376">
        <v>1</v>
      </c>
      <c r="I5376" t="s">
        <v>89</v>
      </c>
      <c r="J5376">
        <v>0</v>
      </c>
      <c r="K5376">
        <v>2</v>
      </c>
      <c r="L5376">
        <v>2</v>
      </c>
      <c r="M5376">
        <v>222</v>
      </c>
      <c r="N5376">
        <v>395</v>
      </c>
      <c r="O5376">
        <v>7</v>
      </c>
      <c r="P5376" t="s">
        <v>100</v>
      </c>
      <c r="Q5376">
        <v>11</v>
      </c>
      <c r="R5376">
        <v>80</v>
      </c>
      <c r="S5376">
        <v>7</v>
      </c>
      <c r="T5376">
        <v>11</v>
      </c>
      <c r="U5376">
        <v>6</v>
      </c>
      <c r="V5376">
        <v>63</v>
      </c>
      <c r="W5376" t="s">
        <v>100</v>
      </c>
      <c r="X5376">
        <v>47</v>
      </c>
      <c r="Y5376">
        <v>110</v>
      </c>
      <c r="Z5376">
        <v>10</v>
      </c>
      <c r="AA5376" t="s">
        <v>100</v>
      </c>
      <c r="AB5376" t="s">
        <v>100</v>
      </c>
      <c r="AC5376">
        <v>5</v>
      </c>
      <c r="AD5376" t="s">
        <v>100</v>
      </c>
      <c r="AE5376">
        <v>2</v>
      </c>
      <c r="AF5376" t="s">
        <v>100</v>
      </c>
      <c r="AG5376">
        <v>12</v>
      </c>
      <c r="AH5376" t="s">
        <v>100</v>
      </c>
      <c r="AI5376">
        <v>2</v>
      </c>
      <c r="AJ5376" t="s">
        <v>100</v>
      </c>
      <c r="AK5376">
        <v>2</v>
      </c>
      <c r="AL5376" t="s">
        <v>100</v>
      </c>
      <c r="AM5376" t="s">
        <v>100</v>
      </c>
      <c r="AN5376" t="s">
        <v>100</v>
      </c>
      <c r="AT5376">
        <v>6</v>
      </c>
      <c r="AU5376">
        <v>24</v>
      </c>
      <c r="AV5376" t="s">
        <v>100</v>
      </c>
      <c r="AW5376">
        <v>398</v>
      </c>
      <c r="AX5376">
        <v>598</v>
      </c>
      <c r="AZ5376" t="s">
        <v>101</v>
      </c>
      <c r="BA5376">
        <v>1</v>
      </c>
      <c r="BC5376" t="s">
        <v>10865</v>
      </c>
      <c r="BD5376" s="4">
        <v>43283.466666666667</v>
      </c>
      <c r="BE5376" s="4">
        <v>43283.472777777781</v>
      </c>
      <c r="BF5376" s="4">
        <v>43283.472777777781</v>
      </c>
      <c r="BG5376" t="s">
        <v>83</v>
      </c>
      <c r="BH5376" t="s">
        <v>84</v>
      </c>
      <c r="BI5376" t="s">
        <v>85</v>
      </c>
    </row>
    <row r="5377" spans="1:61" x14ac:dyDescent="0.3">
      <c r="A5377" t="str">
        <f>"201849C0200"</f>
        <v>201849C0200</v>
      </c>
      <c r="B5377" t="s">
        <v>10866</v>
      </c>
      <c r="C5377">
        <v>20</v>
      </c>
      <c r="D5377" t="s">
        <v>79</v>
      </c>
      <c r="E5377">
        <v>25</v>
      </c>
      <c r="F5377" t="s">
        <v>10558</v>
      </c>
      <c r="G5377">
        <v>1849</v>
      </c>
      <c r="H5377">
        <v>2</v>
      </c>
      <c r="I5377" t="s">
        <v>89</v>
      </c>
      <c r="J5377">
        <v>0</v>
      </c>
      <c r="K5377">
        <v>2</v>
      </c>
      <c r="L5377">
        <v>2</v>
      </c>
      <c r="AX5377">
        <v>598</v>
      </c>
      <c r="AZ5377" t="s">
        <v>932</v>
      </c>
      <c r="BA5377">
        <v>0</v>
      </c>
      <c r="BC5377" t="s">
        <v>10867</v>
      </c>
      <c r="BD5377" s="4">
        <v>43283.617361111108</v>
      </c>
      <c r="BE5377" s="4">
        <v>43283.624409722222</v>
      </c>
      <c r="BF5377" s="4">
        <v>43283.624409722222</v>
      </c>
      <c r="BG5377" t="s">
        <v>83</v>
      </c>
      <c r="BH5377" t="s">
        <v>84</v>
      </c>
      <c r="BI5377" t="s">
        <v>85</v>
      </c>
    </row>
    <row r="5378" spans="1:61" x14ac:dyDescent="0.3">
      <c r="A5378" t="str">
        <f>"201850B0100"</f>
        <v>201850B0100</v>
      </c>
      <c r="B5378" t="s">
        <v>10868</v>
      </c>
      <c r="C5378">
        <v>20</v>
      </c>
      <c r="D5378" t="s">
        <v>79</v>
      </c>
      <c r="E5378">
        <v>25</v>
      </c>
      <c r="F5378" t="s">
        <v>10558</v>
      </c>
      <c r="G5378">
        <v>1850</v>
      </c>
      <c r="H5378">
        <v>1</v>
      </c>
      <c r="I5378" t="s">
        <v>81</v>
      </c>
      <c r="J5378">
        <v>0</v>
      </c>
      <c r="K5378">
        <v>2</v>
      </c>
      <c r="L5378">
        <v>2</v>
      </c>
      <c r="M5378">
        <v>228</v>
      </c>
      <c r="N5378">
        <v>413</v>
      </c>
      <c r="O5378">
        <v>4</v>
      </c>
      <c r="P5378">
        <v>413</v>
      </c>
      <c r="Q5378">
        <v>17</v>
      </c>
      <c r="R5378">
        <v>42</v>
      </c>
      <c r="S5378">
        <v>8</v>
      </c>
      <c r="T5378">
        <v>13</v>
      </c>
      <c r="U5378">
        <v>7</v>
      </c>
      <c r="V5378">
        <v>39</v>
      </c>
      <c r="W5378">
        <v>5</v>
      </c>
      <c r="X5378">
        <v>37</v>
      </c>
      <c r="Y5378">
        <v>188</v>
      </c>
      <c r="Z5378">
        <v>8</v>
      </c>
      <c r="AA5378">
        <v>9</v>
      </c>
      <c r="AB5378">
        <v>14</v>
      </c>
      <c r="AC5378">
        <v>0</v>
      </c>
      <c r="AD5378">
        <v>0</v>
      </c>
      <c r="AE5378">
        <v>0</v>
      </c>
      <c r="AF5378">
        <v>0</v>
      </c>
      <c r="AG5378">
        <v>4</v>
      </c>
      <c r="AH5378">
        <v>0</v>
      </c>
      <c r="AI5378">
        <v>0</v>
      </c>
      <c r="AJ5378">
        <v>0</v>
      </c>
      <c r="AK5378">
        <v>0</v>
      </c>
      <c r="AL5378">
        <v>0</v>
      </c>
      <c r="AM5378">
        <v>0</v>
      </c>
      <c r="AN5378">
        <v>0</v>
      </c>
      <c r="AT5378">
        <v>0</v>
      </c>
      <c r="AU5378">
        <v>22</v>
      </c>
      <c r="AV5378">
        <v>413</v>
      </c>
      <c r="AW5378">
        <v>413</v>
      </c>
      <c r="AX5378">
        <v>619</v>
      </c>
      <c r="BA5378">
        <v>1</v>
      </c>
      <c r="BC5378" t="s">
        <v>10869</v>
      </c>
      <c r="BD5378" s="4">
        <v>43282.967199074075</v>
      </c>
      <c r="BE5378" s="4">
        <v>43282.972314814811</v>
      </c>
      <c r="BF5378" s="4">
        <v>43282.972314814811</v>
      </c>
      <c r="BG5378" t="s">
        <v>373</v>
      </c>
      <c r="BH5378" t="s">
        <v>374</v>
      </c>
      <c r="BI5378" t="s">
        <v>85</v>
      </c>
    </row>
    <row r="5379" spans="1:61" x14ac:dyDescent="0.3">
      <c r="A5379" t="str">
        <f>"201850C0100"</f>
        <v>201850C0100</v>
      </c>
      <c r="B5379" t="s">
        <v>10870</v>
      </c>
      <c r="C5379">
        <v>20</v>
      </c>
      <c r="D5379" t="s">
        <v>79</v>
      </c>
      <c r="E5379">
        <v>25</v>
      </c>
      <c r="F5379" t="s">
        <v>10558</v>
      </c>
      <c r="G5379">
        <v>1850</v>
      </c>
      <c r="H5379">
        <v>1</v>
      </c>
      <c r="I5379" t="s">
        <v>89</v>
      </c>
      <c r="J5379">
        <v>0</v>
      </c>
      <c r="K5379">
        <v>2</v>
      </c>
      <c r="L5379">
        <v>2</v>
      </c>
      <c r="M5379">
        <v>256</v>
      </c>
      <c r="N5379">
        <v>385</v>
      </c>
      <c r="O5379">
        <v>4</v>
      </c>
      <c r="P5379">
        <v>385</v>
      </c>
      <c r="Q5379">
        <v>10</v>
      </c>
      <c r="R5379">
        <v>47</v>
      </c>
      <c r="S5379">
        <v>5</v>
      </c>
      <c r="T5379">
        <v>18</v>
      </c>
      <c r="U5379">
        <v>5</v>
      </c>
      <c r="V5379">
        <v>55</v>
      </c>
      <c r="W5379">
        <v>2</v>
      </c>
      <c r="X5379">
        <v>27</v>
      </c>
      <c r="Y5379">
        <v>163</v>
      </c>
      <c r="Z5379">
        <v>5</v>
      </c>
      <c r="AA5379">
        <v>9</v>
      </c>
      <c r="AB5379">
        <v>10</v>
      </c>
      <c r="AC5379">
        <v>2</v>
      </c>
      <c r="AD5379">
        <v>0</v>
      </c>
      <c r="AE5379">
        <v>0</v>
      </c>
      <c r="AF5379">
        <v>0</v>
      </c>
      <c r="AG5379">
        <v>3</v>
      </c>
      <c r="AH5379">
        <v>2</v>
      </c>
      <c r="AI5379">
        <v>0</v>
      </c>
      <c r="AJ5379">
        <v>0</v>
      </c>
      <c r="AK5379">
        <v>3</v>
      </c>
      <c r="AL5379">
        <v>1</v>
      </c>
      <c r="AM5379">
        <v>0</v>
      </c>
      <c r="AN5379">
        <v>0</v>
      </c>
      <c r="AT5379">
        <v>1</v>
      </c>
      <c r="AU5379">
        <v>17</v>
      </c>
      <c r="AV5379">
        <v>385</v>
      </c>
      <c r="AW5379">
        <v>385</v>
      </c>
      <c r="AX5379">
        <v>619</v>
      </c>
      <c r="BA5379">
        <v>1</v>
      </c>
      <c r="BC5379" t="s">
        <v>10871</v>
      </c>
      <c r="BD5379" s="4">
        <v>43282.989340277774</v>
      </c>
      <c r="BE5379" s="4">
        <v>43282.99527777778</v>
      </c>
      <c r="BF5379" s="4">
        <v>43282.99527777778</v>
      </c>
      <c r="BG5379" t="s">
        <v>373</v>
      </c>
      <c r="BH5379" t="s">
        <v>374</v>
      </c>
      <c r="BI5379" t="s">
        <v>85</v>
      </c>
    </row>
    <row r="5380" spans="1:61" x14ac:dyDescent="0.3">
      <c r="A5380" t="str">
        <f>"201919B0100"</f>
        <v>201919B0100</v>
      </c>
      <c r="B5380" t="s">
        <v>10872</v>
      </c>
      <c r="C5380">
        <v>20</v>
      </c>
      <c r="D5380" t="s">
        <v>79</v>
      </c>
      <c r="E5380">
        <v>25</v>
      </c>
      <c r="F5380" t="s">
        <v>10558</v>
      </c>
      <c r="G5380">
        <v>1919</v>
      </c>
      <c r="H5380">
        <v>1</v>
      </c>
      <c r="I5380" t="s">
        <v>81</v>
      </c>
      <c r="J5380">
        <v>0</v>
      </c>
      <c r="K5380">
        <v>2</v>
      </c>
      <c r="L5380">
        <v>2</v>
      </c>
      <c r="M5380">
        <v>174</v>
      </c>
      <c r="N5380">
        <v>449</v>
      </c>
      <c r="O5380">
        <v>8</v>
      </c>
      <c r="P5380">
        <v>449</v>
      </c>
      <c r="Q5380">
        <v>41</v>
      </c>
      <c r="R5380">
        <v>73</v>
      </c>
      <c r="S5380">
        <v>4</v>
      </c>
      <c r="T5380">
        <v>8</v>
      </c>
      <c r="U5380">
        <v>12</v>
      </c>
      <c r="V5380">
        <v>3</v>
      </c>
      <c r="W5380">
        <v>40</v>
      </c>
      <c r="X5380">
        <v>13</v>
      </c>
      <c r="Y5380">
        <v>132</v>
      </c>
      <c r="Z5380">
        <v>23</v>
      </c>
      <c r="AA5380">
        <v>27</v>
      </c>
      <c r="AB5380">
        <v>27</v>
      </c>
      <c r="AC5380">
        <v>1</v>
      </c>
      <c r="AD5380">
        <v>0</v>
      </c>
      <c r="AE5380">
        <v>0</v>
      </c>
      <c r="AF5380">
        <v>0</v>
      </c>
      <c r="AG5380">
        <v>2</v>
      </c>
      <c r="AH5380">
        <v>1</v>
      </c>
      <c r="AI5380">
        <v>0</v>
      </c>
      <c r="AJ5380">
        <v>0</v>
      </c>
      <c r="AK5380">
        <v>4</v>
      </c>
      <c r="AL5380">
        <v>1</v>
      </c>
      <c r="AM5380">
        <v>0</v>
      </c>
      <c r="AN5380">
        <v>1</v>
      </c>
      <c r="AT5380">
        <v>0</v>
      </c>
      <c r="AU5380">
        <v>36</v>
      </c>
      <c r="AV5380">
        <v>449</v>
      </c>
      <c r="AW5380">
        <v>449</v>
      </c>
      <c r="AX5380">
        <v>602</v>
      </c>
      <c r="BA5380">
        <v>1</v>
      </c>
      <c r="BC5380" t="s">
        <v>10873</v>
      </c>
      <c r="BD5380" s="4">
        <v>43283.197222222225</v>
      </c>
      <c r="BE5380" s="4">
        <v>43283.21675925926</v>
      </c>
      <c r="BF5380" s="4">
        <v>43283.21675925926</v>
      </c>
      <c r="BG5380" t="s">
        <v>83</v>
      </c>
      <c r="BH5380" t="s">
        <v>84</v>
      </c>
      <c r="BI5380" t="s">
        <v>85</v>
      </c>
    </row>
    <row r="5381" spans="1:61" x14ac:dyDescent="0.3">
      <c r="A5381" t="str">
        <f>"201919C0100"</f>
        <v>201919C0100</v>
      </c>
      <c r="B5381" t="s">
        <v>10874</v>
      </c>
      <c r="C5381">
        <v>20</v>
      </c>
      <c r="D5381" t="s">
        <v>79</v>
      </c>
      <c r="E5381">
        <v>25</v>
      </c>
      <c r="F5381" t="s">
        <v>10558</v>
      </c>
      <c r="G5381">
        <v>1919</v>
      </c>
      <c r="H5381">
        <v>1</v>
      </c>
      <c r="I5381" t="s">
        <v>89</v>
      </c>
      <c r="J5381">
        <v>0</v>
      </c>
      <c r="K5381">
        <v>2</v>
      </c>
      <c r="L5381">
        <v>2</v>
      </c>
      <c r="M5381">
        <v>205</v>
      </c>
      <c r="N5381">
        <v>419</v>
      </c>
      <c r="O5381">
        <v>4</v>
      </c>
      <c r="P5381">
        <v>419</v>
      </c>
      <c r="Q5381">
        <v>35</v>
      </c>
      <c r="R5381">
        <v>76</v>
      </c>
      <c r="S5381">
        <v>8</v>
      </c>
      <c r="T5381">
        <v>6</v>
      </c>
      <c r="U5381">
        <v>15</v>
      </c>
      <c r="V5381">
        <v>5</v>
      </c>
      <c r="W5381">
        <v>28</v>
      </c>
      <c r="X5381">
        <v>19</v>
      </c>
      <c r="Y5381">
        <v>127</v>
      </c>
      <c r="Z5381">
        <v>31</v>
      </c>
      <c r="AA5381">
        <v>18</v>
      </c>
      <c r="AB5381">
        <v>21</v>
      </c>
      <c r="AC5381">
        <v>1</v>
      </c>
      <c r="AD5381">
        <v>0</v>
      </c>
      <c r="AE5381">
        <v>0</v>
      </c>
      <c r="AF5381">
        <v>0</v>
      </c>
      <c r="AG5381">
        <v>1</v>
      </c>
      <c r="AH5381">
        <v>0</v>
      </c>
      <c r="AI5381">
        <v>0</v>
      </c>
      <c r="AJ5381">
        <v>0</v>
      </c>
      <c r="AK5381">
        <v>3</v>
      </c>
      <c r="AL5381">
        <v>1</v>
      </c>
      <c r="AM5381">
        <v>2</v>
      </c>
      <c r="AN5381">
        <v>5</v>
      </c>
      <c r="AT5381">
        <v>0</v>
      </c>
      <c r="AU5381">
        <v>17</v>
      </c>
      <c r="AV5381">
        <v>419</v>
      </c>
      <c r="AW5381">
        <v>419</v>
      </c>
      <c r="AX5381">
        <v>602</v>
      </c>
      <c r="BA5381">
        <v>1</v>
      </c>
      <c r="BC5381" t="s">
        <v>10875</v>
      </c>
      <c r="BD5381" s="4">
        <v>43283.197916666664</v>
      </c>
      <c r="BE5381" s="4">
        <v>43283.214826388888</v>
      </c>
      <c r="BF5381" s="4">
        <v>43283.214826388888</v>
      </c>
      <c r="BG5381" t="s">
        <v>83</v>
      </c>
      <c r="BH5381" t="s">
        <v>84</v>
      </c>
      <c r="BI5381" t="s">
        <v>85</v>
      </c>
    </row>
    <row r="5382" spans="1:61" x14ac:dyDescent="0.3">
      <c r="A5382" t="str">
        <f>"201919C0200"</f>
        <v>201919C0200</v>
      </c>
      <c r="B5382" t="s">
        <v>10876</v>
      </c>
      <c r="C5382">
        <v>20</v>
      </c>
      <c r="D5382" t="s">
        <v>79</v>
      </c>
      <c r="E5382">
        <v>25</v>
      </c>
      <c r="F5382" t="s">
        <v>10558</v>
      </c>
      <c r="G5382">
        <v>1919</v>
      </c>
      <c r="H5382">
        <v>2</v>
      </c>
      <c r="I5382" t="s">
        <v>89</v>
      </c>
      <c r="J5382">
        <v>0</v>
      </c>
      <c r="K5382">
        <v>2</v>
      </c>
      <c r="L5382">
        <v>2</v>
      </c>
      <c r="M5382">
        <v>187</v>
      </c>
      <c r="N5382">
        <v>436</v>
      </c>
      <c r="O5382">
        <v>2</v>
      </c>
      <c r="P5382">
        <v>436</v>
      </c>
      <c r="Q5382">
        <v>35</v>
      </c>
      <c r="R5382">
        <v>53</v>
      </c>
      <c r="S5382">
        <v>6</v>
      </c>
      <c r="T5382">
        <v>5</v>
      </c>
      <c r="U5382">
        <v>16</v>
      </c>
      <c r="V5382">
        <v>3</v>
      </c>
      <c r="W5382">
        <v>39</v>
      </c>
      <c r="X5382">
        <v>17</v>
      </c>
      <c r="Y5382">
        <v>152</v>
      </c>
      <c r="Z5382">
        <v>39</v>
      </c>
      <c r="AA5382">
        <v>9</v>
      </c>
      <c r="AB5382">
        <v>21</v>
      </c>
      <c r="AC5382">
        <v>0</v>
      </c>
      <c r="AD5382">
        <v>0</v>
      </c>
      <c r="AE5382">
        <v>0</v>
      </c>
      <c r="AF5382">
        <v>0</v>
      </c>
      <c r="AG5382">
        <v>4</v>
      </c>
      <c r="AH5382">
        <v>0</v>
      </c>
      <c r="AI5382">
        <v>1</v>
      </c>
      <c r="AJ5382">
        <v>0</v>
      </c>
      <c r="AK5382">
        <v>2</v>
      </c>
      <c r="AL5382">
        <v>1</v>
      </c>
      <c r="AM5382">
        <v>1</v>
      </c>
      <c r="AN5382">
        <v>2</v>
      </c>
      <c r="AT5382">
        <v>0</v>
      </c>
      <c r="AU5382">
        <v>29</v>
      </c>
      <c r="AV5382" t="s">
        <v>100</v>
      </c>
      <c r="AW5382">
        <v>435</v>
      </c>
      <c r="AX5382">
        <v>601</v>
      </c>
      <c r="BA5382">
        <v>1</v>
      </c>
      <c r="BC5382" t="s">
        <v>10877</v>
      </c>
      <c r="BD5382" s="4">
        <v>43283.197916666664</v>
      </c>
      <c r="BE5382" s="4">
        <v>43283.21503472222</v>
      </c>
      <c r="BF5382" s="4">
        <v>43283.21503472222</v>
      </c>
      <c r="BG5382" t="s">
        <v>83</v>
      </c>
      <c r="BH5382" t="s">
        <v>84</v>
      </c>
      <c r="BI5382" t="s">
        <v>85</v>
      </c>
    </row>
    <row r="5383" spans="1:61" x14ac:dyDescent="0.3">
      <c r="A5383" t="str">
        <f>"201919E0100"</f>
        <v>201919E0100</v>
      </c>
      <c r="B5383" s="2" t="s">
        <v>10878</v>
      </c>
      <c r="C5383">
        <v>20</v>
      </c>
      <c r="D5383" t="s">
        <v>79</v>
      </c>
      <c r="E5383">
        <v>25</v>
      </c>
      <c r="F5383" t="s">
        <v>10558</v>
      </c>
      <c r="G5383">
        <v>1919</v>
      </c>
      <c r="H5383">
        <v>1</v>
      </c>
      <c r="I5383" t="s">
        <v>145</v>
      </c>
      <c r="J5383">
        <v>0</v>
      </c>
      <c r="K5383">
        <v>2</v>
      </c>
      <c r="L5383">
        <v>2</v>
      </c>
      <c r="M5383">
        <v>126</v>
      </c>
      <c r="N5383">
        <v>317</v>
      </c>
      <c r="O5383">
        <v>4</v>
      </c>
      <c r="P5383">
        <v>317</v>
      </c>
      <c r="Q5383">
        <v>11</v>
      </c>
      <c r="R5383">
        <v>24</v>
      </c>
      <c r="S5383">
        <v>8</v>
      </c>
      <c r="T5383">
        <v>7</v>
      </c>
      <c r="U5383">
        <v>15</v>
      </c>
      <c r="V5383">
        <v>4</v>
      </c>
      <c r="W5383">
        <v>66</v>
      </c>
      <c r="X5383">
        <v>15</v>
      </c>
      <c r="Y5383">
        <v>109</v>
      </c>
      <c r="Z5383">
        <v>12</v>
      </c>
      <c r="AA5383">
        <v>4</v>
      </c>
      <c r="AB5383">
        <v>7</v>
      </c>
      <c r="AC5383">
        <v>0</v>
      </c>
      <c r="AD5383">
        <v>0</v>
      </c>
      <c r="AE5383">
        <v>0</v>
      </c>
      <c r="AF5383">
        <v>0</v>
      </c>
      <c r="AG5383">
        <v>0</v>
      </c>
      <c r="AH5383">
        <v>1</v>
      </c>
      <c r="AI5383">
        <v>0</v>
      </c>
      <c r="AJ5383">
        <v>0</v>
      </c>
      <c r="AK5383">
        <v>1</v>
      </c>
      <c r="AL5383">
        <v>0</v>
      </c>
      <c r="AM5383">
        <v>2</v>
      </c>
      <c r="AN5383">
        <v>3</v>
      </c>
      <c r="AT5383" t="s">
        <v>100</v>
      </c>
      <c r="AU5383">
        <v>28</v>
      </c>
      <c r="AV5383">
        <v>317</v>
      </c>
      <c r="AW5383">
        <v>317</v>
      </c>
      <c r="AX5383">
        <v>421</v>
      </c>
      <c r="AZ5383" t="s">
        <v>101</v>
      </c>
      <c r="BA5383">
        <v>1</v>
      </c>
      <c r="BC5383" t="s">
        <v>10879</v>
      </c>
      <c r="BD5383" s="4">
        <v>43283.198611111111</v>
      </c>
      <c r="BE5383" s="4">
        <v>43283.217685185184</v>
      </c>
      <c r="BF5383" s="4">
        <v>43283.217685185184</v>
      </c>
      <c r="BG5383" t="s">
        <v>83</v>
      </c>
      <c r="BH5383" t="s">
        <v>84</v>
      </c>
      <c r="BI5383" t="s">
        <v>85</v>
      </c>
    </row>
    <row r="5384" spans="1:61" x14ac:dyDescent="0.3">
      <c r="A5384" t="str">
        <f>"201919E0101"</f>
        <v>201919E0101</v>
      </c>
      <c r="B5384" s="2" t="s">
        <v>10880</v>
      </c>
      <c r="C5384">
        <v>20</v>
      </c>
      <c r="D5384" t="s">
        <v>79</v>
      </c>
      <c r="E5384">
        <v>25</v>
      </c>
      <c r="F5384" t="s">
        <v>10558</v>
      </c>
      <c r="G5384">
        <v>1919</v>
      </c>
      <c r="H5384">
        <v>1</v>
      </c>
      <c r="I5384" t="s">
        <v>145</v>
      </c>
      <c r="J5384">
        <v>1</v>
      </c>
      <c r="K5384">
        <v>2</v>
      </c>
      <c r="L5384">
        <v>2</v>
      </c>
      <c r="M5384">
        <v>132</v>
      </c>
      <c r="N5384">
        <v>311</v>
      </c>
      <c r="O5384">
        <v>3</v>
      </c>
      <c r="P5384">
        <v>311</v>
      </c>
      <c r="Q5384">
        <v>8</v>
      </c>
      <c r="R5384">
        <v>43</v>
      </c>
      <c r="S5384">
        <v>4</v>
      </c>
      <c r="T5384">
        <v>12</v>
      </c>
      <c r="U5384">
        <v>27</v>
      </c>
      <c r="V5384">
        <v>2</v>
      </c>
      <c r="W5384">
        <v>59</v>
      </c>
      <c r="X5384">
        <v>2</v>
      </c>
      <c r="Y5384">
        <v>106</v>
      </c>
      <c r="Z5384">
        <v>11</v>
      </c>
      <c r="AA5384">
        <v>2</v>
      </c>
      <c r="AB5384">
        <v>12</v>
      </c>
      <c r="AC5384">
        <v>0</v>
      </c>
      <c r="AD5384">
        <v>1</v>
      </c>
      <c r="AE5384">
        <v>0</v>
      </c>
      <c r="AF5384">
        <v>0</v>
      </c>
      <c r="AG5384">
        <v>1</v>
      </c>
      <c r="AH5384">
        <v>0</v>
      </c>
      <c r="AI5384">
        <v>0</v>
      </c>
      <c r="AJ5384">
        <v>0</v>
      </c>
      <c r="AK5384">
        <v>1</v>
      </c>
      <c r="AL5384">
        <v>0</v>
      </c>
      <c r="AM5384">
        <v>2</v>
      </c>
      <c r="AN5384">
        <v>1</v>
      </c>
      <c r="AT5384" t="s">
        <v>100</v>
      </c>
      <c r="AU5384">
        <v>17</v>
      </c>
      <c r="AV5384">
        <v>311</v>
      </c>
      <c r="AW5384">
        <v>311</v>
      </c>
      <c r="AX5384">
        <v>421</v>
      </c>
      <c r="AZ5384" t="s">
        <v>101</v>
      </c>
      <c r="BA5384">
        <v>1</v>
      </c>
      <c r="BC5384" t="s">
        <v>10881</v>
      </c>
      <c r="BD5384" s="4">
        <v>43283.198611111111</v>
      </c>
      <c r="BE5384" s="4">
        <v>43283.218159722222</v>
      </c>
      <c r="BF5384" s="4">
        <v>43283.218159722222</v>
      </c>
      <c r="BG5384" t="s">
        <v>83</v>
      </c>
      <c r="BH5384" t="s">
        <v>84</v>
      </c>
      <c r="BI5384" t="s">
        <v>85</v>
      </c>
    </row>
    <row r="5385" spans="1:61" x14ac:dyDescent="0.3">
      <c r="A5385" t="str">
        <f>"201920B0100"</f>
        <v>201920B0100</v>
      </c>
      <c r="B5385" t="s">
        <v>10882</v>
      </c>
      <c r="C5385">
        <v>20</v>
      </c>
      <c r="D5385" t="s">
        <v>79</v>
      </c>
      <c r="E5385">
        <v>25</v>
      </c>
      <c r="F5385" t="s">
        <v>10558</v>
      </c>
      <c r="G5385">
        <v>1920</v>
      </c>
      <c r="H5385">
        <v>1</v>
      </c>
      <c r="I5385" t="s">
        <v>81</v>
      </c>
      <c r="J5385">
        <v>0</v>
      </c>
      <c r="K5385">
        <v>2</v>
      </c>
      <c r="L5385">
        <v>2</v>
      </c>
      <c r="AX5385">
        <v>657</v>
      </c>
      <c r="AZ5385" t="s">
        <v>156</v>
      </c>
      <c r="BA5385">
        <v>0</v>
      </c>
      <c r="BC5385" t="s">
        <v>10883</v>
      </c>
      <c r="BD5385" s="4">
        <v>43283.68472222222</v>
      </c>
      <c r="BE5385" s="4">
        <v>43283.691180555557</v>
      </c>
      <c r="BF5385" s="4">
        <v>43283.691180555557</v>
      </c>
      <c r="BG5385" t="s">
        <v>83</v>
      </c>
      <c r="BH5385" t="s">
        <v>84</v>
      </c>
      <c r="BI5385" t="s">
        <v>85</v>
      </c>
    </row>
    <row r="5386" spans="1:61" x14ac:dyDescent="0.3">
      <c r="A5386" t="str">
        <f>"201920C0100"</f>
        <v>201920C0100</v>
      </c>
      <c r="B5386" t="s">
        <v>10884</v>
      </c>
      <c r="C5386">
        <v>20</v>
      </c>
      <c r="D5386" t="s">
        <v>79</v>
      </c>
      <c r="E5386">
        <v>25</v>
      </c>
      <c r="F5386" t="s">
        <v>10558</v>
      </c>
      <c r="G5386">
        <v>1920</v>
      </c>
      <c r="H5386">
        <v>1</v>
      </c>
      <c r="I5386" t="s">
        <v>89</v>
      </c>
      <c r="J5386">
        <v>0</v>
      </c>
      <c r="K5386">
        <v>2</v>
      </c>
      <c r="L5386">
        <v>2</v>
      </c>
      <c r="M5386">
        <v>176</v>
      </c>
      <c r="N5386">
        <v>502</v>
      </c>
      <c r="O5386">
        <v>3</v>
      </c>
      <c r="P5386">
        <v>502</v>
      </c>
      <c r="Q5386">
        <v>43</v>
      </c>
      <c r="R5386">
        <v>73</v>
      </c>
      <c r="S5386">
        <v>13</v>
      </c>
      <c r="T5386">
        <v>10</v>
      </c>
      <c r="U5386">
        <v>19</v>
      </c>
      <c r="V5386">
        <v>6</v>
      </c>
      <c r="W5386">
        <v>113</v>
      </c>
      <c r="X5386">
        <v>25</v>
      </c>
      <c r="Y5386">
        <v>142</v>
      </c>
      <c r="Z5386">
        <v>15</v>
      </c>
      <c r="AA5386">
        <v>3</v>
      </c>
      <c r="AB5386">
        <v>8</v>
      </c>
      <c r="AC5386">
        <v>1</v>
      </c>
      <c r="AD5386">
        <v>0</v>
      </c>
      <c r="AE5386">
        <v>0</v>
      </c>
      <c r="AF5386">
        <v>0</v>
      </c>
      <c r="AG5386">
        <v>0</v>
      </c>
      <c r="AH5386">
        <v>2</v>
      </c>
      <c r="AI5386">
        <v>1</v>
      </c>
      <c r="AJ5386">
        <v>0</v>
      </c>
      <c r="AK5386">
        <v>1</v>
      </c>
      <c r="AL5386">
        <v>0</v>
      </c>
      <c r="AM5386">
        <v>0</v>
      </c>
      <c r="AN5386">
        <v>0</v>
      </c>
      <c r="AT5386">
        <v>0</v>
      </c>
      <c r="AU5386">
        <v>27</v>
      </c>
      <c r="AV5386">
        <v>502</v>
      </c>
      <c r="AW5386">
        <v>502</v>
      </c>
      <c r="AX5386">
        <v>657</v>
      </c>
      <c r="BA5386">
        <v>1</v>
      </c>
      <c r="BC5386" t="s">
        <v>10885</v>
      </c>
      <c r="BD5386" s="4">
        <v>43283.418055555558</v>
      </c>
      <c r="BE5386" s="4">
        <v>43283.434016203704</v>
      </c>
      <c r="BF5386" s="4">
        <v>43283.434016203704</v>
      </c>
      <c r="BG5386" t="s">
        <v>83</v>
      </c>
      <c r="BH5386" t="s">
        <v>84</v>
      </c>
      <c r="BI5386" t="s">
        <v>85</v>
      </c>
    </row>
    <row r="5387" spans="1:61" x14ac:dyDescent="0.3">
      <c r="A5387" t="str">
        <f>"201921B0100"</f>
        <v>201921B0100</v>
      </c>
      <c r="B5387" t="s">
        <v>10886</v>
      </c>
      <c r="C5387">
        <v>20</v>
      </c>
      <c r="D5387" t="s">
        <v>79</v>
      </c>
      <c r="E5387">
        <v>25</v>
      </c>
      <c r="F5387" t="s">
        <v>10558</v>
      </c>
      <c r="G5387">
        <v>1921</v>
      </c>
      <c r="H5387">
        <v>1</v>
      </c>
      <c r="I5387" t="s">
        <v>81</v>
      </c>
      <c r="J5387">
        <v>0</v>
      </c>
      <c r="K5387">
        <v>2</v>
      </c>
      <c r="L5387">
        <v>2</v>
      </c>
      <c r="M5387">
        <v>187</v>
      </c>
      <c r="N5387">
        <v>303</v>
      </c>
      <c r="O5387">
        <v>2</v>
      </c>
      <c r="P5387">
        <v>303</v>
      </c>
      <c r="Q5387">
        <v>32</v>
      </c>
      <c r="R5387">
        <v>18</v>
      </c>
      <c r="S5387">
        <v>7</v>
      </c>
      <c r="T5387">
        <v>2</v>
      </c>
      <c r="U5387">
        <v>27</v>
      </c>
      <c r="V5387">
        <v>6</v>
      </c>
      <c r="W5387">
        <v>38</v>
      </c>
      <c r="X5387">
        <v>14</v>
      </c>
      <c r="Y5387">
        <v>98</v>
      </c>
      <c r="Z5387">
        <v>8</v>
      </c>
      <c r="AA5387">
        <v>5</v>
      </c>
      <c r="AB5387">
        <v>8</v>
      </c>
      <c r="AC5387">
        <v>0</v>
      </c>
      <c r="AD5387">
        <v>0</v>
      </c>
      <c r="AE5387">
        <v>1</v>
      </c>
      <c r="AF5387">
        <v>0</v>
      </c>
      <c r="AG5387">
        <v>1</v>
      </c>
      <c r="AH5387">
        <v>2</v>
      </c>
      <c r="AI5387">
        <v>0</v>
      </c>
      <c r="AJ5387">
        <v>0</v>
      </c>
      <c r="AK5387">
        <v>2</v>
      </c>
      <c r="AL5387">
        <v>0</v>
      </c>
      <c r="AM5387">
        <v>1</v>
      </c>
      <c r="AN5387">
        <v>1</v>
      </c>
      <c r="AT5387">
        <v>34</v>
      </c>
      <c r="AU5387">
        <v>34</v>
      </c>
      <c r="AV5387">
        <v>304</v>
      </c>
      <c r="AW5387">
        <v>339</v>
      </c>
      <c r="AX5387">
        <v>468</v>
      </c>
      <c r="BA5387">
        <v>1</v>
      </c>
      <c r="BC5387" t="s">
        <v>10887</v>
      </c>
      <c r="BD5387" s="4">
        <v>43283.417361111111</v>
      </c>
      <c r="BE5387" s="4">
        <v>43283.441030092596</v>
      </c>
      <c r="BF5387" s="4">
        <v>43283.441030092596</v>
      </c>
      <c r="BG5387" t="s">
        <v>83</v>
      </c>
      <c r="BH5387" t="s">
        <v>84</v>
      </c>
      <c r="BI5387" t="s">
        <v>85</v>
      </c>
    </row>
    <row r="5388" spans="1:61" x14ac:dyDescent="0.3">
      <c r="A5388" t="str">
        <f>"201921C0100"</f>
        <v>201921C0100</v>
      </c>
      <c r="B5388" t="s">
        <v>10888</v>
      </c>
      <c r="C5388">
        <v>20</v>
      </c>
      <c r="D5388" t="s">
        <v>79</v>
      </c>
      <c r="E5388">
        <v>25</v>
      </c>
      <c r="F5388" t="s">
        <v>10558</v>
      </c>
      <c r="G5388">
        <v>1921</v>
      </c>
      <c r="H5388">
        <v>1</v>
      </c>
      <c r="I5388" t="s">
        <v>89</v>
      </c>
      <c r="J5388">
        <v>0</v>
      </c>
      <c r="K5388">
        <v>2</v>
      </c>
      <c r="L5388">
        <v>2</v>
      </c>
      <c r="M5388">
        <v>162</v>
      </c>
      <c r="N5388">
        <v>327</v>
      </c>
      <c r="O5388">
        <v>5</v>
      </c>
      <c r="P5388">
        <v>327</v>
      </c>
      <c r="Q5388">
        <v>25</v>
      </c>
      <c r="R5388">
        <v>19</v>
      </c>
      <c r="S5388">
        <v>3</v>
      </c>
      <c r="T5388">
        <v>7</v>
      </c>
      <c r="U5388">
        <v>27</v>
      </c>
      <c r="V5388">
        <v>1</v>
      </c>
      <c r="W5388">
        <v>41</v>
      </c>
      <c r="X5388">
        <v>11</v>
      </c>
      <c r="Y5388">
        <v>133</v>
      </c>
      <c r="Z5388">
        <v>9</v>
      </c>
      <c r="AA5388">
        <v>7</v>
      </c>
      <c r="AB5388">
        <v>9</v>
      </c>
      <c r="AC5388">
        <v>0</v>
      </c>
      <c r="AD5388">
        <v>0</v>
      </c>
      <c r="AE5388">
        <v>0</v>
      </c>
      <c r="AF5388">
        <v>0</v>
      </c>
      <c r="AG5388">
        <v>0</v>
      </c>
      <c r="AH5388">
        <v>0</v>
      </c>
      <c r="AI5388">
        <v>0</v>
      </c>
      <c r="AJ5388">
        <v>0</v>
      </c>
      <c r="AK5388">
        <v>9</v>
      </c>
      <c r="AL5388">
        <v>1</v>
      </c>
      <c r="AM5388">
        <v>1</v>
      </c>
      <c r="AN5388">
        <v>0</v>
      </c>
      <c r="AT5388">
        <v>0</v>
      </c>
      <c r="AU5388">
        <v>23</v>
      </c>
      <c r="AV5388">
        <v>326</v>
      </c>
      <c r="AW5388">
        <v>326</v>
      </c>
      <c r="AX5388">
        <v>467</v>
      </c>
      <c r="BA5388">
        <v>1</v>
      </c>
      <c r="BC5388" t="s">
        <v>10889</v>
      </c>
      <c r="BD5388" s="4">
        <v>43283.416666666664</v>
      </c>
      <c r="BE5388" s="4">
        <v>43283.432905092595</v>
      </c>
      <c r="BF5388" s="4">
        <v>43283.432905092595</v>
      </c>
      <c r="BG5388" t="s">
        <v>83</v>
      </c>
      <c r="BH5388" t="s">
        <v>84</v>
      </c>
      <c r="BI5388" t="s">
        <v>85</v>
      </c>
    </row>
    <row r="5389" spans="1:61" x14ac:dyDescent="0.3">
      <c r="A5389" t="str">
        <f>"201922B0100"</f>
        <v>201922B0100</v>
      </c>
      <c r="B5389" t="s">
        <v>10890</v>
      </c>
      <c r="C5389">
        <v>20</v>
      </c>
      <c r="D5389" t="s">
        <v>79</v>
      </c>
      <c r="E5389">
        <v>25</v>
      </c>
      <c r="F5389" t="s">
        <v>10558</v>
      </c>
      <c r="G5389">
        <v>1922</v>
      </c>
      <c r="H5389">
        <v>1</v>
      </c>
      <c r="I5389" t="s">
        <v>81</v>
      </c>
      <c r="J5389">
        <v>0</v>
      </c>
      <c r="K5389">
        <v>2</v>
      </c>
      <c r="L5389">
        <v>2</v>
      </c>
      <c r="AX5389">
        <v>603</v>
      </c>
      <c r="AZ5389" t="s">
        <v>932</v>
      </c>
      <c r="BA5389">
        <v>0</v>
      </c>
      <c r="BC5389" t="s">
        <v>10891</v>
      </c>
      <c r="BD5389" s="4">
        <v>43283.617361111108</v>
      </c>
      <c r="BE5389" s="4">
        <v>43283.624571759261</v>
      </c>
      <c r="BF5389" s="4">
        <v>43283.624571759261</v>
      </c>
      <c r="BG5389" t="s">
        <v>83</v>
      </c>
      <c r="BH5389" t="s">
        <v>84</v>
      </c>
      <c r="BI5389" t="s">
        <v>85</v>
      </c>
    </row>
    <row r="5390" spans="1:61" x14ac:dyDescent="0.3">
      <c r="A5390" t="str">
        <f>"201922C0100"</f>
        <v>201922C0100</v>
      </c>
      <c r="B5390" t="s">
        <v>10892</v>
      </c>
      <c r="C5390">
        <v>20</v>
      </c>
      <c r="D5390" t="s">
        <v>79</v>
      </c>
      <c r="E5390">
        <v>25</v>
      </c>
      <c r="F5390" t="s">
        <v>10558</v>
      </c>
      <c r="G5390">
        <v>1922</v>
      </c>
      <c r="H5390">
        <v>1</v>
      </c>
      <c r="I5390" t="s">
        <v>89</v>
      </c>
      <c r="J5390">
        <v>0</v>
      </c>
      <c r="K5390">
        <v>2</v>
      </c>
      <c r="L5390">
        <v>2</v>
      </c>
      <c r="AX5390">
        <v>602</v>
      </c>
      <c r="AZ5390" t="s">
        <v>932</v>
      </c>
      <c r="BA5390">
        <v>0</v>
      </c>
      <c r="BC5390" t="s">
        <v>10893</v>
      </c>
      <c r="BD5390" s="4">
        <v>43283.617361111108</v>
      </c>
      <c r="BE5390" s="4">
        <v>43283.625034722223</v>
      </c>
      <c r="BF5390" s="4">
        <v>43283.625034722223</v>
      </c>
      <c r="BG5390" t="s">
        <v>83</v>
      </c>
      <c r="BH5390" t="s">
        <v>84</v>
      </c>
      <c r="BI5390" t="s">
        <v>85</v>
      </c>
    </row>
    <row r="5391" spans="1:61" x14ac:dyDescent="0.3">
      <c r="A5391" t="str">
        <f>"201922C0200"</f>
        <v>201922C0200</v>
      </c>
      <c r="B5391" t="s">
        <v>10894</v>
      </c>
      <c r="C5391">
        <v>20</v>
      </c>
      <c r="D5391" t="s">
        <v>79</v>
      </c>
      <c r="E5391">
        <v>25</v>
      </c>
      <c r="F5391" t="s">
        <v>10558</v>
      </c>
      <c r="G5391">
        <v>1922</v>
      </c>
      <c r="H5391">
        <v>2</v>
      </c>
      <c r="I5391" t="s">
        <v>89</v>
      </c>
      <c r="J5391">
        <v>0</v>
      </c>
      <c r="K5391">
        <v>2</v>
      </c>
      <c r="L5391">
        <v>2</v>
      </c>
      <c r="AX5391">
        <v>602</v>
      </c>
      <c r="AZ5391" t="s">
        <v>932</v>
      </c>
      <c r="BA5391">
        <v>0</v>
      </c>
      <c r="BC5391" t="s">
        <v>10895</v>
      </c>
      <c r="BD5391" s="4">
        <v>43283.617361111108</v>
      </c>
      <c r="BE5391" s="4">
        <v>43283.625173611108</v>
      </c>
      <c r="BF5391" s="4">
        <v>43283.625173611108</v>
      </c>
      <c r="BG5391" t="s">
        <v>83</v>
      </c>
      <c r="BH5391" t="s">
        <v>84</v>
      </c>
      <c r="BI5391" t="s">
        <v>85</v>
      </c>
    </row>
    <row r="5392" spans="1:61" x14ac:dyDescent="0.3">
      <c r="A5392" t="str">
        <f>"201922C0300"</f>
        <v>201922C0300</v>
      </c>
      <c r="B5392" t="s">
        <v>10896</v>
      </c>
      <c r="C5392">
        <v>20</v>
      </c>
      <c r="D5392" t="s">
        <v>79</v>
      </c>
      <c r="E5392">
        <v>25</v>
      </c>
      <c r="F5392" t="s">
        <v>10558</v>
      </c>
      <c r="G5392">
        <v>1922</v>
      </c>
      <c r="H5392">
        <v>3</v>
      </c>
      <c r="I5392" t="s">
        <v>89</v>
      </c>
      <c r="J5392">
        <v>0</v>
      </c>
      <c r="K5392">
        <v>2</v>
      </c>
      <c r="L5392">
        <v>2</v>
      </c>
      <c r="AX5392">
        <v>602</v>
      </c>
      <c r="AZ5392" t="s">
        <v>932</v>
      </c>
      <c r="BA5392">
        <v>0</v>
      </c>
      <c r="BC5392" t="s">
        <v>10897</v>
      </c>
      <c r="BD5392" s="4">
        <v>43283.615972222222</v>
      </c>
      <c r="BE5392" s="4">
        <v>43283.620289351849</v>
      </c>
      <c r="BF5392" s="4">
        <v>43283.620289351849</v>
      </c>
      <c r="BG5392" t="s">
        <v>83</v>
      </c>
      <c r="BH5392" t="s">
        <v>84</v>
      </c>
      <c r="BI5392" t="s">
        <v>85</v>
      </c>
    </row>
    <row r="5393" spans="1:61" x14ac:dyDescent="0.3">
      <c r="A5393" t="str">
        <f>"201923B0100"</f>
        <v>201923B0100</v>
      </c>
      <c r="B5393" t="s">
        <v>10898</v>
      </c>
      <c r="C5393">
        <v>20</v>
      </c>
      <c r="D5393" t="s">
        <v>79</v>
      </c>
      <c r="E5393">
        <v>25</v>
      </c>
      <c r="F5393" t="s">
        <v>10558</v>
      </c>
      <c r="G5393">
        <v>1923</v>
      </c>
      <c r="H5393">
        <v>1</v>
      </c>
      <c r="I5393" t="s">
        <v>81</v>
      </c>
      <c r="J5393">
        <v>0</v>
      </c>
      <c r="K5393">
        <v>2</v>
      </c>
      <c r="L5393">
        <v>2</v>
      </c>
      <c r="M5393">
        <v>171</v>
      </c>
      <c r="N5393">
        <v>423</v>
      </c>
      <c r="O5393">
        <v>2</v>
      </c>
      <c r="P5393" t="s">
        <v>100</v>
      </c>
      <c r="Q5393">
        <v>44</v>
      </c>
      <c r="R5393">
        <v>55</v>
      </c>
      <c r="S5393">
        <v>21</v>
      </c>
      <c r="T5393">
        <v>9</v>
      </c>
      <c r="U5393">
        <v>26</v>
      </c>
      <c r="V5393">
        <v>8</v>
      </c>
      <c r="W5393">
        <v>74</v>
      </c>
      <c r="X5393">
        <v>26</v>
      </c>
      <c r="Y5393">
        <v>87</v>
      </c>
      <c r="Z5393">
        <v>18</v>
      </c>
      <c r="AA5393">
        <v>5</v>
      </c>
      <c r="AB5393">
        <v>9</v>
      </c>
      <c r="AC5393">
        <v>0</v>
      </c>
      <c r="AD5393">
        <v>0</v>
      </c>
      <c r="AE5393">
        <v>1</v>
      </c>
      <c r="AF5393">
        <v>0</v>
      </c>
      <c r="AG5393">
        <v>7</v>
      </c>
      <c r="AH5393">
        <v>1</v>
      </c>
      <c r="AI5393">
        <v>3</v>
      </c>
      <c r="AJ5393">
        <v>0</v>
      </c>
      <c r="AK5393">
        <v>3</v>
      </c>
      <c r="AL5393">
        <v>0</v>
      </c>
      <c r="AM5393">
        <v>1</v>
      </c>
      <c r="AN5393">
        <v>2</v>
      </c>
      <c r="AT5393">
        <v>0</v>
      </c>
      <c r="AU5393">
        <v>23</v>
      </c>
      <c r="AV5393">
        <v>423</v>
      </c>
      <c r="AW5393">
        <v>423</v>
      </c>
      <c r="AX5393">
        <v>572</v>
      </c>
      <c r="BA5393">
        <v>1</v>
      </c>
      <c r="BC5393" t="s">
        <v>10899</v>
      </c>
      <c r="BD5393" s="4">
        <v>43283.444444444445</v>
      </c>
      <c r="BE5393" s="4">
        <v>43283.463530092595</v>
      </c>
      <c r="BF5393" s="4">
        <v>43283.463530092595</v>
      </c>
      <c r="BG5393" t="s">
        <v>83</v>
      </c>
      <c r="BH5393" t="s">
        <v>84</v>
      </c>
      <c r="BI5393" t="s">
        <v>85</v>
      </c>
    </row>
    <row r="5394" spans="1:61" x14ac:dyDescent="0.3">
      <c r="A5394" t="str">
        <f>"201923C0100"</f>
        <v>201923C0100</v>
      </c>
      <c r="B5394" t="s">
        <v>10900</v>
      </c>
      <c r="C5394">
        <v>20</v>
      </c>
      <c r="D5394" t="s">
        <v>79</v>
      </c>
      <c r="E5394">
        <v>25</v>
      </c>
      <c r="F5394" t="s">
        <v>10558</v>
      </c>
      <c r="G5394">
        <v>1923</v>
      </c>
      <c r="H5394">
        <v>1</v>
      </c>
      <c r="I5394" t="s">
        <v>89</v>
      </c>
      <c r="J5394">
        <v>0</v>
      </c>
      <c r="K5394">
        <v>2</v>
      </c>
      <c r="L5394">
        <v>2</v>
      </c>
      <c r="M5394">
        <v>163</v>
      </c>
      <c r="N5394">
        <v>3</v>
      </c>
      <c r="O5394">
        <v>3</v>
      </c>
      <c r="P5394">
        <v>428</v>
      </c>
      <c r="Q5394">
        <v>50</v>
      </c>
      <c r="R5394">
        <v>72</v>
      </c>
      <c r="S5394">
        <v>9</v>
      </c>
      <c r="T5394">
        <v>10</v>
      </c>
      <c r="U5394">
        <v>19</v>
      </c>
      <c r="V5394">
        <v>1</v>
      </c>
      <c r="W5394">
        <v>55</v>
      </c>
      <c r="X5394">
        <v>32</v>
      </c>
      <c r="Y5394">
        <v>103</v>
      </c>
      <c r="Z5394">
        <v>16</v>
      </c>
      <c r="AA5394">
        <v>6</v>
      </c>
      <c r="AB5394">
        <v>7</v>
      </c>
      <c r="AC5394">
        <v>0</v>
      </c>
      <c r="AD5394">
        <v>1</v>
      </c>
      <c r="AE5394">
        <v>0</v>
      </c>
      <c r="AF5394">
        <v>0</v>
      </c>
      <c r="AG5394">
        <v>3</v>
      </c>
      <c r="AH5394">
        <v>0</v>
      </c>
      <c r="AI5394">
        <v>4</v>
      </c>
      <c r="AJ5394">
        <v>4</v>
      </c>
      <c r="AK5394">
        <v>3</v>
      </c>
      <c r="AL5394">
        <v>0</v>
      </c>
      <c r="AM5394">
        <v>0</v>
      </c>
      <c r="AN5394">
        <v>0</v>
      </c>
      <c r="AT5394" t="s">
        <v>100</v>
      </c>
      <c r="AU5394">
        <v>35</v>
      </c>
      <c r="AV5394">
        <v>430</v>
      </c>
      <c r="AW5394">
        <v>430</v>
      </c>
      <c r="AX5394">
        <v>571</v>
      </c>
      <c r="AZ5394" t="s">
        <v>101</v>
      </c>
      <c r="BA5394">
        <v>1</v>
      </c>
      <c r="BC5394" t="s">
        <v>10901</v>
      </c>
      <c r="BD5394" s="4">
        <v>43283.445833333331</v>
      </c>
      <c r="BE5394" s="4">
        <v>43283.464502314811</v>
      </c>
      <c r="BF5394" s="4">
        <v>43283.464502314811</v>
      </c>
      <c r="BG5394" t="s">
        <v>83</v>
      </c>
      <c r="BH5394" t="s">
        <v>84</v>
      </c>
      <c r="BI5394" t="s">
        <v>85</v>
      </c>
    </row>
    <row r="5395" spans="1:61" x14ac:dyDescent="0.3">
      <c r="A5395" t="str">
        <f>"201923E0100"</f>
        <v>201923E0100</v>
      </c>
      <c r="B5395" s="2" t="s">
        <v>10902</v>
      </c>
      <c r="C5395">
        <v>20</v>
      </c>
      <c r="D5395" t="s">
        <v>79</v>
      </c>
      <c r="E5395">
        <v>25</v>
      </c>
      <c r="F5395" t="s">
        <v>10558</v>
      </c>
      <c r="G5395">
        <v>1923</v>
      </c>
      <c r="H5395">
        <v>1</v>
      </c>
      <c r="I5395" t="s">
        <v>145</v>
      </c>
      <c r="J5395">
        <v>0</v>
      </c>
      <c r="K5395">
        <v>2</v>
      </c>
      <c r="L5395">
        <v>2</v>
      </c>
      <c r="M5395">
        <v>214</v>
      </c>
      <c r="N5395">
        <v>497</v>
      </c>
      <c r="O5395">
        <v>3</v>
      </c>
      <c r="P5395">
        <v>497</v>
      </c>
      <c r="Q5395">
        <v>60</v>
      </c>
      <c r="R5395">
        <v>86</v>
      </c>
      <c r="S5395">
        <v>5</v>
      </c>
      <c r="T5395">
        <v>8</v>
      </c>
      <c r="U5395">
        <v>30</v>
      </c>
      <c r="V5395">
        <v>9</v>
      </c>
      <c r="W5395">
        <v>79</v>
      </c>
      <c r="X5395">
        <v>32</v>
      </c>
      <c r="Y5395">
        <v>126</v>
      </c>
      <c r="Z5395">
        <v>12</v>
      </c>
      <c r="AA5395">
        <v>5</v>
      </c>
      <c r="AB5395">
        <v>10</v>
      </c>
      <c r="AC5395">
        <v>3</v>
      </c>
      <c r="AD5395">
        <v>1</v>
      </c>
      <c r="AE5395">
        <v>0</v>
      </c>
      <c r="AF5395">
        <v>0</v>
      </c>
      <c r="AG5395">
        <v>2</v>
      </c>
      <c r="AH5395">
        <v>2</v>
      </c>
      <c r="AI5395">
        <v>2</v>
      </c>
      <c r="AJ5395">
        <v>0</v>
      </c>
      <c r="AK5395">
        <v>6</v>
      </c>
      <c r="AL5395">
        <v>1</v>
      </c>
      <c r="AM5395">
        <v>0</v>
      </c>
      <c r="AN5395">
        <v>0</v>
      </c>
      <c r="AT5395">
        <v>0</v>
      </c>
      <c r="AU5395">
        <v>18</v>
      </c>
      <c r="AV5395">
        <v>497</v>
      </c>
      <c r="AW5395">
        <v>497</v>
      </c>
      <c r="AX5395">
        <v>689</v>
      </c>
      <c r="BA5395">
        <v>1</v>
      </c>
      <c r="BC5395" t="s">
        <v>10903</v>
      </c>
      <c r="BD5395" s="4">
        <v>43283.445138888892</v>
      </c>
      <c r="BE5395" s="4">
        <v>43283.464930555558</v>
      </c>
      <c r="BF5395" s="4">
        <v>43283.464930555558</v>
      </c>
      <c r="BG5395" t="s">
        <v>83</v>
      </c>
      <c r="BH5395" t="s">
        <v>84</v>
      </c>
      <c r="BI5395" t="s">
        <v>85</v>
      </c>
    </row>
    <row r="5396" spans="1:61" x14ac:dyDescent="0.3">
      <c r="A5396" t="str">
        <f>"201924B0100"</f>
        <v>201924B0100</v>
      </c>
      <c r="B5396" t="s">
        <v>10904</v>
      </c>
      <c r="C5396">
        <v>20</v>
      </c>
      <c r="D5396" t="s">
        <v>79</v>
      </c>
      <c r="E5396">
        <v>25</v>
      </c>
      <c r="F5396" t="s">
        <v>10558</v>
      </c>
      <c r="G5396">
        <v>1924</v>
      </c>
      <c r="H5396">
        <v>1</v>
      </c>
      <c r="I5396" t="s">
        <v>81</v>
      </c>
      <c r="J5396">
        <v>0</v>
      </c>
      <c r="K5396">
        <v>2</v>
      </c>
      <c r="L5396">
        <v>2</v>
      </c>
      <c r="M5396">
        <v>168</v>
      </c>
      <c r="N5396">
        <v>359</v>
      </c>
      <c r="O5396">
        <v>4</v>
      </c>
      <c r="P5396" t="s">
        <v>100</v>
      </c>
      <c r="Q5396">
        <v>22</v>
      </c>
      <c r="R5396">
        <v>34</v>
      </c>
      <c r="S5396">
        <v>7</v>
      </c>
      <c r="T5396">
        <v>4</v>
      </c>
      <c r="U5396">
        <v>19</v>
      </c>
      <c r="V5396">
        <v>4</v>
      </c>
      <c r="W5396">
        <v>17</v>
      </c>
      <c r="X5396">
        <v>19</v>
      </c>
      <c r="Y5396">
        <v>168</v>
      </c>
      <c r="Z5396">
        <v>7</v>
      </c>
      <c r="AA5396">
        <v>6</v>
      </c>
      <c r="AB5396">
        <v>17</v>
      </c>
      <c r="AC5396">
        <v>1</v>
      </c>
      <c r="AD5396">
        <v>0</v>
      </c>
      <c r="AE5396">
        <v>0</v>
      </c>
      <c r="AF5396">
        <v>0</v>
      </c>
      <c r="AG5396">
        <v>4</v>
      </c>
      <c r="AH5396">
        <v>1</v>
      </c>
      <c r="AI5396">
        <v>0</v>
      </c>
      <c r="AJ5396">
        <v>0</v>
      </c>
      <c r="AK5396">
        <v>4</v>
      </c>
      <c r="AL5396">
        <v>1</v>
      </c>
      <c r="AM5396">
        <v>1</v>
      </c>
      <c r="AN5396">
        <v>0</v>
      </c>
      <c r="AT5396">
        <v>0</v>
      </c>
      <c r="AU5396">
        <v>23</v>
      </c>
      <c r="AV5396">
        <v>359</v>
      </c>
      <c r="AW5396">
        <v>359</v>
      </c>
      <c r="AX5396">
        <v>505</v>
      </c>
      <c r="BA5396">
        <v>1</v>
      </c>
      <c r="BC5396" t="s">
        <v>10905</v>
      </c>
      <c r="BD5396" s="4">
        <v>43283.447222222225</v>
      </c>
      <c r="BE5396" s="4">
        <v>43283.462523148148</v>
      </c>
      <c r="BF5396" s="4">
        <v>43283.462523148148</v>
      </c>
      <c r="BG5396" t="s">
        <v>83</v>
      </c>
      <c r="BH5396" t="s">
        <v>84</v>
      </c>
      <c r="BI5396" t="s">
        <v>85</v>
      </c>
    </row>
    <row r="5397" spans="1:61" x14ac:dyDescent="0.3">
      <c r="A5397" t="str">
        <f>"201924C0100"</f>
        <v>201924C0100</v>
      </c>
      <c r="B5397" t="s">
        <v>10906</v>
      </c>
      <c r="C5397">
        <v>20</v>
      </c>
      <c r="D5397" t="s">
        <v>79</v>
      </c>
      <c r="E5397">
        <v>25</v>
      </c>
      <c r="F5397" t="s">
        <v>10558</v>
      </c>
      <c r="G5397">
        <v>1924</v>
      </c>
      <c r="H5397">
        <v>1</v>
      </c>
      <c r="I5397" t="s">
        <v>89</v>
      </c>
      <c r="J5397">
        <v>0</v>
      </c>
      <c r="K5397">
        <v>2</v>
      </c>
      <c r="L5397">
        <v>2</v>
      </c>
      <c r="M5397">
        <v>159</v>
      </c>
      <c r="N5397">
        <v>366</v>
      </c>
      <c r="O5397">
        <v>3</v>
      </c>
      <c r="P5397">
        <v>367</v>
      </c>
      <c r="Q5397">
        <v>23</v>
      </c>
      <c r="R5397">
        <v>55</v>
      </c>
      <c r="S5397">
        <v>4</v>
      </c>
      <c r="T5397">
        <v>3</v>
      </c>
      <c r="U5397">
        <v>9</v>
      </c>
      <c r="V5397">
        <v>8</v>
      </c>
      <c r="W5397">
        <v>19</v>
      </c>
      <c r="X5397">
        <v>19</v>
      </c>
      <c r="Y5397">
        <v>169</v>
      </c>
      <c r="Z5397">
        <v>7</v>
      </c>
      <c r="AA5397">
        <v>7</v>
      </c>
      <c r="AB5397">
        <v>6</v>
      </c>
      <c r="AC5397">
        <v>0</v>
      </c>
      <c r="AD5397">
        <v>0</v>
      </c>
      <c r="AE5397">
        <v>0</v>
      </c>
      <c r="AF5397">
        <v>0</v>
      </c>
      <c r="AG5397">
        <v>4</v>
      </c>
      <c r="AH5397">
        <v>1</v>
      </c>
      <c r="AI5397">
        <v>1</v>
      </c>
      <c r="AJ5397">
        <v>1</v>
      </c>
      <c r="AK5397">
        <v>0</v>
      </c>
      <c r="AL5397">
        <v>3</v>
      </c>
      <c r="AM5397">
        <v>2</v>
      </c>
      <c r="AN5397">
        <v>0</v>
      </c>
      <c r="AT5397">
        <v>4</v>
      </c>
      <c r="AU5397">
        <v>23</v>
      </c>
      <c r="AV5397">
        <v>367</v>
      </c>
      <c r="AW5397">
        <v>368</v>
      </c>
      <c r="AX5397">
        <v>504</v>
      </c>
      <c r="BA5397">
        <v>1</v>
      </c>
      <c r="BC5397" t="s">
        <v>10907</v>
      </c>
      <c r="BD5397" s="4">
        <v>43283.460416666669</v>
      </c>
      <c r="BE5397" s="4">
        <v>43283.470682870371</v>
      </c>
      <c r="BF5397" s="4">
        <v>43283.470682870371</v>
      </c>
      <c r="BG5397" t="s">
        <v>83</v>
      </c>
      <c r="BH5397" t="s">
        <v>84</v>
      </c>
      <c r="BI5397" t="s">
        <v>85</v>
      </c>
    </row>
    <row r="5398" spans="1:61" x14ac:dyDescent="0.3">
      <c r="A5398" t="str">
        <f>"201924E0100"</f>
        <v>201924E0100</v>
      </c>
      <c r="B5398" s="2" t="s">
        <v>10908</v>
      </c>
      <c r="C5398">
        <v>20</v>
      </c>
      <c r="D5398" t="s">
        <v>79</v>
      </c>
      <c r="E5398">
        <v>25</v>
      </c>
      <c r="F5398" t="s">
        <v>10558</v>
      </c>
      <c r="G5398">
        <v>1924</v>
      </c>
      <c r="H5398">
        <v>1</v>
      </c>
      <c r="I5398" t="s">
        <v>145</v>
      </c>
      <c r="J5398">
        <v>0</v>
      </c>
      <c r="K5398">
        <v>2</v>
      </c>
      <c r="L5398">
        <v>2</v>
      </c>
      <c r="M5398" t="s">
        <v>315</v>
      </c>
      <c r="N5398">
        <v>511</v>
      </c>
      <c r="O5398">
        <v>10</v>
      </c>
      <c r="P5398">
        <v>511</v>
      </c>
      <c r="Q5398">
        <v>79</v>
      </c>
      <c r="R5398">
        <v>82</v>
      </c>
      <c r="S5398">
        <v>14</v>
      </c>
      <c r="T5398">
        <v>9</v>
      </c>
      <c r="U5398">
        <v>23</v>
      </c>
      <c r="V5398">
        <v>4</v>
      </c>
      <c r="W5398">
        <v>39</v>
      </c>
      <c r="X5398">
        <v>24</v>
      </c>
      <c r="Y5398">
        <v>143</v>
      </c>
      <c r="Z5398">
        <v>13</v>
      </c>
      <c r="AA5398">
        <v>6</v>
      </c>
      <c r="AB5398">
        <v>32</v>
      </c>
      <c r="AC5398">
        <v>2</v>
      </c>
      <c r="AD5398">
        <v>0</v>
      </c>
      <c r="AE5398">
        <v>1</v>
      </c>
      <c r="AF5398">
        <v>0</v>
      </c>
      <c r="AG5398">
        <v>5</v>
      </c>
      <c r="AH5398">
        <v>0</v>
      </c>
      <c r="AI5398">
        <v>2</v>
      </c>
      <c r="AJ5398">
        <v>0</v>
      </c>
      <c r="AK5398">
        <v>6</v>
      </c>
      <c r="AL5398">
        <v>4</v>
      </c>
      <c r="AM5398">
        <v>0</v>
      </c>
      <c r="AN5398">
        <v>0</v>
      </c>
      <c r="AT5398">
        <v>0</v>
      </c>
      <c r="AU5398">
        <v>29</v>
      </c>
      <c r="AV5398">
        <v>510</v>
      </c>
      <c r="AW5398">
        <v>517</v>
      </c>
      <c r="AX5398">
        <v>732</v>
      </c>
      <c r="BA5398">
        <v>1</v>
      </c>
      <c r="BC5398" t="s">
        <v>10909</v>
      </c>
      <c r="BD5398" s="4">
        <v>43283.449305555558</v>
      </c>
      <c r="BE5398" s="4">
        <v>43283.462060185186</v>
      </c>
      <c r="BF5398" s="4">
        <v>43283.462060185186</v>
      </c>
      <c r="BG5398" t="s">
        <v>83</v>
      </c>
      <c r="BH5398" t="s">
        <v>84</v>
      </c>
      <c r="BI5398" t="s">
        <v>85</v>
      </c>
    </row>
    <row r="5399" spans="1:61" x14ac:dyDescent="0.3">
      <c r="A5399" t="str">
        <f>"201925B0100"</f>
        <v>201925B0100</v>
      </c>
      <c r="B5399" t="s">
        <v>10910</v>
      </c>
      <c r="C5399">
        <v>20</v>
      </c>
      <c r="D5399" t="s">
        <v>79</v>
      </c>
      <c r="E5399">
        <v>25</v>
      </c>
      <c r="F5399" t="s">
        <v>10558</v>
      </c>
      <c r="G5399">
        <v>1925</v>
      </c>
      <c r="H5399">
        <v>1</v>
      </c>
      <c r="I5399" t="s">
        <v>81</v>
      </c>
      <c r="J5399">
        <v>0</v>
      </c>
      <c r="K5399">
        <v>2</v>
      </c>
      <c r="L5399">
        <v>2</v>
      </c>
      <c r="M5399">
        <v>451</v>
      </c>
      <c r="N5399" t="s">
        <v>100</v>
      </c>
      <c r="O5399">
        <v>455</v>
      </c>
      <c r="P5399" t="s">
        <v>100</v>
      </c>
      <c r="Q5399">
        <v>34</v>
      </c>
      <c r="R5399">
        <v>90</v>
      </c>
      <c r="S5399">
        <v>4</v>
      </c>
      <c r="T5399">
        <v>11</v>
      </c>
      <c r="U5399">
        <v>21</v>
      </c>
      <c r="V5399">
        <v>2</v>
      </c>
      <c r="W5399">
        <v>75</v>
      </c>
      <c r="X5399" t="s">
        <v>315</v>
      </c>
      <c r="Y5399">
        <v>89</v>
      </c>
      <c r="Z5399">
        <v>14</v>
      </c>
      <c r="AA5399">
        <v>6</v>
      </c>
      <c r="AB5399">
        <v>31</v>
      </c>
      <c r="AC5399">
        <v>1</v>
      </c>
      <c r="AD5399">
        <v>0</v>
      </c>
      <c r="AE5399">
        <v>0</v>
      </c>
      <c r="AF5399">
        <v>1</v>
      </c>
      <c r="AG5399">
        <v>2</v>
      </c>
      <c r="AH5399">
        <v>2</v>
      </c>
      <c r="AI5399">
        <v>3</v>
      </c>
      <c r="AJ5399">
        <v>0</v>
      </c>
      <c r="AK5399">
        <v>10</v>
      </c>
      <c r="AL5399">
        <v>0</v>
      </c>
      <c r="AM5399" t="s">
        <v>315</v>
      </c>
      <c r="AN5399">
        <v>2</v>
      </c>
      <c r="AT5399">
        <v>0</v>
      </c>
      <c r="AU5399" t="s">
        <v>315</v>
      </c>
      <c r="AV5399" t="s">
        <v>100</v>
      </c>
      <c r="AW5399">
        <v>398</v>
      </c>
      <c r="AX5399">
        <v>686</v>
      </c>
      <c r="AZ5399" t="s">
        <v>101</v>
      </c>
      <c r="BA5399">
        <v>1</v>
      </c>
      <c r="BC5399" t="s">
        <v>10911</v>
      </c>
      <c r="BD5399" s="4">
        <v>43283.29583333333</v>
      </c>
      <c r="BE5399" s="4">
        <v>43283.344027777777</v>
      </c>
      <c r="BF5399" s="4">
        <v>43283.344027777777</v>
      </c>
      <c r="BG5399" t="s">
        <v>83</v>
      </c>
      <c r="BH5399" t="s">
        <v>84</v>
      </c>
      <c r="BI5399" t="s">
        <v>85</v>
      </c>
    </row>
    <row r="5400" spans="1:61" x14ac:dyDescent="0.3">
      <c r="A5400" t="str">
        <f>"201925C0100"</f>
        <v>201925C0100</v>
      </c>
      <c r="B5400" t="s">
        <v>10912</v>
      </c>
      <c r="C5400">
        <v>20</v>
      </c>
      <c r="D5400" t="s">
        <v>79</v>
      </c>
      <c r="E5400">
        <v>25</v>
      </c>
      <c r="F5400" t="s">
        <v>10558</v>
      </c>
      <c r="G5400">
        <v>1925</v>
      </c>
      <c r="H5400">
        <v>1</v>
      </c>
      <c r="I5400" t="s">
        <v>89</v>
      </c>
      <c r="J5400">
        <v>0</v>
      </c>
      <c r="K5400">
        <v>2</v>
      </c>
      <c r="L5400">
        <v>2</v>
      </c>
      <c r="M5400">
        <v>239</v>
      </c>
      <c r="N5400">
        <v>274</v>
      </c>
      <c r="O5400">
        <v>5</v>
      </c>
      <c r="P5400">
        <v>269</v>
      </c>
      <c r="Q5400">
        <v>41</v>
      </c>
      <c r="R5400">
        <v>83</v>
      </c>
      <c r="S5400">
        <v>6</v>
      </c>
      <c r="T5400">
        <v>6</v>
      </c>
      <c r="U5400">
        <v>14</v>
      </c>
      <c r="V5400">
        <v>3</v>
      </c>
      <c r="W5400">
        <v>80</v>
      </c>
      <c r="X5400">
        <v>16</v>
      </c>
      <c r="Y5400">
        <v>112</v>
      </c>
      <c r="Z5400">
        <v>19</v>
      </c>
      <c r="AA5400">
        <v>13</v>
      </c>
      <c r="AB5400">
        <v>18</v>
      </c>
      <c r="AC5400">
        <v>2</v>
      </c>
      <c r="AD5400" t="s">
        <v>100</v>
      </c>
      <c r="AE5400" t="s">
        <v>100</v>
      </c>
      <c r="AF5400" t="s">
        <v>100</v>
      </c>
      <c r="AG5400" t="s">
        <v>100</v>
      </c>
      <c r="AH5400">
        <v>1</v>
      </c>
      <c r="AI5400" t="s">
        <v>100</v>
      </c>
      <c r="AJ5400">
        <v>1</v>
      </c>
      <c r="AK5400">
        <v>5</v>
      </c>
      <c r="AL5400">
        <v>2</v>
      </c>
      <c r="AM5400" t="s">
        <v>100</v>
      </c>
      <c r="AN5400">
        <v>1</v>
      </c>
      <c r="AT5400" t="s">
        <v>100</v>
      </c>
      <c r="AU5400">
        <v>44</v>
      </c>
      <c r="AV5400">
        <v>467</v>
      </c>
      <c r="AW5400">
        <v>467</v>
      </c>
      <c r="AX5400">
        <v>686</v>
      </c>
      <c r="AZ5400" t="s">
        <v>101</v>
      </c>
      <c r="BA5400">
        <v>1</v>
      </c>
      <c r="BC5400" t="s">
        <v>10913</v>
      </c>
      <c r="BD5400" s="4">
        <v>43283.296527777777</v>
      </c>
      <c r="BE5400" s="4">
        <v>43283.344085648147</v>
      </c>
      <c r="BF5400" s="4">
        <v>43283.344085648147</v>
      </c>
      <c r="BG5400" t="s">
        <v>83</v>
      </c>
      <c r="BH5400" t="s">
        <v>84</v>
      </c>
      <c r="BI5400" t="s">
        <v>85</v>
      </c>
    </row>
    <row r="5401" spans="1:61" x14ac:dyDescent="0.3">
      <c r="A5401" t="str">
        <f>"201925E0100"</f>
        <v>201925E0100</v>
      </c>
      <c r="B5401" s="2" t="s">
        <v>10914</v>
      </c>
      <c r="C5401">
        <v>20</v>
      </c>
      <c r="D5401" t="s">
        <v>79</v>
      </c>
      <c r="E5401">
        <v>25</v>
      </c>
      <c r="F5401" t="s">
        <v>10558</v>
      </c>
      <c r="G5401">
        <v>1925</v>
      </c>
      <c r="H5401">
        <v>1</v>
      </c>
      <c r="I5401" t="s">
        <v>145</v>
      </c>
      <c r="J5401">
        <v>0</v>
      </c>
      <c r="K5401">
        <v>2</v>
      </c>
      <c r="L5401">
        <v>2</v>
      </c>
      <c r="M5401">
        <v>161</v>
      </c>
      <c r="N5401">
        <v>494</v>
      </c>
      <c r="O5401">
        <v>0</v>
      </c>
      <c r="P5401">
        <v>494</v>
      </c>
      <c r="Q5401">
        <v>74</v>
      </c>
      <c r="R5401">
        <v>40</v>
      </c>
      <c r="S5401">
        <v>18</v>
      </c>
      <c r="T5401">
        <v>10</v>
      </c>
      <c r="U5401">
        <v>11</v>
      </c>
      <c r="V5401">
        <v>3</v>
      </c>
      <c r="W5401">
        <v>126</v>
      </c>
      <c r="X5401">
        <v>20</v>
      </c>
      <c r="Y5401">
        <v>96</v>
      </c>
      <c r="Z5401">
        <v>22</v>
      </c>
      <c r="AA5401">
        <v>7</v>
      </c>
      <c r="AB5401">
        <v>30</v>
      </c>
      <c r="AC5401">
        <v>1</v>
      </c>
      <c r="AD5401">
        <v>0</v>
      </c>
      <c r="AE5401">
        <v>0</v>
      </c>
      <c r="AF5401">
        <v>0</v>
      </c>
      <c r="AG5401">
        <v>3</v>
      </c>
      <c r="AH5401">
        <v>0</v>
      </c>
      <c r="AI5401">
        <v>0</v>
      </c>
      <c r="AJ5401">
        <v>0</v>
      </c>
      <c r="AK5401">
        <v>2</v>
      </c>
      <c r="AL5401">
        <v>0</v>
      </c>
      <c r="AM5401">
        <v>0</v>
      </c>
      <c r="AN5401">
        <v>1</v>
      </c>
      <c r="AT5401">
        <v>0</v>
      </c>
      <c r="AU5401">
        <v>30</v>
      </c>
      <c r="AV5401">
        <v>494</v>
      </c>
      <c r="AW5401">
        <v>494</v>
      </c>
      <c r="AX5401">
        <v>633</v>
      </c>
      <c r="BA5401">
        <v>1</v>
      </c>
      <c r="BC5401" t="s">
        <v>10915</v>
      </c>
      <c r="BD5401" s="4">
        <v>43283.357638888891</v>
      </c>
      <c r="BE5401" s="4">
        <v>43283.373749999999</v>
      </c>
      <c r="BF5401" s="4">
        <v>43283.373749999999</v>
      </c>
      <c r="BG5401" t="s">
        <v>83</v>
      </c>
      <c r="BH5401" t="s">
        <v>84</v>
      </c>
      <c r="BI5401" t="s">
        <v>85</v>
      </c>
    </row>
    <row r="5402" spans="1:61" x14ac:dyDescent="0.3">
      <c r="A5402" t="str">
        <f>"201925E0200"</f>
        <v>201925E0200</v>
      </c>
      <c r="B5402" s="2" t="s">
        <v>10916</v>
      </c>
      <c r="C5402">
        <v>20</v>
      </c>
      <c r="D5402" t="s">
        <v>79</v>
      </c>
      <c r="E5402">
        <v>25</v>
      </c>
      <c r="F5402" t="s">
        <v>10558</v>
      </c>
      <c r="G5402">
        <v>1925</v>
      </c>
      <c r="H5402">
        <v>2</v>
      </c>
      <c r="I5402" t="s">
        <v>145</v>
      </c>
      <c r="J5402">
        <v>0</v>
      </c>
      <c r="K5402">
        <v>2</v>
      </c>
      <c r="L5402">
        <v>2</v>
      </c>
      <c r="M5402">
        <v>53</v>
      </c>
      <c r="N5402">
        <v>232</v>
      </c>
      <c r="O5402">
        <v>6</v>
      </c>
      <c r="P5402">
        <v>146</v>
      </c>
      <c r="Q5402">
        <v>10</v>
      </c>
      <c r="R5402">
        <v>20</v>
      </c>
      <c r="S5402">
        <v>2</v>
      </c>
      <c r="T5402">
        <v>1</v>
      </c>
      <c r="U5402">
        <v>4</v>
      </c>
      <c r="V5402">
        <v>0</v>
      </c>
      <c r="W5402">
        <v>84</v>
      </c>
      <c r="X5402">
        <v>5</v>
      </c>
      <c r="Y5402">
        <v>46</v>
      </c>
      <c r="Z5402">
        <v>8</v>
      </c>
      <c r="AA5402">
        <v>0</v>
      </c>
      <c r="AB5402">
        <v>17</v>
      </c>
      <c r="AC5402">
        <v>0</v>
      </c>
      <c r="AD5402">
        <v>2</v>
      </c>
      <c r="AE5402">
        <v>0</v>
      </c>
      <c r="AF5402">
        <v>0</v>
      </c>
      <c r="AG5402">
        <v>1</v>
      </c>
      <c r="AH5402">
        <v>0</v>
      </c>
      <c r="AI5402">
        <v>0</v>
      </c>
      <c r="AJ5402">
        <v>1</v>
      </c>
      <c r="AK5402">
        <v>0</v>
      </c>
      <c r="AL5402">
        <v>0</v>
      </c>
      <c r="AM5402">
        <v>0</v>
      </c>
      <c r="AN5402">
        <v>0</v>
      </c>
      <c r="AT5402">
        <v>0</v>
      </c>
      <c r="AU5402">
        <v>25</v>
      </c>
      <c r="AV5402">
        <v>146</v>
      </c>
      <c r="AW5402">
        <v>226</v>
      </c>
      <c r="AX5402">
        <v>257</v>
      </c>
      <c r="BA5402">
        <v>1</v>
      </c>
      <c r="BC5402" t="s">
        <v>10917</v>
      </c>
      <c r="BD5402" s="4">
        <v>43283.29791666667</v>
      </c>
      <c r="BE5402" s="4">
        <v>43283.332962962966</v>
      </c>
      <c r="BF5402" s="4">
        <v>43283.332962962966</v>
      </c>
      <c r="BG5402" t="s">
        <v>83</v>
      </c>
      <c r="BH5402" t="s">
        <v>84</v>
      </c>
      <c r="BI5402" t="s">
        <v>85</v>
      </c>
    </row>
    <row r="5403" spans="1:61" x14ac:dyDescent="0.3">
      <c r="A5403" t="str">
        <f>"201926B0100"</f>
        <v>201926B0100</v>
      </c>
      <c r="B5403" t="s">
        <v>10918</v>
      </c>
      <c r="C5403">
        <v>20</v>
      </c>
      <c r="D5403" t="s">
        <v>79</v>
      </c>
      <c r="E5403">
        <v>25</v>
      </c>
      <c r="F5403" t="s">
        <v>10558</v>
      </c>
      <c r="G5403">
        <v>1926</v>
      </c>
      <c r="H5403">
        <v>1</v>
      </c>
      <c r="I5403" t="s">
        <v>81</v>
      </c>
      <c r="J5403">
        <v>0</v>
      </c>
      <c r="K5403">
        <v>2</v>
      </c>
      <c r="L5403">
        <v>2</v>
      </c>
      <c r="M5403">
        <v>206</v>
      </c>
      <c r="N5403">
        <v>523</v>
      </c>
      <c r="O5403">
        <v>3</v>
      </c>
      <c r="P5403">
        <v>523</v>
      </c>
      <c r="Q5403">
        <v>53</v>
      </c>
      <c r="R5403">
        <v>102</v>
      </c>
      <c r="S5403">
        <v>8</v>
      </c>
      <c r="T5403">
        <v>11</v>
      </c>
      <c r="U5403">
        <v>17</v>
      </c>
      <c r="V5403">
        <v>6</v>
      </c>
      <c r="W5403">
        <v>76</v>
      </c>
      <c r="X5403">
        <v>10</v>
      </c>
      <c r="Y5403">
        <v>147</v>
      </c>
      <c r="Z5403">
        <v>9</v>
      </c>
      <c r="AA5403">
        <v>9</v>
      </c>
      <c r="AB5403">
        <v>33</v>
      </c>
      <c r="AC5403">
        <v>0</v>
      </c>
      <c r="AD5403">
        <v>0</v>
      </c>
      <c r="AE5403">
        <v>0</v>
      </c>
      <c r="AF5403">
        <v>0</v>
      </c>
      <c r="AG5403">
        <v>3</v>
      </c>
      <c r="AH5403">
        <v>0</v>
      </c>
      <c r="AI5403">
        <v>0</v>
      </c>
      <c r="AJ5403">
        <v>0</v>
      </c>
      <c r="AK5403">
        <v>4</v>
      </c>
      <c r="AL5403">
        <v>0</v>
      </c>
      <c r="AM5403">
        <v>0</v>
      </c>
      <c r="AN5403">
        <v>3</v>
      </c>
      <c r="AT5403">
        <v>0</v>
      </c>
      <c r="AU5403">
        <v>32</v>
      </c>
      <c r="AV5403">
        <v>523</v>
      </c>
      <c r="AW5403">
        <v>523</v>
      </c>
      <c r="AX5403">
        <v>707</v>
      </c>
      <c r="BA5403">
        <v>1</v>
      </c>
      <c r="BC5403" t="s">
        <v>10919</v>
      </c>
      <c r="BD5403" s="4">
        <v>43283.35833333333</v>
      </c>
      <c r="BE5403" s="4">
        <v>43283.37222222222</v>
      </c>
      <c r="BF5403" s="4">
        <v>43283.37222222222</v>
      </c>
      <c r="BG5403" t="s">
        <v>83</v>
      </c>
      <c r="BH5403" t="s">
        <v>84</v>
      </c>
      <c r="BI5403" t="s">
        <v>85</v>
      </c>
    </row>
    <row r="5404" spans="1:61" x14ac:dyDescent="0.3">
      <c r="A5404" t="str">
        <f>"201926C0100"</f>
        <v>201926C0100</v>
      </c>
      <c r="B5404" t="s">
        <v>10920</v>
      </c>
      <c r="C5404">
        <v>20</v>
      </c>
      <c r="D5404" t="s">
        <v>79</v>
      </c>
      <c r="E5404">
        <v>25</v>
      </c>
      <c r="F5404" t="s">
        <v>10558</v>
      </c>
      <c r="G5404">
        <v>1926</v>
      </c>
      <c r="H5404">
        <v>1</v>
      </c>
      <c r="I5404" t="s">
        <v>89</v>
      </c>
      <c r="J5404">
        <v>0</v>
      </c>
      <c r="K5404">
        <v>2</v>
      </c>
      <c r="L5404">
        <v>2</v>
      </c>
      <c r="M5404">
        <v>256</v>
      </c>
      <c r="N5404">
        <v>729</v>
      </c>
      <c r="O5404">
        <v>0</v>
      </c>
      <c r="P5404">
        <v>473</v>
      </c>
      <c r="Q5404">
        <v>34</v>
      </c>
      <c r="R5404">
        <v>68</v>
      </c>
      <c r="S5404">
        <v>3</v>
      </c>
      <c r="T5404">
        <v>9</v>
      </c>
      <c r="U5404">
        <v>15</v>
      </c>
      <c r="V5404">
        <v>2</v>
      </c>
      <c r="W5404">
        <v>46</v>
      </c>
      <c r="X5404">
        <v>12</v>
      </c>
      <c r="Y5404">
        <v>165</v>
      </c>
      <c r="Z5404">
        <v>13</v>
      </c>
      <c r="AA5404">
        <v>26</v>
      </c>
      <c r="AB5404">
        <v>27</v>
      </c>
      <c r="AC5404">
        <v>1</v>
      </c>
      <c r="AD5404">
        <v>1</v>
      </c>
      <c r="AE5404">
        <v>0</v>
      </c>
      <c r="AF5404">
        <v>0</v>
      </c>
      <c r="AG5404">
        <v>4</v>
      </c>
      <c r="AH5404">
        <v>1</v>
      </c>
      <c r="AI5404">
        <v>0</v>
      </c>
      <c r="AJ5404">
        <v>0</v>
      </c>
      <c r="AK5404">
        <v>6</v>
      </c>
      <c r="AL5404">
        <v>3</v>
      </c>
      <c r="AM5404">
        <v>0</v>
      </c>
      <c r="AN5404">
        <v>4</v>
      </c>
      <c r="AT5404" t="s">
        <v>100</v>
      </c>
      <c r="AU5404" t="s">
        <v>100</v>
      </c>
      <c r="AV5404" t="s">
        <v>100</v>
      </c>
      <c r="AW5404">
        <v>440</v>
      </c>
      <c r="AX5404">
        <v>707</v>
      </c>
      <c r="AZ5404" t="s">
        <v>101</v>
      </c>
      <c r="BA5404">
        <v>1</v>
      </c>
      <c r="BC5404" t="s">
        <v>10921</v>
      </c>
      <c r="BD5404" s="4">
        <v>43283.357638888891</v>
      </c>
      <c r="BE5404" s="4">
        <v>43283.372731481482</v>
      </c>
      <c r="BF5404" s="4">
        <v>43283.372731481482</v>
      </c>
      <c r="BG5404" t="s">
        <v>83</v>
      </c>
      <c r="BH5404" t="s">
        <v>84</v>
      </c>
      <c r="BI5404" t="s">
        <v>85</v>
      </c>
    </row>
    <row r="5405" spans="1:61" x14ac:dyDescent="0.3">
      <c r="A5405" t="str">
        <f>"201927B0100"</f>
        <v>201927B0100</v>
      </c>
      <c r="B5405" t="s">
        <v>10922</v>
      </c>
      <c r="C5405">
        <v>20</v>
      </c>
      <c r="D5405" t="s">
        <v>79</v>
      </c>
      <c r="E5405">
        <v>25</v>
      </c>
      <c r="F5405" t="s">
        <v>10558</v>
      </c>
      <c r="G5405">
        <v>1927</v>
      </c>
      <c r="H5405">
        <v>1</v>
      </c>
      <c r="I5405" t="s">
        <v>81</v>
      </c>
      <c r="J5405">
        <v>0</v>
      </c>
      <c r="K5405">
        <v>2</v>
      </c>
      <c r="L5405">
        <v>2</v>
      </c>
      <c r="M5405">
        <v>190</v>
      </c>
      <c r="N5405">
        <v>698</v>
      </c>
      <c r="O5405">
        <v>0</v>
      </c>
      <c r="P5405">
        <v>507</v>
      </c>
      <c r="Q5405">
        <v>28</v>
      </c>
      <c r="R5405">
        <v>71</v>
      </c>
      <c r="S5405">
        <v>7</v>
      </c>
      <c r="T5405">
        <v>13</v>
      </c>
      <c r="U5405">
        <v>21</v>
      </c>
      <c r="V5405">
        <v>5</v>
      </c>
      <c r="W5405">
        <v>79</v>
      </c>
      <c r="X5405">
        <v>21</v>
      </c>
      <c r="Y5405">
        <v>170</v>
      </c>
      <c r="Z5405">
        <v>14</v>
      </c>
      <c r="AA5405">
        <v>25</v>
      </c>
      <c r="AB5405">
        <v>17</v>
      </c>
      <c r="AC5405">
        <v>1</v>
      </c>
      <c r="AD5405">
        <v>1</v>
      </c>
      <c r="AE5405">
        <v>0</v>
      </c>
      <c r="AF5405">
        <v>0</v>
      </c>
      <c r="AG5405">
        <v>1</v>
      </c>
      <c r="AH5405">
        <v>0</v>
      </c>
      <c r="AI5405">
        <v>0</v>
      </c>
      <c r="AJ5405">
        <v>0</v>
      </c>
      <c r="AK5405">
        <v>0</v>
      </c>
      <c r="AL5405">
        <v>0</v>
      </c>
      <c r="AM5405">
        <v>1</v>
      </c>
      <c r="AN5405">
        <v>6</v>
      </c>
      <c r="AT5405" t="s">
        <v>100</v>
      </c>
      <c r="AU5405" t="s">
        <v>100</v>
      </c>
      <c r="AV5405" t="s">
        <v>100</v>
      </c>
      <c r="AW5405">
        <v>481</v>
      </c>
      <c r="AX5405">
        <v>676</v>
      </c>
      <c r="AZ5405" t="s">
        <v>101</v>
      </c>
      <c r="BA5405">
        <v>1</v>
      </c>
      <c r="BC5405" t="s">
        <v>10923</v>
      </c>
      <c r="BD5405" s="4">
        <v>43283.429861111108</v>
      </c>
      <c r="BE5405" s="4">
        <v>43283.437013888892</v>
      </c>
      <c r="BF5405" s="4">
        <v>43283.437013888892</v>
      </c>
      <c r="BG5405" t="s">
        <v>83</v>
      </c>
      <c r="BH5405" t="s">
        <v>84</v>
      </c>
      <c r="BI5405" t="s">
        <v>85</v>
      </c>
    </row>
    <row r="5406" spans="1:61" x14ac:dyDescent="0.3">
      <c r="A5406" t="str">
        <f>"201927C0100"</f>
        <v>201927C0100</v>
      </c>
      <c r="B5406" t="s">
        <v>10924</v>
      </c>
      <c r="C5406">
        <v>20</v>
      </c>
      <c r="D5406" t="s">
        <v>79</v>
      </c>
      <c r="E5406">
        <v>25</v>
      </c>
      <c r="F5406" t="s">
        <v>10558</v>
      </c>
      <c r="G5406">
        <v>1927</v>
      </c>
      <c r="H5406">
        <v>1</v>
      </c>
      <c r="I5406" t="s">
        <v>89</v>
      </c>
      <c r="J5406">
        <v>0</v>
      </c>
      <c r="K5406">
        <v>2</v>
      </c>
      <c r="L5406">
        <v>2</v>
      </c>
      <c r="M5406">
        <v>224</v>
      </c>
      <c r="N5406">
        <v>475</v>
      </c>
      <c r="O5406">
        <v>5</v>
      </c>
      <c r="P5406">
        <v>472</v>
      </c>
      <c r="Q5406">
        <v>32</v>
      </c>
      <c r="R5406">
        <v>86</v>
      </c>
      <c r="S5406">
        <v>1</v>
      </c>
      <c r="T5406">
        <v>10</v>
      </c>
      <c r="U5406">
        <v>23</v>
      </c>
      <c r="V5406">
        <v>3</v>
      </c>
      <c r="W5406">
        <v>75</v>
      </c>
      <c r="X5406">
        <v>17</v>
      </c>
      <c r="Y5406">
        <v>98</v>
      </c>
      <c r="Z5406">
        <v>29</v>
      </c>
      <c r="AA5406">
        <v>16</v>
      </c>
      <c r="AB5406">
        <v>24</v>
      </c>
      <c r="AC5406">
        <v>2</v>
      </c>
      <c r="AD5406">
        <v>1</v>
      </c>
      <c r="AE5406">
        <v>0</v>
      </c>
      <c r="AF5406">
        <v>0</v>
      </c>
      <c r="AG5406">
        <v>5</v>
      </c>
      <c r="AH5406">
        <v>3</v>
      </c>
      <c r="AI5406">
        <v>1</v>
      </c>
      <c r="AJ5406">
        <v>0</v>
      </c>
      <c r="AK5406">
        <v>8</v>
      </c>
      <c r="AL5406">
        <v>3</v>
      </c>
      <c r="AM5406">
        <v>0</v>
      </c>
      <c r="AN5406">
        <v>2</v>
      </c>
      <c r="AT5406" t="s">
        <v>100</v>
      </c>
      <c r="AU5406">
        <v>33</v>
      </c>
      <c r="AV5406">
        <v>472</v>
      </c>
      <c r="AW5406">
        <v>472</v>
      </c>
      <c r="AX5406">
        <v>676</v>
      </c>
      <c r="AZ5406" t="s">
        <v>101</v>
      </c>
      <c r="BA5406">
        <v>1</v>
      </c>
      <c r="BC5406" t="s">
        <v>10925</v>
      </c>
      <c r="BD5406" s="4">
        <v>43283.426388888889</v>
      </c>
      <c r="BE5406" s="4">
        <v>43283.442094907405</v>
      </c>
      <c r="BF5406" s="4">
        <v>43283.442094907405</v>
      </c>
      <c r="BG5406" t="s">
        <v>83</v>
      </c>
      <c r="BH5406" t="s">
        <v>84</v>
      </c>
      <c r="BI5406" t="s">
        <v>85</v>
      </c>
    </row>
    <row r="5407" spans="1:61" x14ac:dyDescent="0.3">
      <c r="A5407" t="str">
        <f>"201927C0200"</f>
        <v>201927C0200</v>
      </c>
      <c r="B5407" t="s">
        <v>10926</v>
      </c>
      <c r="C5407">
        <v>20</v>
      </c>
      <c r="D5407" t="s">
        <v>79</v>
      </c>
      <c r="E5407">
        <v>25</v>
      </c>
      <c r="F5407" t="s">
        <v>10558</v>
      </c>
      <c r="G5407">
        <v>1927</v>
      </c>
      <c r="H5407">
        <v>2</v>
      </c>
      <c r="I5407" t="s">
        <v>89</v>
      </c>
      <c r="J5407">
        <v>0</v>
      </c>
      <c r="K5407">
        <v>2</v>
      </c>
      <c r="L5407">
        <v>2</v>
      </c>
      <c r="M5407">
        <v>481</v>
      </c>
      <c r="N5407">
        <v>0</v>
      </c>
      <c r="O5407">
        <v>481</v>
      </c>
      <c r="P5407">
        <v>481</v>
      </c>
      <c r="Q5407">
        <v>37</v>
      </c>
      <c r="R5407">
        <v>73</v>
      </c>
      <c r="S5407">
        <v>6</v>
      </c>
      <c r="T5407">
        <v>11</v>
      </c>
      <c r="U5407">
        <v>22</v>
      </c>
      <c r="V5407">
        <v>2</v>
      </c>
      <c r="W5407">
        <v>76</v>
      </c>
      <c r="X5407">
        <v>20</v>
      </c>
      <c r="Y5407">
        <v>114</v>
      </c>
      <c r="Z5407">
        <v>25</v>
      </c>
      <c r="AA5407">
        <v>26</v>
      </c>
      <c r="AB5407">
        <v>18</v>
      </c>
      <c r="AC5407">
        <v>0</v>
      </c>
      <c r="AD5407">
        <v>0</v>
      </c>
      <c r="AE5407">
        <v>0</v>
      </c>
      <c r="AF5407">
        <v>0</v>
      </c>
      <c r="AG5407">
        <v>3</v>
      </c>
      <c r="AH5407">
        <v>0</v>
      </c>
      <c r="AI5407">
        <v>1</v>
      </c>
      <c r="AJ5407">
        <v>0</v>
      </c>
      <c r="AK5407">
        <v>9</v>
      </c>
      <c r="AL5407">
        <v>0</v>
      </c>
      <c r="AM5407">
        <v>0</v>
      </c>
      <c r="AN5407">
        <v>3</v>
      </c>
      <c r="AT5407">
        <v>1</v>
      </c>
      <c r="AU5407">
        <v>35</v>
      </c>
      <c r="AV5407">
        <v>482</v>
      </c>
      <c r="AW5407">
        <v>482</v>
      </c>
      <c r="AX5407">
        <v>676</v>
      </c>
      <c r="BA5407">
        <v>1</v>
      </c>
      <c r="BC5407" s="2" t="s">
        <v>10927</v>
      </c>
      <c r="BD5407" s="4">
        <v>43283.424305555556</v>
      </c>
      <c r="BE5407" s="4">
        <v>43283.431944444441</v>
      </c>
      <c r="BF5407" s="4">
        <v>43283.431944444441</v>
      </c>
      <c r="BG5407" t="s">
        <v>83</v>
      </c>
      <c r="BH5407" t="s">
        <v>84</v>
      </c>
      <c r="BI5407" t="s">
        <v>85</v>
      </c>
    </row>
    <row r="5408" spans="1:61" x14ac:dyDescent="0.3">
      <c r="A5408" t="str">
        <f>"201927E0100"</f>
        <v>201927E0100</v>
      </c>
      <c r="B5408" s="2" t="s">
        <v>10928</v>
      </c>
      <c r="C5408">
        <v>20</v>
      </c>
      <c r="D5408" t="s">
        <v>79</v>
      </c>
      <c r="E5408">
        <v>25</v>
      </c>
      <c r="F5408" t="s">
        <v>10558</v>
      </c>
      <c r="G5408">
        <v>1927</v>
      </c>
      <c r="H5408">
        <v>1</v>
      </c>
      <c r="I5408" t="s">
        <v>145</v>
      </c>
      <c r="J5408">
        <v>0</v>
      </c>
      <c r="K5408">
        <v>2</v>
      </c>
      <c r="L5408">
        <v>2</v>
      </c>
      <c r="M5408">
        <v>203</v>
      </c>
      <c r="N5408">
        <v>494</v>
      </c>
      <c r="O5408">
        <v>8</v>
      </c>
      <c r="P5408">
        <v>494</v>
      </c>
      <c r="Q5408">
        <v>41</v>
      </c>
      <c r="R5408">
        <v>24</v>
      </c>
      <c r="S5408">
        <v>20</v>
      </c>
      <c r="T5408">
        <v>11</v>
      </c>
      <c r="U5408">
        <v>22</v>
      </c>
      <c r="V5408">
        <v>5</v>
      </c>
      <c r="W5408">
        <v>53</v>
      </c>
      <c r="X5408">
        <v>23</v>
      </c>
      <c r="Y5408">
        <v>196</v>
      </c>
      <c r="Z5408">
        <v>28</v>
      </c>
      <c r="AA5408">
        <v>14</v>
      </c>
      <c r="AB5408">
        <v>19</v>
      </c>
      <c r="AC5408">
        <v>0</v>
      </c>
      <c r="AD5408">
        <v>1</v>
      </c>
      <c r="AE5408">
        <v>0</v>
      </c>
      <c r="AF5408">
        <v>0</v>
      </c>
      <c r="AG5408">
        <v>0</v>
      </c>
      <c r="AH5408">
        <v>0</v>
      </c>
      <c r="AI5408">
        <v>0</v>
      </c>
      <c r="AJ5408">
        <v>0</v>
      </c>
      <c r="AK5408">
        <v>8</v>
      </c>
      <c r="AL5408">
        <v>0</v>
      </c>
      <c r="AM5408">
        <v>0</v>
      </c>
      <c r="AN5408">
        <v>3</v>
      </c>
      <c r="AT5408">
        <v>0</v>
      </c>
      <c r="AU5408">
        <v>25</v>
      </c>
      <c r="AV5408">
        <v>493</v>
      </c>
      <c r="AW5408">
        <v>493</v>
      </c>
      <c r="AX5408">
        <v>675</v>
      </c>
      <c r="BA5408">
        <v>1</v>
      </c>
      <c r="BC5408" t="s">
        <v>10929</v>
      </c>
      <c r="BD5408" s="4">
        <v>43283.427777777775</v>
      </c>
      <c r="BE5408" s="4">
        <v>43283.436689814815</v>
      </c>
      <c r="BF5408" s="4">
        <v>43283.436689814815</v>
      </c>
      <c r="BG5408" t="s">
        <v>83</v>
      </c>
      <c r="BH5408" t="s">
        <v>84</v>
      </c>
      <c r="BI5408" t="s">
        <v>85</v>
      </c>
    </row>
    <row r="5409" spans="1:61" x14ac:dyDescent="0.3">
      <c r="A5409" t="str">
        <f>"201927E0101"</f>
        <v>201927E0101</v>
      </c>
      <c r="B5409" s="2" t="s">
        <v>10930</v>
      </c>
      <c r="C5409">
        <v>20</v>
      </c>
      <c r="D5409" t="s">
        <v>79</v>
      </c>
      <c r="E5409">
        <v>25</v>
      </c>
      <c r="F5409" t="s">
        <v>10558</v>
      </c>
      <c r="G5409">
        <v>1927</v>
      </c>
      <c r="H5409">
        <v>1</v>
      </c>
      <c r="I5409" t="s">
        <v>145</v>
      </c>
      <c r="J5409">
        <v>1</v>
      </c>
      <c r="K5409">
        <v>2</v>
      </c>
      <c r="L5409">
        <v>2</v>
      </c>
      <c r="M5409">
        <v>172</v>
      </c>
      <c r="N5409">
        <v>0</v>
      </c>
      <c r="O5409">
        <v>6</v>
      </c>
      <c r="P5409">
        <v>523</v>
      </c>
      <c r="Q5409">
        <v>21</v>
      </c>
      <c r="R5409">
        <v>35</v>
      </c>
      <c r="S5409">
        <v>12</v>
      </c>
      <c r="T5409">
        <v>17</v>
      </c>
      <c r="U5409">
        <v>27</v>
      </c>
      <c r="V5409">
        <v>6</v>
      </c>
      <c r="W5409">
        <v>58</v>
      </c>
      <c r="X5409">
        <v>31</v>
      </c>
      <c r="Y5409">
        <v>205</v>
      </c>
      <c r="Z5409">
        <v>23</v>
      </c>
      <c r="AA5409">
        <v>16</v>
      </c>
      <c r="AB5409">
        <v>26</v>
      </c>
      <c r="AC5409">
        <v>2</v>
      </c>
      <c r="AD5409">
        <v>1</v>
      </c>
      <c r="AE5409">
        <v>0</v>
      </c>
      <c r="AF5409">
        <v>0</v>
      </c>
      <c r="AG5409">
        <v>1</v>
      </c>
      <c r="AH5409">
        <v>0</v>
      </c>
      <c r="AI5409">
        <v>1</v>
      </c>
      <c r="AJ5409">
        <v>0</v>
      </c>
      <c r="AK5409">
        <v>3</v>
      </c>
      <c r="AL5409">
        <v>1</v>
      </c>
      <c r="AM5409">
        <v>1</v>
      </c>
      <c r="AN5409">
        <v>3</v>
      </c>
      <c r="AT5409">
        <v>0</v>
      </c>
      <c r="AU5409">
        <v>33</v>
      </c>
      <c r="AV5409">
        <v>523</v>
      </c>
      <c r="AW5409">
        <v>523</v>
      </c>
      <c r="AX5409">
        <v>674</v>
      </c>
      <c r="BA5409">
        <v>1</v>
      </c>
      <c r="BC5409" t="s">
        <v>10931</v>
      </c>
      <c r="BD5409" s="4">
        <v>43283.427083333336</v>
      </c>
      <c r="BE5409" s="4">
        <v>43283.438043981485</v>
      </c>
      <c r="BF5409" s="4">
        <v>43283.438043981485</v>
      </c>
      <c r="BG5409" t="s">
        <v>83</v>
      </c>
      <c r="BH5409" t="s">
        <v>84</v>
      </c>
      <c r="BI5409" t="s">
        <v>85</v>
      </c>
    </row>
    <row r="5410" spans="1:61" x14ac:dyDescent="0.3">
      <c r="A5410" t="str">
        <f>"202176B0100"</f>
        <v>202176B0100</v>
      </c>
      <c r="B5410" t="s">
        <v>10932</v>
      </c>
      <c r="C5410">
        <v>20</v>
      </c>
      <c r="D5410" t="s">
        <v>79</v>
      </c>
      <c r="E5410">
        <v>25</v>
      </c>
      <c r="F5410" t="s">
        <v>10558</v>
      </c>
      <c r="G5410">
        <v>2176</v>
      </c>
      <c r="H5410">
        <v>1</v>
      </c>
      <c r="I5410" t="s">
        <v>81</v>
      </c>
      <c r="J5410">
        <v>0</v>
      </c>
      <c r="K5410">
        <v>2</v>
      </c>
      <c r="L5410">
        <v>2</v>
      </c>
      <c r="M5410">
        <v>317</v>
      </c>
      <c r="N5410" t="s">
        <v>100</v>
      </c>
      <c r="O5410" t="s">
        <v>100</v>
      </c>
      <c r="P5410" t="s">
        <v>100</v>
      </c>
      <c r="Q5410">
        <v>19</v>
      </c>
      <c r="R5410">
        <v>39</v>
      </c>
      <c r="S5410">
        <v>4</v>
      </c>
      <c r="T5410">
        <v>2</v>
      </c>
      <c r="U5410">
        <v>18</v>
      </c>
      <c r="V5410">
        <v>3</v>
      </c>
      <c r="W5410">
        <v>2</v>
      </c>
      <c r="X5410">
        <v>6</v>
      </c>
      <c r="Y5410">
        <v>250</v>
      </c>
      <c r="Z5410">
        <v>8</v>
      </c>
      <c r="AA5410">
        <v>0</v>
      </c>
      <c r="AB5410">
        <v>4</v>
      </c>
      <c r="AC5410">
        <v>0</v>
      </c>
      <c r="AD5410">
        <v>0</v>
      </c>
      <c r="AE5410">
        <v>2</v>
      </c>
      <c r="AF5410">
        <v>0</v>
      </c>
      <c r="AG5410">
        <v>2</v>
      </c>
      <c r="AH5410">
        <v>0</v>
      </c>
      <c r="AI5410">
        <v>0</v>
      </c>
      <c r="AJ5410">
        <v>0</v>
      </c>
      <c r="AK5410">
        <v>7</v>
      </c>
      <c r="AL5410">
        <v>3</v>
      </c>
      <c r="AM5410">
        <v>0</v>
      </c>
      <c r="AN5410">
        <v>0</v>
      </c>
      <c r="AT5410">
        <v>0</v>
      </c>
      <c r="AU5410">
        <v>15</v>
      </c>
      <c r="AV5410">
        <v>389</v>
      </c>
      <c r="AW5410">
        <v>384</v>
      </c>
      <c r="AX5410">
        <v>684</v>
      </c>
      <c r="BA5410">
        <v>1</v>
      </c>
      <c r="BC5410" t="s">
        <v>10933</v>
      </c>
      <c r="BD5410" s="4">
        <v>43283.039583333331</v>
      </c>
      <c r="BE5410" s="4">
        <v>43283.05096064815</v>
      </c>
      <c r="BF5410" s="4">
        <v>43283.05096064815</v>
      </c>
      <c r="BG5410" t="s">
        <v>83</v>
      </c>
      <c r="BH5410" t="s">
        <v>84</v>
      </c>
      <c r="BI5410" t="s">
        <v>85</v>
      </c>
    </row>
    <row r="5411" spans="1:61" x14ac:dyDescent="0.3">
      <c r="A5411" t="str">
        <f>"202176C0100"</f>
        <v>202176C0100</v>
      </c>
      <c r="B5411" t="s">
        <v>10934</v>
      </c>
      <c r="C5411">
        <v>20</v>
      </c>
      <c r="D5411" t="s">
        <v>79</v>
      </c>
      <c r="E5411">
        <v>25</v>
      </c>
      <c r="F5411" t="s">
        <v>10558</v>
      </c>
      <c r="G5411">
        <v>2176</v>
      </c>
      <c r="H5411">
        <v>1</v>
      </c>
      <c r="I5411" t="s">
        <v>89</v>
      </c>
      <c r="J5411">
        <v>0</v>
      </c>
      <c r="K5411">
        <v>2</v>
      </c>
      <c r="L5411">
        <v>2</v>
      </c>
      <c r="M5411">
        <v>309</v>
      </c>
      <c r="N5411">
        <v>394</v>
      </c>
      <c r="O5411">
        <v>0</v>
      </c>
      <c r="P5411">
        <v>394</v>
      </c>
      <c r="Q5411">
        <v>16</v>
      </c>
      <c r="R5411">
        <v>48</v>
      </c>
      <c r="S5411">
        <v>3</v>
      </c>
      <c r="T5411">
        <v>2</v>
      </c>
      <c r="U5411">
        <v>21</v>
      </c>
      <c r="V5411">
        <v>1</v>
      </c>
      <c r="W5411">
        <v>2</v>
      </c>
      <c r="X5411">
        <v>3</v>
      </c>
      <c r="Y5411">
        <v>259</v>
      </c>
      <c r="Z5411">
        <v>16</v>
      </c>
      <c r="AA5411">
        <v>0</v>
      </c>
      <c r="AB5411">
        <v>3</v>
      </c>
      <c r="AC5411">
        <v>0</v>
      </c>
      <c r="AD5411">
        <v>0</v>
      </c>
      <c r="AE5411">
        <v>0</v>
      </c>
      <c r="AF5411">
        <v>0</v>
      </c>
      <c r="AG5411">
        <v>3</v>
      </c>
      <c r="AH5411">
        <v>0</v>
      </c>
      <c r="AI5411">
        <v>0</v>
      </c>
      <c r="AJ5411">
        <v>0</v>
      </c>
      <c r="AK5411">
        <v>7</v>
      </c>
      <c r="AL5411">
        <v>1</v>
      </c>
      <c r="AM5411">
        <v>0</v>
      </c>
      <c r="AN5411">
        <v>2</v>
      </c>
      <c r="AT5411">
        <v>0</v>
      </c>
      <c r="AU5411">
        <v>7</v>
      </c>
      <c r="AV5411">
        <v>394</v>
      </c>
      <c r="AW5411">
        <v>394</v>
      </c>
      <c r="AX5411">
        <v>684</v>
      </c>
      <c r="BA5411">
        <v>1</v>
      </c>
      <c r="BC5411" t="s">
        <v>10935</v>
      </c>
      <c r="BD5411" s="4">
        <v>43283.03402777778</v>
      </c>
      <c r="BE5411" s="4">
        <v>43283.041875000003</v>
      </c>
      <c r="BF5411" s="4">
        <v>43283.041875000003</v>
      </c>
      <c r="BG5411" t="s">
        <v>83</v>
      </c>
      <c r="BH5411" t="s">
        <v>84</v>
      </c>
      <c r="BI5411" t="s">
        <v>85</v>
      </c>
    </row>
    <row r="5412" spans="1:61" x14ac:dyDescent="0.3">
      <c r="A5412" t="str">
        <f>"202176E0100"</f>
        <v>202176E0100</v>
      </c>
      <c r="B5412" s="2" t="s">
        <v>10936</v>
      </c>
      <c r="C5412">
        <v>20</v>
      </c>
      <c r="D5412" t="s">
        <v>79</v>
      </c>
      <c r="E5412">
        <v>25</v>
      </c>
      <c r="F5412" t="s">
        <v>10558</v>
      </c>
      <c r="G5412">
        <v>2176</v>
      </c>
      <c r="H5412">
        <v>1</v>
      </c>
      <c r="I5412" t="s">
        <v>145</v>
      </c>
      <c r="J5412">
        <v>0</v>
      </c>
      <c r="K5412">
        <v>2</v>
      </c>
      <c r="L5412">
        <v>2</v>
      </c>
      <c r="M5412">
        <v>197</v>
      </c>
      <c r="N5412">
        <v>218</v>
      </c>
      <c r="O5412">
        <v>8</v>
      </c>
      <c r="P5412" t="s">
        <v>100</v>
      </c>
      <c r="Q5412">
        <v>15</v>
      </c>
      <c r="R5412">
        <v>5</v>
      </c>
      <c r="S5412">
        <v>6</v>
      </c>
      <c r="T5412">
        <v>2</v>
      </c>
      <c r="U5412">
        <v>19</v>
      </c>
      <c r="V5412">
        <v>0</v>
      </c>
      <c r="W5412">
        <v>0</v>
      </c>
      <c r="X5412">
        <v>3</v>
      </c>
      <c r="Y5412">
        <v>154</v>
      </c>
      <c r="Z5412">
        <v>4</v>
      </c>
      <c r="AA5412">
        <v>0</v>
      </c>
      <c r="AB5412">
        <v>1</v>
      </c>
      <c r="AC5412">
        <v>0</v>
      </c>
      <c r="AD5412">
        <v>0</v>
      </c>
      <c r="AE5412">
        <v>0</v>
      </c>
      <c r="AF5412">
        <v>0</v>
      </c>
      <c r="AG5412">
        <v>0</v>
      </c>
      <c r="AH5412">
        <v>0</v>
      </c>
      <c r="AI5412">
        <v>0</v>
      </c>
      <c r="AJ5412">
        <v>0</v>
      </c>
      <c r="AK5412">
        <v>0</v>
      </c>
      <c r="AL5412">
        <v>1</v>
      </c>
      <c r="AM5412">
        <v>0</v>
      </c>
      <c r="AN5412">
        <v>1</v>
      </c>
      <c r="AT5412">
        <v>0</v>
      </c>
      <c r="AU5412">
        <v>7</v>
      </c>
      <c r="AV5412">
        <v>218</v>
      </c>
      <c r="AW5412">
        <v>218</v>
      </c>
      <c r="AX5412">
        <v>393</v>
      </c>
      <c r="BA5412">
        <v>1</v>
      </c>
      <c r="BC5412" t="s">
        <v>10937</v>
      </c>
      <c r="BD5412" s="4">
        <v>43283.533333333333</v>
      </c>
      <c r="BE5412" s="4">
        <v>43283.543055555558</v>
      </c>
      <c r="BF5412" s="4">
        <v>43283.543055555558</v>
      </c>
      <c r="BG5412" t="s">
        <v>83</v>
      </c>
      <c r="BH5412" t="s">
        <v>84</v>
      </c>
      <c r="BI5412" t="s">
        <v>548</v>
      </c>
    </row>
    <row r="5413" spans="1:61" x14ac:dyDescent="0.3">
      <c r="A5413" t="str">
        <f>"202177B0100"</f>
        <v>202177B0100</v>
      </c>
      <c r="B5413" t="s">
        <v>10938</v>
      </c>
      <c r="C5413">
        <v>20</v>
      </c>
      <c r="D5413" t="s">
        <v>79</v>
      </c>
      <c r="E5413">
        <v>25</v>
      </c>
      <c r="F5413" t="s">
        <v>10558</v>
      </c>
      <c r="G5413">
        <v>2177</v>
      </c>
      <c r="H5413">
        <v>1</v>
      </c>
      <c r="I5413" t="s">
        <v>81</v>
      </c>
      <c r="J5413">
        <v>0</v>
      </c>
      <c r="K5413">
        <v>2</v>
      </c>
      <c r="L5413">
        <v>2</v>
      </c>
      <c r="M5413">
        <v>398</v>
      </c>
      <c r="N5413">
        <v>295</v>
      </c>
      <c r="O5413">
        <v>4</v>
      </c>
      <c r="P5413">
        <v>295</v>
      </c>
      <c r="Q5413">
        <v>24</v>
      </c>
      <c r="R5413">
        <v>3</v>
      </c>
      <c r="S5413">
        <v>1</v>
      </c>
      <c r="T5413">
        <v>0</v>
      </c>
      <c r="U5413">
        <v>6</v>
      </c>
      <c r="V5413">
        <v>0</v>
      </c>
      <c r="W5413">
        <v>0</v>
      </c>
      <c r="X5413">
        <v>3</v>
      </c>
      <c r="Y5413">
        <v>238</v>
      </c>
      <c r="Z5413">
        <v>12</v>
      </c>
      <c r="AA5413">
        <v>0</v>
      </c>
      <c r="AB5413">
        <v>1</v>
      </c>
      <c r="AC5413">
        <v>0</v>
      </c>
      <c r="AD5413">
        <v>0</v>
      </c>
      <c r="AE5413">
        <v>0</v>
      </c>
      <c r="AF5413">
        <v>0</v>
      </c>
      <c r="AG5413">
        <v>0</v>
      </c>
      <c r="AH5413">
        <v>0</v>
      </c>
      <c r="AI5413">
        <v>0</v>
      </c>
      <c r="AJ5413">
        <v>0</v>
      </c>
      <c r="AK5413">
        <v>2</v>
      </c>
      <c r="AL5413">
        <v>0</v>
      </c>
      <c r="AM5413">
        <v>0</v>
      </c>
      <c r="AN5413">
        <v>0</v>
      </c>
      <c r="AT5413" t="s">
        <v>100</v>
      </c>
      <c r="AU5413">
        <v>5</v>
      </c>
      <c r="AV5413" t="s">
        <v>100</v>
      </c>
      <c r="AW5413">
        <v>295</v>
      </c>
      <c r="AX5413">
        <v>671</v>
      </c>
      <c r="AZ5413" t="s">
        <v>101</v>
      </c>
      <c r="BA5413">
        <v>1</v>
      </c>
      <c r="BC5413" t="s">
        <v>10939</v>
      </c>
      <c r="BD5413" s="4">
        <v>43283.268750000003</v>
      </c>
      <c r="BE5413" s="4">
        <v>43283.295636574076</v>
      </c>
      <c r="BF5413" s="4">
        <v>43283.295636574076</v>
      </c>
      <c r="BG5413" t="s">
        <v>83</v>
      </c>
      <c r="BH5413" t="s">
        <v>84</v>
      </c>
      <c r="BI5413" t="s">
        <v>85</v>
      </c>
    </row>
    <row r="5414" spans="1:61" x14ac:dyDescent="0.3">
      <c r="A5414" t="str">
        <f>"202177C0100"</f>
        <v>202177C0100</v>
      </c>
      <c r="B5414" t="s">
        <v>10940</v>
      </c>
      <c r="C5414">
        <v>20</v>
      </c>
      <c r="D5414" t="s">
        <v>79</v>
      </c>
      <c r="E5414">
        <v>25</v>
      </c>
      <c r="F5414" t="s">
        <v>10558</v>
      </c>
      <c r="G5414">
        <v>2177</v>
      </c>
      <c r="H5414">
        <v>1</v>
      </c>
      <c r="I5414" t="s">
        <v>89</v>
      </c>
      <c r="J5414">
        <v>0</v>
      </c>
      <c r="K5414">
        <v>2</v>
      </c>
      <c r="L5414">
        <v>2</v>
      </c>
      <c r="M5414">
        <v>385</v>
      </c>
      <c r="N5414">
        <v>307</v>
      </c>
      <c r="O5414">
        <v>6</v>
      </c>
      <c r="P5414">
        <v>307</v>
      </c>
      <c r="Q5414">
        <v>27</v>
      </c>
      <c r="R5414">
        <v>3</v>
      </c>
      <c r="S5414">
        <v>1</v>
      </c>
      <c r="T5414">
        <v>1</v>
      </c>
      <c r="U5414">
        <v>17</v>
      </c>
      <c r="V5414">
        <v>4</v>
      </c>
      <c r="W5414">
        <v>1</v>
      </c>
      <c r="X5414">
        <v>1</v>
      </c>
      <c r="Y5414">
        <v>230</v>
      </c>
      <c r="Z5414">
        <v>14</v>
      </c>
      <c r="AA5414">
        <v>1</v>
      </c>
      <c r="AB5414">
        <v>0</v>
      </c>
      <c r="AC5414">
        <v>0</v>
      </c>
      <c r="AD5414">
        <v>0</v>
      </c>
      <c r="AE5414">
        <v>0</v>
      </c>
      <c r="AF5414">
        <v>0</v>
      </c>
      <c r="AG5414">
        <v>0</v>
      </c>
      <c r="AH5414">
        <v>0</v>
      </c>
      <c r="AI5414">
        <v>0</v>
      </c>
      <c r="AJ5414">
        <v>0</v>
      </c>
      <c r="AK5414">
        <v>0</v>
      </c>
      <c r="AL5414">
        <v>0</v>
      </c>
      <c r="AM5414">
        <v>0</v>
      </c>
      <c r="AN5414">
        <v>1</v>
      </c>
      <c r="AT5414" t="s">
        <v>100</v>
      </c>
      <c r="AU5414">
        <v>4</v>
      </c>
      <c r="AV5414">
        <v>307</v>
      </c>
      <c r="AW5414">
        <v>305</v>
      </c>
      <c r="AX5414">
        <v>670</v>
      </c>
      <c r="AZ5414" t="s">
        <v>101</v>
      </c>
      <c r="BA5414">
        <v>1</v>
      </c>
      <c r="BC5414" t="s">
        <v>10941</v>
      </c>
      <c r="BD5414" s="4">
        <v>43283.269444444442</v>
      </c>
      <c r="BE5414" s="4">
        <v>43283.296458333331</v>
      </c>
      <c r="BF5414" s="4">
        <v>43283.296458333331</v>
      </c>
      <c r="BG5414" t="s">
        <v>83</v>
      </c>
      <c r="BH5414" t="s">
        <v>84</v>
      </c>
      <c r="BI5414" t="s">
        <v>85</v>
      </c>
    </row>
    <row r="5415" spans="1:61" x14ac:dyDescent="0.3">
      <c r="A5415" t="str">
        <f>"202177E0100"</f>
        <v>202177E0100</v>
      </c>
      <c r="B5415" s="2" t="s">
        <v>10942</v>
      </c>
      <c r="C5415">
        <v>20</v>
      </c>
      <c r="D5415" t="s">
        <v>79</v>
      </c>
      <c r="E5415">
        <v>25</v>
      </c>
      <c r="F5415" t="s">
        <v>10558</v>
      </c>
      <c r="G5415">
        <v>2177</v>
      </c>
      <c r="H5415">
        <v>1</v>
      </c>
      <c r="I5415" t="s">
        <v>145</v>
      </c>
      <c r="J5415">
        <v>0</v>
      </c>
      <c r="K5415">
        <v>2</v>
      </c>
      <c r="L5415">
        <v>2</v>
      </c>
      <c r="M5415">
        <v>256</v>
      </c>
      <c r="N5415">
        <v>148</v>
      </c>
      <c r="O5415">
        <v>4</v>
      </c>
      <c r="P5415">
        <v>148</v>
      </c>
      <c r="Q5415">
        <v>20</v>
      </c>
      <c r="R5415">
        <v>19</v>
      </c>
      <c r="S5415">
        <v>2</v>
      </c>
      <c r="T5415">
        <v>3</v>
      </c>
      <c r="U5415">
        <v>9</v>
      </c>
      <c r="V5415">
        <v>3</v>
      </c>
      <c r="W5415">
        <v>1</v>
      </c>
      <c r="X5415">
        <v>3</v>
      </c>
      <c r="Y5415">
        <v>74</v>
      </c>
      <c r="Z5415">
        <v>4</v>
      </c>
      <c r="AA5415">
        <v>0</v>
      </c>
      <c r="AB5415">
        <v>0</v>
      </c>
      <c r="AC5415">
        <v>1</v>
      </c>
      <c r="AD5415">
        <v>0</v>
      </c>
      <c r="AE5415">
        <v>0</v>
      </c>
      <c r="AF5415">
        <v>0</v>
      </c>
      <c r="AG5415">
        <v>1</v>
      </c>
      <c r="AH5415">
        <v>1</v>
      </c>
      <c r="AI5415">
        <v>0</v>
      </c>
      <c r="AJ5415">
        <v>0</v>
      </c>
      <c r="AK5415">
        <v>1</v>
      </c>
      <c r="AL5415">
        <v>0</v>
      </c>
      <c r="AM5415">
        <v>0</v>
      </c>
      <c r="AN5415">
        <v>1</v>
      </c>
      <c r="AT5415">
        <v>0</v>
      </c>
      <c r="AU5415">
        <v>5</v>
      </c>
      <c r="AV5415">
        <v>148</v>
      </c>
      <c r="AW5415">
        <v>148</v>
      </c>
      <c r="AX5415">
        <v>383</v>
      </c>
      <c r="BA5415">
        <v>1</v>
      </c>
      <c r="BC5415" t="s">
        <v>10943</v>
      </c>
      <c r="BD5415" s="4">
        <v>43283.268055555556</v>
      </c>
      <c r="BE5415" s="4">
        <v>43283.295856481483</v>
      </c>
      <c r="BF5415" s="4">
        <v>43283.295856481483</v>
      </c>
      <c r="BG5415" t="s">
        <v>83</v>
      </c>
      <c r="BH5415" t="s">
        <v>84</v>
      </c>
      <c r="BI5415" t="s">
        <v>85</v>
      </c>
    </row>
    <row r="5416" spans="1:61" x14ac:dyDescent="0.3">
      <c r="A5416" t="str">
        <f>"202177E0101"</f>
        <v>202177E0101</v>
      </c>
      <c r="B5416" s="2" t="s">
        <v>10944</v>
      </c>
      <c r="C5416">
        <v>20</v>
      </c>
      <c r="D5416" t="s">
        <v>79</v>
      </c>
      <c r="E5416">
        <v>25</v>
      </c>
      <c r="F5416" t="s">
        <v>10558</v>
      </c>
      <c r="G5416">
        <v>2177</v>
      </c>
      <c r="H5416">
        <v>1</v>
      </c>
      <c r="I5416" t="s">
        <v>145</v>
      </c>
      <c r="J5416">
        <v>1</v>
      </c>
      <c r="K5416">
        <v>2</v>
      </c>
      <c r="L5416">
        <v>2</v>
      </c>
      <c r="M5416">
        <v>246</v>
      </c>
      <c r="N5416">
        <v>165</v>
      </c>
      <c r="O5416">
        <v>6</v>
      </c>
      <c r="P5416">
        <v>165</v>
      </c>
      <c r="Q5416">
        <v>20</v>
      </c>
      <c r="R5416">
        <v>23</v>
      </c>
      <c r="S5416">
        <v>6</v>
      </c>
      <c r="T5416">
        <v>3</v>
      </c>
      <c r="U5416">
        <v>12</v>
      </c>
      <c r="V5416">
        <v>3</v>
      </c>
      <c r="W5416">
        <v>0</v>
      </c>
      <c r="X5416">
        <v>1</v>
      </c>
      <c r="Y5416">
        <v>77</v>
      </c>
      <c r="Z5416">
        <v>5</v>
      </c>
      <c r="AA5416" t="s">
        <v>100</v>
      </c>
      <c r="AB5416" t="s">
        <v>100</v>
      </c>
      <c r="AC5416">
        <v>0</v>
      </c>
      <c r="AD5416">
        <v>1</v>
      </c>
      <c r="AE5416">
        <v>0</v>
      </c>
      <c r="AF5416">
        <v>1</v>
      </c>
      <c r="AG5416">
        <v>0</v>
      </c>
      <c r="AH5416">
        <v>2</v>
      </c>
      <c r="AI5416">
        <v>0</v>
      </c>
      <c r="AJ5416">
        <v>0</v>
      </c>
      <c r="AK5416">
        <v>1</v>
      </c>
      <c r="AL5416">
        <v>1</v>
      </c>
      <c r="AM5416">
        <v>1</v>
      </c>
      <c r="AN5416">
        <v>0</v>
      </c>
      <c r="AT5416" t="s">
        <v>100</v>
      </c>
      <c r="AU5416">
        <v>7</v>
      </c>
      <c r="AV5416" t="s">
        <v>100</v>
      </c>
      <c r="AW5416">
        <v>164</v>
      </c>
      <c r="AX5416">
        <v>383</v>
      </c>
      <c r="AZ5416" t="s">
        <v>101</v>
      </c>
      <c r="BA5416">
        <v>1</v>
      </c>
      <c r="BC5416" t="s">
        <v>10945</v>
      </c>
      <c r="BD5416" s="4">
        <v>43283.267361111109</v>
      </c>
      <c r="BE5416" s="4">
        <v>43283.296875</v>
      </c>
      <c r="BF5416" s="4">
        <v>43283.296875</v>
      </c>
      <c r="BG5416" t="s">
        <v>83</v>
      </c>
      <c r="BH5416" t="s">
        <v>84</v>
      </c>
      <c r="BI5416" t="s">
        <v>85</v>
      </c>
    </row>
    <row r="5417" spans="1:61" x14ac:dyDescent="0.3">
      <c r="A5417" t="str">
        <f>"202178B0100"</f>
        <v>202178B0100</v>
      </c>
      <c r="B5417" t="s">
        <v>10946</v>
      </c>
      <c r="C5417">
        <v>20</v>
      </c>
      <c r="D5417" t="s">
        <v>79</v>
      </c>
      <c r="E5417">
        <v>25</v>
      </c>
      <c r="F5417" t="s">
        <v>10558</v>
      </c>
      <c r="G5417">
        <v>2178</v>
      </c>
      <c r="H5417">
        <v>1</v>
      </c>
      <c r="I5417" t="s">
        <v>81</v>
      </c>
      <c r="J5417">
        <v>0</v>
      </c>
      <c r="K5417">
        <v>2</v>
      </c>
      <c r="L5417">
        <v>2</v>
      </c>
      <c r="M5417">
        <v>303</v>
      </c>
      <c r="N5417" t="s">
        <v>315</v>
      </c>
      <c r="O5417">
        <v>5</v>
      </c>
      <c r="P5417">
        <v>260</v>
      </c>
      <c r="Q5417">
        <v>42</v>
      </c>
      <c r="R5417">
        <v>22</v>
      </c>
      <c r="S5417">
        <v>11</v>
      </c>
      <c r="T5417">
        <v>3</v>
      </c>
      <c r="U5417">
        <v>16</v>
      </c>
      <c r="V5417">
        <v>4</v>
      </c>
      <c r="W5417">
        <v>3</v>
      </c>
      <c r="X5417">
        <v>5</v>
      </c>
      <c r="Y5417">
        <v>122</v>
      </c>
      <c r="Z5417">
        <v>3</v>
      </c>
      <c r="AA5417">
        <v>3</v>
      </c>
      <c r="AB5417">
        <v>1</v>
      </c>
      <c r="AC5417">
        <v>0</v>
      </c>
      <c r="AD5417">
        <v>0</v>
      </c>
      <c r="AE5417">
        <v>0</v>
      </c>
      <c r="AF5417">
        <v>0</v>
      </c>
      <c r="AG5417">
        <v>0</v>
      </c>
      <c r="AH5417">
        <v>0</v>
      </c>
      <c r="AI5417">
        <v>0</v>
      </c>
      <c r="AJ5417">
        <v>0</v>
      </c>
      <c r="AK5417">
        <v>2</v>
      </c>
      <c r="AL5417">
        <v>1</v>
      </c>
      <c r="AM5417">
        <v>1</v>
      </c>
      <c r="AN5417">
        <v>0</v>
      </c>
      <c r="AT5417">
        <v>0</v>
      </c>
      <c r="AU5417">
        <v>21</v>
      </c>
      <c r="AV5417">
        <v>260</v>
      </c>
      <c r="AW5417">
        <v>260</v>
      </c>
      <c r="AX5417">
        <v>541</v>
      </c>
      <c r="BA5417">
        <v>1</v>
      </c>
      <c r="BC5417" t="s">
        <v>10947</v>
      </c>
      <c r="BD5417" s="4">
        <v>43283.157638888886</v>
      </c>
      <c r="BE5417" s="4">
        <v>43283.174803240741</v>
      </c>
      <c r="BF5417" s="4">
        <v>43283.174803240741</v>
      </c>
      <c r="BG5417" t="s">
        <v>83</v>
      </c>
      <c r="BH5417" t="s">
        <v>84</v>
      </c>
      <c r="BI5417" t="s">
        <v>85</v>
      </c>
    </row>
    <row r="5418" spans="1:61" x14ac:dyDescent="0.3">
      <c r="A5418" t="str">
        <f>"202178C0100"</f>
        <v>202178C0100</v>
      </c>
      <c r="B5418" t="s">
        <v>10948</v>
      </c>
      <c r="C5418">
        <v>20</v>
      </c>
      <c r="D5418" t="s">
        <v>79</v>
      </c>
      <c r="E5418">
        <v>25</v>
      </c>
      <c r="F5418" t="s">
        <v>10558</v>
      </c>
      <c r="G5418">
        <v>2178</v>
      </c>
      <c r="H5418">
        <v>1</v>
      </c>
      <c r="I5418" t="s">
        <v>89</v>
      </c>
      <c r="J5418">
        <v>0</v>
      </c>
      <c r="K5418">
        <v>2</v>
      </c>
      <c r="L5418">
        <v>2</v>
      </c>
      <c r="AX5418">
        <v>540</v>
      </c>
      <c r="AZ5418" t="s">
        <v>932</v>
      </c>
      <c r="BA5418">
        <v>0</v>
      </c>
      <c r="BC5418" t="s">
        <v>10949</v>
      </c>
      <c r="BD5418" s="4">
        <v>43283.615972222222</v>
      </c>
      <c r="BE5418" s="4">
        <v>43283.620497685188</v>
      </c>
      <c r="BF5418" s="4">
        <v>43283.620497685188</v>
      </c>
      <c r="BG5418" t="s">
        <v>83</v>
      </c>
      <c r="BH5418" t="s">
        <v>84</v>
      </c>
      <c r="BI5418" t="s">
        <v>85</v>
      </c>
    </row>
    <row r="5419" spans="1:61" x14ac:dyDescent="0.3">
      <c r="A5419" t="str">
        <f>"202178E0100"</f>
        <v>202178E0100</v>
      </c>
      <c r="B5419" s="2" t="s">
        <v>10950</v>
      </c>
      <c r="C5419">
        <v>20</v>
      </c>
      <c r="D5419" t="s">
        <v>79</v>
      </c>
      <c r="E5419">
        <v>25</v>
      </c>
      <c r="F5419" t="s">
        <v>10558</v>
      </c>
      <c r="G5419">
        <v>2178</v>
      </c>
      <c r="H5419">
        <v>1</v>
      </c>
      <c r="I5419" t="s">
        <v>145</v>
      </c>
      <c r="J5419">
        <v>0</v>
      </c>
      <c r="K5419">
        <v>2</v>
      </c>
      <c r="L5419">
        <v>2</v>
      </c>
      <c r="M5419">
        <v>210</v>
      </c>
      <c r="N5419">
        <v>256</v>
      </c>
      <c r="O5419">
        <v>5</v>
      </c>
      <c r="P5419">
        <v>255</v>
      </c>
      <c r="Q5419">
        <v>7</v>
      </c>
      <c r="R5419">
        <v>6</v>
      </c>
      <c r="S5419">
        <v>7</v>
      </c>
      <c r="T5419">
        <v>0</v>
      </c>
      <c r="U5419">
        <v>8</v>
      </c>
      <c r="V5419">
        <v>2</v>
      </c>
      <c r="W5419">
        <v>0</v>
      </c>
      <c r="X5419">
        <v>0</v>
      </c>
      <c r="Y5419">
        <v>218</v>
      </c>
      <c r="Z5419">
        <v>4</v>
      </c>
      <c r="AA5419">
        <v>0</v>
      </c>
      <c r="AB5419">
        <v>0</v>
      </c>
      <c r="AC5419">
        <v>0</v>
      </c>
      <c r="AD5419">
        <v>0</v>
      </c>
      <c r="AE5419">
        <v>0</v>
      </c>
      <c r="AF5419">
        <v>0</v>
      </c>
      <c r="AG5419">
        <v>0</v>
      </c>
      <c r="AH5419">
        <v>0</v>
      </c>
      <c r="AI5419">
        <v>0</v>
      </c>
      <c r="AJ5419">
        <v>0</v>
      </c>
      <c r="AK5419">
        <v>0</v>
      </c>
      <c r="AL5419">
        <v>0</v>
      </c>
      <c r="AM5419">
        <v>0</v>
      </c>
      <c r="AN5419">
        <v>0</v>
      </c>
      <c r="AT5419">
        <v>0</v>
      </c>
      <c r="AU5419">
        <v>3</v>
      </c>
      <c r="AV5419">
        <v>255</v>
      </c>
      <c r="AW5419">
        <v>255</v>
      </c>
      <c r="AX5419">
        <v>443</v>
      </c>
      <c r="BA5419">
        <v>1</v>
      </c>
      <c r="BC5419" t="s">
        <v>10951</v>
      </c>
      <c r="BD5419" s="4">
        <v>43283.15902777778</v>
      </c>
      <c r="BE5419" s="4">
        <v>43283.171111111114</v>
      </c>
      <c r="BF5419" s="4">
        <v>43283.171111111114</v>
      </c>
      <c r="BG5419" t="s">
        <v>83</v>
      </c>
      <c r="BH5419" t="s">
        <v>84</v>
      </c>
      <c r="BI5419" t="s">
        <v>85</v>
      </c>
    </row>
    <row r="5420" spans="1:61" x14ac:dyDescent="0.3">
      <c r="A5420" t="str">
        <f>"202179B0100"</f>
        <v>202179B0100</v>
      </c>
      <c r="B5420" t="s">
        <v>10952</v>
      </c>
      <c r="C5420">
        <v>20</v>
      </c>
      <c r="D5420" t="s">
        <v>79</v>
      </c>
      <c r="E5420">
        <v>25</v>
      </c>
      <c r="F5420" t="s">
        <v>10558</v>
      </c>
      <c r="G5420">
        <v>2179</v>
      </c>
      <c r="H5420">
        <v>1</v>
      </c>
      <c r="I5420" t="s">
        <v>81</v>
      </c>
      <c r="J5420">
        <v>0</v>
      </c>
      <c r="K5420">
        <v>2</v>
      </c>
      <c r="L5420">
        <v>2</v>
      </c>
      <c r="M5420">
        <v>286</v>
      </c>
      <c r="N5420">
        <v>614</v>
      </c>
      <c r="O5420">
        <v>2</v>
      </c>
      <c r="P5420">
        <v>328</v>
      </c>
      <c r="Q5420">
        <v>38</v>
      </c>
      <c r="R5420">
        <v>41</v>
      </c>
      <c r="S5420">
        <v>15</v>
      </c>
      <c r="T5420">
        <v>6</v>
      </c>
      <c r="U5420">
        <v>25</v>
      </c>
      <c r="V5420">
        <v>4</v>
      </c>
      <c r="W5420">
        <v>0</v>
      </c>
      <c r="X5420">
        <v>3</v>
      </c>
      <c r="Y5420">
        <v>160</v>
      </c>
      <c r="Z5420">
        <v>2</v>
      </c>
      <c r="AA5420">
        <v>1</v>
      </c>
      <c r="AB5420">
        <v>2</v>
      </c>
      <c r="AC5420">
        <v>2</v>
      </c>
      <c r="AD5420">
        <v>0</v>
      </c>
      <c r="AE5420">
        <v>0</v>
      </c>
      <c r="AF5420">
        <v>0</v>
      </c>
      <c r="AG5420">
        <v>0</v>
      </c>
      <c r="AH5420">
        <v>1</v>
      </c>
      <c r="AI5420">
        <v>0</v>
      </c>
      <c r="AJ5420">
        <v>0</v>
      </c>
      <c r="AK5420">
        <v>0</v>
      </c>
      <c r="AL5420">
        <v>0</v>
      </c>
      <c r="AM5420">
        <v>0</v>
      </c>
      <c r="AN5420">
        <v>4</v>
      </c>
      <c r="AT5420">
        <v>0</v>
      </c>
      <c r="AU5420">
        <v>24</v>
      </c>
      <c r="AV5420" t="s">
        <v>100</v>
      </c>
      <c r="AW5420">
        <v>328</v>
      </c>
      <c r="AX5420">
        <v>592</v>
      </c>
      <c r="BA5420">
        <v>1</v>
      </c>
      <c r="BC5420" t="s">
        <v>10953</v>
      </c>
      <c r="BD5420" s="4">
        <v>43283.038194444445</v>
      </c>
      <c r="BE5420" s="4">
        <v>43283.04965277778</v>
      </c>
      <c r="BF5420" s="4">
        <v>43283.04965277778</v>
      </c>
      <c r="BG5420" t="s">
        <v>83</v>
      </c>
      <c r="BH5420" t="s">
        <v>84</v>
      </c>
      <c r="BI5420" t="s">
        <v>85</v>
      </c>
    </row>
    <row r="5421" spans="1:61" x14ac:dyDescent="0.3">
      <c r="A5421" t="str">
        <f>"202179C0100"</f>
        <v>202179C0100</v>
      </c>
      <c r="B5421" t="s">
        <v>10954</v>
      </c>
      <c r="C5421">
        <v>20</v>
      </c>
      <c r="D5421" t="s">
        <v>79</v>
      </c>
      <c r="E5421">
        <v>25</v>
      </c>
      <c r="F5421" t="s">
        <v>10558</v>
      </c>
      <c r="G5421">
        <v>2179</v>
      </c>
      <c r="H5421">
        <v>1</v>
      </c>
      <c r="I5421" t="s">
        <v>89</v>
      </c>
      <c r="J5421">
        <v>0</v>
      </c>
      <c r="K5421">
        <v>2</v>
      </c>
      <c r="L5421">
        <v>2</v>
      </c>
      <c r="M5421">
        <v>292</v>
      </c>
      <c r="N5421">
        <v>321</v>
      </c>
      <c r="O5421">
        <v>2</v>
      </c>
      <c r="P5421">
        <v>321</v>
      </c>
      <c r="Q5421">
        <v>42</v>
      </c>
      <c r="R5421">
        <v>38</v>
      </c>
      <c r="S5421">
        <v>15</v>
      </c>
      <c r="T5421">
        <v>1</v>
      </c>
      <c r="U5421">
        <v>20</v>
      </c>
      <c r="V5421">
        <v>10</v>
      </c>
      <c r="W5421">
        <v>1</v>
      </c>
      <c r="X5421">
        <v>4</v>
      </c>
      <c r="Y5421">
        <v>161</v>
      </c>
      <c r="Z5421">
        <v>1</v>
      </c>
      <c r="AA5421">
        <v>0</v>
      </c>
      <c r="AB5421">
        <v>2</v>
      </c>
      <c r="AC5421">
        <v>0</v>
      </c>
      <c r="AD5421">
        <v>0</v>
      </c>
      <c r="AE5421">
        <v>0</v>
      </c>
      <c r="AF5421">
        <v>0</v>
      </c>
      <c r="AG5421">
        <v>0</v>
      </c>
      <c r="AH5421">
        <v>0</v>
      </c>
      <c r="AI5421">
        <v>0</v>
      </c>
      <c r="AJ5421">
        <v>0</v>
      </c>
      <c r="AK5421">
        <v>2</v>
      </c>
      <c r="AL5421">
        <v>0</v>
      </c>
      <c r="AM5421">
        <v>0</v>
      </c>
      <c r="AN5421">
        <v>0</v>
      </c>
      <c r="AT5421">
        <v>0</v>
      </c>
      <c r="AU5421">
        <v>22</v>
      </c>
      <c r="AV5421">
        <v>321</v>
      </c>
      <c r="AW5421">
        <v>319</v>
      </c>
      <c r="AX5421">
        <v>591</v>
      </c>
      <c r="BA5421">
        <v>1</v>
      </c>
      <c r="BC5421" t="s">
        <v>10955</v>
      </c>
      <c r="BD5421" s="4">
        <v>43283.036805555559</v>
      </c>
      <c r="BE5421" s="4">
        <v>43283.051238425927</v>
      </c>
      <c r="BF5421" s="4">
        <v>43283.051238425927</v>
      </c>
      <c r="BG5421" t="s">
        <v>83</v>
      </c>
      <c r="BH5421" t="s">
        <v>84</v>
      </c>
      <c r="BI5421" t="s">
        <v>85</v>
      </c>
    </row>
    <row r="5422" spans="1:61" x14ac:dyDescent="0.3">
      <c r="A5422" t="str">
        <f>"202179C0200"</f>
        <v>202179C0200</v>
      </c>
      <c r="B5422" t="s">
        <v>10956</v>
      </c>
      <c r="C5422">
        <v>20</v>
      </c>
      <c r="D5422" t="s">
        <v>79</v>
      </c>
      <c r="E5422">
        <v>25</v>
      </c>
      <c r="F5422" t="s">
        <v>10558</v>
      </c>
      <c r="G5422">
        <v>2179</v>
      </c>
      <c r="H5422">
        <v>2</v>
      </c>
      <c r="I5422" t="s">
        <v>89</v>
      </c>
      <c r="J5422">
        <v>0</v>
      </c>
      <c r="K5422">
        <v>2</v>
      </c>
      <c r="L5422">
        <v>2</v>
      </c>
      <c r="M5422">
        <v>305</v>
      </c>
      <c r="N5422">
        <v>613</v>
      </c>
      <c r="O5422">
        <v>0</v>
      </c>
      <c r="P5422">
        <v>308</v>
      </c>
      <c r="Q5422">
        <v>45</v>
      </c>
      <c r="R5422">
        <v>47</v>
      </c>
      <c r="S5422">
        <v>12</v>
      </c>
      <c r="T5422">
        <v>5</v>
      </c>
      <c r="U5422">
        <v>11</v>
      </c>
      <c r="V5422">
        <v>5</v>
      </c>
      <c r="W5422">
        <v>2</v>
      </c>
      <c r="X5422">
        <v>3</v>
      </c>
      <c r="Y5422">
        <v>136</v>
      </c>
      <c r="Z5422">
        <v>17</v>
      </c>
      <c r="AA5422">
        <v>0</v>
      </c>
      <c r="AB5422">
        <v>2</v>
      </c>
      <c r="AC5422">
        <v>0</v>
      </c>
      <c r="AD5422">
        <v>0</v>
      </c>
      <c r="AE5422">
        <v>0</v>
      </c>
      <c r="AF5422">
        <v>0</v>
      </c>
      <c r="AG5422">
        <v>1</v>
      </c>
      <c r="AH5422">
        <v>0</v>
      </c>
      <c r="AI5422">
        <v>0</v>
      </c>
      <c r="AJ5422">
        <v>0</v>
      </c>
      <c r="AK5422">
        <v>3</v>
      </c>
      <c r="AL5422">
        <v>0</v>
      </c>
      <c r="AM5422">
        <v>0</v>
      </c>
      <c r="AN5422">
        <v>0</v>
      </c>
      <c r="AT5422">
        <v>0</v>
      </c>
      <c r="AU5422">
        <v>0</v>
      </c>
      <c r="AV5422">
        <v>289</v>
      </c>
      <c r="AW5422">
        <v>289</v>
      </c>
      <c r="AX5422">
        <v>591</v>
      </c>
      <c r="BA5422">
        <v>1</v>
      </c>
      <c r="BC5422" t="s">
        <v>10957</v>
      </c>
      <c r="BD5422" s="4">
        <v>43283.040277777778</v>
      </c>
      <c r="BE5422" s="4">
        <v>43283.053020833337</v>
      </c>
      <c r="BF5422" s="4">
        <v>43283.053020833337</v>
      </c>
      <c r="BG5422" t="s">
        <v>83</v>
      </c>
      <c r="BH5422" t="s">
        <v>84</v>
      </c>
      <c r="BI5422" t="s">
        <v>85</v>
      </c>
    </row>
    <row r="5423" spans="1:61" x14ac:dyDescent="0.3">
      <c r="A5423" t="str">
        <f>"200005S0100"</f>
        <v>200005S0100</v>
      </c>
      <c r="B5423" t="s">
        <v>10958</v>
      </c>
      <c r="C5423">
        <v>20</v>
      </c>
      <c r="D5423" t="s">
        <v>79</v>
      </c>
      <c r="E5423">
        <v>1</v>
      </c>
      <c r="F5423" t="s">
        <v>80</v>
      </c>
      <c r="G5423">
        <v>5</v>
      </c>
      <c r="H5423">
        <v>1</v>
      </c>
      <c r="I5423" t="s">
        <v>104</v>
      </c>
      <c r="J5423">
        <v>0</v>
      </c>
      <c r="K5423">
        <v>2</v>
      </c>
      <c r="L5423">
        <v>4</v>
      </c>
      <c r="M5423">
        <v>559</v>
      </c>
      <c r="N5423">
        <v>131</v>
      </c>
      <c r="O5423">
        <v>0</v>
      </c>
      <c r="P5423">
        <v>131</v>
      </c>
      <c r="Q5423">
        <v>23</v>
      </c>
      <c r="R5423">
        <v>35</v>
      </c>
      <c r="S5423" t="s">
        <v>100</v>
      </c>
      <c r="T5423" t="s">
        <v>100</v>
      </c>
      <c r="U5423">
        <v>3</v>
      </c>
      <c r="V5423">
        <v>2</v>
      </c>
      <c r="W5423">
        <v>1</v>
      </c>
      <c r="X5423">
        <v>2</v>
      </c>
      <c r="Y5423">
        <v>65</v>
      </c>
      <c r="AA5423" t="s">
        <v>100</v>
      </c>
      <c r="AT5423" t="s">
        <v>100</v>
      </c>
      <c r="AU5423" t="s">
        <v>100</v>
      </c>
      <c r="AV5423">
        <v>131</v>
      </c>
      <c r="AW5423">
        <v>131</v>
      </c>
      <c r="AX5423">
        <v>0</v>
      </c>
      <c r="AZ5423" t="s">
        <v>101</v>
      </c>
      <c r="BA5423">
        <v>1</v>
      </c>
      <c r="BC5423" t="s">
        <v>10959</v>
      </c>
      <c r="BD5423" s="4">
        <v>43283.219629629632</v>
      </c>
      <c r="BE5423" s="4">
        <v>43283.240254629629</v>
      </c>
      <c r="BF5423" s="4">
        <v>43283.240254629629</v>
      </c>
      <c r="BG5423" t="s">
        <v>83</v>
      </c>
      <c r="BH5423" t="s">
        <v>84</v>
      </c>
      <c r="BI5423" t="s">
        <v>85</v>
      </c>
    </row>
    <row r="5424" spans="1:61" x14ac:dyDescent="0.3">
      <c r="A5424" t="str">
        <f>"201375S0100"</f>
        <v>201375S0100</v>
      </c>
      <c r="B5424" t="s">
        <v>10960</v>
      </c>
      <c r="C5424">
        <v>20</v>
      </c>
      <c r="D5424" t="s">
        <v>79</v>
      </c>
      <c r="E5424">
        <v>1</v>
      </c>
      <c r="F5424" t="s">
        <v>80</v>
      </c>
      <c r="G5424">
        <v>1375</v>
      </c>
      <c r="H5424">
        <v>1</v>
      </c>
      <c r="I5424" t="s">
        <v>104</v>
      </c>
      <c r="J5424">
        <v>0</v>
      </c>
      <c r="K5424">
        <v>1</v>
      </c>
      <c r="L5424">
        <v>4</v>
      </c>
      <c r="AX5424">
        <v>0</v>
      </c>
      <c r="AZ5424" t="s">
        <v>156</v>
      </c>
      <c r="BA5424">
        <v>0</v>
      </c>
      <c r="BC5424" t="s">
        <v>10961</v>
      </c>
      <c r="BD5424" s="4">
        <v>43283.82471064815</v>
      </c>
      <c r="BE5424" s="4">
        <v>43283.826643518521</v>
      </c>
      <c r="BF5424" s="4">
        <v>43283.826643518521</v>
      </c>
      <c r="BG5424" t="s">
        <v>83</v>
      </c>
      <c r="BH5424" t="s">
        <v>84</v>
      </c>
      <c r="BI5424" t="s">
        <v>85</v>
      </c>
    </row>
    <row r="5425" spans="1:61" x14ac:dyDescent="0.3">
      <c r="A5425" t="str">
        <f>"201030S0100"</f>
        <v>201030S0100</v>
      </c>
      <c r="B5425" t="s">
        <v>10962</v>
      </c>
      <c r="C5425">
        <v>20</v>
      </c>
      <c r="D5425" t="s">
        <v>79</v>
      </c>
      <c r="E5425">
        <v>2</v>
      </c>
      <c r="F5425" t="s">
        <v>528</v>
      </c>
      <c r="G5425">
        <v>1030</v>
      </c>
      <c r="H5425">
        <v>1</v>
      </c>
      <c r="I5425" t="s">
        <v>104</v>
      </c>
      <c r="J5425">
        <v>0</v>
      </c>
      <c r="K5425">
        <v>1</v>
      </c>
      <c r="L5425">
        <v>4</v>
      </c>
      <c r="AX5425">
        <v>0</v>
      </c>
      <c r="AZ5425" t="s">
        <v>156</v>
      </c>
      <c r="BA5425">
        <v>0</v>
      </c>
      <c r="BC5425" t="s">
        <v>10963</v>
      </c>
      <c r="BD5425" s="4">
        <v>43283.506249999999</v>
      </c>
      <c r="BE5425" s="4">
        <v>43283.507361111115</v>
      </c>
      <c r="BF5425" s="4">
        <v>43283.507361111115</v>
      </c>
      <c r="BG5425" t="s">
        <v>83</v>
      </c>
      <c r="BH5425" t="s">
        <v>84</v>
      </c>
      <c r="BI5425" t="s">
        <v>85</v>
      </c>
    </row>
    <row r="5426" spans="1:61" x14ac:dyDescent="0.3">
      <c r="A5426" t="str">
        <f>"201030S0200"</f>
        <v>201030S0200</v>
      </c>
      <c r="B5426" t="s">
        <v>10964</v>
      </c>
      <c r="C5426">
        <v>20</v>
      </c>
      <c r="D5426" t="s">
        <v>79</v>
      </c>
      <c r="E5426">
        <v>2</v>
      </c>
      <c r="F5426" t="s">
        <v>528</v>
      </c>
      <c r="G5426">
        <v>1030</v>
      </c>
      <c r="H5426">
        <v>2</v>
      </c>
      <c r="I5426" t="s">
        <v>104</v>
      </c>
      <c r="J5426">
        <v>0</v>
      </c>
      <c r="K5426">
        <v>1</v>
      </c>
      <c r="L5426">
        <v>4</v>
      </c>
      <c r="AX5426">
        <v>0</v>
      </c>
      <c r="AZ5426" t="s">
        <v>156</v>
      </c>
      <c r="BA5426">
        <v>0</v>
      </c>
      <c r="BC5426" t="s">
        <v>10965</v>
      </c>
      <c r="BD5426" s="4">
        <v>43283.586111111108</v>
      </c>
      <c r="BE5426" s="4">
        <v>43283.590266203704</v>
      </c>
      <c r="BF5426" s="4">
        <v>43283.590266203704</v>
      </c>
      <c r="BG5426" t="s">
        <v>83</v>
      </c>
      <c r="BH5426" t="s">
        <v>84</v>
      </c>
      <c r="BI5426" t="s">
        <v>85</v>
      </c>
    </row>
    <row r="5427" spans="1:61" x14ac:dyDescent="0.3">
      <c r="A5427" t="str">
        <f>"200344S0100"</f>
        <v>200344S0100</v>
      </c>
      <c r="B5427" t="s">
        <v>10966</v>
      </c>
      <c r="C5427">
        <v>20</v>
      </c>
      <c r="D5427" t="s">
        <v>79</v>
      </c>
      <c r="E5427">
        <v>3</v>
      </c>
      <c r="F5427" t="s">
        <v>915</v>
      </c>
      <c r="G5427">
        <v>344</v>
      </c>
      <c r="H5427">
        <v>1</v>
      </c>
      <c r="I5427" t="s">
        <v>104</v>
      </c>
      <c r="J5427">
        <v>0</v>
      </c>
      <c r="K5427">
        <v>1</v>
      </c>
      <c r="L5427">
        <v>4</v>
      </c>
      <c r="M5427">
        <v>540</v>
      </c>
      <c r="N5427">
        <v>182</v>
      </c>
      <c r="O5427">
        <v>0</v>
      </c>
      <c r="P5427">
        <v>182</v>
      </c>
      <c r="Q5427">
        <v>11</v>
      </c>
      <c r="R5427">
        <v>15</v>
      </c>
      <c r="S5427">
        <v>29</v>
      </c>
      <c r="T5427">
        <v>1</v>
      </c>
      <c r="U5427">
        <v>8</v>
      </c>
      <c r="V5427">
        <v>2</v>
      </c>
      <c r="W5427">
        <v>1</v>
      </c>
      <c r="X5427">
        <v>8</v>
      </c>
      <c r="Y5427">
        <v>92</v>
      </c>
      <c r="Z5427">
        <v>2</v>
      </c>
      <c r="AA5427">
        <v>1</v>
      </c>
      <c r="AB5427">
        <v>1</v>
      </c>
      <c r="AT5427">
        <v>0</v>
      </c>
      <c r="AU5427">
        <v>11</v>
      </c>
      <c r="AV5427">
        <v>182</v>
      </c>
      <c r="AW5427">
        <v>182</v>
      </c>
      <c r="AX5427">
        <v>0</v>
      </c>
      <c r="BA5427">
        <v>1</v>
      </c>
      <c r="BC5427" t="s">
        <v>10967</v>
      </c>
      <c r="BD5427" s="4">
        <v>43283.245138888888</v>
      </c>
      <c r="BE5427" s="4">
        <v>43283.721342592595</v>
      </c>
      <c r="BF5427" s="4">
        <v>43283.721342592595</v>
      </c>
      <c r="BG5427" t="s">
        <v>83</v>
      </c>
      <c r="BH5427" t="s">
        <v>84</v>
      </c>
      <c r="BI5427" t="s">
        <v>85</v>
      </c>
    </row>
    <row r="5428" spans="1:61" x14ac:dyDescent="0.3">
      <c r="A5428" t="str">
        <f>"200240S0100"</f>
        <v>200240S0100</v>
      </c>
      <c r="B5428" t="s">
        <v>10968</v>
      </c>
      <c r="C5428">
        <v>20</v>
      </c>
      <c r="D5428" t="s">
        <v>79</v>
      </c>
      <c r="E5428">
        <v>4</v>
      </c>
      <c r="F5428" t="s">
        <v>1317</v>
      </c>
      <c r="G5428">
        <v>240</v>
      </c>
      <c r="H5428">
        <v>1</v>
      </c>
      <c r="I5428" t="s">
        <v>104</v>
      </c>
      <c r="J5428">
        <v>0</v>
      </c>
      <c r="K5428">
        <v>1</v>
      </c>
      <c r="L5428">
        <v>4</v>
      </c>
      <c r="M5428">
        <v>490</v>
      </c>
      <c r="N5428">
        <v>198</v>
      </c>
      <c r="O5428">
        <v>0</v>
      </c>
      <c r="P5428">
        <v>198</v>
      </c>
      <c r="Q5428">
        <v>2</v>
      </c>
      <c r="R5428">
        <v>29</v>
      </c>
      <c r="S5428">
        <v>2</v>
      </c>
      <c r="T5428">
        <v>1</v>
      </c>
      <c r="U5428">
        <v>4</v>
      </c>
      <c r="V5428">
        <v>2</v>
      </c>
      <c r="W5428">
        <v>2</v>
      </c>
      <c r="X5428">
        <v>3</v>
      </c>
      <c r="Y5428">
        <v>129</v>
      </c>
      <c r="Z5428">
        <v>3</v>
      </c>
      <c r="AA5428">
        <v>9</v>
      </c>
      <c r="AT5428">
        <v>0</v>
      </c>
      <c r="AU5428">
        <v>12</v>
      </c>
      <c r="AV5428">
        <v>198</v>
      </c>
      <c r="AW5428">
        <v>198</v>
      </c>
      <c r="AX5428">
        <v>0</v>
      </c>
      <c r="BA5428">
        <v>1</v>
      </c>
      <c r="BC5428" t="s">
        <v>10969</v>
      </c>
      <c r="BD5428" s="4">
        <v>43283.290972222225</v>
      </c>
      <c r="BE5428" s="4">
        <v>43283.318472222221</v>
      </c>
      <c r="BF5428" s="4">
        <v>43283.318472222221</v>
      </c>
      <c r="BG5428" t="s">
        <v>83</v>
      </c>
      <c r="BH5428" t="s">
        <v>84</v>
      </c>
      <c r="BI5428" t="s">
        <v>85</v>
      </c>
    </row>
    <row r="5429" spans="1:61" x14ac:dyDescent="0.3">
      <c r="A5429" t="str">
        <f>"200988S0100"</f>
        <v>200988S0100</v>
      </c>
      <c r="B5429" t="s">
        <v>10970</v>
      </c>
      <c r="C5429">
        <v>20</v>
      </c>
      <c r="D5429" t="s">
        <v>79</v>
      </c>
      <c r="E5429">
        <v>4</v>
      </c>
      <c r="F5429" t="s">
        <v>1317</v>
      </c>
      <c r="G5429">
        <v>988</v>
      </c>
      <c r="H5429">
        <v>1</v>
      </c>
      <c r="I5429" t="s">
        <v>104</v>
      </c>
      <c r="J5429">
        <v>0</v>
      </c>
      <c r="K5429">
        <v>1</v>
      </c>
      <c r="L5429">
        <v>4</v>
      </c>
      <c r="AX5429">
        <v>0</v>
      </c>
      <c r="AZ5429" t="s">
        <v>932</v>
      </c>
      <c r="BA5429">
        <v>0</v>
      </c>
      <c r="BC5429" t="s">
        <v>10971</v>
      </c>
      <c r="BD5429" s="4">
        <v>43283.709722222222</v>
      </c>
      <c r="BE5429" s="4">
        <v>43283.711284722223</v>
      </c>
      <c r="BF5429" s="4">
        <v>43283.711284722223</v>
      </c>
      <c r="BG5429" t="s">
        <v>83</v>
      </c>
      <c r="BH5429" t="s">
        <v>84</v>
      </c>
      <c r="BI5429" t="s">
        <v>85</v>
      </c>
    </row>
    <row r="5430" spans="1:61" x14ac:dyDescent="0.3">
      <c r="A5430" t="str">
        <f>"202325S0100"</f>
        <v>202325S0100</v>
      </c>
      <c r="B5430" t="s">
        <v>10972</v>
      </c>
      <c r="C5430">
        <v>20</v>
      </c>
      <c r="D5430" t="s">
        <v>79</v>
      </c>
      <c r="E5430">
        <v>4</v>
      </c>
      <c r="F5430" t="s">
        <v>1317</v>
      </c>
      <c r="G5430">
        <v>2325</v>
      </c>
      <c r="H5430">
        <v>1</v>
      </c>
      <c r="I5430" t="s">
        <v>104</v>
      </c>
      <c r="J5430">
        <v>0</v>
      </c>
      <c r="K5430">
        <v>2</v>
      </c>
      <c r="L5430">
        <v>4</v>
      </c>
      <c r="AX5430">
        <v>0</v>
      </c>
      <c r="AZ5430" t="s">
        <v>932</v>
      </c>
      <c r="BA5430">
        <v>0</v>
      </c>
      <c r="BC5430" t="s">
        <v>10973</v>
      </c>
      <c r="BD5430" s="4">
        <v>43283.709722222222</v>
      </c>
      <c r="BE5430" s="4">
        <v>43283.711851851855</v>
      </c>
      <c r="BF5430" s="4">
        <v>43283.711851851855</v>
      </c>
      <c r="BG5430" t="s">
        <v>83</v>
      </c>
      <c r="BH5430" t="s">
        <v>84</v>
      </c>
      <c r="BI5430" t="s">
        <v>85</v>
      </c>
    </row>
    <row r="5431" spans="1:61" x14ac:dyDescent="0.3">
      <c r="A5431" t="str">
        <f>"200059S0100"</f>
        <v>200059S0100</v>
      </c>
      <c r="B5431" t="s">
        <v>10974</v>
      </c>
      <c r="C5431">
        <v>20</v>
      </c>
      <c r="D5431" t="s">
        <v>79</v>
      </c>
      <c r="E5431">
        <v>5</v>
      </c>
      <c r="F5431" t="s">
        <v>1759</v>
      </c>
      <c r="G5431">
        <v>59</v>
      </c>
      <c r="H5431">
        <v>1</v>
      </c>
      <c r="I5431" t="s">
        <v>104</v>
      </c>
      <c r="J5431">
        <v>0</v>
      </c>
      <c r="K5431">
        <v>2</v>
      </c>
      <c r="L5431">
        <v>4</v>
      </c>
      <c r="M5431">
        <v>384</v>
      </c>
      <c r="N5431">
        <v>216</v>
      </c>
      <c r="O5431">
        <v>0</v>
      </c>
      <c r="P5431">
        <v>216</v>
      </c>
      <c r="Q5431">
        <v>4</v>
      </c>
      <c r="R5431">
        <v>24</v>
      </c>
      <c r="S5431">
        <v>11</v>
      </c>
      <c r="T5431">
        <v>1</v>
      </c>
      <c r="U5431">
        <v>15</v>
      </c>
      <c r="V5431">
        <v>2</v>
      </c>
      <c r="W5431">
        <v>4</v>
      </c>
      <c r="X5431">
        <v>2</v>
      </c>
      <c r="Y5431">
        <v>141</v>
      </c>
      <c r="Z5431">
        <v>2</v>
      </c>
      <c r="AA5431">
        <v>2</v>
      </c>
      <c r="AB5431">
        <v>4</v>
      </c>
      <c r="AT5431">
        <v>0</v>
      </c>
      <c r="AU5431">
        <v>4</v>
      </c>
      <c r="AV5431">
        <v>216</v>
      </c>
      <c r="AW5431">
        <v>216</v>
      </c>
      <c r="AX5431">
        <v>0</v>
      </c>
      <c r="BA5431">
        <v>1</v>
      </c>
      <c r="BC5431" t="s">
        <v>10975</v>
      </c>
      <c r="BD5431" s="4">
        <v>43283.236111111109</v>
      </c>
      <c r="BE5431" s="4">
        <v>43283.260625000003</v>
      </c>
      <c r="BF5431" s="4">
        <v>43283.260625000003</v>
      </c>
      <c r="BG5431" t="s">
        <v>83</v>
      </c>
      <c r="BH5431" t="s">
        <v>84</v>
      </c>
      <c r="BI5431" t="s">
        <v>85</v>
      </c>
    </row>
    <row r="5432" spans="1:61" x14ac:dyDescent="0.3">
      <c r="A5432" t="str">
        <f>"200212S0100"</f>
        <v>200212S0100</v>
      </c>
      <c r="B5432" t="s">
        <v>10976</v>
      </c>
      <c r="C5432">
        <v>20</v>
      </c>
      <c r="D5432" t="s">
        <v>79</v>
      </c>
      <c r="E5432">
        <v>6</v>
      </c>
      <c r="F5432" t="s">
        <v>2299</v>
      </c>
      <c r="G5432">
        <v>212</v>
      </c>
      <c r="H5432">
        <v>1</v>
      </c>
      <c r="I5432" t="s">
        <v>104</v>
      </c>
      <c r="J5432">
        <v>0</v>
      </c>
      <c r="K5432">
        <v>1</v>
      </c>
      <c r="L5432">
        <v>4</v>
      </c>
      <c r="M5432">
        <v>318</v>
      </c>
      <c r="N5432">
        <v>400</v>
      </c>
      <c r="O5432">
        <v>0</v>
      </c>
      <c r="P5432">
        <v>400</v>
      </c>
      <c r="Q5432">
        <v>14</v>
      </c>
      <c r="R5432">
        <v>22</v>
      </c>
      <c r="S5432">
        <v>4</v>
      </c>
      <c r="T5432">
        <v>4</v>
      </c>
      <c r="U5432">
        <v>13</v>
      </c>
      <c r="V5432">
        <v>7</v>
      </c>
      <c r="W5432">
        <v>12</v>
      </c>
      <c r="X5432">
        <v>7</v>
      </c>
      <c r="Y5432">
        <v>290</v>
      </c>
      <c r="Z5432">
        <v>3</v>
      </c>
      <c r="AA5432">
        <v>1</v>
      </c>
      <c r="AB5432">
        <v>8</v>
      </c>
      <c r="AT5432">
        <v>0</v>
      </c>
      <c r="AU5432">
        <v>15</v>
      </c>
      <c r="AV5432">
        <v>400</v>
      </c>
      <c r="AW5432">
        <v>400</v>
      </c>
      <c r="AX5432">
        <v>0</v>
      </c>
      <c r="BA5432">
        <v>1</v>
      </c>
      <c r="BC5432" t="s">
        <v>10977</v>
      </c>
      <c r="BD5432" s="4">
        <v>43283.102777777778</v>
      </c>
      <c r="BE5432" s="4">
        <v>43283.109155092592</v>
      </c>
      <c r="BF5432" s="4">
        <v>43283.109155092592</v>
      </c>
      <c r="BG5432" t="s">
        <v>83</v>
      </c>
      <c r="BH5432" t="s">
        <v>84</v>
      </c>
      <c r="BI5432" t="s">
        <v>85</v>
      </c>
    </row>
    <row r="5433" spans="1:61" x14ac:dyDescent="0.3">
      <c r="A5433" t="str">
        <f>"200231S0100"</f>
        <v>200231S0100</v>
      </c>
      <c r="B5433" t="s">
        <v>10978</v>
      </c>
      <c r="C5433">
        <v>20</v>
      </c>
      <c r="D5433" t="s">
        <v>79</v>
      </c>
      <c r="E5433">
        <v>6</v>
      </c>
      <c r="F5433" t="s">
        <v>2299</v>
      </c>
      <c r="G5433">
        <v>231</v>
      </c>
      <c r="H5433">
        <v>1</v>
      </c>
      <c r="I5433" t="s">
        <v>104</v>
      </c>
      <c r="J5433">
        <v>0</v>
      </c>
      <c r="K5433">
        <v>1</v>
      </c>
      <c r="L5433">
        <v>4</v>
      </c>
      <c r="M5433">
        <v>0</v>
      </c>
      <c r="N5433">
        <v>418</v>
      </c>
      <c r="O5433">
        <v>0</v>
      </c>
      <c r="P5433">
        <v>357</v>
      </c>
      <c r="Q5433">
        <v>21</v>
      </c>
      <c r="R5433">
        <v>28</v>
      </c>
      <c r="S5433">
        <v>9</v>
      </c>
      <c r="T5433">
        <v>1</v>
      </c>
      <c r="U5433">
        <v>9</v>
      </c>
      <c r="V5433">
        <v>3</v>
      </c>
      <c r="W5433">
        <v>8</v>
      </c>
      <c r="X5433">
        <v>7</v>
      </c>
      <c r="Y5433">
        <v>239</v>
      </c>
      <c r="Z5433">
        <v>3</v>
      </c>
      <c r="AA5433">
        <v>3</v>
      </c>
      <c r="AB5433">
        <v>10</v>
      </c>
      <c r="AT5433">
        <v>1</v>
      </c>
      <c r="AU5433">
        <v>15</v>
      </c>
      <c r="AV5433">
        <v>357</v>
      </c>
      <c r="AW5433">
        <v>357</v>
      </c>
      <c r="AX5433">
        <v>0</v>
      </c>
      <c r="BA5433">
        <v>1</v>
      </c>
      <c r="BC5433" t="s">
        <v>10979</v>
      </c>
      <c r="BD5433" s="4">
        <v>43282.991666666669</v>
      </c>
      <c r="BE5433" s="4">
        <v>43282.994641203702</v>
      </c>
      <c r="BF5433" s="4">
        <v>43282.994641203702</v>
      </c>
      <c r="BG5433" t="s">
        <v>83</v>
      </c>
      <c r="BH5433" t="s">
        <v>84</v>
      </c>
      <c r="BI5433" t="s">
        <v>85</v>
      </c>
    </row>
    <row r="5434" spans="1:61" x14ac:dyDescent="0.3">
      <c r="A5434" t="str">
        <f>"200646S0100"</f>
        <v>200646S0100</v>
      </c>
      <c r="B5434" t="s">
        <v>10980</v>
      </c>
      <c r="C5434">
        <v>20</v>
      </c>
      <c r="D5434" t="s">
        <v>79</v>
      </c>
      <c r="E5434">
        <v>7</v>
      </c>
      <c r="F5434" t="s">
        <v>2811</v>
      </c>
      <c r="G5434">
        <v>646</v>
      </c>
      <c r="H5434">
        <v>1</v>
      </c>
      <c r="I5434" t="s">
        <v>104</v>
      </c>
      <c r="J5434">
        <v>0</v>
      </c>
      <c r="K5434">
        <v>2</v>
      </c>
      <c r="L5434">
        <v>4</v>
      </c>
      <c r="AX5434">
        <v>0</v>
      </c>
      <c r="AZ5434" t="s">
        <v>932</v>
      </c>
      <c r="BA5434">
        <v>0</v>
      </c>
      <c r="BC5434" t="s">
        <v>10981</v>
      </c>
      <c r="BD5434" s="4">
        <v>43283.818055555559</v>
      </c>
      <c r="BE5434" s="4">
        <v>43283.820011574076</v>
      </c>
      <c r="BF5434" s="4">
        <v>43283.820011574076</v>
      </c>
      <c r="BG5434" t="s">
        <v>83</v>
      </c>
      <c r="BH5434" t="s">
        <v>84</v>
      </c>
      <c r="BI5434" t="s">
        <v>85</v>
      </c>
    </row>
    <row r="5435" spans="1:61" x14ac:dyDescent="0.3">
      <c r="A5435" t="str">
        <f>"200646S0200"</f>
        <v>200646S0200</v>
      </c>
      <c r="B5435" t="s">
        <v>10982</v>
      </c>
      <c r="C5435">
        <v>20</v>
      </c>
      <c r="D5435" t="s">
        <v>79</v>
      </c>
      <c r="E5435">
        <v>7</v>
      </c>
      <c r="F5435" t="s">
        <v>2811</v>
      </c>
      <c r="G5435">
        <v>646</v>
      </c>
      <c r="H5435">
        <v>2</v>
      </c>
      <c r="I5435" t="s">
        <v>104</v>
      </c>
      <c r="J5435">
        <v>0</v>
      </c>
      <c r="K5435">
        <v>2</v>
      </c>
      <c r="L5435">
        <v>4</v>
      </c>
      <c r="M5435">
        <v>448</v>
      </c>
      <c r="N5435">
        <v>163</v>
      </c>
      <c r="O5435">
        <v>0</v>
      </c>
      <c r="P5435">
        <v>163</v>
      </c>
      <c r="Q5435">
        <v>5</v>
      </c>
      <c r="R5435">
        <v>11</v>
      </c>
      <c r="S5435">
        <v>12</v>
      </c>
      <c r="T5435">
        <v>4</v>
      </c>
      <c r="U5435">
        <v>11</v>
      </c>
      <c r="V5435">
        <v>5</v>
      </c>
      <c r="W5435">
        <v>1</v>
      </c>
      <c r="X5435">
        <v>0</v>
      </c>
      <c r="Y5435">
        <v>98</v>
      </c>
      <c r="Z5435">
        <v>2</v>
      </c>
      <c r="AB5435">
        <v>8</v>
      </c>
      <c r="AT5435">
        <v>0</v>
      </c>
      <c r="AU5435">
        <v>11</v>
      </c>
      <c r="AV5435">
        <v>168</v>
      </c>
      <c r="AW5435">
        <v>168</v>
      </c>
      <c r="AX5435">
        <v>0</v>
      </c>
      <c r="BA5435">
        <v>1</v>
      </c>
      <c r="BC5435" t="s">
        <v>10983</v>
      </c>
      <c r="BD5435" s="4">
        <v>43283.614583333336</v>
      </c>
      <c r="BE5435" s="4">
        <v>43283.617650462962</v>
      </c>
      <c r="BF5435" s="4">
        <v>43283.617650462962</v>
      </c>
      <c r="BG5435" t="s">
        <v>83</v>
      </c>
      <c r="BH5435" t="s">
        <v>84</v>
      </c>
      <c r="BI5435" t="s">
        <v>85</v>
      </c>
    </row>
    <row r="5436" spans="1:61" x14ac:dyDescent="0.3">
      <c r="A5436" t="str">
        <f>"202033S0100"</f>
        <v>202033S0100</v>
      </c>
      <c r="B5436" t="s">
        <v>10984</v>
      </c>
      <c r="C5436">
        <v>20</v>
      </c>
      <c r="D5436" t="s">
        <v>79</v>
      </c>
      <c r="E5436">
        <v>7</v>
      </c>
      <c r="F5436" t="s">
        <v>2811</v>
      </c>
      <c r="G5436">
        <v>2033</v>
      </c>
      <c r="H5436">
        <v>1</v>
      </c>
      <c r="I5436" t="s">
        <v>104</v>
      </c>
      <c r="J5436">
        <v>0</v>
      </c>
      <c r="K5436">
        <v>1</v>
      </c>
      <c r="L5436">
        <v>4</v>
      </c>
      <c r="M5436">
        <v>471</v>
      </c>
      <c r="N5436">
        <v>188</v>
      </c>
      <c r="O5436">
        <v>0</v>
      </c>
      <c r="P5436">
        <v>188</v>
      </c>
      <c r="Q5436">
        <v>16</v>
      </c>
      <c r="R5436">
        <v>13</v>
      </c>
      <c r="S5436">
        <v>15</v>
      </c>
      <c r="T5436">
        <v>5</v>
      </c>
      <c r="U5436">
        <v>5</v>
      </c>
      <c r="V5436">
        <v>10</v>
      </c>
      <c r="W5436">
        <v>6</v>
      </c>
      <c r="X5436">
        <v>1</v>
      </c>
      <c r="Y5436">
        <v>84</v>
      </c>
      <c r="Z5436">
        <v>11</v>
      </c>
      <c r="AB5436">
        <v>8</v>
      </c>
      <c r="AT5436" t="s">
        <v>100</v>
      </c>
      <c r="AU5436">
        <v>14</v>
      </c>
      <c r="AV5436">
        <v>188</v>
      </c>
      <c r="AW5436">
        <v>188</v>
      </c>
      <c r="AX5436">
        <v>0</v>
      </c>
      <c r="AZ5436" t="s">
        <v>101</v>
      </c>
      <c r="BA5436">
        <v>1</v>
      </c>
      <c r="BC5436" t="s">
        <v>10985</v>
      </c>
      <c r="BD5436" s="4">
        <v>43283.534722222219</v>
      </c>
      <c r="BE5436" s="4">
        <v>43283.538611111115</v>
      </c>
      <c r="BF5436" s="4">
        <v>43283.538611111115</v>
      </c>
      <c r="BG5436" t="s">
        <v>83</v>
      </c>
      <c r="BH5436" t="s">
        <v>84</v>
      </c>
      <c r="BI5436" t="s">
        <v>85</v>
      </c>
    </row>
    <row r="5437" spans="1:61" x14ac:dyDescent="0.3">
      <c r="A5437" t="str">
        <f>"202033S0200"</f>
        <v>202033S0200</v>
      </c>
      <c r="B5437" t="s">
        <v>10986</v>
      </c>
      <c r="C5437">
        <v>20</v>
      </c>
      <c r="D5437" t="s">
        <v>79</v>
      </c>
      <c r="E5437">
        <v>7</v>
      </c>
      <c r="F5437" t="s">
        <v>2811</v>
      </c>
      <c r="G5437">
        <v>2033</v>
      </c>
      <c r="H5437">
        <v>2</v>
      </c>
      <c r="I5437" t="s">
        <v>104</v>
      </c>
      <c r="J5437">
        <v>0</v>
      </c>
      <c r="K5437">
        <v>1</v>
      </c>
      <c r="L5437">
        <v>4</v>
      </c>
      <c r="M5437">
        <v>466</v>
      </c>
      <c r="N5437">
        <v>203</v>
      </c>
      <c r="O5437">
        <v>0</v>
      </c>
      <c r="P5437">
        <v>203</v>
      </c>
      <c r="Q5437">
        <v>7</v>
      </c>
      <c r="R5437">
        <v>10</v>
      </c>
      <c r="S5437">
        <v>11</v>
      </c>
      <c r="T5437">
        <v>5</v>
      </c>
      <c r="U5437">
        <v>5</v>
      </c>
      <c r="V5437">
        <v>3</v>
      </c>
      <c r="W5437">
        <v>4</v>
      </c>
      <c r="X5437">
        <v>1</v>
      </c>
      <c r="Y5437">
        <v>123</v>
      </c>
      <c r="Z5437">
        <v>10</v>
      </c>
      <c r="AB5437">
        <v>11</v>
      </c>
      <c r="AT5437" t="s">
        <v>100</v>
      </c>
      <c r="AU5437">
        <v>13</v>
      </c>
      <c r="AV5437">
        <v>203</v>
      </c>
      <c r="AW5437">
        <v>203</v>
      </c>
      <c r="AX5437">
        <v>0</v>
      </c>
      <c r="AZ5437" t="s">
        <v>101</v>
      </c>
      <c r="BA5437">
        <v>1</v>
      </c>
      <c r="BC5437" t="s">
        <v>10987</v>
      </c>
      <c r="BD5437" s="4">
        <v>43283.751388888886</v>
      </c>
      <c r="BE5437" s="4">
        <v>43283.755289351851</v>
      </c>
      <c r="BF5437" s="4">
        <v>43283.755289351851</v>
      </c>
      <c r="BG5437" t="s">
        <v>83</v>
      </c>
      <c r="BH5437" t="s">
        <v>84</v>
      </c>
      <c r="BI5437" t="s">
        <v>85</v>
      </c>
    </row>
    <row r="5438" spans="1:61" x14ac:dyDescent="0.3">
      <c r="A5438" t="str">
        <f>"200106S0100"</f>
        <v>200106S0100</v>
      </c>
      <c r="B5438" t="s">
        <v>10988</v>
      </c>
      <c r="C5438">
        <v>20</v>
      </c>
      <c r="D5438" t="s">
        <v>79</v>
      </c>
      <c r="E5438">
        <v>8</v>
      </c>
      <c r="F5438" t="s">
        <v>3266</v>
      </c>
      <c r="G5438">
        <v>106</v>
      </c>
      <c r="H5438">
        <v>1</v>
      </c>
      <c r="I5438" t="s">
        <v>104</v>
      </c>
      <c r="J5438">
        <v>0</v>
      </c>
      <c r="K5438">
        <v>2</v>
      </c>
      <c r="L5438">
        <v>4</v>
      </c>
      <c r="M5438">
        <v>337</v>
      </c>
      <c r="N5438">
        <v>289</v>
      </c>
      <c r="O5438">
        <v>0</v>
      </c>
      <c r="P5438">
        <v>289</v>
      </c>
      <c r="Q5438">
        <v>5</v>
      </c>
      <c r="R5438">
        <v>12</v>
      </c>
      <c r="S5438">
        <v>25</v>
      </c>
      <c r="T5438">
        <v>6</v>
      </c>
      <c r="U5438">
        <v>6</v>
      </c>
      <c r="V5438">
        <v>3</v>
      </c>
      <c r="W5438">
        <v>3</v>
      </c>
      <c r="X5438">
        <v>2</v>
      </c>
      <c r="Y5438">
        <v>208</v>
      </c>
      <c r="Z5438">
        <v>5</v>
      </c>
      <c r="AA5438">
        <v>1</v>
      </c>
      <c r="AB5438">
        <v>3</v>
      </c>
      <c r="AT5438">
        <v>0</v>
      </c>
      <c r="AU5438">
        <v>10</v>
      </c>
      <c r="AV5438">
        <v>289</v>
      </c>
      <c r="AW5438">
        <v>289</v>
      </c>
      <c r="AX5438">
        <v>0</v>
      </c>
      <c r="BA5438">
        <v>1</v>
      </c>
      <c r="BC5438" t="s">
        <v>10989</v>
      </c>
      <c r="BD5438" s="4">
        <v>43283.477083333331</v>
      </c>
      <c r="BE5438" s="4">
        <v>43283.480393518519</v>
      </c>
      <c r="BF5438" s="4">
        <v>43283.480393518519</v>
      </c>
      <c r="BG5438" t="s">
        <v>83</v>
      </c>
      <c r="BH5438" t="s">
        <v>84</v>
      </c>
      <c r="BI5438" t="s">
        <v>85</v>
      </c>
    </row>
    <row r="5439" spans="1:61" x14ac:dyDescent="0.3">
      <c r="A5439" t="str">
        <f>"202368S0100"</f>
        <v>202368S0100</v>
      </c>
      <c r="B5439" t="s">
        <v>10990</v>
      </c>
      <c r="C5439">
        <v>20</v>
      </c>
      <c r="D5439" t="s">
        <v>79</v>
      </c>
      <c r="E5439">
        <v>8</v>
      </c>
      <c r="F5439" t="s">
        <v>3266</v>
      </c>
      <c r="G5439">
        <v>2368</v>
      </c>
      <c r="H5439">
        <v>1</v>
      </c>
      <c r="I5439" t="s">
        <v>104</v>
      </c>
      <c r="J5439">
        <v>0</v>
      </c>
      <c r="K5439">
        <v>2</v>
      </c>
      <c r="L5439">
        <v>4</v>
      </c>
      <c r="M5439">
        <v>271</v>
      </c>
      <c r="N5439">
        <v>283</v>
      </c>
      <c r="O5439">
        <v>0</v>
      </c>
      <c r="P5439">
        <v>283</v>
      </c>
      <c r="Q5439">
        <v>7</v>
      </c>
      <c r="R5439">
        <v>19</v>
      </c>
      <c r="S5439">
        <v>15</v>
      </c>
      <c r="T5439">
        <v>4</v>
      </c>
      <c r="U5439">
        <v>8</v>
      </c>
      <c r="V5439">
        <v>2</v>
      </c>
      <c r="W5439">
        <v>5</v>
      </c>
      <c r="X5439">
        <v>3</v>
      </c>
      <c r="Y5439">
        <v>189</v>
      </c>
      <c r="Z5439">
        <v>4</v>
      </c>
      <c r="AA5439">
        <v>5</v>
      </c>
      <c r="AB5439">
        <v>4</v>
      </c>
      <c r="AT5439" t="s">
        <v>100</v>
      </c>
      <c r="AU5439">
        <v>18</v>
      </c>
      <c r="AV5439">
        <v>283</v>
      </c>
      <c r="AW5439">
        <v>283</v>
      </c>
      <c r="AX5439">
        <v>0</v>
      </c>
      <c r="AZ5439" t="s">
        <v>101</v>
      </c>
      <c r="BA5439">
        <v>1</v>
      </c>
      <c r="BC5439" t="s">
        <v>10991</v>
      </c>
      <c r="BD5439" s="4">
        <v>43283.140277777777</v>
      </c>
      <c r="BE5439" s="4">
        <v>43283.170567129629</v>
      </c>
      <c r="BF5439" s="4">
        <v>43283.170567129629</v>
      </c>
      <c r="BG5439" t="s">
        <v>83</v>
      </c>
      <c r="BH5439" t="s">
        <v>84</v>
      </c>
      <c r="BI5439" t="s">
        <v>85</v>
      </c>
    </row>
    <row r="5440" spans="1:61" x14ac:dyDescent="0.3">
      <c r="A5440" t="str">
        <f>"202368S0200"</f>
        <v>202368S0200</v>
      </c>
      <c r="B5440" t="s">
        <v>10992</v>
      </c>
      <c r="C5440">
        <v>20</v>
      </c>
      <c r="D5440" t="s">
        <v>79</v>
      </c>
      <c r="E5440">
        <v>8</v>
      </c>
      <c r="F5440" t="s">
        <v>3266</v>
      </c>
      <c r="G5440">
        <v>2368</v>
      </c>
      <c r="H5440">
        <v>2</v>
      </c>
      <c r="I5440" t="s">
        <v>104</v>
      </c>
      <c r="J5440">
        <v>0</v>
      </c>
      <c r="K5440">
        <v>2</v>
      </c>
      <c r="L5440">
        <v>4</v>
      </c>
      <c r="M5440">
        <v>280</v>
      </c>
      <c r="N5440">
        <v>282</v>
      </c>
      <c r="O5440">
        <v>0</v>
      </c>
      <c r="P5440">
        <v>282</v>
      </c>
      <c r="Q5440">
        <v>12</v>
      </c>
      <c r="R5440">
        <v>26</v>
      </c>
      <c r="S5440">
        <v>20</v>
      </c>
      <c r="T5440">
        <v>8</v>
      </c>
      <c r="U5440">
        <v>7</v>
      </c>
      <c r="V5440">
        <v>4</v>
      </c>
      <c r="W5440">
        <v>3</v>
      </c>
      <c r="X5440">
        <v>3</v>
      </c>
      <c r="Y5440">
        <v>170</v>
      </c>
      <c r="Z5440">
        <v>6</v>
      </c>
      <c r="AA5440">
        <v>4</v>
      </c>
      <c r="AB5440">
        <v>2</v>
      </c>
      <c r="AT5440" t="s">
        <v>100</v>
      </c>
      <c r="AU5440">
        <v>17</v>
      </c>
      <c r="AV5440">
        <v>282</v>
      </c>
      <c r="AW5440">
        <v>282</v>
      </c>
      <c r="AX5440">
        <v>0</v>
      </c>
      <c r="AZ5440" t="s">
        <v>101</v>
      </c>
      <c r="BA5440">
        <v>1</v>
      </c>
      <c r="BC5440" s="2" t="s">
        <v>10993</v>
      </c>
      <c r="BD5440" s="4">
        <v>43283.09652777778</v>
      </c>
      <c r="BE5440" s="4">
        <v>43283.107291666667</v>
      </c>
      <c r="BF5440" s="4">
        <v>43283.107291666667</v>
      </c>
      <c r="BG5440" t="s">
        <v>83</v>
      </c>
      <c r="BH5440" t="s">
        <v>84</v>
      </c>
      <c r="BI5440" t="s">
        <v>85</v>
      </c>
    </row>
    <row r="5441" spans="1:61" x14ac:dyDescent="0.3">
      <c r="A5441" t="str">
        <f>"200276S0100"</f>
        <v>200276S0100</v>
      </c>
      <c r="B5441" t="s">
        <v>10994</v>
      </c>
      <c r="C5441">
        <v>20</v>
      </c>
      <c r="D5441" t="s">
        <v>79</v>
      </c>
      <c r="E5441">
        <v>9</v>
      </c>
      <c r="F5441" t="s">
        <v>3733</v>
      </c>
      <c r="G5441">
        <v>276</v>
      </c>
      <c r="H5441">
        <v>1</v>
      </c>
      <c r="I5441" t="s">
        <v>104</v>
      </c>
      <c r="J5441">
        <v>0</v>
      </c>
      <c r="K5441">
        <v>2</v>
      </c>
      <c r="L5441">
        <v>4</v>
      </c>
      <c r="M5441">
        <v>271</v>
      </c>
      <c r="N5441">
        <v>308</v>
      </c>
      <c r="O5441">
        <v>0</v>
      </c>
      <c r="P5441">
        <v>310</v>
      </c>
      <c r="Q5441">
        <v>19</v>
      </c>
      <c r="R5441">
        <v>28</v>
      </c>
      <c r="S5441">
        <v>4</v>
      </c>
      <c r="T5441">
        <v>7</v>
      </c>
      <c r="U5441">
        <v>8</v>
      </c>
      <c r="V5441">
        <v>5</v>
      </c>
      <c r="W5441">
        <v>9</v>
      </c>
      <c r="X5441">
        <v>1</v>
      </c>
      <c r="Y5441">
        <v>199</v>
      </c>
      <c r="Z5441">
        <v>6</v>
      </c>
      <c r="AA5441">
        <v>0</v>
      </c>
      <c r="AB5441">
        <v>20</v>
      </c>
      <c r="AT5441">
        <v>0</v>
      </c>
      <c r="AU5441">
        <v>4</v>
      </c>
      <c r="AV5441">
        <v>310</v>
      </c>
      <c r="AW5441">
        <v>310</v>
      </c>
      <c r="AX5441">
        <v>0</v>
      </c>
      <c r="BA5441">
        <v>1</v>
      </c>
      <c r="BC5441" t="s">
        <v>10995</v>
      </c>
      <c r="BD5441" s="4">
        <v>43283.066666666666</v>
      </c>
      <c r="BE5441" s="4">
        <v>43283.070127314815</v>
      </c>
      <c r="BF5441" s="4">
        <v>43283.070127314815</v>
      </c>
      <c r="BG5441" t="s">
        <v>83</v>
      </c>
      <c r="BH5441" t="s">
        <v>84</v>
      </c>
      <c r="BI5441" t="s">
        <v>85</v>
      </c>
    </row>
    <row r="5442" spans="1:61" x14ac:dyDescent="0.3">
      <c r="A5442" t="str">
        <f>"200914S0100"</f>
        <v>200914S0100</v>
      </c>
      <c r="B5442" t="s">
        <v>10996</v>
      </c>
      <c r="C5442">
        <v>20</v>
      </c>
      <c r="D5442" t="s">
        <v>79</v>
      </c>
      <c r="E5442">
        <v>9</v>
      </c>
      <c r="F5442" t="s">
        <v>3733</v>
      </c>
      <c r="G5442">
        <v>914</v>
      </c>
      <c r="H5442">
        <v>1</v>
      </c>
      <c r="I5442" t="s">
        <v>104</v>
      </c>
      <c r="J5442">
        <v>0</v>
      </c>
      <c r="K5442">
        <v>2</v>
      </c>
      <c r="L5442">
        <v>4</v>
      </c>
      <c r="AX5442">
        <v>0</v>
      </c>
      <c r="AZ5442" t="s">
        <v>156</v>
      </c>
      <c r="BA5442">
        <v>0</v>
      </c>
      <c r="BC5442" t="s">
        <v>10997</v>
      </c>
      <c r="BD5442" s="4">
        <v>43283.605555555558</v>
      </c>
      <c r="BE5442" s="4">
        <v>43283.61</v>
      </c>
      <c r="BF5442" s="4">
        <v>43283.61</v>
      </c>
      <c r="BG5442" t="s">
        <v>83</v>
      </c>
      <c r="BH5442" t="s">
        <v>84</v>
      </c>
      <c r="BI5442" t="s">
        <v>85</v>
      </c>
    </row>
    <row r="5443" spans="1:61" x14ac:dyDescent="0.3">
      <c r="A5443" t="str">
        <f>"202409S0100"</f>
        <v>202409S0100</v>
      </c>
      <c r="B5443" t="s">
        <v>10998</v>
      </c>
      <c r="C5443">
        <v>20</v>
      </c>
      <c r="D5443" t="s">
        <v>79</v>
      </c>
      <c r="E5443">
        <v>9</v>
      </c>
      <c r="F5443" t="s">
        <v>3733</v>
      </c>
      <c r="G5443">
        <v>2409</v>
      </c>
      <c r="H5443">
        <v>1</v>
      </c>
      <c r="I5443" t="s">
        <v>104</v>
      </c>
      <c r="J5443">
        <v>0</v>
      </c>
      <c r="K5443">
        <v>1</v>
      </c>
      <c r="L5443">
        <v>4</v>
      </c>
      <c r="M5443" t="s">
        <v>100</v>
      </c>
      <c r="N5443">
        <v>397</v>
      </c>
      <c r="O5443">
        <v>0</v>
      </c>
      <c r="P5443">
        <v>397</v>
      </c>
      <c r="Q5443">
        <v>10</v>
      </c>
      <c r="R5443">
        <v>44</v>
      </c>
      <c r="S5443">
        <v>6</v>
      </c>
      <c r="T5443">
        <v>2</v>
      </c>
      <c r="U5443">
        <v>19</v>
      </c>
      <c r="V5443">
        <v>6</v>
      </c>
      <c r="W5443">
        <v>9</v>
      </c>
      <c r="X5443">
        <v>2</v>
      </c>
      <c r="Y5443">
        <v>313</v>
      </c>
      <c r="Z5443">
        <v>6</v>
      </c>
      <c r="AA5443">
        <v>5</v>
      </c>
      <c r="AB5443">
        <v>10</v>
      </c>
      <c r="AT5443">
        <v>0</v>
      </c>
      <c r="AU5443">
        <v>8</v>
      </c>
      <c r="AV5443" t="s">
        <v>315</v>
      </c>
      <c r="AW5443">
        <v>440</v>
      </c>
      <c r="AX5443">
        <v>0</v>
      </c>
      <c r="BA5443">
        <v>1</v>
      </c>
      <c r="BC5443" t="s">
        <v>10999</v>
      </c>
      <c r="BD5443" s="4">
        <v>43283.282638888886</v>
      </c>
      <c r="BE5443" s="4">
        <v>43283.328634259262</v>
      </c>
      <c r="BF5443" s="4">
        <v>43283.328634259262</v>
      </c>
      <c r="BG5443" t="s">
        <v>83</v>
      </c>
      <c r="BH5443" t="s">
        <v>84</v>
      </c>
      <c r="BI5443" t="s">
        <v>85</v>
      </c>
    </row>
    <row r="5444" spans="1:61" x14ac:dyDescent="0.3">
      <c r="A5444" t="str">
        <f>"201124S0100"</f>
        <v>201124S0100</v>
      </c>
      <c r="B5444" t="s">
        <v>11000</v>
      </c>
      <c r="C5444">
        <v>20</v>
      </c>
      <c r="D5444" t="s">
        <v>79</v>
      </c>
      <c r="E5444">
        <v>10</v>
      </c>
      <c r="F5444" t="s">
        <v>4190</v>
      </c>
      <c r="G5444">
        <v>1124</v>
      </c>
      <c r="H5444">
        <v>1</v>
      </c>
      <c r="I5444" t="s">
        <v>104</v>
      </c>
      <c r="J5444">
        <v>0</v>
      </c>
      <c r="K5444">
        <v>2</v>
      </c>
      <c r="L5444">
        <v>4</v>
      </c>
      <c r="M5444">
        <v>414</v>
      </c>
      <c r="N5444">
        <v>209</v>
      </c>
      <c r="O5444">
        <v>0</v>
      </c>
      <c r="P5444">
        <v>209</v>
      </c>
      <c r="Q5444">
        <v>19</v>
      </c>
      <c r="R5444">
        <v>20</v>
      </c>
      <c r="S5444">
        <v>3</v>
      </c>
      <c r="T5444">
        <v>2</v>
      </c>
      <c r="U5444">
        <v>15</v>
      </c>
      <c r="V5444">
        <v>6</v>
      </c>
      <c r="W5444">
        <v>1</v>
      </c>
      <c r="X5444">
        <v>3</v>
      </c>
      <c r="Y5444">
        <v>130</v>
      </c>
      <c r="Z5444">
        <v>3</v>
      </c>
      <c r="AB5444">
        <v>2</v>
      </c>
      <c r="AT5444">
        <v>0</v>
      </c>
      <c r="AU5444">
        <v>5</v>
      </c>
      <c r="AV5444">
        <v>209</v>
      </c>
      <c r="AW5444">
        <v>209</v>
      </c>
      <c r="AX5444">
        <v>0</v>
      </c>
      <c r="BA5444">
        <v>1</v>
      </c>
      <c r="BC5444" t="s">
        <v>11001</v>
      </c>
      <c r="BD5444" s="4">
        <v>43283.805543981478</v>
      </c>
      <c r="BE5444" s="4">
        <v>43283.808368055557</v>
      </c>
      <c r="BF5444" s="4">
        <v>43283.808368055557</v>
      </c>
      <c r="BG5444" t="s">
        <v>83</v>
      </c>
      <c r="BH5444" t="s">
        <v>84</v>
      </c>
      <c r="BI5444" t="s">
        <v>85</v>
      </c>
    </row>
    <row r="5445" spans="1:61" x14ac:dyDescent="0.3">
      <c r="A5445" t="str">
        <f>"201586S0100"</f>
        <v>201586S0100</v>
      </c>
      <c r="B5445" t="s">
        <v>11002</v>
      </c>
      <c r="C5445">
        <v>20</v>
      </c>
      <c r="D5445" t="s">
        <v>79</v>
      </c>
      <c r="E5445">
        <v>10</v>
      </c>
      <c r="F5445" t="s">
        <v>4190</v>
      </c>
      <c r="G5445">
        <v>1586</v>
      </c>
      <c r="H5445">
        <v>1</v>
      </c>
      <c r="I5445" t="s">
        <v>104</v>
      </c>
      <c r="J5445">
        <v>0</v>
      </c>
      <c r="K5445">
        <v>2</v>
      </c>
      <c r="L5445">
        <v>4</v>
      </c>
      <c r="AX5445">
        <v>0</v>
      </c>
      <c r="AZ5445" t="s">
        <v>156</v>
      </c>
      <c r="BA5445">
        <v>0</v>
      </c>
      <c r="BC5445" t="s">
        <v>11003</v>
      </c>
      <c r="BD5445" s="4">
        <v>43282.827777777777</v>
      </c>
      <c r="BE5445" s="4">
        <v>43283.827569444446</v>
      </c>
      <c r="BF5445" s="4">
        <v>43283.827569444446</v>
      </c>
      <c r="BG5445" t="s">
        <v>83</v>
      </c>
      <c r="BH5445" t="s">
        <v>84</v>
      </c>
      <c r="BI5445" t="s">
        <v>85</v>
      </c>
    </row>
    <row r="5446" spans="1:61" x14ac:dyDescent="0.3">
      <c r="A5446" t="str">
        <f>"200402S0100"</f>
        <v>200402S0100</v>
      </c>
      <c r="B5446" t="s">
        <v>11004</v>
      </c>
      <c r="C5446">
        <v>20</v>
      </c>
      <c r="D5446" t="s">
        <v>79</v>
      </c>
      <c r="E5446">
        <v>11</v>
      </c>
      <c r="F5446" t="s">
        <v>4565</v>
      </c>
      <c r="G5446">
        <v>402</v>
      </c>
      <c r="H5446">
        <v>1</v>
      </c>
      <c r="I5446" t="s">
        <v>104</v>
      </c>
      <c r="J5446">
        <v>0</v>
      </c>
      <c r="K5446">
        <v>1</v>
      </c>
      <c r="L5446">
        <v>4</v>
      </c>
      <c r="M5446" t="s">
        <v>315</v>
      </c>
      <c r="N5446">
        <v>335</v>
      </c>
      <c r="O5446">
        <v>0</v>
      </c>
      <c r="P5446">
        <v>335</v>
      </c>
      <c r="Q5446">
        <v>17</v>
      </c>
      <c r="R5446">
        <v>24</v>
      </c>
      <c r="S5446">
        <v>5</v>
      </c>
      <c r="T5446">
        <v>3</v>
      </c>
      <c r="U5446">
        <v>10</v>
      </c>
      <c r="V5446">
        <v>5</v>
      </c>
      <c r="W5446">
        <v>1</v>
      </c>
      <c r="X5446">
        <v>8</v>
      </c>
      <c r="Y5446" t="s">
        <v>315</v>
      </c>
      <c r="Z5446">
        <v>8</v>
      </c>
      <c r="AA5446">
        <v>2</v>
      </c>
      <c r="AB5446">
        <v>2</v>
      </c>
      <c r="AT5446">
        <v>0</v>
      </c>
      <c r="AU5446">
        <v>9</v>
      </c>
      <c r="AV5446">
        <v>335</v>
      </c>
      <c r="AW5446">
        <v>94</v>
      </c>
      <c r="AX5446">
        <v>0</v>
      </c>
      <c r="AZ5446" t="s">
        <v>101</v>
      </c>
      <c r="BA5446">
        <v>1</v>
      </c>
      <c r="BC5446" t="s">
        <v>11005</v>
      </c>
      <c r="BD5446" s="4">
        <v>43283.075694444444</v>
      </c>
      <c r="BE5446" s="4">
        <v>43283.086180555554</v>
      </c>
      <c r="BF5446" s="4">
        <v>43283.086180555554</v>
      </c>
      <c r="BG5446" t="s">
        <v>83</v>
      </c>
      <c r="BH5446" t="s">
        <v>84</v>
      </c>
      <c r="BI5446" t="s">
        <v>85</v>
      </c>
    </row>
    <row r="5447" spans="1:61" x14ac:dyDescent="0.3">
      <c r="A5447" t="str">
        <f>"201750S0100"</f>
        <v>201750S0100</v>
      </c>
      <c r="B5447" t="s">
        <v>11006</v>
      </c>
      <c r="C5447">
        <v>20</v>
      </c>
      <c r="D5447" t="s">
        <v>79</v>
      </c>
      <c r="E5447">
        <v>12</v>
      </c>
      <c r="F5447" t="s">
        <v>5082</v>
      </c>
      <c r="G5447">
        <v>1750</v>
      </c>
      <c r="H5447">
        <v>1</v>
      </c>
      <c r="I5447" t="s">
        <v>104</v>
      </c>
      <c r="J5447">
        <v>0</v>
      </c>
      <c r="K5447">
        <v>1</v>
      </c>
      <c r="L5447">
        <v>4</v>
      </c>
      <c r="M5447">
        <v>252</v>
      </c>
      <c r="N5447">
        <v>502</v>
      </c>
      <c r="O5447">
        <v>0</v>
      </c>
      <c r="P5447">
        <v>502</v>
      </c>
      <c r="Q5447">
        <v>20</v>
      </c>
      <c r="R5447">
        <v>33</v>
      </c>
      <c r="S5447">
        <v>17</v>
      </c>
      <c r="T5447">
        <v>3</v>
      </c>
      <c r="U5447">
        <v>31</v>
      </c>
      <c r="V5447">
        <v>4</v>
      </c>
      <c r="W5447">
        <v>3</v>
      </c>
      <c r="X5447">
        <v>3</v>
      </c>
      <c r="Y5447">
        <v>349</v>
      </c>
      <c r="Z5447">
        <v>4</v>
      </c>
      <c r="AA5447">
        <v>1</v>
      </c>
      <c r="AB5447">
        <v>6</v>
      </c>
      <c r="AT5447">
        <v>0</v>
      </c>
      <c r="AU5447">
        <v>28</v>
      </c>
      <c r="AV5447">
        <v>502</v>
      </c>
      <c r="AW5447">
        <v>502</v>
      </c>
      <c r="AX5447">
        <v>0</v>
      </c>
      <c r="BA5447">
        <v>1</v>
      </c>
      <c r="BC5447" t="s">
        <v>11007</v>
      </c>
      <c r="BD5447" s="4">
        <v>43283.064583333333</v>
      </c>
      <c r="BE5447" s="4">
        <v>43283.070763888885</v>
      </c>
      <c r="BF5447" s="4">
        <v>43283.070763888885</v>
      </c>
      <c r="BG5447" t="s">
        <v>83</v>
      </c>
      <c r="BH5447" t="s">
        <v>84</v>
      </c>
      <c r="BI5447" t="s">
        <v>85</v>
      </c>
    </row>
    <row r="5448" spans="1:61" x14ac:dyDescent="0.3">
      <c r="A5448" t="str">
        <f>"200545S0100"</f>
        <v>200545S0100</v>
      </c>
      <c r="B5448" t="s">
        <v>11008</v>
      </c>
      <c r="C5448">
        <v>20</v>
      </c>
      <c r="D5448" t="s">
        <v>79</v>
      </c>
      <c r="E5448">
        <v>13</v>
      </c>
      <c r="F5448" t="s">
        <v>5455</v>
      </c>
      <c r="G5448">
        <v>545</v>
      </c>
      <c r="H5448">
        <v>1</v>
      </c>
      <c r="I5448" t="s">
        <v>104</v>
      </c>
      <c r="J5448">
        <v>0</v>
      </c>
      <c r="K5448">
        <v>1</v>
      </c>
      <c r="L5448">
        <v>4</v>
      </c>
      <c r="M5448">
        <v>257</v>
      </c>
      <c r="N5448">
        <v>502</v>
      </c>
      <c r="O5448">
        <v>0</v>
      </c>
      <c r="P5448">
        <v>502</v>
      </c>
      <c r="Q5448">
        <v>8</v>
      </c>
      <c r="R5448">
        <v>34</v>
      </c>
      <c r="S5448">
        <v>8</v>
      </c>
      <c r="T5448">
        <v>5</v>
      </c>
      <c r="U5448">
        <v>32</v>
      </c>
      <c r="V5448">
        <v>3</v>
      </c>
      <c r="W5448">
        <v>3</v>
      </c>
      <c r="X5448">
        <v>0</v>
      </c>
      <c r="Y5448">
        <v>373</v>
      </c>
      <c r="Z5448">
        <v>3</v>
      </c>
      <c r="AA5448">
        <v>3</v>
      </c>
      <c r="AB5448">
        <v>10</v>
      </c>
      <c r="AT5448">
        <v>0</v>
      </c>
      <c r="AU5448">
        <v>20</v>
      </c>
      <c r="AV5448">
        <v>502</v>
      </c>
      <c r="AW5448">
        <v>502</v>
      </c>
      <c r="AX5448">
        <v>0</v>
      </c>
      <c r="BA5448">
        <v>1</v>
      </c>
      <c r="BC5448" t="s">
        <v>11009</v>
      </c>
      <c r="BD5448" s="4">
        <v>43283.1875</v>
      </c>
      <c r="BE5448" s="4">
        <v>43283.205555555556</v>
      </c>
      <c r="BF5448" s="4">
        <v>43283.205555555556</v>
      </c>
      <c r="BG5448" t="s">
        <v>83</v>
      </c>
      <c r="BH5448" t="s">
        <v>84</v>
      </c>
      <c r="BI5448" t="s">
        <v>85</v>
      </c>
    </row>
    <row r="5449" spans="1:61" x14ac:dyDescent="0.3">
      <c r="A5449" t="str">
        <f>"200581S0100"</f>
        <v>200581S0100</v>
      </c>
      <c r="B5449" t="s">
        <v>11010</v>
      </c>
      <c r="C5449">
        <v>20</v>
      </c>
      <c r="D5449" t="s">
        <v>79</v>
      </c>
      <c r="E5449">
        <v>13</v>
      </c>
      <c r="F5449" t="s">
        <v>5455</v>
      </c>
      <c r="G5449">
        <v>581</v>
      </c>
      <c r="H5449">
        <v>1</v>
      </c>
      <c r="I5449" t="s">
        <v>104</v>
      </c>
      <c r="J5449">
        <v>0</v>
      </c>
      <c r="K5449">
        <v>1</v>
      </c>
      <c r="L5449">
        <v>4</v>
      </c>
      <c r="AX5449">
        <v>0</v>
      </c>
      <c r="AZ5449" t="s">
        <v>156</v>
      </c>
      <c r="BA5449">
        <v>0</v>
      </c>
      <c r="BC5449" t="s">
        <v>11011</v>
      </c>
      <c r="BD5449" s="4">
        <v>43283.501388888886</v>
      </c>
      <c r="BE5449" s="4">
        <v>43283.503530092596</v>
      </c>
      <c r="BF5449" s="4">
        <v>43283.503530092596</v>
      </c>
      <c r="BG5449" t="s">
        <v>83</v>
      </c>
      <c r="BH5449" t="s">
        <v>84</v>
      </c>
      <c r="BI5449" t="s">
        <v>85</v>
      </c>
    </row>
    <row r="5450" spans="1:61" x14ac:dyDescent="0.3">
      <c r="A5450" t="str">
        <f>"200509S0100"</f>
        <v>200509S0100</v>
      </c>
      <c r="B5450" t="s">
        <v>11012</v>
      </c>
      <c r="C5450">
        <v>20</v>
      </c>
      <c r="D5450" t="s">
        <v>79</v>
      </c>
      <c r="E5450">
        <v>14</v>
      </c>
      <c r="F5450" t="s">
        <v>5455</v>
      </c>
      <c r="G5450">
        <v>509</v>
      </c>
      <c r="H5450">
        <v>1</v>
      </c>
      <c r="I5450" t="s">
        <v>104</v>
      </c>
      <c r="J5450">
        <v>0</v>
      </c>
      <c r="K5450">
        <v>1</v>
      </c>
      <c r="L5450">
        <v>4</v>
      </c>
      <c r="M5450">
        <v>0</v>
      </c>
      <c r="N5450">
        <v>359</v>
      </c>
      <c r="O5450">
        <v>0</v>
      </c>
      <c r="P5450">
        <v>359</v>
      </c>
      <c r="Q5450">
        <v>34</v>
      </c>
      <c r="R5450">
        <v>26</v>
      </c>
      <c r="S5450">
        <v>16</v>
      </c>
      <c r="T5450">
        <v>6</v>
      </c>
      <c r="U5450">
        <v>13</v>
      </c>
      <c r="V5450">
        <v>6</v>
      </c>
      <c r="W5450">
        <v>2</v>
      </c>
      <c r="X5450">
        <v>4</v>
      </c>
      <c r="Y5450">
        <v>229</v>
      </c>
      <c r="Z5450">
        <v>4</v>
      </c>
      <c r="AA5450">
        <v>2</v>
      </c>
      <c r="AB5450">
        <v>2</v>
      </c>
      <c r="AT5450">
        <v>0</v>
      </c>
      <c r="AU5450">
        <v>15</v>
      </c>
      <c r="AV5450">
        <v>359</v>
      </c>
      <c r="AW5450">
        <v>359</v>
      </c>
      <c r="AX5450">
        <v>0</v>
      </c>
      <c r="BA5450">
        <v>1</v>
      </c>
      <c r="BC5450" t="s">
        <v>11013</v>
      </c>
      <c r="BD5450" s="4">
        <v>43283.275694444441</v>
      </c>
      <c r="BE5450" s="4">
        <v>43283.302418981482</v>
      </c>
      <c r="BF5450" s="4">
        <v>43283.302418981482</v>
      </c>
      <c r="BG5450" t="s">
        <v>83</v>
      </c>
      <c r="BH5450" t="s">
        <v>84</v>
      </c>
      <c r="BI5450" t="s">
        <v>85</v>
      </c>
    </row>
    <row r="5451" spans="1:61" x14ac:dyDescent="0.3">
      <c r="A5451" t="str">
        <f>"200509S0200"</f>
        <v>200509S0200</v>
      </c>
      <c r="B5451" t="s">
        <v>11014</v>
      </c>
      <c r="C5451">
        <v>20</v>
      </c>
      <c r="D5451" t="s">
        <v>79</v>
      </c>
      <c r="E5451">
        <v>14</v>
      </c>
      <c r="F5451" t="s">
        <v>5455</v>
      </c>
      <c r="G5451">
        <v>509</v>
      </c>
      <c r="H5451">
        <v>2</v>
      </c>
      <c r="I5451" t="s">
        <v>104</v>
      </c>
      <c r="J5451">
        <v>0</v>
      </c>
      <c r="K5451">
        <v>1</v>
      </c>
      <c r="L5451">
        <v>4</v>
      </c>
      <c r="AX5451">
        <v>0</v>
      </c>
      <c r="AZ5451" t="s">
        <v>156</v>
      </c>
      <c r="BA5451">
        <v>0</v>
      </c>
      <c r="BC5451" t="s">
        <v>11015</v>
      </c>
      <c r="BD5451" s="4">
        <v>43283.787499999999</v>
      </c>
      <c r="BE5451" s="4">
        <v>43283.79650462963</v>
      </c>
      <c r="BF5451" s="4">
        <v>43283.79650462963</v>
      </c>
      <c r="BG5451" t="s">
        <v>83</v>
      </c>
      <c r="BH5451" t="s">
        <v>84</v>
      </c>
      <c r="BI5451" t="s">
        <v>85</v>
      </c>
    </row>
    <row r="5452" spans="1:61" x14ac:dyDescent="0.3">
      <c r="A5452" t="str">
        <f>"200535S0100"</f>
        <v>200535S0100</v>
      </c>
      <c r="B5452" t="s">
        <v>11016</v>
      </c>
      <c r="C5452">
        <v>20</v>
      </c>
      <c r="D5452" t="s">
        <v>79</v>
      </c>
      <c r="E5452">
        <v>14</v>
      </c>
      <c r="F5452" t="s">
        <v>5455</v>
      </c>
      <c r="G5452">
        <v>535</v>
      </c>
      <c r="H5452">
        <v>1</v>
      </c>
      <c r="I5452" t="s">
        <v>104</v>
      </c>
      <c r="J5452">
        <v>0</v>
      </c>
      <c r="K5452">
        <v>1</v>
      </c>
      <c r="L5452">
        <v>4</v>
      </c>
      <c r="M5452">
        <v>386</v>
      </c>
      <c r="N5452">
        <v>375</v>
      </c>
      <c r="O5452">
        <v>0</v>
      </c>
      <c r="P5452">
        <v>375</v>
      </c>
      <c r="Q5452">
        <v>22</v>
      </c>
      <c r="R5452">
        <v>43</v>
      </c>
      <c r="S5452">
        <v>8</v>
      </c>
      <c r="T5452">
        <v>3</v>
      </c>
      <c r="U5452">
        <v>21</v>
      </c>
      <c r="V5452">
        <v>1</v>
      </c>
      <c r="W5452">
        <v>5</v>
      </c>
      <c r="X5452">
        <v>7</v>
      </c>
      <c r="Y5452">
        <v>236</v>
      </c>
      <c r="Z5452">
        <v>5</v>
      </c>
      <c r="AA5452">
        <v>2</v>
      </c>
      <c r="AB5452">
        <v>2</v>
      </c>
      <c r="AT5452">
        <v>1</v>
      </c>
      <c r="AU5452">
        <v>19</v>
      </c>
      <c r="AV5452">
        <v>372</v>
      </c>
      <c r="AW5452">
        <v>375</v>
      </c>
      <c r="AX5452">
        <v>0</v>
      </c>
      <c r="BA5452">
        <v>1</v>
      </c>
      <c r="BC5452" t="s">
        <v>11017</v>
      </c>
      <c r="BD5452" s="4">
        <v>43283.207638888889</v>
      </c>
      <c r="BE5452" s="4">
        <v>43283.23033564815</v>
      </c>
      <c r="BF5452" s="4">
        <v>43283.23033564815</v>
      </c>
      <c r="BG5452" t="s">
        <v>83</v>
      </c>
      <c r="BH5452" t="s">
        <v>84</v>
      </c>
      <c r="BI5452" t="s">
        <v>85</v>
      </c>
    </row>
    <row r="5453" spans="1:61" x14ac:dyDescent="0.3">
      <c r="A5453" t="str">
        <f>"200553S0100"</f>
        <v>200553S0100</v>
      </c>
      <c r="B5453" t="s">
        <v>11018</v>
      </c>
      <c r="C5453">
        <v>20</v>
      </c>
      <c r="D5453" t="s">
        <v>79</v>
      </c>
      <c r="E5453">
        <v>14</v>
      </c>
      <c r="F5453" t="s">
        <v>5455</v>
      </c>
      <c r="G5453">
        <v>553</v>
      </c>
      <c r="H5453">
        <v>1</v>
      </c>
      <c r="I5453" t="s">
        <v>104</v>
      </c>
      <c r="J5453">
        <v>0</v>
      </c>
      <c r="K5453">
        <v>1</v>
      </c>
      <c r="L5453">
        <v>4</v>
      </c>
      <c r="M5453">
        <v>302</v>
      </c>
      <c r="N5453">
        <v>0</v>
      </c>
      <c r="O5453">
        <v>0</v>
      </c>
      <c r="P5453">
        <v>447</v>
      </c>
      <c r="Q5453">
        <v>24</v>
      </c>
      <c r="R5453">
        <v>34</v>
      </c>
      <c r="S5453">
        <v>10</v>
      </c>
      <c r="T5453">
        <v>5</v>
      </c>
      <c r="U5453">
        <v>18</v>
      </c>
      <c r="V5453">
        <v>2</v>
      </c>
      <c r="W5453">
        <v>8</v>
      </c>
      <c r="X5453">
        <v>3</v>
      </c>
      <c r="Y5453">
        <v>305</v>
      </c>
      <c r="Z5453">
        <v>7</v>
      </c>
      <c r="AA5453">
        <v>1</v>
      </c>
      <c r="AB5453">
        <v>14</v>
      </c>
      <c r="AT5453">
        <v>0</v>
      </c>
      <c r="AU5453">
        <v>16</v>
      </c>
      <c r="AV5453">
        <v>447</v>
      </c>
      <c r="AW5453">
        <v>447</v>
      </c>
      <c r="AX5453">
        <v>0</v>
      </c>
      <c r="BA5453">
        <v>1</v>
      </c>
      <c r="BC5453" t="s">
        <v>11019</v>
      </c>
      <c r="BD5453" s="4">
        <v>43283.292361111111</v>
      </c>
      <c r="BE5453" s="4">
        <v>43283.32608796296</v>
      </c>
      <c r="BF5453" s="4">
        <v>43283.32608796296</v>
      </c>
      <c r="BG5453" t="s">
        <v>83</v>
      </c>
      <c r="BH5453" t="s">
        <v>84</v>
      </c>
      <c r="BI5453" t="s">
        <v>85</v>
      </c>
    </row>
    <row r="5454" spans="1:61" x14ac:dyDescent="0.3">
      <c r="A5454" t="str">
        <f>"201718S0100"</f>
        <v>201718S0100</v>
      </c>
      <c r="B5454" t="s">
        <v>11020</v>
      </c>
      <c r="C5454">
        <v>20</v>
      </c>
      <c r="D5454" t="s">
        <v>79</v>
      </c>
      <c r="E5454">
        <v>15</v>
      </c>
      <c r="F5454" t="s">
        <v>6336</v>
      </c>
      <c r="G5454">
        <v>1718</v>
      </c>
      <c r="H5454">
        <v>1</v>
      </c>
      <c r="I5454" t="s">
        <v>104</v>
      </c>
      <c r="J5454">
        <v>0</v>
      </c>
      <c r="K5454">
        <v>2</v>
      </c>
      <c r="L5454">
        <v>4</v>
      </c>
      <c r="M5454">
        <v>206</v>
      </c>
      <c r="N5454">
        <v>529</v>
      </c>
      <c r="O5454">
        <v>0</v>
      </c>
      <c r="P5454">
        <v>529</v>
      </c>
      <c r="Q5454">
        <v>20</v>
      </c>
      <c r="R5454">
        <v>36</v>
      </c>
      <c r="S5454">
        <v>18</v>
      </c>
      <c r="T5454">
        <v>6</v>
      </c>
      <c r="U5454">
        <v>23</v>
      </c>
      <c r="V5454">
        <v>7</v>
      </c>
      <c r="W5454">
        <v>6</v>
      </c>
      <c r="X5454">
        <v>1</v>
      </c>
      <c r="Y5454">
        <v>381</v>
      </c>
      <c r="Z5454">
        <v>4</v>
      </c>
      <c r="AA5454">
        <v>1</v>
      </c>
      <c r="AB5454">
        <v>14</v>
      </c>
      <c r="AT5454">
        <v>0</v>
      </c>
      <c r="AU5454">
        <v>12</v>
      </c>
      <c r="AV5454">
        <v>529</v>
      </c>
      <c r="AW5454">
        <v>529</v>
      </c>
      <c r="AX5454">
        <v>0</v>
      </c>
      <c r="BA5454">
        <v>1</v>
      </c>
      <c r="BC5454" t="s">
        <v>11021</v>
      </c>
      <c r="BD5454" s="4">
        <v>43283.154861111114</v>
      </c>
      <c r="BE5454" s="4">
        <v>43283.166562500002</v>
      </c>
      <c r="BF5454" s="4">
        <v>43283.166562500002</v>
      </c>
      <c r="BG5454" t="s">
        <v>83</v>
      </c>
      <c r="BH5454" t="s">
        <v>84</v>
      </c>
      <c r="BI5454" t="s">
        <v>85</v>
      </c>
    </row>
    <row r="5455" spans="1:61" x14ac:dyDescent="0.3">
      <c r="A5455" t="str">
        <f>"200617S0100"</f>
        <v>200617S0100</v>
      </c>
      <c r="B5455" t="s">
        <v>11022</v>
      </c>
      <c r="C5455">
        <v>20</v>
      </c>
      <c r="D5455" t="s">
        <v>79</v>
      </c>
      <c r="E5455">
        <v>16</v>
      </c>
      <c r="F5455" t="s">
        <v>6725</v>
      </c>
      <c r="G5455">
        <v>617</v>
      </c>
      <c r="H5455">
        <v>1</v>
      </c>
      <c r="I5455" t="s">
        <v>104</v>
      </c>
      <c r="J5455">
        <v>0</v>
      </c>
      <c r="K5455">
        <v>2</v>
      </c>
      <c r="L5455">
        <v>4</v>
      </c>
      <c r="M5455">
        <v>375</v>
      </c>
      <c r="N5455">
        <v>375</v>
      </c>
      <c r="O5455">
        <v>0</v>
      </c>
      <c r="P5455">
        <v>375</v>
      </c>
      <c r="Q5455">
        <v>20</v>
      </c>
      <c r="R5455">
        <v>29</v>
      </c>
      <c r="S5455">
        <v>9</v>
      </c>
      <c r="T5455">
        <v>4</v>
      </c>
      <c r="U5455">
        <v>30</v>
      </c>
      <c r="V5455">
        <v>4</v>
      </c>
      <c r="W5455">
        <v>4</v>
      </c>
      <c r="X5455">
        <v>2</v>
      </c>
      <c r="Y5455">
        <v>233</v>
      </c>
      <c r="Z5455">
        <v>4</v>
      </c>
      <c r="AA5455">
        <v>0</v>
      </c>
      <c r="AT5455">
        <v>0</v>
      </c>
      <c r="AU5455">
        <v>12</v>
      </c>
      <c r="AV5455">
        <v>351</v>
      </c>
      <c r="AW5455">
        <v>351</v>
      </c>
      <c r="AX5455">
        <v>0</v>
      </c>
      <c r="BA5455">
        <v>1</v>
      </c>
      <c r="BC5455" t="s">
        <v>11023</v>
      </c>
      <c r="BD5455" s="4">
        <v>43283.270833333336</v>
      </c>
      <c r="BE5455" s="4">
        <v>43283.34983796296</v>
      </c>
      <c r="BF5455" s="4">
        <v>43283.34983796296</v>
      </c>
      <c r="BG5455" t="s">
        <v>83</v>
      </c>
      <c r="BH5455" t="s">
        <v>84</v>
      </c>
      <c r="BI5455" t="s">
        <v>85</v>
      </c>
    </row>
    <row r="5456" spans="1:61" x14ac:dyDescent="0.3">
      <c r="A5456" t="str">
        <f>"200798S0100"</f>
        <v>200798S0100</v>
      </c>
      <c r="B5456" t="s">
        <v>11024</v>
      </c>
      <c r="C5456">
        <v>20</v>
      </c>
      <c r="D5456" t="s">
        <v>79</v>
      </c>
      <c r="E5456">
        <v>16</v>
      </c>
      <c r="F5456" t="s">
        <v>6725</v>
      </c>
      <c r="G5456">
        <v>798</v>
      </c>
      <c r="H5456">
        <v>1</v>
      </c>
      <c r="I5456" t="s">
        <v>104</v>
      </c>
      <c r="J5456">
        <v>0</v>
      </c>
      <c r="K5456">
        <v>1</v>
      </c>
      <c r="L5456">
        <v>4</v>
      </c>
      <c r="M5456" t="s">
        <v>100</v>
      </c>
      <c r="N5456" t="s">
        <v>100</v>
      </c>
      <c r="O5456" t="s">
        <v>100</v>
      </c>
      <c r="P5456" t="s">
        <v>100</v>
      </c>
      <c r="Q5456" t="s">
        <v>100</v>
      </c>
      <c r="R5456" t="s">
        <v>100</v>
      </c>
      <c r="S5456" t="s">
        <v>100</v>
      </c>
      <c r="T5456" t="s">
        <v>100</v>
      </c>
      <c r="U5456" t="s">
        <v>100</v>
      </c>
      <c r="V5456" t="s">
        <v>100</v>
      </c>
      <c r="W5456" t="s">
        <v>100</v>
      </c>
      <c r="X5456" t="s">
        <v>100</v>
      </c>
      <c r="Y5456" t="s">
        <v>100</v>
      </c>
      <c r="Z5456" t="s">
        <v>100</v>
      </c>
      <c r="AA5456" t="s">
        <v>100</v>
      </c>
      <c r="AT5456" t="s">
        <v>100</v>
      </c>
      <c r="AU5456" t="s">
        <v>100</v>
      </c>
      <c r="AX5456">
        <v>0</v>
      </c>
      <c r="AZ5456" t="s">
        <v>794</v>
      </c>
      <c r="BA5456">
        <v>0</v>
      </c>
      <c r="BC5456" t="s">
        <v>11025</v>
      </c>
      <c r="BD5456" s="4">
        <v>43283.136805555558</v>
      </c>
      <c r="BE5456" s="4">
        <v>43283.568460648145</v>
      </c>
      <c r="BF5456" s="4">
        <v>43283.568460648145</v>
      </c>
      <c r="BG5456" t="s">
        <v>83</v>
      </c>
      <c r="BH5456" t="s">
        <v>84</v>
      </c>
      <c r="BI5456" t="s">
        <v>85</v>
      </c>
    </row>
    <row r="5457" spans="1:61" x14ac:dyDescent="0.3">
      <c r="A5457" t="str">
        <f>"202439S0100"</f>
        <v>202439S0100</v>
      </c>
      <c r="B5457" t="s">
        <v>11026</v>
      </c>
      <c r="C5457">
        <v>20</v>
      </c>
      <c r="D5457" t="s">
        <v>79</v>
      </c>
      <c r="E5457">
        <v>16</v>
      </c>
      <c r="F5457" t="s">
        <v>6725</v>
      </c>
      <c r="G5457">
        <v>2439</v>
      </c>
      <c r="H5457">
        <v>1</v>
      </c>
      <c r="I5457" t="s">
        <v>104</v>
      </c>
      <c r="J5457">
        <v>0</v>
      </c>
      <c r="K5457">
        <v>2</v>
      </c>
      <c r="L5457">
        <v>4</v>
      </c>
      <c r="M5457">
        <v>245</v>
      </c>
      <c r="N5457">
        <v>434</v>
      </c>
      <c r="O5457">
        <v>0</v>
      </c>
      <c r="P5457">
        <v>434</v>
      </c>
      <c r="Q5457">
        <v>32</v>
      </c>
      <c r="R5457">
        <v>49</v>
      </c>
      <c r="S5457">
        <v>13</v>
      </c>
      <c r="T5457">
        <v>2</v>
      </c>
      <c r="U5457">
        <v>19</v>
      </c>
      <c r="V5457">
        <v>12</v>
      </c>
      <c r="W5457">
        <v>2</v>
      </c>
      <c r="X5457">
        <v>7</v>
      </c>
      <c r="Y5457">
        <v>271</v>
      </c>
      <c r="Z5457">
        <v>6</v>
      </c>
      <c r="AA5457">
        <v>0</v>
      </c>
      <c r="AT5457">
        <v>0</v>
      </c>
      <c r="AU5457">
        <v>13</v>
      </c>
      <c r="AV5457">
        <v>434</v>
      </c>
      <c r="AW5457">
        <v>426</v>
      </c>
      <c r="AX5457">
        <v>0</v>
      </c>
      <c r="BA5457">
        <v>1</v>
      </c>
      <c r="BC5457" t="s">
        <v>11027</v>
      </c>
      <c r="BD5457" s="4">
        <v>43283.021527777775</v>
      </c>
      <c r="BE5457" s="4">
        <v>43283.032500000001</v>
      </c>
      <c r="BF5457" s="4">
        <v>43283.032500000001</v>
      </c>
      <c r="BG5457" t="s">
        <v>83</v>
      </c>
      <c r="BH5457" t="s">
        <v>84</v>
      </c>
      <c r="BI5457" t="s">
        <v>85</v>
      </c>
    </row>
    <row r="5458" spans="1:61" x14ac:dyDescent="0.3">
      <c r="A5458" t="str">
        <f>"200463S0100"</f>
        <v>200463S0100</v>
      </c>
      <c r="B5458" t="s">
        <v>11028</v>
      </c>
      <c r="C5458">
        <v>20</v>
      </c>
      <c r="D5458" t="s">
        <v>79</v>
      </c>
      <c r="E5458">
        <v>17</v>
      </c>
      <c r="F5458" t="s">
        <v>7160</v>
      </c>
      <c r="G5458">
        <v>463</v>
      </c>
      <c r="H5458">
        <v>1</v>
      </c>
      <c r="I5458" t="s">
        <v>104</v>
      </c>
      <c r="J5458">
        <v>0</v>
      </c>
      <c r="K5458">
        <v>1</v>
      </c>
      <c r="L5458">
        <v>4</v>
      </c>
      <c r="M5458">
        <v>515</v>
      </c>
      <c r="N5458" t="s">
        <v>100</v>
      </c>
      <c r="O5458">
        <v>0</v>
      </c>
      <c r="P5458">
        <v>198</v>
      </c>
      <c r="Q5458">
        <v>8</v>
      </c>
      <c r="R5458">
        <v>7</v>
      </c>
      <c r="S5458">
        <v>8</v>
      </c>
      <c r="T5458">
        <v>2</v>
      </c>
      <c r="U5458">
        <v>3</v>
      </c>
      <c r="V5458">
        <v>2</v>
      </c>
      <c r="W5458">
        <v>3</v>
      </c>
      <c r="X5458">
        <v>4</v>
      </c>
      <c r="Y5458">
        <v>146</v>
      </c>
      <c r="Z5458">
        <v>3</v>
      </c>
      <c r="AA5458">
        <v>0</v>
      </c>
      <c r="AB5458">
        <v>0</v>
      </c>
      <c r="AT5458" t="s">
        <v>100</v>
      </c>
      <c r="AU5458">
        <v>12</v>
      </c>
      <c r="AV5458">
        <v>198</v>
      </c>
      <c r="AW5458">
        <v>198</v>
      </c>
      <c r="AX5458">
        <v>0</v>
      </c>
      <c r="AZ5458" t="s">
        <v>101</v>
      </c>
      <c r="BA5458">
        <v>1</v>
      </c>
      <c r="BC5458" t="s">
        <v>11029</v>
      </c>
      <c r="BD5458" s="4">
        <v>43283.34652777778</v>
      </c>
      <c r="BE5458" s="4">
        <v>43283.361400462964</v>
      </c>
      <c r="BF5458" s="4">
        <v>43283.361400462964</v>
      </c>
      <c r="BG5458" t="s">
        <v>83</v>
      </c>
      <c r="BH5458" t="s">
        <v>84</v>
      </c>
      <c r="BI5458" t="s">
        <v>85</v>
      </c>
    </row>
    <row r="5459" spans="1:61" x14ac:dyDescent="0.3">
      <c r="A5459" t="str">
        <f>"201441S0100"</f>
        <v>201441S0100</v>
      </c>
      <c r="B5459" t="s">
        <v>11030</v>
      </c>
      <c r="C5459">
        <v>20</v>
      </c>
      <c r="D5459" t="s">
        <v>79</v>
      </c>
      <c r="E5459">
        <v>17</v>
      </c>
      <c r="F5459" t="s">
        <v>7160</v>
      </c>
      <c r="G5459">
        <v>1441</v>
      </c>
      <c r="H5459">
        <v>1</v>
      </c>
      <c r="I5459" t="s">
        <v>104</v>
      </c>
      <c r="J5459">
        <v>0</v>
      </c>
      <c r="K5459">
        <v>1</v>
      </c>
      <c r="L5459">
        <v>4</v>
      </c>
      <c r="M5459">
        <v>320</v>
      </c>
      <c r="N5459">
        <v>342</v>
      </c>
      <c r="O5459">
        <v>0</v>
      </c>
      <c r="P5459">
        <v>342</v>
      </c>
      <c r="Q5459">
        <v>32</v>
      </c>
      <c r="R5459">
        <v>29</v>
      </c>
      <c r="S5459">
        <v>11</v>
      </c>
      <c r="T5459">
        <v>5</v>
      </c>
      <c r="U5459">
        <v>22</v>
      </c>
      <c r="V5459">
        <v>3</v>
      </c>
      <c r="W5459">
        <v>2</v>
      </c>
      <c r="X5459">
        <v>1</v>
      </c>
      <c r="Y5459">
        <v>210</v>
      </c>
      <c r="Z5459">
        <v>6</v>
      </c>
      <c r="AA5459">
        <v>0</v>
      </c>
      <c r="AB5459">
        <v>9</v>
      </c>
      <c r="AT5459">
        <v>0</v>
      </c>
      <c r="AU5459">
        <v>12</v>
      </c>
      <c r="AV5459">
        <v>342</v>
      </c>
      <c r="AW5459">
        <v>342</v>
      </c>
      <c r="AX5459">
        <v>0</v>
      </c>
      <c r="BA5459">
        <v>1</v>
      </c>
      <c r="BC5459" t="s">
        <v>11031</v>
      </c>
      <c r="BD5459" s="4">
        <v>43283.262499999997</v>
      </c>
      <c r="BE5459" s="4">
        <v>43283.289074074077</v>
      </c>
      <c r="BF5459" s="4">
        <v>43283.289074074077</v>
      </c>
      <c r="BG5459" t="s">
        <v>83</v>
      </c>
      <c r="BH5459" t="s">
        <v>84</v>
      </c>
      <c r="BI5459" t="s">
        <v>85</v>
      </c>
    </row>
    <row r="5460" spans="1:61" x14ac:dyDescent="0.3">
      <c r="A5460" t="str">
        <f>"201833S0100"</f>
        <v>201833S0100</v>
      </c>
      <c r="B5460" t="s">
        <v>11032</v>
      </c>
      <c r="C5460">
        <v>20</v>
      </c>
      <c r="D5460" t="s">
        <v>79</v>
      </c>
      <c r="E5460">
        <v>17</v>
      </c>
      <c r="F5460" t="s">
        <v>7160</v>
      </c>
      <c r="G5460">
        <v>1833</v>
      </c>
      <c r="H5460">
        <v>1</v>
      </c>
      <c r="I5460" t="s">
        <v>104</v>
      </c>
      <c r="J5460">
        <v>0</v>
      </c>
      <c r="K5460">
        <v>1</v>
      </c>
      <c r="L5460">
        <v>4</v>
      </c>
      <c r="M5460">
        <v>264</v>
      </c>
      <c r="N5460">
        <v>508</v>
      </c>
      <c r="O5460">
        <v>0</v>
      </c>
      <c r="P5460">
        <v>480</v>
      </c>
      <c r="Q5460">
        <v>26</v>
      </c>
      <c r="R5460">
        <v>45</v>
      </c>
      <c r="S5460">
        <v>6</v>
      </c>
      <c r="T5460">
        <v>4</v>
      </c>
      <c r="U5460">
        <v>14</v>
      </c>
      <c r="V5460">
        <v>6</v>
      </c>
      <c r="W5460">
        <v>5</v>
      </c>
      <c r="X5460">
        <v>1</v>
      </c>
      <c r="Y5460">
        <v>325</v>
      </c>
      <c r="Z5460">
        <v>9</v>
      </c>
      <c r="AA5460">
        <v>2</v>
      </c>
      <c r="AB5460">
        <v>10</v>
      </c>
      <c r="AT5460">
        <v>0</v>
      </c>
      <c r="AU5460">
        <v>27</v>
      </c>
      <c r="AV5460">
        <v>480</v>
      </c>
      <c r="AW5460">
        <v>480</v>
      </c>
      <c r="AX5460">
        <v>0</v>
      </c>
      <c r="BA5460">
        <v>1</v>
      </c>
      <c r="BC5460" t="s">
        <v>11033</v>
      </c>
      <c r="BD5460" s="4">
        <v>43283.081250000003</v>
      </c>
      <c r="BE5460" s="4">
        <v>43283.087905092594</v>
      </c>
      <c r="BF5460" s="4">
        <v>43283.087905092594</v>
      </c>
      <c r="BG5460" t="s">
        <v>83</v>
      </c>
      <c r="BH5460" t="s">
        <v>84</v>
      </c>
      <c r="BI5460" t="s">
        <v>85</v>
      </c>
    </row>
    <row r="5461" spans="1:61" x14ac:dyDescent="0.3">
      <c r="A5461" t="str">
        <f>"202352S0100"</f>
        <v>202352S0100</v>
      </c>
      <c r="B5461" t="s">
        <v>11034</v>
      </c>
      <c r="C5461">
        <v>20</v>
      </c>
      <c r="D5461" t="s">
        <v>79</v>
      </c>
      <c r="E5461">
        <v>17</v>
      </c>
      <c r="F5461" t="s">
        <v>7160</v>
      </c>
      <c r="G5461">
        <v>2352</v>
      </c>
      <c r="H5461">
        <v>1</v>
      </c>
      <c r="I5461" t="s">
        <v>104</v>
      </c>
      <c r="J5461">
        <v>0</v>
      </c>
      <c r="K5461">
        <v>1</v>
      </c>
      <c r="L5461">
        <v>4</v>
      </c>
      <c r="M5461">
        <v>153</v>
      </c>
      <c r="N5461">
        <v>619</v>
      </c>
      <c r="O5461">
        <v>0</v>
      </c>
      <c r="P5461">
        <v>619</v>
      </c>
      <c r="Q5461">
        <v>27</v>
      </c>
      <c r="R5461">
        <v>54</v>
      </c>
      <c r="S5461">
        <v>12</v>
      </c>
      <c r="T5461">
        <v>11</v>
      </c>
      <c r="U5461">
        <v>40</v>
      </c>
      <c r="V5461">
        <v>7</v>
      </c>
      <c r="W5461">
        <v>3</v>
      </c>
      <c r="X5461">
        <v>5</v>
      </c>
      <c r="Y5461">
        <v>389</v>
      </c>
      <c r="Z5461">
        <v>8</v>
      </c>
      <c r="AA5461">
        <v>5</v>
      </c>
      <c r="AB5461">
        <v>20</v>
      </c>
      <c r="AT5461">
        <v>1</v>
      </c>
      <c r="AU5461">
        <v>19</v>
      </c>
      <c r="AV5461">
        <v>619</v>
      </c>
      <c r="AW5461">
        <v>601</v>
      </c>
      <c r="AX5461">
        <v>0</v>
      </c>
      <c r="BA5461">
        <v>1</v>
      </c>
      <c r="BC5461" t="s">
        <v>11035</v>
      </c>
      <c r="BD5461" s="4">
        <v>43283.105555555558</v>
      </c>
      <c r="BE5461" s="4">
        <v>43283.112812500003</v>
      </c>
      <c r="BF5461" s="4">
        <v>43283.112812500003</v>
      </c>
      <c r="BG5461" t="s">
        <v>83</v>
      </c>
      <c r="BH5461" t="s">
        <v>84</v>
      </c>
      <c r="BI5461" t="s">
        <v>85</v>
      </c>
    </row>
    <row r="5462" spans="1:61" x14ac:dyDescent="0.3">
      <c r="A5462" t="str">
        <f>"202207S0100"</f>
        <v>202207S0100</v>
      </c>
      <c r="B5462" t="s">
        <v>11036</v>
      </c>
      <c r="C5462">
        <v>20</v>
      </c>
      <c r="D5462" t="s">
        <v>79</v>
      </c>
      <c r="E5462">
        <v>18</v>
      </c>
      <c r="F5462" t="s">
        <v>7655</v>
      </c>
      <c r="G5462">
        <v>2207</v>
      </c>
      <c r="H5462">
        <v>1</v>
      </c>
      <c r="I5462" t="s">
        <v>104</v>
      </c>
      <c r="J5462">
        <v>0</v>
      </c>
      <c r="K5462">
        <v>2</v>
      </c>
      <c r="L5462">
        <v>4</v>
      </c>
      <c r="AX5462">
        <v>0</v>
      </c>
      <c r="AZ5462" t="s">
        <v>156</v>
      </c>
      <c r="BA5462">
        <v>0</v>
      </c>
      <c r="BC5462" t="s">
        <v>11037</v>
      </c>
      <c r="BD5462" s="4">
        <v>43283.22152777778</v>
      </c>
      <c r="BE5462" s="4">
        <v>43283.722812499997</v>
      </c>
      <c r="BF5462" s="4">
        <v>43283.722812499997</v>
      </c>
      <c r="BG5462" t="s">
        <v>83</v>
      </c>
      <c r="BH5462" t="s">
        <v>84</v>
      </c>
      <c r="BI5462" t="s">
        <v>85</v>
      </c>
    </row>
    <row r="5463" spans="1:61" x14ac:dyDescent="0.3">
      <c r="A5463" t="str">
        <f>"202207S0200"</f>
        <v>202207S0200</v>
      </c>
      <c r="B5463" t="s">
        <v>11038</v>
      </c>
      <c r="C5463">
        <v>20</v>
      </c>
      <c r="D5463" t="s">
        <v>79</v>
      </c>
      <c r="E5463">
        <v>18</v>
      </c>
      <c r="F5463" t="s">
        <v>7655</v>
      </c>
      <c r="G5463">
        <v>2207</v>
      </c>
      <c r="H5463">
        <v>2</v>
      </c>
      <c r="I5463" t="s">
        <v>104</v>
      </c>
      <c r="J5463">
        <v>0</v>
      </c>
      <c r="K5463">
        <v>2</v>
      </c>
      <c r="L5463">
        <v>4</v>
      </c>
      <c r="AX5463">
        <v>0</v>
      </c>
      <c r="AZ5463" t="s">
        <v>156</v>
      </c>
      <c r="BA5463">
        <v>0</v>
      </c>
      <c r="BC5463" t="s">
        <v>11039</v>
      </c>
      <c r="BD5463" s="4">
        <v>43283.220833333333</v>
      </c>
      <c r="BE5463" s="4">
        <v>43283.722615740742</v>
      </c>
      <c r="BF5463" s="4">
        <v>43283.722615740742</v>
      </c>
      <c r="BG5463" t="s">
        <v>83</v>
      </c>
      <c r="BH5463" t="s">
        <v>84</v>
      </c>
      <c r="BI5463" t="s">
        <v>85</v>
      </c>
    </row>
    <row r="5464" spans="1:61" x14ac:dyDescent="0.3">
      <c r="A5464" t="str">
        <f>"200267S0100"</f>
        <v>200267S0100</v>
      </c>
      <c r="B5464" t="s">
        <v>11040</v>
      </c>
      <c r="C5464">
        <v>20</v>
      </c>
      <c r="D5464" t="s">
        <v>79</v>
      </c>
      <c r="E5464">
        <v>19</v>
      </c>
      <c r="F5464" t="s">
        <v>8046</v>
      </c>
      <c r="G5464">
        <v>267</v>
      </c>
      <c r="H5464">
        <v>1</v>
      </c>
      <c r="I5464" t="s">
        <v>104</v>
      </c>
      <c r="J5464">
        <v>0</v>
      </c>
      <c r="K5464">
        <v>1</v>
      </c>
      <c r="L5464">
        <v>4</v>
      </c>
      <c r="AX5464">
        <v>0</v>
      </c>
      <c r="AZ5464" t="s">
        <v>156</v>
      </c>
      <c r="BA5464">
        <v>0</v>
      </c>
      <c r="BC5464" t="s">
        <v>11041</v>
      </c>
      <c r="BD5464" s="4">
        <v>43283.779166666667</v>
      </c>
      <c r="BE5464" s="4">
        <v>43283.787002314813</v>
      </c>
      <c r="BF5464" s="4">
        <v>43283.787002314813</v>
      </c>
      <c r="BG5464" t="s">
        <v>83</v>
      </c>
      <c r="BH5464" t="s">
        <v>84</v>
      </c>
      <c r="BI5464" t="s">
        <v>85</v>
      </c>
    </row>
    <row r="5465" spans="1:61" x14ac:dyDescent="0.3">
      <c r="A5465" t="str">
        <f>"200270S0100"</f>
        <v>200270S0100</v>
      </c>
      <c r="B5465" t="s">
        <v>11042</v>
      </c>
      <c r="C5465">
        <v>20</v>
      </c>
      <c r="D5465" t="s">
        <v>79</v>
      </c>
      <c r="E5465">
        <v>19</v>
      </c>
      <c r="F5465" t="s">
        <v>8046</v>
      </c>
      <c r="G5465">
        <v>270</v>
      </c>
      <c r="H5465">
        <v>1</v>
      </c>
      <c r="I5465" t="s">
        <v>104</v>
      </c>
      <c r="J5465">
        <v>0</v>
      </c>
      <c r="K5465">
        <v>1</v>
      </c>
      <c r="L5465">
        <v>4</v>
      </c>
      <c r="M5465">
        <v>520</v>
      </c>
      <c r="N5465">
        <v>207</v>
      </c>
      <c r="O5465">
        <v>0</v>
      </c>
      <c r="P5465">
        <v>207</v>
      </c>
      <c r="Q5465">
        <v>7</v>
      </c>
      <c r="R5465">
        <v>41</v>
      </c>
      <c r="S5465">
        <v>7</v>
      </c>
      <c r="T5465">
        <v>3</v>
      </c>
      <c r="U5465">
        <v>11</v>
      </c>
      <c r="V5465">
        <v>2</v>
      </c>
      <c r="W5465">
        <v>1</v>
      </c>
      <c r="X5465">
        <v>2</v>
      </c>
      <c r="Y5465">
        <v>119</v>
      </c>
      <c r="Z5465">
        <v>5</v>
      </c>
      <c r="AA5465" t="s">
        <v>100</v>
      </c>
      <c r="AB5465" t="s">
        <v>100</v>
      </c>
      <c r="AT5465" t="s">
        <v>100</v>
      </c>
      <c r="AU5465" t="s">
        <v>100</v>
      </c>
      <c r="AV5465">
        <v>207</v>
      </c>
      <c r="AW5465">
        <v>198</v>
      </c>
      <c r="AX5465">
        <v>0</v>
      </c>
      <c r="AZ5465" t="s">
        <v>101</v>
      </c>
      <c r="BA5465">
        <v>1</v>
      </c>
      <c r="BC5465" t="s">
        <v>11043</v>
      </c>
      <c r="BD5465" s="4">
        <v>43283.372916666667</v>
      </c>
      <c r="BE5465" s="4">
        <v>43283.383032407408</v>
      </c>
      <c r="BF5465" s="4">
        <v>43283.383032407408</v>
      </c>
      <c r="BG5465" t="s">
        <v>83</v>
      </c>
      <c r="BH5465" t="s">
        <v>84</v>
      </c>
      <c r="BI5465" t="s">
        <v>85</v>
      </c>
    </row>
    <row r="5466" spans="1:61" x14ac:dyDescent="0.3">
      <c r="A5466" t="str">
        <f>"200680S0100"</f>
        <v>200680S0100</v>
      </c>
      <c r="B5466" t="s">
        <v>11044</v>
      </c>
      <c r="C5466">
        <v>20</v>
      </c>
      <c r="D5466" t="s">
        <v>79</v>
      </c>
      <c r="E5466">
        <v>19</v>
      </c>
      <c r="F5466" t="s">
        <v>8046</v>
      </c>
      <c r="G5466">
        <v>680</v>
      </c>
      <c r="H5466">
        <v>1</v>
      </c>
      <c r="I5466" t="s">
        <v>104</v>
      </c>
      <c r="J5466">
        <v>0</v>
      </c>
      <c r="K5466">
        <v>1</v>
      </c>
      <c r="L5466">
        <v>4</v>
      </c>
      <c r="M5466">
        <v>498</v>
      </c>
      <c r="N5466">
        <v>278</v>
      </c>
      <c r="O5466">
        <v>0</v>
      </c>
      <c r="P5466">
        <v>278</v>
      </c>
      <c r="Q5466">
        <v>9</v>
      </c>
      <c r="R5466">
        <v>16</v>
      </c>
      <c r="S5466">
        <v>3</v>
      </c>
      <c r="T5466">
        <v>6</v>
      </c>
      <c r="U5466">
        <v>20</v>
      </c>
      <c r="V5466">
        <v>1</v>
      </c>
      <c r="W5466">
        <v>0</v>
      </c>
      <c r="X5466">
        <v>3</v>
      </c>
      <c r="Y5466">
        <v>198</v>
      </c>
      <c r="Z5466">
        <v>3</v>
      </c>
      <c r="AA5466">
        <v>0</v>
      </c>
      <c r="AB5466">
        <v>3</v>
      </c>
      <c r="AT5466" t="s">
        <v>100</v>
      </c>
      <c r="AU5466">
        <v>9</v>
      </c>
      <c r="AV5466" t="s">
        <v>100</v>
      </c>
      <c r="AW5466">
        <v>271</v>
      </c>
      <c r="AX5466">
        <v>0</v>
      </c>
      <c r="AZ5466" t="s">
        <v>101</v>
      </c>
      <c r="BA5466">
        <v>1</v>
      </c>
      <c r="BC5466" t="s">
        <v>11045</v>
      </c>
      <c r="BD5466" s="4">
        <v>43283.390972222223</v>
      </c>
      <c r="BE5466" s="4">
        <v>43283.397349537037</v>
      </c>
      <c r="BF5466" s="4">
        <v>43283.397349537037</v>
      </c>
      <c r="BG5466" t="s">
        <v>83</v>
      </c>
      <c r="BH5466" t="s">
        <v>84</v>
      </c>
      <c r="BI5466" t="s">
        <v>85</v>
      </c>
    </row>
    <row r="5467" spans="1:61" x14ac:dyDescent="0.3">
      <c r="A5467" t="str">
        <f>"200696S0100"</f>
        <v>200696S0100</v>
      </c>
      <c r="B5467" t="s">
        <v>11046</v>
      </c>
      <c r="C5467">
        <v>20</v>
      </c>
      <c r="D5467" t="s">
        <v>79</v>
      </c>
      <c r="E5467">
        <v>19</v>
      </c>
      <c r="F5467" t="s">
        <v>8046</v>
      </c>
      <c r="G5467">
        <v>696</v>
      </c>
      <c r="H5467">
        <v>1</v>
      </c>
      <c r="I5467" t="s">
        <v>104</v>
      </c>
      <c r="J5467">
        <v>0</v>
      </c>
      <c r="K5467">
        <v>1</v>
      </c>
      <c r="L5467">
        <v>4</v>
      </c>
      <c r="AX5467">
        <v>0</v>
      </c>
      <c r="AZ5467" t="s">
        <v>156</v>
      </c>
      <c r="BA5467">
        <v>0</v>
      </c>
      <c r="BC5467" t="s">
        <v>11047</v>
      </c>
      <c r="BD5467" s="4">
        <v>43283.77847222222</v>
      </c>
      <c r="BE5467" s="4">
        <v>43283.786504629628</v>
      </c>
      <c r="BF5467" s="4">
        <v>43283.786504629628</v>
      </c>
      <c r="BG5467" t="s">
        <v>83</v>
      </c>
      <c r="BH5467" t="s">
        <v>84</v>
      </c>
      <c r="BI5467" t="s">
        <v>85</v>
      </c>
    </row>
    <row r="5468" spans="1:61" x14ac:dyDescent="0.3">
      <c r="A5468" t="str">
        <f>"200289S0100"</f>
        <v>200289S0100</v>
      </c>
      <c r="B5468" t="s">
        <v>11048</v>
      </c>
      <c r="C5468">
        <v>20</v>
      </c>
      <c r="D5468" t="s">
        <v>79</v>
      </c>
      <c r="E5468">
        <v>20</v>
      </c>
      <c r="F5468" t="s">
        <v>8477</v>
      </c>
      <c r="G5468">
        <v>289</v>
      </c>
      <c r="H5468">
        <v>1</v>
      </c>
      <c r="I5468" t="s">
        <v>104</v>
      </c>
      <c r="J5468">
        <v>0</v>
      </c>
      <c r="K5468">
        <v>1</v>
      </c>
      <c r="L5468">
        <v>4</v>
      </c>
      <c r="M5468">
        <v>446</v>
      </c>
      <c r="N5468">
        <v>287</v>
      </c>
      <c r="O5468">
        <v>0</v>
      </c>
      <c r="P5468">
        <v>287</v>
      </c>
      <c r="Q5468">
        <v>7</v>
      </c>
      <c r="R5468">
        <v>60</v>
      </c>
      <c r="S5468">
        <v>19</v>
      </c>
      <c r="T5468">
        <v>9</v>
      </c>
      <c r="U5468">
        <v>9</v>
      </c>
      <c r="V5468">
        <v>11</v>
      </c>
      <c r="W5468">
        <v>3</v>
      </c>
      <c r="X5468">
        <v>7</v>
      </c>
      <c r="Y5468">
        <v>126</v>
      </c>
      <c r="Z5468">
        <v>2</v>
      </c>
      <c r="AA5468">
        <v>5</v>
      </c>
      <c r="AB5468">
        <v>17</v>
      </c>
      <c r="AT5468">
        <v>0</v>
      </c>
      <c r="AU5468">
        <v>12</v>
      </c>
      <c r="AV5468">
        <v>287</v>
      </c>
      <c r="AW5468">
        <v>287</v>
      </c>
      <c r="AX5468">
        <v>0</v>
      </c>
      <c r="BA5468">
        <v>1</v>
      </c>
      <c r="BC5468" t="s">
        <v>11049</v>
      </c>
      <c r="BD5468" s="4">
        <v>43283.121527777781</v>
      </c>
      <c r="BE5468" s="4">
        <v>43283.161863425928</v>
      </c>
      <c r="BF5468" s="4">
        <v>43283.161863425928</v>
      </c>
      <c r="BG5468" t="s">
        <v>83</v>
      </c>
      <c r="BH5468" t="s">
        <v>84</v>
      </c>
      <c r="BI5468" t="s">
        <v>85</v>
      </c>
    </row>
    <row r="5469" spans="1:61" x14ac:dyDescent="0.3">
      <c r="A5469" t="str">
        <f>"200289S0200"</f>
        <v>200289S0200</v>
      </c>
      <c r="B5469" t="s">
        <v>11050</v>
      </c>
      <c r="C5469">
        <v>20</v>
      </c>
      <c r="D5469" t="s">
        <v>79</v>
      </c>
      <c r="E5469">
        <v>20</v>
      </c>
      <c r="F5469" t="s">
        <v>8477</v>
      </c>
      <c r="G5469">
        <v>289</v>
      </c>
      <c r="H5469">
        <v>2</v>
      </c>
      <c r="I5469" t="s">
        <v>104</v>
      </c>
      <c r="J5469">
        <v>0</v>
      </c>
      <c r="K5469">
        <v>1</v>
      </c>
      <c r="L5469">
        <v>4</v>
      </c>
      <c r="M5469">
        <v>420</v>
      </c>
      <c r="N5469">
        <v>334</v>
      </c>
      <c r="O5469">
        <v>0</v>
      </c>
      <c r="P5469">
        <v>334</v>
      </c>
      <c r="Q5469">
        <v>8</v>
      </c>
      <c r="R5469">
        <v>48</v>
      </c>
      <c r="S5469">
        <v>19</v>
      </c>
      <c r="T5469">
        <v>9</v>
      </c>
      <c r="U5469">
        <v>6</v>
      </c>
      <c r="V5469">
        <v>9</v>
      </c>
      <c r="W5469">
        <v>5</v>
      </c>
      <c r="X5469">
        <v>4</v>
      </c>
      <c r="Y5469">
        <v>200</v>
      </c>
      <c r="Z5469">
        <v>4</v>
      </c>
      <c r="AA5469">
        <v>13</v>
      </c>
      <c r="AB5469">
        <v>8</v>
      </c>
      <c r="AT5469">
        <v>0</v>
      </c>
      <c r="AU5469">
        <v>17</v>
      </c>
      <c r="AV5469">
        <v>350</v>
      </c>
      <c r="AW5469">
        <v>350</v>
      </c>
      <c r="AX5469">
        <v>0</v>
      </c>
      <c r="BA5469">
        <v>1</v>
      </c>
      <c r="BC5469" t="s">
        <v>11051</v>
      </c>
      <c r="BD5469" s="4">
        <v>43283.123611111114</v>
      </c>
      <c r="BE5469" s="4">
        <v>43283.160173611112</v>
      </c>
      <c r="BF5469" s="4">
        <v>43283.160173611112</v>
      </c>
      <c r="BG5469" t="s">
        <v>83</v>
      </c>
      <c r="BH5469" t="s">
        <v>84</v>
      </c>
      <c r="BI5469" t="s">
        <v>85</v>
      </c>
    </row>
    <row r="5470" spans="1:61" x14ac:dyDescent="0.3">
      <c r="A5470" t="str">
        <f>"200290S0100"</f>
        <v>200290S0100</v>
      </c>
      <c r="B5470" t="s">
        <v>11052</v>
      </c>
      <c r="C5470">
        <v>20</v>
      </c>
      <c r="D5470" t="s">
        <v>79</v>
      </c>
      <c r="E5470">
        <v>20</v>
      </c>
      <c r="F5470" t="s">
        <v>8477</v>
      </c>
      <c r="G5470">
        <v>290</v>
      </c>
      <c r="H5470">
        <v>1</v>
      </c>
      <c r="I5470" t="s">
        <v>104</v>
      </c>
      <c r="J5470">
        <v>0</v>
      </c>
      <c r="K5470">
        <v>1</v>
      </c>
      <c r="L5470">
        <v>4</v>
      </c>
      <c r="AX5470">
        <v>0</v>
      </c>
      <c r="AZ5470" t="s">
        <v>156</v>
      </c>
      <c r="BA5470">
        <v>0</v>
      </c>
      <c r="BC5470" t="s">
        <v>11053</v>
      </c>
      <c r="BD5470" s="4">
        <v>43283.555555555555</v>
      </c>
      <c r="BE5470" s="4">
        <v>43283.562384259261</v>
      </c>
      <c r="BF5470" s="4">
        <v>43283.562384259261</v>
      </c>
      <c r="BG5470" t="s">
        <v>83</v>
      </c>
      <c r="BH5470" t="s">
        <v>84</v>
      </c>
      <c r="BI5470" t="s">
        <v>85</v>
      </c>
    </row>
    <row r="5471" spans="1:61" x14ac:dyDescent="0.3">
      <c r="A5471" t="str">
        <f>"200291S0100"</f>
        <v>200291S0100</v>
      </c>
      <c r="B5471" t="s">
        <v>11054</v>
      </c>
      <c r="C5471">
        <v>20</v>
      </c>
      <c r="D5471" t="s">
        <v>79</v>
      </c>
      <c r="E5471">
        <v>20</v>
      </c>
      <c r="F5471" t="s">
        <v>8477</v>
      </c>
      <c r="G5471">
        <v>291</v>
      </c>
      <c r="H5471">
        <v>1</v>
      </c>
      <c r="I5471" t="s">
        <v>104</v>
      </c>
      <c r="J5471">
        <v>0</v>
      </c>
      <c r="K5471">
        <v>1</v>
      </c>
      <c r="L5471">
        <v>4</v>
      </c>
      <c r="AX5471">
        <v>0</v>
      </c>
      <c r="AZ5471" t="s">
        <v>156</v>
      </c>
      <c r="BA5471">
        <v>0</v>
      </c>
      <c r="BC5471" t="s">
        <v>11055</v>
      </c>
      <c r="BD5471" s="4">
        <v>43283.555555555555</v>
      </c>
      <c r="BE5471" s="4">
        <v>43283.563773148147</v>
      </c>
      <c r="BF5471" s="4">
        <v>43283.563773148147</v>
      </c>
      <c r="BG5471" t="s">
        <v>83</v>
      </c>
      <c r="BH5471" t="s">
        <v>84</v>
      </c>
      <c r="BI5471" t="s">
        <v>85</v>
      </c>
    </row>
    <row r="5472" spans="1:61" x14ac:dyDescent="0.3">
      <c r="A5472" t="str">
        <f>"200329S0100"</f>
        <v>200329S0100</v>
      </c>
      <c r="B5472" t="s">
        <v>11056</v>
      </c>
      <c r="C5472">
        <v>20</v>
      </c>
      <c r="D5472" t="s">
        <v>79</v>
      </c>
      <c r="E5472">
        <v>20</v>
      </c>
      <c r="F5472" t="s">
        <v>8477</v>
      </c>
      <c r="G5472">
        <v>329</v>
      </c>
      <c r="H5472">
        <v>1</v>
      </c>
      <c r="I5472" t="s">
        <v>104</v>
      </c>
      <c r="J5472">
        <v>0</v>
      </c>
      <c r="K5472">
        <v>1</v>
      </c>
      <c r="L5472">
        <v>4</v>
      </c>
      <c r="AX5472">
        <v>0</v>
      </c>
      <c r="AZ5472" t="s">
        <v>156</v>
      </c>
      <c r="BA5472">
        <v>0</v>
      </c>
      <c r="BC5472" t="s">
        <v>11057</v>
      </c>
      <c r="BD5472" s="4">
        <v>43283.586805555555</v>
      </c>
      <c r="BE5472" s="4">
        <v>43283.589861111112</v>
      </c>
      <c r="BF5472" s="4">
        <v>43283.589861111112</v>
      </c>
      <c r="BG5472" t="s">
        <v>83</v>
      </c>
      <c r="BH5472" t="s">
        <v>84</v>
      </c>
      <c r="BI5472" t="s">
        <v>85</v>
      </c>
    </row>
    <row r="5473" spans="1:61" x14ac:dyDescent="0.3">
      <c r="A5473" t="str">
        <f>"200329S0200"</f>
        <v>200329S0200</v>
      </c>
      <c r="B5473" t="s">
        <v>11058</v>
      </c>
      <c r="C5473">
        <v>20</v>
      </c>
      <c r="D5473" t="s">
        <v>79</v>
      </c>
      <c r="E5473">
        <v>20</v>
      </c>
      <c r="F5473" t="s">
        <v>8477</v>
      </c>
      <c r="G5473">
        <v>329</v>
      </c>
      <c r="H5473">
        <v>2</v>
      </c>
      <c r="I5473" t="s">
        <v>104</v>
      </c>
      <c r="J5473">
        <v>0</v>
      </c>
      <c r="K5473">
        <v>1</v>
      </c>
      <c r="L5473">
        <v>4</v>
      </c>
      <c r="AX5473">
        <v>0</v>
      </c>
      <c r="AZ5473" t="s">
        <v>156</v>
      </c>
      <c r="BA5473">
        <v>0</v>
      </c>
      <c r="BC5473" t="s">
        <v>11059</v>
      </c>
      <c r="BD5473" s="4">
        <v>43283.580555555556</v>
      </c>
      <c r="BE5473" s="4">
        <v>43283.583460648151</v>
      </c>
      <c r="BF5473" s="4">
        <v>43283.583460648151</v>
      </c>
      <c r="BG5473" t="s">
        <v>83</v>
      </c>
      <c r="BH5473" t="s">
        <v>84</v>
      </c>
      <c r="BI5473" t="s">
        <v>85</v>
      </c>
    </row>
    <row r="5474" spans="1:61" x14ac:dyDescent="0.3">
      <c r="A5474" t="str">
        <f>"200329S0300"</f>
        <v>200329S0300</v>
      </c>
      <c r="B5474" t="s">
        <v>11060</v>
      </c>
      <c r="C5474">
        <v>20</v>
      </c>
      <c r="D5474" t="s">
        <v>79</v>
      </c>
      <c r="E5474">
        <v>20</v>
      </c>
      <c r="F5474" t="s">
        <v>8477</v>
      </c>
      <c r="G5474">
        <v>329</v>
      </c>
      <c r="H5474">
        <v>3</v>
      </c>
      <c r="I5474" t="s">
        <v>104</v>
      </c>
      <c r="J5474">
        <v>0</v>
      </c>
      <c r="K5474">
        <v>1</v>
      </c>
      <c r="L5474">
        <v>4</v>
      </c>
      <c r="AX5474">
        <v>0</v>
      </c>
      <c r="AZ5474" t="s">
        <v>156</v>
      </c>
      <c r="BA5474">
        <v>0</v>
      </c>
      <c r="BC5474" t="s">
        <v>11061</v>
      </c>
      <c r="BD5474" s="4">
        <v>43283.580555555556</v>
      </c>
      <c r="BE5474" s="4">
        <v>43283.58326388889</v>
      </c>
      <c r="BF5474" s="4">
        <v>43283.58326388889</v>
      </c>
      <c r="BG5474" t="s">
        <v>83</v>
      </c>
      <c r="BH5474" t="s">
        <v>84</v>
      </c>
      <c r="BI5474" t="s">
        <v>85</v>
      </c>
    </row>
    <row r="5475" spans="1:61" x14ac:dyDescent="0.3">
      <c r="A5475" t="str">
        <f>"200160S0100"</f>
        <v>200160S0100</v>
      </c>
      <c r="B5475" t="s">
        <v>11062</v>
      </c>
      <c r="C5475">
        <v>20</v>
      </c>
      <c r="D5475" t="s">
        <v>79</v>
      </c>
      <c r="E5475">
        <v>21</v>
      </c>
      <c r="F5475" t="s">
        <v>8898</v>
      </c>
      <c r="G5475">
        <v>160</v>
      </c>
      <c r="H5475">
        <v>1</v>
      </c>
      <c r="I5475" t="s">
        <v>104</v>
      </c>
      <c r="J5475">
        <v>0</v>
      </c>
      <c r="K5475">
        <v>2</v>
      </c>
      <c r="L5475">
        <v>4</v>
      </c>
      <c r="AX5475">
        <v>0</v>
      </c>
      <c r="AZ5475" t="s">
        <v>932</v>
      </c>
      <c r="BA5475">
        <v>0</v>
      </c>
      <c r="BC5475" t="s">
        <v>11063</v>
      </c>
      <c r="BD5475" s="4">
        <v>43283.754861111112</v>
      </c>
      <c r="BE5475" s="4">
        <v>43283.755983796298</v>
      </c>
      <c r="BF5475" s="4">
        <v>43283.755983796298</v>
      </c>
      <c r="BG5475" t="s">
        <v>83</v>
      </c>
      <c r="BH5475" t="s">
        <v>84</v>
      </c>
      <c r="BI5475" t="s">
        <v>85</v>
      </c>
    </row>
    <row r="5476" spans="1:61" x14ac:dyDescent="0.3">
      <c r="A5476" t="str">
        <f>"202292S0100"</f>
        <v>202292S0100</v>
      </c>
      <c r="B5476" t="s">
        <v>11064</v>
      </c>
      <c r="C5476">
        <v>20</v>
      </c>
      <c r="D5476" t="s">
        <v>79</v>
      </c>
      <c r="E5476">
        <v>21</v>
      </c>
      <c r="F5476" t="s">
        <v>8898</v>
      </c>
      <c r="G5476">
        <v>2292</v>
      </c>
      <c r="H5476">
        <v>1</v>
      </c>
      <c r="I5476" t="s">
        <v>104</v>
      </c>
      <c r="J5476">
        <v>0</v>
      </c>
      <c r="K5476">
        <v>2</v>
      </c>
      <c r="L5476">
        <v>4</v>
      </c>
      <c r="AX5476">
        <v>0</v>
      </c>
      <c r="AZ5476" t="s">
        <v>932</v>
      </c>
      <c r="BA5476">
        <v>0</v>
      </c>
      <c r="BC5476" t="s">
        <v>11065</v>
      </c>
      <c r="BD5476" s="4">
        <v>43283.754861111112</v>
      </c>
      <c r="BE5476" s="4">
        <v>43283.756435185183</v>
      </c>
      <c r="BF5476" s="4">
        <v>43283.756435185183</v>
      </c>
      <c r="BG5476" t="s">
        <v>83</v>
      </c>
      <c r="BH5476" t="s">
        <v>84</v>
      </c>
      <c r="BI5476" t="s">
        <v>85</v>
      </c>
    </row>
    <row r="5477" spans="1:61" x14ac:dyDescent="0.3">
      <c r="A5477" t="str">
        <f>"202088S0100"</f>
        <v>202088S0100</v>
      </c>
      <c r="B5477" t="s">
        <v>11066</v>
      </c>
      <c r="C5477">
        <v>20</v>
      </c>
      <c r="D5477" t="s">
        <v>79</v>
      </c>
      <c r="E5477">
        <v>22</v>
      </c>
      <c r="F5477" t="s">
        <v>9267</v>
      </c>
      <c r="G5477">
        <v>2088</v>
      </c>
      <c r="H5477">
        <v>1</v>
      </c>
      <c r="I5477" t="s">
        <v>104</v>
      </c>
      <c r="J5477">
        <v>0</v>
      </c>
      <c r="K5477">
        <v>1</v>
      </c>
      <c r="L5477">
        <v>4</v>
      </c>
      <c r="M5477">
        <v>463</v>
      </c>
      <c r="N5477">
        <v>309</v>
      </c>
      <c r="O5477">
        <v>0</v>
      </c>
      <c r="P5477">
        <v>309</v>
      </c>
      <c r="Q5477">
        <v>8</v>
      </c>
      <c r="R5477">
        <v>38</v>
      </c>
      <c r="S5477">
        <v>16</v>
      </c>
      <c r="T5477">
        <v>4</v>
      </c>
      <c r="U5477">
        <v>7</v>
      </c>
      <c r="V5477">
        <v>5</v>
      </c>
      <c r="W5477">
        <v>0</v>
      </c>
      <c r="X5477">
        <v>4</v>
      </c>
      <c r="Y5477">
        <v>218</v>
      </c>
      <c r="Z5477">
        <v>3</v>
      </c>
      <c r="AA5477">
        <v>0</v>
      </c>
      <c r="AT5477">
        <v>0</v>
      </c>
      <c r="AU5477">
        <v>6</v>
      </c>
      <c r="AV5477">
        <v>309</v>
      </c>
      <c r="AW5477">
        <v>309</v>
      </c>
      <c r="AX5477">
        <v>0</v>
      </c>
      <c r="BA5477">
        <v>1</v>
      </c>
      <c r="BC5477" t="s">
        <v>11067</v>
      </c>
      <c r="BD5477" s="4">
        <v>43283.138888888891</v>
      </c>
      <c r="BE5477" s="4">
        <v>43283.152569444443</v>
      </c>
      <c r="BF5477" s="4">
        <v>43283.152569444443</v>
      </c>
      <c r="BG5477" t="s">
        <v>83</v>
      </c>
      <c r="BH5477" t="s">
        <v>84</v>
      </c>
      <c r="BI5477" t="s">
        <v>85</v>
      </c>
    </row>
    <row r="5478" spans="1:61" x14ac:dyDescent="0.3">
      <c r="A5478" t="str">
        <f>"201506S0100"</f>
        <v>201506S0100</v>
      </c>
      <c r="B5478" t="s">
        <v>11068</v>
      </c>
      <c r="C5478">
        <v>20</v>
      </c>
      <c r="D5478" t="s">
        <v>79</v>
      </c>
      <c r="E5478">
        <v>23</v>
      </c>
      <c r="F5478" t="s">
        <v>9720</v>
      </c>
      <c r="G5478">
        <v>1506</v>
      </c>
      <c r="H5478">
        <v>1</v>
      </c>
      <c r="I5478" t="s">
        <v>104</v>
      </c>
      <c r="J5478">
        <v>0</v>
      </c>
      <c r="K5478">
        <v>1</v>
      </c>
      <c r="L5478">
        <v>4</v>
      </c>
      <c r="M5478">
        <v>370</v>
      </c>
      <c r="N5478">
        <v>353</v>
      </c>
      <c r="O5478">
        <v>0</v>
      </c>
      <c r="P5478">
        <v>353</v>
      </c>
      <c r="Q5478">
        <v>16</v>
      </c>
      <c r="R5478">
        <v>29</v>
      </c>
      <c r="S5478">
        <v>6</v>
      </c>
      <c r="T5478">
        <v>6</v>
      </c>
      <c r="U5478">
        <v>8</v>
      </c>
      <c r="V5478">
        <v>5</v>
      </c>
      <c r="W5478">
        <v>1</v>
      </c>
      <c r="X5478">
        <v>1</v>
      </c>
      <c r="Y5478">
        <v>261</v>
      </c>
      <c r="Z5478">
        <v>9</v>
      </c>
      <c r="AA5478">
        <v>0</v>
      </c>
      <c r="AB5478">
        <v>1</v>
      </c>
      <c r="AT5478">
        <v>0</v>
      </c>
      <c r="AU5478">
        <v>10</v>
      </c>
      <c r="AV5478">
        <v>353</v>
      </c>
      <c r="AW5478">
        <v>353</v>
      </c>
      <c r="AX5478">
        <v>0</v>
      </c>
      <c r="BA5478">
        <v>1</v>
      </c>
      <c r="BC5478" t="s">
        <v>11069</v>
      </c>
      <c r="BD5478" s="4">
        <v>43283.28466435185</v>
      </c>
      <c r="BE5478" s="4">
        <v>43283.311099537037</v>
      </c>
      <c r="BF5478" s="4">
        <v>43283.311099537037</v>
      </c>
      <c r="BG5478" t="s">
        <v>83</v>
      </c>
      <c r="BH5478" t="s">
        <v>84</v>
      </c>
      <c r="BI5478" t="s">
        <v>85</v>
      </c>
    </row>
    <row r="5479" spans="1:61" x14ac:dyDescent="0.3">
      <c r="A5479" t="str">
        <f>"201658S0100"</f>
        <v>201658S0100</v>
      </c>
      <c r="B5479" t="s">
        <v>11070</v>
      </c>
      <c r="C5479">
        <v>20</v>
      </c>
      <c r="D5479" t="s">
        <v>79</v>
      </c>
      <c r="E5479">
        <v>23</v>
      </c>
      <c r="F5479" t="s">
        <v>9720</v>
      </c>
      <c r="G5479">
        <v>1658</v>
      </c>
      <c r="H5479">
        <v>1</v>
      </c>
      <c r="I5479" t="s">
        <v>104</v>
      </c>
      <c r="J5479">
        <v>0</v>
      </c>
      <c r="K5479">
        <v>1</v>
      </c>
      <c r="L5479">
        <v>4</v>
      </c>
      <c r="AX5479">
        <v>0</v>
      </c>
      <c r="AZ5479" t="s">
        <v>156</v>
      </c>
      <c r="BA5479">
        <v>0</v>
      </c>
      <c r="BC5479" t="s">
        <v>11071</v>
      </c>
      <c r="BD5479" s="4">
        <v>43283.815347222226</v>
      </c>
      <c r="BE5479" s="4">
        <v>43283.81659722222</v>
      </c>
      <c r="BF5479" s="4">
        <v>43283.81659722222</v>
      </c>
      <c r="BG5479" t="s">
        <v>83</v>
      </c>
      <c r="BH5479" t="s">
        <v>84</v>
      </c>
      <c r="BI5479" t="s">
        <v>85</v>
      </c>
    </row>
    <row r="5480" spans="1:61" x14ac:dyDescent="0.3">
      <c r="A5480" t="str">
        <f>"200432S0100"</f>
        <v>200432S0100</v>
      </c>
      <c r="B5480" t="s">
        <v>11072</v>
      </c>
      <c r="C5480">
        <v>20</v>
      </c>
      <c r="D5480" t="s">
        <v>79</v>
      </c>
      <c r="E5480">
        <v>24</v>
      </c>
      <c r="F5480" t="s">
        <v>10123</v>
      </c>
      <c r="G5480">
        <v>432</v>
      </c>
      <c r="H5480">
        <v>1</v>
      </c>
      <c r="I5480" t="s">
        <v>104</v>
      </c>
      <c r="J5480">
        <v>0</v>
      </c>
      <c r="K5480">
        <v>2</v>
      </c>
      <c r="L5480">
        <v>4</v>
      </c>
      <c r="M5480" t="s">
        <v>100</v>
      </c>
      <c r="N5480">
        <v>582</v>
      </c>
      <c r="O5480">
        <v>0</v>
      </c>
      <c r="P5480">
        <v>449</v>
      </c>
      <c r="Q5480">
        <v>42</v>
      </c>
      <c r="R5480">
        <v>26</v>
      </c>
      <c r="S5480">
        <v>13</v>
      </c>
      <c r="T5480">
        <v>9</v>
      </c>
      <c r="U5480">
        <v>20</v>
      </c>
      <c r="V5480">
        <v>4</v>
      </c>
      <c r="W5480">
        <v>16</v>
      </c>
      <c r="X5480">
        <v>5</v>
      </c>
      <c r="Y5480">
        <v>280</v>
      </c>
      <c r="Z5480">
        <v>11</v>
      </c>
      <c r="AB5480">
        <v>5</v>
      </c>
      <c r="AT5480" t="s">
        <v>100</v>
      </c>
      <c r="AU5480">
        <v>18</v>
      </c>
      <c r="AV5480">
        <v>449</v>
      </c>
      <c r="AW5480">
        <v>449</v>
      </c>
      <c r="AX5480">
        <v>0</v>
      </c>
      <c r="AZ5480" t="s">
        <v>101</v>
      </c>
      <c r="BA5480">
        <v>1</v>
      </c>
      <c r="BC5480" t="s">
        <v>11073</v>
      </c>
      <c r="BD5480" s="4">
        <v>43283.356944444444</v>
      </c>
      <c r="BE5480" s="4">
        <v>43283.372199074074</v>
      </c>
      <c r="BF5480" s="4">
        <v>43283.372199074074</v>
      </c>
      <c r="BG5480" t="s">
        <v>83</v>
      </c>
      <c r="BH5480" t="s">
        <v>84</v>
      </c>
      <c r="BI5480" t="s">
        <v>85</v>
      </c>
    </row>
    <row r="5481" spans="1:61" x14ac:dyDescent="0.3">
      <c r="A5481" t="str">
        <f>"200440S0100"</f>
        <v>200440S0100</v>
      </c>
      <c r="B5481" t="s">
        <v>11074</v>
      </c>
      <c r="C5481">
        <v>20</v>
      </c>
      <c r="D5481" t="s">
        <v>79</v>
      </c>
      <c r="E5481">
        <v>24</v>
      </c>
      <c r="F5481" t="s">
        <v>10123</v>
      </c>
      <c r="G5481">
        <v>440</v>
      </c>
      <c r="H5481">
        <v>1</v>
      </c>
      <c r="I5481" t="s">
        <v>104</v>
      </c>
      <c r="J5481">
        <v>0</v>
      </c>
      <c r="K5481">
        <v>2</v>
      </c>
      <c r="L5481">
        <v>4</v>
      </c>
      <c r="M5481">
        <v>193</v>
      </c>
      <c r="N5481">
        <v>387</v>
      </c>
      <c r="O5481">
        <v>0</v>
      </c>
      <c r="P5481">
        <v>387</v>
      </c>
      <c r="Q5481">
        <v>30</v>
      </c>
      <c r="R5481">
        <v>29</v>
      </c>
      <c r="S5481">
        <v>7</v>
      </c>
      <c r="T5481">
        <v>1</v>
      </c>
      <c r="U5481">
        <v>7</v>
      </c>
      <c r="V5481">
        <v>1</v>
      </c>
      <c r="W5481">
        <v>12</v>
      </c>
      <c r="X5481">
        <v>6</v>
      </c>
      <c r="Y5481">
        <v>267</v>
      </c>
      <c r="Z5481">
        <v>7</v>
      </c>
      <c r="AB5481">
        <v>1</v>
      </c>
      <c r="AT5481">
        <v>0</v>
      </c>
      <c r="AU5481">
        <v>19</v>
      </c>
      <c r="AV5481">
        <v>387</v>
      </c>
      <c r="AW5481">
        <v>387</v>
      </c>
      <c r="AX5481">
        <v>0</v>
      </c>
      <c r="BA5481">
        <v>1</v>
      </c>
      <c r="BC5481" t="s">
        <v>11075</v>
      </c>
      <c r="BD5481" s="4">
        <v>43283.25</v>
      </c>
      <c r="BE5481" s="4">
        <v>43283.275879629633</v>
      </c>
      <c r="BF5481" s="4">
        <v>43283.275879629633</v>
      </c>
      <c r="BG5481" t="s">
        <v>83</v>
      </c>
      <c r="BH5481" t="s">
        <v>84</v>
      </c>
      <c r="BI5481" t="s">
        <v>85</v>
      </c>
    </row>
    <row r="5482" spans="1:61" x14ac:dyDescent="0.3">
      <c r="A5482" t="str">
        <f>"201518S0100"</f>
        <v>201518S0100</v>
      </c>
      <c r="B5482" t="s">
        <v>11076</v>
      </c>
      <c r="C5482">
        <v>20</v>
      </c>
      <c r="D5482" t="s">
        <v>79</v>
      </c>
      <c r="E5482">
        <v>25</v>
      </c>
      <c r="F5482" t="s">
        <v>10558</v>
      </c>
      <c r="G5482">
        <v>1518</v>
      </c>
      <c r="H5482">
        <v>1</v>
      </c>
      <c r="I5482" t="s">
        <v>104</v>
      </c>
      <c r="J5482">
        <v>0</v>
      </c>
      <c r="K5482">
        <v>2</v>
      </c>
      <c r="L5482">
        <v>4</v>
      </c>
      <c r="M5482">
        <v>337</v>
      </c>
      <c r="N5482">
        <v>385</v>
      </c>
      <c r="O5482">
        <v>0</v>
      </c>
      <c r="P5482">
        <v>385</v>
      </c>
      <c r="Q5482">
        <v>13</v>
      </c>
      <c r="R5482">
        <v>20</v>
      </c>
      <c r="S5482">
        <v>10</v>
      </c>
      <c r="T5482">
        <v>6</v>
      </c>
      <c r="U5482">
        <v>12</v>
      </c>
      <c r="V5482">
        <v>5</v>
      </c>
      <c r="W5482">
        <v>4</v>
      </c>
      <c r="X5482">
        <v>2</v>
      </c>
      <c r="Y5482">
        <v>287</v>
      </c>
      <c r="Z5482">
        <v>5</v>
      </c>
      <c r="AA5482">
        <v>1</v>
      </c>
      <c r="AB5482">
        <v>15</v>
      </c>
      <c r="AT5482">
        <v>0</v>
      </c>
      <c r="AU5482">
        <v>5</v>
      </c>
      <c r="AV5482">
        <v>385</v>
      </c>
      <c r="AW5482">
        <v>385</v>
      </c>
      <c r="AX5482">
        <v>0</v>
      </c>
      <c r="BA5482">
        <v>1</v>
      </c>
      <c r="BC5482" t="s">
        <v>11077</v>
      </c>
      <c r="BD5482" s="4">
        <v>43283.179166666669</v>
      </c>
      <c r="BE5482" s="4">
        <v>43283.197488425925</v>
      </c>
      <c r="BF5482" s="4">
        <v>43283.197488425925</v>
      </c>
      <c r="BG5482" t="s">
        <v>83</v>
      </c>
      <c r="BH5482" t="s">
        <v>84</v>
      </c>
      <c r="BI5482" t="s">
        <v>85</v>
      </c>
    </row>
    <row r="5483" spans="1:61" x14ac:dyDescent="0.3">
      <c r="A5483" t="str">
        <f>"201845S0100"</f>
        <v>201845S0100</v>
      </c>
      <c r="B5483" t="s">
        <v>11078</v>
      </c>
      <c r="C5483">
        <v>20</v>
      </c>
      <c r="D5483" t="s">
        <v>79</v>
      </c>
      <c r="E5483">
        <v>25</v>
      </c>
      <c r="F5483" t="s">
        <v>10558</v>
      </c>
      <c r="G5483">
        <v>1845</v>
      </c>
      <c r="H5483">
        <v>1</v>
      </c>
      <c r="I5483" t="s">
        <v>104</v>
      </c>
      <c r="J5483">
        <v>0</v>
      </c>
      <c r="K5483">
        <v>2</v>
      </c>
      <c r="L5483">
        <v>4</v>
      </c>
      <c r="M5483">
        <v>452</v>
      </c>
      <c r="N5483">
        <v>285</v>
      </c>
      <c r="O5483">
        <v>0</v>
      </c>
      <c r="P5483">
        <v>285</v>
      </c>
      <c r="Q5483">
        <v>9</v>
      </c>
      <c r="R5483">
        <v>16</v>
      </c>
      <c r="S5483">
        <v>3</v>
      </c>
      <c r="T5483">
        <v>4</v>
      </c>
      <c r="U5483">
        <v>11</v>
      </c>
      <c r="V5483">
        <v>10</v>
      </c>
      <c r="W5483">
        <v>3</v>
      </c>
      <c r="X5483">
        <v>8</v>
      </c>
      <c r="Y5483">
        <v>201</v>
      </c>
      <c r="Z5483">
        <v>3</v>
      </c>
      <c r="AA5483">
        <v>1</v>
      </c>
      <c r="AB5483">
        <v>9</v>
      </c>
      <c r="AT5483">
        <v>0</v>
      </c>
      <c r="AU5483">
        <v>4</v>
      </c>
      <c r="AV5483">
        <v>285</v>
      </c>
      <c r="AW5483">
        <v>282</v>
      </c>
      <c r="AX5483">
        <v>0</v>
      </c>
      <c r="BA5483">
        <v>1</v>
      </c>
      <c r="BC5483" t="s">
        <v>11079</v>
      </c>
      <c r="BD5483" s="4">
        <v>43283.366666666669</v>
      </c>
      <c r="BE5483" s="4">
        <v>43283.375127314815</v>
      </c>
      <c r="BF5483" s="4">
        <v>43283.375127314815</v>
      </c>
      <c r="BG5483" t="s">
        <v>83</v>
      </c>
      <c r="BH5483" t="s">
        <v>84</v>
      </c>
      <c r="BI5483" t="s">
        <v>85</v>
      </c>
    </row>
    <row r="5484" spans="1:61" x14ac:dyDescent="0.3">
      <c r="A5484" t="str">
        <f>"201847S0100"</f>
        <v>201847S0100</v>
      </c>
      <c r="B5484" t="s">
        <v>11080</v>
      </c>
      <c r="C5484">
        <v>20</v>
      </c>
      <c r="D5484" t="s">
        <v>79</v>
      </c>
      <c r="E5484">
        <v>25</v>
      </c>
      <c r="F5484" t="s">
        <v>10558</v>
      </c>
      <c r="G5484">
        <v>1847</v>
      </c>
      <c r="H5484">
        <v>1</v>
      </c>
      <c r="I5484" t="s">
        <v>104</v>
      </c>
      <c r="J5484">
        <v>0</v>
      </c>
      <c r="K5484">
        <v>2</v>
      </c>
      <c r="L5484">
        <v>4</v>
      </c>
      <c r="M5484">
        <v>478</v>
      </c>
      <c r="N5484">
        <v>270</v>
      </c>
      <c r="O5484">
        <v>0</v>
      </c>
      <c r="P5484">
        <v>270</v>
      </c>
      <c r="Q5484">
        <v>21</v>
      </c>
      <c r="R5484">
        <v>19</v>
      </c>
      <c r="S5484">
        <v>6</v>
      </c>
      <c r="T5484">
        <v>4</v>
      </c>
      <c r="U5484">
        <v>7</v>
      </c>
      <c r="V5484">
        <v>6</v>
      </c>
      <c r="W5484">
        <v>2</v>
      </c>
      <c r="X5484">
        <v>7</v>
      </c>
      <c r="Y5484">
        <v>174</v>
      </c>
      <c r="Z5484">
        <v>2</v>
      </c>
      <c r="AA5484">
        <v>0</v>
      </c>
      <c r="AB5484">
        <v>6</v>
      </c>
      <c r="AT5484">
        <v>0</v>
      </c>
      <c r="AU5484">
        <v>16</v>
      </c>
      <c r="AV5484">
        <v>270</v>
      </c>
      <c r="AW5484">
        <v>270</v>
      </c>
      <c r="AX5484">
        <v>0</v>
      </c>
      <c r="BA5484">
        <v>1</v>
      </c>
      <c r="BC5484" t="s">
        <v>11081</v>
      </c>
      <c r="BD5484" s="4">
        <v>43283.371527777781</v>
      </c>
      <c r="BE5484" s="4">
        <v>43283.382013888891</v>
      </c>
      <c r="BF5484" s="4">
        <v>43283.382013888891</v>
      </c>
      <c r="BG5484" t="s">
        <v>83</v>
      </c>
      <c r="BH5484" t="s">
        <v>84</v>
      </c>
      <c r="BI5484" t="s">
        <v>85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OAX_DIP_LOC_2018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Myself</dc:creator>
  <cp:lastModifiedBy>Myself</cp:lastModifiedBy>
  <dcterms:created xsi:type="dcterms:W3CDTF">2018-07-03T19:46:46Z</dcterms:created>
  <dcterms:modified xsi:type="dcterms:W3CDTF">2018-07-06T17:51:28Z</dcterms:modified>
</cp:coreProperties>
</file>